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7.xml" ContentType="application/vnd.openxmlformats-officedocument.spreadsheetml.table+xml"/>
  <Override PartName="/xl/tables/table2.xml" ContentType="application/vnd.openxmlformats-officedocument.spreadsheetml.table+xml"/>
  <Override PartName="/xl/tables/table6.xml" ContentType="application/vnd.openxmlformats-officedocument.spreadsheetml.table+xml"/>
  <Override PartName="/xl/tables/table1.xml" ContentType="application/vnd.openxmlformats-officedocument.spreadsheetml.table+xml"/>
  <Override PartName="/xl/tables/table8.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Model Inputs &amp; Assumptions" sheetId="1" state="visible" r:id="rId3"/>
    <sheet name="Performance Summary" sheetId="2" state="visible" r:id="rId4"/>
    <sheet name="Activation Detail" sheetId="3" state="visible" r:id="rId5"/>
    <sheet name="Simulation Detail" sheetId="4" state="visible" r:id="rId6"/>
  </sheets>
  <definedNames>
    <definedName function="false" hidden="false" localSheetId="2" name="_xlnm.Print_Titles" vbProcedure="false">'Activation Detail'!$3:$3</definedName>
    <definedName function="false" hidden="false" localSheetId="0" name="_xlnm.Print_Area" vbProcedure="false">'Model Inputs &amp; Assumptions'!$A$1:$AA$69</definedName>
    <definedName function="false" hidden="false" localSheetId="1" name="_xlnm.Print_Area" vbProcedure="false">'Performance Summary'!$A$1:$P$132</definedName>
    <definedName function="false" hidden="false" localSheetId="3" name="_xlnm.Print_Titles" vbProcedure="false">'Simulation Detail'!$3:$3</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11" authorId="0">
      <text>
        <r>
          <rPr>
            <sz val="10"/>
            <rFont val="Arial"/>
            <family val="2"/>
          </rPr>
          <t xml:space="preserve">Blending threshold. An inventory item with fewer completed activations than this is blended toward its fallback assumption in proportion to the history it does have.</t>
        </r>
      </text>
    </comment>
    <comment ref="C46" authorId="0">
      <text>
        <r>
          <rPr>
            <sz val="10"/>
            <rFont val="Arial"/>
            <family val="2"/>
          </rPr>
          <t xml:space="preserve">Units are target currency per one unit of source currency.</t>
        </r>
      </text>
    </comment>
    <comment ref="G39" authorId="0">
      <text>
        <r>
          <rPr>
            <sz val="10"/>
            <rFont val="Arial"/>
            <family val="2"/>
          </rPr>
          <t xml:space="preserve">Derived, not an input: Average purchase amount × Gross margin % × Holding period (years). There is deliberately no editable LTV column.</t>
        </r>
      </text>
    </comment>
    <comment ref="H16" authorId="0">
      <text>
        <r>
          <rPr>
            <sz val="10"/>
            <rFont val="Arial"/>
            <family val="2"/>
          </rPr>
          <t xml:space="preserve">Historical median, not mean — a single outsized flight should not lift the plan.</t>
        </r>
      </text>
    </comment>
    <comment ref="I27" authorId="0">
      <text>
        <r>
          <rPr>
            <sz val="10"/>
            <rFont val="Arial"/>
            <family val="2"/>
          </rPr>
          <t xml:space="preserve">Fixed: total placement fee. CPM: cost per thousand impressions. CPC: cost per click. Entered in the cost currency, converted at the FX rate in column K.</t>
        </r>
      </text>
    </comment>
    <comment ref="N27" authorId="0">
      <text>
        <r>
          <rPr>
            <sz val="10"/>
            <rFont val="Arial"/>
            <family val="2"/>
          </rPr>
          <t xml:space="preserve">The three conversion rates are additive paths. Leave the ones that do not apply at zero.</t>
        </r>
      </text>
    </comment>
    <comment ref="Q16" authorId="0">
      <text>
        <r>
          <rPr>
            <sz val="10"/>
            <rFont val="Arial"/>
            <family val="2"/>
          </rPr>
          <t xml:space="preserve">Sigma % is the lognormal volatility of the metric, not a confidence interval. 0.20 means roughly ±20% one standard deviation.</t>
        </r>
      </text>
    </comment>
  </commentList>
</comments>
</file>

<file path=xl/sharedStrings.xml><?xml version="1.0" encoding="utf-8"?>
<sst xmlns="http://schemas.openxmlformats.org/spreadsheetml/2006/main" count="421" uniqueCount="278">
  <si>
    <t xml:space="preserve">PAID DISPLAY PLANNER   ·   MODEL INPUTS &amp; ASSUMPTIONS</t>
  </si>
  <si>
    <t xml:space="preserve">Every input the model consumes. Blue = user input  ·  Grey = Notion-loaded  ·  Green = derived by formula  ·  Orange = manual override. This workbook never writes back to Notion.</t>
  </si>
  <si>
    <t xml:space="preserve">1  ·  CAMPAIGN &amp; MODEL SETTINGS</t>
  </si>
  <si>
    <t xml:space="preserve">LEGEND</t>
  </si>
  <si>
    <t xml:space="preserve">Campaign name</t>
  </si>
  <si>
    <t xml:space="preserve">Ultramarin — German Retail Launch</t>
  </si>
  <si>
    <t xml:space="preserve">Notion campaign record.</t>
  </si>
  <si>
    <t xml:space="preserve">User input</t>
  </si>
  <si>
    <t xml:space="preserve">Typed here, or written by the Streamlit app.</t>
  </si>
  <si>
    <t xml:space="preserve">Scenario name</t>
  </si>
  <si>
    <t xml:space="preserve">Base case — 8 activations, Q1 2027</t>
  </si>
  <si>
    <t xml:space="preserve">Free text. One workbook per scenario.</t>
  </si>
  <si>
    <t xml:space="preserve">Notion-loaded</t>
  </si>
  <si>
    <t xml:space="preserve">Read from Notion when the scenario was built.</t>
  </si>
  <si>
    <t xml:space="preserve">Analysis date</t>
  </si>
  <si>
    <t xml:space="preserve">Date the scenario was run.</t>
  </si>
  <si>
    <t xml:space="preserve">Derived</t>
  </si>
  <si>
    <t xml:space="preserve">Excel formula. Locked while the sheet is protected.</t>
  </si>
  <si>
    <t xml:space="preserve">Target currency</t>
  </si>
  <si>
    <t xml:space="preserve">EUR</t>
  </si>
  <si>
    <t xml:space="preserve">All campaign totals are reported in this currency.</t>
  </si>
  <si>
    <t xml:space="preserve">Manual override</t>
  </si>
  <si>
    <t xml:space="preserve">Deliberately replaces a loaded value — say why in Notes.</t>
  </si>
  <si>
    <t xml:space="preserve">Number of simulation iterations</t>
  </si>
  <si>
    <t xml:space="preserve">Rows per activation on Activation Detail, and rows on Simulation Detail.</t>
  </si>
  <si>
    <t xml:space="preserve">Random seed</t>
  </si>
  <si>
    <t xml:space="preserve">Seed behind the frozen shocks on Activation Detail.</t>
  </si>
  <si>
    <t xml:space="preserve">Derived cells are locked; input, loaded and override cells stay editable while sheet protection is on.</t>
  </si>
  <si>
    <t xml:space="preserve">Minimum historical sample for full weight</t>
  </si>
  <si>
    <t xml:space="preserve">Completed activations needed before an inventory estimate is treated as fully historical.</t>
  </si>
  <si>
    <t xml:space="preserve">Notes</t>
  </si>
  <si>
    <t xml:space="preserve">Illustrative worked example. Streamlit overwrites the blue and grey ranges; every green cell recalculates.</t>
  </si>
  <si>
    <t xml:space="preserve">2  ·  INVENTORY PERFORMANCE  —  HISTORICAL ESTIMATES &amp; FALLBACK ASSUMPTIONS</t>
  </si>
  <si>
    <t xml:space="preserve">One row per Inventory item. Estimates are built from completed activations with valid performance data; where history is thin the Inventory fallback is used, and the Basis column states which applies. Impressions use the historical median; CTR = clicks ÷ impressions; view rate = video views ÷ impressions.</t>
  </si>
  <si>
    <t xml:space="preserve">Inventory ID</t>
  </si>
  <si>
    <t xml:space="preserve">Inventory name</t>
  </si>
  <si>
    <t xml:space="preserve">Estimation method</t>
  </si>
  <si>
    <t xml:space="preserve">Historical activation count</t>
  </si>
  <si>
    <t xml:space="preserve">Hist. activations with impressions</t>
  </si>
  <si>
    <t xml:space="preserve">Hist. activations with video views</t>
  </si>
  <si>
    <t xml:space="preserve">Hist. activations with clicks</t>
  </si>
  <si>
    <t xml:space="preserve">Hist. median impressions</t>
  </si>
  <si>
    <t xml:space="preserve">Hist. total impressions</t>
  </si>
  <si>
    <t xml:space="preserve">Hist. total video views</t>
  </si>
  <si>
    <t xml:space="preserve">Hist. total clicks</t>
  </si>
  <si>
    <t xml:space="preserve">Hist. view rate %</t>
  </si>
  <si>
    <t xml:space="preserve">Hist. CTR %</t>
  </si>
  <si>
    <t xml:space="preserve">Fallback impressions</t>
  </si>
  <si>
    <t xml:space="preserve">Fallback view rate %</t>
  </si>
  <si>
    <t xml:space="preserve">Fallback CTR %</t>
  </si>
  <si>
    <t xml:space="preserve">Impressions Sigma %</t>
  </si>
  <si>
    <t xml:space="preserve">View rate Sigma %</t>
  </si>
  <si>
    <t xml:space="preserve">CTR Sigma %</t>
  </si>
  <si>
    <t xml:space="preserve">Weight — impressions</t>
  </si>
  <si>
    <t xml:space="preserve">Weight — view rate</t>
  </si>
  <si>
    <t xml:space="preserve">Weight — CTR</t>
  </si>
  <si>
    <t xml:space="preserve">Expected impressions (used)</t>
  </si>
  <si>
    <t xml:space="preserve">Expected view rate % (used)</t>
  </si>
  <si>
    <t xml:space="preserve">Expected CTR % (used)</t>
  </si>
  <si>
    <t xml:space="preserve">Basis</t>
  </si>
  <si>
    <t xml:space="preserve">INV-01</t>
  </si>
  <si>
    <t xml:space="preserve">finanzen.net — Display Network</t>
  </si>
  <si>
    <t xml:space="preserve">Historical</t>
  </si>
  <si>
    <t xml:space="preserve">Nine completed display activations since Jan 2025. No video inventory.</t>
  </si>
  <si>
    <t xml:space="preserve">INV-02</t>
  </si>
  <si>
    <t xml:space="preserve">Handelsblatt — Native Article</t>
  </si>
  <si>
    <t xml:space="preserve">Blended</t>
  </si>
  <si>
    <t xml:space="preserve">Only three completed activations, so history is blended with the rate card fallback.</t>
  </si>
  <si>
    <t xml:space="preserve">INV-03</t>
  </si>
  <si>
    <t xml:space="preserve">extraETF — Newsletter Takeover</t>
  </si>
  <si>
    <t xml:space="preserve">Stable list size; six sends with full delivery reporting.</t>
  </si>
  <si>
    <t xml:space="preserve">INV-04</t>
  </si>
  <si>
    <t xml:space="preserve">YouTube — Finfluencer Network Pre-roll</t>
  </si>
  <si>
    <t xml:space="preserve">Five pre-roll flights with view-through reporting from the network.</t>
  </si>
  <si>
    <t xml:space="preserve">INV-05</t>
  </si>
  <si>
    <t xml:space="preserve">Trade Republic — In-App Display</t>
  </si>
  <si>
    <t xml:space="preserve">Fallback</t>
  </si>
  <si>
    <t xml:space="preserve">No completed activations. Volumes and CTR are the platform's published rate-card assumptions.</t>
  </si>
  <si>
    <t xml:space="preserve">INV-06</t>
  </si>
  <si>
    <t xml:space="preserve">Meta — Feed Video (Investor Lookalike)</t>
  </si>
  <si>
    <t xml:space="preserve">Eight completed lookalike flights; view rate is 3-second views over impressions.</t>
  </si>
  <si>
    <t xml:space="preserve">INV-07</t>
  </si>
  <si>
    <t xml:space="preserve">justETF — Sponsored Listing</t>
  </si>
  <si>
    <t xml:space="preserve">Two completed listings only; blended with the publisher's fallback estimate.</t>
  </si>
  <si>
    <t xml:space="preserve">3  ·  ACTIVATIONS</t>
  </si>
  <si>
    <t xml:space="preserve">One row per Activation, whether it already sits on the Campaign in Notion (Campaign activation) or was added to this scenario from Inventory (Scenario activation). Performance expectations are inherited from the Inventory table above; product economics are inherited from the Products table below and are never re-entered here. The three conversion rates are additive paths — an activation may convert off impressions, views, clicks, or any combination.</t>
  </si>
  <si>
    <t xml:space="preserve">Activation ID</t>
  </si>
  <si>
    <t xml:space="preserve">Activation name</t>
  </si>
  <si>
    <t xml:space="preserve">Source</t>
  </si>
  <si>
    <t xml:space="preserve">Format</t>
  </si>
  <si>
    <t xml:space="preserve">Status</t>
  </si>
  <si>
    <t xml:space="preserve">Pricing model</t>
  </si>
  <si>
    <t xml:space="preserve">Cost</t>
  </si>
  <si>
    <t xml:space="preserve">Cost currency</t>
  </si>
  <si>
    <t xml:space="preserve">FX rate to target currency</t>
  </si>
  <si>
    <t xml:space="preserve">Selected Product</t>
  </si>
  <si>
    <t xml:space="preserve">Product name</t>
  </si>
  <si>
    <t xml:space="preserve">Conversion / impression %</t>
  </si>
  <si>
    <t xml:space="preserve">Conversion / view %</t>
  </si>
  <si>
    <t xml:space="preserve">Conversion / click %</t>
  </si>
  <si>
    <t xml:space="preserve">Conversion Sigma %</t>
  </si>
  <si>
    <t xml:space="preserve">Expected impressions</t>
  </si>
  <si>
    <t xml:space="preserve">Expected view rate %</t>
  </si>
  <si>
    <t xml:space="preserve">Expected CTR %</t>
  </si>
  <si>
    <t xml:space="preserve">ACT-01</t>
  </si>
  <si>
    <t xml:space="preserve">finanzen.net — Q1 Awareness Burst</t>
  </si>
  <si>
    <t xml:space="preserve">Campaign activation</t>
  </si>
  <si>
    <t xml:space="preserve">Display banner</t>
  </si>
  <si>
    <t xml:space="preserve">Confirmed</t>
  </si>
  <si>
    <t xml:space="preserve">CPM</t>
  </si>
  <si>
    <t xml:space="preserve">PRD-EUAI</t>
  </si>
  <si>
    <t xml:space="preserve">Booked Jan–Feb. CPM is the agreed net rate.</t>
  </si>
  <si>
    <t xml:space="preserve">ACT-02</t>
  </si>
  <si>
    <t xml:space="preserve">Handelsblatt — Native Explainer</t>
  </si>
  <si>
    <t xml:space="preserve">Native article</t>
  </si>
  <si>
    <t xml:space="preserve">Fixed</t>
  </si>
  <si>
    <t xml:space="preserve">Fixed placement fee, two-week run.</t>
  </si>
  <si>
    <t xml:space="preserve">ACT-03</t>
  </si>
  <si>
    <t xml:space="preserve">Newsletter takeover</t>
  </si>
  <si>
    <t xml:space="preserve">PRD-USIQ</t>
  </si>
  <si>
    <t xml:space="preserve">Single send to the full German list.</t>
  </si>
  <si>
    <t xml:space="preserve">ACT-04</t>
  </si>
  <si>
    <t xml:space="preserve">YouTube — Finfluencer Pre-roll</t>
  </si>
  <si>
    <t xml:space="preserve">Video pre-roll</t>
  </si>
  <si>
    <t xml:space="preserve">Planned</t>
  </si>
  <si>
    <t xml:space="preserve">USD</t>
  </si>
  <si>
    <t xml:space="preserve">Priced in USD by the network; converted at the FX table rate.</t>
  </si>
  <si>
    <t xml:space="preserve">ACT-05</t>
  </si>
  <si>
    <t xml:space="preserve">In-app display</t>
  </si>
  <si>
    <t xml:space="preserve">PRD-SP01</t>
  </si>
  <si>
    <t xml:space="preserve">Rate-card CPM; no completed history on this inventory yet.</t>
  </si>
  <si>
    <t xml:space="preserve">ACT-06</t>
  </si>
  <si>
    <t xml:space="preserve">Trade Republic — Savings Plan Push</t>
  </si>
  <si>
    <t xml:space="preserve">Scenario activation</t>
  </si>
  <si>
    <t xml:space="preserve">Proposed</t>
  </si>
  <si>
    <t xml:space="preserve">Scenario only. Fixed sponsorship of the savings-plan carousel.</t>
  </si>
  <si>
    <t xml:space="preserve">ACT-07</t>
  </si>
  <si>
    <t xml:space="preserve">Meta — Lookalike Feed Video</t>
  </si>
  <si>
    <t xml:space="preserve">Social feed video</t>
  </si>
  <si>
    <t xml:space="preserve">CPC</t>
  </si>
  <si>
    <t xml:space="preserve">Scenario only. Cost scales with clicks, so cost risk tracks CTR.</t>
  </si>
  <si>
    <t xml:space="preserve">ACT-08</t>
  </si>
  <si>
    <t xml:space="preserve">Sponsored listing</t>
  </si>
  <si>
    <t xml:space="preserve">GBP</t>
  </si>
  <si>
    <t xml:space="preserve">Contracted in GBP; converted at the FX table rate.</t>
  </si>
  <si>
    <t xml:space="preserve">4  ·  PRODUCTS</t>
  </si>
  <si>
    <t xml:space="preserve">Product economics are held once, here, and never repeated as Activation inputs. LTV is derived, not editable:  Derived LTV = Average purchase amount × Gross margin % of assets × Expected holding period (years).</t>
  </si>
  <si>
    <t xml:space="preserve">Product ID</t>
  </si>
  <si>
    <t xml:space="preserve">Product currency</t>
  </si>
  <si>
    <t xml:space="preserve">Average purchase amount</t>
  </si>
  <si>
    <t xml:space="preserve">Gross margin % of assets</t>
  </si>
  <si>
    <t xml:space="preserve">Expected holding period (years)</t>
  </si>
  <si>
    <t xml:space="preserve">Derived LTV</t>
  </si>
  <si>
    <t xml:space="preserve">Ultramarin Europe AI UCITS ETF (EUAI)</t>
  </si>
  <si>
    <t xml:space="preserve">Lump-sum buyer. Margin is the retained share of the TER.</t>
  </si>
  <si>
    <t xml:space="preserve">Ultramarin US Innovation UCITS ETF (USIQ)</t>
  </si>
  <si>
    <t xml:space="preserve">Lump-sum buyer. Shorter observed holding period than EUAI.</t>
  </si>
  <si>
    <t xml:space="preserve">EUAI Savings Plan (monthly)</t>
  </si>
  <si>
    <t xml:space="preserve">Three years of contributions at €150/month; longer holding period, lower margin.</t>
  </si>
  <si>
    <t xml:space="preserve">5  ·  FX ASSUMPTIONS</t>
  </si>
  <si>
    <t xml:space="preserve">Every rate used anywhere in the model is stated here. Nothing else converts currency. A rate flagged as a manual override is shown in orange and must carry a reason in Notes.</t>
  </si>
  <si>
    <t xml:space="preserve">Source currency</t>
  </si>
  <si>
    <t xml:space="preserve">FX rate</t>
  </si>
  <si>
    <t xml:space="preserve">Rate source</t>
  </si>
  <si>
    <t xml:space="preserve">Rate date</t>
  </si>
  <si>
    <t xml:space="preserve">Manual override flag</t>
  </si>
  <si>
    <t xml:space="preserve">Identity</t>
  </si>
  <si>
    <t xml:space="preserve">No</t>
  </si>
  <si>
    <t xml:space="preserve">Target currency; rate fixed at 1.</t>
  </si>
  <si>
    <t xml:space="preserve">ECB reference rate</t>
  </si>
  <si>
    <t xml:space="preserve">Daily ECB fixing, inverted to EUR per USD.</t>
  </si>
  <si>
    <t xml:space="preserve">Daily ECB fixing, inverted to EUR per GBP.</t>
  </si>
  <si>
    <t xml:space="preserve">CHF</t>
  </si>
  <si>
    <t xml:space="preserve">Treasury forward booking</t>
  </si>
  <si>
    <t xml:space="preserve">Yes</t>
  </si>
  <si>
    <t xml:space="preserve">Manual override: booked forward rate, not the spot fixing.</t>
  </si>
  <si>
    <t xml:space="preserve">6  ·  MODELLING RULES APPLIED IN THIS WORKBOOK</t>
  </si>
  <si>
    <t xml:space="preserve">•</t>
  </si>
  <si>
    <t xml:space="preserve">Performance estimates — impressions use the historical median for the Inventory item; CTR = historical clicks ÷ historical impressions; view rate = historical video views ÷ historical impressions.</t>
  </si>
  <si>
    <t xml:space="preserve">Blending — Historical uses history alone, Fallback uses the Inventory fallback alone, Blended weights history by (completed activations with that metric ÷ minimum sample, capped at 1). The Basis column states the result for every row.</t>
  </si>
  <si>
    <t xml:space="preserve">Uncertainty — impressions, view rate, CTR and conversion rate are drawn lognormally: value = expected × EXP(sigma × z − sigma² ÷ 2), so the mean is preserved. The z shocks are frozen draws from the random seed, held on Activation Detail columns O:R.</t>
  </si>
  <si>
    <t xml:space="preserve">Rates are capped at 100%; impressions, views and clicks are rounded to whole units. Conversions are kept continuous so medians stay meaningful at low volumes.</t>
  </si>
  <si>
    <t xml:space="preserve">Cost is deterministic, never simulated —  Fixed: cost × FX  ·  CPM: rate × impressions ÷ 1,000 × FX  ·  CPC: rate × clicks × FX. Cost still varies across iterations for CPM and CPC because volume does, but no cost noise is added.</t>
  </si>
  <si>
    <t xml:space="preserve">Product economics are deterministic —  Flows = Conversions × Average purchase amount  ·  LTV value = Conversions × Derived LTV  ·  ROI = LTV value ÷ Cost. Both are converted to the target currency at the Products table FX rate.</t>
  </si>
  <si>
    <t xml:space="preserve">Conversion paths are additive: Conversions = impressions × conv/impression % + views × conv/view % + clicks × conv/click %, then scaled by the conversion shock.</t>
  </si>
  <si>
    <t xml:space="preserve">Product attribution — each Activation sells exactly one Product, so its conversions and cost are attributed there whole. Per-Product flows and LTV value use that Product's own economics, and per-Product ROI is that Product's LTV value ÷ its own cost. On any single iteration the Product rows sum to the campaign; the medians do not, because each Product's median falls on a different iteration.</t>
  </si>
  <si>
    <t xml:space="preserve">The workbook never writes back to Notion and holds no credentials. Values sourced from Notion are grey; nothing in this file is authoritative for Notion.</t>
  </si>
  <si>
    <t xml:space="preserve">7  ·  WRITING TO THIS WORKBOOK FROM THE PLANNER APP</t>
  </si>
  <si>
    <t xml:space="preserve">The app writes values only: the blue and grey ranges on this sheet, and the frozen shocks on Activation Detail columns O:R. Every green cell, both detail sheets and the whole Performance Summary are formulas and must not be overwritten with values.</t>
  </si>
  <si>
    <t xml:space="preserve">Layout contract — Activation Detail is activation-major. Activation j (1-based) occupies rows 4 + (j−1) × N to 3 + j × N, where N is the iteration count in C9. Simulation Detail row 4 + (i−1) sums the one row per activation belonging to iteration i.</t>
  </si>
  <si>
    <t xml:space="preserve">This build is fixed at 8 activations × 500 iterations, and the detail formulas hard-reference those rows. A different count means regenerating the two detail sheets (or filling the formulas down) rather than pasting rows in.</t>
  </si>
  <si>
    <t xml:space="preserve">Inventory and Product rows are matched by ID, so activations follow a re-pointed Inventory ID or Selected Product without any formula edits.</t>
  </si>
  <si>
    <t xml:space="preserve">Per-Product totals sit on Simulation Detail from column N, six columns per Product, keyed by the Product ID in row 2 of each block. They aggregate with SUMIFS over Activation Detail on iteration and the Product key in its column N, so they need no maintenance when activations move between Products — only a change in the number of Products needs new blocks.</t>
  </si>
  <si>
    <t xml:space="preserve">No credentials belong in this file, and nothing here is written back to Notion.</t>
  </si>
  <si>
    <t xml:space="preserve">PAID DISPLAY PLANNER   ·   PERFORMANCE SUMMARY</t>
  </si>
  <si>
    <t xml:space="preserve">Scenario outputs across the full simulation. Every figure on this sheet is a formula over Simulation Detail and Activation Detail — change an input and this sheet moves with it.</t>
  </si>
  <si>
    <t xml:space="preserve">CAMPAIGN</t>
  </si>
  <si>
    <t xml:space="preserve">MEDIAN CONVERSIONS</t>
  </si>
  <si>
    <t xml:space="preserve">MEDIAN COST</t>
  </si>
  <si>
    <t xml:space="preserve">MEDIAN LTV VALUE</t>
  </si>
  <si>
    <t xml:space="preserve">MEDIAN ROI</t>
  </si>
  <si>
    <t xml:space="preserve">Number of Activations</t>
  </si>
  <si>
    <t xml:space="preserve">Number of Products</t>
  </si>
  <si>
    <t xml:space="preserve">CAMPAIGN PERFORMANCE  —  SIMULATED DISTRIBUTION</t>
  </si>
  <si>
    <t xml:space="preserve">Quartiles across every simulation iteration. Q1 is the weak quarter of outcomes, Q3 the strong quarter — read the spread, not just the median.</t>
  </si>
  <si>
    <t xml:space="preserve">Metric</t>
  </si>
  <si>
    <t xml:space="preserve">Q1 / P25</t>
  </si>
  <si>
    <t xml:space="preserve">Median</t>
  </si>
  <si>
    <t xml:space="preserve">Q3 / P75</t>
  </si>
  <si>
    <t xml:space="preserve">Impressions</t>
  </si>
  <si>
    <t xml:space="preserve">Sum of activation impressions per iteration</t>
  </si>
  <si>
    <t xml:space="preserve">Video views</t>
  </si>
  <si>
    <t xml:space="preserve">Impressions × view rate</t>
  </si>
  <si>
    <t xml:space="preserve">View rate %</t>
  </si>
  <si>
    <t xml:space="preserve">Campaign views ÷ campaign impressions</t>
  </si>
  <si>
    <t xml:space="preserve">Clicks</t>
  </si>
  <si>
    <t xml:space="preserve">Impressions × CTR</t>
  </si>
  <si>
    <t xml:space="preserve">CTR %</t>
  </si>
  <si>
    <t xml:space="preserve">Campaign clicks ÷ campaign impressions</t>
  </si>
  <si>
    <t xml:space="preserve">Conversions</t>
  </si>
  <si>
    <t xml:space="preserve">Per-impression, per-view and per-click paths, summed</t>
  </si>
  <si>
    <t xml:space="preserve">Flows</t>
  </si>
  <si>
    <t xml:space="preserve">Conversions × average purchase amount</t>
  </si>
  <si>
    <t xml:space="preserve">Deterministic: fixed, CPM × impressions, or CPC × clicks</t>
  </si>
  <si>
    <t xml:space="preserve">Cost per conversion</t>
  </si>
  <si>
    <t xml:space="preserve">Total cost ÷ total conversions</t>
  </si>
  <si>
    <t xml:space="preserve">LTV value</t>
  </si>
  <si>
    <t xml:space="preserve">Conversions × derived LTV</t>
  </si>
  <si>
    <t xml:space="preserve">ROI</t>
  </si>
  <si>
    <t xml:space="preserve">LTV value ÷ cost</t>
  </si>
  <si>
    <t xml:space="preserve">PRODUCT PERFORMANCE</t>
  </si>
  <si>
    <t xml:space="preserve">Where a campaign promotes more than one Product, this splits the outcome by Product. Each activation's conversions and cost are attributed to the Product it sells, then quartiled across the same iterations. Product rows sum to the campaign on any single iteration; medians do not add up, because the median iteration differs from one Product to the next.</t>
  </si>
  <si>
    <t xml:space="preserve">Activations</t>
  </si>
  <si>
    <t xml:space="preserve">Derived LTV (target currency)</t>
  </si>
  <si>
    <t xml:space="preserve">Conversions — Q1</t>
  </si>
  <si>
    <t xml:space="preserve">Conversions — median</t>
  </si>
  <si>
    <t xml:space="preserve">Conversions — Q3</t>
  </si>
  <si>
    <t xml:space="preserve">Flows — median</t>
  </si>
  <si>
    <t xml:space="preserve">LTV value — median</t>
  </si>
  <si>
    <t xml:space="preserve">Cost — median</t>
  </si>
  <si>
    <t xml:space="preserve">ROI — Q1</t>
  </si>
  <si>
    <t xml:space="preserve">ROI — median</t>
  </si>
  <si>
    <t xml:space="preserve">ROI — Q3</t>
  </si>
  <si>
    <t xml:space="preserve">Cost per conversion — median</t>
  </si>
  <si>
    <t xml:space="preserve">ACTIVATION PERFORMANCE</t>
  </si>
  <si>
    <t xml:space="preserve">Per-activation medians and quartiles across the same iterations. Expected impressions, view rate and CTR are the pre-simulation estimates; everything from Conversions rightward is simulated.</t>
  </si>
  <si>
    <t xml:space="preserve">Inventory</t>
  </si>
  <si>
    <t xml:space="preserve">Product</t>
  </si>
  <si>
    <t xml:space="preserve">CHART SOURCE DATA</t>
  </si>
  <si>
    <t xml:space="preserve">Formula-driven histogram bins over Simulation Detail. Bin edges follow the simulated range, so the charts above re-scale on their own when inputs change. Nothing here needs editing.</t>
  </si>
  <si>
    <t xml:space="preserve">Conversions — bin from</t>
  </si>
  <si>
    <t xml:space="preserve">Bin to</t>
  </si>
  <si>
    <t xml:space="preserve">Label</t>
  </si>
  <si>
    <t xml:space="preserve">Iterations</t>
  </si>
  <si>
    <t xml:space="preserve">ROI — bin from</t>
  </si>
  <si>
    <t xml:space="preserve">ACTIVATION DETAIL   ·   ONE ROW PER SIMULATION ITERATION PER ACTIVATION</t>
  </si>
  <si>
    <t xml:space="preserve">500 iterations × 8 activations. Every column is a formula reading the inputs sheet; change an assumption there and this recalculates.</t>
  </si>
  <si>
    <t xml:space="preserve">Product key — drives the per-product roll-up.</t>
  </si>
  <si>
    <t xml:space="preserve">Frozen standard-normal shocks drawn from the random seed — replace these to re-randomise.</t>
  </si>
  <si>
    <t xml:space="preserve">Iteration</t>
  </si>
  <si>
    <t xml:space="preserve">Activation</t>
  </si>
  <si>
    <t xml:space="preserve">View rate</t>
  </si>
  <si>
    <t xml:space="preserve">Views</t>
  </si>
  <si>
    <t xml:space="preserve">CTR</t>
  </si>
  <si>
    <t xml:space="preserve">z — impressions</t>
  </si>
  <si>
    <t xml:space="preserve">z — view rate</t>
  </si>
  <si>
    <t xml:space="preserve">z — CTR</t>
  </si>
  <si>
    <t xml:space="preserve">z — conversion</t>
  </si>
  <si>
    <t xml:space="preserve">SIMULATION DETAIL   ·   ONE ROW PER CAMPAIGN ITERATION</t>
  </si>
  <si>
    <t xml:space="preserve">PER-PRODUCT CAMPAIGN TOTALS PER ITERATION  —  activations are attributed to the Product they sell (Activation Detail column N), so re-pointing an activation to another Product moves its whole contribution here.</t>
  </si>
  <si>
    <t xml:space="preserve">Campaign totals per iteration, summed across activations from Activation Detail. The Performance Summary quartiles read straight off these columns. View rate % and CTR % are appended so campaign-level rates can be quartiled honestly, rather than divided quartile by quartile.</t>
  </si>
  <si>
    <t xml:space="preserve">Total impressions</t>
  </si>
  <si>
    <t xml:space="preserve">Total views</t>
  </si>
  <si>
    <t xml:space="preserve">Total clicks</t>
  </si>
  <si>
    <t xml:space="preserve">Total conversions</t>
  </si>
  <si>
    <t xml:space="preserve">Total cost</t>
  </si>
  <si>
    <t xml:space="preserve">Total flows</t>
  </si>
  <si>
    <t xml:space="preserve">Total LTV value</t>
  </si>
</sst>
</file>

<file path=xl/styles.xml><?xml version="1.0" encoding="utf-8"?>
<styleSheet xmlns="http://schemas.openxmlformats.org/spreadsheetml/2006/main">
  <numFmts count="14">
    <numFmt numFmtId="164" formatCode="General"/>
    <numFmt numFmtId="165" formatCode="@"/>
    <numFmt numFmtId="166" formatCode="dd\ mmm\ yyyy"/>
    <numFmt numFmtId="167" formatCode="#,##0;\(#,##0\);\-"/>
    <numFmt numFmtId="168" formatCode="0"/>
    <numFmt numFmtId="169" formatCode="0.00%"/>
    <numFmt numFmtId="170" formatCode="0.0000%"/>
    <numFmt numFmtId="171" formatCode="#,##0.00"/>
    <numFmt numFmtId="172" formatCode="0.0000"/>
    <numFmt numFmtId="173" formatCode="\€#,##0.00;&quot;(€&quot;#,##0.00\);\-"/>
    <numFmt numFmtId="174" formatCode="\€#,##0;&quot;(€&quot;#,##0\);\-"/>
    <numFmt numFmtId="175" formatCode="0.00\x"/>
    <numFmt numFmtId="176" formatCode="#,##0.0;\(#,##0.0\);\-"/>
    <numFmt numFmtId="177" formatCode="0.000000"/>
  </numFmts>
  <fonts count="20">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5B6379"/>
      <name val="Arial"/>
      <family val="0"/>
      <charset val="1"/>
    </font>
    <font>
      <b val="true"/>
      <sz val="12"/>
      <color rgb="FF141A3C"/>
      <name val="Arial"/>
      <family val="0"/>
      <charset val="1"/>
    </font>
    <font>
      <b val="true"/>
      <sz val="10"/>
      <color rgb="FF141A3C"/>
      <name val="Arial"/>
      <family val="0"/>
      <charset val="1"/>
    </font>
    <font>
      <sz val="10"/>
      <color rgb="FF141A3C"/>
      <name val="Arial"/>
      <family val="0"/>
      <charset val="1"/>
    </font>
    <font>
      <sz val="10"/>
      <color rgb="FF5B6379"/>
      <name val="Arial"/>
      <family val="0"/>
      <charset val="1"/>
    </font>
    <font>
      <sz val="10"/>
      <color rgb="FF17693A"/>
      <name val="Arial"/>
      <family val="0"/>
      <charset val="1"/>
    </font>
    <font>
      <sz val="10"/>
      <color rgb="FF9C4A0A"/>
      <name val="Arial"/>
      <family val="0"/>
      <charset val="1"/>
    </font>
    <font>
      <b val="true"/>
      <sz val="9"/>
      <color rgb="FFFFFFFF"/>
      <name val="Arial"/>
      <family val="0"/>
      <charset val="1"/>
    </font>
    <font>
      <sz val="10"/>
      <name val="Arial"/>
      <family val="2"/>
    </font>
    <font>
      <b val="true"/>
      <sz val="9"/>
      <color rgb="FF5B6379"/>
      <name val="Arial"/>
      <family val="0"/>
      <charset val="1"/>
    </font>
    <font>
      <b val="true"/>
      <sz val="18"/>
      <color rgb="FF141A3C"/>
      <name val="Arial"/>
      <family val="0"/>
      <charset val="1"/>
    </font>
    <font>
      <b val="true"/>
      <sz val="18"/>
      <color rgb="FF000000"/>
      <name val="Calibri"/>
      <family val="2"/>
    </font>
    <font>
      <sz val="10"/>
      <color rgb="FF000000"/>
      <name val="Calibri"/>
      <family val="2"/>
    </font>
    <font>
      <b val="true"/>
      <sz val="10"/>
      <color rgb="FF000000"/>
      <name val="Calibri"/>
      <family val="2"/>
    </font>
    <font>
      <sz val="9"/>
      <color rgb="FF5B6379"/>
      <name val="Arial"/>
      <family val="0"/>
      <charset val="1"/>
    </font>
  </fonts>
  <fills count="8">
    <fill>
      <patternFill patternType="none"/>
    </fill>
    <fill>
      <patternFill patternType="gray125"/>
    </fill>
    <fill>
      <patternFill patternType="solid">
        <fgColor rgb="FF141A3C"/>
        <bgColor rgb="FF003366"/>
      </patternFill>
    </fill>
    <fill>
      <patternFill patternType="solid">
        <fgColor rgb="FFE1E7F8"/>
        <bgColor rgb="FFE9EBEF"/>
      </patternFill>
    </fill>
    <fill>
      <patternFill patternType="solid">
        <fgColor rgb="FFE9EBEF"/>
        <bgColor rgb="FFE1E7F8"/>
      </patternFill>
    </fill>
    <fill>
      <patternFill patternType="solid">
        <fgColor rgb="FFDCEFE3"/>
        <bgColor rgb="FFE9EBEF"/>
      </patternFill>
    </fill>
    <fill>
      <patternFill patternType="solid">
        <fgColor rgb="FFFBE3CE"/>
        <bgColor rgb="FFE9EBEF"/>
      </patternFill>
    </fill>
    <fill>
      <patternFill patternType="solid">
        <fgColor rgb="FFF1F4FC"/>
        <bgColor rgb="FFE9EBEF"/>
      </patternFill>
    </fill>
  </fills>
  <borders count="2">
    <border diagonalUp="false" diagonalDown="false">
      <left/>
      <right/>
      <top/>
      <bottom/>
      <diagonal/>
    </border>
    <border diagonalUp="false" diagonalDown="false">
      <left style="thin">
        <color rgb="FFC7CEE8"/>
      </left>
      <right style="thin">
        <color rgb="FFC7CEE8"/>
      </right>
      <top style="thin">
        <color rgb="FFC7CEE8"/>
      </top>
      <bottom style="thin">
        <color rgb="FFC7CEE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5" fontId="8" fillId="3" borderId="1" xfId="0" applyFont="true" applyBorder="true" applyAlignment="true" applyProtection="true">
      <alignment horizontal="general" vertical="center" textRotation="0" wrapText="false" indent="0" shrinkToFit="false"/>
      <protection locked="fals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8" fillId="3" borderId="1" xfId="0" applyFont="true" applyBorder="true" applyAlignment="true" applyProtection="true">
      <alignment horizontal="general" vertical="center" textRotation="0" wrapText="false" indent="0" shrinkToFit="false"/>
      <protection locked="false" hidden="false"/>
    </xf>
    <xf numFmtId="164" fontId="9" fillId="4" borderId="1" xfId="0" applyFont="true" applyBorder="true" applyAlignment="true" applyProtection="true">
      <alignment horizontal="general" vertical="center" textRotation="0" wrapText="false" indent="0" shrinkToFit="false"/>
      <protection locked="false" hidden="false"/>
    </xf>
    <xf numFmtId="166" fontId="8" fillId="3" borderId="1" xfId="0" applyFont="true" applyBorder="true" applyAlignment="true" applyProtection="true">
      <alignment horizontal="general" vertical="center" textRotation="0" wrapText="false" indent="0" shrinkToFit="false"/>
      <protection locked="false" hidden="false"/>
    </xf>
    <xf numFmtId="164" fontId="10" fillId="5" borderId="1" xfId="0" applyFont="true" applyBorder="true" applyAlignment="true" applyProtection="false">
      <alignment horizontal="general" vertical="center" textRotation="0" wrapText="false" indent="0" shrinkToFit="false"/>
      <protection locked="true" hidden="false"/>
    </xf>
    <xf numFmtId="164" fontId="11" fillId="6" borderId="1" xfId="0" applyFont="true" applyBorder="true" applyAlignment="true" applyProtection="true">
      <alignment horizontal="general" vertical="center" textRotation="0" wrapText="false" indent="0" shrinkToFit="false"/>
      <protection locked="false" hidden="false"/>
    </xf>
    <xf numFmtId="167" fontId="8" fillId="3" borderId="1" xfId="0" applyFont="true" applyBorder="true" applyAlignment="true" applyProtection="true">
      <alignment horizontal="general" vertical="center" textRotation="0" wrapText="false" indent="0" shrinkToFit="false"/>
      <protection locked="false" hidden="false"/>
    </xf>
    <xf numFmtId="168" fontId="8" fillId="3" borderId="1" xfId="0" applyFont="true" applyBorder="true" applyAlignment="true" applyProtection="true">
      <alignment horizontal="general" vertical="center" textRotation="0" wrapText="false" indent="0" shrinkToFit="false"/>
      <protection locked="false" hidden="false"/>
    </xf>
    <xf numFmtId="164" fontId="12" fillId="2" borderId="1" xfId="0" applyFont="true" applyBorder="true" applyAlignment="true" applyProtection="false">
      <alignment horizontal="center" vertical="center" textRotation="0" wrapText="true" indent="0" shrinkToFit="false"/>
      <protection locked="true" hidden="false"/>
    </xf>
    <xf numFmtId="167" fontId="9" fillId="4" borderId="1" xfId="0" applyFont="true" applyBorder="true" applyAlignment="true" applyProtection="true">
      <alignment horizontal="general" vertical="center" textRotation="0" wrapText="false" indent="0" shrinkToFit="false"/>
      <protection locked="false" hidden="false"/>
    </xf>
    <xf numFmtId="169" fontId="10" fillId="5" borderId="1" xfId="0" applyFont="true" applyBorder="true" applyAlignment="true" applyProtection="false">
      <alignment horizontal="general" vertical="center" textRotation="0" wrapText="false" indent="0" shrinkToFit="false"/>
      <protection locked="true" hidden="false"/>
    </xf>
    <xf numFmtId="170" fontId="10" fillId="5" borderId="1" xfId="0" applyFont="true" applyBorder="true" applyAlignment="true" applyProtection="false">
      <alignment horizontal="general" vertical="center" textRotation="0" wrapText="false" indent="0" shrinkToFit="false"/>
      <protection locked="true" hidden="false"/>
    </xf>
    <xf numFmtId="169" fontId="8" fillId="3" borderId="1" xfId="0" applyFont="true" applyBorder="true" applyAlignment="true" applyProtection="true">
      <alignment horizontal="general" vertical="center" textRotation="0" wrapText="false" indent="0" shrinkToFit="false"/>
      <protection locked="false" hidden="false"/>
    </xf>
    <xf numFmtId="170" fontId="8" fillId="3" borderId="1" xfId="0" applyFont="true" applyBorder="true" applyAlignment="true" applyProtection="true">
      <alignment horizontal="general" vertical="center" textRotation="0" wrapText="false" indent="0" shrinkToFit="false"/>
      <protection locked="false" hidden="false"/>
    </xf>
    <xf numFmtId="167" fontId="10" fillId="5" borderId="1" xfId="0" applyFont="true" applyBorder="true" applyAlignment="true" applyProtection="false">
      <alignment horizontal="general" vertical="center" textRotation="0" wrapText="false" indent="0" shrinkToFit="false"/>
      <protection locked="true" hidden="false"/>
    </xf>
    <xf numFmtId="165" fontId="10" fillId="5" borderId="1" xfId="0" applyFont="true" applyBorder="true" applyAlignment="true" applyProtection="false">
      <alignment horizontal="general" vertical="center" textRotation="0" wrapText="false" indent="0" shrinkToFit="false"/>
      <protection locked="true" hidden="false"/>
    </xf>
    <xf numFmtId="171" fontId="8" fillId="3" borderId="1" xfId="0" applyFont="true" applyBorder="true" applyAlignment="true" applyProtection="true">
      <alignment horizontal="general" vertical="center" textRotation="0" wrapText="false" indent="0" shrinkToFit="false"/>
      <protection locked="false" hidden="false"/>
    </xf>
    <xf numFmtId="172" fontId="10" fillId="5" borderId="1" xfId="0" applyFont="true" applyBorder="true" applyAlignment="true" applyProtection="false">
      <alignment horizontal="general" vertical="center" textRotation="0" wrapText="false" indent="0" shrinkToFit="false"/>
      <protection locked="true" hidden="false"/>
    </xf>
    <xf numFmtId="173" fontId="10" fillId="5" borderId="1" xfId="0" applyFont="true" applyBorder="true" applyAlignment="true" applyProtection="false">
      <alignment horizontal="general" vertical="center" textRotation="0" wrapText="false" indent="0" shrinkToFit="false"/>
      <protection locked="true" hidden="false"/>
    </xf>
    <xf numFmtId="172" fontId="9" fillId="4" borderId="1" xfId="0" applyFont="true" applyBorder="true" applyAlignment="true" applyProtection="true">
      <alignment horizontal="general" vertical="center" textRotation="0" wrapText="false" indent="0" shrinkToFit="false"/>
      <protection locked="false" hidden="false"/>
    </xf>
    <xf numFmtId="165" fontId="9" fillId="4" borderId="1" xfId="0" applyFont="true" applyBorder="true" applyAlignment="true" applyProtection="true">
      <alignment horizontal="general" vertical="center" textRotation="0" wrapText="false" indent="0" shrinkToFit="false"/>
      <protection locked="false" hidden="false"/>
    </xf>
    <xf numFmtId="166" fontId="9" fillId="4" borderId="1" xfId="0" applyFont="true" applyBorder="true" applyAlignment="true" applyProtection="true">
      <alignment horizontal="general" vertical="center" textRotation="0" wrapText="false" indent="0" shrinkToFit="false"/>
      <protection locked="false" hidden="false"/>
    </xf>
    <xf numFmtId="172" fontId="11" fillId="6" borderId="1" xfId="0" applyFont="true" applyBorder="true" applyAlignment="true" applyProtection="true">
      <alignment horizontal="general" vertical="center" textRotation="0" wrapText="false" indent="0" shrinkToFit="false"/>
      <protection locked="false" hidden="false"/>
    </xf>
    <xf numFmtId="164" fontId="14" fillId="7" borderId="0" xfId="0" applyFont="true" applyBorder="true" applyAlignment="true" applyProtection="false">
      <alignment horizontal="center" vertical="center" textRotation="0" wrapText="false" indent="0" shrinkToFit="false"/>
      <protection locked="true" hidden="false"/>
    </xf>
    <xf numFmtId="167" fontId="15" fillId="7" borderId="0" xfId="0" applyFont="true" applyBorder="true" applyAlignment="true" applyProtection="false">
      <alignment horizontal="center" vertical="center" textRotation="0" wrapText="false" indent="0" shrinkToFit="false"/>
      <protection locked="true" hidden="false"/>
    </xf>
    <xf numFmtId="174" fontId="15" fillId="7" borderId="0" xfId="0" applyFont="true" applyBorder="true" applyAlignment="true" applyProtection="false">
      <alignment horizontal="center" vertical="center" textRotation="0" wrapText="false" indent="0" shrinkToFit="false"/>
      <protection locked="true" hidden="false"/>
    </xf>
    <xf numFmtId="175" fontId="15" fillId="7" borderId="0" xfId="0" applyFont="true" applyBorder="true" applyAlignment="true" applyProtection="false">
      <alignment horizontal="center" vertical="center" textRotation="0" wrapText="false" indent="0" shrinkToFit="false"/>
      <protection locked="true" hidden="false"/>
    </xf>
    <xf numFmtId="164" fontId="12" fillId="2" borderId="1" xfId="0" applyFont="true" applyBorder="true" applyAlignment="true" applyProtection="false">
      <alignment horizontal="center" vertical="center" textRotation="0" wrapText="false" indent="0" shrinkToFit="false"/>
      <protection locked="true" hidden="false"/>
    </xf>
    <xf numFmtId="167" fontId="10" fillId="5" borderId="1" xfId="0" applyFont="true" applyBorder="true" applyAlignment="true" applyProtection="false">
      <alignment horizontal="right" vertical="center" textRotation="0" wrapText="false" indent="0" shrinkToFit="false"/>
      <protection locked="true" hidden="false"/>
    </xf>
    <xf numFmtId="169" fontId="10" fillId="5" borderId="1" xfId="0" applyFont="true" applyBorder="true" applyAlignment="true" applyProtection="false">
      <alignment horizontal="right" vertical="center" textRotation="0" wrapText="false" indent="0" shrinkToFit="false"/>
      <protection locked="true" hidden="false"/>
    </xf>
    <xf numFmtId="174" fontId="10" fillId="5" borderId="1" xfId="0" applyFont="true" applyBorder="true" applyAlignment="true" applyProtection="false">
      <alignment horizontal="right" vertical="center" textRotation="0" wrapText="false" indent="0" shrinkToFit="false"/>
      <protection locked="true" hidden="false"/>
    </xf>
    <xf numFmtId="173" fontId="10" fillId="5" borderId="1" xfId="0" applyFont="true" applyBorder="true" applyAlignment="true" applyProtection="false">
      <alignment horizontal="right" vertical="center" textRotation="0" wrapText="false" indent="0" shrinkToFit="false"/>
      <protection locked="true" hidden="false"/>
    </xf>
    <xf numFmtId="175" fontId="10" fillId="5" borderId="1" xfId="0" applyFont="true" applyBorder="true" applyAlignment="true" applyProtection="false">
      <alignment horizontal="right" vertical="center" textRotation="0" wrapText="false" indent="0" shrinkToFit="false"/>
      <protection locked="true" hidden="false"/>
    </xf>
    <xf numFmtId="165" fontId="10" fillId="5" borderId="1" xfId="0" applyFont="true" applyBorder="true" applyAlignment="true" applyProtection="false">
      <alignment horizontal="left" vertical="center" textRotation="0" wrapText="false" indent="0" shrinkToFit="false"/>
      <protection locked="true" hidden="false"/>
    </xf>
    <xf numFmtId="167" fontId="10" fillId="5" borderId="1" xfId="0" applyFont="true" applyBorder="true" applyAlignment="true" applyProtection="false">
      <alignment horizontal="center" vertical="center" textRotation="0" wrapText="false" indent="0" shrinkToFit="false"/>
      <protection locked="true" hidden="false"/>
    </xf>
    <xf numFmtId="170" fontId="10" fillId="5" borderId="1" xfId="0" applyFont="true" applyBorder="true" applyAlignment="true" applyProtection="false">
      <alignment horizontal="right" vertical="center" textRotation="0" wrapText="false" indent="0" shrinkToFit="false"/>
      <protection locked="true" hidden="false"/>
    </xf>
    <xf numFmtId="171" fontId="10" fillId="5" borderId="1" xfId="0" applyFont="true" applyBorder="true" applyAlignment="true" applyProtection="false">
      <alignment horizontal="general" vertical="center"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76" fontId="10" fillId="0" borderId="0" xfId="0" applyFont="true" applyBorder="false" applyAlignment="false" applyProtection="false">
      <alignment horizontal="general" vertical="bottom" textRotation="0" wrapText="false" indent="0" shrinkToFit="false"/>
      <protection locked="true" hidden="false"/>
    </xf>
    <xf numFmtId="173" fontId="10" fillId="0" borderId="0" xfId="0" applyFont="true" applyBorder="false" applyAlignment="false" applyProtection="false">
      <alignment horizontal="general" vertical="bottom" textRotation="0" wrapText="false" indent="0" shrinkToFit="false"/>
      <protection locked="true" hidden="false"/>
    </xf>
    <xf numFmtId="174" fontId="10" fillId="0" borderId="0" xfId="0" applyFont="true" applyBorder="false" applyAlignment="false" applyProtection="false">
      <alignment horizontal="general" vertical="bottom" textRotation="0" wrapText="false" indent="0" shrinkToFit="false"/>
      <protection locked="true" hidden="false"/>
    </xf>
    <xf numFmtId="175" fontId="1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77" fontId="19" fillId="4"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left" vertical="center" textRotation="0" wrapText="false" indent="0" shrinkToFit="false"/>
      <protection locked="true" hidden="false"/>
    </xf>
    <xf numFmtId="165" fontId="5" fillId="0" borderId="0"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41A3C"/>
          <bgColor rgb="FF000000"/>
        </patternFill>
      </fill>
    </dxf>
    <dxf>
      <fill>
        <patternFill patternType="solid">
          <fgColor rgb="FFE1E7F8"/>
          <bgColor rgb="FF000000"/>
        </patternFill>
      </fill>
    </dxf>
    <dxf>
      <fill>
        <patternFill patternType="solid">
          <fgColor rgb="FFFFFFFF"/>
          <bgColor rgb="FF000000"/>
        </patternFill>
      </fill>
    </dxf>
    <dxf>
      <fill>
        <patternFill patternType="solid">
          <fgColor rgb="FFDCEFE3"/>
          <bgColor rgb="FF000000"/>
        </patternFill>
      </fill>
    </dxf>
    <dxf>
      <fill>
        <patternFill patternType="solid">
          <fgColor rgb="FF17693A"/>
          <bgColor rgb="FF000000"/>
        </patternFill>
      </fill>
    </dxf>
    <dxf>
      <fill>
        <patternFill patternType="solid">
          <fgColor rgb="FFE9EBEF"/>
          <bgColor rgb="FF000000"/>
        </patternFill>
      </fill>
    </dxf>
    <dxf>
      <fill>
        <patternFill patternType="solid">
          <fgColor rgb="FFFBE3CE"/>
          <bgColor rgb="FF000000"/>
        </patternFill>
      </fill>
    </dxf>
    <dxf>
      <fill>
        <patternFill patternType="solid">
          <fgColor rgb="FF5B6379"/>
          <bgColor rgb="FF000000"/>
        </patternFill>
      </fill>
    </dxf>
    <dxf>
      <fill>
        <patternFill patternType="solid">
          <fgColor rgb="FF9C4A0A"/>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17693A"/>
      <rgbColor rgb="FF000080"/>
      <rgbColor rgb="FF808000"/>
      <rgbColor rgb="FF800080"/>
      <rgbColor rgb="FF008080"/>
      <rgbColor rgb="FFD9D9D9"/>
      <rgbColor rgb="FF878787"/>
      <rgbColor rgb="FF9999FF"/>
      <rgbColor rgb="FF993366"/>
      <rgbColor rgb="FFF1F4FC"/>
      <rgbColor rgb="FFE1E7F8"/>
      <rgbColor rgb="FF660066"/>
      <rgbColor rgb="FFFF8080"/>
      <rgbColor rgb="FF0066CC"/>
      <rgbColor rgb="FFC7CEE8"/>
      <rgbColor rgb="FF000080"/>
      <rgbColor rgb="FFFF00FF"/>
      <rgbColor rgb="FFFFFF00"/>
      <rgbColor rgb="FF00FFFF"/>
      <rgbColor rgb="FF800080"/>
      <rgbColor rgb="FF800000"/>
      <rgbColor rgb="FF008080"/>
      <rgbColor rgb="FF0000FF"/>
      <rgbColor rgb="FF00CCFF"/>
      <rgbColor rgb="FFE9EBEF"/>
      <rgbColor rgb="FFDCEFE3"/>
      <rgbColor rgb="FFFFFF99"/>
      <rgbColor rgb="FFAEBEF7"/>
      <rgbColor rgb="FFFF99CC"/>
      <rgbColor rgb="FFCC99FF"/>
      <rgbColor rgb="FFFBE3CE"/>
      <rgbColor rgb="FF3B5BE0"/>
      <rgbColor rgb="FF33CCCC"/>
      <rgbColor rgb="FF99CC00"/>
      <rgbColor rgb="FFFFCC00"/>
      <rgbColor rgb="FFFF9900"/>
      <rgbColor rgb="FFFF6600"/>
      <rgbColor rgb="FF5B6379"/>
      <rgbColor rgb="FF969696"/>
      <rgbColor rgb="FF003366"/>
      <rgbColor rgb="FF339966"/>
      <rgbColor rgb="FF003300"/>
      <rgbColor rgb="FF333300"/>
      <rgbColor rgb="FF9C4A0A"/>
      <rgbColor rgb="FF993366"/>
      <rgbColor rgb="FF333399"/>
      <rgbColor rgb="FF141A3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Campaign conversions — distribution across iterations</a:t>
            </a:r>
          </a:p>
        </c:rich>
      </c:tx>
      <c:overlay val="0"/>
      <c:spPr>
        <a:noFill/>
        <a:ln w="0">
          <a:noFill/>
        </a:ln>
      </c:spPr>
    </c:title>
    <c:autoTitleDeleted val="0"/>
    <c:plotArea>
      <c:barChart>
        <c:barDir val="col"/>
        <c:grouping val="clustered"/>
        <c:varyColors val="0"/>
        <c:ser>
          <c:idx val="0"/>
          <c:order val="0"/>
          <c:tx>
            <c:strRef>
              <c:f>'Performance Summary'!D112</c:f>
              <c:strCache>
                <c:ptCount val="1"/>
                <c:pt idx="0">
                  <c:v>Iterations</c:v>
                </c:pt>
              </c:strCache>
            </c:strRef>
          </c:tx>
          <c:spPr>
            <a:solidFill>
              <a:srgbClr val="3b5be0"/>
            </a:solidFill>
            <a:ln w="0">
              <a:solidFill>
                <a:srgbClr val="3b5be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'Performance Summary'!$C$113:$C$132</c:f>
              <c:strCache>
                <c:ptCount val="20"/>
                <c:pt idx="0">
                  <c:v>335</c:v>
                </c:pt>
                <c:pt idx="1">
                  <c:v>383</c:v>
                </c:pt>
                <c:pt idx="2">
                  <c:v>432</c:v>
                </c:pt>
                <c:pt idx="3">
                  <c:v>480</c:v>
                </c:pt>
                <c:pt idx="4">
                  <c:v>529</c:v>
                </c:pt>
                <c:pt idx="5">
                  <c:v>577</c:v>
                </c:pt>
                <c:pt idx="6">
                  <c:v>626</c:v>
                </c:pt>
                <c:pt idx="7">
                  <c:v>674</c:v>
                </c:pt>
                <c:pt idx="8">
                  <c:v>723</c:v>
                </c:pt>
                <c:pt idx="9">
                  <c:v>771</c:v>
                </c:pt>
                <c:pt idx="10">
                  <c:v>819</c:v>
                </c:pt>
                <c:pt idx="11">
                  <c:v>868</c:v>
                </c:pt>
                <c:pt idx="12">
                  <c:v>916</c:v>
                </c:pt>
                <c:pt idx="13">
                  <c:v>965</c:v>
                </c:pt>
                <c:pt idx="14">
                  <c:v>1,013</c:v>
                </c:pt>
                <c:pt idx="15">
                  <c:v>1,062</c:v>
                </c:pt>
                <c:pt idx="16">
                  <c:v>1,110</c:v>
                </c:pt>
                <c:pt idx="17">
                  <c:v>1,159</c:v>
                </c:pt>
                <c:pt idx="18">
                  <c:v>1,207</c:v>
                </c:pt>
                <c:pt idx="19">
                  <c:v>1,256</c:v>
                </c:pt>
              </c:strCache>
            </c:strRef>
          </c:cat>
          <c:val>
            <c:numRef>
              <c:f>'Performance Summary'!$D$113:$D$132</c:f>
              <c:numCache>
                <c:formatCode>#,##0;\(#,##0\);\-</c:formatCode>
                <c:ptCount val="20"/>
                <c:pt idx="0">
                  <c:v>2</c:v>
                </c:pt>
                <c:pt idx="1">
                  <c:v>15</c:v>
                </c:pt>
                <c:pt idx="2">
                  <c:v>20</c:v>
                </c:pt>
                <c:pt idx="3">
                  <c:v>41</c:v>
                </c:pt>
                <c:pt idx="4">
                  <c:v>45</c:v>
                </c:pt>
                <c:pt idx="5">
                  <c:v>55</c:v>
                </c:pt>
                <c:pt idx="6">
                  <c:v>73</c:v>
                </c:pt>
                <c:pt idx="7">
                  <c:v>67</c:v>
                </c:pt>
                <c:pt idx="8">
                  <c:v>58</c:v>
                </c:pt>
                <c:pt idx="9">
                  <c:v>42</c:v>
                </c:pt>
                <c:pt idx="10">
                  <c:v>25</c:v>
                </c:pt>
                <c:pt idx="11">
                  <c:v>15</c:v>
                </c:pt>
                <c:pt idx="12">
                  <c:v>11</c:v>
                </c:pt>
                <c:pt idx="13">
                  <c:v>9</c:v>
                </c:pt>
                <c:pt idx="14">
                  <c:v>9</c:v>
                </c:pt>
                <c:pt idx="15">
                  <c:v>6</c:v>
                </c:pt>
                <c:pt idx="16">
                  <c:v>2</c:v>
                </c:pt>
                <c:pt idx="17">
                  <c:v>2</c:v>
                </c:pt>
                <c:pt idx="18">
                  <c:v>2</c:v>
                </c:pt>
                <c:pt idx="19">
                  <c:v>1</c:v>
                </c:pt>
              </c:numCache>
            </c:numRef>
          </c:val>
        </c:ser>
        <c:gapWidth val="3"/>
        <c:overlap val="0"/>
        <c:axId val="81431822"/>
        <c:axId val="78245335"/>
      </c:barChart>
      <c:catAx>
        <c:axId val="8143182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Conversions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245335"/>
        <c:crosses val="autoZero"/>
        <c:auto val="1"/>
        <c:lblAlgn val="ctr"/>
        <c:lblOffset val="100"/>
        <c:noMultiLvlLbl val="0"/>
      </c:catAx>
      <c:valAx>
        <c:axId val="7824533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Iterations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43182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Campaign ROI — distribution across iterations</a:t>
            </a:r>
          </a:p>
        </c:rich>
      </c:tx>
      <c:overlay val="0"/>
      <c:spPr>
        <a:noFill/>
        <a:ln w="0">
          <a:noFill/>
        </a:ln>
      </c:spPr>
    </c:title>
    <c:autoTitleDeleted val="0"/>
    <c:plotArea>
      <c:barChart>
        <c:barDir val="col"/>
        <c:grouping val="clustered"/>
        <c:varyColors val="0"/>
        <c:ser>
          <c:idx val="0"/>
          <c:order val="0"/>
          <c:tx>
            <c:strRef>
              <c:f>'Performance Summary'!I112</c:f>
              <c:strCache>
                <c:ptCount val="1"/>
                <c:pt idx="0">
                  <c:v>Iterations</c:v>
                </c:pt>
              </c:strCache>
            </c:strRef>
          </c:tx>
          <c:spPr>
            <a:solidFill>
              <a:srgbClr val="141a3c"/>
            </a:solidFill>
            <a:ln w="0">
              <a:solidFill>
                <a:srgbClr val="141a3c"/>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'Performance Summary'!$H$113:$H$132</c:f>
              <c:strCache>
                <c:ptCount val="20"/>
                <c:pt idx="0">
                  <c:v>0.76</c:v>
                </c:pt>
                <c:pt idx="1">
                  <c:v>0.82</c:v>
                </c:pt>
                <c:pt idx="2">
                  <c:v>0.89</c:v>
                </c:pt>
                <c:pt idx="3">
                  <c:v>0.95</c:v>
                </c:pt>
                <c:pt idx="4">
                  <c:v>1.02</c:v>
                </c:pt>
                <c:pt idx="5">
                  <c:v>1.09</c:v>
                </c:pt>
                <c:pt idx="6">
                  <c:v>1.15</c:v>
                </c:pt>
                <c:pt idx="7">
                  <c:v>1.22</c:v>
                </c:pt>
                <c:pt idx="8">
                  <c:v>1.28</c:v>
                </c:pt>
                <c:pt idx="9">
                  <c:v>1.35</c:v>
                </c:pt>
                <c:pt idx="10">
                  <c:v>1.41</c:v>
                </c:pt>
                <c:pt idx="11">
                  <c:v>1.48</c:v>
                </c:pt>
                <c:pt idx="12">
                  <c:v>1.55</c:v>
                </c:pt>
                <c:pt idx="13">
                  <c:v>1.61</c:v>
                </c:pt>
                <c:pt idx="14">
                  <c:v>1.68</c:v>
                </c:pt>
                <c:pt idx="15">
                  <c:v>1.74</c:v>
                </c:pt>
                <c:pt idx="16">
                  <c:v>1.81</c:v>
                </c:pt>
                <c:pt idx="17">
                  <c:v>1.87</c:v>
                </c:pt>
                <c:pt idx="18">
                  <c:v>1.94</c:v>
                </c:pt>
                <c:pt idx="19">
                  <c:v>2.01</c:v>
                </c:pt>
              </c:strCache>
            </c:strRef>
          </c:cat>
          <c:val>
            <c:numRef>
              <c:f>'Performance Summary'!$I$113:$I$132</c:f>
              <c:numCache>
                <c:formatCode>#,##0;\(#,##0\);\-</c:formatCode>
                <c:ptCount val="20"/>
                <c:pt idx="0">
                  <c:v>7</c:v>
                </c:pt>
                <c:pt idx="1">
                  <c:v>14</c:v>
                </c:pt>
                <c:pt idx="2">
                  <c:v>31</c:v>
                </c:pt>
                <c:pt idx="3">
                  <c:v>42</c:v>
                </c:pt>
                <c:pt idx="4">
                  <c:v>53</c:v>
                </c:pt>
                <c:pt idx="5">
                  <c:v>47</c:v>
                </c:pt>
                <c:pt idx="6">
                  <c:v>53</c:v>
                </c:pt>
                <c:pt idx="7">
                  <c:v>71</c:v>
                </c:pt>
                <c:pt idx="8">
                  <c:v>59</c:v>
                </c:pt>
                <c:pt idx="9">
                  <c:v>36</c:v>
                </c:pt>
                <c:pt idx="10">
                  <c:v>21</c:v>
                </c:pt>
                <c:pt idx="11">
                  <c:v>18</c:v>
                </c:pt>
                <c:pt idx="12">
                  <c:v>12</c:v>
                </c:pt>
                <c:pt idx="13">
                  <c:v>12</c:v>
                </c:pt>
                <c:pt idx="14">
                  <c:v>5</c:v>
                </c:pt>
                <c:pt idx="15">
                  <c:v>6</c:v>
                </c:pt>
                <c:pt idx="16">
                  <c:v>5</c:v>
                </c:pt>
                <c:pt idx="17">
                  <c:v>1</c:v>
                </c:pt>
                <c:pt idx="18">
                  <c:v>2</c:v>
                </c:pt>
                <c:pt idx="19">
                  <c:v>5</c:v>
                </c:pt>
              </c:numCache>
            </c:numRef>
          </c:val>
        </c:ser>
        <c:gapWidth val="3"/>
        <c:overlap val="0"/>
        <c:axId val="7562658"/>
        <c:axId val="94487810"/>
      </c:barChart>
      <c:catAx>
        <c:axId val="756265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ROI (x)</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487810"/>
        <c:crosses val="autoZero"/>
        <c:auto val="1"/>
        <c:lblAlgn val="ctr"/>
        <c:lblOffset val="100"/>
        <c:noMultiLvlLbl val="0"/>
      </c:catAx>
      <c:valAx>
        <c:axId val="9448781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Iterations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56265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Median conversions by Activation</a:t>
            </a:r>
          </a:p>
        </c:rich>
      </c:tx>
      <c:overlay val="0"/>
      <c:spPr>
        <a:noFill/>
        <a:ln w="0">
          <a:noFill/>
        </a:ln>
      </c:spPr>
    </c:title>
    <c:autoTitleDeleted val="0"/>
    <c:plotArea>
      <c:barChart>
        <c:barDir val="bar"/>
        <c:grouping val="clustered"/>
        <c:varyColors val="0"/>
        <c:ser>
          <c:idx val="0"/>
          <c:order val="0"/>
          <c:tx>
            <c:strRef>
              <c:f>'Performance Summary'!I35</c:f>
              <c:strCache>
                <c:ptCount val="1"/>
                <c:pt idx="0">
                  <c:v>Conversions — median</c:v>
                </c:pt>
              </c:strCache>
            </c:strRef>
          </c:tx>
          <c:spPr>
            <a:solidFill>
              <a:srgbClr val="3b5be0"/>
            </a:solidFill>
            <a:ln w="0">
              <a:solidFill>
                <a:srgbClr val="3b5be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'Performance Summary'!$A$36:$A$43</c:f>
              <c:strCache>
                <c:ptCount val="8"/>
                <c:pt idx="0">
                  <c:v>finanzen.net — Q1 Awareness Burst</c:v>
                </c:pt>
                <c:pt idx="1">
                  <c:v>Handelsblatt — Native Explainer</c:v>
                </c:pt>
                <c:pt idx="2">
                  <c:v>extraETF — Newsletter Takeover</c:v>
                </c:pt>
                <c:pt idx="3">
                  <c:v>YouTube — Finfluencer Pre-roll</c:v>
                </c:pt>
                <c:pt idx="4">
                  <c:v>Trade Republic — In-App Display</c:v>
                </c:pt>
                <c:pt idx="5">
                  <c:v>Trade Republic — Savings Plan Push</c:v>
                </c:pt>
                <c:pt idx="6">
                  <c:v>Meta — Lookalike Feed Video</c:v>
                </c:pt>
                <c:pt idx="7">
                  <c:v>justETF — Sponsored Listing</c:v>
                </c:pt>
              </c:strCache>
            </c:strRef>
          </c:cat>
          <c:val>
            <c:numRef>
              <c:f>'Performance Summary'!$I$36:$I$43</c:f>
              <c:numCache>
                <c:formatCode>#,##0;\(#,##0\);\-</c:formatCode>
                <c:ptCount val="8"/>
                <c:pt idx="0">
                  <c:v>19.5181760962712</c:v>
                </c:pt>
                <c:pt idx="1">
                  <c:v>26.7808338537635</c:v>
                </c:pt>
                <c:pt idx="2">
                  <c:v>42.8959936526007</c:v>
                </c:pt>
                <c:pt idx="3">
                  <c:v>52.2109627760648</c:v>
                </c:pt>
                <c:pt idx="4">
                  <c:v>158.180735076746</c:v>
                </c:pt>
                <c:pt idx="5">
                  <c:v>208.361208705335</c:v>
                </c:pt>
                <c:pt idx="6">
                  <c:v>67.8904771001499</c:v>
                </c:pt>
                <c:pt idx="7">
                  <c:v>38.8987772626738</c:v>
                </c:pt>
              </c:numCache>
            </c:numRef>
          </c:val>
        </c:ser>
        <c:gapWidth val="60"/>
        <c:overlap val="0"/>
        <c:axId val="60638723"/>
        <c:axId val="34350069"/>
      </c:barChart>
      <c:catAx>
        <c:axId val="6063872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350069"/>
        <c:crosses val="autoZero"/>
        <c:auto val="1"/>
        <c:lblAlgn val="ctr"/>
        <c:lblOffset val="100"/>
        <c:noMultiLvlLbl val="0"/>
      </c:catAx>
      <c:valAx>
        <c:axId val="34350069"/>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Conversions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63872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Median cost vs median LTV value by Activation</a:t>
            </a:r>
          </a:p>
        </c:rich>
      </c:tx>
      <c:overlay val="0"/>
      <c:spPr>
        <a:noFill/>
        <a:ln w="0">
          <a:noFill/>
        </a:ln>
      </c:spPr>
    </c:title>
    <c:autoTitleDeleted val="0"/>
    <c:plotArea>
      <c:barChart>
        <c:barDir val="bar"/>
        <c:grouping val="clustered"/>
        <c:varyColors val="0"/>
        <c:ser>
          <c:idx val="0"/>
          <c:order val="0"/>
          <c:tx>
            <c:strRef>
              <c:f>'Performance Summary'!M35</c:f>
              <c:strCache>
                <c:ptCount val="1"/>
                <c:pt idx="0">
                  <c:v>LTV value — median</c:v>
                </c:pt>
              </c:strCache>
            </c:strRef>
          </c:tx>
          <c:spPr>
            <a:solidFill>
              <a:srgbClr val="3b5be0"/>
            </a:solidFill>
            <a:ln w="0">
              <a:solidFill>
                <a:srgbClr val="3b5be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'Performance Summary'!$A$36:$A$43</c:f>
              <c:strCache>
                <c:ptCount val="8"/>
                <c:pt idx="0">
                  <c:v>finanzen.net — Q1 Awareness Burst</c:v>
                </c:pt>
                <c:pt idx="1">
                  <c:v>Handelsblatt — Native Explainer</c:v>
                </c:pt>
                <c:pt idx="2">
                  <c:v>extraETF — Newsletter Takeover</c:v>
                </c:pt>
                <c:pt idx="3">
                  <c:v>YouTube — Finfluencer Pre-roll</c:v>
                </c:pt>
                <c:pt idx="4">
                  <c:v>Trade Republic — In-App Display</c:v>
                </c:pt>
                <c:pt idx="5">
                  <c:v>Trade Republic — Savings Plan Push</c:v>
                </c:pt>
                <c:pt idx="6">
                  <c:v>Meta — Lookalike Feed Video</c:v>
                </c:pt>
                <c:pt idx="7">
                  <c:v>justETF — Sponsored Listing</c:v>
                </c:pt>
              </c:strCache>
            </c:strRef>
          </c:cat>
          <c:val>
            <c:numRef>
              <c:f>'Performance Summary'!$M$36:$M$43</c:f>
              <c:numCache>
                <c:formatCode>\€#,##0;"(€"#,##0\);\-</c:formatCode>
                <c:ptCount val="8"/>
                <c:pt idx="0">
                  <c:v>3732.85117841187</c:v>
                </c:pt>
                <c:pt idx="1">
                  <c:v>5121.83447453227</c:v>
                </c:pt>
                <c:pt idx="2">
                  <c:v>6810.16795228688</c:v>
                </c:pt>
                <c:pt idx="3">
                  <c:v>8289.01245032804</c:v>
                </c:pt>
                <c:pt idx="4">
                  <c:v>17937.695357703</c:v>
                </c:pt>
                <c:pt idx="5">
                  <c:v>23628.161067185</c:v>
                </c:pt>
                <c:pt idx="6">
                  <c:v>10778.2921444198</c:v>
                </c:pt>
                <c:pt idx="7">
                  <c:v>7439.39115148636</c:v>
                </c:pt>
              </c:numCache>
            </c:numRef>
          </c:val>
        </c:ser>
        <c:ser>
          <c:idx val="1"/>
          <c:order val="1"/>
          <c:tx>
            <c:strRef>
              <c:f>'Performance Summary'!N35</c:f>
              <c:strCache>
                <c:ptCount val="1"/>
                <c:pt idx="0">
                  <c:v>Cost — median</c:v>
                </c:pt>
              </c:strCache>
            </c:strRef>
          </c:tx>
          <c:spPr>
            <a:solidFill>
              <a:srgbClr val="aebef7"/>
            </a:solidFill>
            <a:ln w="0">
              <a:solidFill>
                <a:srgbClr val="aebef7"/>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'Performance Summary'!$A$36:$A$43</c:f>
              <c:strCache>
                <c:ptCount val="8"/>
                <c:pt idx="0">
                  <c:v>finanzen.net — Q1 Awareness Burst</c:v>
                </c:pt>
                <c:pt idx="1">
                  <c:v>Handelsblatt — Native Explainer</c:v>
                </c:pt>
                <c:pt idx="2">
                  <c:v>extraETF — Newsletter Takeover</c:v>
                </c:pt>
                <c:pt idx="3">
                  <c:v>YouTube — Finfluencer Pre-roll</c:v>
                </c:pt>
                <c:pt idx="4">
                  <c:v>Trade Republic — In-App Display</c:v>
                </c:pt>
                <c:pt idx="5">
                  <c:v>Trade Republic — Savings Plan Push</c:v>
                </c:pt>
                <c:pt idx="6">
                  <c:v>Meta — Lookalike Feed Video</c:v>
                </c:pt>
                <c:pt idx="7">
                  <c:v>justETF — Sponsored Listing</c:v>
                </c:pt>
              </c:strCache>
            </c:strRef>
          </c:cat>
          <c:val>
            <c:numRef>
              <c:f>'Performance Summary'!$N$36:$N$43</c:f>
              <c:numCache>
                <c:formatCode>\€#,##0;"(€"#,##0\);\-</c:formatCode>
                <c:ptCount val="8"/>
                <c:pt idx="0">
                  <c:v>2947.9905</c:v>
                </c:pt>
                <c:pt idx="1">
                  <c:v>6500</c:v>
                </c:pt>
                <c:pt idx="2">
                  <c:v>6900</c:v>
                </c:pt>
                <c:pt idx="3">
                  <c:v>5252.216571</c:v>
                </c:pt>
                <c:pt idx="4">
                  <c:v>13719.9</c:v>
                </c:pt>
                <c:pt idx="5">
                  <c:v>25000</c:v>
                </c:pt>
                <c:pt idx="6">
                  <c:v>5541.675</c:v>
                </c:pt>
                <c:pt idx="7">
                  <c:v>8672.8</c:v>
                </c:pt>
              </c:numCache>
            </c:numRef>
          </c:val>
        </c:ser>
        <c:gapWidth val="60"/>
        <c:overlap val="-10"/>
        <c:axId val="47790588"/>
        <c:axId val="67133906"/>
      </c:barChart>
      <c:catAx>
        <c:axId val="4779058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133906"/>
        <c:crosses val="autoZero"/>
        <c:auto val="1"/>
        <c:lblAlgn val="ctr"/>
        <c:lblOffset val="100"/>
        <c:noMultiLvlLbl val="0"/>
      </c:catAx>
      <c:valAx>
        <c:axId val="67133906"/>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Target currency</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79058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Median conversions by Product</a:t>
            </a:r>
          </a:p>
        </c:rich>
      </c:tx>
      <c:overlay val="0"/>
      <c:spPr>
        <a:noFill/>
        <a:ln w="0">
          <a:noFill/>
        </a:ln>
      </c:spPr>
    </c:title>
    <c:autoTitleDeleted val="0"/>
    <c:plotArea>
      <c:barChart>
        <c:barDir val="bar"/>
        <c:grouping val="clustered"/>
        <c:varyColors val="0"/>
        <c:ser>
          <c:idx val="0"/>
          <c:order val="0"/>
          <c:tx>
            <c:strRef>
              <c:f>'Performance Summary'!F28</c:f>
              <c:strCache>
                <c:ptCount val="1"/>
                <c:pt idx="0">
                  <c:v>Conversions — median</c:v>
                </c:pt>
              </c:strCache>
            </c:strRef>
          </c:tx>
          <c:spPr>
            <a:solidFill>
              <a:srgbClr val="3b5be0"/>
            </a:solidFill>
            <a:ln w="0">
              <a:solidFill>
                <a:srgbClr val="3b5be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'Performance Summary'!$A$29:$A$31</c:f>
              <c:strCache>
                <c:ptCount val="3"/>
                <c:pt idx="0">
                  <c:v>Ultramarin Europe AI UCITS ETF (EUAI)</c:v>
                </c:pt>
                <c:pt idx="1">
                  <c:v>Ultramarin US Innovation UCITS ETF (USIQ)</c:v>
                </c:pt>
                <c:pt idx="2">
                  <c:v>EUAI Savings Plan (monthly)</c:v>
                </c:pt>
              </c:strCache>
            </c:strRef>
          </c:cat>
          <c:val>
            <c:numRef>
              <c:f>'Performance Summary'!$F$29:$F$31</c:f>
              <c:numCache>
                <c:formatCode>#,##0;\(#,##0\);\-</c:formatCode>
                <c:ptCount val="3"/>
                <c:pt idx="0">
                  <c:v>90.825757693765</c:v>
                </c:pt>
                <c:pt idx="1">
                  <c:v>170.31681704414</c:v>
                </c:pt>
                <c:pt idx="2">
                  <c:v>403.923432552116</c:v>
                </c:pt>
              </c:numCache>
            </c:numRef>
          </c:val>
        </c:ser>
        <c:gapWidth val="60"/>
        <c:overlap val="0"/>
        <c:axId val="96079124"/>
        <c:axId val="41884174"/>
      </c:barChart>
      <c:catAx>
        <c:axId val="9607912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884174"/>
        <c:crosses val="autoZero"/>
        <c:auto val="1"/>
        <c:lblAlgn val="ctr"/>
        <c:lblOffset val="100"/>
        <c:noMultiLvlLbl val="0"/>
      </c:catAx>
      <c:valAx>
        <c:axId val="41884174"/>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Conversions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07912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Median cost vs median LTV value by Product</a:t>
            </a:r>
          </a:p>
        </c:rich>
      </c:tx>
      <c:overlay val="0"/>
      <c:spPr>
        <a:noFill/>
        <a:ln w="0">
          <a:noFill/>
        </a:ln>
      </c:spPr>
    </c:title>
    <c:autoTitleDeleted val="0"/>
    <c:plotArea>
      <c:barChart>
        <c:barDir val="bar"/>
        <c:grouping val="clustered"/>
        <c:varyColors val="0"/>
        <c:ser>
          <c:idx val="0"/>
          <c:order val="0"/>
          <c:tx>
            <c:strRef>
              <c:f>'Performance Summary'!I28</c:f>
              <c:strCache>
                <c:ptCount val="1"/>
                <c:pt idx="0">
                  <c:v>LTV value — median</c:v>
                </c:pt>
              </c:strCache>
            </c:strRef>
          </c:tx>
          <c:spPr>
            <a:solidFill>
              <a:srgbClr val="3b5be0"/>
            </a:solidFill>
            <a:ln w="0">
              <a:solidFill>
                <a:srgbClr val="3b5be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'Performance Summary'!$A$29:$A$31</c:f>
              <c:strCache>
                <c:ptCount val="3"/>
                <c:pt idx="0">
                  <c:v>Ultramarin Europe AI UCITS ETF (EUAI)</c:v>
                </c:pt>
                <c:pt idx="1">
                  <c:v>Ultramarin US Innovation UCITS ETF (USIQ)</c:v>
                </c:pt>
                <c:pt idx="2">
                  <c:v>EUAI Savings Plan (monthly)</c:v>
                </c:pt>
              </c:strCache>
            </c:strRef>
          </c:cat>
          <c:val>
            <c:numRef>
              <c:f>'Performance Summary'!$I$29:$I$31</c:f>
              <c:numCache>
                <c:formatCode>\€#,##0;"(€"#,##0\);\-</c:formatCode>
                <c:ptCount val="3"/>
                <c:pt idx="0">
                  <c:v>17370.4261589326</c:v>
                </c:pt>
                <c:pt idx="1">
                  <c:v>27039.4978739277</c:v>
                </c:pt>
                <c:pt idx="2">
                  <c:v>45804.9172514099</c:v>
                </c:pt>
              </c:numCache>
            </c:numRef>
          </c:val>
        </c:ser>
        <c:ser>
          <c:idx val="1"/>
          <c:order val="1"/>
          <c:tx>
            <c:strRef>
              <c:f>'Performance Summary'!J28</c:f>
              <c:strCache>
                <c:ptCount val="1"/>
                <c:pt idx="0">
                  <c:v>Cost — median</c:v>
                </c:pt>
              </c:strCache>
            </c:strRef>
          </c:tx>
          <c:spPr>
            <a:solidFill>
              <a:srgbClr val="aebef7"/>
            </a:solidFill>
            <a:ln w="0">
              <a:solidFill>
                <a:srgbClr val="aebef7"/>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'Performance Summary'!$A$29:$A$31</c:f>
              <c:strCache>
                <c:ptCount val="3"/>
                <c:pt idx="0">
                  <c:v>Ultramarin Europe AI UCITS ETF (EUAI)</c:v>
                </c:pt>
                <c:pt idx="1">
                  <c:v>Ultramarin US Innovation UCITS ETF (USIQ)</c:v>
                </c:pt>
                <c:pt idx="2">
                  <c:v>EUAI Savings Plan (monthly)</c:v>
                </c:pt>
              </c:strCache>
            </c:strRef>
          </c:cat>
          <c:val>
            <c:numRef>
              <c:f>'Performance Summary'!$J$29:$J$31</c:f>
              <c:numCache>
                <c:formatCode>\€#,##0;"(€"#,##0\);\-</c:formatCode>
                <c:ptCount val="3"/>
                <c:pt idx="0">
                  <c:v>18120.7905</c:v>
                </c:pt>
                <c:pt idx="1">
                  <c:v>17936.238531</c:v>
                </c:pt>
                <c:pt idx="2">
                  <c:v>38719.9</c:v>
                </c:pt>
              </c:numCache>
            </c:numRef>
          </c:val>
        </c:ser>
        <c:gapWidth val="60"/>
        <c:overlap val="-10"/>
        <c:axId val="4103880"/>
        <c:axId val="95928643"/>
      </c:barChart>
      <c:catAx>
        <c:axId val="410388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5928643"/>
        <c:crosses val="autoZero"/>
        <c:auto val="1"/>
        <c:lblAlgn val="ctr"/>
        <c:lblOffset val="100"/>
        <c:noMultiLvlLbl val="0"/>
      </c:catAx>
      <c:valAx>
        <c:axId val="95928643"/>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Target currency</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0388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45</xdr:row>
      <xdr:rowOff>0</xdr:rowOff>
    </xdr:from>
    <xdr:to>
      <xdr:col>2</xdr:col>
      <xdr:colOff>2070360</xdr:colOff>
      <xdr:row>62</xdr:row>
      <xdr:rowOff>181080</xdr:rowOff>
    </xdr:to>
    <xdr:graphicFrame>
      <xdr:nvGraphicFramePr>
        <xdr:cNvPr id="0" name="Chart 1"/>
        <xdr:cNvGraphicFramePr/>
      </xdr:nvGraphicFramePr>
      <xdr:xfrm>
        <a:off x="0" y="9448920"/>
        <a:ext cx="6299640" cy="34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45</xdr:row>
      <xdr:rowOff>0</xdr:rowOff>
    </xdr:from>
    <xdr:to>
      <xdr:col>11</xdr:col>
      <xdr:colOff>1224720</xdr:colOff>
      <xdr:row>62</xdr:row>
      <xdr:rowOff>181080</xdr:rowOff>
    </xdr:to>
    <xdr:graphicFrame>
      <xdr:nvGraphicFramePr>
        <xdr:cNvPr id="1" name="Chart 2"/>
        <xdr:cNvGraphicFramePr/>
      </xdr:nvGraphicFramePr>
      <xdr:xfrm>
        <a:off x="12828240" y="9448920"/>
        <a:ext cx="6299640" cy="34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66</xdr:row>
      <xdr:rowOff>0</xdr:rowOff>
    </xdr:from>
    <xdr:to>
      <xdr:col>2</xdr:col>
      <xdr:colOff>2070360</xdr:colOff>
      <xdr:row>83</xdr:row>
      <xdr:rowOff>181080</xdr:rowOff>
    </xdr:to>
    <xdr:graphicFrame>
      <xdr:nvGraphicFramePr>
        <xdr:cNvPr id="2" name="Chart 3"/>
        <xdr:cNvGraphicFramePr/>
      </xdr:nvGraphicFramePr>
      <xdr:xfrm>
        <a:off x="0" y="13449240"/>
        <a:ext cx="6299640" cy="341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66</xdr:row>
      <xdr:rowOff>0</xdr:rowOff>
    </xdr:from>
    <xdr:to>
      <xdr:col>11</xdr:col>
      <xdr:colOff>1224720</xdr:colOff>
      <xdr:row>83</xdr:row>
      <xdr:rowOff>181080</xdr:rowOff>
    </xdr:to>
    <xdr:graphicFrame>
      <xdr:nvGraphicFramePr>
        <xdr:cNvPr id="3" name="Chart 4"/>
        <xdr:cNvGraphicFramePr/>
      </xdr:nvGraphicFramePr>
      <xdr:xfrm>
        <a:off x="12828240" y="13449240"/>
        <a:ext cx="6299640" cy="341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87</xdr:row>
      <xdr:rowOff>0</xdr:rowOff>
    </xdr:from>
    <xdr:to>
      <xdr:col>2</xdr:col>
      <xdr:colOff>2070360</xdr:colOff>
      <xdr:row>104</xdr:row>
      <xdr:rowOff>181080</xdr:rowOff>
    </xdr:to>
    <xdr:graphicFrame>
      <xdr:nvGraphicFramePr>
        <xdr:cNvPr id="4" name="Chart 5"/>
        <xdr:cNvGraphicFramePr/>
      </xdr:nvGraphicFramePr>
      <xdr:xfrm>
        <a:off x="0" y="17449920"/>
        <a:ext cx="6299640" cy="341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0</xdr:colOff>
      <xdr:row>87</xdr:row>
      <xdr:rowOff>0</xdr:rowOff>
    </xdr:from>
    <xdr:to>
      <xdr:col>11</xdr:col>
      <xdr:colOff>1224720</xdr:colOff>
      <xdr:row>104</xdr:row>
      <xdr:rowOff>181080</xdr:rowOff>
    </xdr:to>
    <xdr:graphicFrame>
      <xdr:nvGraphicFramePr>
        <xdr:cNvPr id="5" name="Chart 6"/>
        <xdr:cNvGraphicFramePr/>
      </xdr:nvGraphicFramePr>
      <xdr:xfrm>
        <a:off x="12828240" y="17449920"/>
        <a:ext cx="6299640" cy="341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ables/table1.xml><?xml version="1.0" encoding="utf-8"?>
<table xmlns="http://schemas.openxmlformats.org/spreadsheetml/2006/main" id="1" name="ActivationDetail" displayName="ActivationDetail" ref="A3:M4003" headerRowCount="1" totalsRowCount="0" totalsRowShown="0">
  <autoFilter ref="A3:M4003"/>
  <tableColumns count="13">
    <tableColumn id="1" name="Iteration"/>
    <tableColumn id="2" name="Activation"/>
    <tableColumn id="3" name="Impressions"/>
    <tableColumn id="4" name="View rate"/>
    <tableColumn id="5" name="Views"/>
    <tableColumn id="6" name="CTR"/>
    <tableColumn id="7" name="Clicks"/>
    <tableColumn id="8" name="Conversions"/>
    <tableColumn id="9" name="Cost"/>
    <tableColumn id="10" name="Flows"/>
    <tableColumn id="11" name="LTV value"/>
    <tableColumn id="12" name="ROI"/>
    <tableColumn id="13" name="Cost per conversion"/>
  </tableColumns>
</table>
</file>

<file path=xl/tables/table2.xml><?xml version="1.0" encoding="utf-8"?>
<table xmlns="http://schemas.openxmlformats.org/spreadsheetml/2006/main" id="2" name="ActivationPerformance" displayName="ActivationPerformance" ref="A35:P43" headerRowCount="1" totalsRowCount="0" totalsRowShown="0">
  <autoFilter ref="A35:P43"/>
  <tableColumns count="16">
    <tableColumn id="1" name="Activation name"/>
    <tableColumn id="2" name="Source"/>
    <tableColumn id="3" name="Inventory"/>
    <tableColumn id="4" name="Product"/>
    <tableColumn id="5" name="Estimation method"/>
    <tableColumn id="6" name="Expected impressions"/>
    <tableColumn id="7" name="Expected view rate %"/>
    <tableColumn id="8" name="Expected CTR %"/>
    <tableColumn id="9" name="Conversions — median"/>
    <tableColumn id="10" name="Conversions — Q1"/>
    <tableColumn id="11" name="Conversions — Q3"/>
    <tableColumn id="12" name="Flows — median"/>
    <tableColumn id="13" name="LTV value — median"/>
    <tableColumn id="14" name="Cost — median"/>
    <tableColumn id="15" name="ROI — median"/>
    <tableColumn id="16" name="Cost per conversion — median"/>
  </tableColumns>
</table>
</file>

<file path=xl/tables/table3.xml><?xml version="1.0" encoding="utf-8"?>
<table xmlns="http://schemas.openxmlformats.org/spreadsheetml/2006/main" id="3" name="Activations" displayName="Activations" ref="A27:Y35" headerRowCount="1" totalsRowCount="0" totalsRowShown="0">
  <autoFilter ref="A27:Y35"/>
  <tableColumns count="25">
    <tableColumn id="1" name="Activation ID"/>
    <tableColumn id="2" name="Activation name"/>
    <tableColumn id="3" name="Source"/>
    <tableColumn id="4" name="Inventory ID"/>
    <tableColumn id="5" name="Inventory name"/>
    <tableColumn id="6" name="Format"/>
    <tableColumn id="7" name="Status"/>
    <tableColumn id="8" name="Pricing model"/>
    <tableColumn id="9" name="Cost"/>
    <tableColumn id="10" name="Cost currency"/>
    <tableColumn id="11" name="FX rate to target currency"/>
    <tableColumn id="12" name="Selected Product"/>
    <tableColumn id="13" name="Product name"/>
    <tableColumn id="14" name="Conversion / impression %"/>
    <tableColumn id="15" name="Conversion / view %"/>
    <tableColumn id="16" name="Conversion / click %"/>
    <tableColumn id="17" name="Conversion Sigma %"/>
    <tableColumn id="18" name="Estimation method"/>
    <tableColumn id="19" name="Expected impressions"/>
    <tableColumn id="20" name="Impressions Sigma %"/>
    <tableColumn id="21" name="Expected view rate %"/>
    <tableColumn id="22" name="View rate Sigma %"/>
    <tableColumn id="23" name="Expected CTR %"/>
    <tableColumn id="24" name="CTR Sigma %"/>
    <tableColumn id="25" name="Notes"/>
  </tableColumns>
</table>
</file>

<file path=xl/tables/table4.xml><?xml version="1.0" encoding="utf-8"?>
<table xmlns="http://schemas.openxmlformats.org/spreadsheetml/2006/main" id="4" name="FXRates" displayName="FXRates" ref="A46:G50" headerRowCount="1" totalsRowCount="0" totalsRowShown="0">
  <autoFilter ref="A46:G50"/>
  <tableColumns count="7">
    <tableColumn id="1" name="Source currency"/>
    <tableColumn id="2" name="Target currency"/>
    <tableColumn id="3" name="FX rate"/>
    <tableColumn id="4" name="Rate source"/>
    <tableColumn id="5" name="Rate date"/>
    <tableColumn id="6" name="Manual override flag"/>
    <tableColumn id="7" name="Notes"/>
  </tableColumns>
</table>
</file>

<file path=xl/tables/table5.xml><?xml version="1.0" encoding="utf-8"?>
<table xmlns="http://schemas.openxmlformats.org/spreadsheetml/2006/main" id="5" name="InventoryEstimates" displayName="InventoryEstimates" ref="A16:AA23" headerRowCount="1" totalsRowCount="0" totalsRowShown="0">
  <autoFilter ref="A16:AA23"/>
  <tableColumns count="27">
    <tableColumn id="1" name="Inventory ID"/>
    <tableColumn id="2" name="Inventory name"/>
    <tableColumn id="3" name="Estimation method"/>
    <tableColumn id="4" name="Historical activation count"/>
    <tableColumn id="5" name="Hist. activations with impressions"/>
    <tableColumn id="6" name="Hist. activations with video views"/>
    <tableColumn id="7" name="Hist. activations with clicks"/>
    <tableColumn id="8" name="Hist. median impressions"/>
    <tableColumn id="9" name="Hist. total impressions"/>
    <tableColumn id="10" name="Hist. total video views"/>
    <tableColumn id="11" name="Hist. total clicks"/>
    <tableColumn id="12" name="Hist. view rate %"/>
    <tableColumn id="13" name="Hist. CTR %"/>
    <tableColumn id="14" name="Fallback impressions"/>
    <tableColumn id="15" name="Fallback view rate %"/>
    <tableColumn id="16" name="Fallback CTR %"/>
    <tableColumn id="17" name="Impressions Sigma %"/>
    <tableColumn id="18" name="View rate Sigma %"/>
    <tableColumn id="19" name="CTR Sigma %"/>
    <tableColumn id="20" name="Weight — impressions"/>
    <tableColumn id="21" name="Weight — view rate"/>
    <tableColumn id="22" name="Weight — CTR"/>
    <tableColumn id="23" name="Expected impressions (used)"/>
    <tableColumn id="24" name="Expected view rate % (used)"/>
    <tableColumn id="25" name="Expected CTR % (used)"/>
    <tableColumn id="26" name="Basis"/>
    <tableColumn id="27" name="Notes"/>
  </tableColumns>
</table>
</file>

<file path=xl/tables/table6.xml><?xml version="1.0" encoding="utf-8"?>
<table xmlns="http://schemas.openxmlformats.org/spreadsheetml/2006/main" id="6" name="ProductPerformance" displayName="ProductPerformance" ref="A28:N31" headerRowCount="1" totalsRowCount="0" totalsRowShown="0">
  <autoFilter ref="A28:N31"/>
  <tableColumns count="14">
    <tableColumn id="1" name="Product name"/>
    <tableColumn id="2" name="Product ID"/>
    <tableColumn id="3" name="Activations"/>
    <tableColumn id="4" name="Derived LTV (target currency)"/>
    <tableColumn id="5" name="Conversions — Q1"/>
    <tableColumn id="6" name="Conversions — median"/>
    <tableColumn id="7" name="Conversions — Q3"/>
    <tableColumn id="8" name="Flows — median"/>
    <tableColumn id="9" name="LTV value — median"/>
    <tableColumn id="10" name="Cost — median"/>
    <tableColumn id="11" name="ROI — Q1"/>
    <tableColumn id="12" name="ROI — median"/>
    <tableColumn id="13" name="ROI — Q3"/>
    <tableColumn id="14" name="Cost per conversion — median"/>
  </tableColumns>
</table>
</file>

<file path=xl/tables/table7.xml><?xml version="1.0" encoding="utf-8"?>
<table xmlns="http://schemas.openxmlformats.org/spreadsheetml/2006/main" id="7" name="Products" displayName="Products" ref="A39:I42" headerRowCount="1" totalsRowCount="0" totalsRowShown="0">
  <autoFilter ref="A39:I42"/>
  <tableColumns count="9">
    <tableColumn id="1" name="Product ID"/>
    <tableColumn id="2" name="Product name"/>
    <tableColumn id="3" name="Product currency"/>
    <tableColumn id="4" name="Average purchase amount"/>
    <tableColumn id="5" name="Gross margin % of assets"/>
    <tableColumn id="6" name="Expected holding period (years)"/>
    <tableColumn id="7" name="Derived LTV"/>
    <tableColumn id="8" name="FX rate to target currency"/>
    <tableColumn id="9" name="Notes"/>
  </tableColumns>
</table>
</file>

<file path=xl/tables/table8.xml><?xml version="1.0" encoding="utf-8"?>
<table xmlns="http://schemas.openxmlformats.org/spreadsheetml/2006/main" id="8" name="SimulationDetail" displayName="SimulationDetail" ref="A3:L503" headerRowCount="1" totalsRowCount="0" totalsRowShown="0">
  <autoFilter ref="A3:L503"/>
  <tableColumns count="12">
    <tableColumn id="1" name="Iteration"/>
    <tableColumn id="2" name="Total impressions"/>
    <tableColumn id="3" name="Total views"/>
    <tableColumn id="4" name="Total clicks"/>
    <tableColumn id="5" name="Total conversions"/>
    <tableColumn id="6" name="Total cost"/>
    <tableColumn id="7" name="Total flows"/>
    <tableColumn id="8" name="Total LTV value"/>
    <tableColumn id="9" name="ROI"/>
    <tableColumn id="10" name="Cost per conversion"/>
    <tableColumn id="11" name="View rate %"/>
    <tableColumn id="12" name="CTR %"/>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 Id="rId3" Type="http://schemas.openxmlformats.org/officeDocument/2006/relationships/table" Target="../tables/table3.xml"/><Relationship Id="rId4" Type="http://schemas.openxmlformats.org/officeDocument/2006/relationships/table" Target="../tables/table4.xml"/><Relationship Id="rId5" Type="http://schemas.openxmlformats.org/officeDocument/2006/relationships/table" Target="../tables/table5.xml"/><Relationship Id="rId6" Type="http://schemas.openxmlformats.org/officeDocument/2006/relationships/table" Target="../tables/table7.xml"/>
</Relationships>
</file>

<file path=xl/worksheets/_rels/sheet2.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2.xml"/><Relationship Id="rId3" Type="http://schemas.openxmlformats.org/officeDocument/2006/relationships/table" Target="../tables/table6.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table" Target="../tables/table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34"/>
    <col collapsed="false" customWidth="true" hidden="false" outlineLevel="0" max="3" min="3" style="0" width="20"/>
    <col collapsed="false" customWidth="true" hidden="false" outlineLevel="0" max="4" min="4" style="0" width="18"/>
    <col collapsed="false" customWidth="true" hidden="false" outlineLevel="0" max="5" min="5" style="0" width="30"/>
    <col collapsed="false" customWidth="true" hidden="false" outlineLevel="0" max="8" min="6" style="0" width="18"/>
    <col collapsed="false" customWidth="true" hidden="false" outlineLevel="0" max="9" min="9" style="0" width="16"/>
    <col collapsed="false" customWidth="true" hidden="false" outlineLevel="0" max="11" min="10" style="0" width="15"/>
    <col collapsed="false" customWidth="true" hidden="false" outlineLevel="0" max="12" min="12" style="0" width="16"/>
    <col collapsed="false" customWidth="true" hidden="false" outlineLevel="0" max="13" min="13" style="0" width="30"/>
    <col collapsed="false" customWidth="true" hidden="false" outlineLevel="0" max="17" min="14" style="0" width="16"/>
    <col collapsed="false" customWidth="true" hidden="false" outlineLevel="0" max="18" min="18" style="0" width="22"/>
    <col collapsed="false" customWidth="true" hidden="false" outlineLevel="0" max="22" min="19" style="0" width="16"/>
    <col collapsed="false" customWidth="true" hidden="false" outlineLevel="0" max="25" min="23" style="0" width="18"/>
    <col collapsed="false" customWidth="true" hidden="false" outlineLevel="0" max="26" min="26" style="0" width="22"/>
    <col collapsed="false" customWidth="true" hidden="false" outlineLevel="0" max="27" min="27" style="0" width="46"/>
  </cols>
  <sheetData>
    <row r="1" customFormat="false" ht="30" hidden="false" customHeight="true" outlineLevel="0" collapsed="false">
      <c r="A1" s="1" t="s">
        <v>0</v>
      </c>
      <c r="B1" s="1"/>
      <c r="C1" s="1"/>
      <c r="D1" s="1"/>
      <c r="E1" s="1"/>
      <c r="F1" s="1"/>
      <c r="G1" s="1"/>
      <c r="H1" s="1"/>
      <c r="I1" s="1"/>
      <c r="J1" s="1"/>
      <c r="K1" s="1"/>
      <c r="L1" s="1"/>
      <c r="M1" s="1"/>
      <c r="N1" s="1"/>
      <c r="O1" s="1"/>
      <c r="P1" s="1"/>
      <c r="Q1" s="1"/>
      <c r="R1" s="1"/>
      <c r="S1" s="1"/>
      <c r="T1" s="1"/>
      <c r="U1" s="1"/>
      <c r="V1" s="1"/>
      <c r="W1" s="1"/>
      <c r="X1" s="1"/>
      <c r="Y1" s="1"/>
      <c r="Z1" s="1"/>
      <c r="AA1" s="1"/>
    </row>
    <row r="2" customFormat="false" ht="15" hidden="false" customHeight="false" outlineLevel="0" collapsed="false">
      <c r="A2" s="2" t="s">
        <v>1</v>
      </c>
    </row>
    <row r="4" customFormat="false" ht="15" hidden="false" customHeight="false" outlineLevel="0" collapsed="false">
      <c r="A4" s="3" t="s">
        <v>2</v>
      </c>
      <c r="O4" s="3" t="s">
        <v>3</v>
      </c>
    </row>
    <row r="5" customFormat="false" ht="15" hidden="false" customHeight="false" outlineLevel="0" collapsed="false">
      <c r="A5" s="4" t="s">
        <v>4</v>
      </c>
      <c r="C5" s="5" t="s">
        <v>5</v>
      </c>
      <c r="D5" s="5"/>
      <c r="E5" s="5"/>
      <c r="F5" s="6" t="s">
        <v>6</v>
      </c>
      <c r="G5" s="6"/>
      <c r="H5" s="6"/>
      <c r="I5" s="6"/>
      <c r="J5" s="6"/>
      <c r="K5" s="6"/>
      <c r="L5" s="6"/>
      <c r="M5" s="6"/>
      <c r="O5" s="7"/>
      <c r="P5" s="4" t="s">
        <v>7</v>
      </c>
      <c r="Q5" s="6" t="s">
        <v>8</v>
      </c>
      <c r="R5" s="6"/>
      <c r="S5" s="6"/>
      <c r="T5" s="6"/>
      <c r="U5" s="6"/>
    </row>
    <row r="6" customFormat="false" ht="15" hidden="false" customHeight="false" outlineLevel="0" collapsed="false">
      <c r="A6" s="4" t="s">
        <v>9</v>
      </c>
      <c r="C6" s="5" t="s">
        <v>10</v>
      </c>
      <c r="D6" s="5"/>
      <c r="E6" s="5"/>
      <c r="F6" s="6" t="s">
        <v>11</v>
      </c>
      <c r="G6" s="6"/>
      <c r="H6" s="6"/>
      <c r="I6" s="6"/>
      <c r="J6" s="6"/>
      <c r="K6" s="6"/>
      <c r="L6" s="6"/>
      <c r="M6" s="6"/>
      <c r="O6" s="8"/>
      <c r="P6" s="4" t="s">
        <v>12</v>
      </c>
      <c r="Q6" s="6" t="s">
        <v>13</v>
      </c>
      <c r="R6" s="6"/>
      <c r="S6" s="6"/>
      <c r="T6" s="6"/>
      <c r="U6" s="6"/>
    </row>
    <row r="7" customFormat="false" ht="15" hidden="false" customHeight="false" outlineLevel="0" collapsed="false">
      <c r="A7" s="4" t="s">
        <v>14</v>
      </c>
      <c r="C7" s="9" t="n">
        <v>46273</v>
      </c>
      <c r="D7" s="9"/>
      <c r="E7" s="9"/>
      <c r="F7" s="6" t="s">
        <v>15</v>
      </c>
      <c r="G7" s="6"/>
      <c r="H7" s="6"/>
      <c r="I7" s="6"/>
      <c r="J7" s="6"/>
      <c r="K7" s="6"/>
      <c r="L7" s="6"/>
      <c r="M7" s="6"/>
      <c r="O7" s="10"/>
      <c r="P7" s="4" t="s">
        <v>16</v>
      </c>
      <c r="Q7" s="6" t="s">
        <v>17</v>
      </c>
      <c r="R7" s="6"/>
      <c r="S7" s="6"/>
      <c r="T7" s="6"/>
      <c r="U7" s="6"/>
    </row>
    <row r="8" customFormat="false" ht="15" hidden="false" customHeight="false" outlineLevel="0" collapsed="false">
      <c r="A8" s="4" t="s">
        <v>18</v>
      </c>
      <c r="C8" s="5" t="s">
        <v>19</v>
      </c>
      <c r="D8" s="5"/>
      <c r="E8" s="5"/>
      <c r="F8" s="6" t="s">
        <v>20</v>
      </c>
      <c r="G8" s="6"/>
      <c r="H8" s="6"/>
      <c r="I8" s="6"/>
      <c r="J8" s="6"/>
      <c r="K8" s="6"/>
      <c r="L8" s="6"/>
      <c r="M8" s="6"/>
      <c r="O8" s="11"/>
      <c r="P8" s="4" t="s">
        <v>21</v>
      </c>
      <c r="Q8" s="6" t="s">
        <v>22</v>
      </c>
      <c r="R8" s="6"/>
      <c r="S8" s="6"/>
      <c r="T8" s="6"/>
      <c r="U8" s="6"/>
    </row>
    <row r="9" customFormat="false" ht="15" hidden="false" customHeight="false" outlineLevel="0" collapsed="false">
      <c r="A9" s="4" t="s">
        <v>23</v>
      </c>
      <c r="C9" s="12" t="n">
        <v>500</v>
      </c>
      <c r="D9" s="12"/>
      <c r="E9" s="12"/>
      <c r="F9" s="6" t="s">
        <v>24</v>
      </c>
      <c r="G9" s="6"/>
      <c r="H9" s="6"/>
      <c r="I9" s="6"/>
      <c r="J9" s="6"/>
      <c r="K9" s="6"/>
      <c r="L9" s="6"/>
      <c r="M9" s="6"/>
    </row>
    <row r="10" customFormat="false" ht="15" hidden="false" customHeight="false" outlineLevel="0" collapsed="false">
      <c r="A10" s="4" t="s">
        <v>25</v>
      </c>
      <c r="C10" s="13" t="n">
        <v>20260908</v>
      </c>
      <c r="D10" s="13"/>
      <c r="E10" s="13"/>
      <c r="F10" s="6" t="s">
        <v>26</v>
      </c>
      <c r="G10" s="6"/>
      <c r="H10" s="6"/>
      <c r="I10" s="6"/>
      <c r="J10" s="6"/>
      <c r="K10" s="6"/>
      <c r="L10" s="6"/>
      <c r="M10" s="6"/>
      <c r="O10" s="6" t="s">
        <v>27</v>
      </c>
      <c r="P10" s="6"/>
      <c r="Q10" s="6"/>
      <c r="R10" s="6"/>
      <c r="S10" s="6"/>
      <c r="T10" s="6"/>
      <c r="U10" s="6"/>
    </row>
    <row r="11" customFormat="false" ht="15" hidden="false" customHeight="false" outlineLevel="0" collapsed="false">
      <c r="A11" s="4" t="s">
        <v>28</v>
      </c>
      <c r="C11" s="12" t="n">
        <v>5</v>
      </c>
      <c r="D11" s="12"/>
      <c r="E11" s="12"/>
      <c r="F11" s="6" t="s">
        <v>29</v>
      </c>
      <c r="G11" s="6"/>
      <c r="H11" s="6"/>
      <c r="I11" s="6"/>
      <c r="J11" s="6"/>
      <c r="K11" s="6"/>
      <c r="L11" s="6"/>
      <c r="M11" s="6"/>
    </row>
    <row r="12" customFormat="false" ht="15" hidden="false" customHeight="false" outlineLevel="0" collapsed="false">
      <c r="A12" s="4" t="s">
        <v>30</v>
      </c>
      <c r="C12" s="5" t="s">
        <v>31</v>
      </c>
      <c r="D12" s="5"/>
      <c r="E12" s="5"/>
      <c r="F12" s="6"/>
      <c r="G12" s="6"/>
      <c r="H12" s="6"/>
      <c r="I12" s="6"/>
      <c r="J12" s="6"/>
      <c r="K12" s="6"/>
      <c r="L12" s="6"/>
      <c r="M12" s="6"/>
    </row>
    <row r="14" customFormat="false" ht="15" hidden="false" customHeight="false" outlineLevel="0" collapsed="false">
      <c r="A14" s="3" t="s">
        <v>32</v>
      </c>
    </row>
    <row r="15" customFormat="false" ht="15" hidden="false" customHeight="false" outlineLevel="0" collapsed="false">
      <c r="A15" s="2" t="s">
        <v>33</v>
      </c>
    </row>
    <row r="16" customFormat="false" ht="42" hidden="false" customHeight="true" outlineLevel="0" collapsed="false">
      <c r="A16" s="14" t="s">
        <v>34</v>
      </c>
      <c r="B16" s="14" t="s">
        <v>35</v>
      </c>
      <c r="C16" s="14" t="s">
        <v>36</v>
      </c>
      <c r="D16" s="14" t="s">
        <v>37</v>
      </c>
      <c r="E16" s="14" t="s">
        <v>38</v>
      </c>
      <c r="F16" s="14" t="s">
        <v>39</v>
      </c>
      <c r="G16" s="14" t="s">
        <v>40</v>
      </c>
      <c r="H16" s="14" t="s">
        <v>41</v>
      </c>
      <c r="I16" s="14" t="s">
        <v>42</v>
      </c>
      <c r="J16" s="14" t="s">
        <v>43</v>
      </c>
      <c r="K16" s="14" t="s">
        <v>44</v>
      </c>
      <c r="L16" s="14" t="s">
        <v>45</v>
      </c>
      <c r="M16" s="14" t="s">
        <v>46</v>
      </c>
      <c r="N16" s="14" t="s">
        <v>47</v>
      </c>
      <c r="O16" s="14" t="s">
        <v>48</v>
      </c>
      <c r="P16" s="14" t="s">
        <v>49</v>
      </c>
      <c r="Q16" s="14" t="s">
        <v>50</v>
      </c>
      <c r="R16" s="14" t="s">
        <v>51</v>
      </c>
      <c r="S16" s="14" t="s">
        <v>52</v>
      </c>
      <c r="T16" s="14" t="s">
        <v>53</v>
      </c>
      <c r="U16" s="14" t="s">
        <v>54</v>
      </c>
      <c r="V16" s="14" t="s">
        <v>55</v>
      </c>
      <c r="W16" s="14" t="s">
        <v>56</v>
      </c>
      <c r="X16" s="14" t="s">
        <v>57</v>
      </c>
      <c r="Y16" s="14" t="s">
        <v>58</v>
      </c>
      <c r="Z16" s="14" t="s">
        <v>59</v>
      </c>
      <c r="AA16" s="14" t="s">
        <v>30</v>
      </c>
    </row>
    <row r="17" customFormat="false" ht="15" hidden="false" customHeight="false" outlineLevel="0" collapsed="false">
      <c r="A17" s="5" t="s">
        <v>60</v>
      </c>
      <c r="B17" s="5" t="s">
        <v>61</v>
      </c>
      <c r="C17" s="5" t="s">
        <v>62</v>
      </c>
      <c r="D17" s="15" t="n">
        <v>9</v>
      </c>
      <c r="E17" s="15" t="n">
        <v>9</v>
      </c>
      <c r="F17" s="15" t="n">
        <v>0</v>
      </c>
      <c r="G17" s="15" t="n">
        <v>9</v>
      </c>
      <c r="H17" s="15" t="n">
        <v>460000</v>
      </c>
      <c r="I17" s="15" t="n">
        <v>4120000</v>
      </c>
      <c r="J17" s="15" t="n">
        <v>0</v>
      </c>
      <c r="K17" s="15" t="n">
        <v>6180</v>
      </c>
      <c r="L17" s="16" t="n">
        <f aca="false">IF($I17=0,0,$J17/$I17)</f>
        <v>0</v>
      </c>
      <c r="M17" s="17" t="n">
        <f aca="false">IF($I17=0,0,$K17/$I17)</f>
        <v>0.0015</v>
      </c>
      <c r="N17" s="12" t="n">
        <v>400000</v>
      </c>
      <c r="O17" s="18" t="n">
        <v>0</v>
      </c>
      <c r="P17" s="19" t="n">
        <v>0.0012</v>
      </c>
      <c r="Q17" s="18" t="n">
        <v>0.18</v>
      </c>
      <c r="R17" s="18" t="n">
        <v>0.25</v>
      </c>
      <c r="S17" s="18" t="n">
        <v>0.22</v>
      </c>
      <c r="T17" s="16" t="n">
        <f aca="false">IF($C17="Fallback",0,IF($E17=0,0,IF($C17="Historical",1,MIN(1,$E17/$C$11))))</f>
        <v>1</v>
      </c>
      <c r="U17" s="16" t="n">
        <f aca="false">IF($C17="Fallback",0,IF($F17=0,0,IF($C17="Historical",1,MIN(1,$F17/$C$11))))</f>
        <v>0</v>
      </c>
      <c r="V17" s="16" t="n">
        <f aca="false">IF($C17="Fallback",0,IF($G17=0,0,IF($C17="Historical",1,MIN(1,$G17/$C$11))))</f>
        <v>1</v>
      </c>
      <c r="W17" s="20" t="n">
        <f aca="false">$T17*$H17+(1-$T17)*$N17</f>
        <v>460000</v>
      </c>
      <c r="X17" s="16" t="n">
        <f aca="false">$U17*$L17+(1-$U17)*$O17</f>
        <v>0</v>
      </c>
      <c r="Y17" s="17" t="n">
        <f aca="false">$V17*$M17+(1-$V17)*$P17</f>
        <v>0.0015</v>
      </c>
      <c r="Z17" s="21" t="str">
        <f aca="false">IF($T17=1,"Historical",IF($T17=0,"Fallback","Blended "&amp;TEXT($T17,"0%")&amp;" historical"))</f>
        <v>Historical</v>
      </c>
      <c r="AA17" s="5" t="s">
        <v>63</v>
      </c>
    </row>
    <row r="18" customFormat="false" ht="15" hidden="false" customHeight="false" outlineLevel="0" collapsed="false">
      <c r="A18" s="5" t="s">
        <v>64</v>
      </c>
      <c r="B18" s="5" t="s">
        <v>65</v>
      </c>
      <c r="C18" s="5" t="s">
        <v>66</v>
      </c>
      <c r="D18" s="15" t="n">
        <v>3</v>
      </c>
      <c r="E18" s="15" t="n">
        <v>3</v>
      </c>
      <c r="F18" s="15" t="n">
        <v>0</v>
      </c>
      <c r="G18" s="15" t="n">
        <v>3</v>
      </c>
      <c r="H18" s="15" t="n">
        <v>210000</v>
      </c>
      <c r="I18" s="15" t="n">
        <v>640000</v>
      </c>
      <c r="J18" s="15" t="n">
        <v>0</v>
      </c>
      <c r="K18" s="15" t="n">
        <v>1980</v>
      </c>
      <c r="L18" s="16" t="n">
        <f aca="false">IF($I18=0,0,$J18/$I18)</f>
        <v>0</v>
      </c>
      <c r="M18" s="17" t="n">
        <f aca="false">IF($I18=0,0,$K18/$I18)</f>
        <v>0.00309375</v>
      </c>
      <c r="N18" s="12" t="n">
        <v>180000</v>
      </c>
      <c r="O18" s="18" t="n">
        <v>0</v>
      </c>
      <c r="P18" s="19" t="n">
        <v>0.0028</v>
      </c>
      <c r="Q18" s="18" t="n">
        <v>0.22</v>
      </c>
      <c r="R18" s="18" t="n">
        <v>0.25</v>
      </c>
      <c r="S18" s="18" t="n">
        <v>0.26</v>
      </c>
      <c r="T18" s="16" t="n">
        <f aca="false">IF($C18="Fallback",0,IF($E18=0,0,IF($C18="Historical",1,MIN(1,$E18/$C$11))))</f>
        <v>0.6</v>
      </c>
      <c r="U18" s="16" t="n">
        <f aca="false">IF($C18="Fallback",0,IF($F18=0,0,IF($C18="Historical",1,MIN(1,$F18/$C$11))))</f>
        <v>0</v>
      </c>
      <c r="V18" s="16" t="n">
        <f aca="false">IF($C18="Fallback",0,IF($G18=0,0,IF($C18="Historical",1,MIN(1,$G18/$C$11))))</f>
        <v>0.6</v>
      </c>
      <c r="W18" s="20" t="n">
        <f aca="false">$T18*$H18+(1-$T18)*$N18</f>
        <v>198000</v>
      </c>
      <c r="X18" s="16" t="n">
        <f aca="false">$U18*$L18+(1-$U18)*$O18</f>
        <v>0</v>
      </c>
      <c r="Y18" s="17" t="n">
        <f aca="false">$V18*$M18+(1-$V18)*$P18</f>
        <v>0.00297625</v>
      </c>
      <c r="Z18" s="21" t="str">
        <f aca="false">IF($T18=1,"Historical",IF($T18=0,"Fallback","Blended "&amp;TEXT($T18,"0%")&amp;" historical"))</f>
        <v>Blended 60% historical</v>
      </c>
      <c r="AA18" s="5" t="s">
        <v>67</v>
      </c>
    </row>
    <row r="19" customFormat="false" ht="15" hidden="false" customHeight="false" outlineLevel="0" collapsed="false">
      <c r="A19" s="5" t="s">
        <v>68</v>
      </c>
      <c r="B19" s="5" t="s">
        <v>69</v>
      </c>
      <c r="C19" s="5" t="s">
        <v>62</v>
      </c>
      <c r="D19" s="15" t="n">
        <v>6</v>
      </c>
      <c r="E19" s="15" t="n">
        <v>6</v>
      </c>
      <c r="F19" s="15" t="n">
        <v>0</v>
      </c>
      <c r="G19" s="15" t="n">
        <v>6</v>
      </c>
      <c r="H19" s="15" t="n">
        <v>88000</v>
      </c>
      <c r="I19" s="15" t="n">
        <v>540000</v>
      </c>
      <c r="J19" s="15" t="n">
        <v>0</v>
      </c>
      <c r="K19" s="15" t="n">
        <v>4320</v>
      </c>
      <c r="L19" s="16" t="n">
        <f aca="false">IF($I19=0,0,$J19/$I19)</f>
        <v>0</v>
      </c>
      <c r="M19" s="17" t="n">
        <f aca="false">IF($I19=0,0,$K19/$I19)</f>
        <v>0.008</v>
      </c>
      <c r="N19" s="12" t="n">
        <v>75000</v>
      </c>
      <c r="O19" s="18" t="n">
        <v>0</v>
      </c>
      <c r="P19" s="19" t="n">
        <v>0.007</v>
      </c>
      <c r="Q19" s="18" t="n">
        <v>0.12</v>
      </c>
      <c r="R19" s="18" t="n">
        <v>0.25</v>
      </c>
      <c r="S19" s="18" t="n">
        <v>0.15</v>
      </c>
      <c r="T19" s="16" t="n">
        <f aca="false">IF($C19="Fallback",0,IF($E19=0,0,IF($C19="Historical",1,MIN(1,$E19/$C$11))))</f>
        <v>1</v>
      </c>
      <c r="U19" s="16" t="n">
        <f aca="false">IF($C19="Fallback",0,IF($F19=0,0,IF($C19="Historical",1,MIN(1,$F19/$C$11))))</f>
        <v>0</v>
      </c>
      <c r="V19" s="16" t="n">
        <f aca="false">IF($C19="Fallback",0,IF($G19=0,0,IF($C19="Historical",1,MIN(1,$G19/$C$11))))</f>
        <v>1</v>
      </c>
      <c r="W19" s="20" t="n">
        <f aca="false">$T19*$H19+(1-$T19)*$N19</f>
        <v>88000</v>
      </c>
      <c r="X19" s="16" t="n">
        <f aca="false">$U19*$L19+(1-$U19)*$O19</f>
        <v>0</v>
      </c>
      <c r="Y19" s="17" t="n">
        <f aca="false">$V19*$M19+(1-$V19)*$P19</f>
        <v>0.008</v>
      </c>
      <c r="Z19" s="21" t="str">
        <f aca="false">IF($T19=1,"Historical",IF($T19=0,"Fallback","Blended "&amp;TEXT($T19,"0%")&amp;" historical"))</f>
        <v>Historical</v>
      </c>
      <c r="AA19" s="5" t="s">
        <v>70</v>
      </c>
    </row>
    <row r="20" customFormat="false" ht="15" hidden="false" customHeight="false" outlineLevel="0" collapsed="false">
      <c r="A20" s="5" t="s">
        <v>71</v>
      </c>
      <c r="B20" s="5" t="s">
        <v>72</v>
      </c>
      <c r="C20" s="5" t="s">
        <v>62</v>
      </c>
      <c r="D20" s="15" t="n">
        <v>5</v>
      </c>
      <c r="E20" s="15" t="n">
        <v>5</v>
      </c>
      <c r="F20" s="15" t="n">
        <v>5</v>
      </c>
      <c r="G20" s="15" t="n">
        <v>5</v>
      </c>
      <c r="H20" s="15" t="n">
        <v>480000</v>
      </c>
      <c r="I20" s="15" t="n">
        <v>2300000</v>
      </c>
      <c r="J20" s="15" t="n">
        <v>1357000</v>
      </c>
      <c r="K20" s="15" t="n">
        <v>11500</v>
      </c>
      <c r="L20" s="16" t="n">
        <f aca="false">IF($I20=0,0,$J20/$I20)</f>
        <v>0.59</v>
      </c>
      <c r="M20" s="17" t="n">
        <f aca="false">IF($I20=0,0,$K20/$I20)</f>
        <v>0.005</v>
      </c>
      <c r="N20" s="12" t="n">
        <v>400000</v>
      </c>
      <c r="O20" s="18" t="n">
        <v>0.55</v>
      </c>
      <c r="P20" s="19" t="n">
        <v>0.0045</v>
      </c>
      <c r="Q20" s="18" t="n">
        <v>0.28</v>
      </c>
      <c r="R20" s="18" t="n">
        <v>0.14</v>
      </c>
      <c r="S20" s="18" t="n">
        <v>0.24</v>
      </c>
      <c r="T20" s="16" t="n">
        <f aca="false">IF($C20="Fallback",0,IF($E20=0,0,IF($C20="Historical",1,MIN(1,$E20/$C$11))))</f>
        <v>1</v>
      </c>
      <c r="U20" s="16" t="n">
        <f aca="false">IF($C20="Fallback",0,IF($F20=0,0,IF($C20="Historical",1,MIN(1,$F20/$C$11))))</f>
        <v>1</v>
      </c>
      <c r="V20" s="16" t="n">
        <f aca="false">IF($C20="Fallback",0,IF($G20=0,0,IF($C20="Historical",1,MIN(1,$G20/$C$11))))</f>
        <v>1</v>
      </c>
      <c r="W20" s="20" t="n">
        <f aca="false">$T20*$H20+(1-$T20)*$N20</f>
        <v>480000</v>
      </c>
      <c r="X20" s="16" t="n">
        <f aca="false">$U20*$L20+(1-$U20)*$O20</f>
        <v>0.59</v>
      </c>
      <c r="Y20" s="17" t="n">
        <f aca="false">$V20*$M20+(1-$V20)*$P20</f>
        <v>0.005</v>
      </c>
      <c r="Z20" s="21" t="str">
        <f aca="false">IF($T20=1,"Historical",IF($T20=0,"Fallback","Blended "&amp;TEXT($T20,"0%")&amp;" historical"))</f>
        <v>Historical</v>
      </c>
      <c r="AA20" s="5" t="s">
        <v>73</v>
      </c>
    </row>
    <row r="21" customFormat="false" ht="15" hidden="false" customHeight="false" outlineLevel="0" collapsed="false">
      <c r="A21" s="5" t="s">
        <v>74</v>
      </c>
      <c r="B21" s="5" t="s">
        <v>75</v>
      </c>
      <c r="C21" s="5" t="s">
        <v>76</v>
      </c>
      <c r="D21" s="15" t="n">
        <v>0</v>
      </c>
      <c r="E21" s="15" t="n">
        <v>0</v>
      </c>
      <c r="F21" s="15" t="n">
        <v>0</v>
      </c>
      <c r="G21" s="15" t="n">
        <v>0</v>
      </c>
      <c r="H21" s="15" t="n">
        <v>0</v>
      </c>
      <c r="I21" s="15" t="n">
        <v>0</v>
      </c>
      <c r="J21" s="15" t="n">
        <v>0</v>
      </c>
      <c r="K21" s="15" t="n">
        <v>0</v>
      </c>
      <c r="L21" s="16" t="n">
        <f aca="false">IF($I21=0,0,$J21/$I21)</f>
        <v>0</v>
      </c>
      <c r="M21" s="17" t="n">
        <f aca="false">IF($I21=0,0,$K21/$I21)</f>
        <v>0</v>
      </c>
      <c r="N21" s="12" t="n">
        <v>1200000</v>
      </c>
      <c r="O21" s="18" t="n">
        <v>0</v>
      </c>
      <c r="P21" s="19" t="n">
        <v>0.0035</v>
      </c>
      <c r="Q21" s="18" t="n">
        <v>0.3</v>
      </c>
      <c r="R21" s="18" t="n">
        <v>0.25</v>
      </c>
      <c r="S21" s="18" t="n">
        <v>0.3</v>
      </c>
      <c r="T21" s="16" t="n">
        <f aca="false">IF($C21="Fallback",0,IF($E21=0,0,IF($C21="Historical",1,MIN(1,$E21/$C$11))))</f>
        <v>0</v>
      </c>
      <c r="U21" s="16" t="n">
        <f aca="false">IF($C21="Fallback",0,IF($F21=0,0,IF($C21="Historical",1,MIN(1,$F21/$C$11))))</f>
        <v>0</v>
      </c>
      <c r="V21" s="16" t="n">
        <f aca="false">IF($C21="Fallback",0,IF($G21=0,0,IF($C21="Historical",1,MIN(1,$G21/$C$11))))</f>
        <v>0</v>
      </c>
      <c r="W21" s="20" t="n">
        <f aca="false">$T21*$H21+(1-$T21)*$N21</f>
        <v>1200000</v>
      </c>
      <c r="X21" s="16" t="n">
        <f aca="false">$U21*$L21+(1-$U21)*$O21</f>
        <v>0</v>
      </c>
      <c r="Y21" s="17" t="n">
        <f aca="false">$V21*$M21+(1-$V21)*$P21</f>
        <v>0.0035</v>
      </c>
      <c r="Z21" s="21" t="str">
        <f aca="false">IF($T21=1,"Historical",IF($T21=0,"Fallback","Blended "&amp;TEXT($T21,"0%")&amp;" historical"))</f>
        <v>Fallback</v>
      </c>
      <c r="AA21" s="5" t="s">
        <v>77</v>
      </c>
    </row>
    <row r="22" customFormat="false" ht="15" hidden="false" customHeight="false" outlineLevel="0" collapsed="false">
      <c r="A22" s="5" t="s">
        <v>78</v>
      </c>
      <c r="B22" s="5" t="s">
        <v>79</v>
      </c>
      <c r="C22" s="5" t="s">
        <v>62</v>
      </c>
      <c r="D22" s="15" t="n">
        <v>8</v>
      </c>
      <c r="E22" s="15" t="n">
        <v>8</v>
      </c>
      <c r="F22" s="15" t="n">
        <v>8</v>
      </c>
      <c r="G22" s="15" t="n">
        <v>8</v>
      </c>
      <c r="H22" s="15" t="n">
        <v>520000</v>
      </c>
      <c r="I22" s="15" t="n">
        <v>3900000</v>
      </c>
      <c r="J22" s="15" t="n">
        <v>897000</v>
      </c>
      <c r="K22" s="15" t="n">
        <v>23400</v>
      </c>
      <c r="L22" s="16" t="n">
        <f aca="false">IF($I22=0,0,$J22/$I22)</f>
        <v>0.23</v>
      </c>
      <c r="M22" s="17" t="n">
        <f aca="false">IF($I22=0,0,$K22/$I22)</f>
        <v>0.006</v>
      </c>
      <c r="N22" s="12" t="n">
        <v>450000</v>
      </c>
      <c r="O22" s="18" t="n">
        <v>0.2</v>
      </c>
      <c r="P22" s="19" t="n">
        <v>0.0055</v>
      </c>
      <c r="Q22" s="18" t="n">
        <v>0.2</v>
      </c>
      <c r="R22" s="18" t="n">
        <v>0.16</v>
      </c>
      <c r="S22" s="18" t="n">
        <v>0.18</v>
      </c>
      <c r="T22" s="16" t="n">
        <f aca="false">IF($C22="Fallback",0,IF($E22=0,0,IF($C22="Historical",1,MIN(1,$E22/$C$11))))</f>
        <v>1</v>
      </c>
      <c r="U22" s="16" t="n">
        <f aca="false">IF($C22="Fallback",0,IF($F22=0,0,IF($C22="Historical",1,MIN(1,$F22/$C$11))))</f>
        <v>1</v>
      </c>
      <c r="V22" s="16" t="n">
        <f aca="false">IF($C22="Fallback",0,IF($G22=0,0,IF($C22="Historical",1,MIN(1,$G22/$C$11))))</f>
        <v>1</v>
      </c>
      <c r="W22" s="20" t="n">
        <f aca="false">$T22*$H22+(1-$T22)*$N22</f>
        <v>520000</v>
      </c>
      <c r="X22" s="16" t="n">
        <f aca="false">$U22*$L22+(1-$U22)*$O22</f>
        <v>0.23</v>
      </c>
      <c r="Y22" s="17" t="n">
        <f aca="false">$V22*$M22+(1-$V22)*$P22</f>
        <v>0.006</v>
      </c>
      <c r="Z22" s="21" t="str">
        <f aca="false">IF($T22=1,"Historical",IF($T22=0,"Fallback","Blended "&amp;TEXT($T22,"0%")&amp;" historical"))</f>
        <v>Historical</v>
      </c>
      <c r="AA22" s="5" t="s">
        <v>80</v>
      </c>
    </row>
    <row r="23" customFormat="false" ht="15" hidden="false" customHeight="false" outlineLevel="0" collapsed="false">
      <c r="A23" s="5" t="s">
        <v>81</v>
      </c>
      <c r="B23" s="5" t="s">
        <v>82</v>
      </c>
      <c r="C23" s="5" t="s">
        <v>66</v>
      </c>
      <c r="D23" s="15" t="n">
        <v>2</v>
      </c>
      <c r="E23" s="15" t="n">
        <v>2</v>
      </c>
      <c r="F23" s="15" t="n">
        <v>0</v>
      </c>
      <c r="G23" s="15" t="n">
        <v>2</v>
      </c>
      <c r="H23" s="15" t="n">
        <v>96000</v>
      </c>
      <c r="I23" s="15" t="n">
        <v>190000</v>
      </c>
      <c r="J23" s="15" t="n">
        <v>0</v>
      </c>
      <c r="K23" s="15" t="n">
        <v>1330</v>
      </c>
      <c r="L23" s="16" t="n">
        <f aca="false">IF($I23=0,0,$J23/$I23)</f>
        <v>0</v>
      </c>
      <c r="M23" s="17" t="n">
        <f aca="false">IF($I23=0,0,$K23/$I23)</f>
        <v>0.007</v>
      </c>
      <c r="N23" s="12" t="n">
        <v>85000</v>
      </c>
      <c r="O23" s="18" t="n">
        <v>0</v>
      </c>
      <c r="P23" s="19" t="n">
        <v>0.0065</v>
      </c>
      <c r="Q23" s="18" t="n">
        <v>0.15</v>
      </c>
      <c r="R23" s="18" t="n">
        <v>0.25</v>
      </c>
      <c r="S23" s="18" t="n">
        <v>0.2</v>
      </c>
      <c r="T23" s="16" t="n">
        <f aca="false">IF($C23="Fallback",0,IF($E23=0,0,IF($C23="Historical",1,MIN(1,$E23/$C$11))))</f>
        <v>0.4</v>
      </c>
      <c r="U23" s="16" t="n">
        <f aca="false">IF($C23="Fallback",0,IF($F23=0,0,IF($C23="Historical",1,MIN(1,$F23/$C$11))))</f>
        <v>0</v>
      </c>
      <c r="V23" s="16" t="n">
        <f aca="false">IF($C23="Fallback",0,IF($G23=0,0,IF($C23="Historical",1,MIN(1,$G23/$C$11))))</f>
        <v>0.4</v>
      </c>
      <c r="W23" s="20" t="n">
        <f aca="false">$T23*$H23+(1-$T23)*$N23</f>
        <v>89400</v>
      </c>
      <c r="X23" s="16" t="n">
        <f aca="false">$U23*$L23+(1-$U23)*$O23</f>
        <v>0</v>
      </c>
      <c r="Y23" s="17" t="n">
        <f aca="false">$V23*$M23+(1-$V23)*$P23</f>
        <v>0.0067</v>
      </c>
      <c r="Z23" s="21" t="str">
        <f aca="false">IF($T23=1,"Historical",IF($T23=0,"Fallback","Blended "&amp;TEXT($T23,"0%")&amp;" historical"))</f>
        <v>Blended 40% historical</v>
      </c>
      <c r="AA23" s="5" t="s">
        <v>83</v>
      </c>
    </row>
    <row r="25" customFormat="false" ht="15" hidden="false" customHeight="false" outlineLevel="0" collapsed="false">
      <c r="A25" s="3" t="s">
        <v>84</v>
      </c>
    </row>
    <row r="26" customFormat="false" ht="15" hidden="false" customHeight="false" outlineLevel="0" collapsed="false">
      <c r="A26" s="2" t="s">
        <v>85</v>
      </c>
    </row>
    <row r="27" customFormat="false" ht="42" hidden="false" customHeight="true" outlineLevel="0" collapsed="false">
      <c r="A27" s="14" t="s">
        <v>86</v>
      </c>
      <c r="B27" s="14" t="s">
        <v>87</v>
      </c>
      <c r="C27" s="14" t="s">
        <v>88</v>
      </c>
      <c r="D27" s="14" t="s">
        <v>34</v>
      </c>
      <c r="E27" s="14" t="s">
        <v>35</v>
      </c>
      <c r="F27" s="14" t="s">
        <v>89</v>
      </c>
      <c r="G27" s="14" t="s">
        <v>90</v>
      </c>
      <c r="H27" s="14" t="s">
        <v>91</v>
      </c>
      <c r="I27" s="14" t="s">
        <v>92</v>
      </c>
      <c r="J27" s="14" t="s">
        <v>93</v>
      </c>
      <c r="K27" s="14" t="s">
        <v>94</v>
      </c>
      <c r="L27" s="14" t="s">
        <v>95</v>
      </c>
      <c r="M27" s="14" t="s">
        <v>96</v>
      </c>
      <c r="N27" s="14" t="s">
        <v>97</v>
      </c>
      <c r="O27" s="14" t="s">
        <v>98</v>
      </c>
      <c r="P27" s="14" t="s">
        <v>99</v>
      </c>
      <c r="Q27" s="14" t="s">
        <v>100</v>
      </c>
      <c r="R27" s="14" t="s">
        <v>36</v>
      </c>
      <c r="S27" s="14" t="s">
        <v>101</v>
      </c>
      <c r="T27" s="14" t="s">
        <v>50</v>
      </c>
      <c r="U27" s="14" t="s">
        <v>102</v>
      </c>
      <c r="V27" s="14" t="s">
        <v>51</v>
      </c>
      <c r="W27" s="14" t="s">
        <v>103</v>
      </c>
      <c r="X27" s="14" t="s">
        <v>52</v>
      </c>
      <c r="Y27" s="14" t="s">
        <v>30</v>
      </c>
    </row>
    <row r="28" customFormat="false" ht="15" hidden="false" customHeight="false" outlineLevel="0" collapsed="false">
      <c r="A28" s="5" t="s">
        <v>104</v>
      </c>
      <c r="B28" s="5" t="s">
        <v>105</v>
      </c>
      <c r="C28" s="5" t="s">
        <v>106</v>
      </c>
      <c r="D28" s="5" t="s">
        <v>60</v>
      </c>
      <c r="E28" s="21" t="str">
        <f aca="false">INDEX($B$17:$B$23,MATCH($D28,$A$17:$A$23,0))</f>
        <v>finanzen.net — Display Network</v>
      </c>
      <c r="F28" s="5" t="s">
        <v>107</v>
      </c>
      <c r="G28" s="5" t="s">
        <v>108</v>
      </c>
      <c r="H28" s="5" t="s">
        <v>109</v>
      </c>
      <c r="I28" s="22" t="n">
        <v>6.5</v>
      </c>
      <c r="J28" s="5" t="s">
        <v>19</v>
      </c>
      <c r="K28" s="23" t="n">
        <f aca="false">INDEX($C$47:$C$50,MATCH($J28,$A$47:$A$50,0))</f>
        <v>1</v>
      </c>
      <c r="L28" s="5" t="s">
        <v>110</v>
      </c>
      <c r="M28" s="21" t="str">
        <f aca="false">INDEX($B$40:$B$42,MATCH($L28,$A$40:$A$42,0))</f>
        <v>Ultramarin Europe AI UCITS ETF (EUAI)</v>
      </c>
      <c r="N28" s="19" t="n">
        <v>0</v>
      </c>
      <c r="O28" s="19" t="n">
        <v>0</v>
      </c>
      <c r="P28" s="18" t="n">
        <v>0.03</v>
      </c>
      <c r="Q28" s="18" t="n">
        <v>0.3</v>
      </c>
      <c r="R28" s="21" t="str">
        <f aca="false">INDEX($Z$17:$Z$23,MATCH($D28,$A$17:$A$23,0))</f>
        <v>Historical</v>
      </c>
      <c r="S28" s="20" t="n">
        <f aca="false">INDEX($W$17:$W$23,MATCH($D28,$A$17:$A$23,0))</f>
        <v>460000</v>
      </c>
      <c r="T28" s="16" t="n">
        <f aca="false">INDEX($Q$17:$Q$23,MATCH($D28,$A$17:$A$23,0))</f>
        <v>0.18</v>
      </c>
      <c r="U28" s="16" t="n">
        <f aca="false">INDEX($X$17:$X$23,MATCH($D28,$A$17:$A$23,0))</f>
        <v>0</v>
      </c>
      <c r="V28" s="16" t="n">
        <f aca="false">INDEX($R$17:$R$23,MATCH($D28,$A$17:$A$23,0))</f>
        <v>0.25</v>
      </c>
      <c r="W28" s="17" t="n">
        <f aca="false">INDEX($Y$17:$Y$23,MATCH($D28,$A$17:$A$23,0))</f>
        <v>0.0015</v>
      </c>
      <c r="X28" s="16" t="n">
        <f aca="false">INDEX($S$17:$S$23,MATCH($D28,$A$17:$A$23,0))</f>
        <v>0.22</v>
      </c>
      <c r="Y28" s="5" t="s">
        <v>111</v>
      </c>
    </row>
    <row r="29" customFormat="false" ht="15" hidden="false" customHeight="false" outlineLevel="0" collapsed="false">
      <c r="A29" s="5" t="s">
        <v>112</v>
      </c>
      <c r="B29" s="5" t="s">
        <v>113</v>
      </c>
      <c r="C29" s="5" t="s">
        <v>106</v>
      </c>
      <c r="D29" s="5" t="s">
        <v>64</v>
      </c>
      <c r="E29" s="21" t="str">
        <f aca="false">INDEX($B$17:$B$23,MATCH($D29,$A$17:$A$23,0))</f>
        <v>Handelsblatt — Native Article</v>
      </c>
      <c r="F29" s="5" t="s">
        <v>114</v>
      </c>
      <c r="G29" s="5" t="s">
        <v>108</v>
      </c>
      <c r="H29" s="5" t="s">
        <v>115</v>
      </c>
      <c r="I29" s="22" t="n">
        <v>6500</v>
      </c>
      <c r="J29" s="5" t="s">
        <v>19</v>
      </c>
      <c r="K29" s="23" t="n">
        <f aca="false">INDEX($C$47:$C$50,MATCH($J29,$A$47:$A$50,0))</f>
        <v>1</v>
      </c>
      <c r="L29" s="5" t="s">
        <v>110</v>
      </c>
      <c r="M29" s="21" t="str">
        <f aca="false">INDEX($B$40:$B$42,MATCH($L29,$A$40:$A$42,0))</f>
        <v>Ultramarin Europe AI UCITS ETF (EUAI)</v>
      </c>
      <c r="N29" s="19" t="n">
        <v>0</v>
      </c>
      <c r="O29" s="19" t="n">
        <v>0</v>
      </c>
      <c r="P29" s="18" t="n">
        <v>0.05</v>
      </c>
      <c r="Q29" s="18" t="n">
        <v>0.3</v>
      </c>
      <c r="R29" s="21" t="str">
        <f aca="false">INDEX($Z$17:$Z$23,MATCH($D29,$A$17:$A$23,0))</f>
        <v>Blended 60% historical</v>
      </c>
      <c r="S29" s="20" t="n">
        <f aca="false">INDEX($W$17:$W$23,MATCH($D29,$A$17:$A$23,0))</f>
        <v>198000</v>
      </c>
      <c r="T29" s="16" t="n">
        <f aca="false">INDEX($Q$17:$Q$23,MATCH($D29,$A$17:$A$23,0))</f>
        <v>0.22</v>
      </c>
      <c r="U29" s="16" t="n">
        <f aca="false">INDEX($X$17:$X$23,MATCH($D29,$A$17:$A$23,0))</f>
        <v>0</v>
      </c>
      <c r="V29" s="16" t="n">
        <f aca="false">INDEX($R$17:$R$23,MATCH($D29,$A$17:$A$23,0))</f>
        <v>0.25</v>
      </c>
      <c r="W29" s="17" t="n">
        <f aca="false">INDEX($Y$17:$Y$23,MATCH($D29,$A$17:$A$23,0))</f>
        <v>0.00297625</v>
      </c>
      <c r="X29" s="16" t="n">
        <f aca="false">INDEX($S$17:$S$23,MATCH($D29,$A$17:$A$23,0))</f>
        <v>0.26</v>
      </c>
      <c r="Y29" s="5" t="s">
        <v>116</v>
      </c>
    </row>
    <row r="30" customFormat="false" ht="15" hidden="false" customHeight="false" outlineLevel="0" collapsed="false">
      <c r="A30" s="5" t="s">
        <v>117</v>
      </c>
      <c r="B30" s="5" t="s">
        <v>69</v>
      </c>
      <c r="C30" s="5" t="s">
        <v>106</v>
      </c>
      <c r="D30" s="5" t="s">
        <v>68</v>
      </c>
      <c r="E30" s="21" t="str">
        <f aca="false">INDEX($B$17:$B$23,MATCH($D30,$A$17:$A$23,0))</f>
        <v>extraETF — Newsletter Takeover</v>
      </c>
      <c r="F30" s="5" t="s">
        <v>118</v>
      </c>
      <c r="G30" s="5" t="s">
        <v>108</v>
      </c>
      <c r="H30" s="5" t="s">
        <v>115</v>
      </c>
      <c r="I30" s="22" t="n">
        <v>6900</v>
      </c>
      <c r="J30" s="5" t="s">
        <v>19</v>
      </c>
      <c r="K30" s="23" t="n">
        <f aca="false">INDEX($C$47:$C$50,MATCH($J30,$A$47:$A$50,0))</f>
        <v>1</v>
      </c>
      <c r="L30" s="5" t="s">
        <v>119</v>
      </c>
      <c r="M30" s="21" t="str">
        <f aca="false">INDEX($B$40:$B$42,MATCH($L30,$A$40:$A$42,0))</f>
        <v>Ultramarin US Innovation UCITS ETF (USIQ)</v>
      </c>
      <c r="N30" s="19" t="n">
        <v>0</v>
      </c>
      <c r="O30" s="19" t="n">
        <v>0</v>
      </c>
      <c r="P30" s="18" t="n">
        <v>0.065</v>
      </c>
      <c r="Q30" s="18" t="n">
        <v>0.25</v>
      </c>
      <c r="R30" s="21" t="str">
        <f aca="false">INDEX($Z$17:$Z$23,MATCH($D30,$A$17:$A$23,0))</f>
        <v>Historical</v>
      </c>
      <c r="S30" s="20" t="n">
        <f aca="false">INDEX($W$17:$W$23,MATCH($D30,$A$17:$A$23,0))</f>
        <v>88000</v>
      </c>
      <c r="T30" s="16" t="n">
        <f aca="false">INDEX($Q$17:$Q$23,MATCH($D30,$A$17:$A$23,0))</f>
        <v>0.12</v>
      </c>
      <c r="U30" s="16" t="n">
        <f aca="false">INDEX($X$17:$X$23,MATCH($D30,$A$17:$A$23,0))</f>
        <v>0</v>
      </c>
      <c r="V30" s="16" t="n">
        <f aca="false">INDEX($R$17:$R$23,MATCH($D30,$A$17:$A$23,0))</f>
        <v>0.25</v>
      </c>
      <c r="W30" s="17" t="n">
        <f aca="false">INDEX($Y$17:$Y$23,MATCH($D30,$A$17:$A$23,0))</f>
        <v>0.008</v>
      </c>
      <c r="X30" s="16" t="n">
        <f aca="false">INDEX($S$17:$S$23,MATCH($D30,$A$17:$A$23,0))</f>
        <v>0.15</v>
      </c>
      <c r="Y30" s="5" t="s">
        <v>120</v>
      </c>
    </row>
    <row r="31" customFormat="false" ht="15" hidden="false" customHeight="false" outlineLevel="0" collapsed="false">
      <c r="A31" s="5" t="s">
        <v>121</v>
      </c>
      <c r="B31" s="5" t="s">
        <v>122</v>
      </c>
      <c r="C31" s="5" t="s">
        <v>106</v>
      </c>
      <c r="D31" s="5" t="s">
        <v>71</v>
      </c>
      <c r="E31" s="21" t="str">
        <f aca="false">INDEX($B$17:$B$23,MATCH($D31,$A$17:$A$23,0))</f>
        <v>YouTube — Finfluencer Network Pre-roll</v>
      </c>
      <c r="F31" s="5" t="s">
        <v>123</v>
      </c>
      <c r="G31" s="5" t="s">
        <v>124</v>
      </c>
      <c r="H31" s="5" t="s">
        <v>109</v>
      </c>
      <c r="I31" s="22" t="n">
        <v>12.4</v>
      </c>
      <c r="J31" s="5" t="s">
        <v>125</v>
      </c>
      <c r="K31" s="23" t="n">
        <f aca="false">INDEX($C$47:$C$50,MATCH($J31,$A$47:$A$50,0))</f>
        <v>0.915</v>
      </c>
      <c r="L31" s="5" t="s">
        <v>119</v>
      </c>
      <c r="M31" s="21" t="str">
        <f aca="false">INDEX($B$40:$B$42,MATCH($L31,$A$40:$A$42,0))</f>
        <v>Ultramarin US Innovation UCITS ETF (USIQ)</v>
      </c>
      <c r="N31" s="19" t="n">
        <v>0</v>
      </c>
      <c r="O31" s="19" t="n">
        <v>8E-005</v>
      </c>
      <c r="P31" s="18" t="n">
        <v>0.015</v>
      </c>
      <c r="Q31" s="18" t="n">
        <v>0.35</v>
      </c>
      <c r="R31" s="21" t="str">
        <f aca="false">INDEX($Z$17:$Z$23,MATCH($D31,$A$17:$A$23,0))</f>
        <v>Historical</v>
      </c>
      <c r="S31" s="20" t="n">
        <f aca="false">INDEX($W$17:$W$23,MATCH($D31,$A$17:$A$23,0))</f>
        <v>480000</v>
      </c>
      <c r="T31" s="16" t="n">
        <f aca="false">INDEX($Q$17:$Q$23,MATCH($D31,$A$17:$A$23,0))</f>
        <v>0.28</v>
      </c>
      <c r="U31" s="16" t="n">
        <f aca="false">INDEX($X$17:$X$23,MATCH($D31,$A$17:$A$23,0))</f>
        <v>0.59</v>
      </c>
      <c r="V31" s="16" t="n">
        <f aca="false">INDEX($R$17:$R$23,MATCH($D31,$A$17:$A$23,0))</f>
        <v>0.14</v>
      </c>
      <c r="W31" s="17" t="n">
        <f aca="false">INDEX($Y$17:$Y$23,MATCH($D31,$A$17:$A$23,0))</f>
        <v>0.005</v>
      </c>
      <c r="X31" s="16" t="n">
        <f aca="false">INDEX($S$17:$S$23,MATCH($D31,$A$17:$A$23,0))</f>
        <v>0.24</v>
      </c>
      <c r="Y31" s="5" t="s">
        <v>126</v>
      </c>
    </row>
    <row r="32" customFormat="false" ht="15" hidden="false" customHeight="false" outlineLevel="0" collapsed="false">
      <c r="A32" s="5" t="s">
        <v>127</v>
      </c>
      <c r="B32" s="5" t="s">
        <v>75</v>
      </c>
      <c r="C32" s="5" t="s">
        <v>106</v>
      </c>
      <c r="D32" s="5" t="s">
        <v>74</v>
      </c>
      <c r="E32" s="21" t="str">
        <f aca="false">INDEX($B$17:$B$23,MATCH($D32,$A$17:$A$23,0))</f>
        <v>Trade Republic — In-App Display</v>
      </c>
      <c r="F32" s="5" t="s">
        <v>128</v>
      </c>
      <c r="G32" s="5" t="s">
        <v>124</v>
      </c>
      <c r="H32" s="5" t="s">
        <v>109</v>
      </c>
      <c r="I32" s="22" t="n">
        <v>12</v>
      </c>
      <c r="J32" s="5" t="s">
        <v>19</v>
      </c>
      <c r="K32" s="23" t="n">
        <f aca="false">INDEX($C$47:$C$50,MATCH($J32,$A$47:$A$50,0))</f>
        <v>1</v>
      </c>
      <c r="L32" s="5" t="s">
        <v>129</v>
      </c>
      <c r="M32" s="21" t="str">
        <f aca="false">INDEX($B$40:$B$42,MATCH($L32,$A$40:$A$42,0))</f>
        <v>EUAI Savings Plan (monthly)</v>
      </c>
      <c r="N32" s="19" t="n">
        <v>0</v>
      </c>
      <c r="O32" s="19" t="n">
        <v>0</v>
      </c>
      <c r="P32" s="18" t="n">
        <v>0.045</v>
      </c>
      <c r="Q32" s="18" t="n">
        <v>0.28</v>
      </c>
      <c r="R32" s="21" t="str">
        <f aca="false">INDEX($Z$17:$Z$23,MATCH($D32,$A$17:$A$23,0))</f>
        <v>Fallback</v>
      </c>
      <c r="S32" s="20" t="n">
        <f aca="false">INDEX($W$17:$W$23,MATCH($D32,$A$17:$A$23,0))</f>
        <v>1200000</v>
      </c>
      <c r="T32" s="16" t="n">
        <f aca="false">INDEX($Q$17:$Q$23,MATCH($D32,$A$17:$A$23,0))</f>
        <v>0.3</v>
      </c>
      <c r="U32" s="16" t="n">
        <f aca="false">INDEX($X$17:$X$23,MATCH($D32,$A$17:$A$23,0))</f>
        <v>0</v>
      </c>
      <c r="V32" s="16" t="n">
        <f aca="false">INDEX($R$17:$R$23,MATCH($D32,$A$17:$A$23,0))</f>
        <v>0.25</v>
      </c>
      <c r="W32" s="17" t="n">
        <f aca="false">INDEX($Y$17:$Y$23,MATCH($D32,$A$17:$A$23,0))</f>
        <v>0.0035</v>
      </c>
      <c r="X32" s="16" t="n">
        <f aca="false">INDEX($S$17:$S$23,MATCH($D32,$A$17:$A$23,0))</f>
        <v>0.3</v>
      </c>
      <c r="Y32" s="5" t="s">
        <v>130</v>
      </c>
    </row>
    <row r="33" customFormat="false" ht="15" hidden="false" customHeight="false" outlineLevel="0" collapsed="false">
      <c r="A33" s="5" t="s">
        <v>131</v>
      </c>
      <c r="B33" s="5" t="s">
        <v>132</v>
      </c>
      <c r="C33" s="5" t="s">
        <v>133</v>
      </c>
      <c r="D33" s="5" t="s">
        <v>74</v>
      </c>
      <c r="E33" s="21" t="str">
        <f aca="false">INDEX($B$17:$B$23,MATCH($D33,$A$17:$A$23,0))</f>
        <v>Trade Republic — In-App Display</v>
      </c>
      <c r="F33" s="5" t="s">
        <v>128</v>
      </c>
      <c r="G33" s="5" t="s">
        <v>134</v>
      </c>
      <c r="H33" s="5" t="s">
        <v>115</v>
      </c>
      <c r="I33" s="22" t="n">
        <v>25000</v>
      </c>
      <c r="J33" s="5" t="s">
        <v>19</v>
      </c>
      <c r="K33" s="23" t="n">
        <f aca="false">INDEX($C$47:$C$50,MATCH($J33,$A$47:$A$50,0))</f>
        <v>1</v>
      </c>
      <c r="L33" s="5" t="s">
        <v>129</v>
      </c>
      <c r="M33" s="21" t="str">
        <f aca="false">INDEX($B$40:$B$42,MATCH($L33,$A$40:$A$42,0))</f>
        <v>EUAI Savings Plan (monthly)</v>
      </c>
      <c r="N33" s="19" t="n">
        <v>0</v>
      </c>
      <c r="O33" s="19" t="n">
        <v>0</v>
      </c>
      <c r="P33" s="18" t="n">
        <v>0.055</v>
      </c>
      <c r="Q33" s="18" t="n">
        <v>0.28</v>
      </c>
      <c r="R33" s="21" t="str">
        <f aca="false">INDEX($Z$17:$Z$23,MATCH($D33,$A$17:$A$23,0))</f>
        <v>Fallback</v>
      </c>
      <c r="S33" s="20" t="n">
        <f aca="false">INDEX($W$17:$W$23,MATCH($D33,$A$17:$A$23,0))</f>
        <v>1200000</v>
      </c>
      <c r="T33" s="16" t="n">
        <f aca="false">INDEX($Q$17:$Q$23,MATCH($D33,$A$17:$A$23,0))</f>
        <v>0.3</v>
      </c>
      <c r="U33" s="16" t="n">
        <f aca="false">INDEX($X$17:$X$23,MATCH($D33,$A$17:$A$23,0))</f>
        <v>0</v>
      </c>
      <c r="V33" s="16" t="n">
        <f aca="false">INDEX($R$17:$R$23,MATCH($D33,$A$17:$A$23,0))</f>
        <v>0.25</v>
      </c>
      <c r="W33" s="17" t="n">
        <f aca="false">INDEX($Y$17:$Y$23,MATCH($D33,$A$17:$A$23,0))</f>
        <v>0.0035</v>
      </c>
      <c r="X33" s="16" t="n">
        <f aca="false">INDEX($S$17:$S$23,MATCH($D33,$A$17:$A$23,0))</f>
        <v>0.3</v>
      </c>
      <c r="Y33" s="5" t="s">
        <v>135</v>
      </c>
    </row>
    <row r="34" customFormat="false" ht="15" hidden="false" customHeight="false" outlineLevel="0" collapsed="false">
      <c r="A34" s="5" t="s">
        <v>136</v>
      </c>
      <c r="B34" s="5" t="s">
        <v>137</v>
      </c>
      <c r="C34" s="5" t="s">
        <v>133</v>
      </c>
      <c r="D34" s="5" t="s">
        <v>78</v>
      </c>
      <c r="E34" s="21" t="str">
        <f aca="false">INDEX($B$17:$B$23,MATCH($D34,$A$17:$A$23,0))</f>
        <v>Meta — Feed Video (Investor Lookalike)</v>
      </c>
      <c r="F34" s="5" t="s">
        <v>138</v>
      </c>
      <c r="G34" s="5" t="s">
        <v>134</v>
      </c>
      <c r="H34" s="5" t="s">
        <v>139</v>
      </c>
      <c r="I34" s="22" t="n">
        <v>1.85</v>
      </c>
      <c r="J34" s="5" t="s">
        <v>19</v>
      </c>
      <c r="K34" s="23" t="n">
        <f aca="false">INDEX($C$47:$C$50,MATCH($J34,$A$47:$A$50,0))</f>
        <v>1</v>
      </c>
      <c r="L34" s="5" t="s">
        <v>119</v>
      </c>
      <c r="M34" s="21" t="str">
        <f aca="false">INDEX($B$40:$B$42,MATCH($L34,$A$40:$A$42,0))</f>
        <v>Ultramarin US Innovation UCITS ETF (USIQ)</v>
      </c>
      <c r="N34" s="19" t="n">
        <v>0</v>
      </c>
      <c r="O34" s="19" t="n">
        <v>8E-005</v>
      </c>
      <c r="P34" s="18" t="n">
        <v>0.02</v>
      </c>
      <c r="Q34" s="18" t="n">
        <v>0.32</v>
      </c>
      <c r="R34" s="21" t="str">
        <f aca="false">INDEX($Z$17:$Z$23,MATCH($D34,$A$17:$A$23,0))</f>
        <v>Historical</v>
      </c>
      <c r="S34" s="20" t="n">
        <f aca="false">INDEX($W$17:$W$23,MATCH($D34,$A$17:$A$23,0))</f>
        <v>520000</v>
      </c>
      <c r="T34" s="16" t="n">
        <f aca="false">INDEX($Q$17:$Q$23,MATCH($D34,$A$17:$A$23,0))</f>
        <v>0.2</v>
      </c>
      <c r="U34" s="16" t="n">
        <f aca="false">INDEX($X$17:$X$23,MATCH($D34,$A$17:$A$23,0))</f>
        <v>0.23</v>
      </c>
      <c r="V34" s="16" t="n">
        <f aca="false">INDEX($R$17:$R$23,MATCH($D34,$A$17:$A$23,0))</f>
        <v>0.16</v>
      </c>
      <c r="W34" s="17" t="n">
        <f aca="false">INDEX($Y$17:$Y$23,MATCH($D34,$A$17:$A$23,0))</f>
        <v>0.006</v>
      </c>
      <c r="X34" s="16" t="n">
        <f aca="false">INDEX($S$17:$S$23,MATCH($D34,$A$17:$A$23,0))</f>
        <v>0.18</v>
      </c>
      <c r="Y34" s="5" t="s">
        <v>140</v>
      </c>
    </row>
    <row r="35" customFormat="false" ht="15" hidden="false" customHeight="false" outlineLevel="0" collapsed="false">
      <c r="A35" s="5" t="s">
        <v>141</v>
      </c>
      <c r="B35" s="5" t="s">
        <v>82</v>
      </c>
      <c r="C35" s="5" t="s">
        <v>106</v>
      </c>
      <c r="D35" s="5" t="s">
        <v>81</v>
      </c>
      <c r="E35" s="21" t="str">
        <f aca="false">INDEX($B$17:$B$23,MATCH($D35,$A$17:$A$23,0))</f>
        <v>justETF — Sponsored Listing</v>
      </c>
      <c r="F35" s="5" t="s">
        <v>142</v>
      </c>
      <c r="G35" s="5" t="s">
        <v>108</v>
      </c>
      <c r="H35" s="5" t="s">
        <v>115</v>
      </c>
      <c r="I35" s="22" t="n">
        <v>7400</v>
      </c>
      <c r="J35" s="5" t="s">
        <v>143</v>
      </c>
      <c r="K35" s="23" t="n">
        <f aca="false">INDEX($C$47:$C$50,MATCH($J35,$A$47:$A$50,0))</f>
        <v>1.172</v>
      </c>
      <c r="L35" s="5" t="s">
        <v>110</v>
      </c>
      <c r="M35" s="21" t="str">
        <f aca="false">INDEX($B$40:$B$42,MATCH($L35,$A$40:$A$42,0))</f>
        <v>Ultramarin Europe AI UCITS ETF (EUAI)</v>
      </c>
      <c r="N35" s="19" t="n">
        <v>0</v>
      </c>
      <c r="O35" s="19" t="n">
        <v>0</v>
      </c>
      <c r="P35" s="18" t="n">
        <v>0.07</v>
      </c>
      <c r="Q35" s="18" t="n">
        <v>0.26</v>
      </c>
      <c r="R35" s="21" t="str">
        <f aca="false">INDEX($Z$17:$Z$23,MATCH($D35,$A$17:$A$23,0))</f>
        <v>Blended 40% historical</v>
      </c>
      <c r="S35" s="20" t="n">
        <f aca="false">INDEX($W$17:$W$23,MATCH($D35,$A$17:$A$23,0))</f>
        <v>89400</v>
      </c>
      <c r="T35" s="16" t="n">
        <f aca="false">INDEX($Q$17:$Q$23,MATCH($D35,$A$17:$A$23,0))</f>
        <v>0.15</v>
      </c>
      <c r="U35" s="16" t="n">
        <f aca="false">INDEX($X$17:$X$23,MATCH($D35,$A$17:$A$23,0))</f>
        <v>0</v>
      </c>
      <c r="V35" s="16" t="n">
        <f aca="false">INDEX($R$17:$R$23,MATCH($D35,$A$17:$A$23,0))</f>
        <v>0.25</v>
      </c>
      <c r="W35" s="17" t="n">
        <f aca="false">INDEX($Y$17:$Y$23,MATCH($D35,$A$17:$A$23,0))</f>
        <v>0.0067</v>
      </c>
      <c r="X35" s="16" t="n">
        <f aca="false">INDEX($S$17:$S$23,MATCH($D35,$A$17:$A$23,0))</f>
        <v>0.2</v>
      </c>
      <c r="Y35" s="5" t="s">
        <v>144</v>
      </c>
    </row>
    <row r="37" customFormat="false" ht="15" hidden="false" customHeight="false" outlineLevel="0" collapsed="false">
      <c r="A37" s="3" t="s">
        <v>145</v>
      </c>
    </row>
    <row r="38" customFormat="false" ht="15" hidden="false" customHeight="false" outlineLevel="0" collapsed="false">
      <c r="A38" s="2" t="s">
        <v>146</v>
      </c>
    </row>
    <row r="39" customFormat="false" ht="42" hidden="false" customHeight="true" outlineLevel="0" collapsed="false">
      <c r="A39" s="14" t="s">
        <v>147</v>
      </c>
      <c r="B39" s="14" t="s">
        <v>96</v>
      </c>
      <c r="C39" s="14" t="s">
        <v>148</v>
      </c>
      <c r="D39" s="14" t="s">
        <v>149</v>
      </c>
      <c r="E39" s="14" t="s">
        <v>150</v>
      </c>
      <c r="F39" s="14" t="s">
        <v>151</v>
      </c>
      <c r="G39" s="14" t="s">
        <v>152</v>
      </c>
      <c r="H39" s="14" t="s">
        <v>94</v>
      </c>
      <c r="I39" s="14" t="s">
        <v>30</v>
      </c>
    </row>
    <row r="40" customFormat="false" ht="15" hidden="false" customHeight="false" outlineLevel="0" collapsed="false">
      <c r="A40" s="5" t="s">
        <v>110</v>
      </c>
      <c r="B40" s="5" t="s">
        <v>153</v>
      </c>
      <c r="C40" s="5" t="s">
        <v>19</v>
      </c>
      <c r="D40" s="22" t="n">
        <v>8500</v>
      </c>
      <c r="E40" s="18" t="n">
        <v>0.0045</v>
      </c>
      <c r="F40" s="22" t="n">
        <v>5</v>
      </c>
      <c r="G40" s="24" t="n">
        <f aca="false">$D40*$E40*$F40</f>
        <v>191.25</v>
      </c>
      <c r="H40" s="23" t="n">
        <f aca="false">INDEX($C$47:$C$50,MATCH($C40,$A$47:$A$50,0))</f>
        <v>1</v>
      </c>
      <c r="I40" s="5" t="s">
        <v>154</v>
      </c>
    </row>
    <row r="41" customFormat="false" ht="15" hidden="false" customHeight="false" outlineLevel="0" collapsed="false">
      <c r="A41" s="5" t="s">
        <v>119</v>
      </c>
      <c r="B41" s="5" t="s">
        <v>155</v>
      </c>
      <c r="C41" s="5" t="s">
        <v>19</v>
      </c>
      <c r="D41" s="22" t="n">
        <v>7200</v>
      </c>
      <c r="E41" s="18" t="n">
        <v>0.0049</v>
      </c>
      <c r="F41" s="22" t="n">
        <v>4.5</v>
      </c>
      <c r="G41" s="24" t="n">
        <f aca="false">$D41*$E41*$F41</f>
        <v>158.76</v>
      </c>
      <c r="H41" s="23" t="n">
        <f aca="false">INDEX($C$47:$C$50,MATCH($C41,$A$47:$A$50,0))</f>
        <v>1</v>
      </c>
      <c r="I41" s="5" t="s">
        <v>156</v>
      </c>
    </row>
    <row r="42" customFormat="false" ht="15" hidden="false" customHeight="false" outlineLevel="0" collapsed="false">
      <c r="A42" s="5" t="s">
        <v>129</v>
      </c>
      <c r="B42" s="5" t="s">
        <v>157</v>
      </c>
      <c r="C42" s="5" t="s">
        <v>19</v>
      </c>
      <c r="D42" s="22" t="n">
        <v>5400</v>
      </c>
      <c r="E42" s="18" t="n">
        <v>0.003</v>
      </c>
      <c r="F42" s="22" t="n">
        <v>7</v>
      </c>
      <c r="G42" s="24" t="n">
        <f aca="false">$D42*$E42*$F42</f>
        <v>113.4</v>
      </c>
      <c r="H42" s="23" t="n">
        <f aca="false">INDEX($C$47:$C$50,MATCH($C42,$A$47:$A$50,0))</f>
        <v>1</v>
      </c>
      <c r="I42" s="5" t="s">
        <v>158</v>
      </c>
    </row>
    <row r="44" customFormat="false" ht="15" hidden="false" customHeight="false" outlineLevel="0" collapsed="false">
      <c r="A44" s="3" t="s">
        <v>159</v>
      </c>
    </row>
    <row r="45" customFormat="false" ht="15" hidden="false" customHeight="false" outlineLevel="0" collapsed="false">
      <c r="A45" s="2" t="s">
        <v>160</v>
      </c>
    </row>
    <row r="46" customFormat="false" ht="42" hidden="false" customHeight="true" outlineLevel="0" collapsed="false">
      <c r="A46" s="14" t="s">
        <v>161</v>
      </c>
      <c r="B46" s="14" t="s">
        <v>18</v>
      </c>
      <c r="C46" s="14" t="s">
        <v>162</v>
      </c>
      <c r="D46" s="14" t="s">
        <v>163</v>
      </c>
      <c r="E46" s="14" t="s">
        <v>164</v>
      </c>
      <c r="F46" s="14" t="s">
        <v>165</v>
      </c>
      <c r="G46" s="14" t="s">
        <v>30</v>
      </c>
    </row>
    <row r="47" customFormat="false" ht="15" hidden="false" customHeight="false" outlineLevel="0" collapsed="false">
      <c r="A47" s="5" t="s">
        <v>19</v>
      </c>
      <c r="B47" s="5" t="s">
        <v>19</v>
      </c>
      <c r="C47" s="25" t="n">
        <v>1</v>
      </c>
      <c r="D47" s="26" t="s">
        <v>166</v>
      </c>
      <c r="E47" s="27" t="n">
        <v>46270</v>
      </c>
      <c r="F47" s="5" t="s">
        <v>167</v>
      </c>
      <c r="G47" s="5" t="s">
        <v>168</v>
      </c>
    </row>
    <row r="48" customFormat="false" ht="15" hidden="false" customHeight="false" outlineLevel="0" collapsed="false">
      <c r="A48" s="5" t="s">
        <v>125</v>
      </c>
      <c r="B48" s="5" t="s">
        <v>19</v>
      </c>
      <c r="C48" s="25" t="n">
        <v>0.915</v>
      </c>
      <c r="D48" s="26" t="s">
        <v>169</v>
      </c>
      <c r="E48" s="27" t="n">
        <v>46270</v>
      </c>
      <c r="F48" s="5" t="s">
        <v>167</v>
      </c>
      <c r="G48" s="5" t="s">
        <v>170</v>
      </c>
    </row>
    <row r="49" customFormat="false" ht="15" hidden="false" customHeight="false" outlineLevel="0" collapsed="false">
      <c r="A49" s="5" t="s">
        <v>143</v>
      </c>
      <c r="B49" s="5" t="s">
        <v>19</v>
      </c>
      <c r="C49" s="25" t="n">
        <v>1.172</v>
      </c>
      <c r="D49" s="26" t="s">
        <v>169</v>
      </c>
      <c r="E49" s="27" t="n">
        <v>46270</v>
      </c>
      <c r="F49" s="5" t="s">
        <v>167</v>
      </c>
      <c r="G49" s="5" t="s">
        <v>171</v>
      </c>
    </row>
    <row r="50" customFormat="false" ht="15" hidden="false" customHeight="false" outlineLevel="0" collapsed="false">
      <c r="A50" s="5" t="s">
        <v>172</v>
      </c>
      <c r="B50" s="5" t="s">
        <v>19</v>
      </c>
      <c r="C50" s="28" t="n">
        <v>1.048</v>
      </c>
      <c r="D50" s="26" t="s">
        <v>173</v>
      </c>
      <c r="E50" s="27" t="n">
        <v>46266</v>
      </c>
      <c r="F50" s="5" t="s">
        <v>174</v>
      </c>
      <c r="G50" s="5" t="s">
        <v>175</v>
      </c>
    </row>
    <row r="52" customFormat="false" ht="15" hidden="false" customHeight="false" outlineLevel="0" collapsed="false">
      <c r="A52" s="3" t="s">
        <v>176</v>
      </c>
    </row>
    <row r="53" customFormat="false" ht="15" hidden="false" customHeight="false" outlineLevel="0" collapsed="false">
      <c r="A53" s="2" t="s">
        <v>177</v>
      </c>
      <c r="B53" s="6" t="s">
        <v>178</v>
      </c>
      <c r="C53" s="6"/>
      <c r="D53" s="6"/>
      <c r="E53" s="6"/>
      <c r="F53" s="6"/>
      <c r="G53" s="6"/>
      <c r="H53" s="6"/>
      <c r="I53" s="6"/>
      <c r="J53" s="6"/>
      <c r="K53" s="6"/>
      <c r="L53" s="6"/>
      <c r="M53" s="6"/>
      <c r="N53" s="6"/>
    </row>
    <row r="54" customFormat="false" ht="15" hidden="false" customHeight="false" outlineLevel="0" collapsed="false">
      <c r="A54" s="2" t="s">
        <v>177</v>
      </c>
      <c r="B54" s="6" t="s">
        <v>179</v>
      </c>
      <c r="C54" s="6"/>
      <c r="D54" s="6"/>
      <c r="E54" s="6"/>
      <c r="F54" s="6"/>
      <c r="G54" s="6"/>
      <c r="H54" s="6"/>
      <c r="I54" s="6"/>
      <c r="J54" s="6"/>
      <c r="K54" s="6"/>
      <c r="L54" s="6"/>
      <c r="M54" s="6"/>
      <c r="N54" s="6"/>
    </row>
    <row r="55" customFormat="false" ht="15" hidden="false" customHeight="false" outlineLevel="0" collapsed="false">
      <c r="A55" s="2" t="s">
        <v>177</v>
      </c>
      <c r="B55" s="6" t="s">
        <v>180</v>
      </c>
      <c r="C55" s="6"/>
      <c r="D55" s="6"/>
      <c r="E55" s="6"/>
      <c r="F55" s="6"/>
      <c r="G55" s="6"/>
      <c r="H55" s="6"/>
      <c r="I55" s="6"/>
      <c r="J55" s="6"/>
      <c r="K55" s="6"/>
      <c r="L55" s="6"/>
      <c r="M55" s="6"/>
      <c r="N55" s="6"/>
    </row>
    <row r="56" customFormat="false" ht="15" hidden="false" customHeight="false" outlineLevel="0" collapsed="false">
      <c r="A56" s="2" t="s">
        <v>177</v>
      </c>
      <c r="B56" s="6" t="s">
        <v>181</v>
      </c>
      <c r="C56" s="6"/>
      <c r="D56" s="6"/>
      <c r="E56" s="6"/>
      <c r="F56" s="6"/>
      <c r="G56" s="6"/>
      <c r="H56" s="6"/>
      <c r="I56" s="6"/>
      <c r="J56" s="6"/>
      <c r="K56" s="6"/>
      <c r="L56" s="6"/>
      <c r="M56" s="6"/>
      <c r="N56" s="6"/>
    </row>
    <row r="57" customFormat="false" ht="15" hidden="false" customHeight="false" outlineLevel="0" collapsed="false">
      <c r="A57" s="2" t="s">
        <v>177</v>
      </c>
      <c r="B57" s="6" t="s">
        <v>182</v>
      </c>
      <c r="C57" s="6"/>
      <c r="D57" s="6"/>
      <c r="E57" s="6"/>
      <c r="F57" s="6"/>
      <c r="G57" s="6"/>
      <c r="H57" s="6"/>
      <c r="I57" s="6"/>
      <c r="J57" s="6"/>
      <c r="K57" s="6"/>
      <c r="L57" s="6"/>
      <c r="M57" s="6"/>
      <c r="N57" s="6"/>
    </row>
    <row r="58" customFormat="false" ht="15" hidden="false" customHeight="false" outlineLevel="0" collapsed="false">
      <c r="A58" s="2" t="s">
        <v>177</v>
      </c>
      <c r="B58" s="6" t="s">
        <v>183</v>
      </c>
      <c r="C58" s="6"/>
      <c r="D58" s="6"/>
      <c r="E58" s="6"/>
      <c r="F58" s="6"/>
      <c r="G58" s="6"/>
      <c r="H58" s="6"/>
      <c r="I58" s="6"/>
      <c r="J58" s="6"/>
      <c r="K58" s="6"/>
      <c r="L58" s="6"/>
      <c r="M58" s="6"/>
      <c r="N58" s="6"/>
    </row>
    <row r="59" customFormat="false" ht="15" hidden="false" customHeight="false" outlineLevel="0" collapsed="false">
      <c r="A59" s="2" t="s">
        <v>177</v>
      </c>
      <c r="B59" s="6" t="s">
        <v>184</v>
      </c>
      <c r="C59" s="6"/>
      <c r="D59" s="6"/>
      <c r="E59" s="6"/>
      <c r="F59" s="6"/>
      <c r="G59" s="6"/>
      <c r="H59" s="6"/>
      <c r="I59" s="6"/>
      <c r="J59" s="6"/>
      <c r="K59" s="6"/>
      <c r="L59" s="6"/>
      <c r="M59" s="6"/>
      <c r="N59" s="6"/>
    </row>
    <row r="60" customFormat="false" ht="15" hidden="false" customHeight="false" outlineLevel="0" collapsed="false">
      <c r="A60" s="2" t="s">
        <v>177</v>
      </c>
      <c r="B60" s="6" t="s">
        <v>185</v>
      </c>
      <c r="C60" s="6"/>
      <c r="D60" s="6"/>
      <c r="E60" s="6"/>
      <c r="F60" s="6"/>
      <c r="G60" s="6"/>
      <c r="H60" s="6"/>
      <c r="I60" s="6"/>
      <c r="J60" s="6"/>
      <c r="K60" s="6"/>
      <c r="L60" s="6"/>
      <c r="M60" s="6"/>
      <c r="N60" s="6"/>
    </row>
    <row r="61" customFormat="false" ht="15" hidden="false" customHeight="false" outlineLevel="0" collapsed="false">
      <c r="A61" s="2" t="s">
        <v>177</v>
      </c>
      <c r="B61" s="6" t="s">
        <v>186</v>
      </c>
      <c r="C61" s="6"/>
      <c r="D61" s="6"/>
      <c r="E61" s="6"/>
      <c r="F61" s="6"/>
      <c r="G61" s="6"/>
      <c r="H61" s="6"/>
      <c r="I61" s="6"/>
      <c r="J61" s="6"/>
      <c r="K61" s="6"/>
      <c r="L61" s="6"/>
      <c r="M61" s="6"/>
      <c r="N61" s="6"/>
    </row>
    <row r="63" customFormat="false" ht="15" hidden="false" customHeight="false" outlineLevel="0" collapsed="false">
      <c r="A63" s="3" t="s">
        <v>187</v>
      </c>
    </row>
    <row r="64" customFormat="false" ht="15" hidden="false" customHeight="false" outlineLevel="0" collapsed="false">
      <c r="A64" s="2" t="s">
        <v>177</v>
      </c>
      <c r="B64" s="6" t="s">
        <v>188</v>
      </c>
      <c r="C64" s="6"/>
      <c r="D64" s="6"/>
      <c r="E64" s="6"/>
      <c r="F64" s="6"/>
      <c r="G64" s="6"/>
      <c r="H64" s="6"/>
      <c r="I64" s="6"/>
      <c r="J64" s="6"/>
      <c r="K64" s="6"/>
      <c r="L64" s="6"/>
      <c r="M64" s="6"/>
      <c r="N64" s="6"/>
    </row>
    <row r="65" customFormat="false" ht="15" hidden="false" customHeight="false" outlineLevel="0" collapsed="false">
      <c r="A65" s="2" t="s">
        <v>177</v>
      </c>
      <c r="B65" s="6" t="s">
        <v>189</v>
      </c>
      <c r="C65" s="6"/>
      <c r="D65" s="6"/>
      <c r="E65" s="6"/>
      <c r="F65" s="6"/>
      <c r="G65" s="6"/>
      <c r="H65" s="6"/>
      <c r="I65" s="6"/>
      <c r="J65" s="6"/>
      <c r="K65" s="6"/>
      <c r="L65" s="6"/>
      <c r="M65" s="6"/>
      <c r="N65" s="6"/>
    </row>
    <row r="66" customFormat="false" ht="15" hidden="false" customHeight="false" outlineLevel="0" collapsed="false">
      <c r="A66" s="2" t="s">
        <v>177</v>
      </c>
      <c r="B66" s="6" t="s">
        <v>190</v>
      </c>
      <c r="C66" s="6"/>
      <c r="D66" s="6"/>
      <c r="E66" s="6"/>
      <c r="F66" s="6"/>
      <c r="G66" s="6"/>
      <c r="H66" s="6"/>
      <c r="I66" s="6"/>
      <c r="J66" s="6"/>
      <c r="K66" s="6"/>
      <c r="L66" s="6"/>
      <c r="M66" s="6"/>
      <c r="N66" s="6"/>
    </row>
    <row r="67" customFormat="false" ht="15" hidden="false" customHeight="false" outlineLevel="0" collapsed="false">
      <c r="A67" s="2" t="s">
        <v>177</v>
      </c>
      <c r="B67" s="6" t="s">
        <v>191</v>
      </c>
      <c r="C67" s="6"/>
      <c r="D67" s="6"/>
      <c r="E67" s="6"/>
      <c r="F67" s="6"/>
      <c r="G67" s="6"/>
      <c r="H67" s="6"/>
      <c r="I67" s="6"/>
      <c r="J67" s="6"/>
      <c r="K67" s="6"/>
      <c r="L67" s="6"/>
      <c r="M67" s="6"/>
      <c r="N67" s="6"/>
    </row>
    <row r="68" customFormat="false" ht="15" hidden="false" customHeight="false" outlineLevel="0" collapsed="false">
      <c r="A68" s="2" t="s">
        <v>177</v>
      </c>
      <c r="B68" s="6" t="s">
        <v>192</v>
      </c>
      <c r="C68" s="6"/>
      <c r="D68" s="6"/>
      <c r="E68" s="6"/>
      <c r="F68" s="6"/>
      <c r="G68" s="6"/>
      <c r="H68" s="6"/>
      <c r="I68" s="6"/>
      <c r="J68" s="6"/>
      <c r="K68" s="6"/>
      <c r="L68" s="6"/>
      <c r="M68" s="6"/>
      <c r="N68" s="6"/>
    </row>
    <row r="69" customFormat="false" ht="15" hidden="false" customHeight="false" outlineLevel="0" collapsed="false">
      <c r="A69" s="2" t="s">
        <v>177</v>
      </c>
      <c r="B69" s="6" t="s">
        <v>193</v>
      </c>
      <c r="C69" s="6"/>
      <c r="D69" s="6"/>
      <c r="E69" s="6"/>
      <c r="F69" s="6"/>
      <c r="G69" s="6"/>
      <c r="H69" s="6"/>
      <c r="I69" s="6"/>
      <c r="J69" s="6"/>
      <c r="K69" s="6"/>
      <c r="L69" s="6"/>
      <c r="M69" s="6"/>
      <c r="N69" s="6"/>
    </row>
  </sheetData>
  <sheetProtection sheet="true" formatCells="false" formatColumns="false" formatRows="false" sort="false" autoFilter="false" pivotTables="false"/>
  <mergeCells count="36">
    <mergeCell ref="C5:E5"/>
    <mergeCell ref="F5:M5"/>
    <mergeCell ref="Q5:U5"/>
    <mergeCell ref="C6:E6"/>
    <mergeCell ref="F6:M6"/>
    <mergeCell ref="Q6:U6"/>
    <mergeCell ref="C7:E7"/>
    <mergeCell ref="F7:M7"/>
    <mergeCell ref="Q7:U7"/>
    <mergeCell ref="C8:E8"/>
    <mergeCell ref="F8:M8"/>
    <mergeCell ref="Q8:U8"/>
    <mergeCell ref="C9:E9"/>
    <mergeCell ref="F9:M9"/>
    <mergeCell ref="C10:E10"/>
    <mergeCell ref="F10:M10"/>
    <mergeCell ref="O10:U10"/>
    <mergeCell ref="C11:E11"/>
    <mergeCell ref="F11:M11"/>
    <mergeCell ref="C12:E12"/>
    <mergeCell ref="F12:M12"/>
    <mergeCell ref="B53:N53"/>
    <mergeCell ref="B54:N54"/>
    <mergeCell ref="B55:N55"/>
    <mergeCell ref="B56:N56"/>
    <mergeCell ref="B57:N57"/>
    <mergeCell ref="B58:N58"/>
    <mergeCell ref="B59:N59"/>
    <mergeCell ref="B60:N60"/>
    <mergeCell ref="B61:N61"/>
    <mergeCell ref="B64:N64"/>
    <mergeCell ref="B65:N65"/>
    <mergeCell ref="B66:N66"/>
    <mergeCell ref="B67:N67"/>
    <mergeCell ref="B68:N68"/>
    <mergeCell ref="B69:N69"/>
  </mergeCells>
  <dataValidations count="8">
    <dataValidation allowBlank="true" errorStyle="stop" operator="between" showDropDown="false" showErrorMessage="false" showInputMessage="false" sqref="C28:C35" type="list">
      <formula1>"Campaign activation,Scenario activation"</formula1>
      <formula2>0</formula2>
    </dataValidation>
    <dataValidation allowBlank="true" errorStyle="stop" operator="between" showDropDown="false" showErrorMessage="false" showInputMessage="false" sqref="H28:H35" type="list">
      <formula1>"Fixed,CPM,CPC"</formula1>
      <formula2>0</formula2>
    </dataValidation>
    <dataValidation allowBlank="true" errorStyle="stop" operator="between" showDropDown="false" showErrorMessage="false" showInputMessage="false" sqref="G28:G35" type="list">
      <formula1>"Confirmed,Planned,Proposed,Live,Complete,Cancelled"</formula1>
      <formula2>0</formula2>
    </dataValidation>
    <dataValidation allowBlank="true" errorStyle="stop" operator="between" showDropDown="false" showErrorMessage="false" showInputMessage="false" sqref="C17:C23" type="list">
      <formula1>"Historical,Fallback,Blended"</formula1>
      <formula2>0</formula2>
    </dataValidation>
    <dataValidation allowBlank="true" errorStyle="stop" operator="between" showDropDown="false" showErrorMessage="false" showInputMessage="false" sqref="F47:F50" type="list">
      <formula1>"Yes,No"</formula1>
      <formula2>0</formula2>
    </dataValidation>
    <dataValidation allowBlank="true" errorStyle="stop" operator="between" showDropDown="false" showErrorMessage="false" showInputMessage="false" sqref="L28:L35" type="list">
      <formula1>$A$40:$A$42</formula1>
      <formula2>0</formula2>
    </dataValidation>
    <dataValidation allowBlank="true" errorStyle="stop" operator="between" showDropDown="false" showErrorMessage="false" showInputMessage="false" sqref="D28:D35" type="list">
      <formula1>$A$17:$A$23</formula1>
      <formula2>0</formula2>
    </dataValidation>
    <dataValidation allowBlank="true" errorStyle="stop" operator="between" showDropDown="false" showErrorMessage="false" showInputMessage="false" sqref="J28:J35" type="list">
      <formula1>$A$47:$A$50</formula1>
      <formula2>0</formula2>
    </dataValidation>
  </dataValidation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legacyDrawing r:id="rId2"/>
  <tableParts>
    <tablePart r:id="rId3"/>
    <tablePart r:id="rId4"/>
    <tablePart r:id="rId5"/>
    <tablePart r:id="rId6"/>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1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0"/>
    <col collapsed="false" customWidth="true" hidden="false" outlineLevel="0" max="3" min="3" style="0" width="30"/>
    <col collapsed="false" customWidth="true" hidden="false" outlineLevel="0" max="4" min="4" style="0" width="34"/>
    <col collapsed="false" customWidth="true" hidden="false" outlineLevel="0" max="5" min="5" style="0" width="22"/>
    <col collapsed="false" customWidth="true" hidden="false" outlineLevel="0" max="14" min="6" style="0" width="18"/>
    <col collapsed="false" customWidth="true" hidden="false" outlineLevel="0" max="15" min="15" style="0" width="14"/>
    <col collapsed="false" customWidth="true" hidden="false" outlineLevel="0" max="16" min="16" style="0" width="20"/>
  </cols>
  <sheetData>
    <row r="1" customFormat="false" ht="30" hidden="false" customHeight="true" outlineLevel="0" collapsed="false">
      <c r="A1" s="1" t="s">
        <v>194</v>
      </c>
      <c r="B1" s="1"/>
      <c r="C1" s="1"/>
      <c r="D1" s="1"/>
      <c r="E1" s="1"/>
      <c r="F1" s="1"/>
      <c r="G1" s="1"/>
      <c r="H1" s="1"/>
      <c r="I1" s="1"/>
      <c r="J1" s="1"/>
      <c r="K1" s="1"/>
      <c r="L1" s="1"/>
      <c r="M1" s="1"/>
      <c r="N1" s="1"/>
      <c r="O1" s="1"/>
      <c r="P1" s="1"/>
    </row>
    <row r="2" customFormat="false" ht="15" hidden="false" customHeight="false" outlineLevel="0" collapsed="false">
      <c r="A2" s="2" t="s">
        <v>195</v>
      </c>
    </row>
    <row r="4" customFormat="false" ht="15" hidden="false" customHeight="false" outlineLevel="0" collapsed="false">
      <c r="A4" s="3" t="s">
        <v>196</v>
      </c>
      <c r="F4" s="29" t="s">
        <v>197</v>
      </c>
      <c r="G4" s="29"/>
      <c r="H4" s="29" t="s">
        <v>198</v>
      </c>
      <c r="I4" s="29"/>
      <c r="J4" s="29" t="s">
        <v>199</v>
      </c>
      <c r="K4" s="29"/>
      <c r="L4" s="29" t="s">
        <v>200</v>
      </c>
      <c r="M4" s="29"/>
    </row>
    <row r="5" customFormat="false" ht="15" hidden="false" customHeight="false" outlineLevel="0" collapsed="false">
      <c r="A5" s="4" t="s">
        <v>4</v>
      </c>
      <c r="B5" s="21" t="str">
        <f aca="false">'Model Inputs &amp; Assumptions'!$C$5</f>
        <v>Ultramarin — German Retail Launch</v>
      </c>
      <c r="C5" s="21"/>
      <c r="F5" s="30" t="n">
        <f aca="false">$C$20</f>
        <v>672.472972018564</v>
      </c>
      <c r="G5" s="30"/>
      <c r="H5" s="31" t="n">
        <f aca="false">$C$22</f>
        <v>74891.067425</v>
      </c>
      <c r="I5" s="31"/>
      <c r="J5" s="31" t="n">
        <f aca="false">$C$24</f>
        <v>92220.1766436492</v>
      </c>
      <c r="K5" s="31"/>
      <c r="L5" s="32" t="n">
        <f aca="false">$C$25</f>
        <v>1.22010319718418</v>
      </c>
      <c r="M5" s="32"/>
    </row>
    <row r="6" customFormat="false" ht="15" hidden="false" customHeight="false" outlineLevel="0" collapsed="false">
      <c r="A6" s="4" t="s">
        <v>9</v>
      </c>
      <c r="B6" s="21" t="str">
        <f aca="false">'Model Inputs &amp; Assumptions'!$C$6</f>
        <v>Base case — 8 activations, Q1 2027</v>
      </c>
      <c r="C6" s="21"/>
      <c r="F6" s="30"/>
      <c r="G6" s="30"/>
      <c r="H6" s="31"/>
      <c r="I6" s="31"/>
      <c r="J6" s="31"/>
      <c r="K6" s="31"/>
      <c r="L6" s="32"/>
      <c r="M6" s="32"/>
    </row>
    <row r="7" customFormat="false" ht="15" hidden="false" customHeight="false" outlineLevel="0" collapsed="false">
      <c r="A7" s="4" t="s">
        <v>18</v>
      </c>
      <c r="B7" s="21" t="str">
        <f aca="false">'Model Inputs &amp; Assumptions'!$C$8</f>
        <v>EUR</v>
      </c>
      <c r="C7" s="21"/>
      <c r="F7" s="30"/>
      <c r="G7" s="30"/>
      <c r="H7" s="31"/>
      <c r="I7" s="31"/>
      <c r="J7" s="31"/>
      <c r="K7" s="31"/>
      <c r="L7" s="32"/>
      <c r="M7" s="32"/>
    </row>
    <row r="8" customFormat="false" ht="15" hidden="false" customHeight="false" outlineLevel="0" collapsed="false">
      <c r="A8" s="4" t="s">
        <v>201</v>
      </c>
      <c r="B8" s="20" t="n">
        <f aca="false">COUNTA('Model Inputs &amp; Assumptions'!$A$28:$A$35)</f>
        <v>8</v>
      </c>
      <c r="C8" s="20"/>
    </row>
    <row r="9" customFormat="false" ht="15" hidden="false" customHeight="false" outlineLevel="0" collapsed="false">
      <c r="A9" s="4" t="s">
        <v>202</v>
      </c>
      <c r="B9" s="20" t="n">
        <f aca="false">COUNTA('Model Inputs &amp; Assumptions'!$A$40:$A$42)</f>
        <v>3</v>
      </c>
      <c r="C9" s="20"/>
    </row>
    <row r="10" customFormat="false" ht="15" hidden="false" customHeight="false" outlineLevel="0" collapsed="false">
      <c r="A10" s="4" t="s">
        <v>23</v>
      </c>
      <c r="B10" s="20" t="n">
        <f aca="false">'Model Inputs &amp; Assumptions'!$C$9</f>
        <v>500</v>
      </c>
      <c r="C10" s="20"/>
    </row>
    <row r="12" customFormat="false" ht="15" hidden="false" customHeight="false" outlineLevel="0" collapsed="false">
      <c r="A12" s="3" t="s">
        <v>203</v>
      </c>
    </row>
    <row r="13" customFormat="false" ht="15" hidden="false" customHeight="false" outlineLevel="0" collapsed="false">
      <c r="A13" s="2" t="s">
        <v>204</v>
      </c>
    </row>
    <row r="14" customFormat="false" ht="15" hidden="false" customHeight="false" outlineLevel="0" collapsed="false">
      <c r="A14" s="33" t="s">
        <v>205</v>
      </c>
      <c r="B14" s="33" t="s">
        <v>206</v>
      </c>
      <c r="C14" s="33" t="s">
        <v>207</v>
      </c>
      <c r="D14" s="33" t="s">
        <v>208</v>
      </c>
      <c r="E14" s="33" t="s">
        <v>59</v>
      </c>
    </row>
    <row r="15" customFormat="false" ht="15" hidden="false" customHeight="false" outlineLevel="0" collapsed="false">
      <c r="A15" s="4" t="s">
        <v>209</v>
      </c>
      <c r="B15" s="34" t="n">
        <f aca="false">QUARTILE('Simulation Detail'!$B$4:$B$503,1)</f>
        <v>3856387.25</v>
      </c>
      <c r="C15" s="34" t="n">
        <f aca="false">QUARTILE('Simulation Detail'!$B$4:$B$503,2)</f>
        <v>4203700</v>
      </c>
      <c r="D15" s="34" t="n">
        <f aca="false">QUARTILE('Simulation Detail'!$B$4:$B$503,3)</f>
        <v>4605720.75</v>
      </c>
      <c r="E15" s="6" t="s">
        <v>210</v>
      </c>
      <c r="F15" s="6"/>
      <c r="G15" s="6"/>
      <c r="H15" s="6"/>
      <c r="I15" s="6"/>
      <c r="J15" s="6"/>
      <c r="K15" s="6"/>
      <c r="L15" s="6"/>
      <c r="M15" s="6"/>
      <c r="N15" s="6"/>
      <c r="O15" s="6"/>
      <c r="P15" s="6"/>
    </row>
    <row r="16" customFormat="false" ht="15" hidden="false" customHeight="false" outlineLevel="0" collapsed="false">
      <c r="A16" s="4" t="s">
        <v>211</v>
      </c>
      <c r="B16" s="34" t="n">
        <f aca="false">QUARTILE('Simulation Detail'!$C$4:$C$503,1)</f>
        <v>337909.75</v>
      </c>
      <c r="C16" s="34" t="n">
        <f aca="false">QUARTILE('Simulation Detail'!$C$4:$C$503,2)</f>
        <v>390631.5</v>
      </c>
      <c r="D16" s="34" t="n">
        <f aca="false">QUARTILE('Simulation Detail'!$C$4:$C$503,3)</f>
        <v>458881</v>
      </c>
      <c r="E16" s="6" t="s">
        <v>212</v>
      </c>
      <c r="F16" s="6"/>
      <c r="G16" s="6"/>
      <c r="H16" s="6"/>
      <c r="I16" s="6"/>
      <c r="J16" s="6"/>
      <c r="K16" s="6"/>
      <c r="L16" s="6"/>
      <c r="M16" s="6"/>
      <c r="N16" s="6"/>
      <c r="O16" s="6"/>
      <c r="P16" s="6"/>
    </row>
    <row r="17" customFormat="false" ht="15" hidden="false" customHeight="false" outlineLevel="0" collapsed="false">
      <c r="A17" s="4" t="s">
        <v>213</v>
      </c>
      <c r="B17" s="35" t="n">
        <f aca="false">QUARTILE('Simulation Detail'!$K$4:$K$503,1)</f>
        <v>0.0802798977139967</v>
      </c>
      <c r="C17" s="35" t="n">
        <f aca="false">QUARTILE('Simulation Detail'!$K$4:$K$503,2)</f>
        <v>0.0938572733954461</v>
      </c>
      <c r="D17" s="35" t="n">
        <f aca="false">QUARTILE('Simulation Detail'!$K$4:$K$503,3)</f>
        <v>0.110338407049845</v>
      </c>
      <c r="E17" s="6" t="s">
        <v>214</v>
      </c>
      <c r="F17" s="6"/>
      <c r="G17" s="6"/>
      <c r="H17" s="6"/>
      <c r="I17" s="6"/>
      <c r="J17" s="6"/>
      <c r="K17" s="6"/>
      <c r="L17" s="6"/>
      <c r="M17" s="6"/>
      <c r="N17" s="6"/>
      <c r="O17" s="6"/>
      <c r="P17" s="6"/>
    </row>
    <row r="18" customFormat="false" ht="15" hidden="false" customHeight="false" outlineLevel="0" collapsed="false">
      <c r="A18" s="4" t="s">
        <v>215</v>
      </c>
      <c r="B18" s="34" t="n">
        <f aca="false">QUARTILE('Simulation Detail'!$D$4:$D$503,1)</f>
        <v>14457.5</v>
      </c>
      <c r="C18" s="34" t="n">
        <f aca="false">QUARTILE('Simulation Detail'!$D$4:$D$503,2)</f>
        <v>16214.5</v>
      </c>
      <c r="D18" s="34" t="n">
        <f aca="false">QUARTILE('Simulation Detail'!$D$4:$D$503,3)</f>
        <v>18214</v>
      </c>
      <c r="E18" s="6" t="s">
        <v>216</v>
      </c>
      <c r="F18" s="6"/>
      <c r="G18" s="6"/>
      <c r="H18" s="6"/>
      <c r="I18" s="6"/>
      <c r="J18" s="6"/>
      <c r="K18" s="6"/>
      <c r="L18" s="6"/>
      <c r="M18" s="6"/>
      <c r="N18" s="6"/>
      <c r="O18" s="6"/>
      <c r="P18" s="6"/>
    </row>
    <row r="19" customFormat="false" ht="15" hidden="false" customHeight="false" outlineLevel="0" collapsed="false">
      <c r="A19" s="4" t="s">
        <v>217</v>
      </c>
      <c r="B19" s="35" t="n">
        <f aca="false">QUARTILE('Simulation Detail'!$L$4:$L$503,1)</f>
        <v>0.0035407703924936</v>
      </c>
      <c r="C19" s="35" t="n">
        <f aca="false">QUARTILE('Simulation Detail'!$L$4:$L$503,2)</f>
        <v>0.00384735847419202</v>
      </c>
      <c r="D19" s="35" t="n">
        <f aca="false">QUARTILE('Simulation Detail'!$L$4:$L$503,3)</f>
        <v>0.00415828411584724</v>
      </c>
      <c r="E19" s="6" t="s">
        <v>218</v>
      </c>
      <c r="F19" s="6"/>
      <c r="G19" s="6"/>
      <c r="H19" s="6"/>
      <c r="I19" s="6"/>
      <c r="J19" s="6"/>
      <c r="K19" s="6"/>
      <c r="L19" s="6"/>
      <c r="M19" s="6"/>
      <c r="N19" s="6"/>
      <c r="O19" s="6"/>
      <c r="P19" s="6"/>
    </row>
    <row r="20" customFormat="false" ht="15" hidden="false" customHeight="false" outlineLevel="0" collapsed="false">
      <c r="A20" s="4" t="s">
        <v>219</v>
      </c>
      <c r="B20" s="34" t="n">
        <f aca="false">QUARTILE('Simulation Detail'!$E$4:$E$503,1)</f>
        <v>578.758990160564</v>
      </c>
      <c r="C20" s="34" t="n">
        <f aca="false">QUARTILE('Simulation Detail'!$E$4:$E$503,2)</f>
        <v>672.472972018564</v>
      </c>
      <c r="D20" s="34" t="n">
        <f aca="false">QUARTILE('Simulation Detail'!$E$4:$E$503,3)</f>
        <v>768.428509874179</v>
      </c>
      <c r="E20" s="6" t="s">
        <v>220</v>
      </c>
      <c r="F20" s="6"/>
      <c r="G20" s="6"/>
      <c r="H20" s="6"/>
      <c r="I20" s="6"/>
      <c r="J20" s="6"/>
      <c r="K20" s="6"/>
      <c r="L20" s="6"/>
      <c r="M20" s="6"/>
      <c r="N20" s="6"/>
      <c r="O20" s="6"/>
      <c r="P20" s="6"/>
    </row>
    <row r="21" customFormat="false" ht="15" hidden="false" customHeight="false" outlineLevel="0" collapsed="false">
      <c r="A21" s="4" t="s">
        <v>221</v>
      </c>
      <c r="B21" s="36" t="n">
        <f aca="false">QUARTILE('Simulation Detail'!$G$4:$G$503,1)</f>
        <v>3695745.59955479</v>
      </c>
      <c r="C21" s="36" t="n">
        <f aca="false">QUARTILE('Simulation Detail'!$G$4:$G$503,2)</f>
        <v>4266162.42679751</v>
      </c>
      <c r="D21" s="36" t="n">
        <f aca="false">QUARTILE('Simulation Detail'!$G$4:$G$503,3)</f>
        <v>4777142.43989461</v>
      </c>
      <c r="E21" s="6" t="s">
        <v>222</v>
      </c>
      <c r="F21" s="6"/>
      <c r="G21" s="6"/>
      <c r="H21" s="6"/>
      <c r="I21" s="6"/>
      <c r="J21" s="6"/>
      <c r="K21" s="6"/>
      <c r="L21" s="6"/>
      <c r="M21" s="6"/>
      <c r="N21" s="6"/>
      <c r="O21" s="6"/>
      <c r="P21" s="6"/>
    </row>
    <row r="22" customFormat="false" ht="15" hidden="false" customHeight="false" outlineLevel="0" collapsed="false">
      <c r="A22" s="4" t="s">
        <v>92</v>
      </c>
      <c r="B22" s="36" t="n">
        <f aca="false">QUARTILE('Simulation Detail'!$F$4:$F$503,1)</f>
        <v>72107.317406</v>
      </c>
      <c r="C22" s="36" t="n">
        <f aca="false">QUARTILE('Simulation Detail'!$F$4:$F$503,2)</f>
        <v>74891.067425</v>
      </c>
      <c r="D22" s="36" t="n">
        <f aca="false">QUARTILE('Simulation Detail'!$F$4:$F$503,3)</f>
        <v>78721.6957135</v>
      </c>
      <c r="E22" s="6" t="s">
        <v>223</v>
      </c>
      <c r="F22" s="6"/>
      <c r="G22" s="6"/>
      <c r="H22" s="6"/>
      <c r="I22" s="6"/>
      <c r="J22" s="6"/>
      <c r="K22" s="6"/>
      <c r="L22" s="6"/>
      <c r="M22" s="6"/>
      <c r="N22" s="6"/>
      <c r="O22" s="6"/>
      <c r="P22" s="6"/>
    </row>
    <row r="23" customFormat="false" ht="15" hidden="false" customHeight="false" outlineLevel="0" collapsed="false">
      <c r="A23" s="4" t="s">
        <v>224</v>
      </c>
      <c r="B23" s="37" t="n">
        <f aca="false">QUARTILE('Simulation Detail'!$J$4:$J$503,1)</f>
        <v>99.9355580712114</v>
      </c>
      <c r="C23" s="37" t="n">
        <f aca="false">QUARTILE('Simulation Detail'!$J$4:$J$503,2)</f>
        <v>112.000240418514</v>
      </c>
      <c r="D23" s="37" t="n">
        <f aca="false">QUARTILE('Simulation Detail'!$J$4:$J$503,3)</f>
        <v>130.549375537047</v>
      </c>
      <c r="E23" s="6" t="s">
        <v>225</v>
      </c>
      <c r="F23" s="6"/>
      <c r="G23" s="6"/>
      <c r="H23" s="6"/>
      <c r="I23" s="6"/>
      <c r="J23" s="6"/>
      <c r="K23" s="6"/>
      <c r="L23" s="6"/>
      <c r="M23" s="6"/>
      <c r="N23" s="6"/>
      <c r="O23" s="6"/>
      <c r="P23" s="6"/>
    </row>
    <row r="24" customFormat="false" ht="15" hidden="false" customHeight="false" outlineLevel="0" collapsed="false">
      <c r="A24" s="4" t="s">
        <v>226</v>
      </c>
      <c r="B24" s="36" t="n">
        <f aca="false">QUARTILE('Simulation Detail'!$H$4:$H$503,1)</f>
        <v>79832.4193822739</v>
      </c>
      <c r="C24" s="36" t="n">
        <f aca="false">QUARTILE('Simulation Detail'!$H$4:$H$503,2)</f>
        <v>92220.1766436492</v>
      </c>
      <c r="D24" s="36" t="n">
        <f aca="false">QUARTILE('Simulation Detail'!$H$4:$H$503,3)</f>
        <v>102946.898966389</v>
      </c>
      <c r="E24" s="6" t="s">
        <v>227</v>
      </c>
      <c r="F24" s="6"/>
      <c r="G24" s="6"/>
      <c r="H24" s="6"/>
      <c r="I24" s="6"/>
      <c r="J24" s="6"/>
      <c r="K24" s="6"/>
      <c r="L24" s="6"/>
      <c r="M24" s="6"/>
      <c r="N24" s="6"/>
      <c r="O24" s="6"/>
      <c r="P24" s="6"/>
    </row>
    <row r="25" customFormat="false" ht="15" hidden="false" customHeight="false" outlineLevel="0" collapsed="false">
      <c r="A25" s="4" t="s">
        <v>228</v>
      </c>
      <c r="B25" s="38" t="n">
        <f aca="false">QUARTILE('Simulation Detail'!$I$4:$I$503,1)</f>
        <v>1.0633622109518</v>
      </c>
      <c r="C25" s="38" t="n">
        <f aca="false">QUARTILE('Simulation Detail'!$I$4:$I$503,2)</f>
        <v>1.22010319718418</v>
      </c>
      <c r="D25" s="38" t="n">
        <f aca="false">QUARTILE('Simulation Detail'!$I$4:$I$503,3)</f>
        <v>1.34403465210809</v>
      </c>
      <c r="E25" s="6" t="s">
        <v>229</v>
      </c>
      <c r="F25" s="6"/>
      <c r="G25" s="6"/>
      <c r="H25" s="6"/>
      <c r="I25" s="6"/>
      <c r="J25" s="6"/>
      <c r="K25" s="6"/>
      <c r="L25" s="6"/>
      <c r="M25" s="6"/>
      <c r="N25" s="6"/>
      <c r="O25" s="6"/>
      <c r="P25" s="6"/>
    </row>
    <row r="26" customFormat="false" ht="15" hidden="false" customHeight="false" outlineLevel="0" collapsed="false">
      <c r="A26" s="3" t="s">
        <v>230</v>
      </c>
    </row>
    <row r="27" customFormat="false" ht="15" hidden="false" customHeight="false" outlineLevel="0" collapsed="false">
      <c r="A27" s="2" t="s">
        <v>231</v>
      </c>
    </row>
    <row r="28" customFormat="false" ht="42" hidden="false" customHeight="true" outlineLevel="0" collapsed="false">
      <c r="A28" s="14" t="s">
        <v>96</v>
      </c>
      <c r="B28" s="14" t="s">
        <v>147</v>
      </c>
      <c r="C28" s="14" t="s">
        <v>232</v>
      </c>
      <c r="D28" s="14" t="s">
        <v>233</v>
      </c>
      <c r="E28" s="14" t="s">
        <v>234</v>
      </c>
      <c r="F28" s="14" t="s">
        <v>235</v>
      </c>
      <c r="G28" s="14" t="s">
        <v>236</v>
      </c>
      <c r="H28" s="14" t="s">
        <v>237</v>
      </c>
      <c r="I28" s="14" t="s">
        <v>238</v>
      </c>
      <c r="J28" s="14" t="s">
        <v>239</v>
      </c>
      <c r="K28" s="14" t="s">
        <v>240</v>
      </c>
      <c r="L28" s="14" t="s">
        <v>241</v>
      </c>
      <c r="M28" s="14" t="s">
        <v>242</v>
      </c>
      <c r="N28" s="14" t="s">
        <v>243</v>
      </c>
    </row>
    <row r="29" customFormat="false" ht="15" hidden="false" customHeight="false" outlineLevel="0" collapsed="false">
      <c r="A29" s="39" t="str">
        <f aca="false">'Model Inputs &amp; Assumptions'!$B$40</f>
        <v>Ultramarin Europe AI UCITS ETF (EUAI)</v>
      </c>
      <c r="B29" s="39" t="str">
        <f aca="false">'Model Inputs &amp; Assumptions'!$A$40</f>
        <v>PRD-EUAI</v>
      </c>
      <c r="C29" s="40" t="n">
        <f aca="false">COUNTIF('Model Inputs &amp; Assumptions'!$L$28:$L$35,$B29)</f>
        <v>3</v>
      </c>
      <c r="D29" s="37" t="n">
        <f aca="false">'Model Inputs &amp; Assumptions'!$G$40*'Model Inputs &amp; Assumptions'!$H$40</f>
        <v>191.25</v>
      </c>
      <c r="E29" s="34" t="n">
        <f aca="false">QUARTILE('Simulation Detail'!$N$4:$N$503,1)</f>
        <v>77.3371299955355</v>
      </c>
      <c r="F29" s="34" t="n">
        <f aca="false">QUARTILE('Simulation Detail'!$N$4:$N$503,2)</f>
        <v>90.825757693765</v>
      </c>
      <c r="G29" s="34" t="n">
        <f aca="false">QUARTILE('Simulation Detail'!$N$4:$N$503,3)</f>
        <v>104.794244778196</v>
      </c>
      <c r="H29" s="36" t="n">
        <f aca="false">QUARTILE('Simulation Detail'!$O$4:$O$503,2)</f>
        <v>772018.940397003</v>
      </c>
      <c r="I29" s="36" t="n">
        <f aca="false">QUARTILE('Simulation Detail'!$P$4:$P$503,2)</f>
        <v>17370.4261589326</v>
      </c>
      <c r="J29" s="36" t="n">
        <f aca="false">QUARTILE('Simulation Detail'!$Q$4:$Q$503,2)</f>
        <v>18120.7905</v>
      </c>
      <c r="K29" s="38" t="n">
        <f aca="false">QUARTILE('Simulation Detail'!$R$4:$R$503,1)</f>
        <v>0.808554612556804</v>
      </c>
      <c r="L29" s="38" t="n">
        <f aca="false">QUARTILE('Simulation Detail'!$R$4:$R$503,2)</f>
        <v>0.963504306848913</v>
      </c>
      <c r="M29" s="38" t="n">
        <f aca="false">QUARTILE('Simulation Detail'!$R$4:$R$503,3)</f>
        <v>1.10252611819426</v>
      </c>
      <c r="N29" s="37" t="n">
        <f aca="false">QUARTILE('Simulation Detail'!$S$4:$S$503,2)</f>
        <v>198.494340726029</v>
      </c>
    </row>
    <row r="30" customFormat="false" ht="15" hidden="false" customHeight="false" outlineLevel="0" collapsed="false">
      <c r="A30" s="39" t="str">
        <f aca="false">'Model Inputs &amp; Assumptions'!$B$41</f>
        <v>Ultramarin US Innovation UCITS ETF (USIQ)</v>
      </c>
      <c r="B30" s="39" t="str">
        <f aca="false">'Model Inputs &amp; Assumptions'!$A$41</f>
        <v>PRD-USIQ</v>
      </c>
      <c r="C30" s="40" t="n">
        <f aca="false">COUNTIF('Model Inputs &amp; Assumptions'!$L$28:$L$35,$B30)</f>
        <v>3</v>
      </c>
      <c r="D30" s="37" t="n">
        <f aca="false">'Model Inputs &amp; Assumptions'!$G$41*'Model Inputs &amp; Assumptions'!$H$41</f>
        <v>158.76</v>
      </c>
      <c r="E30" s="34" t="n">
        <f aca="false">QUARTILE('Simulation Detail'!$T$4:$T$503,1)</f>
        <v>146.083350933806</v>
      </c>
      <c r="F30" s="34" t="n">
        <f aca="false">QUARTILE('Simulation Detail'!$T$4:$T$503,2)</f>
        <v>170.31681704414</v>
      </c>
      <c r="G30" s="34" t="n">
        <f aca="false">QUARTILE('Simulation Detail'!$T$4:$T$503,3)</f>
        <v>203.61462074009</v>
      </c>
      <c r="H30" s="36" t="n">
        <f aca="false">QUARTILE('Simulation Detail'!$U$4:$U$503,2)</f>
        <v>1226281.08271781</v>
      </c>
      <c r="I30" s="36" t="n">
        <f aca="false">QUARTILE('Simulation Detail'!$V$4:$V$503,2)</f>
        <v>27039.4978739277</v>
      </c>
      <c r="J30" s="36" t="n">
        <f aca="false">QUARTILE('Simulation Detail'!$W$4:$W$503,2)</f>
        <v>17936.238531</v>
      </c>
      <c r="K30" s="38" t="n">
        <f aca="false">QUARTILE('Simulation Detail'!$X$4:$X$503,1)</f>
        <v>1.32233683091497</v>
      </c>
      <c r="L30" s="38" t="n">
        <f aca="false">QUARTILE('Simulation Detail'!$X$4:$X$503,2)</f>
        <v>1.50584875292176</v>
      </c>
      <c r="M30" s="38" t="n">
        <f aca="false">QUARTILE('Simulation Detail'!$X$4:$X$503,3)</f>
        <v>1.72152395457567</v>
      </c>
      <c r="N30" s="37" t="n">
        <f aca="false">QUARTILE('Simulation Detail'!$Y$4:$Y$503,2)</f>
        <v>105.429262079237</v>
      </c>
    </row>
    <row r="31" customFormat="false" ht="15" hidden="false" customHeight="false" outlineLevel="0" collapsed="false">
      <c r="A31" s="39" t="str">
        <f aca="false">'Model Inputs &amp; Assumptions'!$B$42</f>
        <v>EUAI Savings Plan (monthly)</v>
      </c>
      <c r="B31" s="39" t="str">
        <f aca="false">'Model Inputs &amp; Assumptions'!$A$42</f>
        <v>PRD-SP01</v>
      </c>
      <c r="C31" s="40" t="n">
        <f aca="false">COUNTIF('Model Inputs &amp; Assumptions'!$L$28:$L$35,$B31)</f>
        <v>2</v>
      </c>
      <c r="D31" s="37" t="n">
        <f aca="false">'Model Inputs &amp; Assumptions'!$G$42*'Model Inputs &amp; Assumptions'!$H$42</f>
        <v>113.4</v>
      </c>
      <c r="E31" s="34" t="n">
        <f aca="false">QUARTILE('Simulation Detail'!$Z$4:$Z$503,1)</f>
        <v>303.9668036316</v>
      </c>
      <c r="F31" s="34" t="n">
        <f aca="false">QUARTILE('Simulation Detail'!$Z$4:$Z$503,2)</f>
        <v>403.923432552116</v>
      </c>
      <c r="G31" s="34" t="n">
        <f aca="false">QUARTILE('Simulation Detail'!$Z$4:$Z$503,3)</f>
        <v>495.45246555374</v>
      </c>
      <c r="H31" s="36" t="n">
        <f aca="false">QUARTILE('Simulation Detail'!$AA$4:$AA$503,2)</f>
        <v>2181186.53578143</v>
      </c>
      <c r="I31" s="36" t="n">
        <f aca="false">QUARTILE('Simulation Detail'!$AB$4:$AB$503,2)</f>
        <v>45804.9172514099</v>
      </c>
      <c r="J31" s="36" t="n">
        <f aca="false">QUARTILE('Simulation Detail'!$AC$4:$AC$503,2)</f>
        <v>38719.9</v>
      </c>
      <c r="K31" s="38" t="n">
        <f aca="false">QUARTILE('Simulation Detail'!$AD$4:$AD$503,1)</f>
        <v>0.902100478810301</v>
      </c>
      <c r="L31" s="38" t="n">
        <f aca="false">QUARTILE('Simulation Detail'!$AD$4:$AD$503,2)</f>
        <v>1.16956226653612</v>
      </c>
      <c r="M31" s="38" t="n">
        <f aca="false">QUARTILE('Simulation Detail'!$AD$4:$AD$503,3)</f>
        <v>1.41832597867717</v>
      </c>
      <c r="N31" s="37" t="n">
        <f aca="false">QUARTILE('Simulation Detail'!$AE$4:$AE$503,2)</f>
        <v>96.9594343201758</v>
      </c>
    </row>
    <row r="33" customFormat="false" ht="15" hidden="false" customHeight="false" outlineLevel="0" collapsed="false">
      <c r="A33" s="3" t="s">
        <v>244</v>
      </c>
    </row>
    <row r="34" customFormat="false" ht="15" hidden="false" customHeight="false" outlineLevel="0" collapsed="false">
      <c r="A34" s="2" t="s">
        <v>245</v>
      </c>
    </row>
    <row r="35" customFormat="false" ht="42" hidden="false" customHeight="true" outlineLevel="0" collapsed="false">
      <c r="A35" s="14" t="s">
        <v>87</v>
      </c>
      <c r="B35" s="14" t="s">
        <v>88</v>
      </c>
      <c r="C35" s="14" t="s">
        <v>246</v>
      </c>
      <c r="D35" s="14" t="s">
        <v>247</v>
      </c>
      <c r="E35" s="14" t="s">
        <v>36</v>
      </c>
      <c r="F35" s="14" t="s">
        <v>101</v>
      </c>
      <c r="G35" s="14" t="s">
        <v>102</v>
      </c>
      <c r="H35" s="14" t="s">
        <v>103</v>
      </c>
      <c r="I35" s="14" t="s">
        <v>235</v>
      </c>
      <c r="J35" s="14" t="s">
        <v>234</v>
      </c>
      <c r="K35" s="14" t="s">
        <v>236</v>
      </c>
      <c r="L35" s="14" t="s">
        <v>237</v>
      </c>
      <c r="M35" s="14" t="s">
        <v>238</v>
      </c>
      <c r="N35" s="14" t="s">
        <v>239</v>
      </c>
      <c r="O35" s="14" t="s">
        <v>241</v>
      </c>
      <c r="P35" s="14" t="s">
        <v>243</v>
      </c>
    </row>
    <row r="36" customFormat="false" ht="15" hidden="false" customHeight="false" outlineLevel="0" collapsed="false">
      <c r="A36" s="39" t="str">
        <f aca="false">'Model Inputs &amp; Assumptions'!$B$28</f>
        <v>finanzen.net — Q1 Awareness Burst</v>
      </c>
      <c r="B36" s="39" t="str">
        <f aca="false">'Model Inputs &amp; Assumptions'!$C$28</f>
        <v>Campaign activation</v>
      </c>
      <c r="C36" s="39" t="str">
        <f aca="false">'Model Inputs &amp; Assumptions'!$E$28</f>
        <v>finanzen.net — Display Network</v>
      </c>
      <c r="D36" s="39" t="str">
        <f aca="false">'Model Inputs &amp; Assumptions'!$M$28</f>
        <v>Ultramarin Europe AI UCITS ETF (EUAI)</v>
      </c>
      <c r="E36" s="39" t="str">
        <f aca="false">'Model Inputs &amp; Assumptions'!$R$28</f>
        <v>Historical</v>
      </c>
      <c r="F36" s="34" t="n">
        <f aca="false">'Model Inputs &amp; Assumptions'!$S$28</f>
        <v>460000</v>
      </c>
      <c r="G36" s="35" t="n">
        <f aca="false">'Model Inputs &amp; Assumptions'!$U$28</f>
        <v>0</v>
      </c>
      <c r="H36" s="41" t="n">
        <f aca="false">'Model Inputs &amp; Assumptions'!$W$28</f>
        <v>0.0015</v>
      </c>
      <c r="I36" s="34" t="n">
        <f aca="false">QUARTILE('Activation Detail'!$H$4:$H$503,2)</f>
        <v>19.5181760962712</v>
      </c>
      <c r="J36" s="34" t="n">
        <f aca="false">QUARTILE('Activation Detail'!$H$4:$H$503,1)</f>
        <v>14.1259881543019</v>
      </c>
      <c r="K36" s="34" t="n">
        <f aca="false">QUARTILE('Activation Detail'!$H$4:$H$503,3)</f>
        <v>25.5134374947579</v>
      </c>
      <c r="L36" s="36" t="n">
        <f aca="false">QUARTILE('Activation Detail'!$J$4:$J$503,2)</f>
        <v>165904.496818305</v>
      </c>
      <c r="M36" s="36" t="n">
        <f aca="false">QUARTILE('Activation Detail'!$K$4:$K$503,2)</f>
        <v>3732.85117841187</v>
      </c>
      <c r="N36" s="36" t="n">
        <f aca="false">QUARTILE('Activation Detail'!$I$4:$I$503,2)</f>
        <v>2947.9905</v>
      </c>
      <c r="O36" s="38" t="n">
        <f aca="false">QUARTILE('Activation Detail'!$L$4:$L$503,2)</f>
        <v>1.24335909522499</v>
      </c>
      <c r="P36" s="37" t="n">
        <f aca="false">QUARTILE('Activation Detail'!$M$4:$M$503,2)</f>
        <v>153.818830837915</v>
      </c>
    </row>
    <row r="37" customFormat="false" ht="15" hidden="false" customHeight="false" outlineLevel="0" collapsed="false">
      <c r="A37" s="39" t="str">
        <f aca="false">'Model Inputs &amp; Assumptions'!$B$29</f>
        <v>Handelsblatt — Native Explainer</v>
      </c>
      <c r="B37" s="39" t="str">
        <f aca="false">'Model Inputs &amp; Assumptions'!$C$29</f>
        <v>Campaign activation</v>
      </c>
      <c r="C37" s="39" t="str">
        <f aca="false">'Model Inputs &amp; Assumptions'!$E$29</f>
        <v>Handelsblatt — Native Article</v>
      </c>
      <c r="D37" s="39" t="str">
        <f aca="false">'Model Inputs &amp; Assumptions'!$M$29</f>
        <v>Ultramarin Europe AI UCITS ETF (EUAI)</v>
      </c>
      <c r="E37" s="39" t="str">
        <f aca="false">'Model Inputs &amp; Assumptions'!$R$29</f>
        <v>Blended 60% historical</v>
      </c>
      <c r="F37" s="34" t="n">
        <f aca="false">'Model Inputs &amp; Assumptions'!$S$29</f>
        <v>198000</v>
      </c>
      <c r="G37" s="35" t="n">
        <f aca="false">'Model Inputs &amp; Assumptions'!$U$29</f>
        <v>0</v>
      </c>
      <c r="H37" s="41" t="n">
        <f aca="false">'Model Inputs &amp; Assumptions'!$W$29</f>
        <v>0.00297625</v>
      </c>
      <c r="I37" s="34" t="n">
        <f aca="false">QUARTILE('Activation Detail'!$H$504:$H$1003,2)</f>
        <v>26.7808338537635</v>
      </c>
      <c r="J37" s="34" t="n">
        <f aca="false">QUARTILE('Activation Detail'!$H$504:$H$1003,1)</f>
        <v>19.5706098856976</v>
      </c>
      <c r="K37" s="34" t="n">
        <f aca="false">QUARTILE('Activation Detail'!$H$504:$H$1003,3)</f>
        <v>36.838124318932</v>
      </c>
      <c r="L37" s="36" t="n">
        <f aca="false">QUARTILE('Activation Detail'!$J$504:$J$1003,2)</f>
        <v>227637.08775699</v>
      </c>
      <c r="M37" s="36" t="n">
        <f aca="false">QUARTILE('Activation Detail'!$K$504:$K$1003,2)</f>
        <v>5121.83447453227</v>
      </c>
      <c r="N37" s="36" t="n">
        <f aca="false">QUARTILE('Activation Detail'!$I$504:$I$1003,2)</f>
        <v>6500</v>
      </c>
      <c r="O37" s="38" t="n">
        <f aca="false">QUARTILE('Activation Detail'!$L$504:$L$1003,2)</f>
        <v>0.787974534543427</v>
      </c>
      <c r="P37" s="37" t="n">
        <f aca="false">QUARTILE('Activation Detail'!$M$504:$M$1003,2)</f>
        <v>242.711424737974</v>
      </c>
    </row>
    <row r="38" customFormat="false" ht="15" hidden="false" customHeight="false" outlineLevel="0" collapsed="false">
      <c r="A38" s="39" t="str">
        <f aca="false">'Model Inputs &amp; Assumptions'!$B$30</f>
        <v>extraETF — Newsletter Takeover</v>
      </c>
      <c r="B38" s="39" t="str">
        <f aca="false">'Model Inputs &amp; Assumptions'!$C$30</f>
        <v>Campaign activation</v>
      </c>
      <c r="C38" s="39" t="str">
        <f aca="false">'Model Inputs &amp; Assumptions'!$E$30</f>
        <v>extraETF — Newsletter Takeover</v>
      </c>
      <c r="D38" s="39" t="str">
        <f aca="false">'Model Inputs &amp; Assumptions'!$M$30</f>
        <v>Ultramarin US Innovation UCITS ETF (USIQ)</v>
      </c>
      <c r="E38" s="39" t="str">
        <f aca="false">'Model Inputs &amp; Assumptions'!$R$30</f>
        <v>Historical</v>
      </c>
      <c r="F38" s="34" t="n">
        <f aca="false">'Model Inputs &amp; Assumptions'!$S$30</f>
        <v>88000</v>
      </c>
      <c r="G38" s="35" t="n">
        <f aca="false">'Model Inputs &amp; Assumptions'!$U$30</f>
        <v>0</v>
      </c>
      <c r="H38" s="41" t="n">
        <f aca="false">'Model Inputs &amp; Assumptions'!$W$30</f>
        <v>0.008</v>
      </c>
      <c r="I38" s="34" t="n">
        <f aca="false">QUARTILE('Activation Detail'!$H$1004:$H$1503,2)</f>
        <v>42.8959936526007</v>
      </c>
      <c r="J38" s="34" t="n">
        <f aca="false">QUARTILE('Activation Detail'!$H$1004:$H$1503,1)</f>
        <v>34.6534872379303</v>
      </c>
      <c r="K38" s="34" t="n">
        <f aca="false">QUARTILE('Activation Detail'!$H$1004:$H$1503,3)</f>
        <v>53.8509071407682</v>
      </c>
      <c r="L38" s="36" t="n">
        <f aca="false">QUARTILE('Activation Detail'!$J$1004:$J$1503,2)</f>
        <v>308851.154298725</v>
      </c>
      <c r="M38" s="36" t="n">
        <f aca="false">QUARTILE('Activation Detail'!$K$1004:$K$1503,2)</f>
        <v>6810.16795228688</v>
      </c>
      <c r="N38" s="36" t="n">
        <f aca="false">QUARTILE('Activation Detail'!$I$1004:$I$1503,2)</f>
        <v>6900</v>
      </c>
      <c r="O38" s="38" t="n">
        <f aca="false">QUARTILE('Activation Detail'!$L$1004:$L$1503,2)</f>
        <v>0.986980862650273</v>
      </c>
      <c r="P38" s="37" t="n">
        <f aca="false">QUARTILE('Activation Detail'!$M$1004:$M$1503,2)</f>
        <v>160.854404604545</v>
      </c>
    </row>
    <row r="39" customFormat="false" ht="15" hidden="false" customHeight="false" outlineLevel="0" collapsed="false">
      <c r="A39" s="39" t="str">
        <f aca="false">'Model Inputs &amp; Assumptions'!$B$31</f>
        <v>YouTube — Finfluencer Pre-roll</v>
      </c>
      <c r="B39" s="39" t="str">
        <f aca="false">'Model Inputs &amp; Assumptions'!$C$31</f>
        <v>Campaign activation</v>
      </c>
      <c r="C39" s="39" t="str">
        <f aca="false">'Model Inputs &amp; Assumptions'!$E$31</f>
        <v>YouTube — Finfluencer Network Pre-roll</v>
      </c>
      <c r="D39" s="39" t="str">
        <f aca="false">'Model Inputs &amp; Assumptions'!$M$31</f>
        <v>Ultramarin US Innovation UCITS ETF (USIQ)</v>
      </c>
      <c r="E39" s="39" t="str">
        <f aca="false">'Model Inputs &amp; Assumptions'!$R$31</f>
        <v>Historical</v>
      </c>
      <c r="F39" s="34" t="n">
        <f aca="false">'Model Inputs &amp; Assumptions'!$S$31</f>
        <v>480000</v>
      </c>
      <c r="G39" s="35" t="n">
        <f aca="false">'Model Inputs &amp; Assumptions'!$U$31</f>
        <v>0.59</v>
      </c>
      <c r="H39" s="41" t="n">
        <f aca="false">'Model Inputs &amp; Assumptions'!$W$31</f>
        <v>0.005</v>
      </c>
      <c r="I39" s="34" t="n">
        <f aca="false">QUARTILE('Activation Detail'!$H$1504:$H$2003,2)</f>
        <v>52.2109627760648</v>
      </c>
      <c r="J39" s="34" t="n">
        <f aca="false">QUARTILE('Activation Detail'!$H$1504:$H$2003,1)</f>
        <v>37.1481566218804</v>
      </c>
      <c r="K39" s="34" t="n">
        <f aca="false">QUARTILE('Activation Detail'!$H$1504:$H$2003,3)</f>
        <v>71.5194582703191</v>
      </c>
      <c r="L39" s="36" t="n">
        <f aca="false">QUARTILE('Activation Detail'!$J$1504:$J$2003,2)</f>
        <v>375918.931987666</v>
      </c>
      <c r="M39" s="36" t="n">
        <f aca="false">QUARTILE('Activation Detail'!$K$1504:$K$2003,2)</f>
        <v>8289.01245032804</v>
      </c>
      <c r="N39" s="36" t="n">
        <f aca="false">QUARTILE('Activation Detail'!$I$1504:$I$2003,2)</f>
        <v>5252.216571</v>
      </c>
      <c r="O39" s="38" t="n">
        <f aca="false">QUARTILE('Activation Detail'!$L$1504:$L$2003,2)</f>
        <v>1.55034011638491</v>
      </c>
      <c r="P39" s="37" t="n">
        <f aca="false">QUARTILE('Activation Detail'!$M$1504:$M$2003,2)</f>
        <v>102.403358373095</v>
      </c>
    </row>
    <row r="40" customFormat="false" ht="15" hidden="false" customHeight="false" outlineLevel="0" collapsed="false">
      <c r="A40" s="39" t="str">
        <f aca="false">'Model Inputs &amp; Assumptions'!$B$32</f>
        <v>Trade Republic — In-App Display</v>
      </c>
      <c r="B40" s="39" t="str">
        <f aca="false">'Model Inputs &amp; Assumptions'!$C$32</f>
        <v>Campaign activation</v>
      </c>
      <c r="C40" s="39" t="str">
        <f aca="false">'Model Inputs &amp; Assumptions'!$E$32</f>
        <v>Trade Republic — In-App Display</v>
      </c>
      <c r="D40" s="39" t="str">
        <f aca="false">'Model Inputs &amp; Assumptions'!$M$32</f>
        <v>EUAI Savings Plan (monthly)</v>
      </c>
      <c r="E40" s="39" t="str">
        <f aca="false">'Model Inputs &amp; Assumptions'!$R$32</f>
        <v>Fallback</v>
      </c>
      <c r="F40" s="34" t="n">
        <f aca="false">'Model Inputs &amp; Assumptions'!$S$32</f>
        <v>1200000</v>
      </c>
      <c r="G40" s="35" t="n">
        <f aca="false">'Model Inputs &amp; Assumptions'!$U$32</f>
        <v>0</v>
      </c>
      <c r="H40" s="41" t="n">
        <f aca="false">'Model Inputs &amp; Assumptions'!$W$32</f>
        <v>0.0035</v>
      </c>
      <c r="I40" s="34" t="n">
        <f aca="false">QUARTILE('Activation Detail'!$H$2004:$H$2503,2)</f>
        <v>158.180735076746</v>
      </c>
      <c r="J40" s="34" t="n">
        <f aca="false">QUARTILE('Activation Detail'!$H$2004:$H$2503,1)</f>
        <v>118.749383205521</v>
      </c>
      <c r="K40" s="34" t="n">
        <f aca="false">QUARTILE('Activation Detail'!$H$2004:$H$2503,3)</f>
        <v>224.922161211555</v>
      </c>
      <c r="L40" s="36" t="n">
        <f aca="false">QUARTILE('Activation Detail'!$J$2004:$J$2503,2)</f>
        <v>854175.96941443</v>
      </c>
      <c r="M40" s="36" t="n">
        <f aca="false">QUARTILE('Activation Detail'!$K$2004:$K$2503,2)</f>
        <v>17937.695357703</v>
      </c>
      <c r="N40" s="36" t="n">
        <f aca="false">QUARTILE('Activation Detail'!$I$2004:$I$2503,2)</f>
        <v>13719.9</v>
      </c>
      <c r="O40" s="38" t="n">
        <f aca="false">QUARTILE('Activation Detail'!$L$2004:$L$2503,2)</f>
        <v>1.35749286647157</v>
      </c>
      <c r="P40" s="37" t="n">
        <f aca="false">QUARTILE('Activation Detail'!$M$2004:$M$2503,2)</f>
        <v>83.5372122588622</v>
      </c>
    </row>
    <row r="41" customFormat="false" ht="15" hidden="false" customHeight="false" outlineLevel="0" collapsed="false">
      <c r="A41" s="39" t="str">
        <f aca="false">'Model Inputs &amp; Assumptions'!$B$33</f>
        <v>Trade Republic — Savings Plan Push</v>
      </c>
      <c r="B41" s="39" t="str">
        <f aca="false">'Model Inputs &amp; Assumptions'!$C$33</f>
        <v>Scenario activation</v>
      </c>
      <c r="C41" s="39" t="str">
        <f aca="false">'Model Inputs &amp; Assumptions'!$E$33</f>
        <v>Trade Republic — In-App Display</v>
      </c>
      <c r="D41" s="39" t="str">
        <f aca="false">'Model Inputs &amp; Assumptions'!$M$33</f>
        <v>EUAI Savings Plan (monthly)</v>
      </c>
      <c r="E41" s="39" t="str">
        <f aca="false">'Model Inputs &amp; Assumptions'!$R$33</f>
        <v>Fallback</v>
      </c>
      <c r="F41" s="34" t="n">
        <f aca="false">'Model Inputs &amp; Assumptions'!$S$33</f>
        <v>1200000</v>
      </c>
      <c r="G41" s="35" t="n">
        <f aca="false">'Model Inputs &amp; Assumptions'!$U$33</f>
        <v>0</v>
      </c>
      <c r="H41" s="41" t="n">
        <f aca="false">'Model Inputs &amp; Assumptions'!$W$33</f>
        <v>0.0035</v>
      </c>
      <c r="I41" s="34" t="n">
        <f aca="false">QUARTILE('Activation Detail'!$H$2504:$H$3003,2)</f>
        <v>208.361208705335</v>
      </c>
      <c r="J41" s="34" t="n">
        <f aca="false">QUARTILE('Activation Detail'!$H$2504:$H$3003,1)</f>
        <v>150.974536456812</v>
      </c>
      <c r="K41" s="34" t="n">
        <f aca="false">QUARTILE('Activation Detail'!$H$2504:$H$3003,3)</f>
        <v>294.081079187985</v>
      </c>
      <c r="L41" s="36" t="n">
        <f aca="false">QUARTILE('Activation Detail'!$J$2504:$J$3003,2)</f>
        <v>1125150.52700881</v>
      </c>
      <c r="M41" s="36" t="n">
        <f aca="false">QUARTILE('Activation Detail'!$K$2504:$K$3003,2)</f>
        <v>23628.161067185</v>
      </c>
      <c r="N41" s="36" t="n">
        <f aca="false">QUARTILE('Activation Detail'!$I$2504:$I$3003,2)</f>
        <v>25000</v>
      </c>
      <c r="O41" s="38" t="n">
        <f aca="false">QUARTILE('Activation Detail'!$L$2504:$L$3003,2)</f>
        <v>0.945126442687401</v>
      </c>
      <c r="P41" s="37" t="n">
        <f aca="false">QUARTILE('Activation Detail'!$M$2504:$M$3003,2)</f>
        <v>119.98394686628</v>
      </c>
    </row>
    <row r="42" customFormat="false" ht="15" hidden="false" customHeight="false" outlineLevel="0" collapsed="false">
      <c r="A42" s="39" t="str">
        <f aca="false">'Model Inputs &amp; Assumptions'!$B$34</f>
        <v>Meta — Lookalike Feed Video</v>
      </c>
      <c r="B42" s="39" t="str">
        <f aca="false">'Model Inputs &amp; Assumptions'!$C$34</f>
        <v>Scenario activation</v>
      </c>
      <c r="C42" s="39" t="str">
        <f aca="false">'Model Inputs &amp; Assumptions'!$E$34</f>
        <v>Meta — Feed Video (Investor Lookalike)</v>
      </c>
      <c r="D42" s="39" t="str">
        <f aca="false">'Model Inputs &amp; Assumptions'!$M$34</f>
        <v>Ultramarin US Innovation UCITS ETF (USIQ)</v>
      </c>
      <c r="E42" s="39" t="str">
        <f aca="false">'Model Inputs &amp; Assumptions'!$R$34</f>
        <v>Historical</v>
      </c>
      <c r="F42" s="34" t="n">
        <f aca="false">'Model Inputs &amp; Assumptions'!$S$34</f>
        <v>520000</v>
      </c>
      <c r="G42" s="35" t="n">
        <f aca="false">'Model Inputs &amp; Assumptions'!$U$34</f>
        <v>0.23</v>
      </c>
      <c r="H42" s="41" t="n">
        <f aca="false">'Model Inputs &amp; Assumptions'!$W$34</f>
        <v>0.006</v>
      </c>
      <c r="I42" s="34" t="n">
        <f aca="false">QUARTILE('Activation Detail'!$H$3004:$H$3503,2)</f>
        <v>67.8904771001499</v>
      </c>
      <c r="J42" s="34" t="n">
        <f aca="false">QUARTILE('Activation Detail'!$H$3004:$H$3503,1)</f>
        <v>51.0380476382385</v>
      </c>
      <c r="K42" s="34" t="n">
        <f aca="false">QUARTILE('Activation Detail'!$H$3004:$H$3503,3)</f>
        <v>89.0944462121235</v>
      </c>
      <c r="L42" s="36" t="n">
        <f aca="false">QUARTILE('Activation Detail'!$J$3004:$J$3503,2)</f>
        <v>488811.435121079</v>
      </c>
      <c r="M42" s="36" t="n">
        <f aca="false">QUARTILE('Activation Detail'!$K$3004:$K$3503,2)</f>
        <v>10778.2921444198</v>
      </c>
      <c r="N42" s="36" t="n">
        <f aca="false">QUARTILE('Activation Detail'!$I$3004:$I$3503,2)</f>
        <v>5541.675</v>
      </c>
      <c r="O42" s="38" t="n">
        <f aca="false">QUARTILE('Activation Detail'!$L$3004:$L$3503,2)</f>
        <v>1.94100730298434</v>
      </c>
      <c r="P42" s="37" t="n">
        <f aca="false">QUARTILE('Activation Detail'!$M$3004:$M$3503,2)</f>
        <v>81.7925882842638</v>
      </c>
    </row>
    <row r="43" customFormat="false" ht="15" hidden="false" customHeight="false" outlineLevel="0" collapsed="false">
      <c r="A43" s="39" t="str">
        <f aca="false">'Model Inputs &amp; Assumptions'!$B$35</f>
        <v>justETF — Sponsored Listing</v>
      </c>
      <c r="B43" s="39" t="str">
        <f aca="false">'Model Inputs &amp; Assumptions'!$C$35</f>
        <v>Campaign activation</v>
      </c>
      <c r="C43" s="39" t="str">
        <f aca="false">'Model Inputs &amp; Assumptions'!$E$35</f>
        <v>justETF — Sponsored Listing</v>
      </c>
      <c r="D43" s="39" t="str">
        <f aca="false">'Model Inputs &amp; Assumptions'!$M$35</f>
        <v>Ultramarin Europe AI UCITS ETF (EUAI)</v>
      </c>
      <c r="E43" s="39" t="str">
        <f aca="false">'Model Inputs &amp; Assumptions'!$R$35</f>
        <v>Blended 40% historical</v>
      </c>
      <c r="F43" s="34" t="n">
        <f aca="false">'Model Inputs &amp; Assumptions'!$S$35</f>
        <v>89400</v>
      </c>
      <c r="G43" s="35" t="n">
        <f aca="false">'Model Inputs &amp; Assumptions'!$U$35</f>
        <v>0</v>
      </c>
      <c r="H43" s="41" t="n">
        <f aca="false">'Model Inputs &amp; Assumptions'!$W$35</f>
        <v>0.0067</v>
      </c>
      <c r="I43" s="34" t="n">
        <f aca="false">QUARTILE('Activation Detail'!$H$3504:$H$4003,2)</f>
        <v>38.8987772626738</v>
      </c>
      <c r="J43" s="34" t="n">
        <f aca="false">QUARTILE('Activation Detail'!$H$3504:$H$4003,1)</f>
        <v>31.4181555425284</v>
      </c>
      <c r="K43" s="34" t="n">
        <f aca="false">QUARTILE('Activation Detail'!$H$3504:$H$4003,3)</f>
        <v>51.1164925392895</v>
      </c>
      <c r="L43" s="36" t="n">
        <f aca="false">QUARTILE('Activation Detail'!$J$3504:$J$4003,2)</f>
        <v>330639.606732727</v>
      </c>
      <c r="M43" s="36" t="n">
        <f aca="false">QUARTILE('Activation Detail'!$K$3504:$K$4003,2)</f>
        <v>7439.39115148636</v>
      </c>
      <c r="N43" s="36" t="n">
        <f aca="false">QUARTILE('Activation Detail'!$I$3504:$I$4003,2)</f>
        <v>8672.8</v>
      </c>
      <c r="O43" s="38" t="n">
        <f aca="false">QUARTILE('Activation Detail'!$L$3504:$L$4003,2)</f>
        <v>0.85778423940208</v>
      </c>
      <c r="P43" s="37" t="n">
        <f aca="false">QUARTILE('Activation Detail'!$M$3504:$M$4003,2)</f>
        <v>222.958165027762</v>
      </c>
    </row>
    <row r="110" customFormat="false" ht="15" hidden="false" customHeight="false" outlineLevel="0" collapsed="false">
      <c r="A110" s="3" t="s">
        <v>248</v>
      </c>
    </row>
    <row r="111" customFormat="false" ht="15" hidden="false" customHeight="false" outlineLevel="0" collapsed="false">
      <c r="A111" s="2" t="s">
        <v>249</v>
      </c>
    </row>
    <row r="112" customFormat="false" ht="15" hidden="false" customHeight="false" outlineLevel="0" collapsed="false">
      <c r="A112" s="14" t="s">
        <v>250</v>
      </c>
      <c r="B112" s="14" t="s">
        <v>251</v>
      </c>
      <c r="C112" s="14" t="s">
        <v>252</v>
      </c>
      <c r="D112" s="14" t="s">
        <v>253</v>
      </c>
      <c r="F112" s="14" t="s">
        <v>254</v>
      </c>
      <c r="G112" s="14" t="s">
        <v>251</v>
      </c>
      <c r="H112" s="14" t="s">
        <v>252</v>
      </c>
      <c r="I112" s="14" t="s">
        <v>253</v>
      </c>
    </row>
    <row r="113" customFormat="false" ht="15" hidden="false" customHeight="false" outlineLevel="0" collapsed="false">
      <c r="A113" s="20" t="n">
        <f aca="false">MIN('Simulation Detail'!$E$4:$E$503)+(MAX('Simulation Detail'!$E$4:$E$503)-MIN('Simulation Detail'!$E$4:$E$503))*0/20</f>
        <v>334.894285350672</v>
      </c>
      <c r="B113" s="20" t="n">
        <f aca="false">MIN('Simulation Detail'!$E$4:$E$503)+(MAX('Simulation Detail'!$E$4:$E$503)-MIN('Simulation Detail'!$E$4:$E$503))*1/20</f>
        <v>383.35435454943</v>
      </c>
      <c r="C113" s="21" t="str">
        <f aca="false">TEXT(A113,"#,##0")</f>
        <v>335</v>
      </c>
      <c r="D113" s="20" t="n">
        <f aca="false">COUNTIFS('Simulation Detail'!$E$4:$E$503,"&gt;="&amp;A113,'Simulation Detail'!$E$4:$E$503,"&lt;"&amp;B113)</f>
        <v>2</v>
      </c>
      <c r="F113" s="42" t="n">
        <f aca="false">MIN('Simulation Detail'!$I$4:$I$503)+(MAX('Simulation Detail'!$I$4:$I$503)-MIN('Simulation Detail'!$I$4:$I$503))*0/20</f>
        <v>0.757884770262703</v>
      </c>
      <c r="G113" s="42" t="n">
        <f aca="false">MIN('Simulation Detail'!$I$4:$I$503)+(MAX('Simulation Detail'!$I$4:$I$503)-MIN('Simulation Detail'!$I$4:$I$503))*1/20</f>
        <v>0.823588108447124</v>
      </c>
      <c r="H113" s="21" t="str">
        <f aca="false">TEXT(F113,"0.00")</f>
        <v>0.76</v>
      </c>
      <c r="I113" s="20" t="n">
        <f aca="false">COUNTIFS('Simulation Detail'!$I$4:$I$503,"&gt;="&amp;F113,'Simulation Detail'!$I$4:$I$503,"&lt;"&amp;G113)</f>
        <v>7</v>
      </c>
    </row>
    <row r="114" customFormat="false" ht="15" hidden="false" customHeight="false" outlineLevel="0" collapsed="false">
      <c r="A114" s="20" t="n">
        <f aca="false">MIN('Simulation Detail'!$E$4:$E$503)+(MAX('Simulation Detail'!$E$4:$E$503)-MIN('Simulation Detail'!$E$4:$E$503))*1/20</f>
        <v>383.35435454943</v>
      </c>
      <c r="B114" s="20" t="n">
        <f aca="false">MIN('Simulation Detail'!$E$4:$E$503)+(MAX('Simulation Detail'!$E$4:$E$503)-MIN('Simulation Detail'!$E$4:$E$503))*2/20</f>
        <v>431.814423748188</v>
      </c>
      <c r="C114" s="21" t="str">
        <f aca="false">TEXT(A114,"#,##0")</f>
        <v>383</v>
      </c>
      <c r="D114" s="20" t="n">
        <f aca="false">COUNTIFS('Simulation Detail'!$E$4:$E$503,"&gt;="&amp;A114,'Simulation Detail'!$E$4:$E$503,"&lt;"&amp;B114)</f>
        <v>15</v>
      </c>
      <c r="F114" s="42" t="n">
        <f aca="false">MIN('Simulation Detail'!$I$4:$I$503)+(MAX('Simulation Detail'!$I$4:$I$503)-MIN('Simulation Detail'!$I$4:$I$503))*1/20</f>
        <v>0.823588108447124</v>
      </c>
      <c r="G114" s="42" t="n">
        <f aca="false">MIN('Simulation Detail'!$I$4:$I$503)+(MAX('Simulation Detail'!$I$4:$I$503)-MIN('Simulation Detail'!$I$4:$I$503))*2/20</f>
        <v>0.889291446631544</v>
      </c>
      <c r="H114" s="21" t="str">
        <f aca="false">TEXT(F114,"0.00")</f>
        <v>0.82</v>
      </c>
      <c r="I114" s="20" t="n">
        <f aca="false">COUNTIFS('Simulation Detail'!$I$4:$I$503,"&gt;="&amp;F114,'Simulation Detail'!$I$4:$I$503,"&lt;"&amp;G114)</f>
        <v>14</v>
      </c>
    </row>
    <row r="115" customFormat="false" ht="15" hidden="false" customHeight="false" outlineLevel="0" collapsed="false">
      <c r="A115" s="20" t="n">
        <f aca="false">MIN('Simulation Detail'!$E$4:$E$503)+(MAX('Simulation Detail'!$E$4:$E$503)-MIN('Simulation Detail'!$E$4:$E$503))*2/20</f>
        <v>431.814423748188</v>
      </c>
      <c r="B115" s="20" t="n">
        <f aca="false">MIN('Simulation Detail'!$E$4:$E$503)+(MAX('Simulation Detail'!$E$4:$E$503)-MIN('Simulation Detail'!$E$4:$E$503))*3/20</f>
        <v>480.274492946947</v>
      </c>
      <c r="C115" s="21" t="str">
        <f aca="false">TEXT(A115,"#,##0")</f>
        <v>432</v>
      </c>
      <c r="D115" s="20" t="n">
        <f aca="false">COUNTIFS('Simulation Detail'!$E$4:$E$503,"&gt;="&amp;A115,'Simulation Detail'!$E$4:$E$503,"&lt;"&amp;B115)</f>
        <v>20</v>
      </c>
      <c r="F115" s="42" t="n">
        <f aca="false">MIN('Simulation Detail'!$I$4:$I$503)+(MAX('Simulation Detail'!$I$4:$I$503)-MIN('Simulation Detail'!$I$4:$I$503))*2/20</f>
        <v>0.889291446631544</v>
      </c>
      <c r="G115" s="42" t="n">
        <f aca="false">MIN('Simulation Detail'!$I$4:$I$503)+(MAX('Simulation Detail'!$I$4:$I$503)-MIN('Simulation Detail'!$I$4:$I$503))*3/20</f>
        <v>0.954994784815965</v>
      </c>
      <c r="H115" s="21" t="str">
        <f aca="false">TEXT(F115,"0.00")</f>
        <v>0.89</v>
      </c>
      <c r="I115" s="20" t="n">
        <f aca="false">COUNTIFS('Simulation Detail'!$I$4:$I$503,"&gt;="&amp;F115,'Simulation Detail'!$I$4:$I$503,"&lt;"&amp;G115)</f>
        <v>31</v>
      </c>
    </row>
    <row r="116" customFormat="false" ht="15" hidden="false" customHeight="false" outlineLevel="0" collapsed="false">
      <c r="A116" s="20" t="n">
        <f aca="false">MIN('Simulation Detail'!$E$4:$E$503)+(MAX('Simulation Detail'!$E$4:$E$503)-MIN('Simulation Detail'!$E$4:$E$503))*3/20</f>
        <v>480.274492946947</v>
      </c>
      <c r="B116" s="20" t="n">
        <f aca="false">MIN('Simulation Detail'!$E$4:$E$503)+(MAX('Simulation Detail'!$E$4:$E$503)-MIN('Simulation Detail'!$E$4:$E$503))*4/20</f>
        <v>528.734562145705</v>
      </c>
      <c r="C116" s="21" t="str">
        <f aca="false">TEXT(A116,"#,##0")</f>
        <v>480</v>
      </c>
      <c r="D116" s="20" t="n">
        <f aca="false">COUNTIFS('Simulation Detail'!$E$4:$E$503,"&gt;="&amp;A116,'Simulation Detail'!$E$4:$E$503,"&lt;"&amp;B116)</f>
        <v>41</v>
      </c>
      <c r="F116" s="42" t="n">
        <f aca="false">MIN('Simulation Detail'!$I$4:$I$503)+(MAX('Simulation Detail'!$I$4:$I$503)-MIN('Simulation Detail'!$I$4:$I$503))*3/20</f>
        <v>0.954994784815965</v>
      </c>
      <c r="G116" s="42" t="n">
        <f aca="false">MIN('Simulation Detail'!$I$4:$I$503)+(MAX('Simulation Detail'!$I$4:$I$503)-MIN('Simulation Detail'!$I$4:$I$503))*4/20</f>
        <v>1.02069812300039</v>
      </c>
      <c r="H116" s="21" t="str">
        <f aca="false">TEXT(F116,"0.00")</f>
        <v>0.95</v>
      </c>
      <c r="I116" s="20" t="n">
        <f aca="false">COUNTIFS('Simulation Detail'!$I$4:$I$503,"&gt;="&amp;F116,'Simulation Detail'!$I$4:$I$503,"&lt;"&amp;G116)</f>
        <v>42</v>
      </c>
    </row>
    <row r="117" customFormat="false" ht="15" hidden="false" customHeight="false" outlineLevel="0" collapsed="false">
      <c r="A117" s="20" t="n">
        <f aca="false">MIN('Simulation Detail'!$E$4:$E$503)+(MAX('Simulation Detail'!$E$4:$E$503)-MIN('Simulation Detail'!$E$4:$E$503))*4/20</f>
        <v>528.734562145705</v>
      </c>
      <c r="B117" s="20" t="n">
        <f aca="false">MIN('Simulation Detail'!$E$4:$E$503)+(MAX('Simulation Detail'!$E$4:$E$503)-MIN('Simulation Detail'!$E$4:$E$503))*5/20</f>
        <v>577.194631344463</v>
      </c>
      <c r="C117" s="21" t="str">
        <f aca="false">TEXT(A117,"#,##0")</f>
        <v>529</v>
      </c>
      <c r="D117" s="20" t="n">
        <f aca="false">COUNTIFS('Simulation Detail'!$E$4:$E$503,"&gt;="&amp;A117,'Simulation Detail'!$E$4:$E$503,"&lt;"&amp;B117)</f>
        <v>45</v>
      </c>
      <c r="F117" s="42" t="n">
        <f aca="false">MIN('Simulation Detail'!$I$4:$I$503)+(MAX('Simulation Detail'!$I$4:$I$503)-MIN('Simulation Detail'!$I$4:$I$503))*4/20</f>
        <v>1.02069812300039</v>
      </c>
      <c r="G117" s="42" t="n">
        <f aca="false">MIN('Simulation Detail'!$I$4:$I$503)+(MAX('Simulation Detail'!$I$4:$I$503)-MIN('Simulation Detail'!$I$4:$I$503))*5/20</f>
        <v>1.08640146118481</v>
      </c>
      <c r="H117" s="21" t="str">
        <f aca="false">TEXT(F117,"0.00")</f>
        <v>1.02</v>
      </c>
      <c r="I117" s="20" t="n">
        <f aca="false">COUNTIFS('Simulation Detail'!$I$4:$I$503,"&gt;="&amp;F117,'Simulation Detail'!$I$4:$I$503,"&lt;"&amp;G117)</f>
        <v>53</v>
      </c>
    </row>
    <row r="118" customFormat="false" ht="15" hidden="false" customHeight="false" outlineLevel="0" collapsed="false">
      <c r="A118" s="20" t="n">
        <f aca="false">MIN('Simulation Detail'!$E$4:$E$503)+(MAX('Simulation Detail'!$E$4:$E$503)-MIN('Simulation Detail'!$E$4:$E$503))*5/20</f>
        <v>577.194631344463</v>
      </c>
      <c r="B118" s="20" t="n">
        <f aca="false">MIN('Simulation Detail'!$E$4:$E$503)+(MAX('Simulation Detail'!$E$4:$E$503)-MIN('Simulation Detail'!$E$4:$E$503))*6/20</f>
        <v>625.654700543221</v>
      </c>
      <c r="C118" s="21" t="str">
        <f aca="false">TEXT(A118,"#,##0")</f>
        <v>577</v>
      </c>
      <c r="D118" s="20" t="n">
        <f aca="false">COUNTIFS('Simulation Detail'!$E$4:$E$503,"&gt;="&amp;A118,'Simulation Detail'!$E$4:$E$503,"&lt;"&amp;B118)</f>
        <v>55</v>
      </c>
      <c r="F118" s="42" t="n">
        <f aca="false">MIN('Simulation Detail'!$I$4:$I$503)+(MAX('Simulation Detail'!$I$4:$I$503)-MIN('Simulation Detail'!$I$4:$I$503))*5/20</f>
        <v>1.08640146118481</v>
      </c>
      <c r="G118" s="42" t="n">
        <f aca="false">MIN('Simulation Detail'!$I$4:$I$503)+(MAX('Simulation Detail'!$I$4:$I$503)-MIN('Simulation Detail'!$I$4:$I$503))*6/20</f>
        <v>1.15210479936923</v>
      </c>
      <c r="H118" s="21" t="str">
        <f aca="false">TEXT(F118,"0.00")</f>
        <v>1.09</v>
      </c>
      <c r="I118" s="20" t="n">
        <f aca="false">COUNTIFS('Simulation Detail'!$I$4:$I$503,"&gt;="&amp;F118,'Simulation Detail'!$I$4:$I$503,"&lt;"&amp;G118)</f>
        <v>47</v>
      </c>
    </row>
    <row r="119" customFormat="false" ht="15" hidden="false" customHeight="false" outlineLevel="0" collapsed="false">
      <c r="A119" s="20" t="n">
        <f aca="false">MIN('Simulation Detail'!$E$4:$E$503)+(MAX('Simulation Detail'!$E$4:$E$503)-MIN('Simulation Detail'!$E$4:$E$503))*6/20</f>
        <v>625.654700543221</v>
      </c>
      <c r="B119" s="20" t="n">
        <f aca="false">MIN('Simulation Detail'!$E$4:$E$503)+(MAX('Simulation Detail'!$E$4:$E$503)-MIN('Simulation Detail'!$E$4:$E$503))*7/20</f>
        <v>674.114769741979</v>
      </c>
      <c r="C119" s="21" t="str">
        <f aca="false">TEXT(A119,"#,##0")</f>
        <v>626</v>
      </c>
      <c r="D119" s="20" t="n">
        <f aca="false">COUNTIFS('Simulation Detail'!$E$4:$E$503,"&gt;="&amp;A119,'Simulation Detail'!$E$4:$E$503,"&lt;"&amp;B119)</f>
        <v>73</v>
      </c>
      <c r="F119" s="42" t="n">
        <f aca="false">MIN('Simulation Detail'!$I$4:$I$503)+(MAX('Simulation Detail'!$I$4:$I$503)-MIN('Simulation Detail'!$I$4:$I$503))*6/20</f>
        <v>1.15210479936923</v>
      </c>
      <c r="G119" s="42" t="n">
        <f aca="false">MIN('Simulation Detail'!$I$4:$I$503)+(MAX('Simulation Detail'!$I$4:$I$503)-MIN('Simulation Detail'!$I$4:$I$503))*7/20</f>
        <v>1.21780813755365</v>
      </c>
      <c r="H119" s="21" t="str">
        <f aca="false">TEXT(F119,"0.00")</f>
        <v>1.15</v>
      </c>
      <c r="I119" s="20" t="n">
        <f aca="false">COUNTIFS('Simulation Detail'!$I$4:$I$503,"&gt;="&amp;F119,'Simulation Detail'!$I$4:$I$503,"&lt;"&amp;G119)</f>
        <v>53</v>
      </c>
    </row>
    <row r="120" customFormat="false" ht="15" hidden="false" customHeight="false" outlineLevel="0" collapsed="false">
      <c r="A120" s="20" t="n">
        <f aca="false">MIN('Simulation Detail'!$E$4:$E$503)+(MAX('Simulation Detail'!$E$4:$E$503)-MIN('Simulation Detail'!$E$4:$E$503))*7/20</f>
        <v>674.114769741979</v>
      </c>
      <c r="B120" s="20" t="n">
        <f aca="false">MIN('Simulation Detail'!$E$4:$E$503)+(MAX('Simulation Detail'!$E$4:$E$503)-MIN('Simulation Detail'!$E$4:$E$503))*8/20</f>
        <v>722.574838940737</v>
      </c>
      <c r="C120" s="21" t="str">
        <f aca="false">TEXT(A120,"#,##0")</f>
        <v>674</v>
      </c>
      <c r="D120" s="20" t="n">
        <f aca="false">COUNTIFS('Simulation Detail'!$E$4:$E$503,"&gt;="&amp;A120,'Simulation Detail'!$E$4:$E$503,"&lt;"&amp;B120)</f>
        <v>67</v>
      </c>
      <c r="F120" s="42" t="n">
        <f aca="false">MIN('Simulation Detail'!$I$4:$I$503)+(MAX('Simulation Detail'!$I$4:$I$503)-MIN('Simulation Detail'!$I$4:$I$503))*7/20</f>
        <v>1.21780813755365</v>
      </c>
      <c r="G120" s="42" t="n">
        <f aca="false">MIN('Simulation Detail'!$I$4:$I$503)+(MAX('Simulation Detail'!$I$4:$I$503)-MIN('Simulation Detail'!$I$4:$I$503))*8/20</f>
        <v>1.28351147573807</v>
      </c>
      <c r="H120" s="21" t="str">
        <f aca="false">TEXT(F120,"0.00")</f>
        <v>1.22</v>
      </c>
      <c r="I120" s="20" t="n">
        <f aca="false">COUNTIFS('Simulation Detail'!$I$4:$I$503,"&gt;="&amp;F120,'Simulation Detail'!$I$4:$I$503,"&lt;"&amp;G120)</f>
        <v>71</v>
      </c>
    </row>
    <row r="121" customFormat="false" ht="15" hidden="false" customHeight="false" outlineLevel="0" collapsed="false">
      <c r="A121" s="20" t="n">
        <f aca="false">MIN('Simulation Detail'!$E$4:$E$503)+(MAX('Simulation Detail'!$E$4:$E$503)-MIN('Simulation Detail'!$E$4:$E$503))*8/20</f>
        <v>722.574838940737</v>
      </c>
      <c r="B121" s="20" t="n">
        <f aca="false">MIN('Simulation Detail'!$E$4:$E$503)+(MAX('Simulation Detail'!$E$4:$E$503)-MIN('Simulation Detail'!$E$4:$E$503))*9/20</f>
        <v>771.034908139495</v>
      </c>
      <c r="C121" s="21" t="str">
        <f aca="false">TEXT(A121,"#,##0")</f>
        <v>723</v>
      </c>
      <c r="D121" s="20" t="n">
        <f aca="false">COUNTIFS('Simulation Detail'!$E$4:$E$503,"&gt;="&amp;A121,'Simulation Detail'!$E$4:$E$503,"&lt;"&amp;B121)</f>
        <v>58</v>
      </c>
      <c r="F121" s="42" t="n">
        <f aca="false">MIN('Simulation Detail'!$I$4:$I$503)+(MAX('Simulation Detail'!$I$4:$I$503)-MIN('Simulation Detail'!$I$4:$I$503))*8/20</f>
        <v>1.28351147573807</v>
      </c>
      <c r="G121" s="42" t="n">
        <f aca="false">MIN('Simulation Detail'!$I$4:$I$503)+(MAX('Simulation Detail'!$I$4:$I$503)-MIN('Simulation Detail'!$I$4:$I$503))*9/20</f>
        <v>1.34921481392249</v>
      </c>
      <c r="H121" s="21" t="str">
        <f aca="false">TEXT(F121,"0.00")</f>
        <v>1.28</v>
      </c>
      <c r="I121" s="20" t="n">
        <f aca="false">COUNTIFS('Simulation Detail'!$I$4:$I$503,"&gt;="&amp;F121,'Simulation Detail'!$I$4:$I$503,"&lt;"&amp;G121)</f>
        <v>59</v>
      </c>
    </row>
    <row r="122" customFormat="false" ht="15" hidden="false" customHeight="false" outlineLevel="0" collapsed="false">
      <c r="A122" s="20" t="n">
        <f aca="false">MIN('Simulation Detail'!$E$4:$E$503)+(MAX('Simulation Detail'!$E$4:$E$503)-MIN('Simulation Detail'!$E$4:$E$503))*9/20</f>
        <v>771.034908139495</v>
      </c>
      <c r="B122" s="20" t="n">
        <f aca="false">MIN('Simulation Detail'!$E$4:$E$503)+(MAX('Simulation Detail'!$E$4:$E$503)-MIN('Simulation Detail'!$E$4:$E$503))*10/20</f>
        <v>819.494977338254</v>
      </c>
      <c r="C122" s="21" t="str">
        <f aca="false">TEXT(A122,"#,##0")</f>
        <v>771</v>
      </c>
      <c r="D122" s="20" t="n">
        <f aca="false">COUNTIFS('Simulation Detail'!$E$4:$E$503,"&gt;="&amp;A122,'Simulation Detail'!$E$4:$E$503,"&lt;"&amp;B122)</f>
        <v>42</v>
      </c>
      <c r="F122" s="42" t="n">
        <f aca="false">MIN('Simulation Detail'!$I$4:$I$503)+(MAX('Simulation Detail'!$I$4:$I$503)-MIN('Simulation Detail'!$I$4:$I$503))*9/20</f>
        <v>1.34921481392249</v>
      </c>
      <c r="G122" s="42" t="n">
        <f aca="false">MIN('Simulation Detail'!$I$4:$I$503)+(MAX('Simulation Detail'!$I$4:$I$503)-MIN('Simulation Detail'!$I$4:$I$503))*10/20</f>
        <v>1.41491815210691</v>
      </c>
      <c r="H122" s="21" t="str">
        <f aca="false">TEXT(F122,"0.00")</f>
        <v>1.35</v>
      </c>
      <c r="I122" s="20" t="n">
        <f aca="false">COUNTIFS('Simulation Detail'!$I$4:$I$503,"&gt;="&amp;F122,'Simulation Detail'!$I$4:$I$503,"&lt;"&amp;G122)</f>
        <v>36</v>
      </c>
    </row>
    <row r="123" customFormat="false" ht="15" hidden="false" customHeight="false" outlineLevel="0" collapsed="false">
      <c r="A123" s="20" t="n">
        <f aca="false">MIN('Simulation Detail'!$E$4:$E$503)+(MAX('Simulation Detail'!$E$4:$E$503)-MIN('Simulation Detail'!$E$4:$E$503))*10/20</f>
        <v>819.494977338254</v>
      </c>
      <c r="B123" s="20" t="n">
        <f aca="false">MIN('Simulation Detail'!$E$4:$E$503)+(MAX('Simulation Detail'!$E$4:$E$503)-MIN('Simulation Detail'!$E$4:$E$503))*11/20</f>
        <v>867.955046537012</v>
      </c>
      <c r="C123" s="21" t="str">
        <f aca="false">TEXT(A123,"#,##0")</f>
        <v>819</v>
      </c>
      <c r="D123" s="20" t="n">
        <f aca="false">COUNTIFS('Simulation Detail'!$E$4:$E$503,"&gt;="&amp;A123,'Simulation Detail'!$E$4:$E$503,"&lt;"&amp;B123)</f>
        <v>25</v>
      </c>
      <c r="F123" s="42" t="n">
        <f aca="false">MIN('Simulation Detail'!$I$4:$I$503)+(MAX('Simulation Detail'!$I$4:$I$503)-MIN('Simulation Detail'!$I$4:$I$503))*10/20</f>
        <v>1.41491815210691</v>
      </c>
      <c r="G123" s="42" t="n">
        <f aca="false">MIN('Simulation Detail'!$I$4:$I$503)+(MAX('Simulation Detail'!$I$4:$I$503)-MIN('Simulation Detail'!$I$4:$I$503))*11/20</f>
        <v>1.48062149029133</v>
      </c>
      <c r="H123" s="21" t="str">
        <f aca="false">TEXT(F123,"0.00")</f>
        <v>1.41</v>
      </c>
      <c r="I123" s="20" t="n">
        <f aca="false">COUNTIFS('Simulation Detail'!$I$4:$I$503,"&gt;="&amp;F123,'Simulation Detail'!$I$4:$I$503,"&lt;"&amp;G123)</f>
        <v>21</v>
      </c>
    </row>
    <row r="124" customFormat="false" ht="15" hidden="false" customHeight="false" outlineLevel="0" collapsed="false">
      <c r="A124" s="20" t="n">
        <f aca="false">MIN('Simulation Detail'!$E$4:$E$503)+(MAX('Simulation Detail'!$E$4:$E$503)-MIN('Simulation Detail'!$E$4:$E$503))*11/20</f>
        <v>867.955046537012</v>
      </c>
      <c r="B124" s="20" t="n">
        <f aca="false">MIN('Simulation Detail'!$E$4:$E$503)+(MAX('Simulation Detail'!$E$4:$E$503)-MIN('Simulation Detail'!$E$4:$E$503))*12/20</f>
        <v>916.41511573577</v>
      </c>
      <c r="C124" s="21" t="str">
        <f aca="false">TEXT(A124,"#,##0")</f>
        <v>868</v>
      </c>
      <c r="D124" s="20" t="n">
        <f aca="false">COUNTIFS('Simulation Detail'!$E$4:$E$503,"&gt;="&amp;A124,'Simulation Detail'!$E$4:$E$503,"&lt;"&amp;B124)</f>
        <v>15</v>
      </c>
      <c r="F124" s="42" t="n">
        <f aca="false">MIN('Simulation Detail'!$I$4:$I$503)+(MAX('Simulation Detail'!$I$4:$I$503)-MIN('Simulation Detail'!$I$4:$I$503))*11/20</f>
        <v>1.48062149029133</v>
      </c>
      <c r="G124" s="42" t="n">
        <f aca="false">MIN('Simulation Detail'!$I$4:$I$503)+(MAX('Simulation Detail'!$I$4:$I$503)-MIN('Simulation Detail'!$I$4:$I$503))*12/20</f>
        <v>1.54632482847575</v>
      </c>
      <c r="H124" s="21" t="str">
        <f aca="false">TEXT(F124,"0.00")</f>
        <v>1.48</v>
      </c>
      <c r="I124" s="20" t="n">
        <f aca="false">COUNTIFS('Simulation Detail'!$I$4:$I$503,"&gt;="&amp;F124,'Simulation Detail'!$I$4:$I$503,"&lt;"&amp;G124)</f>
        <v>18</v>
      </c>
    </row>
    <row r="125" customFormat="false" ht="15" hidden="false" customHeight="false" outlineLevel="0" collapsed="false">
      <c r="A125" s="20" t="n">
        <f aca="false">MIN('Simulation Detail'!$E$4:$E$503)+(MAX('Simulation Detail'!$E$4:$E$503)-MIN('Simulation Detail'!$E$4:$E$503))*12/20</f>
        <v>916.41511573577</v>
      </c>
      <c r="B125" s="20" t="n">
        <f aca="false">MIN('Simulation Detail'!$E$4:$E$503)+(MAX('Simulation Detail'!$E$4:$E$503)-MIN('Simulation Detail'!$E$4:$E$503))*13/20</f>
        <v>964.875184934528</v>
      </c>
      <c r="C125" s="21" t="str">
        <f aca="false">TEXT(A125,"#,##0")</f>
        <v>916</v>
      </c>
      <c r="D125" s="20" t="n">
        <f aca="false">COUNTIFS('Simulation Detail'!$E$4:$E$503,"&gt;="&amp;A125,'Simulation Detail'!$E$4:$E$503,"&lt;"&amp;B125)</f>
        <v>11</v>
      </c>
      <c r="F125" s="42" t="n">
        <f aca="false">MIN('Simulation Detail'!$I$4:$I$503)+(MAX('Simulation Detail'!$I$4:$I$503)-MIN('Simulation Detail'!$I$4:$I$503))*12/20</f>
        <v>1.54632482847575</v>
      </c>
      <c r="G125" s="42" t="n">
        <f aca="false">MIN('Simulation Detail'!$I$4:$I$503)+(MAX('Simulation Detail'!$I$4:$I$503)-MIN('Simulation Detail'!$I$4:$I$503))*13/20</f>
        <v>1.61202816666017</v>
      </c>
      <c r="H125" s="21" t="str">
        <f aca="false">TEXT(F125,"0.00")</f>
        <v>1.55</v>
      </c>
      <c r="I125" s="20" t="n">
        <f aca="false">COUNTIFS('Simulation Detail'!$I$4:$I$503,"&gt;="&amp;F125,'Simulation Detail'!$I$4:$I$503,"&lt;"&amp;G125)</f>
        <v>12</v>
      </c>
    </row>
    <row r="126" customFormat="false" ht="15" hidden="false" customHeight="false" outlineLevel="0" collapsed="false">
      <c r="A126" s="20" t="n">
        <f aca="false">MIN('Simulation Detail'!$E$4:$E$503)+(MAX('Simulation Detail'!$E$4:$E$503)-MIN('Simulation Detail'!$E$4:$E$503))*13/20</f>
        <v>964.875184934528</v>
      </c>
      <c r="B126" s="20" t="n">
        <f aca="false">MIN('Simulation Detail'!$E$4:$E$503)+(MAX('Simulation Detail'!$E$4:$E$503)-MIN('Simulation Detail'!$E$4:$E$503))*14/20</f>
        <v>1013.33525413329</v>
      </c>
      <c r="C126" s="21" t="str">
        <f aca="false">TEXT(A126,"#,##0")</f>
        <v>965</v>
      </c>
      <c r="D126" s="20" t="n">
        <f aca="false">COUNTIFS('Simulation Detail'!$E$4:$E$503,"&gt;="&amp;A126,'Simulation Detail'!$E$4:$E$503,"&lt;"&amp;B126)</f>
        <v>9</v>
      </c>
      <c r="F126" s="42" t="n">
        <f aca="false">MIN('Simulation Detail'!$I$4:$I$503)+(MAX('Simulation Detail'!$I$4:$I$503)-MIN('Simulation Detail'!$I$4:$I$503))*13/20</f>
        <v>1.61202816666017</v>
      </c>
      <c r="G126" s="42" t="n">
        <f aca="false">MIN('Simulation Detail'!$I$4:$I$503)+(MAX('Simulation Detail'!$I$4:$I$503)-MIN('Simulation Detail'!$I$4:$I$503))*14/20</f>
        <v>1.67773150484459</v>
      </c>
      <c r="H126" s="21" t="str">
        <f aca="false">TEXT(F126,"0.00")</f>
        <v>1.61</v>
      </c>
      <c r="I126" s="20" t="n">
        <f aca="false">COUNTIFS('Simulation Detail'!$I$4:$I$503,"&gt;="&amp;F126,'Simulation Detail'!$I$4:$I$503,"&lt;"&amp;G126)</f>
        <v>12</v>
      </c>
    </row>
    <row r="127" customFormat="false" ht="15" hidden="false" customHeight="false" outlineLevel="0" collapsed="false">
      <c r="A127" s="20" t="n">
        <f aca="false">MIN('Simulation Detail'!$E$4:$E$503)+(MAX('Simulation Detail'!$E$4:$E$503)-MIN('Simulation Detail'!$E$4:$E$503))*14/20</f>
        <v>1013.33525413329</v>
      </c>
      <c r="B127" s="20" t="n">
        <f aca="false">MIN('Simulation Detail'!$E$4:$E$503)+(MAX('Simulation Detail'!$E$4:$E$503)-MIN('Simulation Detail'!$E$4:$E$503))*15/20</f>
        <v>1061.79532333204</v>
      </c>
      <c r="C127" s="21" t="str">
        <f aca="false">TEXT(A127,"#,##0")</f>
        <v>1,013</v>
      </c>
      <c r="D127" s="20" t="n">
        <f aca="false">COUNTIFS('Simulation Detail'!$E$4:$E$503,"&gt;="&amp;A127,'Simulation Detail'!$E$4:$E$503,"&lt;"&amp;B127)</f>
        <v>9</v>
      </c>
      <c r="F127" s="42" t="n">
        <f aca="false">MIN('Simulation Detail'!$I$4:$I$503)+(MAX('Simulation Detail'!$I$4:$I$503)-MIN('Simulation Detail'!$I$4:$I$503))*14/20</f>
        <v>1.67773150484459</v>
      </c>
      <c r="G127" s="42" t="n">
        <f aca="false">MIN('Simulation Detail'!$I$4:$I$503)+(MAX('Simulation Detail'!$I$4:$I$503)-MIN('Simulation Detail'!$I$4:$I$503))*15/20</f>
        <v>1.74343484302901</v>
      </c>
      <c r="H127" s="21" t="str">
        <f aca="false">TEXT(F127,"0.00")</f>
        <v>1.68</v>
      </c>
      <c r="I127" s="20" t="n">
        <f aca="false">COUNTIFS('Simulation Detail'!$I$4:$I$503,"&gt;="&amp;F127,'Simulation Detail'!$I$4:$I$503,"&lt;"&amp;G127)</f>
        <v>5</v>
      </c>
    </row>
    <row r="128" customFormat="false" ht="15" hidden="false" customHeight="false" outlineLevel="0" collapsed="false">
      <c r="A128" s="20" t="n">
        <f aca="false">MIN('Simulation Detail'!$E$4:$E$503)+(MAX('Simulation Detail'!$E$4:$E$503)-MIN('Simulation Detail'!$E$4:$E$503))*15/20</f>
        <v>1061.79532333204</v>
      </c>
      <c r="B128" s="20" t="n">
        <f aca="false">MIN('Simulation Detail'!$E$4:$E$503)+(MAX('Simulation Detail'!$E$4:$E$503)-MIN('Simulation Detail'!$E$4:$E$503))*16/20</f>
        <v>1110.2553925308</v>
      </c>
      <c r="C128" s="21" t="str">
        <f aca="false">TEXT(A128,"#,##0")</f>
        <v>1,062</v>
      </c>
      <c r="D128" s="20" t="n">
        <f aca="false">COUNTIFS('Simulation Detail'!$E$4:$E$503,"&gt;="&amp;A128,'Simulation Detail'!$E$4:$E$503,"&lt;"&amp;B128)</f>
        <v>6</v>
      </c>
      <c r="F128" s="42" t="n">
        <f aca="false">MIN('Simulation Detail'!$I$4:$I$503)+(MAX('Simulation Detail'!$I$4:$I$503)-MIN('Simulation Detail'!$I$4:$I$503))*15/20</f>
        <v>1.74343484302901</v>
      </c>
      <c r="G128" s="42" t="n">
        <f aca="false">MIN('Simulation Detail'!$I$4:$I$503)+(MAX('Simulation Detail'!$I$4:$I$503)-MIN('Simulation Detail'!$I$4:$I$503))*16/20</f>
        <v>1.80913818121343</v>
      </c>
      <c r="H128" s="21" t="str">
        <f aca="false">TEXT(F128,"0.00")</f>
        <v>1.74</v>
      </c>
      <c r="I128" s="20" t="n">
        <f aca="false">COUNTIFS('Simulation Detail'!$I$4:$I$503,"&gt;="&amp;F128,'Simulation Detail'!$I$4:$I$503,"&lt;"&amp;G128)</f>
        <v>6</v>
      </c>
    </row>
    <row r="129" customFormat="false" ht="15" hidden="false" customHeight="false" outlineLevel="0" collapsed="false">
      <c r="A129" s="20" t="n">
        <f aca="false">MIN('Simulation Detail'!$E$4:$E$503)+(MAX('Simulation Detail'!$E$4:$E$503)-MIN('Simulation Detail'!$E$4:$E$503))*16/20</f>
        <v>1110.2553925308</v>
      </c>
      <c r="B129" s="20" t="n">
        <f aca="false">MIN('Simulation Detail'!$E$4:$E$503)+(MAX('Simulation Detail'!$E$4:$E$503)-MIN('Simulation Detail'!$E$4:$E$503))*17/20</f>
        <v>1158.71546172956</v>
      </c>
      <c r="C129" s="21" t="str">
        <f aca="false">TEXT(A129,"#,##0")</f>
        <v>1,110</v>
      </c>
      <c r="D129" s="20" t="n">
        <f aca="false">COUNTIFS('Simulation Detail'!$E$4:$E$503,"&gt;="&amp;A129,'Simulation Detail'!$E$4:$E$503,"&lt;"&amp;B129)</f>
        <v>2</v>
      </c>
      <c r="F129" s="42" t="n">
        <f aca="false">MIN('Simulation Detail'!$I$4:$I$503)+(MAX('Simulation Detail'!$I$4:$I$503)-MIN('Simulation Detail'!$I$4:$I$503))*16/20</f>
        <v>1.80913818121343</v>
      </c>
      <c r="G129" s="42" t="n">
        <f aca="false">MIN('Simulation Detail'!$I$4:$I$503)+(MAX('Simulation Detail'!$I$4:$I$503)-MIN('Simulation Detail'!$I$4:$I$503))*17/20</f>
        <v>1.87484151939785</v>
      </c>
      <c r="H129" s="21" t="str">
        <f aca="false">TEXT(F129,"0.00")</f>
        <v>1.81</v>
      </c>
      <c r="I129" s="20" t="n">
        <f aca="false">COUNTIFS('Simulation Detail'!$I$4:$I$503,"&gt;="&amp;F129,'Simulation Detail'!$I$4:$I$503,"&lt;"&amp;G129)</f>
        <v>5</v>
      </c>
    </row>
    <row r="130" customFormat="false" ht="15" hidden="false" customHeight="false" outlineLevel="0" collapsed="false">
      <c r="A130" s="20" t="n">
        <f aca="false">MIN('Simulation Detail'!$E$4:$E$503)+(MAX('Simulation Detail'!$E$4:$E$503)-MIN('Simulation Detail'!$E$4:$E$503))*17/20</f>
        <v>1158.71546172956</v>
      </c>
      <c r="B130" s="20" t="n">
        <f aca="false">MIN('Simulation Detail'!$E$4:$E$503)+(MAX('Simulation Detail'!$E$4:$E$503)-MIN('Simulation Detail'!$E$4:$E$503))*18/20</f>
        <v>1207.17553092832</v>
      </c>
      <c r="C130" s="21" t="str">
        <f aca="false">TEXT(A130,"#,##0")</f>
        <v>1,159</v>
      </c>
      <c r="D130" s="20" t="n">
        <f aca="false">COUNTIFS('Simulation Detail'!$E$4:$E$503,"&gt;="&amp;A130,'Simulation Detail'!$E$4:$E$503,"&lt;"&amp;B130)</f>
        <v>2</v>
      </c>
      <c r="F130" s="42" t="n">
        <f aca="false">MIN('Simulation Detail'!$I$4:$I$503)+(MAX('Simulation Detail'!$I$4:$I$503)-MIN('Simulation Detail'!$I$4:$I$503))*17/20</f>
        <v>1.87484151939785</v>
      </c>
      <c r="G130" s="42" t="n">
        <f aca="false">MIN('Simulation Detail'!$I$4:$I$503)+(MAX('Simulation Detail'!$I$4:$I$503)-MIN('Simulation Detail'!$I$4:$I$503))*18/20</f>
        <v>1.94054485758227</v>
      </c>
      <c r="H130" s="21" t="str">
        <f aca="false">TEXT(F130,"0.00")</f>
        <v>1.87</v>
      </c>
      <c r="I130" s="20" t="n">
        <f aca="false">COUNTIFS('Simulation Detail'!$I$4:$I$503,"&gt;="&amp;F130,'Simulation Detail'!$I$4:$I$503,"&lt;"&amp;G130)</f>
        <v>1</v>
      </c>
    </row>
    <row r="131" customFormat="false" ht="15" hidden="false" customHeight="false" outlineLevel="0" collapsed="false">
      <c r="A131" s="20" t="n">
        <f aca="false">MIN('Simulation Detail'!$E$4:$E$503)+(MAX('Simulation Detail'!$E$4:$E$503)-MIN('Simulation Detail'!$E$4:$E$503))*18/20</f>
        <v>1207.17553092832</v>
      </c>
      <c r="B131" s="20" t="n">
        <f aca="false">MIN('Simulation Detail'!$E$4:$E$503)+(MAX('Simulation Detail'!$E$4:$E$503)-MIN('Simulation Detail'!$E$4:$E$503))*19/20</f>
        <v>1255.63560012708</v>
      </c>
      <c r="C131" s="21" t="str">
        <f aca="false">TEXT(A131,"#,##0")</f>
        <v>1,207</v>
      </c>
      <c r="D131" s="20" t="n">
        <f aca="false">COUNTIFS('Simulation Detail'!$E$4:$E$503,"&gt;="&amp;A131,'Simulation Detail'!$E$4:$E$503,"&lt;"&amp;B131)</f>
        <v>2</v>
      </c>
      <c r="F131" s="42" t="n">
        <f aca="false">MIN('Simulation Detail'!$I$4:$I$503)+(MAX('Simulation Detail'!$I$4:$I$503)-MIN('Simulation Detail'!$I$4:$I$503))*18/20</f>
        <v>1.94054485758227</v>
      </c>
      <c r="G131" s="42" t="n">
        <f aca="false">MIN('Simulation Detail'!$I$4:$I$503)+(MAX('Simulation Detail'!$I$4:$I$503)-MIN('Simulation Detail'!$I$4:$I$503))*19/20</f>
        <v>2.00624819576669</v>
      </c>
      <c r="H131" s="21" t="str">
        <f aca="false">TEXT(F131,"0.00")</f>
        <v>1.94</v>
      </c>
      <c r="I131" s="20" t="n">
        <f aca="false">COUNTIFS('Simulation Detail'!$I$4:$I$503,"&gt;="&amp;F131,'Simulation Detail'!$I$4:$I$503,"&lt;"&amp;G131)</f>
        <v>2</v>
      </c>
    </row>
    <row r="132" customFormat="false" ht="15" hidden="false" customHeight="false" outlineLevel="0" collapsed="false">
      <c r="A132" s="20" t="n">
        <f aca="false">MIN('Simulation Detail'!$E$4:$E$503)+(MAX('Simulation Detail'!$E$4:$E$503)-MIN('Simulation Detail'!$E$4:$E$503))*19/20</f>
        <v>1255.63560012708</v>
      </c>
      <c r="B132" s="20" t="n">
        <f aca="false">MIN('Simulation Detail'!$E$4:$E$503)+(MAX('Simulation Detail'!$E$4:$E$503)-MIN('Simulation Detail'!$E$4:$E$503))*20/20</f>
        <v>1304.09566932584</v>
      </c>
      <c r="C132" s="21" t="str">
        <f aca="false">TEXT(A132,"#,##0")</f>
        <v>1,256</v>
      </c>
      <c r="D132" s="20" t="n">
        <f aca="false">COUNTIFS('Simulation Detail'!$E$4:$E$503,"&gt;="&amp;A132,'Simulation Detail'!$E$4:$E$503,"&lt;="&amp;B132)</f>
        <v>1</v>
      </c>
      <c r="F132" s="42" t="n">
        <f aca="false">MIN('Simulation Detail'!$I$4:$I$503)+(MAX('Simulation Detail'!$I$4:$I$503)-MIN('Simulation Detail'!$I$4:$I$503))*19/20</f>
        <v>2.00624819576669</v>
      </c>
      <c r="G132" s="42" t="n">
        <f aca="false">MIN('Simulation Detail'!$I$4:$I$503)+(MAX('Simulation Detail'!$I$4:$I$503)-MIN('Simulation Detail'!$I$4:$I$503))*20/20</f>
        <v>2.07195153395111</v>
      </c>
      <c r="H132" s="21" t="str">
        <f aca="false">TEXT(F132,"0.00")</f>
        <v>2.01</v>
      </c>
      <c r="I132" s="20" t="n">
        <f aca="false">COUNTIFS('Simulation Detail'!$I$4:$I$503,"&gt;="&amp;F132,'Simulation Detail'!$I$4:$I$503,"&lt;="&amp;G132)</f>
        <v>5</v>
      </c>
    </row>
  </sheetData>
  <sheetProtection sheet="true" formatCells="false" formatColumns="false" formatRows="false" sort="false" autoFilter="false" pivotTables="false"/>
  <mergeCells count="25">
    <mergeCell ref="F4:G4"/>
    <mergeCell ref="H4:I4"/>
    <mergeCell ref="J4:K4"/>
    <mergeCell ref="L4:M4"/>
    <mergeCell ref="B5:C5"/>
    <mergeCell ref="F5:G7"/>
    <mergeCell ref="H5:I7"/>
    <mergeCell ref="J5:K7"/>
    <mergeCell ref="L5:M7"/>
    <mergeCell ref="B6:C6"/>
    <mergeCell ref="B7:C7"/>
    <mergeCell ref="B8:C8"/>
    <mergeCell ref="B9:C9"/>
    <mergeCell ref="B10:C10"/>
    <mergeCell ref="E15:P15"/>
    <mergeCell ref="E16:P16"/>
    <mergeCell ref="E17:P17"/>
    <mergeCell ref="E18:P18"/>
    <mergeCell ref="E19:P19"/>
    <mergeCell ref="E20:P20"/>
    <mergeCell ref="E21:P21"/>
    <mergeCell ref="E22:P22"/>
    <mergeCell ref="E23:P23"/>
    <mergeCell ref="E24:P24"/>
    <mergeCell ref="E25:P25"/>
  </mergeCells>
  <conditionalFormatting sqref="F29:F31">
    <cfRule type="dataBar" priority="2">
      <dataBar showValue="1" minLength="10" maxLength="90">
        <cfvo type="min" val="0"/>
        <cfvo type="max" val="0"/>
        <color rgb="FF3B5BE0"/>
      </dataBar>
      <extLst>
        <ext xmlns:x14="http://schemas.microsoft.com/office/spreadsheetml/2009/9/main" uri="{B025F937-C7B1-47D3-B67F-A62EFF666E3E}">
          <x14:id>{3C50FB7C-D3EC-4B40-BCD0-F9DF61E18327}</x14:id>
        </ext>
      </extLst>
    </cfRule>
  </conditionalFormatting>
  <conditionalFormatting sqref="I36:I43">
    <cfRule type="dataBar" priority="3">
      <dataBar showValue="1" minLength="10" maxLength="90">
        <cfvo type="min" val="0"/>
        <cfvo type="max" val="0"/>
        <color rgb="FF3B5BE0"/>
      </dataBar>
      <extLst>
        <ext xmlns:x14="http://schemas.microsoft.com/office/spreadsheetml/2009/9/main" uri="{B025F937-C7B1-47D3-B67F-A62EFF666E3E}">
          <x14:id>{F37CF0F7-6FE1-4D3B-A64F-5CF222AC5BBF}</x14:id>
        </ext>
      </extLst>
    </cfRule>
  </conditionalFormatting>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3C50FB7C-D3EC-4B40-BCD0-F9DF61E18327}">
            <x14:dataBar minLength="10" maxLength="90" axisPosition="none" gradient="true">
              <x14:cfvo type="min"/>
              <x14:cfvo type="max"/>
              <x14:negativeFillColor rgb="FF3B5BE0"/>
              <x14:axisColor rgb="FF000000"/>
            </x14:dataBar>
          </x14:cfRule>
          <xm:sqref>F29:F31</xm:sqref>
        </x14:conditionalFormatting>
        <x14:conditionalFormatting xmlns:xm="http://schemas.microsoft.com/office/excel/2006/main">
          <x14:cfRule type="dataBar" id="{F37CF0F7-6FE1-4D3B-A64F-5CF222AC5BBF}">
            <x14:dataBar minLength="10" maxLength="90" axisPosition="none" gradient="true">
              <x14:cfvo type="min"/>
              <x14:cfvo type="max"/>
              <x14:negativeFillColor rgb="FF3B5BE0"/>
              <x14:axisColor rgb="FF000000"/>
            </x14:dataBar>
          </x14:cfRule>
          <xm:sqref>I36:I43</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EBEF7"/>
    <pageSetUpPr fitToPage="true"/>
  </sheetPr>
  <dimension ref="A1:S40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3" min="3" style="0" width="14"/>
    <col collapsed="false" customWidth="true" hidden="false" outlineLevel="0" max="4" min="4" style="0" width="12"/>
    <col collapsed="false" customWidth="true" hidden="false" outlineLevel="0" max="5" min="5" style="0" width="14"/>
    <col collapsed="false" customWidth="true" hidden="false" outlineLevel="0" max="7" min="6" style="0" width="12"/>
    <col collapsed="false" customWidth="true" hidden="false" outlineLevel="0" max="9" min="8" style="0" width="14"/>
    <col collapsed="false" customWidth="true" hidden="false" outlineLevel="0" max="11" min="10" style="0" width="16"/>
    <col collapsed="false" customWidth="true" hidden="false" outlineLevel="0" max="12" min="12" style="0" width="10"/>
    <col collapsed="false" customWidth="true" hidden="false" outlineLevel="0" max="14" min="13" style="0" width="16"/>
    <col collapsed="false" customWidth="true" hidden="false" outlineLevel="0" max="15" min="15" style="0" width="3"/>
    <col collapsed="false" customWidth="true" hidden="false" outlineLevel="0" max="19" min="16" style="0" width="14"/>
  </cols>
  <sheetData>
    <row r="1" customFormat="false" ht="25.5" hidden="false" customHeight="true" outlineLevel="0" collapsed="false">
      <c r="A1" s="1" t="s">
        <v>255</v>
      </c>
      <c r="B1" s="1"/>
      <c r="C1" s="1"/>
      <c r="D1" s="1"/>
      <c r="E1" s="1"/>
      <c r="F1" s="1"/>
      <c r="G1" s="1"/>
      <c r="H1" s="1"/>
      <c r="I1" s="1"/>
      <c r="J1" s="1"/>
      <c r="K1" s="1"/>
      <c r="L1" s="1"/>
      <c r="M1" s="1"/>
      <c r="N1" s="1"/>
      <c r="O1" s="1"/>
      <c r="P1" s="1"/>
      <c r="Q1" s="1"/>
      <c r="R1" s="1"/>
      <c r="S1" s="1"/>
    </row>
    <row r="2" customFormat="false" ht="15" hidden="false" customHeight="false" outlineLevel="0" collapsed="false">
      <c r="A2" s="2" t="s">
        <v>256</v>
      </c>
      <c r="N2" s="2" t="s">
        <v>257</v>
      </c>
      <c r="P2" s="2" t="s">
        <v>258</v>
      </c>
    </row>
    <row r="3" customFormat="false" ht="30" hidden="false" customHeight="true" outlineLevel="0" collapsed="false">
      <c r="A3" s="14" t="s">
        <v>259</v>
      </c>
      <c r="B3" s="14" t="s">
        <v>260</v>
      </c>
      <c r="C3" s="14" t="s">
        <v>209</v>
      </c>
      <c r="D3" s="14" t="s">
        <v>261</v>
      </c>
      <c r="E3" s="14" t="s">
        <v>262</v>
      </c>
      <c r="F3" s="14" t="s">
        <v>263</v>
      </c>
      <c r="G3" s="14" t="s">
        <v>215</v>
      </c>
      <c r="H3" s="14" t="s">
        <v>219</v>
      </c>
      <c r="I3" s="14" t="s">
        <v>92</v>
      </c>
      <c r="J3" s="14" t="s">
        <v>221</v>
      </c>
      <c r="K3" s="14" t="s">
        <v>226</v>
      </c>
      <c r="L3" s="14" t="s">
        <v>228</v>
      </c>
      <c r="M3" s="14" t="s">
        <v>224</v>
      </c>
      <c r="N3" s="14" t="s">
        <v>247</v>
      </c>
      <c r="P3" s="14" t="s">
        <v>264</v>
      </c>
      <c r="Q3" s="14" t="s">
        <v>265</v>
      </c>
      <c r="R3" s="14" t="s">
        <v>266</v>
      </c>
      <c r="S3" s="14" t="s">
        <v>267</v>
      </c>
    </row>
    <row r="4" customFormat="false" ht="15" hidden="false" customHeight="false" outlineLevel="0" collapsed="false">
      <c r="A4" s="43" t="n">
        <v>1</v>
      </c>
      <c r="B4" s="44" t="str">
        <f aca="false">'Model Inputs &amp; Assumptions'!$B$28</f>
        <v>finanzen.net — Q1 Awareness Burst</v>
      </c>
      <c r="C4" s="45" t="n">
        <f aca="false">ROUND(MAX(0,'Model Inputs &amp; Assumptions'!$S$28*EXP('Model Inputs &amp; Assumptions'!$T$28*P4-'Model Inputs &amp; Assumptions'!$T$28^2/2)),0)</f>
        <v>444863</v>
      </c>
      <c r="D4" s="46" t="n">
        <f aca="false">MIN(1,'Model Inputs &amp; Assumptions'!$U$28*EXP('Model Inputs &amp; Assumptions'!$V$28*Q4-'Model Inputs &amp; Assumptions'!$V$28^2/2))</f>
        <v>0</v>
      </c>
      <c r="E4" s="45" t="n">
        <f aca="false">ROUND(C4*D4,0)</f>
        <v>0</v>
      </c>
      <c r="F4" s="47" t="n">
        <f aca="false">MIN(1,'Model Inputs &amp; Assumptions'!$W$28*EXP('Model Inputs &amp; Assumptions'!$X$28*R4-'Model Inputs &amp; Assumptions'!$X$28^2/2))</f>
        <v>0.00162551041517484</v>
      </c>
      <c r="G4" s="45" t="n">
        <f aca="false">ROUND(C4*F4,0)</f>
        <v>723</v>
      </c>
      <c r="H4" s="48" t="n">
        <f aca="false">MAX(0,(C4*'Model Inputs &amp; Assumptions'!$N$28+E4*'Model Inputs &amp; Assumptions'!$O$28+G4*'Model Inputs &amp; Assumptions'!$P$28)*EXP('Model Inputs &amp; Assumptions'!$Q$28*S4-'Model Inputs &amp; Assumptions'!$Q$28^2/2))</f>
        <v>15.1005554035844</v>
      </c>
      <c r="I4" s="49" t="n">
        <f aca="false">IF('Model Inputs &amp; Assumptions'!$H$28="Fixed",'Model Inputs &amp; Assumptions'!$I$28*'Model Inputs &amp; Assumptions'!$K$28,IF('Model Inputs &amp; Assumptions'!$H$28="CPM",'Model Inputs &amp; Assumptions'!$I$28*'Model Inputs &amp; Assumptions'!$K$28*C4/1000,IF('Model Inputs &amp; Assumptions'!$H$28="CPC",'Model Inputs &amp; Assumptions'!$I$28*'Model Inputs &amp; Assumptions'!$K$28*G4,0)))</f>
        <v>2891.6095</v>
      </c>
      <c r="J4" s="50" t="n">
        <f aca="false">H4*INDEX('Model Inputs &amp; Assumptions'!$D$40:$D$42,MATCH('Model Inputs &amp; Assumptions'!$L$28,'Model Inputs &amp; Assumptions'!$A$40:$A$42,0))*INDEX('Model Inputs &amp; Assumptions'!$H$40:$H$42,MATCH('Model Inputs &amp; Assumptions'!$L$28,'Model Inputs &amp; Assumptions'!$A$40:$A$42,0))</f>
        <v>128354.720930468</v>
      </c>
      <c r="K4" s="49" t="n">
        <f aca="false">H4*INDEX('Model Inputs &amp; Assumptions'!$G$40:$G$42,MATCH('Model Inputs &amp; Assumptions'!$L$28,'Model Inputs &amp; Assumptions'!$A$40:$A$42,0))*INDEX('Model Inputs &amp; Assumptions'!$H$40:$H$42,MATCH('Model Inputs &amp; Assumptions'!$L$28,'Model Inputs &amp; Assumptions'!$A$40:$A$42,0))</f>
        <v>2887.98122093553</v>
      </c>
      <c r="L4" s="51" t="n">
        <f aca="false">IFERROR(K4/I4,0)</f>
        <v>0.998745238918162</v>
      </c>
      <c r="M4" s="49" t="n">
        <f aca="false">IFERROR(I4/H4,0)</f>
        <v>191.490274544048</v>
      </c>
      <c r="N4" s="52" t="str">
        <f aca="false">'Model Inputs &amp; Assumptions'!$L$28</f>
        <v>PRD-EUAI</v>
      </c>
      <c r="P4" s="53" t="n">
        <v>-0.095892</v>
      </c>
      <c r="Q4" s="53" t="n">
        <v>0.236141</v>
      </c>
      <c r="R4" s="53" t="n">
        <v>0.475258</v>
      </c>
      <c r="S4" s="53" t="n">
        <v>-1.057066</v>
      </c>
    </row>
    <row r="5" customFormat="false" ht="15" hidden="false" customHeight="false" outlineLevel="0" collapsed="false">
      <c r="A5" s="43" t="n">
        <v>2</v>
      </c>
      <c r="B5" s="44" t="str">
        <f aca="false">'Model Inputs &amp; Assumptions'!$B$28</f>
        <v>finanzen.net — Q1 Awareness Burst</v>
      </c>
      <c r="C5" s="45" t="n">
        <f aca="false">ROUND(MAX(0,'Model Inputs &amp; Assumptions'!$S$28*EXP('Model Inputs &amp; Assumptions'!$T$28*P5-'Model Inputs &amp; Assumptions'!$T$28^2/2)),0)</f>
        <v>436496</v>
      </c>
      <c r="D5" s="46" t="n">
        <f aca="false">MIN(1,'Model Inputs &amp; Assumptions'!$U$28*EXP('Model Inputs &amp; Assumptions'!$V$28*Q5-'Model Inputs &amp; Assumptions'!$V$28^2/2))</f>
        <v>0</v>
      </c>
      <c r="E5" s="45" t="n">
        <f aca="false">ROUND(C5*D5,0)</f>
        <v>0</v>
      </c>
      <c r="F5" s="47" t="n">
        <f aca="false">MIN(1,'Model Inputs &amp; Assumptions'!$W$28*EXP('Model Inputs &amp; Assumptions'!$X$28*R5-'Model Inputs &amp; Assumptions'!$X$28^2/2))</f>
        <v>0.0012918046937534</v>
      </c>
      <c r="G5" s="45" t="n">
        <f aca="false">ROUND(C5*F5,0)</f>
        <v>564</v>
      </c>
      <c r="H5" s="48" t="n">
        <f aca="false">MAX(0,(C5*'Model Inputs &amp; Assumptions'!$N$28+E5*'Model Inputs &amp; Assumptions'!$O$28+G5*'Model Inputs &amp; Assumptions'!$P$28)*EXP('Model Inputs &amp; Assumptions'!$Q$28*S5-'Model Inputs &amp; Assumptions'!$Q$28^2/2))</f>
        <v>17.110049042018</v>
      </c>
      <c r="I5" s="49" t="n">
        <f aca="false">IF('Model Inputs &amp; Assumptions'!$H$28="Fixed",'Model Inputs &amp; Assumptions'!$I$28*'Model Inputs &amp; Assumptions'!$K$28,IF('Model Inputs &amp; Assumptions'!$H$28="CPM",'Model Inputs &amp; Assumptions'!$I$28*'Model Inputs &amp; Assumptions'!$K$28*C5/1000,IF('Model Inputs &amp; Assumptions'!$H$28="CPC",'Model Inputs &amp; Assumptions'!$I$28*'Model Inputs &amp; Assumptions'!$K$28*G5,0)))</f>
        <v>2837.224</v>
      </c>
      <c r="J5" s="50" t="n">
        <f aca="false">H5*INDEX('Model Inputs &amp; Assumptions'!$D$40:$D$42,MATCH('Model Inputs &amp; Assumptions'!$L$28,'Model Inputs &amp; Assumptions'!$A$40:$A$42,0))*INDEX('Model Inputs &amp; Assumptions'!$H$40:$H$42,MATCH('Model Inputs &amp; Assumptions'!$L$28,'Model Inputs &amp; Assumptions'!$A$40:$A$42,0))</f>
        <v>145435.416857153</v>
      </c>
      <c r="K5" s="49" t="n">
        <f aca="false">H5*INDEX('Model Inputs &amp; Assumptions'!$G$40:$G$42,MATCH('Model Inputs &amp; Assumptions'!$L$28,'Model Inputs &amp; Assumptions'!$A$40:$A$42,0))*INDEX('Model Inputs &amp; Assumptions'!$H$40:$H$42,MATCH('Model Inputs &amp; Assumptions'!$L$28,'Model Inputs &amp; Assumptions'!$A$40:$A$42,0))</f>
        <v>3272.29687928594</v>
      </c>
      <c r="L5" s="51" t="n">
        <f aca="false">IFERROR(K5/I5,0)</f>
        <v>1.15334456471746</v>
      </c>
      <c r="M5" s="49" t="n">
        <f aca="false">IFERROR(I5/H5,0)</f>
        <v>165.822084614281</v>
      </c>
      <c r="N5" s="52" t="str">
        <f aca="false">'Model Inputs &amp; Assumptions'!$L$28</f>
        <v>PRD-EUAI</v>
      </c>
      <c r="P5" s="53" t="n">
        <v>-0.201376</v>
      </c>
      <c r="Q5" s="53" t="n">
        <v>-0.247078</v>
      </c>
      <c r="R5" s="53" t="n">
        <v>-0.569204</v>
      </c>
      <c r="S5" s="53" t="n">
        <v>0.187232</v>
      </c>
    </row>
    <row r="6" customFormat="false" ht="15" hidden="false" customHeight="false" outlineLevel="0" collapsed="false">
      <c r="A6" s="43" t="n">
        <v>3</v>
      </c>
      <c r="B6" s="44" t="str">
        <f aca="false">'Model Inputs &amp; Assumptions'!$B$28</f>
        <v>finanzen.net — Q1 Awareness Burst</v>
      </c>
      <c r="C6" s="45" t="n">
        <f aca="false">ROUND(MAX(0,'Model Inputs &amp; Assumptions'!$S$28*EXP('Model Inputs &amp; Assumptions'!$T$28*P6-'Model Inputs &amp; Assumptions'!$T$28^2/2)),0)</f>
        <v>442060</v>
      </c>
      <c r="D6" s="46" t="n">
        <f aca="false">MIN(1,'Model Inputs &amp; Assumptions'!$U$28*EXP('Model Inputs &amp; Assumptions'!$V$28*Q6-'Model Inputs &amp; Assumptions'!$V$28^2/2))</f>
        <v>0</v>
      </c>
      <c r="E6" s="45" t="n">
        <f aca="false">ROUND(C6*D6,0)</f>
        <v>0</v>
      </c>
      <c r="F6" s="47" t="n">
        <f aca="false">MIN(1,'Model Inputs &amp; Assumptions'!$W$28*EXP('Model Inputs &amp; Assumptions'!$X$28*R6-'Model Inputs &amp; Assumptions'!$X$28^2/2))</f>
        <v>0.00187496746656811</v>
      </c>
      <c r="G6" s="45" t="n">
        <f aca="false">ROUND(C6*F6,0)</f>
        <v>829</v>
      </c>
      <c r="H6" s="48" t="n">
        <f aca="false">MAX(0,(C6*'Model Inputs &amp; Assumptions'!$N$28+E6*'Model Inputs &amp; Assumptions'!$O$28+G6*'Model Inputs &amp; Assumptions'!$P$28)*EXP('Model Inputs &amp; Assumptions'!$Q$28*S6-'Model Inputs &amp; Assumptions'!$Q$28^2/2))</f>
        <v>23.2634011100921</v>
      </c>
      <c r="I6" s="49" t="n">
        <f aca="false">IF('Model Inputs &amp; Assumptions'!$H$28="Fixed",'Model Inputs &amp; Assumptions'!$I$28*'Model Inputs &amp; Assumptions'!$K$28,IF('Model Inputs &amp; Assumptions'!$H$28="CPM",'Model Inputs &amp; Assumptions'!$I$28*'Model Inputs &amp; Assumptions'!$K$28*C6/1000,IF('Model Inputs &amp; Assumptions'!$H$28="CPC",'Model Inputs &amp; Assumptions'!$I$28*'Model Inputs &amp; Assumptions'!$K$28*G6,0)))</f>
        <v>2873.39</v>
      </c>
      <c r="J6" s="50" t="n">
        <f aca="false">H6*INDEX('Model Inputs &amp; Assumptions'!$D$40:$D$42,MATCH('Model Inputs &amp; Assumptions'!$L$28,'Model Inputs &amp; Assumptions'!$A$40:$A$42,0))*INDEX('Model Inputs &amp; Assumptions'!$H$40:$H$42,MATCH('Model Inputs &amp; Assumptions'!$L$28,'Model Inputs &amp; Assumptions'!$A$40:$A$42,0))</f>
        <v>197738.909435782</v>
      </c>
      <c r="K6" s="49" t="n">
        <f aca="false">H6*INDEX('Model Inputs &amp; Assumptions'!$G$40:$G$42,MATCH('Model Inputs &amp; Assumptions'!$L$28,'Model Inputs &amp; Assumptions'!$A$40:$A$42,0))*INDEX('Model Inputs &amp; Assumptions'!$H$40:$H$42,MATCH('Model Inputs &amp; Assumptions'!$L$28,'Model Inputs &amp; Assumptions'!$A$40:$A$42,0))</f>
        <v>4449.12546230511</v>
      </c>
      <c r="L6" s="51" t="n">
        <f aca="false">IFERROR(K6/I6,0)</f>
        <v>1.54838899777096</v>
      </c>
      <c r="M6" s="49" t="n">
        <f aca="false">IFERROR(I6/H6,0)</f>
        <v>123.515473356709</v>
      </c>
      <c r="N6" s="52" t="str">
        <f aca="false">'Model Inputs &amp; Assumptions'!$L$28</f>
        <v>PRD-EUAI</v>
      </c>
      <c r="P6" s="53" t="n">
        <v>-0.13101</v>
      </c>
      <c r="Q6" s="53" t="n">
        <v>0.526583</v>
      </c>
      <c r="R6" s="53" t="n">
        <v>1.12421</v>
      </c>
      <c r="S6" s="53" t="n">
        <v>-0.072603</v>
      </c>
    </row>
    <row r="7" customFormat="false" ht="15" hidden="false" customHeight="false" outlineLevel="0" collapsed="false">
      <c r="A7" s="43" t="n">
        <v>4</v>
      </c>
      <c r="B7" s="44" t="str">
        <f aca="false">'Model Inputs &amp; Assumptions'!$B$28</f>
        <v>finanzen.net — Q1 Awareness Burst</v>
      </c>
      <c r="C7" s="45" t="n">
        <f aca="false">ROUND(MAX(0,'Model Inputs &amp; Assumptions'!$S$28*EXP('Model Inputs &amp; Assumptions'!$T$28*P7-'Model Inputs &amp; Assumptions'!$T$28^2/2)),0)</f>
        <v>394495</v>
      </c>
      <c r="D7" s="46" t="n">
        <f aca="false">MIN(1,'Model Inputs &amp; Assumptions'!$U$28*EXP('Model Inputs &amp; Assumptions'!$V$28*Q7-'Model Inputs &amp; Assumptions'!$V$28^2/2))</f>
        <v>0</v>
      </c>
      <c r="E7" s="45" t="n">
        <f aca="false">ROUND(C7*D7,0)</f>
        <v>0</v>
      </c>
      <c r="F7" s="47" t="n">
        <f aca="false">MIN(1,'Model Inputs &amp; Assumptions'!$W$28*EXP('Model Inputs &amp; Assumptions'!$X$28*R7-'Model Inputs &amp; Assumptions'!$X$28^2/2))</f>
        <v>0.00136682611549093</v>
      </c>
      <c r="G7" s="45" t="n">
        <f aca="false">ROUND(C7*F7,0)</f>
        <v>539</v>
      </c>
      <c r="H7" s="48" t="n">
        <f aca="false">MAX(0,(C7*'Model Inputs &amp; Assumptions'!$N$28+E7*'Model Inputs &amp; Assumptions'!$O$28+G7*'Model Inputs &amp; Assumptions'!$P$28)*EXP('Model Inputs &amp; Assumptions'!$Q$28*S7-'Model Inputs &amp; Assumptions'!$Q$28^2/2))</f>
        <v>13.8740761494048</v>
      </c>
      <c r="I7" s="49" t="n">
        <f aca="false">IF('Model Inputs &amp; Assumptions'!$H$28="Fixed",'Model Inputs &amp; Assumptions'!$I$28*'Model Inputs &amp; Assumptions'!$K$28,IF('Model Inputs &amp; Assumptions'!$H$28="CPM",'Model Inputs &amp; Assumptions'!$I$28*'Model Inputs &amp; Assumptions'!$K$28*C7/1000,IF('Model Inputs &amp; Assumptions'!$H$28="CPC",'Model Inputs &amp; Assumptions'!$I$28*'Model Inputs &amp; Assumptions'!$K$28*G7,0)))</f>
        <v>2564.2175</v>
      </c>
      <c r="J7" s="50" t="n">
        <f aca="false">H7*INDEX('Model Inputs &amp; Assumptions'!$D$40:$D$42,MATCH('Model Inputs &amp; Assumptions'!$L$28,'Model Inputs &amp; Assumptions'!$A$40:$A$42,0))*INDEX('Model Inputs &amp; Assumptions'!$H$40:$H$42,MATCH('Model Inputs &amp; Assumptions'!$L$28,'Model Inputs &amp; Assumptions'!$A$40:$A$42,0))</f>
        <v>117929.647269941</v>
      </c>
      <c r="K7" s="49" t="n">
        <f aca="false">H7*INDEX('Model Inputs &amp; Assumptions'!$G$40:$G$42,MATCH('Model Inputs &amp; Assumptions'!$L$28,'Model Inputs &amp; Assumptions'!$A$40:$A$42,0))*INDEX('Model Inputs &amp; Assumptions'!$H$40:$H$42,MATCH('Model Inputs &amp; Assumptions'!$L$28,'Model Inputs &amp; Assumptions'!$A$40:$A$42,0))</f>
        <v>2653.41706357367</v>
      </c>
      <c r="L7" s="51" t="n">
        <f aca="false">IFERROR(K7/I7,0)</f>
        <v>1.03478627049915</v>
      </c>
      <c r="M7" s="49" t="n">
        <f aca="false">IFERROR(I7/H7,0)</f>
        <v>184.820774542888</v>
      </c>
      <c r="N7" s="52" t="str">
        <f aca="false">'Model Inputs &amp; Assumptions'!$L$28</f>
        <v>PRD-EUAI</v>
      </c>
      <c r="P7" s="53" t="n">
        <v>-0.763451</v>
      </c>
      <c r="Q7" s="53" t="n">
        <v>0.236192</v>
      </c>
      <c r="R7" s="53" t="n">
        <v>-0.312608</v>
      </c>
      <c r="S7" s="53" t="n">
        <v>-0.360452</v>
      </c>
    </row>
    <row r="8" customFormat="false" ht="15" hidden="false" customHeight="false" outlineLevel="0" collapsed="false">
      <c r="A8" s="43" t="n">
        <v>5</v>
      </c>
      <c r="B8" s="44" t="str">
        <f aca="false">'Model Inputs &amp; Assumptions'!$B$28</f>
        <v>finanzen.net — Q1 Awareness Burst</v>
      </c>
      <c r="C8" s="45" t="n">
        <f aca="false">ROUND(MAX(0,'Model Inputs &amp; Assumptions'!$S$28*EXP('Model Inputs &amp; Assumptions'!$T$28*P8-'Model Inputs &amp; Assumptions'!$T$28^2/2)),0)</f>
        <v>521100</v>
      </c>
      <c r="D8" s="46" t="n">
        <f aca="false">MIN(1,'Model Inputs &amp; Assumptions'!$U$28*EXP('Model Inputs &amp; Assumptions'!$V$28*Q8-'Model Inputs &amp; Assumptions'!$V$28^2/2))</f>
        <v>0</v>
      </c>
      <c r="E8" s="45" t="n">
        <f aca="false">ROUND(C8*D8,0)</f>
        <v>0</v>
      </c>
      <c r="F8" s="47" t="n">
        <f aca="false">MIN(1,'Model Inputs &amp; Assumptions'!$W$28*EXP('Model Inputs &amp; Assumptions'!$X$28*R8-'Model Inputs &amp; Assumptions'!$X$28^2/2))</f>
        <v>0.00145843807017066</v>
      </c>
      <c r="G8" s="45" t="n">
        <f aca="false">ROUND(C8*F8,0)</f>
        <v>760</v>
      </c>
      <c r="H8" s="48" t="n">
        <f aca="false">MAX(0,(C8*'Model Inputs &amp; Assumptions'!$N$28+E8*'Model Inputs &amp; Assumptions'!$O$28+G8*'Model Inputs &amp; Assumptions'!$P$28)*EXP('Model Inputs &amp; Assumptions'!$Q$28*S8-'Model Inputs &amp; Assumptions'!$Q$28^2/2))</f>
        <v>14.8870191605561</v>
      </c>
      <c r="I8" s="49" t="n">
        <f aca="false">IF('Model Inputs &amp; Assumptions'!$H$28="Fixed",'Model Inputs &amp; Assumptions'!$I$28*'Model Inputs &amp; Assumptions'!$K$28,IF('Model Inputs &amp; Assumptions'!$H$28="CPM",'Model Inputs &amp; Assumptions'!$I$28*'Model Inputs &amp; Assumptions'!$K$28*C8/1000,IF('Model Inputs &amp; Assumptions'!$H$28="CPC",'Model Inputs &amp; Assumptions'!$I$28*'Model Inputs &amp; Assumptions'!$K$28*G8,0)))</f>
        <v>3387.15</v>
      </c>
      <c r="J8" s="50" t="n">
        <f aca="false">H8*INDEX('Model Inputs &amp; Assumptions'!$D$40:$D$42,MATCH('Model Inputs &amp; Assumptions'!$L$28,'Model Inputs &amp; Assumptions'!$A$40:$A$42,0))*INDEX('Model Inputs &amp; Assumptions'!$H$40:$H$42,MATCH('Model Inputs &amp; Assumptions'!$L$28,'Model Inputs &amp; Assumptions'!$A$40:$A$42,0))</f>
        <v>126539.662864726</v>
      </c>
      <c r="K8" s="49" t="n">
        <f aca="false">H8*INDEX('Model Inputs &amp; Assumptions'!$G$40:$G$42,MATCH('Model Inputs &amp; Assumptions'!$L$28,'Model Inputs &amp; Assumptions'!$A$40:$A$42,0))*INDEX('Model Inputs &amp; Assumptions'!$H$40:$H$42,MATCH('Model Inputs &amp; Assumptions'!$L$28,'Model Inputs &amp; Assumptions'!$A$40:$A$42,0))</f>
        <v>2847.14241445635</v>
      </c>
      <c r="L8" s="51" t="n">
        <f aca="false">IFERROR(K8/I8,0)</f>
        <v>0.840571694331915</v>
      </c>
      <c r="M8" s="49" t="n">
        <f aca="false">IFERROR(I8/H8,0)</f>
        <v>227.523721402498</v>
      </c>
      <c r="N8" s="52" t="str">
        <f aca="false">'Model Inputs &amp; Assumptions'!$L$28</f>
        <v>PRD-EUAI</v>
      </c>
      <c r="P8" s="53" t="n">
        <v>0.782859</v>
      </c>
      <c r="Q8" s="53" t="n">
        <v>0.160822</v>
      </c>
      <c r="R8" s="53" t="n">
        <v>-0.017723</v>
      </c>
      <c r="S8" s="53" t="n">
        <v>-1.270903</v>
      </c>
    </row>
    <row r="9" customFormat="false" ht="15" hidden="false" customHeight="false" outlineLevel="0" collapsed="false">
      <c r="A9" s="43" t="n">
        <v>6</v>
      </c>
      <c r="B9" s="44" t="str">
        <f aca="false">'Model Inputs &amp; Assumptions'!$B$28</f>
        <v>finanzen.net — Q1 Awareness Burst</v>
      </c>
      <c r="C9" s="45" t="n">
        <f aca="false">ROUND(MAX(0,'Model Inputs &amp; Assumptions'!$S$28*EXP('Model Inputs &amp; Assumptions'!$T$28*P9-'Model Inputs &amp; Assumptions'!$T$28^2/2)),0)</f>
        <v>663031</v>
      </c>
      <c r="D9" s="46" t="n">
        <f aca="false">MIN(1,'Model Inputs &amp; Assumptions'!$U$28*EXP('Model Inputs &amp; Assumptions'!$V$28*Q9-'Model Inputs &amp; Assumptions'!$V$28^2/2))</f>
        <v>0</v>
      </c>
      <c r="E9" s="45" t="n">
        <f aca="false">ROUND(C9*D9,0)</f>
        <v>0</v>
      </c>
      <c r="F9" s="47" t="n">
        <f aca="false">MIN(1,'Model Inputs &amp; Assumptions'!$W$28*EXP('Model Inputs &amp; Assumptions'!$X$28*R9-'Model Inputs &amp; Assumptions'!$X$28^2/2))</f>
        <v>0.0012310551757716</v>
      </c>
      <c r="G9" s="45" t="n">
        <f aca="false">ROUND(C9*F9,0)</f>
        <v>816</v>
      </c>
      <c r="H9" s="48" t="n">
        <f aca="false">MAX(0,(C9*'Model Inputs &amp; Assumptions'!$N$28+E9*'Model Inputs &amp; Assumptions'!$O$28+G9*'Model Inputs &amp; Assumptions'!$P$28)*EXP('Model Inputs &amp; Assumptions'!$Q$28*S9-'Model Inputs &amp; Assumptions'!$Q$28^2/2))</f>
        <v>20.3959827541943</v>
      </c>
      <c r="I9" s="49" t="n">
        <f aca="false">IF('Model Inputs &amp; Assumptions'!$H$28="Fixed",'Model Inputs &amp; Assumptions'!$I$28*'Model Inputs &amp; Assumptions'!$K$28,IF('Model Inputs &amp; Assumptions'!$H$28="CPM",'Model Inputs &amp; Assumptions'!$I$28*'Model Inputs &amp; Assumptions'!$K$28*C9/1000,IF('Model Inputs &amp; Assumptions'!$H$28="CPC",'Model Inputs &amp; Assumptions'!$I$28*'Model Inputs &amp; Assumptions'!$K$28*G9,0)))</f>
        <v>4309.7015</v>
      </c>
      <c r="J9" s="50" t="n">
        <f aca="false">H9*INDEX('Model Inputs &amp; Assumptions'!$D$40:$D$42,MATCH('Model Inputs &amp; Assumptions'!$L$28,'Model Inputs &amp; Assumptions'!$A$40:$A$42,0))*INDEX('Model Inputs &amp; Assumptions'!$H$40:$H$42,MATCH('Model Inputs &amp; Assumptions'!$L$28,'Model Inputs &amp; Assumptions'!$A$40:$A$42,0))</f>
        <v>173365.853410652</v>
      </c>
      <c r="K9" s="49" t="n">
        <f aca="false">H9*INDEX('Model Inputs &amp; Assumptions'!$G$40:$G$42,MATCH('Model Inputs &amp; Assumptions'!$L$28,'Model Inputs &amp; Assumptions'!$A$40:$A$42,0))*INDEX('Model Inputs &amp; Assumptions'!$H$40:$H$42,MATCH('Model Inputs &amp; Assumptions'!$L$28,'Model Inputs &amp; Assumptions'!$A$40:$A$42,0))</f>
        <v>3900.73170173966</v>
      </c>
      <c r="L9" s="51" t="n">
        <f aca="false">IFERROR(K9/I9,0)</f>
        <v>0.905104843511705</v>
      </c>
      <c r="M9" s="49" t="n">
        <f aca="false">IFERROR(I9/H9,0)</f>
        <v>211.301487745852</v>
      </c>
      <c r="N9" s="52" t="str">
        <f aca="false">'Model Inputs &amp; Assumptions'!$L$28</f>
        <v>PRD-EUAI</v>
      </c>
      <c r="P9" s="53" t="n">
        <v>2.121085</v>
      </c>
      <c r="Q9" s="53" t="n">
        <v>0.081547</v>
      </c>
      <c r="R9" s="53" t="n">
        <v>-0.788152</v>
      </c>
      <c r="S9" s="53" t="n">
        <v>-0.458395</v>
      </c>
    </row>
    <row r="10" customFormat="false" ht="15" hidden="false" customHeight="false" outlineLevel="0" collapsed="false">
      <c r="A10" s="43" t="n">
        <v>7</v>
      </c>
      <c r="B10" s="44" t="str">
        <f aca="false">'Model Inputs &amp; Assumptions'!$B$28</f>
        <v>finanzen.net — Q1 Awareness Burst</v>
      </c>
      <c r="C10" s="45" t="n">
        <f aca="false">ROUND(MAX(0,'Model Inputs &amp; Assumptions'!$S$28*EXP('Model Inputs &amp; Assumptions'!$T$28*P10-'Model Inputs &amp; Assumptions'!$T$28^2/2)),0)</f>
        <v>412401</v>
      </c>
      <c r="D10" s="46" t="n">
        <f aca="false">MIN(1,'Model Inputs &amp; Assumptions'!$U$28*EXP('Model Inputs &amp; Assumptions'!$V$28*Q10-'Model Inputs &amp; Assumptions'!$V$28^2/2))</f>
        <v>0</v>
      </c>
      <c r="E10" s="45" t="n">
        <f aca="false">ROUND(C10*D10,0)</f>
        <v>0</v>
      </c>
      <c r="F10" s="47" t="n">
        <f aca="false">MIN(1,'Model Inputs &amp; Assumptions'!$W$28*EXP('Model Inputs &amp; Assumptions'!$X$28*R10-'Model Inputs &amp; Assumptions'!$X$28^2/2))</f>
        <v>0.00137732827235731</v>
      </c>
      <c r="G10" s="45" t="n">
        <f aca="false">ROUND(C10*F10,0)</f>
        <v>568</v>
      </c>
      <c r="H10" s="48" t="n">
        <f aca="false">MAX(0,(C10*'Model Inputs &amp; Assumptions'!$N$28+E10*'Model Inputs &amp; Assumptions'!$O$28+G10*'Model Inputs &amp; Assumptions'!$P$28)*EXP('Model Inputs &amp; Assumptions'!$Q$28*S10-'Model Inputs &amp; Assumptions'!$Q$28^2/2))</f>
        <v>13.7432256320686</v>
      </c>
      <c r="I10" s="49" t="n">
        <f aca="false">IF('Model Inputs &amp; Assumptions'!$H$28="Fixed",'Model Inputs &amp; Assumptions'!$I$28*'Model Inputs &amp; Assumptions'!$K$28,IF('Model Inputs &amp; Assumptions'!$H$28="CPM",'Model Inputs &amp; Assumptions'!$I$28*'Model Inputs &amp; Assumptions'!$K$28*C10/1000,IF('Model Inputs &amp; Assumptions'!$H$28="CPC",'Model Inputs &amp; Assumptions'!$I$28*'Model Inputs &amp; Assumptions'!$K$28*G10,0)))</f>
        <v>2680.6065</v>
      </c>
      <c r="J10" s="50" t="n">
        <f aca="false">H10*INDEX('Model Inputs &amp; Assumptions'!$D$40:$D$42,MATCH('Model Inputs &amp; Assumptions'!$L$28,'Model Inputs &amp; Assumptions'!$A$40:$A$42,0))*INDEX('Model Inputs &amp; Assumptions'!$H$40:$H$42,MATCH('Model Inputs &amp; Assumptions'!$L$28,'Model Inputs &amp; Assumptions'!$A$40:$A$42,0))</f>
        <v>116817.417872583</v>
      </c>
      <c r="K10" s="49" t="n">
        <f aca="false">H10*INDEX('Model Inputs &amp; Assumptions'!$G$40:$G$42,MATCH('Model Inputs &amp; Assumptions'!$L$28,'Model Inputs &amp; Assumptions'!$A$40:$A$42,0))*INDEX('Model Inputs &amp; Assumptions'!$H$40:$H$42,MATCH('Model Inputs &amp; Assumptions'!$L$28,'Model Inputs &amp; Assumptions'!$A$40:$A$42,0))</f>
        <v>2628.39190213313</v>
      </c>
      <c r="L10" s="51" t="n">
        <f aca="false">IFERROR(K10/I10,0)</f>
        <v>0.980521349229411</v>
      </c>
      <c r="M10" s="49" t="n">
        <f aca="false">IFERROR(I10/H10,0)</f>
        <v>195.049297142079</v>
      </c>
      <c r="N10" s="52" t="str">
        <f aca="false">'Model Inputs &amp; Assumptions'!$L$28</f>
        <v>PRD-EUAI</v>
      </c>
      <c r="P10" s="53" t="n">
        <v>-0.516836</v>
      </c>
      <c r="Q10" s="53" t="n">
        <v>0.654291</v>
      </c>
      <c r="R10" s="53" t="n">
        <v>-0.277816</v>
      </c>
      <c r="S10" s="53" t="n">
        <v>-0.566725</v>
      </c>
    </row>
    <row r="11" customFormat="false" ht="15" hidden="false" customHeight="false" outlineLevel="0" collapsed="false">
      <c r="A11" s="43" t="n">
        <v>8</v>
      </c>
      <c r="B11" s="44" t="str">
        <f aca="false">'Model Inputs &amp; Assumptions'!$B$28</f>
        <v>finanzen.net — Q1 Awareness Burst</v>
      </c>
      <c r="C11" s="45" t="n">
        <f aca="false">ROUND(MAX(0,'Model Inputs &amp; Assumptions'!$S$28*EXP('Model Inputs &amp; Assumptions'!$T$28*P11-'Model Inputs &amp; Assumptions'!$T$28^2/2)),0)</f>
        <v>337966</v>
      </c>
      <c r="D11" s="46" t="n">
        <f aca="false">MIN(1,'Model Inputs &amp; Assumptions'!$U$28*EXP('Model Inputs &amp; Assumptions'!$V$28*Q11-'Model Inputs &amp; Assumptions'!$V$28^2/2))</f>
        <v>0</v>
      </c>
      <c r="E11" s="45" t="n">
        <f aca="false">ROUND(C11*D11,0)</f>
        <v>0</v>
      </c>
      <c r="F11" s="47" t="n">
        <f aca="false">MIN(1,'Model Inputs &amp; Assumptions'!$W$28*EXP('Model Inputs &amp; Assumptions'!$X$28*R11-'Model Inputs &amp; Assumptions'!$X$28^2/2))</f>
        <v>0.00152188297589284</v>
      </c>
      <c r="G11" s="45" t="n">
        <f aca="false">ROUND(C11*F11,0)</f>
        <v>514</v>
      </c>
      <c r="H11" s="48" t="n">
        <f aca="false">MAX(0,(C11*'Model Inputs &amp; Assumptions'!$N$28+E11*'Model Inputs &amp; Assumptions'!$O$28+G11*'Model Inputs &amp; Assumptions'!$P$28)*EXP('Model Inputs &amp; Assumptions'!$Q$28*S11-'Model Inputs &amp; Assumptions'!$Q$28^2/2))</f>
        <v>13.127753384269</v>
      </c>
      <c r="I11" s="49" t="n">
        <f aca="false">IF('Model Inputs &amp; Assumptions'!$H$28="Fixed",'Model Inputs &amp; Assumptions'!$I$28*'Model Inputs &amp; Assumptions'!$K$28,IF('Model Inputs &amp; Assumptions'!$H$28="CPM",'Model Inputs &amp; Assumptions'!$I$28*'Model Inputs &amp; Assumptions'!$K$28*C11/1000,IF('Model Inputs &amp; Assumptions'!$H$28="CPC",'Model Inputs &amp; Assumptions'!$I$28*'Model Inputs &amp; Assumptions'!$K$28*G11,0)))</f>
        <v>2196.779</v>
      </c>
      <c r="J11" s="50" t="n">
        <f aca="false">H11*INDEX('Model Inputs &amp; Assumptions'!$D$40:$D$42,MATCH('Model Inputs &amp; Assumptions'!$L$28,'Model Inputs &amp; Assumptions'!$A$40:$A$42,0))*INDEX('Model Inputs &amp; Assumptions'!$H$40:$H$42,MATCH('Model Inputs &amp; Assumptions'!$L$28,'Model Inputs &amp; Assumptions'!$A$40:$A$42,0))</f>
        <v>111585.903766287</v>
      </c>
      <c r="K11" s="49" t="n">
        <f aca="false">H11*INDEX('Model Inputs &amp; Assumptions'!$G$40:$G$42,MATCH('Model Inputs &amp; Assumptions'!$L$28,'Model Inputs &amp; Assumptions'!$A$40:$A$42,0))*INDEX('Model Inputs &amp; Assumptions'!$H$40:$H$42,MATCH('Model Inputs &amp; Assumptions'!$L$28,'Model Inputs &amp; Assumptions'!$A$40:$A$42,0))</f>
        <v>2510.68283474145</v>
      </c>
      <c r="L11" s="51" t="n">
        <f aca="false">IFERROR(K11/I11,0)</f>
        <v>1.14289276925055</v>
      </c>
      <c r="M11" s="49" t="n">
        <f aca="false">IFERROR(I11/H11,0)</f>
        <v>167.338533540126</v>
      </c>
      <c r="N11" s="52" t="str">
        <f aca="false">'Model Inputs &amp; Assumptions'!$L$28</f>
        <v>PRD-EUAI</v>
      </c>
      <c r="P11" s="53" t="n">
        <v>-1.622677</v>
      </c>
      <c r="Q11" s="53" t="n">
        <v>-1.294824</v>
      </c>
      <c r="R11" s="53" t="n">
        <v>0.175833</v>
      </c>
      <c r="S11" s="53" t="n">
        <v>-0.386456</v>
      </c>
    </row>
    <row r="12" customFormat="false" ht="15" hidden="false" customHeight="false" outlineLevel="0" collapsed="false">
      <c r="A12" s="43" t="n">
        <v>9</v>
      </c>
      <c r="B12" s="44" t="str">
        <f aca="false">'Model Inputs &amp; Assumptions'!$B$28</f>
        <v>finanzen.net — Q1 Awareness Burst</v>
      </c>
      <c r="C12" s="45" t="n">
        <f aca="false">ROUND(MAX(0,'Model Inputs &amp; Assumptions'!$S$28*EXP('Model Inputs &amp; Assumptions'!$T$28*P12-'Model Inputs &amp; Assumptions'!$T$28^2/2)),0)</f>
        <v>693631</v>
      </c>
      <c r="D12" s="46" t="n">
        <f aca="false">MIN(1,'Model Inputs &amp; Assumptions'!$U$28*EXP('Model Inputs &amp; Assumptions'!$V$28*Q12-'Model Inputs &amp; Assumptions'!$V$28^2/2))</f>
        <v>0</v>
      </c>
      <c r="E12" s="45" t="n">
        <f aca="false">ROUND(C12*D12,0)</f>
        <v>0</v>
      </c>
      <c r="F12" s="47" t="n">
        <f aca="false">MIN(1,'Model Inputs &amp; Assumptions'!$W$28*EXP('Model Inputs &amp; Assumptions'!$X$28*R12-'Model Inputs &amp; Assumptions'!$X$28^2/2))</f>
        <v>0.00141115622784834</v>
      </c>
      <c r="G12" s="45" t="n">
        <f aca="false">ROUND(C12*F12,0)</f>
        <v>979</v>
      </c>
      <c r="H12" s="48" t="n">
        <f aca="false">MAX(0,(C12*'Model Inputs &amp; Assumptions'!$N$28+E12*'Model Inputs &amp; Assumptions'!$O$28+G12*'Model Inputs &amp; Assumptions'!$P$28)*EXP('Model Inputs &amp; Assumptions'!$Q$28*S12-'Model Inputs &amp; Assumptions'!$Q$28^2/2))</f>
        <v>40.3700932687628</v>
      </c>
      <c r="I12" s="49" t="n">
        <f aca="false">IF('Model Inputs &amp; Assumptions'!$H$28="Fixed",'Model Inputs &amp; Assumptions'!$I$28*'Model Inputs &amp; Assumptions'!$K$28,IF('Model Inputs &amp; Assumptions'!$H$28="CPM",'Model Inputs &amp; Assumptions'!$I$28*'Model Inputs &amp; Assumptions'!$K$28*C12/1000,IF('Model Inputs &amp; Assumptions'!$H$28="CPC",'Model Inputs &amp; Assumptions'!$I$28*'Model Inputs &amp; Assumptions'!$K$28*G12,0)))</f>
        <v>4508.6015</v>
      </c>
      <c r="J12" s="50" t="n">
        <f aca="false">H12*INDEX('Model Inputs &amp; Assumptions'!$D$40:$D$42,MATCH('Model Inputs &amp; Assumptions'!$L$28,'Model Inputs &amp; Assumptions'!$A$40:$A$42,0))*INDEX('Model Inputs &amp; Assumptions'!$H$40:$H$42,MATCH('Model Inputs &amp; Assumptions'!$L$28,'Model Inputs &amp; Assumptions'!$A$40:$A$42,0))</f>
        <v>343145.792784484</v>
      </c>
      <c r="K12" s="49" t="n">
        <f aca="false">H12*INDEX('Model Inputs &amp; Assumptions'!$G$40:$G$42,MATCH('Model Inputs &amp; Assumptions'!$L$28,'Model Inputs &amp; Assumptions'!$A$40:$A$42,0))*INDEX('Model Inputs &amp; Assumptions'!$H$40:$H$42,MATCH('Model Inputs &amp; Assumptions'!$L$28,'Model Inputs &amp; Assumptions'!$A$40:$A$42,0))</f>
        <v>7720.78033765089</v>
      </c>
      <c r="L12" s="51" t="n">
        <f aca="false">IFERROR(K12/I12,0)</f>
        <v>1.71245569998832</v>
      </c>
      <c r="M12" s="49" t="n">
        <f aca="false">IFERROR(I12/H12,0)</f>
        <v>111.68172116879</v>
      </c>
      <c r="N12" s="52" t="str">
        <f aca="false">'Model Inputs &amp; Assumptions'!$L$28</f>
        <v>PRD-EUAI</v>
      </c>
      <c r="P12" s="53" t="n">
        <v>2.371739</v>
      </c>
      <c r="Q12" s="53" t="n">
        <v>0.051079</v>
      </c>
      <c r="R12" s="53" t="n">
        <v>-0.167526</v>
      </c>
      <c r="S12" s="53" t="n">
        <v>1.210385</v>
      </c>
    </row>
    <row r="13" customFormat="false" ht="15" hidden="false" customHeight="false" outlineLevel="0" collapsed="false">
      <c r="A13" s="43" t="n">
        <v>10</v>
      </c>
      <c r="B13" s="44" t="str">
        <f aca="false">'Model Inputs &amp; Assumptions'!$B$28</f>
        <v>finanzen.net — Q1 Awareness Burst</v>
      </c>
      <c r="C13" s="45" t="n">
        <f aca="false">ROUND(MAX(0,'Model Inputs &amp; Assumptions'!$S$28*EXP('Model Inputs &amp; Assumptions'!$T$28*P13-'Model Inputs &amp; Assumptions'!$T$28^2/2)),0)</f>
        <v>590864</v>
      </c>
      <c r="D13" s="46" t="n">
        <f aca="false">MIN(1,'Model Inputs &amp; Assumptions'!$U$28*EXP('Model Inputs &amp; Assumptions'!$V$28*Q13-'Model Inputs &amp; Assumptions'!$V$28^2/2))</f>
        <v>0</v>
      </c>
      <c r="E13" s="45" t="n">
        <f aca="false">ROUND(C13*D13,0)</f>
        <v>0</v>
      </c>
      <c r="F13" s="47" t="n">
        <f aca="false">MIN(1,'Model Inputs &amp; Assumptions'!$W$28*EXP('Model Inputs &amp; Assumptions'!$X$28*R13-'Model Inputs &amp; Assumptions'!$X$28^2/2))</f>
        <v>0.00142239354563378</v>
      </c>
      <c r="G13" s="45" t="n">
        <f aca="false">ROUND(C13*F13,0)</f>
        <v>840</v>
      </c>
      <c r="H13" s="48" t="n">
        <f aca="false">MAX(0,(C13*'Model Inputs &amp; Assumptions'!$N$28+E13*'Model Inputs &amp; Assumptions'!$O$28+G13*'Model Inputs &amp; Assumptions'!$P$28)*EXP('Model Inputs &amp; Assumptions'!$Q$28*S13-'Model Inputs &amp; Assumptions'!$Q$28^2/2))</f>
        <v>9.57791660085678</v>
      </c>
      <c r="I13" s="49" t="n">
        <f aca="false">IF('Model Inputs &amp; Assumptions'!$H$28="Fixed",'Model Inputs &amp; Assumptions'!$I$28*'Model Inputs &amp; Assumptions'!$K$28,IF('Model Inputs &amp; Assumptions'!$H$28="CPM",'Model Inputs &amp; Assumptions'!$I$28*'Model Inputs &amp; Assumptions'!$K$28*C13/1000,IF('Model Inputs &amp; Assumptions'!$H$28="CPC",'Model Inputs &amp; Assumptions'!$I$28*'Model Inputs &amp; Assumptions'!$K$28*G13,0)))</f>
        <v>3840.616</v>
      </c>
      <c r="J13" s="50" t="n">
        <f aca="false">H13*INDEX('Model Inputs &amp; Assumptions'!$D$40:$D$42,MATCH('Model Inputs &amp; Assumptions'!$L$28,'Model Inputs &amp; Assumptions'!$A$40:$A$42,0))*INDEX('Model Inputs &amp; Assumptions'!$H$40:$H$42,MATCH('Model Inputs &amp; Assumptions'!$L$28,'Model Inputs &amp; Assumptions'!$A$40:$A$42,0))</f>
        <v>81412.2911072826</v>
      </c>
      <c r="K13" s="49" t="n">
        <f aca="false">H13*INDEX('Model Inputs &amp; Assumptions'!$G$40:$G$42,MATCH('Model Inputs &amp; Assumptions'!$L$28,'Model Inputs &amp; Assumptions'!$A$40:$A$42,0))*INDEX('Model Inputs &amp; Assumptions'!$H$40:$H$42,MATCH('Model Inputs &amp; Assumptions'!$L$28,'Model Inputs &amp; Assumptions'!$A$40:$A$42,0))</f>
        <v>1831.77654991386</v>
      </c>
      <c r="L13" s="51" t="n">
        <f aca="false">IFERROR(K13/I13,0)</f>
        <v>0.476948632696906</v>
      </c>
      <c r="M13" s="49" t="n">
        <f aca="false">IFERROR(I13/H13,0)</f>
        <v>400.986577775844</v>
      </c>
      <c r="N13" s="52" t="str">
        <f aca="false">'Model Inputs &amp; Assumptions'!$L$28</f>
        <v>PRD-EUAI</v>
      </c>
      <c r="P13" s="53" t="n">
        <v>1.480889</v>
      </c>
      <c r="Q13" s="53" t="n">
        <v>0.872944</v>
      </c>
      <c r="R13" s="53" t="n">
        <v>-0.131473</v>
      </c>
      <c r="S13" s="53" t="n">
        <v>-3.074613</v>
      </c>
    </row>
    <row r="14" customFormat="false" ht="15" hidden="false" customHeight="false" outlineLevel="0" collapsed="false">
      <c r="A14" s="43" t="n">
        <v>11</v>
      </c>
      <c r="B14" s="44" t="str">
        <f aca="false">'Model Inputs &amp; Assumptions'!$B$28</f>
        <v>finanzen.net — Q1 Awareness Burst</v>
      </c>
      <c r="C14" s="45" t="n">
        <f aca="false">ROUND(MAX(0,'Model Inputs &amp; Assumptions'!$S$28*EXP('Model Inputs &amp; Assumptions'!$T$28*P14-'Model Inputs &amp; Assumptions'!$T$28^2/2)),0)</f>
        <v>554044</v>
      </c>
      <c r="D14" s="46" t="n">
        <f aca="false">MIN(1,'Model Inputs &amp; Assumptions'!$U$28*EXP('Model Inputs &amp; Assumptions'!$V$28*Q14-'Model Inputs &amp; Assumptions'!$V$28^2/2))</f>
        <v>0</v>
      </c>
      <c r="E14" s="45" t="n">
        <f aca="false">ROUND(C14*D14,0)</f>
        <v>0</v>
      </c>
      <c r="F14" s="47" t="n">
        <f aca="false">MIN(1,'Model Inputs &amp; Assumptions'!$W$28*EXP('Model Inputs &amp; Assumptions'!$X$28*R14-'Model Inputs &amp; Assumptions'!$X$28^2/2))</f>
        <v>0.00122238563526845</v>
      </c>
      <c r="G14" s="45" t="n">
        <f aca="false">ROUND(C14*F14,0)</f>
        <v>677</v>
      </c>
      <c r="H14" s="48" t="n">
        <f aca="false">MAX(0,(C14*'Model Inputs &amp; Assumptions'!$N$28+E14*'Model Inputs &amp; Assumptions'!$O$28+G14*'Model Inputs &amp; Assumptions'!$P$28)*EXP('Model Inputs &amp; Assumptions'!$Q$28*S14-'Model Inputs &amp; Assumptions'!$Q$28^2/2))</f>
        <v>18.1668185877088</v>
      </c>
      <c r="I14" s="49" t="n">
        <f aca="false">IF('Model Inputs &amp; Assumptions'!$H$28="Fixed",'Model Inputs &amp; Assumptions'!$I$28*'Model Inputs &amp; Assumptions'!$K$28,IF('Model Inputs &amp; Assumptions'!$H$28="CPM",'Model Inputs &amp; Assumptions'!$I$28*'Model Inputs &amp; Assumptions'!$K$28*C14/1000,IF('Model Inputs &amp; Assumptions'!$H$28="CPC",'Model Inputs &amp; Assumptions'!$I$28*'Model Inputs &amp; Assumptions'!$K$28*G14,0)))</f>
        <v>3601.286</v>
      </c>
      <c r="J14" s="50" t="n">
        <f aca="false">H14*INDEX('Model Inputs &amp; Assumptions'!$D$40:$D$42,MATCH('Model Inputs &amp; Assumptions'!$L$28,'Model Inputs &amp; Assumptions'!$A$40:$A$42,0))*INDEX('Model Inputs &amp; Assumptions'!$H$40:$H$42,MATCH('Model Inputs &amp; Assumptions'!$L$28,'Model Inputs &amp; Assumptions'!$A$40:$A$42,0))</f>
        <v>154417.957995525</v>
      </c>
      <c r="K14" s="49" t="n">
        <f aca="false">H14*INDEX('Model Inputs &amp; Assumptions'!$G$40:$G$42,MATCH('Model Inputs &amp; Assumptions'!$L$28,'Model Inputs &amp; Assumptions'!$A$40:$A$42,0))*INDEX('Model Inputs &amp; Assumptions'!$H$40:$H$42,MATCH('Model Inputs &amp; Assumptions'!$L$28,'Model Inputs &amp; Assumptions'!$A$40:$A$42,0))</f>
        <v>3474.4040548993</v>
      </c>
      <c r="L14" s="51" t="n">
        <f aca="false">IFERROR(K14/I14,0)</f>
        <v>0.964767601045655</v>
      </c>
      <c r="M14" s="49" t="n">
        <f aca="false">IFERROR(I14/H14,0)</f>
        <v>198.23426884642</v>
      </c>
      <c r="N14" s="52" t="str">
        <f aca="false">'Model Inputs &amp; Assumptions'!$L$28</f>
        <v>PRD-EUAI</v>
      </c>
      <c r="P14" s="53" t="n">
        <v>1.123428</v>
      </c>
      <c r="Q14" s="53" t="n">
        <v>0.989031</v>
      </c>
      <c r="R14" s="53" t="n">
        <v>-0.820276</v>
      </c>
      <c r="S14" s="53" t="n">
        <v>-0.221722</v>
      </c>
    </row>
    <row r="15" customFormat="false" ht="15" hidden="false" customHeight="false" outlineLevel="0" collapsed="false">
      <c r="A15" s="43" t="n">
        <v>12</v>
      </c>
      <c r="B15" s="44" t="str">
        <f aca="false">'Model Inputs &amp; Assumptions'!$B$28</f>
        <v>finanzen.net — Q1 Awareness Burst</v>
      </c>
      <c r="C15" s="45" t="n">
        <f aca="false">ROUND(MAX(0,'Model Inputs &amp; Assumptions'!$S$28*EXP('Model Inputs &amp; Assumptions'!$T$28*P15-'Model Inputs &amp; Assumptions'!$T$28^2/2)),0)</f>
        <v>484681</v>
      </c>
      <c r="D15" s="46" t="n">
        <f aca="false">MIN(1,'Model Inputs &amp; Assumptions'!$U$28*EXP('Model Inputs &amp; Assumptions'!$V$28*Q15-'Model Inputs &amp; Assumptions'!$V$28^2/2))</f>
        <v>0</v>
      </c>
      <c r="E15" s="45" t="n">
        <f aca="false">ROUND(C15*D15,0)</f>
        <v>0</v>
      </c>
      <c r="F15" s="47" t="n">
        <f aca="false">MIN(1,'Model Inputs &amp; Assumptions'!$W$28*EXP('Model Inputs &amp; Assumptions'!$X$28*R15-'Model Inputs &amp; Assumptions'!$X$28^2/2))</f>
        <v>0.00181022778985564</v>
      </c>
      <c r="G15" s="45" t="n">
        <f aca="false">ROUND(C15*F15,0)</f>
        <v>877</v>
      </c>
      <c r="H15" s="48" t="n">
        <f aca="false">MAX(0,(C15*'Model Inputs &amp; Assumptions'!$N$28+E15*'Model Inputs &amp; Assumptions'!$O$28+G15*'Model Inputs &amp; Assumptions'!$P$28)*EXP('Model Inputs &amp; Assumptions'!$Q$28*S15-'Model Inputs &amp; Assumptions'!$Q$28^2/2))</f>
        <v>13.2800936376621</v>
      </c>
      <c r="I15" s="49" t="n">
        <f aca="false">IF('Model Inputs &amp; Assumptions'!$H$28="Fixed",'Model Inputs &amp; Assumptions'!$I$28*'Model Inputs &amp; Assumptions'!$K$28,IF('Model Inputs &amp; Assumptions'!$H$28="CPM",'Model Inputs &amp; Assumptions'!$I$28*'Model Inputs &amp; Assumptions'!$K$28*C15/1000,IF('Model Inputs &amp; Assumptions'!$H$28="CPC",'Model Inputs &amp; Assumptions'!$I$28*'Model Inputs &amp; Assumptions'!$K$28*G15,0)))</f>
        <v>3150.4265</v>
      </c>
      <c r="J15" s="50" t="n">
        <f aca="false">H15*INDEX('Model Inputs &amp; Assumptions'!$D$40:$D$42,MATCH('Model Inputs &amp; Assumptions'!$L$28,'Model Inputs &amp; Assumptions'!$A$40:$A$42,0))*INDEX('Model Inputs &amp; Assumptions'!$H$40:$H$42,MATCH('Model Inputs &amp; Assumptions'!$L$28,'Model Inputs &amp; Assumptions'!$A$40:$A$42,0))</f>
        <v>112880.795920128</v>
      </c>
      <c r="K15" s="49" t="n">
        <f aca="false">H15*INDEX('Model Inputs &amp; Assumptions'!$G$40:$G$42,MATCH('Model Inputs &amp; Assumptions'!$L$28,'Model Inputs &amp; Assumptions'!$A$40:$A$42,0))*INDEX('Model Inputs &amp; Assumptions'!$H$40:$H$42,MATCH('Model Inputs &amp; Assumptions'!$L$28,'Model Inputs &amp; Assumptions'!$A$40:$A$42,0))</f>
        <v>2539.81790820288</v>
      </c>
      <c r="L15" s="51" t="n">
        <f aca="false">IFERROR(K15/I15,0)</f>
        <v>0.806182244912832</v>
      </c>
      <c r="M15" s="49" t="n">
        <f aca="false">IFERROR(I15/H15,0)</f>
        <v>237.229238434393</v>
      </c>
      <c r="N15" s="52" t="str">
        <f aca="false">'Model Inputs &amp; Assumptions'!$L$28</f>
        <v>PRD-EUAI</v>
      </c>
      <c r="P15" s="53" t="n">
        <v>0.38036</v>
      </c>
      <c r="Q15" s="53" t="n">
        <v>0.159928</v>
      </c>
      <c r="R15" s="53" t="n">
        <v>0.964489</v>
      </c>
      <c r="S15" s="53" t="n">
        <v>-2.128943</v>
      </c>
    </row>
    <row r="16" customFormat="false" ht="15" hidden="false" customHeight="false" outlineLevel="0" collapsed="false">
      <c r="A16" s="43" t="n">
        <v>13</v>
      </c>
      <c r="B16" s="44" t="str">
        <f aca="false">'Model Inputs &amp; Assumptions'!$B$28</f>
        <v>finanzen.net — Q1 Awareness Burst</v>
      </c>
      <c r="C16" s="45" t="n">
        <f aca="false">ROUND(MAX(0,'Model Inputs &amp; Assumptions'!$S$28*EXP('Model Inputs &amp; Assumptions'!$T$28*P16-'Model Inputs &amp; Assumptions'!$T$28^2/2)),0)</f>
        <v>429605</v>
      </c>
      <c r="D16" s="46" t="n">
        <f aca="false">MIN(1,'Model Inputs &amp; Assumptions'!$U$28*EXP('Model Inputs &amp; Assumptions'!$V$28*Q16-'Model Inputs &amp; Assumptions'!$V$28^2/2))</f>
        <v>0</v>
      </c>
      <c r="E16" s="45" t="n">
        <f aca="false">ROUND(C16*D16,0)</f>
        <v>0</v>
      </c>
      <c r="F16" s="47" t="n">
        <f aca="false">MIN(1,'Model Inputs &amp; Assumptions'!$W$28*EXP('Model Inputs &amp; Assumptions'!$X$28*R16-'Model Inputs &amp; Assumptions'!$X$28^2/2))</f>
        <v>0.00153895511302855</v>
      </c>
      <c r="G16" s="45" t="n">
        <f aca="false">ROUND(C16*F16,0)</f>
        <v>661</v>
      </c>
      <c r="H16" s="48" t="n">
        <f aca="false">MAX(0,(C16*'Model Inputs &amp; Assumptions'!$N$28+E16*'Model Inputs &amp; Assumptions'!$O$28+G16*'Model Inputs &amp; Assumptions'!$P$28)*EXP('Model Inputs &amp; Assumptions'!$Q$28*S16-'Model Inputs &amp; Assumptions'!$Q$28^2/2))</f>
        <v>13.819693533734</v>
      </c>
      <c r="I16" s="49" t="n">
        <f aca="false">IF('Model Inputs &amp; Assumptions'!$H$28="Fixed",'Model Inputs &amp; Assumptions'!$I$28*'Model Inputs &amp; Assumptions'!$K$28,IF('Model Inputs &amp; Assumptions'!$H$28="CPM",'Model Inputs &amp; Assumptions'!$I$28*'Model Inputs &amp; Assumptions'!$K$28*C16/1000,IF('Model Inputs &amp; Assumptions'!$H$28="CPC",'Model Inputs &amp; Assumptions'!$I$28*'Model Inputs &amp; Assumptions'!$K$28*G16,0)))</f>
        <v>2792.4325</v>
      </c>
      <c r="J16" s="50" t="n">
        <f aca="false">H16*INDEX('Model Inputs &amp; Assumptions'!$D$40:$D$42,MATCH('Model Inputs &amp; Assumptions'!$L$28,'Model Inputs &amp; Assumptions'!$A$40:$A$42,0))*INDEX('Model Inputs &amp; Assumptions'!$H$40:$H$42,MATCH('Model Inputs &amp; Assumptions'!$L$28,'Model Inputs &amp; Assumptions'!$A$40:$A$42,0))</f>
        <v>117467.395036739</v>
      </c>
      <c r="K16" s="49" t="n">
        <f aca="false">H16*INDEX('Model Inputs &amp; Assumptions'!$G$40:$G$42,MATCH('Model Inputs &amp; Assumptions'!$L$28,'Model Inputs &amp; Assumptions'!$A$40:$A$42,0))*INDEX('Model Inputs &amp; Assumptions'!$H$40:$H$42,MATCH('Model Inputs &amp; Assumptions'!$L$28,'Model Inputs &amp; Assumptions'!$A$40:$A$42,0))</f>
        <v>2643.01638832663</v>
      </c>
      <c r="L16" s="51" t="n">
        <f aca="false">IFERROR(K16/I16,0)</f>
        <v>0.946492489371411</v>
      </c>
      <c r="M16" s="49" t="n">
        <f aca="false">IFERROR(I16/H16,0)</f>
        <v>202.061825262886</v>
      </c>
      <c r="N16" s="52" t="str">
        <f aca="false">'Model Inputs &amp; Assumptions'!$L$28</f>
        <v>PRD-EUAI</v>
      </c>
      <c r="P16" s="53" t="n">
        <v>-0.289779</v>
      </c>
      <c r="Q16" s="53" t="n">
        <v>0.843068</v>
      </c>
      <c r="R16" s="53" t="n">
        <v>0.226539</v>
      </c>
      <c r="S16" s="53" t="n">
        <v>-1.053671</v>
      </c>
    </row>
    <row r="17" customFormat="false" ht="15" hidden="false" customHeight="false" outlineLevel="0" collapsed="false">
      <c r="A17" s="43" t="n">
        <v>14</v>
      </c>
      <c r="B17" s="44" t="str">
        <f aca="false">'Model Inputs &amp; Assumptions'!$B$28</f>
        <v>finanzen.net — Q1 Awareness Burst</v>
      </c>
      <c r="C17" s="45" t="n">
        <f aca="false">ROUND(MAX(0,'Model Inputs &amp; Assumptions'!$S$28*EXP('Model Inputs &amp; Assumptions'!$T$28*P17-'Model Inputs &amp; Assumptions'!$T$28^2/2)),0)</f>
        <v>431799</v>
      </c>
      <c r="D17" s="46" t="n">
        <f aca="false">MIN(1,'Model Inputs &amp; Assumptions'!$U$28*EXP('Model Inputs &amp; Assumptions'!$V$28*Q17-'Model Inputs &amp; Assumptions'!$V$28^2/2))</f>
        <v>0</v>
      </c>
      <c r="E17" s="45" t="n">
        <f aca="false">ROUND(C17*D17,0)</f>
        <v>0</v>
      </c>
      <c r="F17" s="47" t="n">
        <f aca="false">MIN(1,'Model Inputs &amp; Assumptions'!$W$28*EXP('Model Inputs &amp; Assumptions'!$X$28*R17-'Model Inputs &amp; Assumptions'!$X$28^2/2))</f>
        <v>0.00148913141660993</v>
      </c>
      <c r="G17" s="45" t="n">
        <f aca="false">ROUND(C17*F17,0)</f>
        <v>643</v>
      </c>
      <c r="H17" s="48" t="n">
        <f aca="false">MAX(0,(C17*'Model Inputs &amp; Assumptions'!$N$28+E17*'Model Inputs &amp; Assumptions'!$O$28+G17*'Model Inputs &amp; Assumptions'!$P$28)*EXP('Model Inputs &amp; Assumptions'!$Q$28*S17-'Model Inputs &amp; Assumptions'!$Q$28^2/2))</f>
        <v>16.5378803251419</v>
      </c>
      <c r="I17" s="49" t="n">
        <f aca="false">IF('Model Inputs &amp; Assumptions'!$H$28="Fixed",'Model Inputs &amp; Assumptions'!$I$28*'Model Inputs &amp; Assumptions'!$K$28,IF('Model Inputs &amp; Assumptions'!$H$28="CPM",'Model Inputs &amp; Assumptions'!$I$28*'Model Inputs &amp; Assumptions'!$K$28*C17/1000,IF('Model Inputs &amp; Assumptions'!$H$28="CPC",'Model Inputs &amp; Assumptions'!$I$28*'Model Inputs &amp; Assumptions'!$K$28*G17,0)))</f>
        <v>2806.6935</v>
      </c>
      <c r="J17" s="50" t="n">
        <f aca="false">H17*INDEX('Model Inputs &amp; Assumptions'!$D$40:$D$42,MATCH('Model Inputs &amp; Assumptions'!$L$28,'Model Inputs &amp; Assumptions'!$A$40:$A$42,0))*INDEX('Model Inputs &amp; Assumptions'!$H$40:$H$42,MATCH('Model Inputs &amp; Assumptions'!$L$28,'Model Inputs &amp; Assumptions'!$A$40:$A$42,0))</f>
        <v>140571.982763706</v>
      </c>
      <c r="K17" s="49" t="n">
        <f aca="false">H17*INDEX('Model Inputs &amp; Assumptions'!$G$40:$G$42,MATCH('Model Inputs &amp; Assumptions'!$L$28,'Model Inputs &amp; Assumptions'!$A$40:$A$42,0))*INDEX('Model Inputs &amp; Assumptions'!$H$40:$H$42,MATCH('Model Inputs &amp; Assumptions'!$L$28,'Model Inputs &amp; Assumptions'!$A$40:$A$42,0))</f>
        <v>3162.86961218339</v>
      </c>
      <c r="L17" s="51" t="n">
        <f aca="false">IFERROR(K17/I17,0)</f>
        <v>1.12690238965651</v>
      </c>
      <c r="M17" s="49" t="n">
        <f aca="false">IFERROR(I17/H17,0)</f>
        <v>169.713013083853</v>
      </c>
      <c r="N17" s="52" t="str">
        <f aca="false">'Model Inputs &amp; Assumptions'!$L$28</f>
        <v>PRD-EUAI</v>
      </c>
      <c r="P17" s="53" t="n">
        <v>-0.261483</v>
      </c>
      <c r="Q17" s="53" t="n">
        <v>-0.402912</v>
      </c>
      <c r="R17" s="53" t="n">
        <v>0.076945</v>
      </c>
      <c r="S17" s="53" t="n">
        <v>-0.363111</v>
      </c>
    </row>
    <row r="18" customFormat="false" ht="15" hidden="false" customHeight="false" outlineLevel="0" collapsed="false">
      <c r="A18" s="43" t="n">
        <v>15</v>
      </c>
      <c r="B18" s="44" t="str">
        <f aca="false">'Model Inputs &amp; Assumptions'!$B$28</f>
        <v>finanzen.net — Q1 Awareness Burst</v>
      </c>
      <c r="C18" s="45" t="n">
        <f aca="false">ROUND(MAX(0,'Model Inputs &amp; Assumptions'!$S$28*EXP('Model Inputs &amp; Assumptions'!$T$28*P18-'Model Inputs &amp; Assumptions'!$T$28^2/2)),0)</f>
        <v>357773</v>
      </c>
      <c r="D18" s="46" t="n">
        <f aca="false">MIN(1,'Model Inputs &amp; Assumptions'!$U$28*EXP('Model Inputs &amp; Assumptions'!$V$28*Q18-'Model Inputs &amp; Assumptions'!$V$28^2/2))</f>
        <v>0</v>
      </c>
      <c r="E18" s="45" t="n">
        <f aca="false">ROUND(C18*D18,0)</f>
        <v>0</v>
      </c>
      <c r="F18" s="47" t="n">
        <f aca="false">MIN(1,'Model Inputs &amp; Assumptions'!$W$28*EXP('Model Inputs &amp; Assumptions'!$X$28*R18-'Model Inputs &amp; Assumptions'!$X$28^2/2))</f>
        <v>0.00144147467308457</v>
      </c>
      <c r="G18" s="45" t="n">
        <f aca="false">ROUND(C18*F18,0)</f>
        <v>516</v>
      </c>
      <c r="H18" s="48" t="n">
        <f aca="false">MAX(0,(C18*'Model Inputs &amp; Assumptions'!$N$28+E18*'Model Inputs &amp; Assumptions'!$O$28+G18*'Model Inputs &amp; Assumptions'!$P$28)*EXP('Model Inputs &amp; Assumptions'!$Q$28*S18-'Model Inputs &amp; Assumptions'!$Q$28^2/2))</f>
        <v>23.4640360521453</v>
      </c>
      <c r="I18" s="49" t="n">
        <f aca="false">IF('Model Inputs &amp; Assumptions'!$H$28="Fixed",'Model Inputs &amp; Assumptions'!$I$28*'Model Inputs &amp; Assumptions'!$K$28,IF('Model Inputs &amp; Assumptions'!$H$28="CPM",'Model Inputs &amp; Assumptions'!$I$28*'Model Inputs &amp; Assumptions'!$K$28*C18/1000,IF('Model Inputs &amp; Assumptions'!$H$28="CPC",'Model Inputs &amp; Assumptions'!$I$28*'Model Inputs &amp; Assumptions'!$K$28*G18,0)))</f>
        <v>2325.5245</v>
      </c>
      <c r="J18" s="50" t="n">
        <f aca="false">H18*INDEX('Model Inputs &amp; Assumptions'!$D$40:$D$42,MATCH('Model Inputs &amp; Assumptions'!$L$28,'Model Inputs &amp; Assumptions'!$A$40:$A$42,0))*INDEX('Model Inputs &amp; Assumptions'!$H$40:$H$42,MATCH('Model Inputs &amp; Assumptions'!$L$28,'Model Inputs &amp; Assumptions'!$A$40:$A$42,0))</f>
        <v>199444.306443235</v>
      </c>
      <c r="K18" s="49" t="n">
        <f aca="false">H18*INDEX('Model Inputs &amp; Assumptions'!$G$40:$G$42,MATCH('Model Inputs &amp; Assumptions'!$L$28,'Model Inputs &amp; Assumptions'!$A$40:$A$42,0))*INDEX('Model Inputs &amp; Assumptions'!$H$40:$H$42,MATCH('Model Inputs &amp; Assumptions'!$L$28,'Model Inputs &amp; Assumptions'!$A$40:$A$42,0))</f>
        <v>4487.49689497279</v>
      </c>
      <c r="L18" s="51" t="n">
        <f aca="false">IFERROR(K18/I18,0)</f>
        <v>1.92967087423624</v>
      </c>
      <c r="M18" s="49" t="n">
        <f aca="false">IFERROR(I18/H18,0)</f>
        <v>99.1101656523144</v>
      </c>
      <c r="N18" s="52" t="str">
        <f aca="false">'Model Inputs &amp; Assumptions'!$L$28</f>
        <v>PRD-EUAI</v>
      </c>
      <c r="P18" s="53" t="n">
        <v>-1.306259</v>
      </c>
      <c r="Q18" s="53" t="n">
        <v>-0.858929</v>
      </c>
      <c r="R18" s="53" t="n">
        <v>-0.070902</v>
      </c>
      <c r="S18" s="53" t="n">
        <v>1.5364</v>
      </c>
    </row>
    <row r="19" customFormat="false" ht="15" hidden="false" customHeight="false" outlineLevel="0" collapsed="false">
      <c r="A19" s="43" t="n">
        <v>16</v>
      </c>
      <c r="B19" s="44" t="str">
        <f aca="false">'Model Inputs &amp; Assumptions'!$B$28</f>
        <v>finanzen.net — Q1 Awareness Burst</v>
      </c>
      <c r="C19" s="45" t="n">
        <f aca="false">ROUND(MAX(0,'Model Inputs &amp; Assumptions'!$S$28*EXP('Model Inputs &amp; Assumptions'!$T$28*P19-'Model Inputs &amp; Assumptions'!$T$28^2/2)),0)</f>
        <v>597545</v>
      </c>
      <c r="D19" s="46" t="n">
        <f aca="false">MIN(1,'Model Inputs &amp; Assumptions'!$U$28*EXP('Model Inputs &amp; Assumptions'!$V$28*Q19-'Model Inputs &amp; Assumptions'!$V$28^2/2))</f>
        <v>0</v>
      </c>
      <c r="E19" s="45" t="n">
        <f aca="false">ROUND(C19*D19,0)</f>
        <v>0</v>
      </c>
      <c r="F19" s="47" t="n">
        <f aca="false">MIN(1,'Model Inputs &amp; Assumptions'!$W$28*EXP('Model Inputs &amp; Assumptions'!$X$28*R19-'Model Inputs &amp; Assumptions'!$X$28^2/2))</f>
        <v>0.00125653793444163</v>
      </c>
      <c r="G19" s="45" t="n">
        <f aca="false">ROUND(C19*F19,0)</f>
        <v>751</v>
      </c>
      <c r="H19" s="48" t="n">
        <f aca="false">MAX(0,(C19*'Model Inputs &amp; Assumptions'!$N$28+E19*'Model Inputs &amp; Assumptions'!$O$28+G19*'Model Inputs &amp; Assumptions'!$P$28)*EXP('Model Inputs &amp; Assumptions'!$Q$28*S19-'Model Inputs &amp; Assumptions'!$Q$28^2/2))</f>
        <v>20.6185004826633</v>
      </c>
      <c r="I19" s="49" t="n">
        <f aca="false">IF('Model Inputs &amp; Assumptions'!$H$28="Fixed",'Model Inputs &amp; Assumptions'!$I$28*'Model Inputs &amp; Assumptions'!$K$28,IF('Model Inputs &amp; Assumptions'!$H$28="CPM",'Model Inputs &amp; Assumptions'!$I$28*'Model Inputs &amp; Assumptions'!$K$28*C19/1000,IF('Model Inputs &amp; Assumptions'!$H$28="CPC",'Model Inputs &amp; Assumptions'!$I$28*'Model Inputs &amp; Assumptions'!$K$28*G19,0)))</f>
        <v>3884.0425</v>
      </c>
      <c r="J19" s="50" t="n">
        <f aca="false">H19*INDEX('Model Inputs &amp; Assumptions'!$D$40:$D$42,MATCH('Model Inputs &amp; Assumptions'!$L$28,'Model Inputs &amp; Assumptions'!$A$40:$A$42,0))*INDEX('Model Inputs &amp; Assumptions'!$H$40:$H$42,MATCH('Model Inputs &amp; Assumptions'!$L$28,'Model Inputs &amp; Assumptions'!$A$40:$A$42,0))</f>
        <v>175257.254102638</v>
      </c>
      <c r="K19" s="49" t="n">
        <f aca="false">H19*INDEX('Model Inputs &amp; Assumptions'!$G$40:$G$42,MATCH('Model Inputs &amp; Assumptions'!$L$28,'Model Inputs &amp; Assumptions'!$A$40:$A$42,0))*INDEX('Model Inputs &amp; Assumptions'!$H$40:$H$42,MATCH('Model Inputs &amp; Assumptions'!$L$28,'Model Inputs &amp; Assumptions'!$A$40:$A$42,0))</f>
        <v>3943.28821730936</v>
      </c>
      <c r="L19" s="51" t="n">
        <f aca="false">IFERROR(K19/I19,0)</f>
        <v>1.01525362230443</v>
      </c>
      <c r="M19" s="49" t="n">
        <f aca="false">IFERROR(I19/H19,0)</f>
        <v>188.376574875842</v>
      </c>
      <c r="N19" s="52" t="str">
        <f aca="false">'Model Inputs &amp; Assumptions'!$L$28</f>
        <v>PRD-EUAI</v>
      </c>
      <c r="P19" s="53" t="n">
        <v>1.543351</v>
      </c>
      <c r="Q19" s="53" t="n">
        <v>0.510537</v>
      </c>
      <c r="R19" s="53" t="n">
        <v>-0.695022</v>
      </c>
      <c r="S19" s="53" t="n">
        <v>-0.14553</v>
      </c>
    </row>
    <row r="20" customFormat="false" ht="15" hidden="false" customHeight="false" outlineLevel="0" collapsed="false">
      <c r="A20" s="43" t="n">
        <v>17</v>
      </c>
      <c r="B20" s="44" t="str">
        <f aca="false">'Model Inputs &amp; Assumptions'!$B$28</f>
        <v>finanzen.net — Q1 Awareness Burst</v>
      </c>
      <c r="C20" s="45" t="n">
        <f aca="false">ROUND(MAX(0,'Model Inputs &amp; Assumptions'!$S$28*EXP('Model Inputs &amp; Assumptions'!$T$28*P20-'Model Inputs &amp; Assumptions'!$T$28^2/2)),0)</f>
        <v>525980</v>
      </c>
      <c r="D20" s="46" t="n">
        <f aca="false">MIN(1,'Model Inputs &amp; Assumptions'!$U$28*EXP('Model Inputs &amp; Assumptions'!$V$28*Q20-'Model Inputs &amp; Assumptions'!$V$28^2/2))</f>
        <v>0</v>
      </c>
      <c r="E20" s="45" t="n">
        <f aca="false">ROUND(C20*D20,0)</f>
        <v>0</v>
      </c>
      <c r="F20" s="47" t="n">
        <f aca="false">MIN(1,'Model Inputs &amp; Assumptions'!$W$28*EXP('Model Inputs &amp; Assumptions'!$X$28*R20-'Model Inputs &amp; Assumptions'!$X$28^2/2))</f>
        <v>0.0016864877435552</v>
      </c>
      <c r="G20" s="45" t="n">
        <f aca="false">ROUND(C20*F20,0)</f>
        <v>887</v>
      </c>
      <c r="H20" s="48" t="n">
        <f aca="false">MAX(0,(C20*'Model Inputs &amp; Assumptions'!$N$28+E20*'Model Inputs &amp; Assumptions'!$O$28+G20*'Model Inputs &amp; Assumptions'!$P$28)*EXP('Model Inputs &amp; Assumptions'!$Q$28*S20-'Model Inputs &amp; Assumptions'!$Q$28^2/2))</f>
        <v>31.1555370854692</v>
      </c>
      <c r="I20" s="49" t="n">
        <f aca="false">IF('Model Inputs &amp; Assumptions'!$H$28="Fixed",'Model Inputs &amp; Assumptions'!$I$28*'Model Inputs &amp; Assumptions'!$K$28,IF('Model Inputs &amp; Assumptions'!$H$28="CPM",'Model Inputs &amp; Assumptions'!$I$28*'Model Inputs &amp; Assumptions'!$K$28*C20/1000,IF('Model Inputs &amp; Assumptions'!$H$28="CPC",'Model Inputs &amp; Assumptions'!$I$28*'Model Inputs &amp; Assumptions'!$K$28*G20,0)))</f>
        <v>3418.87</v>
      </c>
      <c r="J20" s="50" t="n">
        <f aca="false">H20*INDEX('Model Inputs &amp; Assumptions'!$D$40:$D$42,MATCH('Model Inputs &amp; Assumptions'!$L$28,'Model Inputs &amp; Assumptions'!$A$40:$A$42,0))*INDEX('Model Inputs &amp; Assumptions'!$H$40:$H$42,MATCH('Model Inputs &amp; Assumptions'!$L$28,'Model Inputs &amp; Assumptions'!$A$40:$A$42,0))</f>
        <v>264822.065226488</v>
      </c>
      <c r="K20" s="49" t="n">
        <f aca="false">H20*INDEX('Model Inputs &amp; Assumptions'!$G$40:$G$42,MATCH('Model Inputs &amp; Assumptions'!$L$28,'Model Inputs &amp; Assumptions'!$A$40:$A$42,0))*INDEX('Model Inputs &amp; Assumptions'!$H$40:$H$42,MATCH('Model Inputs &amp; Assumptions'!$L$28,'Model Inputs &amp; Assumptions'!$A$40:$A$42,0))</f>
        <v>5958.49646759598</v>
      </c>
      <c r="L20" s="51" t="n">
        <f aca="false">IFERROR(K20/I20,0)</f>
        <v>1.74282627523011</v>
      </c>
      <c r="M20" s="49" t="n">
        <f aca="false">IFERROR(I20/H20,0)</f>
        <v>109.735550076412</v>
      </c>
      <c r="N20" s="52" t="str">
        <f aca="false">'Model Inputs &amp; Assumptions'!$L$28</f>
        <v>PRD-EUAI</v>
      </c>
      <c r="P20" s="53" t="n">
        <v>0.834652</v>
      </c>
      <c r="Q20" s="53" t="n">
        <v>0.304911</v>
      </c>
      <c r="R20" s="53" t="n">
        <v>0.64265</v>
      </c>
      <c r="S20" s="53" t="n">
        <v>0.675683</v>
      </c>
    </row>
    <row r="21" customFormat="false" ht="15" hidden="false" customHeight="false" outlineLevel="0" collapsed="false">
      <c r="A21" s="43" t="n">
        <v>18</v>
      </c>
      <c r="B21" s="44" t="str">
        <f aca="false">'Model Inputs &amp; Assumptions'!$B$28</f>
        <v>finanzen.net — Q1 Awareness Burst</v>
      </c>
      <c r="C21" s="45" t="n">
        <f aca="false">ROUND(MAX(0,'Model Inputs &amp; Assumptions'!$S$28*EXP('Model Inputs &amp; Assumptions'!$T$28*P21-'Model Inputs &amp; Assumptions'!$T$28^2/2)),0)</f>
        <v>681169</v>
      </c>
      <c r="D21" s="46" t="n">
        <f aca="false">MIN(1,'Model Inputs &amp; Assumptions'!$U$28*EXP('Model Inputs &amp; Assumptions'!$V$28*Q21-'Model Inputs &amp; Assumptions'!$V$28^2/2))</f>
        <v>0</v>
      </c>
      <c r="E21" s="45" t="n">
        <f aca="false">ROUND(C21*D21,0)</f>
        <v>0</v>
      </c>
      <c r="F21" s="47" t="n">
        <f aca="false">MIN(1,'Model Inputs &amp; Assumptions'!$W$28*EXP('Model Inputs &amp; Assumptions'!$X$28*R21-'Model Inputs &amp; Assumptions'!$X$28^2/2))</f>
        <v>0.00198488760051089</v>
      </c>
      <c r="G21" s="45" t="n">
        <f aca="false">ROUND(C21*F21,0)</f>
        <v>1352</v>
      </c>
      <c r="H21" s="48" t="n">
        <f aca="false">MAX(0,(C21*'Model Inputs &amp; Assumptions'!$N$28+E21*'Model Inputs &amp; Assumptions'!$O$28+G21*'Model Inputs &amp; Assumptions'!$P$28)*EXP('Model Inputs &amp; Assumptions'!$Q$28*S21-'Model Inputs &amp; Assumptions'!$Q$28^2/2))</f>
        <v>33.8943576416048</v>
      </c>
      <c r="I21" s="49" t="n">
        <f aca="false">IF('Model Inputs &amp; Assumptions'!$H$28="Fixed",'Model Inputs &amp; Assumptions'!$I$28*'Model Inputs &amp; Assumptions'!$K$28,IF('Model Inputs &amp; Assumptions'!$H$28="CPM",'Model Inputs &amp; Assumptions'!$I$28*'Model Inputs &amp; Assumptions'!$K$28*C21/1000,IF('Model Inputs &amp; Assumptions'!$H$28="CPC",'Model Inputs &amp; Assumptions'!$I$28*'Model Inputs &amp; Assumptions'!$K$28*G21,0)))</f>
        <v>4427.5985</v>
      </c>
      <c r="J21" s="50" t="n">
        <f aca="false">H21*INDEX('Model Inputs &amp; Assumptions'!$D$40:$D$42,MATCH('Model Inputs &amp; Assumptions'!$L$28,'Model Inputs &amp; Assumptions'!$A$40:$A$42,0))*INDEX('Model Inputs &amp; Assumptions'!$H$40:$H$42,MATCH('Model Inputs &amp; Assumptions'!$L$28,'Model Inputs &amp; Assumptions'!$A$40:$A$42,0))</f>
        <v>288102.039953641</v>
      </c>
      <c r="K21" s="49" t="n">
        <f aca="false">H21*INDEX('Model Inputs &amp; Assumptions'!$G$40:$G$42,MATCH('Model Inputs &amp; Assumptions'!$L$28,'Model Inputs &amp; Assumptions'!$A$40:$A$42,0))*INDEX('Model Inputs &amp; Assumptions'!$H$40:$H$42,MATCH('Model Inputs &amp; Assumptions'!$L$28,'Model Inputs &amp; Assumptions'!$A$40:$A$42,0))</f>
        <v>6482.29589895692</v>
      </c>
      <c r="L21" s="51" t="n">
        <f aca="false">IFERROR(K21/I21,0)</f>
        <v>1.46406588107682</v>
      </c>
      <c r="M21" s="49" t="n">
        <f aca="false">IFERROR(I21/H21,0)</f>
        <v>130.62936748402</v>
      </c>
      <c r="N21" s="52" t="str">
        <f aca="false">'Model Inputs &amp; Assumptions'!$L$28</f>
        <v>PRD-EUAI</v>
      </c>
      <c r="P21" s="53" t="n">
        <v>2.271021</v>
      </c>
      <c r="Q21" s="53" t="n">
        <v>-1.421448</v>
      </c>
      <c r="R21" s="53" t="n">
        <v>1.383169</v>
      </c>
      <c r="S21" s="53" t="n">
        <v>-0.448446</v>
      </c>
    </row>
    <row r="22" customFormat="false" ht="15" hidden="false" customHeight="false" outlineLevel="0" collapsed="false">
      <c r="A22" s="43" t="n">
        <v>19</v>
      </c>
      <c r="B22" s="44" t="str">
        <f aca="false">'Model Inputs &amp; Assumptions'!$B$28</f>
        <v>finanzen.net — Q1 Awareness Burst</v>
      </c>
      <c r="C22" s="45" t="n">
        <f aca="false">ROUND(MAX(0,'Model Inputs &amp; Assumptions'!$S$28*EXP('Model Inputs &amp; Assumptions'!$T$28*P22-'Model Inputs &amp; Assumptions'!$T$28^2/2)),0)</f>
        <v>487293</v>
      </c>
      <c r="D22" s="46" t="n">
        <f aca="false">MIN(1,'Model Inputs &amp; Assumptions'!$U$28*EXP('Model Inputs &amp; Assumptions'!$V$28*Q22-'Model Inputs &amp; Assumptions'!$V$28^2/2))</f>
        <v>0</v>
      </c>
      <c r="E22" s="45" t="n">
        <f aca="false">ROUND(C22*D22,0)</f>
        <v>0</v>
      </c>
      <c r="F22" s="47" t="n">
        <f aca="false">MIN(1,'Model Inputs &amp; Assumptions'!$W$28*EXP('Model Inputs &amp; Assumptions'!$X$28*R22-'Model Inputs &amp; Assumptions'!$X$28^2/2))</f>
        <v>0.00143422100493332</v>
      </c>
      <c r="G22" s="45" t="n">
        <f aca="false">ROUND(C22*F22,0)</f>
        <v>699</v>
      </c>
      <c r="H22" s="48" t="n">
        <f aca="false">MAX(0,(C22*'Model Inputs &amp; Assumptions'!$N$28+E22*'Model Inputs &amp; Assumptions'!$O$28+G22*'Model Inputs &amp; Assumptions'!$P$28)*EXP('Model Inputs &amp; Assumptions'!$Q$28*S22-'Model Inputs &amp; Assumptions'!$Q$28^2/2))</f>
        <v>18.6139601502665</v>
      </c>
      <c r="I22" s="49" t="n">
        <f aca="false">IF('Model Inputs &amp; Assumptions'!$H$28="Fixed",'Model Inputs &amp; Assumptions'!$I$28*'Model Inputs &amp; Assumptions'!$K$28,IF('Model Inputs &amp; Assumptions'!$H$28="CPM",'Model Inputs &amp; Assumptions'!$I$28*'Model Inputs &amp; Assumptions'!$K$28*C22/1000,IF('Model Inputs &amp; Assumptions'!$H$28="CPC",'Model Inputs &amp; Assumptions'!$I$28*'Model Inputs &amp; Assumptions'!$K$28*G22,0)))</f>
        <v>3167.4045</v>
      </c>
      <c r="J22" s="50" t="n">
        <f aca="false">H22*INDEX('Model Inputs &amp; Assumptions'!$D$40:$D$42,MATCH('Model Inputs &amp; Assumptions'!$L$28,'Model Inputs &amp; Assumptions'!$A$40:$A$42,0))*INDEX('Model Inputs &amp; Assumptions'!$H$40:$H$42,MATCH('Model Inputs &amp; Assumptions'!$L$28,'Model Inputs &amp; Assumptions'!$A$40:$A$42,0))</f>
        <v>158218.661277265</v>
      </c>
      <c r="K22" s="49" t="n">
        <f aca="false">H22*INDEX('Model Inputs &amp; Assumptions'!$G$40:$G$42,MATCH('Model Inputs &amp; Assumptions'!$L$28,'Model Inputs &amp; Assumptions'!$A$40:$A$42,0))*INDEX('Model Inputs &amp; Assumptions'!$H$40:$H$42,MATCH('Model Inputs &amp; Assumptions'!$L$28,'Model Inputs &amp; Assumptions'!$A$40:$A$42,0))</f>
        <v>3559.91987873847</v>
      </c>
      <c r="L22" s="51" t="n">
        <f aca="false">IFERROR(K22/I22,0)</f>
        <v>1.12392335072406</v>
      </c>
      <c r="M22" s="49" t="n">
        <f aca="false">IFERROR(I22/H22,0)</f>
        <v>170.162849518868</v>
      </c>
      <c r="N22" s="52" t="str">
        <f aca="false">'Model Inputs &amp; Assumptions'!$L$28</f>
        <v>PRD-EUAI</v>
      </c>
      <c r="P22" s="53" t="n">
        <v>0.410213</v>
      </c>
      <c r="Q22" s="53" t="n">
        <v>1.676508</v>
      </c>
      <c r="R22" s="53" t="n">
        <v>-0.093833</v>
      </c>
      <c r="S22" s="53" t="n">
        <v>-0.24727</v>
      </c>
    </row>
    <row r="23" customFormat="false" ht="15" hidden="false" customHeight="false" outlineLevel="0" collapsed="false">
      <c r="A23" s="43" t="n">
        <v>20</v>
      </c>
      <c r="B23" s="44" t="str">
        <f aca="false">'Model Inputs &amp; Assumptions'!$B$28</f>
        <v>finanzen.net — Q1 Awareness Burst</v>
      </c>
      <c r="C23" s="45" t="n">
        <f aca="false">ROUND(MAX(0,'Model Inputs &amp; Assumptions'!$S$28*EXP('Model Inputs &amp; Assumptions'!$T$28*P23-'Model Inputs &amp; Assumptions'!$T$28^2/2)),0)</f>
        <v>455923</v>
      </c>
      <c r="D23" s="46" t="n">
        <f aca="false">MIN(1,'Model Inputs &amp; Assumptions'!$U$28*EXP('Model Inputs &amp; Assumptions'!$V$28*Q23-'Model Inputs &amp; Assumptions'!$V$28^2/2))</f>
        <v>0</v>
      </c>
      <c r="E23" s="45" t="n">
        <f aca="false">ROUND(C23*D23,0)</f>
        <v>0</v>
      </c>
      <c r="F23" s="47" t="n">
        <f aca="false">MIN(1,'Model Inputs &amp; Assumptions'!$W$28*EXP('Model Inputs &amp; Assumptions'!$X$28*R23-'Model Inputs &amp; Assumptions'!$X$28^2/2))</f>
        <v>0.00116473077758283</v>
      </c>
      <c r="G23" s="45" t="n">
        <f aca="false">ROUND(C23*F23,0)</f>
        <v>531</v>
      </c>
      <c r="H23" s="48" t="n">
        <f aca="false">MAX(0,(C23*'Model Inputs &amp; Assumptions'!$N$28+E23*'Model Inputs &amp; Assumptions'!$O$28+G23*'Model Inputs &amp; Assumptions'!$P$28)*EXP('Model Inputs &amp; Assumptions'!$Q$28*S23-'Model Inputs &amp; Assumptions'!$Q$28^2/2))</f>
        <v>11.0480299159803</v>
      </c>
      <c r="I23" s="49" t="n">
        <f aca="false">IF('Model Inputs &amp; Assumptions'!$H$28="Fixed",'Model Inputs &amp; Assumptions'!$I$28*'Model Inputs &amp; Assumptions'!$K$28,IF('Model Inputs &amp; Assumptions'!$H$28="CPM",'Model Inputs &amp; Assumptions'!$I$28*'Model Inputs &amp; Assumptions'!$K$28*C23/1000,IF('Model Inputs &amp; Assumptions'!$H$28="CPC",'Model Inputs &amp; Assumptions'!$I$28*'Model Inputs &amp; Assumptions'!$K$28*G23,0)))</f>
        <v>2963.4995</v>
      </c>
      <c r="J23" s="50" t="n">
        <f aca="false">H23*INDEX('Model Inputs &amp; Assumptions'!$D$40:$D$42,MATCH('Model Inputs &amp; Assumptions'!$L$28,'Model Inputs &amp; Assumptions'!$A$40:$A$42,0))*INDEX('Model Inputs &amp; Assumptions'!$H$40:$H$42,MATCH('Model Inputs &amp; Assumptions'!$L$28,'Model Inputs &amp; Assumptions'!$A$40:$A$42,0))</f>
        <v>93908.2542858321</v>
      </c>
      <c r="K23" s="49" t="n">
        <f aca="false">H23*INDEX('Model Inputs &amp; Assumptions'!$G$40:$G$42,MATCH('Model Inputs &amp; Assumptions'!$L$28,'Model Inputs &amp; Assumptions'!$A$40:$A$42,0))*INDEX('Model Inputs &amp; Assumptions'!$H$40:$H$42,MATCH('Model Inputs &amp; Assumptions'!$L$28,'Model Inputs &amp; Assumptions'!$A$40:$A$42,0))</f>
        <v>2112.93572143122</v>
      </c>
      <c r="L23" s="51" t="n">
        <f aca="false">IFERROR(K23/I23,0)</f>
        <v>0.712986697460628</v>
      </c>
      <c r="M23" s="49" t="n">
        <f aca="false">IFERROR(I23/H23,0)</f>
        <v>268.237823624418</v>
      </c>
      <c r="N23" s="52" t="str">
        <f aca="false">'Model Inputs &amp; Assumptions'!$L$28</f>
        <v>PRD-EUAI</v>
      </c>
      <c r="P23" s="53" t="n">
        <v>0.040542</v>
      </c>
      <c r="Q23" s="53" t="n">
        <v>0.441183</v>
      </c>
      <c r="R23" s="53" t="n">
        <v>-1.039887</v>
      </c>
      <c r="S23" s="53" t="n">
        <v>-1.06984</v>
      </c>
    </row>
    <row r="24" customFormat="false" ht="15" hidden="false" customHeight="false" outlineLevel="0" collapsed="false">
      <c r="A24" s="43" t="n">
        <v>21</v>
      </c>
      <c r="B24" s="44" t="str">
        <f aca="false">'Model Inputs &amp; Assumptions'!$B$28</f>
        <v>finanzen.net — Q1 Awareness Burst</v>
      </c>
      <c r="C24" s="45" t="n">
        <f aca="false">ROUND(MAX(0,'Model Inputs &amp; Assumptions'!$S$28*EXP('Model Inputs &amp; Assumptions'!$T$28*P24-'Model Inputs &amp; Assumptions'!$T$28^2/2)),0)</f>
        <v>480551</v>
      </c>
      <c r="D24" s="46" t="n">
        <f aca="false">MIN(1,'Model Inputs &amp; Assumptions'!$U$28*EXP('Model Inputs &amp; Assumptions'!$V$28*Q24-'Model Inputs &amp; Assumptions'!$V$28^2/2))</f>
        <v>0</v>
      </c>
      <c r="E24" s="45" t="n">
        <f aca="false">ROUND(C24*D24,0)</f>
        <v>0</v>
      </c>
      <c r="F24" s="47" t="n">
        <f aca="false">MIN(1,'Model Inputs &amp; Assumptions'!$W$28*EXP('Model Inputs &amp; Assumptions'!$X$28*R24-'Model Inputs &amp; Assumptions'!$X$28^2/2))</f>
        <v>0.00133796294647912</v>
      </c>
      <c r="G24" s="45" t="n">
        <f aca="false">ROUND(C24*F24,0)</f>
        <v>643</v>
      </c>
      <c r="H24" s="48" t="n">
        <f aca="false">MAX(0,(C24*'Model Inputs &amp; Assumptions'!$N$28+E24*'Model Inputs &amp; Assumptions'!$O$28+G24*'Model Inputs &amp; Assumptions'!$P$28)*EXP('Model Inputs &amp; Assumptions'!$Q$28*S24-'Model Inputs &amp; Assumptions'!$Q$28^2/2))</f>
        <v>18.1779228385722</v>
      </c>
      <c r="I24" s="49" t="n">
        <f aca="false">IF('Model Inputs &amp; Assumptions'!$H$28="Fixed",'Model Inputs &amp; Assumptions'!$I$28*'Model Inputs &amp; Assumptions'!$K$28,IF('Model Inputs &amp; Assumptions'!$H$28="CPM",'Model Inputs &amp; Assumptions'!$I$28*'Model Inputs &amp; Assumptions'!$K$28*C24/1000,IF('Model Inputs &amp; Assumptions'!$H$28="CPC",'Model Inputs &amp; Assumptions'!$I$28*'Model Inputs &amp; Assumptions'!$K$28*G24,0)))</f>
        <v>3123.5815</v>
      </c>
      <c r="J24" s="50" t="n">
        <f aca="false">H24*INDEX('Model Inputs &amp; Assumptions'!$D$40:$D$42,MATCH('Model Inputs &amp; Assumptions'!$L$28,'Model Inputs &amp; Assumptions'!$A$40:$A$42,0))*INDEX('Model Inputs &amp; Assumptions'!$H$40:$H$42,MATCH('Model Inputs &amp; Assumptions'!$L$28,'Model Inputs &amp; Assumptions'!$A$40:$A$42,0))</f>
        <v>154512.344127864</v>
      </c>
      <c r="K24" s="49" t="n">
        <f aca="false">H24*INDEX('Model Inputs &amp; Assumptions'!$G$40:$G$42,MATCH('Model Inputs &amp; Assumptions'!$L$28,'Model Inputs &amp; Assumptions'!$A$40:$A$42,0))*INDEX('Model Inputs &amp; Assumptions'!$H$40:$H$42,MATCH('Model Inputs &amp; Assumptions'!$L$28,'Model Inputs &amp; Assumptions'!$A$40:$A$42,0))</f>
        <v>3476.52774287693</v>
      </c>
      <c r="L24" s="51" t="n">
        <f aca="false">IFERROR(K24/I24,0)</f>
        <v>1.11299408799704</v>
      </c>
      <c r="M24" s="49" t="n">
        <f aca="false">IFERROR(I24/H24,0)</f>
        <v>171.833796839097</v>
      </c>
      <c r="N24" s="52" t="str">
        <f aca="false">'Model Inputs &amp; Assumptions'!$L$28</f>
        <v>PRD-EUAI</v>
      </c>
      <c r="P24" s="53" t="n">
        <v>0.332815</v>
      </c>
      <c r="Q24" s="53" t="n">
        <v>-0.287259</v>
      </c>
      <c r="R24" s="53" t="n">
        <v>-0.409622</v>
      </c>
      <c r="S24" s="53" t="n">
        <v>-0.04793</v>
      </c>
    </row>
    <row r="25" customFormat="false" ht="15" hidden="false" customHeight="false" outlineLevel="0" collapsed="false">
      <c r="A25" s="43" t="n">
        <v>22</v>
      </c>
      <c r="B25" s="44" t="str">
        <f aca="false">'Model Inputs &amp; Assumptions'!$B$28</f>
        <v>finanzen.net — Q1 Awareness Burst</v>
      </c>
      <c r="C25" s="45" t="n">
        <f aca="false">ROUND(MAX(0,'Model Inputs &amp; Assumptions'!$S$28*EXP('Model Inputs &amp; Assumptions'!$T$28*P25-'Model Inputs &amp; Assumptions'!$T$28^2/2)),0)</f>
        <v>564842</v>
      </c>
      <c r="D25" s="46" t="n">
        <f aca="false">MIN(1,'Model Inputs &amp; Assumptions'!$U$28*EXP('Model Inputs &amp; Assumptions'!$V$28*Q25-'Model Inputs &amp; Assumptions'!$V$28^2/2))</f>
        <v>0</v>
      </c>
      <c r="E25" s="45" t="n">
        <f aca="false">ROUND(C25*D25,0)</f>
        <v>0</v>
      </c>
      <c r="F25" s="47" t="n">
        <f aca="false">MIN(1,'Model Inputs &amp; Assumptions'!$W$28*EXP('Model Inputs &amp; Assumptions'!$X$28*R25-'Model Inputs &amp; Assumptions'!$X$28^2/2))</f>
        <v>0.00128831209499442</v>
      </c>
      <c r="G25" s="45" t="n">
        <f aca="false">ROUND(C25*F25,0)</f>
        <v>728</v>
      </c>
      <c r="H25" s="48" t="n">
        <f aca="false">MAX(0,(C25*'Model Inputs &amp; Assumptions'!$N$28+E25*'Model Inputs &amp; Assumptions'!$O$28+G25*'Model Inputs &amp; Assumptions'!$P$28)*EXP('Model Inputs &amp; Assumptions'!$Q$28*S25-'Model Inputs &amp; Assumptions'!$Q$28^2/2))</f>
        <v>21.3879066157091</v>
      </c>
      <c r="I25" s="49" t="n">
        <f aca="false">IF('Model Inputs &amp; Assumptions'!$H$28="Fixed",'Model Inputs &amp; Assumptions'!$I$28*'Model Inputs &amp; Assumptions'!$K$28,IF('Model Inputs &amp; Assumptions'!$H$28="CPM",'Model Inputs &amp; Assumptions'!$I$28*'Model Inputs &amp; Assumptions'!$K$28*C25/1000,IF('Model Inputs &amp; Assumptions'!$H$28="CPC",'Model Inputs &amp; Assumptions'!$I$28*'Model Inputs &amp; Assumptions'!$K$28*G25,0)))</f>
        <v>3671.473</v>
      </c>
      <c r="J25" s="50" t="n">
        <f aca="false">H25*INDEX('Model Inputs &amp; Assumptions'!$D$40:$D$42,MATCH('Model Inputs &amp; Assumptions'!$L$28,'Model Inputs &amp; Assumptions'!$A$40:$A$42,0))*INDEX('Model Inputs &amp; Assumptions'!$H$40:$H$42,MATCH('Model Inputs &amp; Assumptions'!$L$28,'Model Inputs &amp; Assumptions'!$A$40:$A$42,0))</f>
        <v>181797.206233527</v>
      </c>
      <c r="K25" s="49" t="n">
        <f aca="false">H25*INDEX('Model Inputs &amp; Assumptions'!$G$40:$G$42,MATCH('Model Inputs &amp; Assumptions'!$L$28,'Model Inputs &amp; Assumptions'!$A$40:$A$42,0))*INDEX('Model Inputs &amp; Assumptions'!$H$40:$H$42,MATCH('Model Inputs &amp; Assumptions'!$L$28,'Model Inputs &amp; Assumptions'!$A$40:$A$42,0))</f>
        <v>4090.43714025436</v>
      </c>
      <c r="L25" s="51" t="n">
        <f aca="false">IFERROR(K25/I25,0)</f>
        <v>1.11411336546785</v>
      </c>
      <c r="M25" s="49" t="n">
        <f aca="false">IFERROR(I25/H25,0)</f>
        <v>171.661166563321</v>
      </c>
      <c r="N25" s="52" t="str">
        <f aca="false">'Model Inputs &amp; Assumptions'!$L$28</f>
        <v>PRD-EUAI</v>
      </c>
      <c r="P25" s="53" t="n">
        <v>1.230666</v>
      </c>
      <c r="Q25" s="53" t="n">
        <v>0.121503</v>
      </c>
      <c r="R25" s="53" t="n">
        <v>-0.58151</v>
      </c>
      <c r="S25" s="53" t="n">
        <v>0.080275</v>
      </c>
    </row>
    <row r="26" customFormat="false" ht="15" hidden="false" customHeight="false" outlineLevel="0" collapsed="false">
      <c r="A26" s="43" t="n">
        <v>23</v>
      </c>
      <c r="B26" s="44" t="str">
        <f aca="false">'Model Inputs &amp; Assumptions'!$B$28</f>
        <v>finanzen.net — Q1 Awareness Burst</v>
      </c>
      <c r="C26" s="45" t="n">
        <f aca="false">ROUND(MAX(0,'Model Inputs &amp; Assumptions'!$S$28*EXP('Model Inputs &amp; Assumptions'!$T$28*P26-'Model Inputs &amp; Assumptions'!$T$28^2/2)),0)</f>
        <v>355365</v>
      </c>
      <c r="D26" s="46" t="n">
        <f aca="false">MIN(1,'Model Inputs &amp; Assumptions'!$U$28*EXP('Model Inputs &amp; Assumptions'!$V$28*Q26-'Model Inputs &amp; Assumptions'!$V$28^2/2))</f>
        <v>0</v>
      </c>
      <c r="E26" s="45" t="n">
        <f aca="false">ROUND(C26*D26,0)</f>
        <v>0</v>
      </c>
      <c r="F26" s="47" t="n">
        <f aca="false">MIN(1,'Model Inputs &amp; Assumptions'!$W$28*EXP('Model Inputs &amp; Assumptions'!$X$28*R26-'Model Inputs &amp; Assumptions'!$X$28^2/2))</f>
        <v>0.00155602191229395</v>
      </c>
      <c r="G26" s="45" t="n">
        <f aca="false">ROUND(C26*F26,0)</f>
        <v>553</v>
      </c>
      <c r="H26" s="48" t="n">
        <f aca="false">MAX(0,(C26*'Model Inputs &amp; Assumptions'!$N$28+E26*'Model Inputs &amp; Assumptions'!$O$28+G26*'Model Inputs &amp; Assumptions'!$P$28)*EXP('Model Inputs &amp; Assumptions'!$Q$28*S26-'Model Inputs &amp; Assumptions'!$Q$28^2/2))</f>
        <v>8.84975260332324</v>
      </c>
      <c r="I26" s="49" t="n">
        <f aca="false">IF('Model Inputs &amp; Assumptions'!$H$28="Fixed",'Model Inputs &amp; Assumptions'!$I$28*'Model Inputs &amp; Assumptions'!$K$28,IF('Model Inputs &amp; Assumptions'!$H$28="CPM",'Model Inputs &amp; Assumptions'!$I$28*'Model Inputs &amp; Assumptions'!$K$28*C26/1000,IF('Model Inputs &amp; Assumptions'!$H$28="CPC",'Model Inputs &amp; Assumptions'!$I$28*'Model Inputs &amp; Assumptions'!$K$28*G26,0)))</f>
        <v>2309.8725</v>
      </c>
      <c r="J26" s="50" t="n">
        <f aca="false">H26*INDEX('Model Inputs &amp; Assumptions'!$D$40:$D$42,MATCH('Model Inputs &amp; Assumptions'!$L$28,'Model Inputs &amp; Assumptions'!$A$40:$A$42,0))*INDEX('Model Inputs &amp; Assumptions'!$H$40:$H$42,MATCH('Model Inputs &amp; Assumptions'!$L$28,'Model Inputs &amp; Assumptions'!$A$40:$A$42,0))</f>
        <v>75222.8971282475</v>
      </c>
      <c r="K26" s="49" t="n">
        <f aca="false">H26*INDEX('Model Inputs &amp; Assumptions'!$G$40:$G$42,MATCH('Model Inputs &amp; Assumptions'!$L$28,'Model Inputs &amp; Assumptions'!$A$40:$A$42,0))*INDEX('Model Inputs &amp; Assumptions'!$H$40:$H$42,MATCH('Model Inputs &amp; Assumptions'!$L$28,'Model Inputs &amp; Assumptions'!$A$40:$A$42,0))</f>
        <v>1692.51518538557</v>
      </c>
      <c r="L26" s="51" t="n">
        <f aca="false">IFERROR(K26/I26,0)</f>
        <v>0.732730999388741</v>
      </c>
      <c r="M26" s="49" t="n">
        <f aca="false">IFERROR(I26/H26,0)</f>
        <v>261.009838753301</v>
      </c>
      <c r="N26" s="52" t="str">
        <f aca="false">'Model Inputs &amp; Assumptions'!$L$28</f>
        <v>PRD-EUAI</v>
      </c>
      <c r="P26" s="53" t="n">
        <v>-1.343784</v>
      </c>
      <c r="Q26" s="53" t="n">
        <v>-0.122858</v>
      </c>
      <c r="R26" s="53" t="n">
        <v>0.27667</v>
      </c>
      <c r="S26" s="53" t="n">
        <v>-1.944702</v>
      </c>
    </row>
    <row r="27" customFormat="false" ht="15" hidden="false" customHeight="false" outlineLevel="0" collapsed="false">
      <c r="A27" s="43" t="n">
        <v>24</v>
      </c>
      <c r="B27" s="44" t="str">
        <f aca="false">'Model Inputs &amp; Assumptions'!$B$28</f>
        <v>finanzen.net — Q1 Awareness Burst</v>
      </c>
      <c r="C27" s="45" t="n">
        <f aca="false">ROUND(MAX(0,'Model Inputs &amp; Assumptions'!$S$28*EXP('Model Inputs &amp; Assumptions'!$T$28*P27-'Model Inputs &amp; Assumptions'!$T$28^2/2)),0)</f>
        <v>746487</v>
      </c>
      <c r="D27" s="46" t="n">
        <f aca="false">MIN(1,'Model Inputs &amp; Assumptions'!$U$28*EXP('Model Inputs &amp; Assumptions'!$V$28*Q27-'Model Inputs &amp; Assumptions'!$V$28^2/2))</f>
        <v>0</v>
      </c>
      <c r="E27" s="45" t="n">
        <f aca="false">ROUND(C27*D27,0)</f>
        <v>0</v>
      </c>
      <c r="F27" s="47" t="n">
        <f aca="false">MIN(1,'Model Inputs &amp; Assumptions'!$W$28*EXP('Model Inputs &amp; Assumptions'!$X$28*R27-'Model Inputs &amp; Assumptions'!$X$28^2/2))</f>
        <v>0.00154830661631422</v>
      </c>
      <c r="G27" s="45" t="n">
        <f aca="false">ROUND(C27*F27,0)</f>
        <v>1156</v>
      </c>
      <c r="H27" s="48" t="n">
        <f aca="false">MAX(0,(C27*'Model Inputs &amp; Assumptions'!$N$28+E27*'Model Inputs &amp; Assumptions'!$O$28+G27*'Model Inputs &amp; Assumptions'!$P$28)*EXP('Model Inputs &amp; Assumptions'!$Q$28*S27-'Model Inputs &amp; Assumptions'!$Q$28^2/2))</f>
        <v>37.4790178323078</v>
      </c>
      <c r="I27" s="49" t="n">
        <f aca="false">IF('Model Inputs &amp; Assumptions'!$H$28="Fixed",'Model Inputs &amp; Assumptions'!$I$28*'Model Inputs &amp; Assumptions'!$K$28,IF('Model Inputs &amp; Assumptions'!$H$28="CPM",'Model Inputs &amp; Assumptions'!$I$28*'Model Inputs &amp; Assumptions'!$K$28*C27/1000,IF('Model Inputs &amp; Assumptions'!$H$28="CPC",'Model Inputs &amp; Assumptions'!$I$28*'Model Inputs &amp; Assumptions'!$K$28*G27,0)))</f>
        <v>4852.1655</v>
      </c>
      <c r="J27" s="50" t="n">
        <f aca="false">H27*INDEX('Model Inputs &amp; Assumptions'!$D$40:$D$42,MATCH('Model Inputs &amp; Assumptions'!$L$28,'Model Inputs &amp; Assumptions'!$A$40:$A$42,0))*INDEX('Model Inputs &amp; Assumptions'!$H$40:$H$42,MATCH('Model Inputs &amp; Assumptions'!$L$28,'Model Inputs &amp; Assumptions'!$A$40:$A$42,0))</f>
        <v>318571.651574616</v>
      </c>
      <c r="K27" s="49" t="n">
        <f aca="false">H27*INDEX('Model Inputs &amp; Assumptions'!$G$40:$G$42,MATCH('Model Inputs &amp; Assumptions'!$L$28,'Model Inputs &amp; Assumptions'!$A$40:$A$42,0))*INDEX('Model Inputs &amp; Assumptions'!$H$40:$H$42,MATCH('Model Inputs &amp; Assumptions'!$L$28,'Model Inputs &amp; Assumptions'!$A$40:$A$42,0))</f>
        <v>7167.86216042886</v>
      </c>
      <c r="L27" s="51" t="n">
        <f aca="false">IFERROR(K27/I27,0)</f>
        <v>1.47725013922729</v>
      </c>
      <c r="M27" s="49" t="n">
        <f aca="false">IFERROR(I27/H27,0)</f>
        <v>129.463518006529</v>
      </c>
      <c r="N27" s="52" t="str">
        <f aca="false">'Model Inputs &amp; Assumptions'!$L$28</f>
        <v>PRD-EUAI</v>
      </c>
      <c r="P27" s="53" t="n">
        <v>2.779734</v>
      </c>
      <c r="Q27" s="53" t="n">
        <v>-1.058191</v>
      </c>
      <c r="R27" s="53" t="n">
        <v>0.254076</v>
      </c>
      <c r="S27" s="53" t="n">
        <v>0.408727</v>
      </c>
    </row>
    <row r="28" customFormat="false" ht="15" hidden="false" customHeight="false" outlineLevel="0" collapsed="false">
      <c r="A28" s="43" t="n">
        <v>25</v>
      </c>
      <c r="B28" s="44" t="str">
        <f aca="false">'Model Inputs &amp; Assumptions'!$B$28</f>
        <v>finanzen.net — Q1 Awareness Burst</v>
      </c>
      <c r="C28" s="45" t="n">
        <f aca="false">ROUND(MAX(0,'Model Inputs &amp; Assumptions'!$S$28*EXP('Model Inputs &amp; Assumptions'!$T$28*P28-'Model Inputs &amp; Assumptions'!$T$28^2/2)),0)</f>
        <v>443099</v>
      </c>
      <c r="D28" s="46" t="n">
        <f aca="false">MIN(1,'Model Inputs &amp; Assumptions'!$U$28*EXP('Model Inputs &amp; Assumptions'!$V$28*Q28-'Model Inputs &amp; Assumptions'!$V$28^2/2))</f>
        <v>0</v>
      </c>
      <c r="E28" s="45" t="n">
        <f aca="false">ROUND(C28*D28,0)</f>
        <v>0</v>
      </c>
      <c r="F28" s="47" t="n">
        <f aca="false">MIN(1,'Model Inputs &amp; Assumptions'!$W$28*EXP('Model Inputs &amp; Assumptions'!$X$28*R28-'Model Inputs &amp; Assumptions'!$X$28^2/2))</f>
        <v>0.0014283261413025</v>
      </c>
      <c r="G28" s="45" t="n">
        <f aca="false">ROUND(C28*F28,0)</f>
        <v>633</v>
      </c>
      <c r="H28" s="48" t="n">
        <f aca="false">MAX(0,(C28*'Model Inputs &amp; Assumptions'!$N$28+E28*'Model Inputs &amp; Assumptions'!$O$28+G28*'Model Inputs &amp; Assumptions'!$P$28)*EXP('Model Inputs &amp; Assumptions'!$Q$28*S28-'Model Inputs &amp; Assumptions'!$Q$28^2/2))</f>
        <v>16.8077909313196</v>
      </c>
      <c r="I28" s="49" t="n">
        <f aca="false">IF('Model Inputs &amp; Assumptions'!$H$28="Fixed",'Model Inputs &amp; Assumptions'!$I$28*'Model Inputs &amp; Assumptions'!$K$28,IF('Model Inputs &amp; Assumptions'!$H$28="CPM",'Model Inputs &amp; Assumptions'!$I$28*'Model Inputs &amp; Assumptions'!$K$28*C28/1000,IF('Model Inputs &amp; Assumptions'!$H$28="CPC",'Model Inputs &amp; Assumptions'!$I$28*'Model Inputs &amp; Assumptions'!$K$28*G28,0)))</f>
        <v>2880.1435</v>
      </c>
      <c r="J28" s="50" t="n">
        <f aca="false">H28*INDEX('Model Inputs &amp; Assumptions'!$D$40:$D$42,MATCH('Model Inputs &amp; Assumptions'!$L$28,'Model Inputs &amp; Assumptions'!$A$40:$A$42,0))*INDEX('Model Inputs &amp; Assumptions'!$H$40:$H$42,MATCH('Model Inputs &amp; Assumptions'!$L$28,'Model Inputs &amp; Assumptions'!$A$40:$A$42,0))</f>
        <v>142866.222916217</v>
      </c>
      <c r="K28" s="49" t="n">
        <f aca="false">H28*INDEX('Model Inputs &amp; Assumptions'!$G$40:$G$42,MATCH('Model Inputs &amp; Assumptions'!$L$28,'Model Inputs &amp; Assumptions'!$A$40:$A$42,0))*INDEX('Model Inputs &amp; Assumptions'!$H$40:$H$42,MATCH('Model Inputs &amp; Assumptions'!$L$28,'Model Inputs &amp; Assumptions'!$A$40:$A$42,0))</f>
        <v>3214.49001561488</v>
      </c>
      <c r="L28" s="51" t="n">
        <f aca="false">IFERROR(K28/I28,0)</f>
        <v>1.11608675596021</v>
      </c>
      <c r="M28" s="49" t="n">
        <f aca="false">IFERROR(I28/H28,0)</f>
        <v>171.357646687117</v>
      </c>
      <c r="N28" s="52" t="str">
        <f aca="false">'Model Inputs &amp; Assumptions'!$L$28</f>
        <v>PRD-EUAI</v>
      </c>
      <c r="P28" s="53" t="n">
        <v>-0.117964</v>
      </c>
      <c r="Q28" s="53" t="n">
        <v>-1.211651</v>
      </c>
      <c r="R28" s="53" t="n">
        <v>-0.112554</v>
      </c>
      <c r="S28" s="53" t="n">
        <v>-0.2569</v>
      </c>
    </row>
    <row r="29" customFormat="false" ht="15" hidden="false" customHeight="false" outlineLevel="0" collapsed="false">
      <c r="A29" s="43" t="n">
        <v>26</v>
      </c>
      <c r="B29" s="44" t="str">
        <f aca="false">'Model Inputs &amp; Assumptions'!$B$28</f>
        <v>finanzen.net — Q1 Awareness Burst</v>
      </c>
      <c r="C29" s="45" t="n">
        <f aca="false">ROUND(MAX(0,'Model Inputs &amp; Assumptions'!$S$28*EXP('Model Inputs &amp; Assumptions'!$T$28*P29-'Model Inputs &amp; Assumptions'!$T$28^2/2)),0)</f>
        <v>345825</v>
      </c>
      <c r="D29" s="46" t="n">
        <f aca="false">MIN(1,'Model Inputs &amp; Assumptions'!$U$28*EXP('Model Inputs &amp; Assumptions'!$V$28*Q29-'Model Inputs &amp; Assumptions'!$V$28^2/2))</f>
        <v>0</v>
      </c>
      <c r="E29" s="45" t="n">
        <f aca="false">ROUND(C29*D29,0)</f>
        <v>0</v>
      </c>
      <c r="F29" s="47" t="n">
        <f aca="false">MIN(1,'Model Inputs &amp; Assumptions'!$W$28*EXP('Model Inputs &amp; Assumptions'!$X$28*R29-'Model Inputs &amp; Assumptions'!$X$28^2/2))</f>
        <v>0.00119150063215229</v>
      </c>
      <c r="G29" s="45" t="n">
        <f aca="false">ROUND(C29*F29,0)</f>
        <v>412</v>
      </c>
      <c r="H29" s="48" t="n">
        <f aca="false">MAX(0,(C29*'Model Inputs &amp; Assumptions'!$N$28+E29*'Model Inputs &amp; Assumptions'!$O$28+G29*'Model Inputs &amp; Assumptions'!$P$28)*EXP('Model Inputs &amp; Assumptions'!$Q$28*S29-'Model Inputs &amp; Assumptions'!$Q$28^2/2))</f>
        <v>12.5767120272817</v>
      </c>
      <c r="I29" s="49" t="n">
        <f aca="false">IF('Model Inputs &amp; Assumptions'!$H$28="Fixed",'Model Inputs &amp; Assumptions'!$I$28*'Model Inputs &amp; Assumptions'!$K$28,IF('Model Inputs &amp; Assumptions'!$H$28="CPM",'Model Inputs &amp; Assumptions'!$I$28*'Model Inputs &amp; Assumptions'!$K$28*C29/1000,IF('Model Inputs &amp; Assumptions'!$H$28="CPC",'Model Inputs &amp; Assumptions'!$I$28*'Model Inputs &amp; Assumptions'!$K$28*G29,0)))</f>
        <v>2247.8625</v>
      </c>
      <c r="J29" s="50" t="n">
        <f aca="false">H29*INDEX('Model Inputs &amp; Assumptions'!$D$40:$D$42,MATCH('Model Inputs &amp; Assumptions'!$L$28,'Model Inputs &amp; Assumptions'!$A$40:$A$42,0))*INDEX('Model Inputs &amp; Assumptions'!$H$40:$H$42,MATCH('Model Inputs &amp; Assumptions'!$L$28,'Model Inputs &amp; Assumptions'!$A$40:$A$42,0))</f>
        <v>106902.052231895</v>
      </c>
      <c r="K29" s="49" t="n">
        <f aca="false">H29*INDEX('Model Inputs &amp; Assumptions'!$G$40:$G$42,MATCH('Model Inputs &amp; Assumptions'!$L$28,'Model Inputs &amp; Assumptions'!$A$40:$A$42,0))*INDEX('Model Inputs &amp; Assumptions'!$H$40:$H$42,MATCH('Model Inputs &amp; Assumptions'!$L$28,'Model Inputs &amp; Assumptions'!$A$40:$A$42,0))</f>
        <v>2405.29617521763</v>
      </c>
      <c r="L29" s="51" t="n">
        <f aca="false">IFERROR(K29/I29,0)</f>
        <v>1.07003705752359</v>
      </c>
      <c r="M29" s="49" t="n">
        <f aca="false">IFERROR(I29/H29,0)</f>
        <v>178.732127691553</v>
      </c>
      <c r="N29" s="52" t="str">
        <f aca="false">'Model Inputs &amp; Assumptions'!$L$28</f>
        <v>PRD-EUAI</v>
      </c>
      <c r="P29" s="53" t="n">
        <v>-1.494957</v>
      </c>
      <c r="Q29" s="53" t="n">
        <v>0.910932</v>
      </c>
      <c r="R29" s="53" t="n">
        <v>-0.936598</v>
      </c>
      <c r="S29" s="53" t="n">
        <v>0.207938</v>
      </c>
    </row>
    <row r="30" customFormat="false" ht="15" hidden="false" customHeight="false" outlineLevel="0" collapsed="false">
      <c r="A30" s="43" t="n">
        <v>27</v>
      </c>
      <c r="B30" s="44" t="str">
        <f aca="false">'Model Inputs &amp; Assumptions'!$B$28</f>
        <v>finanzen.net — Q1 Awareness Burst</v>
      </c>
      <c r="C30" s="45" t="n">
        <f aca="false">ROUND(MAX(0,'Model Inputs &amp; Assumptions'!$S$28*EXP('Model Inputs &amp; Assumptions'!$T$28*P30-'Model Inputs &amp; Assumptions'!$T$28^2/2)),0)</f>
        <v>531190</v>
      </c>
      <c r="D30" s="46" t="n">
        <f aca="false">MIN(1,'Model Inputs &amp; Assumptions'!$U$28*EXP('Model Inputs &amp; Assumptions'!$V$28*Q30-'Model Inputs &amp; Assumptions'!$V$28^2/2))</f>
        <v>0</v>
      </c>
      <c r="E30" s="45" t="n">
        <f aca="false">ROUND(C30*D30,0)</f>
        <v>0</v>
      </c>
      <c r="F30" s="47" t="n">
        <f aca="false">MIN(1,'Model Inputs &amp; Assumptions'!$W$28*EXP('Model Inputs &amp; Assumptions'!$X$28*R30-'Model Inputs &amp; Assumptions'!$X$28^2/2))</f>
        <v>0.00148059359950041</v>
      </c>
      <c r="G30" s="45" t="n">
        <f aca="false">ROUND(C30*F30,0)</f>
        <v>786</v>
      </c>
      <c r="H30" s="48" t="n">
        <f aca="false">MAX(0,(C30*'Model Inputs &amp; Assumptions'!$N$28+E30*'Model Inputs &amp; Assumptions'!$O$28+G30*'Model Inputs &amp; Assumptions'!$P$28)*EXP('Model Inputs &amp; Assumptions'!$Q$28*S30-'Model Inputs &amp; Assumptions'!$Q$28^2/2))</f>
        <v>14.8485348207146</v>
      </c>
      <c r="I30" s="49" t="n">
        <f aca="false">IF('Model Inputs &amp; Assumptions'!$H$28="Fixed",'Model Inputs &amp; Assumptions'!$I$28*'Model Inputs &amp; Assumptions'!$K$28,IF('Model Inputs &amp; Assumptions'!$H$28="CPM",'Model Inputs &amp; Assumptions'!$I$28*'Model Inputs &amp; Assumptions'!$K$28*C30/1000,IF('Model Inputs &amp; Assumptions'!$H$28="CPC",'Model Inputs &amp; Assumptions'!$I$28*'Model Inputs &amp; Assumptions'!$K$28*G30,0)))</f>
        <v>3452.735</v>
      </c>
      <c r="J30" s="50" t="n">
        <f aca="false">H30*INDEX('Model Inputs &amp; Assumptions'!$D$40:$D$42,MATCH('Model Inputs &amp; Assumptions'!$L$28,'Model Inputs &amp; Assumptions'!$A$40:$A$42,0))*INDEX('Model Inputs &amp; Assumptions'!$H$40:$H$42,MATCH('Model Inputs &amp; Assumptions'!$L$28,'Model Inputs &amp; Assumptions'!$A$40:$A$42,0))</f>
        <v>126212.545976074</v>
      </c>
      <c r="K30" s="49" t="n">
        <f aca="false">H30*INDEX('Model Inputs &amp; Assumptions'!$G$40:$G$42,MATCH('Model Inputs &amp; Assumptions'!$L$28,'Model Inputs &amp; Assumptions'!$A$40:$A$42,0))*INDEX('Model Inputs &amp; Assumptions'!$H$40:$H$42,MATCH('Model Inputs &amp; Assumptions'!$L$28,'Model Inputs &amp; Assumptions'!$A$40:$A$42,0))</f>
        <v>2839.78228446166</v>
      </c>
      <c r="L30" s="51" t="n">
        <f aca="false">IFERROR(K30/I30,0)</f>
        <v>0.822473281170337</v>
      </c>
      <c r="M30" s="49" t="n">
        <f aca="false">IFERROR(I30/H30,0)</f>
        <v>232.530350077587</v>
      </c>
      <c r="N30" s="52" t="str">
        <f aca="false">'Model Inputs &amp; Assumptions'!$L$28</f>
        <v>PRD-EUAI</v>
      </c>
      <c r="P30" s="53" t="n">
        <v>0.889403</v>
      </c>
      <c r="Q30" s="53" t="n">
        <v>-1.880064</v>
      </c>
      <c r="R30" s="53" t="n">
        <v>0.050809</v>
      </c>
      <c r="S30" s="53" t="n">
        <v>-1.391659</v>
      </c>
    </row>
    <row r="31" customFormat="false" ht="15" hidden="false" customHeight="false" outlineLevel="0" collapsed="false">
      <c r="A31" s="43" t="n">
        <v>28</v>
      </c>
      <c r="B31" s="44" t="str">
        <f aca="false">'Model Inputs &amp; Assumptions'!$B$28</f>
        <v>finanzen.net — Q1 Awareness Burst</v>
      </c>
      <c r="C31" s="45" t="n">
        <f aca="false">ROUND(MAX(0,'Model Inputs &amp; Assumptions'!$S$28*EXP('Model Inputs &amp; Assumptions'!$T$28*P31-'Model Inputs &amp; Assumptions'!$T$28^2/2)),0)</f>
        <v>689183</v>
      </c>
      <c r="D31" s="46" t="n">
        <f aca="false">MIN(1,'Model Inputs &amp; Assumptions'!$U$28*EXP('Model Inputs &amp; Assumptions'!$V$28*Q31-'Model Inputs &amp; Assumptions'!$V$28^2/2))</f>
        <v>0</v>
      </c>
      <c r="E31" s="45" t="n">
        <f aca="false">ROUND(C31*D31,0)</f>
        <v>0</v>
      </c>
      <c r="F31" s="47" t="n">
        <f aca="false">MIN(1,'Model Inputs &amp; Assumptions'!$W$28*EXP('Model Inputs &amp; Assumptions'!$X$28*R31-'Model Inputs &amp; Assumptions'!$X$28^2/2))</f>
        <v>0.00152755993423384</v>
      </c>
      <c r="G31" s="45" t="n">
        <f aca="false">ROUND(C31*F31,0)</f>
        <v>1053</v>
      </c>
      <c r="H31" s="48" t="n">
        <f aca="false">MAX(0,(C31*'Model Inputs &amp; Assumptions'!$N$28+E31*'Model Inputs &amp; Assumptions'!$O$28+G31*'Model Inputs &amp; Assumptions'!$P$28)*EXP('Model Inputs &amp; Assumptions'!$Q$28*S31-'Model Inputs &amp; Assumptions'!$Q$28^2/2))</f>
        <v>30.8525163662928</v>
      </c>
      <c r="I31" s="49" t="n">
        <f aca="false">IF('Model Inputs &amp; Assumptions'!$H$28="Fixed",'Model Inputs &amp; Assumptions'!$I$28*'Model Inputs &amp; Assumptions'!$K$28,IF('Model Inputs &amp; Assumptions'!$H$28="CPM",'Model Inputs &amp; Assumptions'!$I$28*'Model Inputs &amp; Assumptions'!$K$28*C31/1000,IF('Model Inputs &amp; Assumptions'!$H$28="CPC",'Model Inputs &amp; Assumptions'!$I$28*'Model Inputs &amp; Assumptions'!$K$28*G31,0)))</f>
        <v>4479.6895</v>
      </c>
      <c r="J31" s="50" t="n">
        <f aca="false">H31*INDEX('Model Inputs &amp; Assumptions'!$D$40:$D$42,MATCH('Model Inputs &amp; Assumptions'!$L$28,'Model Inputs &amp; Assumptions'!$A$40:$A$42,0))*INDEX('Model Inputs &amp; Assumptions'!$H$40:$H$42,MATCH('Model Inputs &amp; Assumptions'!$L$28,'Model Inputs &amp; Assumptions'!$A$40:$A$42,0))</f>
        <v>262246.389113488</v>
      </c>
      <c r="K31" s="49" t="n">
        <f aca="false">H31*INDEX('Model Inputs &amp; Assumptions'!$G$40:$G$42,MATCH('Model Inputs &amp; Assumptions'!$L$28,'Model Inputs &amp; Assumptions'!$A$40:$A$42,0))*INDEX('Model Inputs &amp; Assumptions'!$H$40:$H$42,MATCH('Model Inputs &amp; Assumptions'!$L$28,'Model Inputs &amp; Assumptions'!$A$40:$A$42,0))</f>
        <v>5900.54375505349</v>
      </c>
      <c r="L31" s="51" t="n">
        <f aca="false">IFERROR(K31/I31,0)</f>
        <v>1.31717695055729</v>
      </c>
      <c r="M31" s="49" t="n">
        <f aca="false">IFERROR(I31/H31,0)</f>
        <v>145.196892428982</v>
      </c>
      <c r="N31" s="52" t="str">
        <f aca="false">'Model Inputs &amp; Assumptions'!$L$28</f>
        <v>PRD-EUAI</v>
      </c>
      <c r="P31" s="53" t="n">
        <v>2.336005</v>
      </c>
      <c r="Q31" s="53" t="n">
        <v>0.694842</v>
      </c>
      <c r="R31" s="53" t="n">
        <v>0.192757</v>
      </c>
      <c r="S31" s="53" t="n">
        <v>0.071259</v>
      </c>
    </row>
    <row r="32" customFormat="false" ht="15" hidden="false" customHeight="false" outlineLevel="0" collapsed="false">
      <c r="A32" s="43" t="n">
        <v>29</v>
      </c>
      <c r="B32" s="44" t="str">
        <f aca="false">'Model Inputs &amp; Assumptions'!$B$28</f>
        <v>finanzen.net — Q1 Awareness Burst</v>
      </c>
      <c r="C32" s="45" t="n">
        <f aca="false">ROUND(MAX(0,'Model Inputs &amp; Assumptions'!$S$28*EXP('Model Inputs &amp; Assumptions'!$T$28*P32-'Model Inputs &amp; Assumptions'!$T$28^2/2)),0)</f>
        <v>443245</v>
      </c>
      <c r="D32" s="46" t="n">
        <f aca="false">MIN(1,'Model Inputs &amp; Assumptions'!$U$28*EXP('Model Inputs &amp; Assumptions'!$V$28*Q32-'Model Inputs &amp; Assumptions'!$V$28^2/2))</f>
        <v>0</v>
      </c>
      <c r="E32" s="45" t="n">
        <f aca="false">ROUND(C32*D32,0)</f>
        <v>0</v>
      </c>
      <c r="F32" s="47" t="n">
        <f aca="false">MIN(1,'Model Inputs &amp; Assumptions'!$W$28*EXP('Model Inputs &amp; Assumptions'!$X$28*R32-'Model Inputs &amp; Assumptions'!$X$28^2/2))</f>
        <v>0.00165758626688256</v>
      </c>
      <c r="G32" s="45" t="n">
        <f aca="false">ROUND(C32*F32,0)</f>
        <v>735</v>
      </c>
      <c r="H32" s="48" t="n">
        <f aca="false">MAX(0,(C32*'Model Inputs &amp; Assumptions'!$N$28+E32*'Model Inputs &amp; Assumptions'!$O$28+G32*'Model Inputs &amp; Assumptions'!$P$28)*EXP('Model Inputs &amp; Assumptions'!$Q$28*S32-'Model Inputs &amp; Assumptions'!$Q$28^2/2))</f>
        <v>19.6237349784267</v>
      </c>
      <c r="I32" s="49" t="n">
        <f aca="false">IF('Model Inputs &amp; Assumptions'!$H$28="Fixed",'Model Inputs &amp; Assumptions'!$I$28*'Model Inputs &amp; Assumptions'!$K$28,IF('Model Inputs &amp; Assumptions'!$H$28="CPM",'Model Inputs &amp; Assumptions'!$I$28*'Model Inputs &amp; Assumptions'!$K$28*C32/1000,IF('Model Inputs &amp; Assumptions'!$H$28="CPC",'Model Inputs &amp; Assumptions'!$I$28*'Model Inputs &amp; Assumptions'!$K$28*G32,0)))</f>
        <v>2881.0925</v>
      </c>
      <c r="J32" s="50" t="n">
        <f aca="false">H32*INDEX('Model Inputs &amp; Assumptions'!$D$40:$D$42,MATCH('Model Inputs &amp; Assumptions'!$L$28,'Model Inputs &amp; Assumptions'!$A$40:$A$42,0))*INDEX('Model Inputs &amp; Assumptions'!$H$40:$H$42,MATCH('Model Inputs &amp; Assumptions'!$L$28,'Model Inputs &amp; Assumptions'!$A$40:$A$42,0))</f>
        <v>166801.747316627</v>
      </c>
      <c r="K32" s="49" t="n">
        <f aca="false">H32*INDEX('Model Inputs &amp; Assumptions'!$G$40:$G$42,MATCH('Model Inputs &amp; Assumptions'!$L$28,'Model Inputs &amp; Assumptions'!$A$40:$A$42,0))*INDEX('Model Inputs &amp; Assumptions'!$H$40:$H$42,MATCH('Model Inputs &amp; Assumptions'!$L$28,'Model Inputs &amp; Assumptions'!$A$40:$A$42,0))</f>
        <v>3753.03931462411</v>
      </c>
      <c r="L32" s="51" t="n">
        <f aca="false">IFERROR(K32/I32,0)</f>
        <v>1.30264450538263</v>
      </c>
      <c r="M32" s="49" t="n">
        <f aca="false">IFERROR(I32/H32,0)</f>
        <v>146.816724908246</v>
      </c>
      <c r="N32" s="52" t="str">
        <f aca="false">'Model Inputs &amp; Assumptions'!$L$28</f>
        <v>PRD-EUAI</v>
      </c>
      <c r="P32" s="53" t="n">
        <v>-0.116132</v>
      </c>
      <c r="Q32" s="53" t="n">
        <v>-0.763479</v>
      </c>
      <c r="R32" s="53" t="n">
        <v>0.564079</v>
      </c>
      <c r="S32" s="53" t="n">
        <v>-0.238576</v>
      </c>
    </row>
    <row r="33" customFormat="false" ht="15" hidden="false" customHeight="false" outlineLevel="0" collapsed="false">
      <c r="A33" s="43" t="n">
        <v>30</v>
      </c>
      <c r="B33" s="44" t="str">
        <f aca="false">'Model Inputs &amp; Assumptions'!$B$28</f>
        <v>finanzen.net — Q1 Awareness Burst</v>
      </c>
      <c r="C33" s="45" t="n">
        <f aca="false">ROUND(MAX(0,'Model Inputs &amp; Assumptions'!$S$28*EXP('Model Inputs &amp; Assumptions'!$T$28*P33-'Model Inputs &amp; Assumptions'!$T$28^2/2)),0)</f>
        <v>573448</v>
      </c>
      <c r="D33" s="46" t="n">
        <f aca="false">MIN(1,'Model Inputs &amp; Assumptions'!$U$28*EXP('Model Inputs &amp; Assumptions'!$V$28*Q33-'Model Inputs &amp; Assumptions'!$V$28^2/2))</f>
        <v>0</v>
      </c>
      <c r="E33" s="45" t="n">
        <f aca="false">ROUND(C33*D33,0)</f>
        <v>0</v>
      </c>
      <c r="F33" s="47" t="n">
        <f aca="false">MIN(1,'Model Inputs &amp; Assumptions'!$W$28*EXP('Model Inputs &amp; Assumptions'!$X$28*R33-'Model Inputs &amp; Assumptions'!$X$28^2/2))</f>
        <v>0.00128961964764147</v>
      </c>
      <c r="G33" s="45" t="n">
        <f aca="false">ROUND(C33*F33,0)</f>
        <v>740</v>
      </c>
      <c r="H33" s="48" t="n">
        <f aca="false">MAX(0,(C33*'Model Inputs &amp; Assumptions'!$N$28+E33*'Model Inputs &amp; Assumptions'!$O$28+G33*'Model Inputs &amp; Assumptions'!$P$28)*EXP('Model Inputs &amp; Assumptions'!$Q$28*S33-'Model Inputs &amp; Assumptions'!$Q$28^2/2))</f>
        <v>22.6335221636067</v>
      </c>
      <c r="I33" s="49" t="n">
        <f aca="false">IF('Model Inputs &amp; Assumptions'!$H$28="Fixed",'Model Inputs &amp; Assumptions'!$I$28*'Model Inputs &amp; Assumptions'!$K$28,IF('Model Inputs &amp; Assumptions'!$H$28="CPM",'Model Inputs &amp; Assumptions'!$I$28*'Model Inputs &amp; Assumptions'!$K$28*C33/1000,IF('Model Inputs &amp; Assumptions'!$H$28="CPC",'Model Inputs &amp; Assumptions'!$I$28*'Model Inputs &amp; Assumptions'!$K$28*G33,0)))</f>
        <v>3727.412</v>
      </c>
      <c r="J33" s="50" t="n">
        <f aca="false">H33*INDEX('Model Inputs &amp; Assumptions'!$D$40:$D$42,MATCH('Model Inputs &amp; Assumptions'!$L$28,'Model Inputs &amp; Assumptions'!$A$40:$A$42,0))*INDEX('Model Inputs &amp; Assumptions'!$H$40:$H$42,MATCH('Model Inputs &amp; Assumptions'!$L$28,'Model Inputs &amp; Assumptions'!$A$40:$A$42,0))</f>
        <v>192384.938390657</v>
      </c>
      <c r="K33" s="49" t="n">
        <f aca="false">H33*INDEX('Model Inputs &amp; Assumptions'!$G$40:$G$42,MATCH('Model Inputs &amp; Assumptions'!$L$28,'Model Inputs &amp; Assumptions'!$A$40:$A$42,0))*INDEX('Model Inputs &amp; Assumptions'!$H$40:$H$42,MATCH('Model Inputs &amp; Assumptions'!$L$28,'Model Inputs &amp; Assumptions'!$A$40:$A$42,0))</f>
        <v>4328.66111378978</v>
      </c>
      <c r="L33" s="51" t="n">
        <f aca="false">IFERROR(K33/I33,0)</f>
        <v>1.16130471055783</v>
      </c>
      <c r="M33" s="49" t="n">
        <f aca="false">IFERROR(I33/H33,0)</f>
        <v>164.685459605286</v>
      </c>
      <c r="N33" s="52" t="str">
        <f aca="false">'Model Inputs &amp; Assumptions'!$L$28</f>
        <v>PRD-EUAI</v>
      </c>
      <c r="P33" s="53" t="n">
        <v>1.314671</v>
      </c>
      <c r="Q33" s="53" t="n">
        <v>1.26683</v>
      </c>
      <c r="R33" s="53" t="n">
        <v>-0.576899</v>
      </c>
      <c r="S33" s="53" t="n">
        <v>0.214466</v>
      </c>
    </row>
    <row r="34" customFormat="false" ht="15" hidden="false" customHeight="false" outlineLevel="0" collapsed="false">
      <c r="A34" s="43" t="n">
        <v>31</v>
      </c>
      <c r="B34" s="44" t="str">
        <f aca="false">'Model Inputs &amp; Assumptions'!$B$28</f>
        <v>finanzen.net — Q1 Awareness Burst</v>
      </c>
      <c r="C34" s="45" t="n">
        <f aca="false">ROUND(MAX(0,'Model Inputs &amp; Assumptions'!$S$28*EXP('Model Inputs &amp; Assumptions'!$T$28*P34-'Model Inputs &amp; Assumptions'!$T$28^2/2)),0)</f>
        <v>368049</v>
      </c>
      <c r="D34" s="46" t="n">
        <f aca="false">MIN(1,'Model Inputs &amp; Assumptions'!$U$28*EXP('Model Inputs &amp; Assumptions'!$V$28*Q34-'Model Inputs &amp; Assumptions'!$V$28^2/2))</f>
        <v>0</v>
      </c>
      <c r="E34" s="45" t="n">
        <f aca="false">ROUND(C34*D34,0)</f>
        <v>0</v>
      </c>
      <c r="F34" s="47" t="n">
        <f aca="false">MIN(1,'Model Inputs &amp; Assumptions'!$W$28*EXP('Model Inputs &amp; Assumptions'!$X$28*R34-'Model Inputs &amp; Assumptions'!$X$28^2/2))</f>
        <v>0.00151866713926265</v>
      </c>
      <c r="G34" s="45" t="n">
        <f aca="false">ROUND(C34*F34,0)</f>
        <v>559</v>
      </c>
      <c r="H34" s="48" t="n">
        <f aca="false">MAX(0,(C34*'Model Inputs &amp; Assumptions'!$N$28+E34*'Model Inputs &amp; Assumptions'!$O$28+G34*'Model Inputs &amp; Assumptions'!$P$28)*EXP('Model Inputs &amp; Assumptions'!$Q$28*S34-'Model Inputs &amp; Assumptions'!$Q$28^2/2))</f>
        <v>13.5218727202662</v>
      </c>
      <c r="I34" s="49" t="n">
        <f aca="false">IF('Model Inputs &amp; Assumptions'!$H$28="Fixed",'Model Inputs &amp; Assumptions'!$I$28*'Model Inputs &amp; Assumptions'!$K$28,IF('Model Inputs &amp; Assumptions'!$H$28="CPM",'Model Inputs &amp; Assumptions'!$I$28*'Model Inputs &amp; Assumptions'!$K$28*C34/1000,IF('Model Inputs &amp; Assumptions'!$H$28="CPC",'Model Inputs &amp; Assumptions'!$I$28*'Model Inputs &amp; Assumptions'!$K$28*G34,0)))</f>
        <v>2392.3185</v>
      </c>
      <c r="J34" s="50" t="n">
        <f aca="false">H34*INDEX('Model Inputs &amp; Assumptions'!$D$40:$D$42,MATCH('Model Inputs &amp; Assumptions'!$L$28,'Model Inputs &amp; Assumptions'!$A$40:$A$42,0))*INDEX('Model Inputs &amp; Assumptions'!$H$40:$H$42,MATCH('Model Inputs &amp; Assumptions'!$L$28,'Model Inputs &amp; Assumptions'!$A$40:$A$42,0))</f>
        <v>114935.918122263</v>
      </c>
      <c r="K34" s="49" t="n">
        <f aca="false">H34*INDEX('Model Inputs &amp; Assumptions'!$G$40:$G$42,MATCH('Model Inputs &amp; Assumptions'!$L$28,'Model Inputs &amp; Assumptions'!$A$40:$A$42,0))*INDEX('Model Inputs &amp; Assumptions'!$H$40:$H$42,MATCH('Model Inputs &amp; Assumptions'!$L$28,'Model Inputs &amp; Assumptions'!$A$40:$A$42,0))</f>
        <v>2586.05815775091</v>
      </c>
      <c r="L34" s="51" t="n">
        <f aca="false">IFERROR(K34/I34,0)</f>
        <v>1.08098405699363</v>
      </c>
      <c r="M34" s="49" t="n">
        <f aca="false">IFERROR(I34/H34,0)</f>
        <v>176.922128279943</v>
      </c>
      <c r="N34" s="52" t="str">
        <f aca="false">'Model Inputs &amp; Assumptions'!$L$28</f>
        <v>PRD-EUAI</v>
      </c>
      <c r="P34" s="53" t="n">
        <v>-1.148947</v>
      </c>
      <c r="Q34" s="53" t="n">
        <v>-0.446119</v>
      </c>
      <c r="R34" s="53" t="n">
        <v>0.166218</v>
      </c>
      <c r="S34" s="53" t="n">
        <v>-0.56761</v>
      </c>
    </row>
    <row r="35" customFormat="false" ht="15" hidden="false" customHeight="false" outlineLevel="0" collapsed="false">
      <c r="A35" s="43" t="n">
        <v>32</v>
      </c>
      <c r="B35" s="44" t="str">
        <f aca="false">'Model Inputs &amp; Assumptions'!$B$28</f>
        <v>finanzen.net — Q1 Awareness Burst</v>
      </c>
      <c r="C35" s="45" t="n">
        <f aca="false">ROUND(MAX(0,'Model Inputs &amp; Assumptions'!$S$28*EXP('Model Inputs &amp; Assumptions'!$T$28*P35-'Model Inputs &amp; Assumptions'!$T$28^2/2)),0)</f>
        <v>314827</v>
      </c>
      <c r="D35" s="46" t="n">
        <f aca="false">MIN(1,'Model Inputs &amp; Assumptions'!$U$28*EXP('Model Inputs &amp; Assumptions'!$V$28*Q35-'Model Inputs &amp; Assumptions'!$V$28^2/2))</f>
        <v>0</v>
      </c>
      <c r="E35" s="45" t="n">
        <f aca="false">ROUND(C35*D35,0)</f>
        <v>0</v>
      </c>
      <c r="F35" s="47" t="n">
        <f aca="false">MIN(1,'Model Inputs &amp; Assumptions'!$W$28*EXP('Model Inputs &amp; Assumptions'!$X$28*R35-'Model Inputs &amp; Assumptions'!$X$28^2/2))</f>
        <v>0.00134836049748871</v>
      </c>
      <c r="G35" s="45" t="n">
        <f aca="false">ROUND(C35*F35,0)</f>
        <v>425</v>
      </c>
      <c r="H35" s="48" t="n">
        <f aca="false">MAX(0,(C35*'Model Inputs &amp; Assumptions'!$N$28+E35*'Model Inputs &amp; Assumptions'!$O$28+G35*'Model Inputs &amp; Assumptions'!$P$28)*EXP('Model Inputs &amp; Assumptions'!$Q$28*S35-'Model Inputs &amp; Assumptions'!$Q$28^2/2))</f>
        <v>5.3746199879841</v>
      </c>
      <c r="I35" s="49" t="n">
        <f aca="false">IF('Model Inputs &amp; Assumptions'!$H$28="Fixed",'Model Inputs &amp; Assumptions'!$I$28*'Model Inputs &amp; Assumptions'!$K$28,IF('Model Inputs &amp; Assumptions'!$H$28="CPM",'Model Inputs &amp; Assumptions'!$I$28*'Model Inputs &amp; Assumptions'!$K$28*C35/1000,IF('Model Inputs &amp; Assumptions'!$H$28="CPC",'Model Inputs &amp; Assumptions'!$I$28*'Model Inputs &amp; Assumptions'!$K$28*G35,0)))</f>
        <v>2046.3755</v>
      </c>
      <c r="J35" s="50" t="n">
        <f aca="false">H35*INDEX('Model Inputs &amp; Assumptions'!$D$40:$D$42,MATCH('Model Inputs &amp; Assumptions'!$L$28,'Model Inputs &amp; Assumptions'!$A$40:$A$42,0))*INDEX('Model Inputs &amp; Assumptions'!$H$40:$H$42,MATCH('Model Inputs &amp; Assumptions'!$L$28,'Model Inputs &amp; Assumptions'!$A$40:$A$42,0))</f>
        <v>45684.2698978649</v>
      </c>
      <c r="K35" s="49" t="n">
        <f aca="false">H35*INDEX('Model Inputs &amp; Assumptions'!$G$40:$G$42,MATCH('Model Inputs &amp; Assumptions'!$L$28,'Model Inputs &amp; Assumptions'!$A$40:$A$42,0))*INDEX('Model Inputs &amp; Assumptions'!$H$40:$H$42,MATCH('Model Inputs &amp; Assumptions'!$L$28,'Model Inputs &amp; Assumptions'!$A$40:$A$42,0))</f>
        <v>1027.89607270196</v>
      </c>
      <c r="L35" s="51" t="n">
        <f aca="false">IFERROR(K35/I35,0)</f>
        <v>0.502300810727044</v>
      </c>
      <c r="M35" s="49" t="n">
        <f aca="false">IFERROR(I35/H35,0)</f>
        <v>380.747942101028</v>
      </c>
      <c r="N35" s="52" t="str">
        <f aca="false">'Model Inputs &amp; Assumptions'!$L$28</f>
        <v>PRD-EUAI</v>
      </c>
      <c r="P35" s="53" t="n">
        <v>-2.016686</v>
      </c>
      <c r="Q35" s="53" t="n">
        <v>0.021499</v>
      </c>
      <c r="R35" s="53" t="n">
        <v>-0.374435</v>
      </c>
      <c r="S35" s="53" t="n">
        <v>-2.729478</v>
      </c>
    </row>
    <row r="36" customFormat="false" ht="15" hidden="false" customHeight="false" outlineLevel="0" collapsed="false">
      <c r="A36" s="43" t="n">
        <v>33</v>
      </c>
      <c r="B36" s="44" t="str">
        <f aca="false">'Model Inputs &amp; Assumptions'!$B$28</f>
        <v>finanzen.net — Q1 Awareness Burst</v>
      </c>
      <c r="C36" s="45" t="n">
        <f aca="false">ROUND(MAX(0,'Model Inputs &amp; Assumptions'!$S$28*EXP('Model Inputs &amp; Assumptions'!$T$28*P36-'Model Inputs &amp; Assumptions'!$T$28^2/2)),0)</f>
        <v>411288</v>
      </c>
      <c r="D36" s="46" t="n">
        <f aca="false">MIN(1,'Model Inputs &amp; Assumptions'!$U$28*EXP('Model Inputs &amp; Assumptions'!$V$28*Q36-'Model Inputs &amp; Assumptions'!$V$28^2/2))</f>
        <v>0</v>
      </c>
      <c r="E36" s="45" t="n">
        <f aca="false">ROUND(C36*D36,0)</f>
        <v>0</v>
      </c>
      <c r="F36" s="47" t="n">
        <f aca="false">MIN(1,'Model Inputs &amp; Assumptions'!$W$28*EXP('Model Inputs &amp; Assumptions'!$X$28*R36-'Model Inputs &amp; Assumptions'!$X$28^2/2))</f>
        <v>0.00211195616011689</v>
      </c>
      <c r="G36" s="45" t="n">
        <f aca="false">ROUND(C36*F36,0)</f>
        <v>869</v>
      </c>
      <c r="H36" s="48" t="n">
        <f aca="false">MAX(0,(C36*'Model Inputs &amp; Assumptions'!$N$28+E36*'Model Inputs &amp; Assumptions'!$O$28+G36*'Model Inputs &amp; Assumptions'!$P$28)*EXP('Model Inputs &amp; Assumptions'!$Q$28*S36-'Model Inputs &amp; Assumptions'!$Q$28^2/2))</f>
        <v>21.7889885096451</v>
      </c>
      <c r="I36" s="49" t="n">
        <f aca="false">IF('Model Inputs &amp; Assumptions'!$H$28="Fixed",'Model Inputs &amp; Assumptions'!$I$28*'Model Inputs &amp; Assumptions'!$K$28,IF('Model Inputs &amp; Assumptions'!$H$28="CPM",'Model Inputs &amp; Assumptions'!$I$28*'Model Inputs &amp; Assumptions'!$K$28*C36/1000,IF('Model Inputs &amp; Assumptions'!$H$28="CPC",'Model Inputs &amp; Assumptions'!$I$28*'Model Inputs &amp; Assumptions'!$K$28*G36,0)))</f>
        <v>2673.372</v>
      </c>
      <c r="J36" s="50" t="n">
        <f aca="false">H36*INDEX('Model Inputs &amp; Assumptions'!$D$40:$D$42,MATCH('Model Inputs &amp; Assumptions'!$L$28,'Model Inputs &amp; Assumptions'!$A$40:$A$42,0))*INDEX('Model Inputs &amp; Assumptions'!$H$40:$H$42,MATCH('Model Inputs &amp; Assumptions'!$L$28,'Model Inputs &amp; Assumptions'!$A$40:$A$42,0))</f>
        <v>185206.402331984</v>
      </c>
      <c r="K36" s="49" t="n">
        <f aca="false">H36*INDEX('Model Inputs &amp; Assumptions'!$G$40:$G$42,MATCH('Model Inputs &amp; Assumptions'!$L$28,'Model Inputs &amp; Assumptions'!$A$40:$A$42,0))*INDEX('Model Inputs &amp; Assumptions'!$H$40:$H$42,MATCH('Model Inputs &amp; Assumptions'!$L$28,'Model Inputs &amp; Assumptions'!$A$40:$A$42,0))</f>
        <v>4167.14405246963</v>
      </c>
      <c r="L36" s="51" t="n">
        <f aca="false">IFERROR(K36/I36,0)</f>
        <v>1.55875951886592</v>
      </c>
      <c r="M36" s="49" t="n">
        <f aca="false">IFERROR(I36/H36,0)</f>
        <v>122.693717462681</v>
      </c>
      <c r="N36" s="52" t="str">
        <f aca="false">'Model Inputs &amp; Assumptions'!$L$28</f>
        <v>PRD-EUAI</v>
      </c>
      <c r="P36" s="53" t="n">
        <v>-0.531844</v>
      </c>
      <c r="Q36" s="53" t="n">
        <v>-0.125536</v>
      </c>
      <c r="R36" s="53" t="n">
        <v>1.665225</v>
      </c>
      <c r="S36" s="53" t="n">
        <v>-0.447935</v>
      </c>
    </row>
    <row r="37" customFormat="false" ht="15" hidden="false" customHeight="false" outlineLevel="0" collapsed="false">
      <c r="A37" s="43" t="n">
        <v>34</v>
      </c>
      <c r="B37" s="44" t="str">
        <f aca="false">'Model Inputs &amp; Assumptions'!$B$28</f>
        <v>finanzen.net — Q1 Awareness Burst</v>
      </c>
      <c r="C37" s="45" t="n">
        <f aca="false">ROUND(MAX(0,'Model Inputs &amp; Assumptions'!$S$28*EXP('Model Inputs &amp; Assumptions'!$T$28*P37-'Model Inputs &amp; Assumptions'!$T$28^2/2)),0)</f>
        <v>434724</v>
      </c>
      <c r="D37" s="46" t="n">
        <f aca="false">MIN(1,'Model Inputs &amp; Assumptions'!$U$28*EXP('Model Inputs &amp; Assumptions'!$V$28*Q37-'Model Inputs &amp; Assumptions'!$V$28^2/2))</f>
        <v>0</v>
      </c>
      <c r="E37" s="45" t="n">
        <f aca="false">ROUND(C37*D37,0)</f>
        <v>0</v>
      </c>
      <c r="F37" s="47" t="n">
        <f aca="false">MIN(1,'Model Inputs &amp; Assumptions'!$W$28*EXP('Model Inputs &amp; Assumptions'!$X$28*R37-'Model Inputs &amp; Assumptions'!$X$28^2/2))</f>
        <v>0.00132997960576945</v>
      </c>
      <c r="G37" s="45" t="n">
        <f aca="false">ROUND(C37*F37,0)</f>
        <v>578</v>
      </c>
      <c r="H37" s="48" t="n">
        <f aca="false">MAX(0,(C37*'Model Inputs &amp; Assumptions'!$N$28+E37*'Model Inputs &amp; Assumptions'!$O$28+G37*'Model Inputs &amp; Assumptions'!$P$28)*EXP('Model Inputs &amp; Assumptions'!$Q$28*S37-'Model Inputs &amp; Assumptions'!$Q$28^2/2))</f>
        <v>39.1160148993798</v>
      </c>
      <c r="I37" s="49" t="n">
        <f aca="false">IF('Model Inputs &amp; Assumptions'!$H$28="Fixed",'Model Inputs &amp; Assumptions'!$I$28*'Model Inputs &amp; Assumptions'!$K$28,IF('Model Inputs &amp; Assumptions'!$H$28="CPM",'Model Inputs &amp; Assumptions'!$I$28*'Model Inputs &amp; Assumptions'!$K$28*C37/1000,IF('Model Inputs &amp; Assumptions'!$H$28="CPC",'Model Inputs &amp; Assumptions'!$I$28*'Model Inputs &amp; Assumptions'!$K$28*G37,0)))</f>
        <v>2825.706</v>
      </c>
      <c r="J37" s="50" t="n">
        <f aca="false">H37*INDEX('Model Inputs &amp; Assumptions'!$D$40:$D$42,MATCH('Model Inputs &amp; Assumptions'!$L$28,'Model Inputs &amp; Assumptions'!$A$40:$A$42,0))*INDEX('Model Inputs &amp; Assumptions'!$H$40:$H$42,MATCH('Model Inputs &amp; Assumptions'!$L$28,'Model Inputs &amp; Assumptions'!$A$40:$A$42,0))</f>
        <v>332486.126644729</v>
      </c>
      <c r="K37" s="49" t="n">
        <f aca="false">H37*INDEX('Model Inputs &amp; Assumptions'!$G$40:$G$42,MATCH('Model Inputs &amp; Assumptions'!$L$28,'Model Inputs &amp; Assumptions'!$A$40:$A$42,0))*INDEX('Model Inputs &amp; Assumptions'!$H$40:$H$42,MATCH('Model Inputs &amp; Assumptions'!$L$28,'Model Inputs &amp; Assumptions'!$A$40:$A$42,0))</f>
        <v>7480.93784950639</v>
      </c>
      <c r="L37" s="51" t="n">
        <f aca="false">IFERROR(K37/I37,0)</f>
        <v>2.64745796254331</v>
      </c>
      <c r="M37" s="49" t="n">
        <f aca="false">IFERROR(I37/H37,0)</f>
        <v>72.2391073648149</v>
      </c>
      <c r="N37" s="52" t="str">
        <f aca="false">'Model Inputs &amp; Assumptions'!$L$28</f>
        <v>PRD-EUAI</v>
      </c>
      <c r="P37" s="53" t="n">
        <v>-0.223968</v>
      </c>
      <c r="Q37" s="53" t="n">
        <v>-0.013747</v>
      </c>
      <c r="R37" s="53" t="n">
        <v>-0.436825</v>
      </c>
      <c r="S37" s="53" t="n">
        <v>2.86172</v>
      </c>
    </row>
    <row r="38" customFormat="false" ht="15" hidden="false" customHeight="false" outlineLevel="0" collapsed="false">
      <c r="A38" s="43" t="n">
        <v>35</v>
      </c>
      <c r="B38" s="44" t="str">
        <f aca="false">'Model Inputs &amp; Assumptions'!$B$28</f>
        <v>finanzen.net — Q1 Awareness Burst</v>
      </c>
      <c r="C38" s="45" t="n">
        <f aca="false">ROUND(MAX(0,'Model Inputs &amp; Assumptions'!$S$28*EXP('Model Inputs &amp; Assumptions'!$T$28*P38-'Model Inputs &amp; Assumptions'!$T$28^2/2)),0)</f>
        <v>481574</v>
      </c>
      <c r="D38" s="46" t="n">
        <f aca="false">MIN(1,'Model Inputs &amp; Assumptions'!$U$28*EXP('Model Inputs &amp; Assumptions'!$V$28*Q38-'Model Inputs &amp; Assumptions'!$V$28^2/2))</f>
        <v>0</v>
      </c>
      <c r="E38" s="45" t="n">
        <f aca="false">ROUND(C38*D38,0)</f>
        <v>0</v>
      </c>
      <c r="F38" s="47" t="n">
        <f aca="false">MIN(1,'Model Inputs &amp; Assumptions'!$W$28*EXP('Model Inputs &amp; Assumptions'!$X$28*R38-'Model Inputs &amp; Assumptions'!$X$28^2/2))</f>
        <v>0.00138886869616919</v>
      </c>
      <c r="G38" s="45" t="n">
        <f aca="false">ROUND(C38*F38,0)</f>
        <v>669</v>
      </c>
      <c r="H38" s="48" t="n">
        <f aca="false">MAX(0,(C38*'Model Inputs &amp; Assumptions'!$N$28+E38*'Model Inputs &amp; Assumptions'!$O$28+G38*'Model Inputs &amp; Assumptions'!$P$28)*EXP('Model Inputs &amp; Assumptions'!$Q$28*S38-'Model Inputs &amp; Assumptions'!$Q$28^2/2))</f>
        <v>24.3869965705955</v>
      </c>
      <c r="I38" s="49" t="n">
        <f aca="false">IF('Model Inputs &amp; Assumptions'!$H$28="Fixed",'Model Inputs &amp; Assumptions'!$I$28*'Model Inputs &amp; Assumptions'!$K$28,IF('Model Inputs &amp; Assumptions'!$H$28="CPM",'Model Inputs &amp; Assumptions'!$I$28*'Model Inputs &amp; Assumptions'!$K$28*C38/1000,IF('Model Inputs &amp; Assumptions'!$H$28="CPC",'Model Inputs &amp; Assumptions'!$I$28*'Model Inputs &amp; Assumptions'!$K$28*G38,0)))</f>
        <v>3130.231</v>
      </c>
      <c r="J38" s="50" t="n">
        <f aca="false">H38*INDEX('Model Inputs &amp; Assumptions'!$D$40:$D$42,MATCH('Model Inputs &amp; Assumptions'!$L$28,'Model Inputs &amp; Assumptions'!$A$40:$A$42,0))*INDEX('Model Inputs &amp; Assumptions'!$H$40:$H$42,MATCH('Model Inputs &amp; Assumptions'!$L$28,'Model Inputs &amp; Assumptions'!$A$40:$A$42,0))</f>
        <v>207289.470850062</v>
      </c>
      <c r="K38" s="49" t="n">
        <f aca="false">H38*INDEX('Model Inputs &amp; Assumptions'!$G$40:$G$42,MATCH('Model Inputs &amp; Assumptions'!$L$28,'Model Inputs &amp; Assumptions'!$A$40:$A$42,0))*INDEX('Model Inputs &amp; Assumptions'!$H$40:$H$42,MATCH('Model Inputs &amp; Assumptions'!$L$28,'Model Inputs &amp; Assumptions'!$A$40:$A$42,0))</f>
        <v>4664.01309412639</v>
      </c>
      <c r="L38" s="51" t="n">
        <f aca="false">IFERROR(K38/I38,0)</f>
        <v>1.48999006594925</v>
      </c>
      <c r="M38" s="49" t="n">
        <f aca="false">IFERROR(I38/H38,0)</f>
        <v>128.356560470192</v>
      </c>
      <c r="N38" s="52" t="str">
        <f aca="false">'Model Inputs &amp; Assumptions'!$L$28</f>
        <v>PRD-EUAI</v>
      </c>
      <c r="P38" s="53" t="n">
        <v>0.344633</v>
      </c>
      <c r="Q38" s="53" t="n">
        <v>0.41185</v>
      </c>
      <c r="R38" s="53" t="n">
        <v>-0.239889</v>
      </c>
      <c r="S38" s="53" t="n">
        <v>0.799413</v>
      </c>
    </row>
    <row r="39" customFormat="false" ht="15" hidden="false" customHeight="false" outlineLevel="0" collapsed="false">
      <c r="A39" s="43" t="n">
        <v>36</v>
      </c>
      <c r="B39" s="44" t="str">
        <f aca="false">'Model Inputs &amp; Assumptions'!$B$28</f>
        <v>finanzen.net — Q1 Awareness Burst</v>
      </c>
      <c r="C39" s="45" t="n">
        <f aca="false">ROUND(MAX(0,'Model Inputs &amp; Assumptions'!$S$28*EXP('Model Inputs &amp; Assumptions'!$T$28*P39-'Model Inputs &amp; Assumptions'!$T$28^2/2)),0)</f>
        <v>272939</v>
      </c>
      <c r="D39" s="46" t="n">
        <f aca="false">MIN(1,'Model Inputs &amp; Assumptions'!$U$28*EXP('Model Inputs &amp; Assumptions'!$V$28*Q39-'Model Inputs &amp; Assumptions'!$V$28^2/2))</f>
        <v>0</v>
      </c>
      <c r="E39" s="45" t="n">
        <f aca="false">ROUND(C39*D39,0)</f>
        <v>0</v>
      </c>
      <c r="F39" s="47" t="n">
        <f aca="false">MIN(1,'Model Inputs &amp; Assumptions'!$W$28*EXP('Model Inputs &amp; Assumptions'!$X$28*R39-'Model Inputs &amp; Assumptions'!$X$28^2/2))</f>
        <v>0.00148562227978723</v>
      </c>
      <c r="G39" s="45" t="n">
        <f aca="false">ROUND(C39*F39,0)</f>
        <v>405</v>
      </c>
      <c r="H39" s="48" t="n">
        <f aca="false">MAX(0,(C39*'Model Inputs &amp; Assumptions'!$N$28+E39*'Model Inputs &amp; Assumptions'!$O$28+G39*'Model Inputs &amp; Assumptions'!$P$28)*EXP('Model Inputs &amp; Assumptions'!$Q$28*S39-'Model Inputs &amp; Assumptions'!$Q$28^2/2))</f>
        <v>15.0822668030319</v>
      </c>
      <c r="I39" s="49" t="n">
        <f aca="false">IF('Model Inputs &amp; Assumptions'!$H$28="Fixed",'Model Inputs &amp; Assumptions'!$I$28*'Model Inputs &amp; Assumptions'!$K$28,IF('Model Inputs &amp; Assumptions'!$H$28="CPM",'Model Inputs &amp; Assumptions'!$I$28*'Model Inputs &amp; Assumptions'!$K$28*C39/1000,IF('Model Inputs &amp; Assumptions'!$H$28="CPC",'Model Inputs &amp; Assumptions'!$I$28*'Model Inputs &amp; Assumptions'!$K$28*G39,0)))</f>
        <v>1774.1035</v>
      </c>
      <c r="J39" s="50" t="n">
        <f aca="false">H39*INDEX('Model Inputs &amp; Assumptions'!$D$40:$D$42,MATCH('Model Inputs &amp; Assumptions'!$L$28,'Model Inputs &amp; Assumptions'!$A$40:$A$42,0))*INDEX('Model Inputs &amp; Assumptions'!$H$40:$H$42,MATCH('Model Inputs &amp; Assumptions'!$L$28,'Model Inputs &amp; Assumptions'!$A$40:$A$42,0))</f>
        <v>128199.267825771</v>
      </c>
      <c r="K39" s="49" t="n">
        <f aca="false">H39*INDEX('Model Inputs &amp; Assumptions'!$G$40:$G$42,MATCH('Model Inputs &amp; Assumptions'!$L$28,'Model Inputs &amp; Assumptions'!$A$40:$A$42,0))*INDEX('Model Inputs &amp; Assumptions'!$H$40:$H$42,MATCH('Model Inputs &amp; Assumptions'!$L$28,'Model Inputs &amp; Assumptions'!$A$40:$A$42,0))</f>
        <v>2884.48352607985</v>
      </c>
      <c r="L39" s="51" t="n">
        <f aca="false">IFERROR(K39/I39,0)</f>
        <v>1.62588232652709</v>
      </c>
      <c r="M39" s="49" t="n">
        <f aca="false">IFERROR(I39/H39,0)</f>
        <v>117.628438958749</v>
      </c>
      <c r="N39" s="52" t="str">
        <f aca="false">'Model Inputs &amp; Assumptions'!$L$28</f>
        <v>PRD-EUAI</v>
      </c>
      <c r="P39" s="53" t="n">
        <v>-2.80987</v>
      </c>
      <c r="Q39" s="53" t="n">
        <v>-0.482098</v>
      </c>
      <c r="R39" s="53" t="n">
        <v>0.066221</v>
      </c>
      <c r="S39" s="53" t="n">
        <v>0.870635</v>
      </c>
    </row>
    <row r="40" customFormat="false" ht="15" hidden="false" customHeight="false" outlineLevel="0" collapsed="false">
      <c r="A40" s="43" t="n">
        <v>37</v>
      </c>
      <c r="B40" s="44" t="str">
        <f aca="false">'Model Inputs &amp; Assumptions'!$B$28</f>
        <v>finanzen.net — Q1 Awareness Burst</v>
      </c>
      <c r="C40" s="45" t="n">
        <f aca="false">ROUND(MAX(0,'Model Inputs &amp; Assumptions'!$S$28*EXP('Model Inputs &amp; Assumptions'!$T$28*P40-'Model Inputs &amp; Assumptions'!$T$28^2/2)),0)</f>
        <v>536349</v>
      </c>
      <c r="D40" s="46" t="n">
        <f aca="false">MIN(1,'Model Inputs &amp; Assumptions'!$U$28*EXP('Model Inputs &amp; Assumptions'!$V$28*Q40-'Model Inputs &amp; Assumptions'!$V$28^2/2))</f>
        <v>0</v>
      </c>
      <c r="E40" s="45" t="n">
        <f aca="false">ROUND(C40*D40,0)</f>
        <v>0</v>
      </c>
      <c r="F40" s="47" t="n">
        <f aca="false">MIN(1,'Model Inputs &amp; Assumptions'!$W$28*EXP('Model Inputs &amp; Assumptions'!$X$28*R40-'Model Inputs &amp; Assumptions'!$X$28^2/2))</f>
        <v>0.000987005554512911</v>
      </c>
      <c r="G40" s="45" t="n">
        <f aca="false">ROUND(C40*F40,0)</f>
        <v>529</v>
      </c>
      <c r="H40" s="48" t="n">
        <f aca="false">MAX(0,(C40*'Model Inputs &amp; Assumptions'!$N$28+E40*'Model Inputs &amp; Assumptions'!$O$28+G40*'Model Inputs &amp; Assumptions'!$P$28)*EXP('Model Inputs &amp; Assumptions'!$Q$28*S40-'Model Inputs &amp; Assumptions'!$Q$28^2/2))</f>
        <v>23.099512988078</v>
      </c>
      <c r="I40" s="49" t="n">
        <f aca="false">IF('Model Inputs &amp; Assumptions'!$H$28="Fixed",'Model Inputs &amp; Assumptions'!$I$28*'Model Inputs &amp; Assumptions'!$K$28,IF('Model Inputs &amp; Assumptions'!$H$28="CPM",'Model Inputs &amp; Assumptions'!$I$28*'Model Inputs &amp; Assumptions'!$K$28*C40/1000,IF('Model Inputs &amp; Assumptions'!$H$28="CPC",'Model Inputs &amp; Assumptions'!$I$28*'Model Inputs &amp; Assumptions'!$K$28*G40,0)))</f>
        <v>3486.2685</v>
      </c>
      <c r="J40" s="50" t="n">
        <f aca="false">H40*INDEX('Model Inputs &amp; Assumptions'!$D$40:$D$42,MATCH('Model Inputs &amp; Assumptions'!$L$28,'Model Inputs &amp; Assumptions'!$A$40:$A$42,0))*INDEX('Model Inputs &amp; Assumptions'!$H$40:$H$42,MATCH('Model Inputs &amp; Assumptions'!$L$28,'Model Inputs &amp; Assumptions'!$A$40:$A$42,0))</f>
        <v>196345.860398663</v>
      </c>
      <c r="K40" s="49" t="n">
        <f aca="false">H40*INDEX('Model Inputs &amp; Assumptions'!$G$40:$G$42,MATCH('Model Inputs &amp; Assumptions'!$L$28,'Model Inputs &amp; Assumptions'!$A$40:$A$42,0))*INDEX('Model Inputs &amp; Assumptions'!$H$40:$H$42,MATCH('Model Inputs &amp; Assumptions'!$L$28,'Model Inputs &amp; Assumptions'!$A$40:$A$42,0))</f>
        <v>4417.78185896992</v>
      </c>
      <c r="L40" s="51" t="n">
        <f aca="false">IFERROR(K40/I40,0)</f>
        <v>1.26719495614578</v>
      </c>
      <c r="M40" s="49" t="n">
        <f aca="false">IFERROR(I40/H40,0)</f>
        <v>150.92389617908</v>
      </c>
      <c r="N40" s="52" t="str">
        <f aca="false">'Model Inputs &amp; Assumptions'!$L$28</f>
        <v>PRD-EUAI</v>
      </c>
      <c r="P40" s="53" t="n">
        <v>0.943108</v>
      </c>
      <c r="Q40" s="53" t="n">
        <v>-0.454039</v>
      </c>
      <c r="R40" s="53" t="n">
        <v>-1.792476</v>
      </c>
      <c r="S40" s="53" t="n">
        <v>1.40127</v>
      </c>
    </row>
    <row r="41" customFormat="false" ht="15" hidden="false" customHeight="false" outlineLevel="0" collapsed="false">
      <c r="A41" s="43" t="n">
        <v>38</v>
      </c>
      <c r="B41" s="44" t="str">
        <f aca="false">'Model Inputs &amp; Assumptions'!$B$28</f>
        <v>finanzen.net — Q1 Awareness Burst</v>
      </c>
      <c r="C41" s="45" t="n">
        <f aca="false">ROUND(MAX(0,'Model Inputs &amp; Assumptions'!$S$28*EXP('Model Inputs &amp; Assumptions'!$T$28*P41-'Model Inputs &amp; Assumptions'!$T$28^2/2)),0)</f>
        <v>370433</v>
      </c>
      <c r="D41" s="46" t="n">
        <f aca="false">MIN(1,'Model Inputs &amp; Assumptions'!$U$28*EXP('Model Inputs &amp; Assumptions'!$V$28*Q41-'Model Inputs &amp; Assumptions'!$V$28^2/2))</f>
        <v>0</v>
      </c>
      <c r="E41" s="45" t="n">
        <f aca="false">ROUND(C41*D41,0)</f>
        <v>0</v>
      </c>
      <c r="F41" s="47" t="n">
        <f aca="false">MIN(1,'Model Inputs &amp; Assumptions'!$W$28*EXP('Model Inputs &amp; Assumptions'!$X$28*R41-'Model Inputs &amp; Assumptions'!$X$28^2/2))</f>
        <v>0.00197264446008502</v>
      </c>
      <c r="G41" s="45" t="n">
        <f aca="false">ROUND(C41*F41,0)</f>
        <v>731</v>
      </c>
      <c r="H41" s="48" t="n">
        <f aca="false">MAX(0,(C41*'Model Inputs &amp; Assumptions'!$N$28+E41*'Model Inputs &amp; Assumptions'!$O$28+G41*'Model Inputs &amp; Assumptions'!$P$28)*EXP('Model Inputs &amp; Assumptions'!$Q$28*S41-'Model Inputs &amp; Assumptions'!$Q$28^2/2))</f>
        <v>15.1717866619868</v>
      </c>
      <c r="I41" s="49" t="n">
        <f aca="false">IF('Model Inputs &amp; Assumptions'!$H$28="Fixed",'Model Inputs &amp; Assumptions'!$I$28*'Model Inputs &amp; Assumptions'!$K$28,IF('Model Inputs &amp; Assumptions'!$H$28="CPM",'Model Inputs &amp; Assumptions'!$I$28*'Model Inputs &amp; Assumptions'!$K$28*C41/1000,IF('Model Inputs &amp; Assumptions'!$H$28="CPC",'Model Inputs &amp; Assumptions'!$I$28*'Model Inputs &amp; Assumptions'!$K$28*G41,0)))</f>
        <v>2407.8145</v>
      </c>
      <c r="J41" s="50" t="n">
        <f aca="false">H41*INDEX('Model Inputs &amp; Assumptions'!$D$40:$D$42,MATCH('Model Inputs &amp; Assumptions'!$L$28,'Model Inputs &amp; Assumptions'!$A$40:$A$42,0))*INDEX('Model Inputs &amp; Assumptions'!$H$40:$H$42,MATCH('Model Inputs &amp; Assumptions'!$L$28,'Model Inputs &amp; Assumptions'!$A$40:$A$42,0))</f>
        <v>128960.186626888</v>
      </c>
      <c r="K41" s="49" t="n">
        <f aca="false">H41*INDEX('Model Inputs &amp; Assumptions'!$G$40:$G$42,MATCH('Model Inputs &amp; Assumptions'!$L$28,'Model Inputs &amp; Assumptions'!$A$40:$A$42,0))*INDEX('Model Inputs &amp; Assumptions'!$H$40:$H$42,MATCH('Model Inputs &amp; Assumptions'!$L$28,'Model Inputs &amp; Assumptions'!$A$40:$A$42,0))</f>
        <v>2901.60419910498</v>
      </c>
      <c r="L41" s="51" t="n">
        <f aca="false">IFERROR(K41/I41,0)</f>
        <v>1.20507796555963</v>
      </c>
      <c r="M41" s="49" t="n">
        <f aca="false">IFERROR(I41/H41,0)</f>
        <v>158.703424563227</v>
      </c>
      <c r="N41" s="52" t="str">
        <f aca="false">'Model Inputs &amp; Assumptions'!$L$28</f>
        <v>PRD-EUAI</v>
      </c>
      <c r="P41" s="53" t="n">
        <v>-1.113081</v>
      </c>
      <c r="Q41" s="53" t="n">
        <v>0.540191</v>
      </c>
      <c r="R41" s="53" t="n">
        <v>1.355045</v>
      </c>
      <c r="S41" s="53" t="n">
        <v>-1.07806</v>
      </c>
    </row>
    <row r="42" customFormat="false" ht="15" hidden="false" customHeight="false" outlineLevel="0" collapsed="false">
      <c r="A42" s="43" t="n">
        <v>39</v>
      </c>
      <c r="B42" s="44" t="str">
        <f aca="false">'Model Inputs &amp; Assumptions'!$B$28</f>
        <v>finanzen.net — Q1 Awareness Burst</v>
      </c>
      <c r="C42" s="45" t="n">
        <f aca="false">ROUND(MAX(0,'Model Inputs &amp; Assumptions'!$S$28*EXP('Model Inputs &amp; Assumptions'!$T$28*P42-'Model Inputs &amp; Assumptions'!$T$28^2/2)),0)</f>
        <v>450757</v>
      </c>
      <c r="D42" s="46" t="n">
        <f aca="false">MIN(1,'Model Inputs &amp; Assumptions'!$U$28*EXP('Model Inputs &amp; Assumptions'!$V$28*Q42-'Model Inputs &amp; Assumptions'!$V$28^2/2))</f>
        <v>0</v>
      </c>
      <c r="E42" s="45" t="n">
        <f aca="false">ROUND(C42*D42,0)</f>
        <v>0</v>
      </c>
      <c r="F42" s="47" t="n">
        <f aca="false">MIN(1,'Model Inputs &amp; Assumptions'!$W$28*EXP('Model Inputs &amp; Assumptions'!$X$28*R42-'Model Inputs &amp; Assumptions'!$X$28^2/2))</f>
        <v>0.000991160151364773</v>
      </c>
      <c r="G42" s="45" t="n">
        <f aca="false">ROUND(C42*F42,0)</f>
        <v>447</v>
      </c>
      <c r="H42" s="48" t="n">
        <f aca="false">MAX(0,(C42*'Model Inputs &amp; Assumptions'!$N$28+E42*'Model Inputs &amp; Assumptions'!$O$28+G42*'Model Inputs &amp; Assumptions'!$P$28)*EXP('Model Inputs &amp; Assumptions'!$Q$28*S42-'Model Inputs &amp; Assumptions'!$Q$28^2/2))</f>
        <v>14.4460901095886</v>
      </c>
      <c r="I42" s="49" t="n">
        <f aca="false">IF('Model Inputs &amp; Assumptions'!$H$28="Fixed",'Model Inputs &amp; Assumptions'!$I$28*'Model Inputs &amp; Assumptions'!$K$28,IF('Model Inputs &amp; Assumptions'!$H$28="CPM",'Model Inputs &amp; Assumptions'!$I$28*'Model Inputs &amp; Assumptions'!$K$28*C42/1000,IF('Model Inputs &amp; Assumptions'!$H$28="CPC",'Model Inputs &amp; Assumptions'!$I$28*'Model Inputs &amp; Assumptions'!$K$28*G42,0)))</f>
        <v>2929.9205</v>
      </c>
      <c r="J42" s="50" t="n">
        <f aca="false">H42*INDEX('Model Inputs &amp; Assumptions'!$D$40:$D$42,MATCH('Model Inputs &amp; Assumptions'!$L$28,'Model Inputs &amp; Assumptions'!$A$40:$A$42,0))*INDEX('Model Inputs &amp; Assumptions'!$H$40:$H$42,MATCH('Model Inputs &amp; Assumptions'!$L$28,'Model Inputs &amp; Assumptions'!$A$40:$A$42,0))</f>
        <v>122791.765931504</v>
      </c>
      <c r="K42" s="49" t="n">
        <f aca="false">H42*INDEX('Model Inputs &amp; Assumptions'!$G$40:$G$42,MATCH('Model Inputs &amp; Assumptions'!$L$28,'Model Inputs &amp; Assumptions'!$A$40:$A$42,0))*INDEX('Model Inputs &amp; Assumptions'!$H$40:$H$42,MATCH('Model Inputs &amp; Assumptions'!$L$28,'Model Inputs &amp; Assumptions'!$A$40:$A$42,0))</f>
        <v>2762.81473345883</v>
      </c>
      <c r="L42" s="51" t="n">
        <f aca="false">IFERROR(K42/I42,0)</f>
        <v>0.942965767657801</v>
      </c>
      <c r="M42" s="49" t="n">
        <f aca="false">IFERROR(I42/H42,0)</f>
        <v>202.817542862705</v>
      </c>
      <c r="N42" s="52" t="str">
        <f aca="false">'Model Inputs &amp; Assumptions'!$L$28</f>
        <v>PRD-EUAI</v>
      </c>
      <c r="P42" s="53" t="n">
        <v>-0.022769</v>
      </c>
      <c r="Q42" s="53" t="n">
        <v>1.708921</v>
      </c>
      <c r="R42" s="53" t="n">
        <v>-1.773383</v>
      </c>
      <c r="S42" s="53" t="n">
        <v>0.398077</v>
      </c>
    </row>
    <row r="43" customFormat="false" ht="15" hidden="false" customHeight="false" outlineLevel="0" collapsed="false">
      <c r="A43" s="43" t="n">
        <v>40</v>
      </c>
      <c r="B43" s="44" t="str">
        <f aca="false">'Model Inputs &amp; Assumptions'!$B$28</f>
        <v>finanzen.net — Q1 Awareness Burst</v>
      </c>
      <c r="C43" s="45" t="n">
        <f aca="false">ROUND(MAX(0,'Model Inputs &amp; Assumptions'!$S$28*EXP('Model Inputs &amp; Assumptions'!$T$28*P43-'Model Inputs &amp; Assumptions'!$T$28^2/2)),0)</f>
        <v>430720</v>
      </c>
      <c r="D43" s="46" t="n">
        <f aca="false">MIN(1,'Model Inputs &amp; Assumptions'!$U$28*EXP('Model Inputs &amp; Assumptions'!$V$28*Q43-'Model Inputs &amp; Assumptions'!$V$28^2/2))</f>
        <v>0</v>
      </c>
      <c r="E43" s="45" t="n">
        <f aca="false">ROUND(C43*D43,0)</f>
        <v>0</v>
      </c>
      <c r="F43" s="47" t="n">
        <f aca="false">MIN(1,'Model Inputs &amp; Assumptions'!$W$28*EXP('Model Inputs &amp; Assumptions'!$X$28*R43-'Model Inputs &amp; Assumptions'!$X$28^2/2))</f>
        <v>0.00142701294239711</v>
      </c>
      <c r="G43" s="45" t="n">
        <f aca="false">ROUND(C43*F43,0)</f>
        <v>615</v>
      </c>
      <c r="H43" s="48" t="n">
        <f aca="false">MAX(0,(C43*'Model Inputs &amp; Assumptions'!$N$28+E43*'Model Inputs &amp; Assumptions'!$O$28+G43*'Model Inputs &amp; Assumptions'!$P$28)*EXP('Model Inputs &amp; Assumptions'!$Q$28*S43-'Model Inputs &amp; Assumptions'!$Q$28^2/2))</f>
        <v>11.7935653154702</v>
      </c>
      <c r="I43" s="49" t="n">
        <f aca="false">IF('Model Inputs &amp; Assumptions'!$H$28="Fixed",'Model Inputs &amp; Assumptions'!$I$28*'Model Inputs &amp; Assumptions'!$K$28,IF('Model Inputs &amp; Assumptions'!$H$28="CPM",'Model Inputs &amp; Assumptions'!$I$28*'Model Inputs &amp; Assumptions'!$K$28*C43/1000,IF('Model Inputs &amp; Assumptions'!$H$28="CPC",'Model Inputs &amp; Assumptions'!$I$28*'Model Inputs &amp; Assumptions'!$K$28*G43,0)))</f>
        <v>2799.68</v>
      </c>
      <c r="J43" s="50" t="n">
        <f aca="false">H43*INDEX('Model Inputs &amp; Assumptions'!$D$40:$D$42,MATCH('Model Inputs &amp; Assumptions'!$L$28,'Model Inputs &amp; Assumptions'!$A$40:$A$42,0))*INDEX('Model Inputs &amp; Assumptions'!$H$40:$H$42,MATCH('Model Inputs &amp; Assumptions'!$L$28,'Model Inputs &amp; Assumptions'!$A$40:$A$42,0))</f>
        <v>100245.305181497</v>
      </c>
      <c r="K43" s="49" t="n">
        <f aca="false">H43*INDEX('Model Inputs &amp; Assumptions'!$G$40:$G$42,MATCH('Model Inputs &amp; Assumptions'!$L$28,'Model Inputs &amp; Assumptions'!$A$40:$A$42,0))*INDEX('Model Inputs &amp; Assumptions'!$H$40:$H$42,MATCH('Model Inputs &amp; Assumptions'!$L$28,'Model Inputs &amp; Assumptions'!$A$40:$A$42,0))</f>
        <v>2255.51936658368</v>
      </c>
      <c r="L43" s="51" t="n">
        <f aca="false">IFERROR(K43/I43,0)</f>
        <v>0.805634703460283</v>
      </c>
      <c r="M43" s="49" t="n">
        <f aca="false">IFERROR(I43/H43,0)</f>
        <v>237.390468879458</v>
      </c>
      <c r="N43" s="52" t="str">
        <f aca="false">'Model Inputs &amp; Assumptions'!$L$28</f>
        <v>PRD-EUAI</v>
      </c>
      <c r="P43" s="53" t="n">
        <v>-0.275383</v>
      </c>
      <c r="Q43" s="53" t="n">
        <v>-0.785935</v>
      </c>
      <c r="R43" s="53" t="n">
        <v>-0.116735</v>
      </c>
      <c r="S43" s="53" t="n">
        <v>-1.341701</v>
      </c>
    </row>
    <row r="44" customFormat="false" ht="15" hidden="false" customHeight="false" outlineLevel="0" collapsed="false">
      <c r="A44" s="43" t="n">
        <v>41</v>
      </c>
      <c r="B44" s="44" t="str">
        <f aca="false">'Model Inputs &amp; Assumptions'!$B$28</f>
        <v>finanzen.net — Q1 Awareness Burst</v>
      </c>
      <c r="C44" s="45" t="n">
        <f aca="false">ROUND(MAX(0,'Model Inputs &amp; Assumptions'!$S$28*EXP('Model Inputs &amp; Assumptions'!$T$28*P44-'Model Inputs &amp; Assumptions'!$T$28^2/2)),0)</f>
        <v>401062</v>
      </c>
      <c r="D44" s="46" t="n">
        <f aca="false">MIN(1,'Model Inputs &amp; Assumptions'!$U$28*EXP('Model Inputs &amp; Assumptions'!$V$28*Q44-'Model Inputs &amp; Assumptions'!$V$28^2/2))</f>
        <v>0</v>
      </c>
      <c r="E44" s="45" t="n">
        <f aca="false">ROUND(C44*D44,0)</f>
        <v>0</v>
      </c>
      <c r="F44" s="47" t="n">
        <f aca="false">MIN(1,'Model Inputs &amp; Assumptions'!$W$28*EXP('Model Inputs &amp; Assumptions'!$X$28*R44-'Model Inputs &amp; Assumptions'!$X$28^2/2))</f>
        <v>0.00187236644251951</v>
      </c>
      <c r="G44" s="45" t="n">
        <f aca="false">ROUND(C44*F44,0)</f>
        <v>751</v>
      </c>
      <c r="H44" s="48" t="n">
        <f aca="false">MAX(0,(C44*'Model Inputs &amp; Assumptions'!$N$28+E44*'Model Inputs &amp; Assumptions'!$O$28+G44*'Model Inputs &amp; Assumptions'!$P$28)*EXP('Model Inputs &amp; Assumptions'!$Q$28*S44-'Model Inputs &amp; Assumptions'!$Q$28^2/2))</f>
        <v>22.9759485700815</v>
      </c>
      <c r="I44" s="49" t="n">
        <f aca="false">IF('Model Inputs &amp; Assumptions'!$H$28="Fixed",'Model Inputs &amp; Assumptions'!$I$28*'Model Inputs &amp; Assumptions'!$K$28,IF('Model Inputs &amp; Assumptions'!$H$28="CPM",'Model Inputs &amp; Assumptions'!$I$28*'Model Inputs &amp; Assumptions'!$K$28*C44/1000,IF('Model Inputs &amp; Assumptions'!$H$28="CPC",'Model Inputs &amp; Assumptions'!$I$28*'Model Inputs &amp; Assumptions'!$K$28*G44,0)))</f>
        <v>2606.903</v>
      </c>
      <c r="J44" s="50" t="n">
        <f aca="false">H44*INDEX('Model Inputs &amp; Assumptions'!$D$40:$D$42,MATCH('Model Inputs &amp; Assumptions'!$L$28,'Model Inputs &amp; Assumptions'!$A$40:$A$42,0))*INDEX('Model Inputs &amp; Assumptions'!$H$40:$H$42,MATCH('Model Inputs &amp; Assumptions'!$L$28,'Model Inputs &amp; Assumptions'!$A$40:$A$42,0))</f>
        <v>195295.562845693</v>
      </c>
      <c r="K44" s="49" t="n">
        <f aca="false">H44*INDEX('Model Inputs &amp; Assumptions'!$G$40:$G$42,MATCH('Model Inputs &amp; Assumptions'!$L$28,'Model Inputs &amp; Assumptions'!$A$40:$A$42,0))*INDEX('Model Inputs &amp; Assumptions'!$H$40:$H$42,MATCH('Model Inputs &amp; Assumptions'!$L$28,'Model Inputs &amp; Assumptions'!$A$40:$A$42,0))</f>
        <v>4394.15016402808</v>
      </c>
      <c r="L44" s="51" t="n">
        <f aca="false">IFERROR(K44/I44,0)</f>
        <v>1.68558253376826</v>
      </c>
      <c r="M44" s="49" t="n">
        <f aca="false">IFERROR(I44/H44,0)</f>
        <v>113.462257806175</v>
      </c>
      <c r="N44" s="52" t="str">
        <f aca="false">'Model Inputs &amp; Assumptions'!$L$28</f>
        <v>PRD-EUAI</v>
      </c>
      <c r="P44" s="53" t="n">
        <v>-0.671725</v>
      </c>
      <c r="Q44" s="53" t="n">
        <v>-1.4566</v>
      </c>
      <c r="R44" s="53" t="n">
        <v>1.1179</v>
      </c>
      <c r="S44" s="53" t="n">
        <v>0.215334</v>
      </c>
    </row>
    <row r="45" customFormat="false" ht="15" hidden="false" customHeight="false" outlineLevel="0" collapsed="false">
      <c r="A45" s="43" t="n">
        <v>42</v>
      </c>
      <c r="B45" s="44" t="str">
        <f aca="false">'Model Inputs &amp; Assumptions'!$B$28</f>
        <v>finanzen.net — Q1 Awareness Burst</v>
      </c>
      <c r="C45" s="45" t="n">
        <f aca="false">ROUND(MAX(0,'Model Inputs &amp; Assumptions'!$S$28*EXP('Model Inputs &amp; Assumptions'!$T$28*P45-'Model Inputs &amp; Assumptions'!$T$28^2/2)),0)</f>
        <v>455046</v>
      </c>
      <c r="D45" s="46" t="n">
        <f aca="false">MIN(1,'Model Inputs &amp; Assumptions'!$U$28*EXP('Model Inputs &amp; Assumptions'!$V$28*Q45-'Model Inputs &amp; Assumptions'!$V$28^2/2))</f>
        <v>0</v>
      </c>
      <c r="E45" s="45" t="n">
        <f aca="false">ROUND(C45*D45,0)</f>
        <v>0</v>
      </c>
      <c r="F45" s="47" t="n">
        <f aca="false">MIN(1,'Model Inputs &amp; Assumptions'!$W$28*EXP('Model Inputs &amp; Assumptions'!$X$28*R45-'Model Inputs &amp; Assumptions'!$X$28^2/2))</f>
        <v>0.00153246355647983</v>
      </c>
      <c r="G45" s="45" t="n">
        <f aca="false">ROUND(C45*F45,0)</f>
        <v>697</v>
      </c>
      <c r="H45" s="48" t="n">
        <f aca="false">MAX(0,(C45*'Model Inputs &amp; Assumptions'!$N$28+E45*'Model Inputs &amp; Assumptions'!$O$28+G45*'Model Inputs &amp; Assumptions'!$P$28)*EXP('Model Inputs &amp; Assumptions'!$Q$28*S45-'Model Inputs &amp; Assumptions'!$Q$28^2/2))</f>
        <v>19.7712865994841</v>
      </c>
      <c r="I45" s="49" t="n">
        <f aca="false">IF('Model Inputs &amp; Assumptions'!$H$28="Fixed",'Model Inputs &amp; Assumptions'!$I$28*'Model Inputs &amp; Assumptions'!$K$28,IF('Model Inputs &amp; Assumptions'!$H$28="CPM",'Model Inputs &amp; Assumptions'!$I$28*'Model Inputs &amp; Assumptions'!$K$28*C45/1000,IF('Model Inputs &amp; Assumptions'!$H$28="CPC",'Model Inputs &amp; Assumptions'!$I$28*'Model Inputs &amp; Assumptions'!$K$28*G45,0)))</f>
        <v>2957.799</v>
      </c>
      <c r="J45" s="50" t="n">
        <f aca="false">H45*INDEX('Model Inputs &amp; Assumptions'!$D$40:$D$42,MATCH('Model Inputs &amp; Assumptions'!$L$28,'Model Inputs &amp; Assumptions'!$A$40:$A$42,0))*INDEX('Model Inputs &amp; Assumptions'!$H$40:$H$42,MATCH('Model Inputs &amp; Assumptions'!$L$28,'Model Inputs &amp; Assumptions'!$A$40:$A$42,0))</f>
        <v>168055.936095615</v>
      </c>
      <c r="K45" s="49" t="n">
        <f aca="false">H45*INDEX('Model Inputs &amp; Assumptions'!$G$40:$G$42,MATCH('Model Inputs &amp; Assumptions'!$L$28,'Model Inputs &amp; Assumptions'!$A$40:$A$42,0))*INDEX('Model Inputs &amp; Assumptions'!$H$40:$H$42,MATCH('Model Inputs &amp; Assumptions'!$L$28,'Model Inputs &amp; Assumptions'!$A$40:$A$42,0))</f>
        <v>3781.25856215133</v>
      </c>
      <c r="L45" s="51" t="n">
        <f aca="false">IFERROR(K45/I45,0)</f>
        <v>1.27840281308883</v>
      </c>
      <c r="M45" s="49" t="n">
        <f aca="false">IFERROR(I45/H45,0)</f>
        <v>149.600734636925</v>
      </c>
      <c r="N45" s="52" t="str">
        <f aca="false">'Model Inputs &amp; Assumptions'!$L$28</f>
        <v>PRD-EUAI</v>
      </c>
      <c r="P45" s="53" t="n">
        <v>0.029847</v>
      </c>
      <c r="Q45" s="53" t="n">
        <v>2.302693</v>
      </c>
      <c r="R45" s="53" t="n">
        <v>0.207325</v>
      </c>
      <c r="S45" s="53" t="n">
        <v>-0.036656</v>
      </c>
    </row>
    <row r="46" customFormat="false" ht="15" hidden="false" customHeight="false" outlineLevel="0" collapsed="false">
      <c r="A46" s="43" t="n">
        <v>43</v>
      </c>
      <c r="B46" s="44" t="str">
        <f aca="false">'Model Inputs &amp; Assumptions'!$B$28</f>
        <v>finanzen.net — Q1 Awareness Burst</v>
      </c>
      <c r="C46" s="45" t="n">
        <f aca="false">ROUND(MAX(0,'Model Inputs &amp; Assumptions'!$S$28*EXP('Model Inputs &amp; Assumptions'!$T$28*P46-'Model Inputs &amp; Assumptions'!$T$28^2/2)),0)</f>
        <v>429965</v>
      </c>
      <c r="D46" s="46" t="n">
        <f aca="false">MIN(1,'Model Inputs &amp; Assumptions'!$U$28*EXP('Model Inputs &amp; Assumptions'!$V$28*Q46-'Model Inputs &amp; Assumptions'!$V$28^2/2))</f>
        <v>0</v>
      </c>
      <c r="E46" s="45" t="n">
        <f aca="false">ROUND(C46*D46,0)</f>
        <v>0</v>
      </c>
      <c r="F46" s="47" t="n">
        <f aca="false">MIN(1,'Model Inputs &amp; Assumptions'!$W$28*EXP('Model Inputs &amp; Assumptions'!$X$28*R46-'Model Inputs &amp; Assumptions'!$X$28^2/2))</f>
        <v>0.00134437275095434</v>
      </c>
      <c r="G46" s="45" t="n">
        <f aca="false">ROUND(C46*F46,0)</f>
        <v>578</v>
      </c>
      <c r="H46" s="48" t="n">
        <f aca="false">MAX(0,(C46*'Model Inputs &amp; Assumptions'!$N$28+E46*'Model Inputs &amp; Assumptions'!$O$28+G46*'Model Inputs &amp; Assumptions'!$P$28)*EXP('Model Inputs &amp; Assumptions'!$Q$28*S46-'Model Inputs &amp; Assumptions'!$Q$28^2/2))</f>
        <v>21.7768541900059</v>
      </c>
      <c r="I46" s="49" t="n">
        <f aca="false">IF('Model Inputs &amp; Assumptions'!$H$28="Fixed",'Model Inputs &amp; Assumptions'!$I$28*'Model Inputs &amp; Assumptions'!$K$28,IF('Model Inputs &amp; Assumptions'!$H$28="CPM",'Model Inputs &amp; Assumptions'!$I$28*'Model Inputs &amp; Assumptions'!$K$28*C46/1000,IF('Model Inputs &amp; Assumptions'!$H$28="CPC",'Model Inputs &amp; Assumptions'!$I$28*'Model Inputs &amp; Assumptions'!$K$28*G46,0)))</f>
        <v>2794.7725</v>
      </c>
      <c r="J46" s="50" t="n">
        <f aca="false">H46*INDEX('Model Inputs &amp; Assumptions'!$D$40:$D$42,MATCH('Model Inputs &amp; Assumptions'!$L$28,'Model Inputs &amp; Assumptions'!$A$40:$A$42,0))*INDEX('Model Inputs &amp; Assumptions'!$H$40:$H$42,MATCH('Model Inputs &amp; Assumptions'!$L$28,'Model Inputs &amp; Assumptions'!$A$40:$A$42,0))</f>
        <v>185103.26061505</v>
      </c>
      <c r="K46" s="49" t="n">
        <f aca="false">H46*INDEX('Model Inputs &amp; Assumptions'!$G$40:$G$42,MATCH('Model Inputs &amp; Assumptions'!$L$28,'Model Inputs &amp; Assumptions'!$A$40:$A$42,0))*INDEX('Model Inputs &amp; Assumptions'!$H$40:$H$42,MATCH('Model Inputs &amp; Assumptions'!$L$28,'Model Inputs &amp; Assumptions'!$A$40:$A$42,0))</f>
        <v>4164.82336383862</v>
      </c>
      <c r="L46" s="51" t="n">
        <f aca="false">IFERROR(K46/I46,0)</f>
        <v>1.49021910149703</v>
      </c>
      <c r="M46" s="49" t="n">
        <f aca="false">IFERROR(I46/H46,0)</f>
        <v>128.336833025342</v>
      </c>
      <c r="N46" s="52" t="str">
        <f aca="false">'Model Inputs &amp; Assumptions'!$L$28</f>
        <v>PRD-EUAI</v>
      </c>
      <c r="P46" s="53" t="n">
        <v>-0.285124</v>
      </c>
      <c r="Q46" s="53" t="n">
        <v>0.256566</v>
      </c>
      <c r="R46" s="53" t="n">
        <v>-0.387898</v>
      </c>
      <c r="S46" s="53" t="n">
        <v>0.909439</v>
      </c>
    </row>
    <row r="47" customFormat="false" ht="15" hidden="false" customHeight="false" outlineLevel="0" collapsed="false">
      <c r="A47" s="43" t="n">
        <v>44</v>
      </c>
      <c r="B47" s="44" t="str">
        <f aca="false">'Model Inputs &amp; Assumptions'!$B$28</f>
        <v>finanzen.net — Q1 Awareness Burst</v>
      </c>
      <c r="C47" s="45" t="n">
        <f aca="false">ROUND(MAX(0,'Model Inputs &amp; Assumptions'!$S$28*EXP('Model Inputs &amp; Assumptions'!$T$28*P47-'Model Inputs &amp; Assumptions'!$T$28^2/2)),0)</f>
        <v>502062</v>
      </c>
      <c r="D47" s="46" t="n">
        <f aca="false">MIN(1,'Model Inputs &amp; Assumptions'!$U$28*EXP('Model Inputs &amp; Assumptions'!$V$28*Q47-'Model Inputs &amp; Assumptions'!$V$28^2/2))</f>
        <v>0</v>
      </c>
      <c r="E47" s="45" t="n">
        <f aca="false">ROUND(C47*D47,0)</f>
        <v>0</v>
      </c>
      <c r="F47" s="47" t="n">
        <f aca="false">MIN(1,'Model Inputs &amp; Assumptions'!$W$28*EXP('Model Inputs &amp; Assumptions'!$X$28*R47-'Model Inputs &amp; Assumptions'!$X$28^2/2))</f>
        <v>0.00138343473888817</v>
      </c>
      <c r="G47" s="45" t="n">
        <f aca="false">ROUND(C47*F47,0)</f>
        <v>695</v>
      </c>
      <c r="H47" s="48" t="n">
        <f aca="false">MAX(0,(C47*'Model Inputs &amp; Assumptions'!$N$28+E47*'Model Inputs &amp; Assumptions'!$O$28+G47*'Model Inputs &amp; Assumptions'!$P$28)*EXP('Model Inputs &amp; Assumptions'!$Q$28*S47-'Model Inputs &amp; Assumptions'!$Q$28^2/2))</f>
        <v>27.5596583159762</v>
      </c>
      <c r="I47" s="49" t="n">
        <f aca="false">IF('Model Inputs &amp; Assumptions'!$H$28="Fixed",'Model Inputs &amp; Assumptions'!$I$28*'Model Inputs &amp; Assumptions'!$K$28,IF('Model Inputs &amp; Assumptions'!$H$28="CPM",'Model Inputs &amp; Assumptions'!$I$28*'Model Inputs &amp; Assumptions'!$K$28*C47/1000,IF('Model Inputs &amp; Assumptions'!$H$28="CPC",'Model Inputs &amp; Assumptions'!$I$28*'Model Inputs &amp; Assumptions'!$K$28*G47,0)))</f>
        <v>3263.403</v>
      </c>
      <c r="J47" s="50" t="n">
        <f aca="false">H47*INDEX('Model Inputs &amp; Assumptions'!$D$40:$D$42,MATCH('Model Inputs &amp; Assumptions'!$L$28,'Model Inputs &amp; Assumptions'!$A$40:$A$42,0))*INDEX('Model Inputs &amp; Assumptions'!$H$40:$H$42,MATCH('Model Inputs &amp; Assumptions'!$L$28,'Model Inputs &amp; Assumptions'!$A$40:$A$42,0))</f>
        <v>234257.095685798</v>
      </c>
      <c r="K47" s="49" t="n">
        <f aca="false">H47*INDEX('Model Inputs &amp; Assumptions'!$G$40:$G$42,MATCH('Model Inputs &amp; Assumptions'!$L$28,'Model Inputs &amp; Assumptions'!$A$40:$A$42,0))*INDEX('Model Inputs &amp; Assumptions'!$H$40:$H$42,MATCH('Model Inputs &amp; Assumptions'!$L$28,'Model Inputs &amp; Assumptions'!$A$40:$A$42,0))</f>
        <v>5270.78465293046</v>
      </c>
      <c r="L47" s="51" t="n">
        <f aca="false">IFERROR(K47/I47,0)</f>
        <v>1.61511914186831</v>
      </c>
      <c r="M47" s="49" t="n">
        <f aca="false">IFERROR(I47/H47,0)</f>
        <v>118.412317111646</v>
      </c>
      <c r="N47" s="52" t="str">
        <f aca="false">'Model Inputs &amp; Assumptions'!$L$28</f>
        <v>PRD-EUAI</v>
      </c>
      <c r="P47" s="53" t="n">
        <v>0.576091</v>
      </c>
      <c r="Q47" s="53" t="n">
        <v>-0.120901</v>
      </c>
      <c r="R47" s="53" t="n">
        <v>-0.257708</v>
      </c>
      <c r="S47" s="53" t="n">
        <v>1.079997</v>
      </c>
    </row>
    <row r="48" customFormat="false" ht="15" hidden="false" customHeight="false" outlineLevel="0" collapsed="false">
      <c r="A48" s="43" t="n">
        <v>45</v>
      </c>
      <c r="B48" s="44" t="str">
        <f aca="false">'Model Inputs &amp; Assumptions'!$B$28</f>
        <v>finanzen.net — Q1 Awareness Burst</v>
      </c>
      <c r="C48" s="45" t="n">
        <f aca="false">ROUND(MAX(0,'Model Inputs &amp; Assumptions'!$S$28*EXP('Model Inputs &amp; Assumptions'!$T$28*P48-'Model Inputs &amp; Assumptions'!$T$28^2/2)),0)</f>
        <v>495126</v>
      </c>
      <c r="D48" s="46" t="n">
        <f aca="false">MIN(1,'Model Inputs &amp; Assumptions'!$U$28*EXP('Model Inputs &amp; Assumptions'!$V$28*Q48-'Model Inputs &amp; Assumptions'!$V$28^2/2))</f>
        <v>0</v>
      </c>
      <c r="E48" s="45" t="n">
        <f aca="false">ROUND(C48*D48,0)</f>
        <v>0</v>
      </c>
      <c r="F48" s="47" t="n">
        <f aca="false">MIN(1,'Model Inputs &amp; Assumptions'!$W$28*EXP('Model Inputs &amp; Assumptions'!$X$28*R48-'Model Inputs &amp; Assumptions'!$X$28^2/2))</f>
        <v>0.000955561520328653</v>
      </c>
      <c r="G48" s="45" t="n">
        <f aca="false">ROUND(C48*F48,0)</f>
        <v>473</v>
      </c>
      <c r="H48" s="48" t="n">
        <f aca="false">MAX(0,(C48*'Model Inputs &amp; Assumptions'!$N$28+E48*'Model Inputs &amp; Assumptions'!$O$28+G48*'Model Inputs &amp; Assumptions'!$P$28)*EXP('Model Inputs &amp; Assumptions'!$Q$28*S48-'Model Inputs &amp; Assumptions'!$Q$28^2/2))</f>
        <v>10.6562608340887</v>
      </c>
      <c r="I48" s="49" t="n">
        <f aca="false">IF('Model Inputs &amp; Assumptions'!$H$28="Fixed",'Model Inputs &amp; Assumptions'!$I$28*'Model Inputs &amp; Assumptions'!$K$28,IF('Model Inputs &amp; Assumptions'!$H$28="CPM",'Model Inputs &amp; Assumptions'!$I$28*'Model Inputs &amp; Assumptions'!$K$28*C48/1000,IF('Model Inputs &amp; Assumptions'!$H$28="CPC",'Model Inputs &amp; Assumptions'!$I$28*'Model Inputs &amp; Assumptions'!$K$28*G48,0)))</f>
        <v>3218.319</v>
      </c>
      <c r="J48" s="50" t="n">
        <f aca="false">H48*INDEX('Model Inputs &amp; Assumptions'!$D$40:$D$42,MATCH('Model Inputs &amp; Assumptions'!$L$28,'Model Inputs &amp; Assumptions'!$A$40:$A$42,0))*INDEX('Model Inputs &amp; Assumptions'!$H$40:$H$42,MATCH('Model Inputs &amp; Assumptions'!$L$28,'Model Inputs &amp; Assumptions'!$A$40:$A$42,0))</f>
        <v>90578.2170897542</v>
      </c>
      <c r="K48" s="49" t="n">
        <f aca="false">H48*INDEX('Model Inputs &amp; Assumptions'!$G$40:$G$42,MATCH('Model Inputs &amp; Assumptions'!$L$28,'Model Inputs &amp; Assumptions'!$A$40:$A$42,0))*INDEX('Model Inputs &amp; Assumptions'!$H$40:$H$42,MATCH('Model Inputs &amp; Assumptions'!$L$28,'Model Inputs &amp; Assumptions'!$A$40:$A$42,0))</f>
        <v>2038.00988451947</v>
      </c>
      <c r="L48" s="51" t="n">
        <f aca="false">IFERROR(K48/I48,0)</f>
        <v>0.633252913871953</v>
      </c>
      <c r="M48" s="49" t="n">
        <f aca="false">IFERROR(I48/H48,0)</f>
        <v>302.012033123738</v>
      </c>
      <c r="N48" s="52" t="str">
        <f aca="false">'Model Inputs &amp; Assumptions'!$L$28</f>
        <v>PRD-EUAI</v>
      </c>
      <c r="P48" s="53" t="n">
        <v>0.498806</v>
      </c>
      <c r="Q48" s="53" t="n">
        <v>0.460629</v>
      </c>
      <c r="R48" s="53" t="n">
        <v>-1.939642</v>
      </c>
      <c r="S48" s="53" t="n">
        <v>-0.804633</v>
      </c>
    </row>
    <row r="49" customFormat="false" ht="15" hidden="false" customHeight="false" outlineLevel="0" collapsed="false">
      <c r="A49" s="43" t="n">
        <v>46</v>
      </c>
      <c r="B49" s="44" t="str">
        <f aca="false">'Model Inputs &amp; Assumptions'!$B$28</f>
        <v>finanzen.net — Q1 Awareness Burst</v>
      </c>
      <c r="C49" s="45" t="n">
        <f aca="false">ROUND(MAX(0,'Model Inputs &amp; Assumptions'!$S$28*EXP('Model Inputs &amp; Assumptions'!$T$28*P49-'Model Inputs &amp; Assumptions'!$T$28^2/2)),0)</f>
        <v>425515</v>
      </c>
      <c r="D49" s="46" t="n">
        <f aca="false">MIN(1,'Model Inputs &amp; Assumptions'!$U$28*EXP('Model Inputs &amp; Assumptions'!$V$28*Q49-'Model Inputs &amp; Assumptions'!$V$28^2/2))</f>
        <v>0</v>
      </c>
      <c r="E49" s="45" t="n">
        <f aca="false">ROUND(C49*D49,0)</f>
        <v>0</v>
      </c>
      <c r="F49" s="47" t="n">
        <f aca="false">MIN(1,'Model Inputs &amp; Assumptions'!$W$28*EXP('Model Inputs &amp; Assumptions'!$X$28*R49-'Model Inputs &amp; Assumptions'!$X$28^2/2))</f>
        <v>0.00119160522666836</v>
      </c>
      <c r="G49" s="45" t="n">
        <f aca="false">ROUND(C49*F49,0)</f>
        <v>507</v>
      </c>
      <c r="H49" s="48" t="n">
        <f aca="false">MAX(0,(C49*'Model Inputs &amp; Assumptions'!$N$28+E49*'Model Inputs &amp; Assumptions'!$O$28+G49*'Model Inputs &amp; Assumptions'!$P$28)*EXP('Model Inputs &amp; Assumptions'!$Q$28*S49-'Model Inputs &amp; Assumptions'!$Q$28^2/2))</f>
        <v>10.5803965441494</v>
      </c>
      <c r="I49" s="49" t="n">
        <f aca="false">IF('Model Inputs &amp; Assumptions'!$H$28="Fixed",'Model Inputs &amp; Assumptions'!$I$28*'Model Inputs &amp; Assumptions'!$K$28,IF('Model Inputs &amp; Assumptions'!$H$28="CPM",'Model Inputs &amp; Assumptions'!$I$28*'Model Inputs &amp; Assumptions'!$K$28*C49/1000,IF('Model Inputs &amp; Assumptions'!$H$28="CPC",'Model Inputs &amp; Assumptions'!$I$28*'Model Inputs &amp; Assumptions'!$K$28*G49,0)))</f>
        <v>2765.8475</v>
      </c>
      <c r="J49" s="50" t="n">
        <f aca="false">H49*INDEX('Model Inputs &amp; Assumptions'!$D$40:$D$42,MATCH('Model Inputs &amp; Assumptions'!$L$28,'Model Inputs &amp; Assumptions'!$A$40:$A$42,0))*INDEX('Model Inputs &amp; Assumptions'!$H$40:$H$42,MATCH('Model Inputs &amp; Assumptions'!$L$28,'Model Inputs &amp; Assumptions'!$A$40:$A$42,0))</f>
        <v>89933.3706252703</v>
      </c>
      <c r="K49" s="49" t="n">
        <f aca="false">H49*INDEX('Model Inputs &amp; Assumptions'!$G$40:$G$42,MATCH('Model Inputs &amp; Assumptions'!$L$28,'Model Inputs &amp; Assumptions'!$A$40:$A$42,0))*INDEX('Model Inputs &amp; Assumptions'!$H$40:$H$42,MATCH('Model Inputs &amp; Assumptions'!$L$28,'Model Inputs &amp; Assumptions'!$A$40:$A$42,0))</f>
        <v>2023.50083906858</v>
      </c>
      <c r="L49" s="51" t="n">
        <f aca="false">IFERROR(K49/I49,0)</f>
        <v>0.731602461476485</v>
      </c>
      <c r="M49" s="49" t="n">
        <f aca="false">IFERROR(I49/H49,0)</f>
        <v>261.412461098106</v>
      </c>
      <c r="N49" s="52" t="str">
        <f aca="false">'Model Inputs &amp; Assumptions'!$L$28</f>
        <v>PRD-EUAI</v>
      </c>
      <c r="P49" s="53" t="n">
        <v>-0.342922</v>
      </c>
      <c r="Q49" s="53" t="n">
        <v>0.775827</v>
      </c>
      <c r="R49" s="53" t="n">
        <v>-0.936199</v>
      </c>
      <c r="S49" s="53" t="n">
        <v>-1.059834</v>
      </c>
    </row>
    <row r="50" customFormat="false" ht="15" hidden="false" customHeight="false" outlineLevel="0" collapsed="false">
      <c r="A50" s="43" t="n">
        <v>47</v>
      </c>
      <c r="B50" s="44" t="str">
        <f aca="false">'Model Inputs &amp; Assumptions'!$B$28</f>
        <v>finanzen.net — Q1 Awareness Burst</v>
      </c>
      <c r="C50" s="45" t="n">
        <f aca="false">ROUND(MAX(0,'Model Inputs &amp; Assumptions'!$S$28*EXP('Model Inputs &amp; Assumptions'!$T$28*P50-'Model Inputs &amp; Assumptions'!$T$28^2/2)),0)</f>
        <v>608118</v>
      </c>
      <c r="D50" s="46" t="n">
        <f aca="false">MIN(1,'Model Inputs &amp; Assumptions'!$U$28*EXP('Model Inputs &amp; Assumptions'!$V$28*Q50-'Model Inputs &amp; Assumptions'!$V$28^2/2))</f>
        <v>0</v>
      </c>
      <c r="E50" s="45" t="n">
        <f aca="false">ROUND(C50*D50,0)</f>
        <v>0</v>
      </c>
      <c r="F50" s="47" t="n">
        <f aca="false">MIN(1,'Model Inputs &amp; Assumptions'!$W$28*EXP('Model Inputs &amp; Assumptions'!$X$28*R50-'Model Inputs &amp; Assumptions'!$X$28^2/2))</f>
        <v>0.00149779688948458</v>
      </c>
      <c r="G50" s="45" t="n">
        <f aca="false">ROUND(C50*F50,0)</f>
        <v>911</v>
      </c>
      <c r="H50" s="48" t="n">
        <f aca="false">MAX(0,(C50*'Model Inputs &amp; Assumptions'!$N$28+E50*'Model Inputs &amp; Assumptions'!$O$28+G50*'Model Inputs &amp; Assumptions'!$P$28)*EXP('Model Inputs &amp; Assumptions'!$Q$28*S50-'Model Inputs &amp; Assumptions'!$Q$28^2/2))</f>
        <v>19.2706304768028</v>
      </c>
      <c r="I50" s="49" t="n">
        <f aca="false">IF('Model Inputs &amp; Assumptions'!$H$28="Fixed",'Model Inputs &amp; Assumptions'!$I$28*'Model Inputs &amp; Assumptions'!$K$28,IF('Model Inputs &amp; Assumptions'!$H$28="CPM",'Model Inputs &amp; Assumptions'!$I$28*'Model Inputs &amp; Assumptions'!$K$28*C50/1000,IF('Model Inputs &amp; Assumptions'!$H$28="CPC",'Model Inputs &amp; Assumptions'!$I$28*'Model Inputs &amp; Assumptions'!$K$28*G50,0)))</f>
        <v>3952.767</v>
      </c>
      <c r="J50" s="50" t="n">
        <f aca="false">H50*INDEX('Model Inputs &amp; Assumptions'!$D$40:$D$42,MATCH('Model Inputs &amp; Assumptions'!$L$28,'Model Inputs &amp; Assumptions'!$A$40:$A$42,0))*INDEX('Model Inputs &amp; Assumptions'!$H$40:$H$42,MATCH('Model Inputs &amp; Assumptions'!$L$28,'Model Inputs &amp; Assumptions'!$A$40:$A$42,0))</f>
        <v>163800.359052824</v>
      </c>
      <c r="K50" s="49" t="n">
        <f aca="false">H50*INDEX('Model Inputs &amp; Assumptions'!$G$40:$G$42,MATCH('Model Inputs &amp; Assumptions'!$L$28,'Model Inputs &amp; Assumptions'!$A$40:$A$42,0))*INDEX('Model Inputs &amp; Assumptions'!$H$40:$H$42,MATCH('Model Inputs &amp; Assumptions'!$L$28,'Model Inputs &amp; Assumptions'!$A$40:$A$42,0))</f>
        <v>3685.50807868853</v>
      </c>
      <c r="L50" s="51" t="n">
        <f aca="false">IFERROR(K50/I50,0)</f>
        <v>0.932386877012618</v>
      </c>
      <c r="M50" s="49" t="n">
        <f aca="false">IFERROR(I50/H50,0)</f>
        <v>205.118717042402</v>
      </c>
      <c r="N50" s="52" t="str">
        <f aca="false">'Model Inputs &amp; Assumptions'!$L$28</f>
        <v>PRD-EUAI</v>
      </c>
      <c r="P50" s="53" t="n">
        <v>1.640795</v>
      </c>
      <c r="Q50" s="53" t="n">
        <v>-0.121569</v>
      </c>
      <c r="R50" s="53" t="n">
        <v>0.103319</v>
      </c>
      <c r="S50" s="53" t="n">
        <v>-1.014676</v>
      </c>
    </row>
    <row r="51" customFormat="false" ht="15" hidden="false" customHeight="false" outlineLevel="0" collapsed="false">
      <c r="A51" s="43" t="n">
        <v>48</v>
      </c>
      <c r="B51" s="44" t="str">
        <f aca="false">'Model Inputs &amp; Assumptions'!$B$28</f>
        <v>finanzen.net — Q1 Awareness Burst</v>
      </c>
      <c r="C51" s="45" t="n">
        <f aca="false">ROUND(MAX(0,'Model Inputs &amp; Assumptions'!$S$28*EXP('Model Inputs &amp; Assumptions'!$T$28*P51-'Model Inputs &amp; Assumptions'!$T$28^2/2)),0)</f>
        <v>448238</v>
      </c>
      <c r="D51" s="46" t="n">
        <f aca="false">MIN(1,'Model Inputs &amp; Assumptions'!$U$28*EXP('Model Inputs &amp; Assumptions'!$V$28*Q51-'Model Inputs &amp; Assumptions'!$V$28^2/2))</f>
        <v>0</v>
      </c>
      <c r="E51" s="45" t="n">
        <f aca="false">ROUND(C51*D51,0)</f>
        <v>0</v>
      </c>
      <c r="F51" s="47" t="n">
        <f aca="false">MIN(1,'Model Inputs &amp; Assumptions'!$W$28*EXP('Model Inputs &amp; Assumptions'!$X$28*R51-'Model Inputs &amp; Assumptions'!$X$28^2/2))</f>
        <v>0.0015984604193768</v>
      </c>
      <c r="G51" s="45" t="n">
        <f aca="false">ROUND(C51*F51,0)</f>
        <v>716</v>
      </c>
      <c r="H51" s="48" t="n">
        <f aca="false">MAX(0,(C51*'Model Inputs &amp; Assumptions'!$N$28+E51*'Model Inputs &amp; Assumptions'!$O$28+G51*'Model Inputs &amp; Assumptions'!$P$28)*EXP('Model Inputs &amp; Assumptions'!$Q$28*S51-'Model Inputs &amp; Assumptions'!$Q$28^2/2))</f>
        <v>10.4745988553262</v>
      </c>
      <c r="I51" s="49" t="n">
        <f aca="false">IF('Model Inputs &amp; Assumptions'!$H$28="Fixed",'Model Inputs &amp; Assumptions'!$I$28*'Model Inputs &amp; Assumptions'!$K$28,IF('Model Inputs &amp; Assumptions'!$H$28="CPM",'Model Inputs &amp; Assumptions'!$I$28*'Model Inputs &amp; Assumptions'!$K$28*C51/1000,IF('Model Inputs &amp; Assumptions'!$H$28="CPC",'Model Inputs &amp; Assumptions'!$I$28*'Model Inputs &amp; Assumptions'!$K$28*G51,0)))</f>
        <v>2913.547</v>
      </c>
      <c r="J51" s="50" t="n">
        <f aca="false">H51*INDEX('Model Inputs &amp; Assumptions'!$D$40:$D$42,MATCH('Model Inputs &amp; Assumptions'!$L$28,'Model Inputs &amp; Assumptions'!$A$40:$A$42,0))*INDEX('Model Inputs &amp; Assumptions'!$H$40:$H$42,MATCH('Model Inputs &amp; Assumptions'!$L$28,'Model Inputs &amp; Assumptions'!$A$40:$A$42,0))</f>
        <v>89034.0902702731</v>
      </c>
      <c r="K51" s="49" t="n">
        <f aca="false">H51*INDEX('Model Inputs &amp; Assumptions'!$G$40:$G$42,MATCH('Model Inputs &amp; Assumptions'!$L$28,'Model Inputs &amp; Assumptions'!$A$40:$A$42,0))*INDEX('Model Inputs &amp; Assumptions'!$H$40:$H$42,MATCH('Model Inputs &amp; Assumptions'!$L$28,'Model Inputs &amp; Assumptions'!$A$40:$A$42,0))</f>
        <v>2003.26703108114</v>
      </c>
      <c r="L51" s="51" t="n">
        <f aca="false">IFERROR(K51/I51,0)</f>
        <v>0.687569835352285</v>
      </c>
      <c r="M51" s="49" t="n">
        <f aca="false">IFERROR(I51/H51,0)</f>
        <v>278.153563706021</v>
      </c>
      <c r="N51" s="52" t="str">
        <f aca="false">'Model Inputs &amp; Assumptions'!$L$28</f>
        <v>PRD-EUAI</v>
      </c>
      <c r="P51" s="53" t="n">
        <v>-0.053906</v>
      </c>
      <c r="Q51" s="53" t="n">
        <v>1.189283</v>
      </c>
      <c r="R51" s="53" t="n">
        <v>0.398981</v>
      </c>
      <c r="S51" s="53" t="n">
        <v>-2.243897</v>
      </c>
    </row>
    <row r="52" customFormat="false" ht="15" hidden="false" customHeight="false" outlineLevel="0" collapsed="false">
      <c r="A52" s="43" t="n">
        <v>49</v>
      </c>
      <c r="B52" s="44" t="str">
        <f aca="false">'Model Inputs &amp; Assumptions'!$B$28</f>
        <v>finanzen.net — Q1 Awareness Burst</v>
      </c>
      <c r="C52" s="45" t="n">
        <f aca="false">ROUND(MAX(0,'Model Inputs &amp; Assumptions'!$S$28*EXP('Model Inputs &amp; Assumptions'!$T$28*P52-'Model Inputs &amp; Assumptions'!$T$28^2/2)),0)</f>
        <v>446755</v>
      </c>
      <c r="D52" s="46" t="n">
        <f aca="false">MIN(1,'Model Inputs &amp; Assumptions'!$U$28*EXP('Model Inputs &amp; Assumptions'!$V$28*Q52-'Model Inputs &amp; Assumptions'!$V$28^2/2))</f>
        <v>0</v>
      </c>
      <c r="E52" s="45" t="n">
        <f aca="false">ROUND(C52*D52,0)</f>
        <v>0</v>
      </c>
      <c r="F52" s="47" t="n">
        <f aca="false">MIN(1,'Model Inputs &amp; Assumptions'!$W$28*EXP('Model Inputs &amp; Assumptions'!$X$28*R52-'Model Inputs &amp; Assumptions'!$X$28^2/2))</f>
        <v>0.0012719093900054</v>
      </c>
      <c r="G52" s="45" t="n">
        <f aca="false">ROUND(C52*F52,0)</f>
        <v>568</v>
      </c>
      <c r="H52" s="48" t="n">
        <f aca="false">MAX(0,(C52*'Model Inputs &amp; Assumptions'!$N$28+E52*'Model Inputs &amp; Assumptions'!$O$28+G52*'Model Inputs &amp; Assumptions'!$P$28)*EXP('Model Inputs &amp; Assumptions'!$Q$28*S52-'Model Inputs &amp; Assumptions'!$Q$28^2/2))</f>
        <v>8.31450534502242</v>
      </c>
      <c r="I52" s="49" t="n">
        <f aca="false">IF('Model Inputs &amp; Assumptions'!$H$28="Fixed",'Model Inputs &amp; Assumptions'!$I$28*'Model Inputs &amp; Assumptions'!$K$28,IF('Model Inputs &amp; Assumptions'!$H$28="CPM",'Model Inputs &amp; Assumptions'!$I$28*'Model Inputs &amp; Assumptions'!$K$28*C52/1000,IF('Model Inputs &amp; Assumptions'!$H$28="CPC",'Model Inputs &amp; Assumptions'!$I$28*'Model Inputs &amp; Assumptions'!$K$28*G52,0)))</f>
        <v>2903.9075</v>
      </c>
      <c r="J52" s="50" t="n">
        <f aca="false">H52*INDEX('Model Inputs &amp; Assumptions'!$D$40:$D$42,MATCH('Model Inputs &amp; Assumptions'!$L$28,'Model Inputs &amp; Assumptions'!$A$40:$A$42,0))*INDEX('Model Inputs &amp; Assumptions'!$H$40:$H$42,MATCH('Model Inputs &amp; Assumptions'!$L$28,'Model Inputs &amp; Assumptions'!$A$40:$A$42,0))</f>
        <v>70673.2954326906</v>
      </c>
      <c r="K52" s="49" t="n">
        <f aca="false">H52*INDEX('Model Inputs &amp; Assumptions'!$G$40:$G$42,MATCH('Model Inputs &amp; Assumptions'!$L$28,'Model Inputs &amp; Assumptions'!$A$40:$A$42,0))*INDEX('Model Inputs &amp; Assumptions'!$H$40:$H$42,MATCH('Model Inputs &amp; Assumptions'!$L$28,'Model Inputs &amp; Assumptions'!$A$40:$A$42,0))</f>
        <v>1590.14914723554</v>
      </c>
      <c r="L52" s="51" t="n">
        <f aca="false">IFERROR(K52/I52,0)</f>
        <v>0.547589462555381</v>
      </c>
      <c r="M52" s="49" t="n">
        <f aca="false">IFERROR(I52/H52,0)</f>
        <v>349.257999062862</v>
      </c>
      <c r="N52" s="52" t="str">
        <f aca="false">'Model Inputs &amp; Assumptions'!$L$28</f>
        <v>PRD-EUAI</v>
      </c>
      <c r="P52" s="53" t="n">
        <v>-0.072309</v>
      </c>
      <c r="Q52" s="53" t="n">
        <v>0.924584</v>
      </c>
      <c r="R52" s="53" t="n">
        <v>-0.639754</v>
      </c>
      <c r="S52" s="53" t="n">
        <v>-2.241873</v>
      </c>
    </row>
    <row r="53" customFormat="false" ht="15" hidden="false" customHeight="false" outlineLevel="0" collapsed="false">
      <c r="A53" s="43" t="n">
        <v>50</v>
      </c>
      <c r="B53" s="44" t="str">
        <f aca="false">'Model Inputs &amp; Assumptions'!$B$28</f>
        <v>finanzen.net — Q1 Awareness Burst</v>
      </c>
      <c r="C53" s="45" t="n">
        <f aca="false">ROUND(MAX(0,'Model Inputs &amp; Assumptions'!$S$28*EXP('Model Inputs &amp; Assumptions'!$T$28*P53-'Model Inputs &amp; Assumptions'!$T$28^2/2)),0)</f>
        <v>432875</v>
      </c>
      <c r="D53" s="46" t="n">
        <f aca="false">MIN(1,'Model Inputs &amp; Assumptions'!$U$28*EXP('Model Inputs &amp; Assumptions'!$V$28*Q53-'Model Inputs &amp; Assumptions'!$V$28^2/2))</f>
        <v>0</v>
      </c>
      <c r="E53" s="45" t="n">
        <f aca="false">ROUND(C53*D53,0)</f>
        <v>0</v>
      </c>
      <c r="F53" s="47" t="n">
        <f aca="false">MIN(1,'Model Inputs &amp; Assumptions'!$W$28*EXP('Model Inputs &amp; Assumptions'!$X$28*R53-'Model Inputs &amp; Assumptions'!$X$28^2/2))</f>
        <v>0.00144901525047143</v>
      </c>
      <c r="G53" s="45" t="n">
        <f aca="false">ROUND(C53*F53,0)</f>
        <v>627</v>
      </c>
      <c r="H53" s="48" t="n">
        <f aca="false">MAX(0,(C53*'Model Inputs &amp; Assumptions'!$N$28+E53*'Model Inputs &amp; Assumptions'!$O$28+G53*'Model Inputs &amp; Assumptions'!$P$28)*EXP('Model Inputs &amp; Assumptions'!$Q$28*S53-'Model Inputs &amp; Assumptions'!$Q$28^2/2))</f>
        <v>14.0596689883382</v>
      </c>
      <c r="I53" s="49" t="n">
        <f aca="false">IF('Model Inputs &amp; Assumptions'!$H$28="Fixed",'Model Inputs &amp; Assumptions'!$I$28*'Model Inputs &amp; Assumptions'!$K$28,IF('Model Inputs &amp; Assumptions'!$H$28="CPM",'Model Inputs &amp; Assumptions'!$I$28*'Model Inputs &amp; Assumptions'!$K$28*C53/1000,IF('Model Inputs &amp; Assumptions'!$H$28="CPC",'Model Inputs &amp; Assumptions'!$I$28*'Model Inputs &amp; Assumptions'!$K$28*G53,0)))</f>
        <v>2813.6875</v>
      </c>
      <c r="J53" s="50" t="n">
        <f aca="false">H53*INDEX('Model Inputs &amp; Assumptions'!$D$40:$D$42,MATCH('Model Inputs &amp; Assumptions'!$L$28,'Model Inputs &amp; Assumptions'!$A$40:$A$42,0))*INDEX('Model Inputs &amp; Assumptions'!$H$40:$H$42,MATCH('Model Inputs &amp; Assumptions'!$L$28,'Model Inputs &amp; Assumptions'!$A$40:$A$42,0))</f>
        <v>119507.186400875</v>
      </c>
      <c r="K53" s="49" t="n">
        <f aca="false">H53*INDEX('Model Inputs &amp; Assumptions'!$G$40:$G$42,MATCH('Model Inputs &amp; Assumptions'!$L$28,'Model Inputs &amp; Assumptions'!$A$40:$A$42,0))*INDEX('Model Inputs &amp; Assumptions'!$H$40:$H$42,MATCH('Model Inputs &amp; Assumptions'!$L$28,'Model Inputs &amp; Assumptions'!$A$40:$A$42,0))</f>
        <v>2688.91169401969</v>
      </c>
      <c r="L53" s="51" t="n">
        <f aca="false">IFERROR(K53/I53,0)</f>
        <v>0.955653992854462</v>
      </c>
      <c r="M53" s="49" t="n">
        <f aca="false">IFERROR(I53/H53,0)</f>
        <v>200.124732832175</v>
      </c>
      <c r="N53" s="52" t="str">
        <f aca="false">'Model Inputs &amp; Assumptions'!$L$28</f>
        <v>PRD-EUAI</v>
      </c>
      <c r="P53" s="53" t="n">
        <v>-0.24765</v>
      </c>
      <c r="Q53" s="53" t="n">
        <v>-0.326655</v>
      </c>
      <c r="R53" s="53" t="n">
        <v>-0.047186</v>
      </c>
      <c r="S53" s="53" t="n">
        <v>-0.820261</v>
      </c>
    </row>
    <row r="54" customFormat="false" ht="15" hidden="false" customHeight="false" outlineLevel="0" collapsed="false">
      <c r="A54" s="43" t="n">
        <v>51</v>
      </c>
      <c r="B54" s="44" t="str">
        <f aca="false">'Model Inputs &amp; Assumptions'!$B$28</f>
        <v>finanzen.net — Q1 Awareness Burst</v>
      </c>
      <c r="C54" s="45" t="n">
        <f aca="false">ROUND(MAX(0,'Model Inputs &amp; Assumptions'!$S$28*EXP('Model Inputs &amp; Assumptions'!$T$28*P54-'Model Inputs &amp; Assumptions'!$T$28^2/2)),0)</f>
        <v>378802</v>
      </c>
      <c r="D54" s="46" t="n">
        <f aca="false">MIN(1,'Model Inputs &amp; Assumptions'!$U$28*EXP('Model Inputs &amp; Assumptions'!$V$28*Q54-'Model Inputs &amp; Assumptions'!$V$28^2/2))</f>
        <v>0</v>
      </c>
      <c r="E54" s="45" t="n">
        <f aca="false">ROUND(C54*D54,0)</f>
        <v>0</v>
      </c>
      <c r="F54" s="47" t="n">
        <f aca="false">MIN(1,'Model Inputs &amp; Assumptions'!$W$28*EXP('Model Inputs &amp; Assumptions'!$X$28*R54-'Model Inputs &amp; Assumptions'!$X$28^2/2))</f>
        <v>0.00123755409558355</v>
      </c>
      <c r="G54" s="45" t="n">
        <f aca="false">ROUND(C54*F54,0)</f>
        <v>469</v>
      </c>
      <c r="H54" s="48" t="n">
        <f aca="false">MAX(0,(C54*'Model Inputs &amp; Assumptions'!$N$28+E54*'Model Inputs &amp; Assumptions'!$O$28+G54*'Model Inputs &amp; Assumptions'!$P$28)*EXP('Model Inputs &amp; Assumptions'!$Q$28*S54-'Model Inputs &amp; Assumptions'!$Q$28^2/2))</f>
        <v>8.95903724721719</v>
      </c>
      <c r="I54" s="49" t="n">
        <f aca="false">IF('Model Inputs &amp; Assumptions'!$H$28="Fixed",'Model Inputs &amp; Assumptions'!$I$28*'Model Inputs &amp; Assumptions'!$K$28,IF('Model Inputs &amp; Assumptions'!$H$28="CPM",'Model Inputs &amp; Assumptions'!$I$28*'Model Inputs &amp; Assumptions'!$K$28*C54/1000,IF('Model Inputs &amp; Assumptions'!$H$28="CPC",'Model Inputs &amp; Assumptions'!$I$28*'Model Inputs &amp; Assumptions'!$K$28*G54,0)))</f>
        <v>2462.213</v>
      </c>
      <c r="J54" s="50" t="n">
        <f aca="false">H54*INDEX('Model Inputs &amp; Assumptions'!$D$40:$D$42,MATCH('Model Inputs &amp; Assumptions'!$L$28,'Model Inputs &amp; Assumptions'!$A$40:$A$42,0))*INDEX('Model Inputs &amp; Assumptions'!$H$40:$H$42,MATCH('Model Inputs &amp; Assumptions'!$L$28,'Model Inputs &amp; Assumptions'!$A$40:$A$42,0))</f>
        <v>76151.8166013461</v>
      </c>
      <c r="K54" s="49" t="n">
        <f aca="false">H54*INDEX('Model Inputs &amp; Assumptions'!$G$40:$G$42,MATCH('Model Inputs &amp; Assumptions'!$L$28,'Model Inputs &amp; Assumptions'!$A$40:$A$42,0))*INDEX('Model Inputs &amp; Assumptions'!$H$40:$H$42,MATCH('Model Inputs &amp; Assumptions'!$L$28,'Model Inputs &amp; Assumptions'!$A$40:$A$42,0))</f>
        <v>1713.41587353029</v>
      </c>
      <c r="L54" s="51" t="n">
        <f aca="false">IFERROR(K54/I54,0)</f>
        <v>0.69588450452105</v>
      </c>
      <c r="M54" s="49" t="n">
        <f aca="false">IFERROR(I54/H54,0)</f>
        <v>274.83008855274</v>
      </c>
      <c r="N54" s="52" t="str">
        <f aca="false">'Model Inputs &amp; Assumptions'!$L$28</f>
        <v>PRD-EUAI</v>
      </c>
      <c r="P54" s="53" t="n">
        <v>-0.988957</v>
      </c>
      <c r="Q54" s="53" t="n">
        <v>0.909249</v>
      </c>
      <c r="R54" s="53" t="n">
        <v>-0.764219</v>
      </c>
      <c r="S54" s="53" t="n">
        <v>-1.354607</v>
      </c>
    </row>
    <row r="55" customFormat="false" ht="15" hidden="false" customHeight="false" outlineLevel="0" collapsed="false">
      <c r="A55" s="43" t="n">
        <v>52</v>
      </c>
      <c r="B55" s="44" t="str">
        <f aca="false">'Model Inputs &amp; Assumptions'!$B$28</f>
        <v>finanzen.net — Q1 Awareness Burst</v>
      </c>
      <c r="C55" s="45" t="n">
        <f aca="false">ROUND(MAX(0,'Model Inputs &amp; Assumptions'!$S$28*EXP('Model Inputs &amp; Assumptions'!$T$28*P55-'Model Inputs &amp; Assumptions'!$T$28^2/2)),0)</f>
        <v>377949</v>
      </c>
      <c r="D55" s="46" t="n">
        <f aca="false">MIN(1,'Model Inputs &amp; Assumptions'!$U$28*EXP('Model Inputs &amp; Assumptions'!$V$28*Q55-'Model Inputs &amp; Assumptions'!$V$28^2/2))</f>
        <v>0</v>
      </c>
      <c r="E55" s="45" t="n">
        <f aca="false">ROUND(C55*D55,0)</f>
        <v>0</v>
      </c>
      <c r="F55" s="47" t="n">
        <f aca="false">MIN(1,'Model Inputs &amp; Assumptions'!$W$28*EXP('Model Inputs &amp; Assumptions'!$X$28*R55-'Model Inputs &amp; Assumptions'!$X$28^2/2))</f>
        <v>0.00127844199878676</v>
      </c>
      <c r="G55" s="45" t="n">
        <f aca="false">ROUND(C55*F55,0)</f>
        <v>483</v>
      </c>
      <c r="H55" s="48" t="n">
        <f aca="false">MAX(0,(C55*'Model Inputs &amp; Assumptions'!$N$28+E55*'Model Inputs &amp; Assumptions'!$O$28+G55*'Model Inputs &amp; Assumptions'!$P$28)*EXP('Model Inputs &amp; Assumptions'!$Q$28*S55-'Model Inputs &amp; Assumptions'!$Q$28^2/2))</f>
        <v>12.9370353620031</v>
      </c>
      <c r="I55" s="49" t="n">
        <f aca="false">IF('Model Inputs &amp; Assumptions'!$H$28="Fixed",'Model Inputs &amp; Assumptions'!$I$28*'Model Inputs &amp; Assumptions'!$K$28,IF('Model Inputs &amp; Assumptions'!$H$28="CPM",'Model Inputs &amp; Assumptions'!$I$28*'Model Inputs &amp; Assumptions'!$K$28*C55/1000,IF('Model Inputs &amp; Assumptions'!$H$28="CPC",'Model Inputs &amp; Assumptions'!$I$28*'Model Inputs &amp; Assumptions'!$K$28*G55,0)))</f>
        <v>2456.6685</v>
      </c>
      <c r="J55" s="50" t="n">
        <f aca="false">H55*INDEX('Model Inputs &amp; Assumptions'!$D$40:$D$42,MATCH('Model Inputs &amp; Assumptions'!$L$28,'Model Inputs &amp; Assumptions'!$A$40:$A$42,0))*INDEX('Model Inputs &amp; Assumptions'!$H$40:$H$42,MATCH('Model Inputs &amp; Assumptions'!$L$28,'Model Inputs &amp; Assumptions'!$A$40:$A$42,0))</f>
        <v>109964.800577026</v>
      </c>
      <c r="K55" s="49" t="n">
        <f aca="false">H55*INDEX('Model Inputs &amp; Assumptions'!$G$40:$G$42,MATCH('Model Inputs &amp; Assumptions'!$L$28,'Model Inputs &amp; Assumptions'!$A$40:$A$42,0))*INDEX('Model Inputs &amp; Assumptions'!$H$40:$H$42,MATCH('Model Inputs &amp; Assumptions'!$L$28,'Model Inputs &amp; Assumptions'!$A$40:$A$42,0))</f>
        <v>2474.20801298309</v>
      </c>
      <c r="L55" s="51" t="n">
        <f aca="false">IFERROR(K55/I55,0)</f>
        <v>1.00713955219562</v>
      </c>
      <c r="M55" s="49" t="n">
        <f aca="false">IFERROR(I55/H55,0)</f>
        <v>189.894240160725</v>
      </c>
      <c r="N55" s="52" t="str">
        <f aca="false">'Model Inputs &amp; Assumptions'!$L$28</f>
        <v>PRD-EUAI</v>
      </c>
      <c r="P55" s="53" t="n">
        <v>-1.001483</v>
      </c>
      <c r="Q55" s="53" t="n">
        <v>-0.36266</v>
      </c>
      <c r="R55" s="53" t="n">
        <v>-0.616468</v>
      </c>
      <c r="S55" s="53" t="n">
        <v>-0.227882</v>
      </c>
    </row>
    <row r="56" customFormat="false" ht="15" hidden="false" customHeight="false" outlineLevel="0" collapsed="false">
      <c r="A56" s="43" t="n">
        <v>53</v>
      </c>
      <c r="B56" s="44" t="str">
        <f aca="false">'Model Inputs &amp; Assumptions'!$B$28</f>
        <v>finanzen.net — Q1 Awareness Burst</v>
      </c>
      <c r="C56" s="45" t="n">
        <f aca="false">ROUND(MAX(0,'Model Inputs &amp; Assumptions'!$S$28*EXP('Model Inputs &amp; Assumptions'!$T$28*P56-'Model Inputs &amp; Assumptions'!$T$28^2/2)),0)</f>
        <v>390586</v>
      </c>
      <c r="D56" s="46" t="n">
        <f aca="false">MIN(1,'Model Inputs &amp; Assumptions'!$U$28*EXP('Model Inputs &amp; Assumptions'!$V$28*Q56-'Model Inputs &amp; Assumptions'!$V$28^2/2))</f>
        <v>0</v>
      </c>
      <c r="E56" s="45" t="n">
        <f aca="false">ROUND(C56*D56,0)</f>
        <v>0</v>
      </c>
      <c r="F56" s="47" t="n">
        <f aca="false">MIN(1,'Model Inputs &amp; Assumptions'!$W$28*EXP('Model Inputs &amp; Assumptions'!$X$28*R56-'Model Inputs &amp; Assumptions'!$X$28^2/2))</f>
        <v>0.00199025547144681</v>
      </c>
      <c r="G56" s="45" t="n">
        <f aca="false">ROUND(C56*F56,0)</f>
        <v>777</v>
      </c>
      <c r="H56" s="48" t="n">
        <f aca="false">MAX(0,(C56*'Model Inputs &amp; Assumptions'!$N$28+E56*'Model Inputs &amp; Assumptions'!$O$28+G56*'Model Inputs &amp; Assumptions'!$P$28)*EXP('Model Inputs &amp; Assumptions'!$Q$28*S56-'Model Inputs &amp; Assumptions'!$Q$28^2/2))</f>
        <v>22.470720553682</v>
      </c>
      <c r="I56" s="49" t="n">
        <f aca="false">IF('Model Inputs &amp; Assumptions'!$H$28="Fixed",'Model Inputs &amp; Assumptions'!$I$28*'Model Inputs &amp; Assumptions'!$K$28,IF('Model Inputs &amp; Assumptions'!$H$28="CPM",'Model Inputs &amp; Assumptions'!$I$28*'Model Inputs &amp; Assumptions'!$K$28*C56/1000,IF('Model Inputs &amp; Assumptions'!$H$28="CPC",'Model Inputs &amp; Assumptions'!$I$28*'Model Inputs &amp; Assumptions'!$K$28*G56,0)))</f>
        <v>2538.809</v>
      </c>
      <c r="J56" s="50" t="n">
        <f aca="false">H56*INDEX('Model Inputs &amp; Assumptions'!$D$40:$D$42,MATCH('Model Inputs &amp; Assumptions'!$L$28,'Model Inputs &amp; Assumptions'!$A$40:$A$42,0))*INDEX('Model Inputs &amp; Assumptions'!$H$40:$H$42,MATCH('Model Inputs &amp; Assumptions'!$L$28,'Model Inputs &amp; Assumptions'!$A$40:$A$42,0))</f>
        <v>191001.124706297</v>
      </c>
      <c r="K56" s="49" t="n">
        <f aca="false">H56*INDEX('Model Inputs &amp; Assumptions'!$G$40:$G$42,MATCH('Model Inputs &amp; Assumptions'!$L$28,'Model Inputs &amp; Assumptions'!$A$40:$A$42,0))*INDEX('Model Inputs &amp; Assumptions'!$H$40:$H$42,MATCH('Model Inputs &amp; Assumptions'!$L$28,'Model Inputs &amp; Assumptions'!$A$40:$A$42,0))</f>
        <v>4297.52530589168</v>
      </c>
      <c r="L56" s="51" t="n">
        <f aca="false">IFERROR(K56/I56,0)</f>
        <v>1.69273281522623</v>
      </c>
      <c r="M56" s="49" t="n">
        <f aca="false">IFERROR(I56/H56,0)</f>
        <v>112.982981294919</v>
      </c>
      <c r="N56" s="52" t="str">
        <f aca="false">'Model Inputs &amp; Assumptions'!$L$28</f>
        <v>PRD-EUAI</v>
      </c>
      <c r="P56" s="53" t="n">
        <v>-0.818763</v>
      </c>
      <c r="Q56" s="53" t="n">
        <v>1.147827</v>
      </c>
      <c r="R56" s="53" t="n">
        <v>1.395445</v>
      </c>
      <c r="S56" s="53" t="n">
        <v>0.027769</v>
      </c>
    </row>
    <row r="57" customFormat="false" ht="15" hidden="false" customHeight="false" outlineLevel="0" collapsed="false">
      <c r="A57" s="43" t="n">
        <v>54</v>
      </c>
      <c r="B57" s="44" t="str">
        <f aca="false">'Model Inputs &amp; Assumptions'!$B$28</f>
        <v>finanzen.net — Q1 Awareness Burst</v>
      </c>
      <c r="C57" s="45" t="n">
        <f aca="false">ROUND(MAX(0,'Model Inputs &amp; Assumptions'!$S$28*EXP('Model Inputs &amp; Assumptions'!$T$28*P57-'Model Inputs &amp; Assumptions'!$T$28^2/2)),0)</f>
        <v>387217</v>
      </c>
      <c r="D57" s="46" t="n">
        <f aca="false">MIN(1,'Model Inputs &amp; Assumptions'!$U$28*EXP('Model Inputs &amp; Assumptions'!$V$28*Q57-'Model Inputs &amp; Assumptions'!$V$28^2/2))</f>
        <v>0</v>
      </c>
      <c r="E57" s="45" t="n">
        <f aca="false">ROUND(C57*D57,0)</f>
        <v>0</v>
      </c>
      <c r="F57" s="47" t="n">
        <f aca="false">MIN(1,'Model Inputs &amp; Assumptions'!$W$28*EXP('Model Inputs &amp; Assumptions'!$X$28*R57-'Model Inputs &amp; Assumptions'!$X$28^2/2))</f>
        <v>0.00117934154274686</v>
      </c>
      <c r="G57" s="45" t="n">
        <f aca="false">ROUND(C57*F57,0)</f>
        <v>457</v>
      </c>
      <c r="H57" s="48" t="n">
        <f aca="false">MAX(0,(C57*'Model Inputs &amp; Assumptions'!$N$28+E57*'Model Inputs &amp; Assumptions'!$O$28+G57*'Model Inputs &amp; Assumptions'!$P$28)*EXP('Model Inputs &amp; Assumptions'!$Q$28*S57-'Model Inputs &amp; Assumptions'!$Q$28^2/2))</f>
        <v>16.8104949971315</v>
      </c>
      <c r="I57" s="49" t="n">
        <f aca="false">IF('Model Inputs &amp; Assumptions'!$H$28="Fixed",'Model Inputs &amp; Assumptions'!$I$28*'Model Inputs &amp; Assumptions'!$K$28,IF('Model Inputs &amp; Assumptions'!$H$28="CPM",'Model Inputs &amp; Assumptions'!$I$28*'Model Inputs &amp; Assumptions'!$K$28*C57/1000,IF('Model Inputs &amp; Assumptions'!$H$28="CPC",'Model Inputs &amp; Assumptions'!$I$28*'Model Inputs &amp; Assumptions'!$K$28*G57,0)))</f>
        <v>2516.9105</v>
      </c>
      <c r="J57" s="50" t="n">
        <f aca="false">H57*INDEX('Model Inputs &amp; Assumptions'!$D$40:$D$42,MATCH('Model Inputs &amp; Assumptions'!$L$28,'Model Inputs &amp; Assumptions'!$A$40:$A$42,0))*INDEX('Model Inputs &amp; Assumptions'!$H$40:$H$42,MATCH('Model Inputs &amp; Assumptions'!$L$28,'Model Inputs &amp; Assumptions'!$A$40:$A$42,0))</f>
        <v>142889.207475618</v>
      </c>
      <c r="K57" s="49" t="n">
        <f aca="false">H57*INDEX('Model Inputs &amp; Assumptions'!$G$40:$G$42,MATCH('Model Inputs &amp; Assumptions'!$L$28,'Model Inputs &amp; Assumptions'!$A$40:$A$42,0))*INDEX('Model Inputs &amp; Assumptions'!$H$40:$H$42,MATCH('Model Inputs &amp; Assumptions'!$L$28,'Model Inputs &amp; Assumptions'!$A$40:$A$42,0))</f>
        <v>3215.0071682014</v>
      </c>
      <c r="L57" s="51" t="n">
        <f aca="false">IFERROR(K57/I57,0)</f>
        <v>1.27736253164402</v>
      </c>
      <c r="M57" s="49" t="n">
        <f aca="false">IFERROR(I57/H57,0)</f>
        <v>149.722569170597</v>
      </c>
      <c r="N57" s="52" t="str">
        <f aca="false">'Model Inputs &amp; Assumptions'!$L$28</f>
        <v>PRD-EUAI</v>
      </c>
      <c r="P57" s="53" t="n">
        <v>-0.866896</v>
      </c>
      <c r="Q57" s="53" t="n">
        <v>0.461309</v>
      </c>
      <c r="R57" s="53" t="n">
        <v>-0.983222</v>
      </c>
      <c r="S57" s="53" t="n">
        <v>0.829593</v>
      </c>
    </row>
    <row r="58" customFormat="false" ht="15" hidden="false" customHeight="false" outlineLevel="0" collapsed="false">
      <c r="A58" s="43" t="n">
        <v>55</v>
      </c>
      <c r="B58" s="44" t="str">
        <f aca="false">'Model Inputs &amp; Assumptions'!$B$28</f>
        <v>finanzen.net — Q1 Awareness Burst</v>
      </c>
      <c r="C58" s="45" t="n">
        <f aca="false">ROUND(MAX(0,'Model Inputs &amp; Assumptions'!$S$28*EXP('Model Inputs &amp; Assumptions'!$T$28*P58-'Model Inputs &amp; Assumptions'!$T$28^2/2)),0)</f>
        <v>490655</v>
      </c>
      <c r="D58" s="46" t="n">
        <f aca="false">MIN(1,'Model Inputs &amp; Assumptions'!$U$28*EXP('Model Inputs &amp; Assumptions'!$V$28*Q58-'Model Inputs &amp; Assumptions'!$V$28^2/2))</f>
        <v>0</v>
      </c>
      <c r="E58" s="45" t="n">
        <f aca="false">ROUND(C58*D58,0)</f>
        <v>0</v>
      </c>
      <c r="F58" s="47" t="n">
        <f aca="false">MIN(1,'Model Inputs &amp; Assumptions'!$W$28*EXP('Model Inputs &amp; Assumptions'!$X$28*R58-'Model Inputs &amp; Assumptions'!$X$28^2/2))</f>
        <v>0.00149532032500414</v>
      </c>
      <c r="G58" s="45" t="n">
        <f aca="false">ROUND(C58*F58,0)</f>
        <v>734</v>
      </c>
      <c r="H58" s="48" t="n">
        <f aca="false">MAX(0,(C58*'Model Inputs &amp; Assumptions'!$N$28+E58*'Model Inputs &amp; Assumptions'!$O$28+G58*'Model Inputs &amp; Assumptions'!$P$28)*EXP('Model Inputs &amp; Assumptions'!$Q$28*S58-'Model Inputs &amp; Assumptions'!$Q$28^2/2))</f>
        <v>26.3500515487442</v>
      </c>
      <c r="I58" s="49" t="n">
        <f aca="false">IF('Model Inputs &amp; Assumptions'!$H$28="Fixed",'Model Inputs &amp; Assumptions'!$I$28*'Model Inputs &amp; Assumptions'!$K$28,IF('Model Inputs &amp; Assumptions'!$H$28="CPM",'Model Inputs &amp; Assumptions'!$I$28*'Model Inputs &amp; Assumptions'!$K$28*C58/1000,IF('Model Inputs &amp; Assumptions'!$H$28="CPC",'Model Inputs &amp; Assumptions'!$I$28*'Model Inputs &amp; Assumptions'!$K$28*G58,0)))</f>
        <v>3189.2575</v>
      </c>
      <c r="J58" s="50" t="n">
        <f aca="false">H58*INDEX('Model Inputs &amp; Assumptions'!$D$40:$D$42,MATCH('Model Inputs &amp; Assumptions'!$L$28,'Model Inputs &amp; Assumptions'!$A$40:$A$42,0))*INDEX('Model Inputs &amp; Assumptions'!$H$40:$H$42,MATCH('Model Inputs &amp; Assumptions'!$L$28,'Model Inputs &amp; Assumptions'!$A$40:$A$42,0))</f>
        <v>223975.438164325</v>
      </c>
      <c r="K58" s="49" t="n">
        <f aca="false">H58*INDEX('Model Inputs &amp; Assumptions'!$G$40:$G$42,MATCH('Model Inputs &amp; Assumptions'!$L$28,'Model Inputs &amp; Assumptions'!$A$40:$A$42,0))*INDEX('Model Inputs &amp; Assumptions'!$H$40:$H$42,MATCH('Model Inputs &amp; Assumptions'!$L$28,'Model Inputs &amp; Assumptions'!$A$40:$A$42,0))</f>
        <v>5039.44735869732</v>
      </c>
      <c r="L58" s="51" t="n">
        <f aca="false">IFERROR(K58/I58,0)</f>
        <v>1.58013185159785</v>
      </c>
      <c r="M58" s="49" t="n">
        <f aca="false">IFERROR(I58/H58,0)</f>
        <v>121.034203447393</v>
      </c>
      <c r="N58" s="52" t="str">
        <f aca="false">'Model Inputs &amp; Assumptions'!$L$28</f>
        <v>PRD-EUAI</v>
      </c>
      <c r="P58" s="53" t="n">
        <v>0.448411</v>
      </c>
      <c r="Q58" s="53" t="n">
        <v>0.79411</v>
      </c>
      <c r="R58" s="53" t="n">
        <v>0.095797</v>
      </c>
      <c r="S58" s="53" t="n">
        <v>0.748397</v>
      </c>
    </row>
    <row r="59" customFormat="false" ht="15" hidden="false" customHeight="false" outlineLevel="0" collapsed="false">
      <c r="A59" s="43" t="n">
        <v>56</v>
      </c>
      <c r="B59" s="44" t="str">
        <f aca="false">'Model Inputs &amp; Assumptions'!$B$28</f>
        <v>finanzen.net — Q1 Awareness Burst</v>
      </c>
      <c r="C59" s="45" t="n">
        <f aca="false">ROUND(MAX(0,'Model Inputs &amp; Assumptions'!$S$28*EXP('Model Inputs &amp; Assumptions'!$T$28*P59-'Model Inputs &amp; Assumptions'!$T$28^2/2)),0)</f>
        <v>471465</v>
      </c>
      <c r="D59" s="46" t="n">
        <f aca="false">MIN(1,'Model Inputs &amp; Assumptions'!$U$28*EXP('Model Inputs &amp; Assumptions'!$V$28*Q59-'Model Inputs &amp; Assumptions'!$V$28^2/2))</f>
        <v>0</v>
      </c>
      <c r="E59" s="45" t="n">
        <f aca="false">ROUND(C59*D59,0)</f>
        <v>0</v>
      </c>
      <c r="F59" s="47" t="n">
        <f aca="false">MIN(1,'Model Inputs &amp; Assumptions'!$W$28*EXP('Model Inputs &amp; Assumptions'!$X$28*R59-'Model Inputs &amp; Assumptions'!$X$28^2/2))</f>
        <v>0.00143896745048015</v>
      </c>
      <c r="G59" s="45" t="n">
        <f aca="false">ROUND(C59*F59,0)</f>
        <v>678</v>
      </c>
      <c r="H59" s="48" t="n">
        <f aca="false">MAX(0,(C59*'Model Inputs &amp; Assumptions'!$N$28+E59*'Model Inputs &amp; Assumptions'!$O$28+G59*'Model Inputs &amp; Assumptions'!$P$28)*EXP('Model Inputs &amp; Assumptions'!$Q$28*S59-'Model Inputs &amp; Assumptions'!$Q$28^2/2))</f>
        <v>28.8848169097491</v>
      </c>
      <c r="I59" s="49" t="n">
        <f aca="false">IF('Model Inputs &amp; Assumptions'!$H$28="Fixed",'Model Inputs &amp; Assumptions'!$I$28*'Model Inputs &amp; Assumptions'!$K$28,IF('Model Inputs &amp; Assumptions'!$H$28="CPM",'Model Inputs &amp; Assumptions'!$I$28*'Model Inputs &amp; Assumptions'!$K$28*C59/1000,IF('Model Inputs &amp; Assumptions'!$H$28="CPC",'Model Inputs &amp; Assumptions'!$I$28*'Model Inputs &amp; Assumptions'!$K$28*G59,0)))</f>
        <v>3064.5225</v>
      </c>
      <c r="J59" s="50" t="n">
        <f aca="false">H59*INDEX('Model Inputs &amp; Assumptions'!$D$40:$D$42,MATCH('Model Inputs &amp; Assumptions'!$L$28,'Model Inputs &amp; Assumptions'!$A$40:$A$42,0))*INDEX('Model Inputs &amp; Assumptions'!$H$40:$H$42,MATCH('Model Inputs &amp; Assumptions'!$L$28,'Model Inputs &amp; Assumptions'!$A$40:$A$42,0))</f>
        <v>245520.943732867</v>
      </c>
      <c r="K59" s="49" t="n">
        <f aca="false">H59*INDEX('Model Inputs &amp; Assumptions'!$G$40:$G$42,MATCH('Model Inputs &amp; Assumptions'!$L$28,'Model Inputs &amp; Assumptions'!$A$40:$A$42,0))*INDEX('Model Inputs &amp; Assumptions'!$H$40:$H$42,MATCH('Model Inputs &amp; Assumptions'!$L$28,'Model Inputs &amp; Assumptions'!$A$40:$A$42,0))</f>
        <v>5524.22123398952</v>
      </c>
      <c r="L59" s="51" t="n">
        <f aca="false">IFERROR(K59/I59,0)</f>
        <v>1.80263686560941</v>
      </c>
      <c r="M59" s="49" t="n">
        <f aca="false">IFERROR(I59/H59,0)</f>
        <v>106.094579362408</v>
      </c>
      <c r="N59" s="52" t="str">
        <f aca="false">'Model Inputs &amp; Assumptions'!$L$28</f>
        <v>PRD-EUAI</v>
      </c>
      <c r="P59" s="53" t="n">
        <v>0.226769</v>
      </c>
      <c r="Q59" s="53" t="n">
        <v>-1.265505</v>
      </c>
      <c r="R59" s="53" t="n">
        <v>-0.078815</v>
      </c>
      <c r="S59" s="53" t="n">
        <v>1.319089</v>
      </c>
    </row>
    <row r="60" customFormat="false" ht="15" hidden="false" customHeight="false" outlineLevel="0" collapsed="false">
      <c r="A60" s="43" t="n">
        <v>57</v>
      </c>
      <c r="B60" s="44" t="str">
        <f aca="false">'Model Inputs &amp; Assumptions'!$B$28</f>
        <v>finanzen.net — Q1 Awareness Burst</v>
      </c>
      <c r="C60" s="45" t="n">
        <f aca="false">ROUND(MAX(0,'Model Inputs &amp; Assumptions'!$S$28*EXP('Model Inputs &amp; Assumptions'!$T$28*P60-'Model Inputs &amp; Assumptions'!$T$28^2/2)),0)</f>
        <v>363894</v>
      </c>
      <c r="D60" s="46" t="n">
        <f aca="false">MIN(1,'Model Inputs &amp; Assumptions'!$U$28*EXP('Model Inputs &amp; Assumptions'!$V$28*Q60-'Model Inputs &amp; Assumptions'!$V$28^2/2))</f>
        <v>0</v>
      </c>
      <c r="E60" s="45" t="n">
        <f aca="false">ROUND(C60*D60,0)</f>
        <v>0</v>
      </c>
      <c r="F60" s="47" t="n">
        <f aca="false">MIN(1,'Model Inputs &amp; Assumptions'!$W$28*EXP('Model Inputs &amp; Assumptions'!$X$28*R60-'Model Inputs &amp; Assumptions'!$X$28^2/2))</f>
        <v>0.00203238030079573</v>
      </c>
      <c r="G60" s="45" t="n">
        <f aca="false">ROUND(C60*F60,0)</f>
        <v>740</v>
      </c>
      <c r="H60" s="48" t="n">
        <f aca="false">MAX(0,(C60*'Model Inputs &amp; Assumptions'!$N$28+E60*'Model Inputs &amp; Assumptions'!$O$28+G60*'Model Inputs &amp; Assumptions'!$P$28)*EXP('Model Inputs &amp; Assumptions'!$Q$28*S60-'Model Inputs &amp; Assumptions'!$Q$28^2/2))</f>
        <v>26.8475451609694</v>
      </c>
      <c r="I60" s="49" t="n">
        <f aca="false">IF('Model Inputs &amp; Assumptions'!$H$28="Fixed",'Model Inputs &amp; Assumptions'!$I$28*'Model Inputs &amp; Assumptions'!$K$28,IF('Model Inputs &amp; Assumptions'!$H$28="CPM",'Model Inputs &amp; Assumptions'!$I$28*'Model Inputs &amp; Assumptions'!$K$28*C60/1000,IF('Model Inputs &amp; Assumptions'!$H$28="CPC",'Model Inputs &amp; Assumptions'!$I$28*'Model Inputs &amp; Assumptions'!$K$28*G60,0)))</f>
        <v>2365.311</v>
      </c>
      <c r="J60" s="50" t="n">
        <f aca="false">H60*INDEX('Model Inputs &amp; Assumptions'!$D$40:$D$42,MATCH('Model Inputs &amp; Assumptions'!$L$28,'Model Inputs &amp; Assumptions'!$A$40:$A$42,0))*INDEX('Model Inputs &amp; Assumptions'!$H$40:$H$42,MATCH('Model Inputs &amp; Assumptions'!$L$28,'Model Inputs &amp; Assumptions'!$A$40:$A$42,0))</f>
        <v>228204.13386824</v>
      </c>
      <c r="K60" s="49" t="n">
        <f aca="false">H60*INDEX('Model Inputs &amp; Assumptions'!$G$40:$G$42,MATCH('Model Inputs &amp; Assumptions'!$L$28,'Model Inputs &amp; Assumptions'!$A$40:$A$42,0))*INDEX('Model Inputs &amp; Assumptions'!$H$40:$H$42,MATCH('Model Inputs &amp; Assumptions'!$L$28,'Model Inputs &amp; Assumptions'!$A$40:$A$42,0))</f>
        <v>5134.59301203541</v>
      </c>
      <c r="L60" s="51" t="n">
        <f aca="false">IFERROR(K60/I60,0)</f>
        <v>2.1707898082051</v>
      </c>
      <c r="M60" s="49" t="n">
        <f aca="false">IFERROR(I60/H60,0)</f>
        <v>88.1015744947383</v>
      </c>
      <c r="N60" s="52" t="str">
        <f aca="false">'Model Inputs &amp; Assumptions'!$L$28</f>
        <v>PRD-EUAI</v>
      </c>
      <c r="P60" s="53" t="n">
        <v>-1.212024</v>
      </c>
      <c r="Q60" s="53" t="n">
        <v>-1.023701</v>
      </c>
      <c r="R60" s="53" t="n">
        <v>1.490648</v>
      </c>
      <c r="S60" s="53" t="n">
        <v>0.783607</v>
      </c>
    </row>
    <row r="61" customFormat="false" ht="15" hidden="false" customHeight="false" outlineLevel="0" collapsed="false">
      <c r="A61" s="43" t="n">
        <v>58</v>
      </c>
      <c r="B61" s="44" t="str">
        <f aca="false">'Model Inputs &amp; Assumptions'!$B$28</f>
        <v>finanzen.net — Q1 Awareness Burst</v>
      </c>
      <c r="C61" s="45" t="n">
        <f aca="false">ROUND(MAX(0,'Model Inputs &amp; Assumptions'!$S$28*EXP('Model Inputs &amp; Assumptions'!$T$28*P61-'Model Inputs &amp; Assumptions'!$T$28^2/2)),0)</f>
        <v>378716</v>
      </c>
      <c r="D61" s="46" t="n">
        <f aca="false">MIN(1,'Model Inputs &amp; Assumptions'!$U$28*EXP('Model Inputs &amp; Assumptions'!$V$28*Q61-'Model Inputs &amp; Assumptions'!$V$28^2/2))</f>
        <v>0</v>
      </c>
      <c r="E61" s="45" t="n">
        <f aca="false">ROUND(C61*D61,0)</f>
        <v>0</v>
      </c>
      <c r="F61" s="47" t="n">
        <f aca="false">MIN(1,'Model Inputs &amp; Assumptions'!$W$28*EXP('Model Inputs &amp; Assumptions'!$X$28*R61-'Model Inputs &amp; Assumptions'!$X$28^2/2))</f>
        <v>0.00146688523953469</v>
      </c>
      <c r="G61" s="45" t="n">
        <f aca="false">ROUND(C61*F61,0)</f>
        <v>556</v>
      </c>
      <c r="H61" s="48" t="n">
        <f aca="false">MAX(0,(C61*'Model Inputs &amp; Assumptions'!$N$28+E61*'Model Inputs &amp; Assumptions'!$O$28+G61*'Model Inputs &amp; Assumptions'!$P$28)*EXP('Model Inputs &amp; Assumptions'!$Q$28*S61-'Model Inputs &amp; Assumptions'!$Q$28^2/2))</f>
        <v>12.9443033670926</v>
      </c>
      <c r="I61" s="49" t="n">
        <f aca="false">IF('Model Inputs &amp; Assumptions'!$H$28="Fixed",'Model Inputs &amp; Assumptions'!$I$28*'Model Inputs &amp; Assumptions'!$K$28,IF('Model Inputs &amp; Assumptions'!$H$28="CPM",'Model Inputs &amp; Assumptions'!$I$28*'Model Inputs &amp; Assumptions'!$K$28*C61/1000,IF('Model Inputs &amp; Assumptions'!$H$28="CPC",'Model Inputs &amp; Assumptions'!$I$28*'Model Inputs &amp; Assumptions'!$K$28*G61,0)))</f>
        <v>2461.654</v>
      </c>
      <c r="J61" s="50" t="n">
        <f aca="false">H61*INDEX('Model Inputs &amp; Assumptions'!$D$40:$D$42,MATCH('Model Inputs &amp; Assumptions'!$L$28,'Model Inputs &amp; Assumptions'!$A$40:$A$42,0))*INDEX('Model Inputs &amp; Assumptions'!$H$40:$H$42,MATCH('Model Inputs &amp; Assumptions'!$L$28,'Model Inputs &amp; Assumptions'!$A$40:$A$42,0))</f>
        <v>110026.578620287</v>
      </c>
      <c r="K61" s="49" t="n">
        <f aca="false">H61*INDEX('Model Inputs &amp; Assumptions'!$G$40:$G$42,MATCH('Model Inputs &amp; Assumptions'!$L$28,'Model Inputs &amp; Assumptions'!$A$40:$A$42,0))*INDEX('Model Inputs &amp; Assumptions'!$H$40:$H$42,MATCH('Model Inputs &amp; Assumptions'!$L$28,'Model Inputs &amp; Assumptions'!$A$40:$A$42,0))</f>
        <v>2475.59801895645</v>
      </c>
      <c r="L61" s="51" t="n">
        <f aca="false">IFERROR(K61/I61,0)</f>
        <v>1.00566449182397</v>
      </c>
      <c r="M61" s="49" t="n">
        <f aca="false">IFERROR(I61/H61,0)</f>
        <v>190.172767911025</v>
      </c>
      <c r="N61" s="52" t="str">
        <f aca="false">'Model Inputs &amp; Assumptions'!$L$28</f>
        <v>PRD-EUAI</v>
      </c>
      <c r="P61" s="53" t="n">
        <v>-0.990221</v>
      </c>
      <c r="Q61" s="53" t="n">
        <v>-0.162098</v>
      </c>
      <c r="R61" s="53" t="n">
        <v>0.008528</v>
      </c>
      <c r="S61" s="53" t="n">
        <v>-0.695182</v>
      </c>
    </row>
    <row r="62" customFormat="false" ht="15" hidden="false" customHeight="false" outlineLevel="0" collapsed="false">
      <c r="A62" s="43" t="n">
        <v>59</v>
      </c>
      <c r="B62" s="44" t="str">
        <f aca="false">'Model Inputs &amp; Assumptions'!$B$28</f>
        <v>finanzen.net — Q1 Awareness Burst</v>
      </c>
      <c r="C62" s="45" t="n">
        <f aca="false">ROUND(MAX(0,'Model Inputs &amp; Assumptions'!$S$28*EXP('Model Inputs &amp; Assumptions'!$T$28*P62-'Model Inputs &amp; Assumptions'!$T$28^2/2)),0)</f>
        <v>308173</v>
      </c>
      <c r="D62" s="46" t="n">
        <f aca="false">MIN(1,'Model Inputs &amp; Assumptions'!$U$28*EXP('Model Inputs &amp; Assumptions'!$V$28*Q62-'Model Inputs &amp; Assumptions'!$V$28^2/2))</f>
        <v>0</v>
      </c>
      <c r="E62" s="45" t="n">
        <f aca="false">ROUND(C62*D62,0)</f>
        <v>0</v>
      </c>
      <c r="F62" s="47" t="n">
        <f aca="false">MIN(1,'Model Inputs &amp; Assumptions'!$W$28*EXP('Model Inputs &amp; Assumptions'!$X$28*R62-'Model Inputs &amp; Assumptions'!$X$28^2/2))</f>
        <v>0.00128249852518404</v>
      </c>
      <c r="G62" s="45" t="n">
        <f aca="false">ROUND(C62*F62,0)</f>
        <v>395</v>
      </c>
      <c r="H62" s="48" t="n">
        <f aca="false">MAX(0,(C62*'Model Inputs &amp; Assumptions'!$N$28+E62*'Model Inputs &amp; Assumptions'!$O$28+G62*'Model Inputs &amp; Assumptions'!$P$28)*EXP('Model Inputs &amp; Assumptions'!$Q$28*S62-'Model Inputs &amp; Assumptions'!$Q$28^2/2))</f>
        <v>7.94763156224212</v>
      </c>
      <c r="I62" s="49" t="n">
        <f aca="false">IF('Model Inputs &amp; Assumptions'!$H$28="Fixed",'Model Inputs &amp; Assumptions'!$I$28*'Model Inputs &amp; Assumptions'!$K$28,IF('Model Inputs &amp; Assumptions'!$H$28="CPM",'Model Inputs &amp; Assumptions'!$I$28*'Model Inputs &amp; Assumptions'!$K$28*C62/1000,IF('Model Inputs &amp; Assumptions'!$H$28="CPC",'Model Inputs &amp; Assumptions'!$I$28*'Model Inputs &amp; Assumptions'!$K$28*G62,0)))</f>
        <v>2003.1245</v>
      </c>
      <c r="J62" s="50" t="n">
        <f aca="false">H62*INDEX('Model Inputs &amp; Assumptions'!$D$40:$D$42,MATCH('Model Inputs &amp; Assumptions'!$L$28,'Model Inputs &amp; Assumptions'!$A$40:$A$42,0))*INDEX('Model Inputs &amp; Assumptions'!$H$40:$H$42,MATCH('Model Inputs &amp; Assumptions'!$L$28,'Model Inputs &amp; Assumptions'!$A$40:$A$42,0))</f>
        <v>67554.868279058</v>
      </c>
      <c r="K62" s="49" t="n">
        <f aca="false">H62*INDEX('Model Inputs &amp; Assumptions'!$G$40:$G$42,MATCH('Model Inputs &amp; Assumptions'!$L$28,'Model Inputs &amp; Assumptions'!$A$40:$A$42,0))*INDEX('Model Inputs &amp; Assumptions'!$H$40:$H$42,MATCH('Model Inputs &amp; Assumptions'!$L$28,'Model Inputs &amp; Assumptions'!$A$40:$A$42,0))</f>
        <v>1519.9845362788</v>
      </c>
      <c r="L62" s="51" t="n">
        <f aca="false">IFERROR(K62/I62,0)</f>
        <v>0.75880682218145</v>
      </c>
      <c r="M62" s="49" t="n">
        <f aca="false">IFERROR(I62/H62,0)</f>
        <v>252.04043296578</v>
      </c>
      <c r="N62" s="52" t="str">
        <f aca="false">'Model Inputs &amp; Assumptions'!$L$28</f>
        <v>PRD-EUAI</v>
      </c>
      <c r="P62" s="53" t="n">
        <v>-2.135368</v>
      </c>
      <c r="Q62" s="53" t="n">
        <v>0.832601</v>
      </c>
      <c r="R62" s="53" t="n">
        <v>-0.602068</v>
      </c>
      <c r="S62" s="53" t="n">
        <v>-1.181513</v>
      </c>
    </row>
    <row r="63" customFormat="false" ht="15" hidden="false" customHeight="false" outlineLevel="0" collapsed="false">
      <c r="A63" s="43" t="n">
        <v>60</v>
      </c>
      <c r="B63" s="44" t="str">
        <f aca="false">'Model Inputs &amp; Assumptions'!$B$28</f>
        <v>finanzen.net — Q1 Awareness Burst</v>
      </c>
      <c r="C63" s="45" t="n">
        <f aca="false">ROUND(MAX(0,'Model Inputs &amp; Assumptions'!$S$28*EXP('Model Inputs &amp; Assumptions'!$T$28*P63-'Model Inputs &amp; Assumptions'!$T$28^2/2)),0)</f>
        <v>462068</v>
      </c>
      <c r="D63" s="46" t="n">
        <f aca="false">MIN(1,'Model Inputs &amp; Assumptions'!$U$28*EXP('Model Inputs &amp; Assumptions'!$V$28*Q63-'Model Inputs &amp; Assumptions'!$V$28^2/2))</f>
        <v>0</v>
      </c>
      <c r="E63" s="45" t="n">
        <f aca="false">ROUND(C63*D63,0)</f>
        <v>0</v>
      </c>
      <c r="F63" s="47" t="n">
        <f aca="false">MIN(1,'Model Inputs &amp; Assumptions'!$W$28*EXP('Model Inputs &amp; Assumptions'!$X$28*R63-'Model Inputs &amp; Assumptions'!$X$28^2/2))</f>
        <v>0.00137255080225251</v>
      </c>
      <c r="G63" s="45" t="n">
        <f aca="false">ROUND(C63*F63,0)</f>
        <v>634</v>
      </c>
      <c r="H63" s="48" t="n">
        <f aca="false">MAX(0,(C63*'Model Inputs &amp; Assumptions'!$N$28+E63*'Model Inputs &amp; Assumptions'!$O$28+G63*'Model Inputs &amp; Assumptions'!$P$28)*EXP('Model Inputs &amp; Assumptions'!$Q$28*S63-'Model Inputs &amp; Assumptions'!$Q$28^2/2))</f>
        <v>28.8372212470382</v>
      </c>
      <c r="I63" s="49" t="n">
        <f aca="false">IF('Model Inputs &amp; Assumptions'!$H$28="Fixed",'Model Inputs &amp; Assumptions'!$I$28*'Model Inputs &amp; Assumptions'!$K$28,IF('Model Inputs &amp; Assumptions'!$H$28="CPM",'Model Inputs &amp; Assumptions'!$I$28*'Model Inputs &amp; Assumptions'!$K$28*C63/1000,IF('Model Inputs &amp; Assumptions'!$H$28="CPC",'Model Inputs &amp; Assumptions'!$I$28*'Model Inputs &amp; Assumptions'!$K$28*G63,0)))</f>
        <v>3003.442</v>
      </c>
      <c r="J63" s="50" t="n">
        <f aca="false">H63*INDEX('Model Inputs &amp; Assumptions'!$D$40:$D$42,MATCH('Model Inputs &amp; Assumptions'!$L$28,'Model Inputs &amp; Assumptions'!$A$40:$A$42,0))*INDEX('Model Inputs &amp; Assumptions'!$H$40:$H$42,MATCH('Model Inputs &amp; Assumptions'!$L$28,'Model Inputs &amp; Assumptions'!$A$40:$A$42,0))</f>
        <v>245116.380599825</v>
      </c>
      <c r="K63" s="49" t="n">
        <f aca="false">H63*INDEX('Model Inputs &amp; Assumptions'!$G$40:$G$42,MATCH('Model Inputs &amp; Assumptions'!$L$28,'Model Inputs &amp; Assumptions'!$A$40:$A$42,0))*INDEX('Model Inputs &amp; Assumptions'!$H$40:$H$42,MATCH('Model Inputs &amp; Assumptions'!$L$28,'Model Inputs &amp; Assumptions'!$A$40:$A$42,0))</f>
        <v>5515.11856349606</v>
      </c>
      <c r="L63" s="51" t="n">
        <f aca="false">IFERROR(K63/I63,0)</f>
        <v>1.8362660452561</v>
      </c>
      <c r="M63" s="49" t="n">
        <f aca="false">IFERROR(I63/H63,0)</f>
        <v>104.151574601123</v>
      </c>
      <c r="N63" s="52" t="str">
        <f aca="false">'Model Inputs &amp; Assumptions'!$L$28</f>
        <v>PRD-EUAI</v>
      </c>
      <c r="P63" s="53" t="n">
        <v>0.114917</v>
      </c>
      <c r="Q63" s="53" t="n">
        <v>-0.686215</v>
      </c>
      <c r="R63" s="53" t="n">
        <v>-0.29361</v>
      </c>
      <c r="S63" s="53" t="n">
        <v>1.537253</v>
      </c>
    </row>
    <row r="64" customFormat="false" ht="15" hidden="false" customHeight="false" outlineLevel="0" collapsed="false">
      <c r="A64" s="43" t="n">
        <v>61</v>
      </c>
      <c r="B64" s="44" t="str">
        <f aca="false">'Model Inputs &amp; Assumptions'!$B$28</f>
        <v>finanzen.net — Q1 Awareness Burst</v>
      </c>
      <c r="C64" s="45" t="n">
        <f aca="false">ROUND(MAX(0,'Model Inputs &amp; Assumptions'!$S$28*EXP('Model Inputs &amp; Assumptions'!$T$28*P64-'Model Inputs &amp; Assumptions'!$T$28^2/2)),0)</f>
        <v>596267</v>
      </c>
      <c r="D64" s="46" t="n">
        <f aca="false">MIN(1,'Model Inputs &amp; Assumptions'!$U$28*EXP('Model Inputs &amp; Assumptions'!$V$28*Q64-'Model Inputs &amp; Assumptions'!$V$28^2/2))</f>
        <v>0</v>
      </c>
      <c r="E64" s="45" t="n">
        <f aca="false">ROUND(C64*D64,0)</f>
        <v>0</v>
      </c>
      <c r="F64" s="47" t="n">
        <f aca="false">MIN(1,'Model Inputs &amp; Assumptions'!$W$28*EXP('Model Inputs &amp; Assumptions'!$X$28*R64-'Model Inputs &amp; Assumptions'!$X$28^2/2))</f>
        <v>0.00163139482230976</v>
      </c>
      <c r="G64" s="45" t="n">
        <f aca="false">ROUND(C64*F64,0)</f>
        <v>973</v>
      </c>
      <c r="H64" s="48" t="n">
        <f aca="false">MAX(0,(C64*'Model Inputs &amp; Assumptions'!$N$28+E64*'Model Inputs &amp; Assumptions'!$O$28+G64*'Model Inputs &amp; Assumptions'!$P$28)*EXP('Model Inputs &amp; Assumptions'!$Q$28*S64-'Model Inputs &amp; Assumptions'!$Q$28^2/2))</f>
        <v>35.9308725253937</v>
      </c>
      <c r="I64" s="49" t="n">
        <f aca="false">IF('Model Inputs &amp; Assumptions'!$H$28="Fixed",'Model Inputs &amp; Assumptions'!$I$28*'Model Inputs &amp; Assumptions'!$K$28,IF('Model Inputs &amp; Assumptions'!$H$28="CPM",'Model Inputs &amp; Assumptions'!$I$28*'Model Inputs &amp; Assumptions'!$K$28*C64/1000,IF('Model Inputs &amp; Assumptions'!$H$28="CPC",'Model Inputs &amp; Assumptions'!$I$28*'Model Inputs &amp; Assumptions'!$K$28*G64,0)))</f>
        <v>3875.7355</v>
      </c>
      <c r="J64" s="50" t="n">
        <f aca="false">H64*INDEX('Model Inputs &amp; Assumptions'!$D$40:$D$42,MATCH('Model Inputs &amp; Assumptions'!$L$28,'Model Inputs &amp; Assumptions'!$A$40:$A$42,0))*INDEX('Model Inputs &amp; Assumptions'!$H$40:$H$42,MATCH('Model Inputs &amp; Assumptions'!$L$28,'Model Inputs &amp; Assumptions'!$A$40:$A$42,0))</f>
        <v>305412.416465846</v>
      </c>
      <c r="K64" s="49" t="n">
        <f aca="false">H64*INDEX('Model Inputs &amp; Assumptions'!$G$40:$G$42,MATCH('Model Inputs &amp; Assumptions'!$L$28,'Model Inputs &amp; Assumptions'!$A$40:$A$42,0))*INDEX('Model Inputs &amp; Assumptions'!$H$40:$H$42,MATCH('Model Inputs &amp; Assumptions'!$L$28,'Model Inputs &amp; Assumptions'!$A$40:$A$42,0))</f>
        <v>6871.77937048154</v>
      </c>
      <c r="L64" s="51" t="n">
        <f aca="false">IFERROR(K64/I64,0)</f>
        <v>1.77302588643666</v>
      </c>
      <c r="M64" s="49" t="n">
        <f aca="false">IFERROR(I64/H64,0)</f>
        <v>107.866445415732</v>
      </c>
      <c r="N64" s="52" t="str">
        <f aca="false">'Model Inputs &amp; Assumptions'!$L$28</f>
        <v>PRD-EUAI</v>
      </c>
      <c r="P64" s="53" t="n">
        <v>1.531456</v>
      </c>
      <c r="Q64" s="53" t="n">
        <v>0.964163</v>
      </c>
      <c r="R64" s="53" t="n">
        <v>0.491683</v>
      </c>
      <c r="S64" s="53" t="n">
        <v>0.842569</v>
      </c>
    </row>
    <row r="65" customFormat="false" ht="15" hidden="false" customHeight="false" outlineLevel="0" collapsed="false">
      <c r="A65" s="43" t="n">
        <v>62</v>
      </c>
      <c r="B65" s="44" t="str">
        <f aca="false">'Model Inputs &amp; Assumptions'!$B$28</f>
        <v>finanzen.net — Q1 Awareness Burst</v>
      </c>
      <c r="C65" s="45" t="n">
        <f aca="false">ROUND(MAX(0,'Model Inputs &amp; Assumptions'!$S$28*EXP('Model Inputs &amp; Assumptions'!$T$28*P65-'Model Inputs &amp; Assumptions'!$T$28^2/2)),0)</f>
        <v>501694</v>
      </c>
      <c r="D65" s="46" t="n">
        <f aca="false">MIN(1,'Model Inputs &amp; Assumptions'!$U$28*EXP('Model Inputs &amp; Assumptions'!$V$28*Q65-'Model Inputs &amp; Assumptions'!$V$28^2/2))</f>
        <v>0</v>
      </c>
      <c r="E65" s="45" t="n">
        <f aca="false">ROUND(C65*D65,0)</f>
        <v>0</v>
      </c>
      <c r="F65" s="47" t="n">
        <f aca="false">MIN(1,'Model Inputs &amp; Assumptions'!$W$28*EXP('Model Inputs &amp; Assumptions'!$X$28*R65-'Model Inputs &amp; Assumptions'!$X$28^2/2))</f>
        <v>0.00154324908302627</v>
      </c>
      <c r="G65" s="45" t="n">
        <f aca="false">ROUND(C65*F65,0)</f>
        <v>774</v>
      </c>
      <c r="H65" s="48" t="n">
        <f aca="false">MAX(0,(C65*'Model Inputs &amp; Assumptions'!$N$28+E65*'Model Inputs &amp; Assumptions'!$O$28+G65*'Model Inputs &amp; Assumptions'!$P$28)*EXP('Model Inputs &amp; Assumptions'!$Q$28*S65-'Model Inputs &amp; Assumptions'!$Q$28^2/2))</f>
        <v>22.410461392069</v>
      </c>
      <c r="I65" s="49" t="n">
        <f aca="false">IF('Model Inputs &amp; Assumptions'!$H$28="Fixed",'Model Inputs &amp; Assumptions'!$I$28*'Model Inputs &amp; Assumptions'!$K$28,IF('Model Inputs &amp; Assumptions'!$H$28="CPM",'Model Inputs &amp; Assumptions'!$I$28*'Model Inputs &amp; Assumptions'!$K$28*C65/1000,IF('Model Inputs &amp; Assumptions'!$H$28="CPC",'Model Inputs &amp; Assumptions'!$I$28*'Model Inputs &amp; Assumptions'!$K$28*G65,0)))</f>
        <v>3261.011</v>
      </c>
      <c r="J65" s="50" t="n">
        <f aca="false">H65*INDEX('Model Inputs &amp; Assumptions'!$D$40:$D$42,MATCH('Model Inputs &amp; Assumptions'!$L$28,'Model Inputs &amp; Assumptions'!$A$40:$A$42,0))*INDEX('Model Inputs &amp; Assumptions'!$H$40:$H$42,MATCH('Model Inputs &amp; Assumptions'!$L$28,'Model Inputs &amp; Assumptions'!$A$40:$A$42,0))</f>
        <v>190488.921832587</v>
      </c>
      <c r="K65" s="49" t="n">
        <f aca="false">H65*INDEX('Model Inputs &amp; Assumptions'!$G$40:$G$42,MATCH('Model Inputs &amp; Assumptions'!$L$28,'Model Inputs &amp; Assumptions'!$A$40:$A$42,0))*INDEX('Model Inputs &amp; Assumptions'!$H$40:$H$42,MATCH('Model Inputs &amp; Assumptions'!$L$28,'Model Inputs &amp; Assumptions'!$A$40:$A$42,0))</f>
        <v>4286.0007412332</v>
      </c>
      <c r="L65" s="51" t="n">
        <f aca="false">IFERROR(K65/I65,0)</f>
        <v>1.31431655435483</v>
      </c>
      <c r="M65" s="49" t="n">
        <f aca="false">IFERROR(I65/H65,0)</f>
        <v>145.51288984858</v>
      </c>
      <c r="N65" s="52" t="str">
        <f aca="false">'Model Inputs &amp; Assumptions'!$L$28</f>
        <v>PRD-EUAI</v>
      </c>
      <c r="P65" s="53" t="n">
        <v>0.572025</v>
      </c>
      <c r="Q65" s="53" t="n">
        <v>1.462481</v>
      </c>
      <c r="R65" s="53" t="n">
        <v>0.239204</v>
      </c>
      <c r="S65" s="53" t="n">
        <v>0.031713</v>
      </c>
    </row>
    <row r="66" customFormat="false" ht="15" hidden="false" customHeight="false" outlineLevel="0" collapsed="false">
      <c r="A66" s="43" t="n">
        <v>63</v>
      </c>
      <c r="B66" s="44" t="str">
        <f aca="false">'Model Inputs &amp; Assumptions'!$B$28</f>
        <v>finanzen.net — Q1 Awareness Burst</v>
      </c>
      <c r="C66" s="45" t="n">
        <f aca="false">ROUND(MAX(0,'Model Inputs &amp; Assumptions'!$S$28*EXP('Model Inputs &amp; Assumptions'!$T$28*P66-'Model Inputs &amp; Assumptions'!$T$28^2/2)),0)</f>
        <v>458997</v>
      </c>
      <c r="D66" s="46" t="n">
        <f aca="false">MIN(1,'Model Inputs &amp; Assumptions'!$U$28*EXP('Model Inputs &amp; Assumptions'!$V$28*Q66-'Model Inputs &amp; Assumptions'!$V$28^2/2))</f>
        <v>0</v>
      </c>
      <c r="E66" s="45" t="n">
        <f aca="false">ROUND(C66*D66,0)</f>
        <v>0</v>
      </c>
      <c r="F66" s="47" t="n">
        <f aca="false">MIN(1,'Model Inputs &amp; Assumptions'!$W$28*EXP('Model Inputs &amp; Assumptions'!$X$28*R66-'Model Inputs &amp; Assumptions'!$X$28^2/2))</f>
        <v>0.00143441285916587</v>
      </c>
      <c r="G66" s="45" t="n">
        <f aca="false">ROUND(C66*F66,0)</f>
        <v>658</v>
      </c>
      <c r="H66" s="48" t="n">
        <f aca="false">MAX(0,(C66*'Model Inputs &amp; Assumptions'!$N$28+E66*'Model Inputs &amp; Assumptions'!$O$28+G66*'Model Inputs &amp; Assumptions'!$P$28)*EXP('Model Inputs &amp; Assumptions'!$Q$28*S66-'Model Inputs &amp; Assumptions'!$Q$28^2/2))</f>
        <v>11.2535578727223</v>
      </c>
      <c r="I66" s="49" t="n">
        <f aca="false">IF('Model Inputs &amp; Assumptions'!$H$28="Fixed",'Model Inputs &amp; Assumptions'!$I$28*'Model Inputs &amp; Assumptions'!$K$28,IF('Model Inputs &amp; Assumptions'!$H$28="CPM",'Model Inputs &amp; Assumptions'!$I$28*'Model Inputs &amp; Assumptions'!$K$28*C66/1000,IF('Model Inputs &amp; Assumptions'!$H$28="CPC",'Model Inputs &amp; Assumptions'!$I$28*'Model Inputs &amp; Assumptions'!$K$28*G66,0)))</f>
        <v>2983.4805</v>
      </c>
      <c r="J66" s="50" t="n">
        <f aca="false">H66*INDEX('Model Inputs &amp; Assumptions'!$D$40:$D$42,MATCH('Model Inputs &amp; Assumptions'!$L$28,'Model Inputs &amp; Assumptions'!$A$40:$A$42,0))*INDEX('Model Inputs &amp; Assumptions'!$H$40:$H$42,MATCH('Model Inputs &amp; Assumptions'!$L$28,'Model Inputs &amp; Assumptions'!$A$40:$A$42,0))</f>
        <v>95655.2419181392</v>
      </c>
      <c r="K66" s="49" t="n">
        <f aca="false">H66*INDEX('Model Inputs &amp; Assumptions'!$G$40:$G$42,MATCH('Model Inputs &amp; Assumptions'!$L$28,'Model Inputs &amp; Assumptions'!$A$40:$A$42,0))*INDEX('Model Inputs &amp; Assumptions'!$H$40:$H$42,MATCH('Model Inputs &amp; Assumptions'!$L$28,'Model Inputs &amp; Assumptions'!$A$40:$A$42,0))</f>
        <v>2152.24294315813</v>
      </c>
      <c r="L66" s="51" t="n">
        <f aca="false">IFERROR(K66/I66,0)</f>
        <v>0.721386629863387</v>
      </c>
      <c r="M66" s="49" t="n">
        <f aca="false">IFERROR(I66/H66,0)</f>
        <v>265.114422811271</v>
      </c>
      <c r="N66" s="52" t="str">
        <f aca="false">'Model Inputs &amp; Assumptions'!$L$28</f>
        <v>PRD-EUAI</v>
      </c>
      <c r="P66" s="53" t="n">
        <v>0.07787</v>
      </c>
      <c r="Q66" s="53" t="n">
        <v>-0.946041</v>
      </c>
      <c r="R66" s="53" t="n">
        <v>-0.093225</v>
      </c>
      <c r="S66" s="53" t="n">
        <v>-1.723209</v>
      </c>
    </row>
    <row r="67" customFormat="false" ht="15" hidden="false" customHeight="false" outlineLevel="0" collapsed="false">
      <c r="A67" s="43" t="n">
        <v>64</v>
      </c>
      <c r="B67" s="44" t="str">
        <f aca="false">'Model Inputs &amp; Assumptions'!$B$28</f>
        <v>finanzen.net — Q1 Awareness Burst</v>
      </c>
      <c r="C67" s="45" t="n">
        <f aca="false">ROUND(MAX(0,'Model Inputs &amp; Assumptions'!$S$28*EXP('Model Inputs &amp; Assumptions'!$T$28*P67-'Model Inputs &amp; Assumptions'!$T$28^2/2)),0)</f>
        <v>363123</v>
      </c>
      <c r="D67" s="46" t="n">
        <f aca="false">MIN(1,'Model Inputs &amp; Assumptions'!$U$28*EXP('Model Inputs &amp; Assumptions'!$V$28*Q67-'Model Inputs &amp; Assumptions'!$V$28^2/2))</f>
        <v>0</v>
      </c>
      <c r="E67" s="45" t="n">
        <f aca="false">ROUND(C67*D67,0)</f>
        <v>0</v>
      </c>
      <c r="F67" s="47" t="n">
        <f aca="false">MIN(1,'Model Inputs &amp; Assumptions'!$W$28*EXP('Model Inputs &amp; Assumptions'!$X$28*R67-'Model Inputs &amp; Assumptions'!$X$28^2/2))</f>
        <v>0.00146703950529763</v>
      </c>
      <c r="G67" s="45" t="n">
        <f aca="false">ROUND(C67*F67,0)</f>
        <v>533</v>
      </c>
      <c r="H67" s="48" t="n">
        <f aca="false">MAX(0,(C67*'Model Inputs &amp; Assumptions'!$N$28+E67*'Model Inputs &amp; Assumptions'!$O$28+G67*'Model Inputs &amp; Assumptions'!$P$28)*EXP('Model Inputs &amp; Assumptions'!$Q$28*S67-'Model Inputs &amp; Assumptions'!$Q$28^2/2))</f>
        <v>15.5922177381966</v>
      </c>
      <c r="I67" s="49" t="n">
        <f aca="false">IF('Model Inputs &amp; Assumptions'!$H$28="Fixed",'Model Inputs &amp; Assumptions'!$I$28*'Model Inputs &amp; Assumptions'!$K$28,IF('Model Inputs &amp; Assumptions'!$H$28="CPM",'Model Inputs &amp; Assumptions'!$I$28*'Model Inputs &amp; Assumptions'!$K$28*C67/1000,IF('Model Inputs &amp; Assumptions'!$H$28="CPC",'Model Inputs &amp; Assumptions'!$I$28*'Model Inputs &amp; Assumptions'!$K$28*G67,0)))</f>
        <v>2360.2995</v>
      </c>
      <c r="J67" s="50" t="n">
        <f aca="false">H67*INDEX('Model Inputs &amp; Assumptions'!$D$40:$D$42,MATCH('Model Inputs &amp; Assumptions'!$L$28,'Model Inputs &amp; Assumptions'!$A$40:$A$42,0))*INDEX('Model Inputs &amp; Assumptions'!$H$40:$H$42,MATCH('Model Inputs &amp; Assumptions'!$L$28,'Model Inputs &amp; Assumptions'!$A$40:$A$42,0))</f>
        <v>132533.850774671</v>
      </c>
      <c r="K67" s="49" t="n">
        <f aca="false">H67*INDEX('Model Inputs &amp; Assumptions'!$G$40:$G$42,MATCH('Model Inputs &amp; Assumptions'!$L$28,'Model Inputs &amp; Assumptions'!$A$40:$A$42,0))*INDEX('Model Inputs &amp; Assumptions'!$H$40:$H$42,MATCH('Model Inputs &amp; Assumptions'!$L$28,'Model Inputs &amp; Assumptions'!$A$40:$A$42,0))</f>
        <v>2982.0116424301</v>
      </c>
      <c r="L67" s="51" t="n">
        <f aca="false">IFERROR(K67/I67,0)</f>
        <v>1.263403920744</v>
      </c>
      <c r="M67" s="49" t="n">
        <f aca="false">IFERROR(I67/H67,0)</f>
        <v>151.376766258075</v>
      </c>
      <c r="N67" s="52" t="str">
        <f aca="false">'Model Inputs &amp; Assumptions'!$L$28</f>
        <v>PRD-EUAI</v>
      </c>
      <c r="P67" s="53" t="n">
        <v>-1.223809</v>
      </c>
      <c r="Q67" s="53" t="n">
        <v>-0.454745</v>
      </c>
      <c r="R67" s="53" t="n">
        <v>0.009006</v>
      </c>
      <c r="S67" s="53" t="n">
        <v>0.066028</v>
      </c>
    </row>
    <row r="68" customFormat="false" ht="15" hidden="false" customHeight="false" outlineLevel="0" collapsed="false">
      <c r="A68" s="43" t="n">
        <v>65</v>
      </c>
      <c r="B68" s="44" t="str">
        <f aca="false">'Model Inputs &amp; Assumptions'!$B$28</f>
        <v>finanzen.net — Q1 Awareness Burst</v>
      </c>
      <c r="C68" s="45" t="n">
        <f aca="false">ROUND(MAX(0,'Model Inputs &amp; Assumptions'!$S$28*EXP('Model Inputs &amp; Assumptions'!$T$28*P68-'Model Inputs &amp; Assumptions'!$T$28^2/2)),0)</f>
        <v>586778</v>
      </c>
      <c r="D68" s="46" t="n">
        <f aca="false">MIN(1,'Model Inputs &amp; Assumptions'!$U$28*EXP('Model Inputs &amp; Assumptions'!$V$28*Q68-'Model Inputs &amp; Assumptions'!$V$28^2/2))</f>
        <v>0</v>
      </c>
      <c r="E68" s="45" t="n">
        <f aca="false">ROUND(C68*D68,0)</f>
        <v>0</v>
      </c>
      <c r="F68" s="47" t="n">
        <f aca="false">MIN(1,'Model Inputs &amp; Assumptions'!$W$28*EXP('Model Inputs &amp; Assumptions'!$X$28*R68-'Model Inputs &amp; Assumptions'!$X$28^2/2))</f>
        <v>0.0011501949941227</v>
      </c>
      <c r="G68" s="45" t="n">
        <f aca="false">ROUND(C68*F68,0)</f>
        <v>675</v>
      </c>
      <c r="H68" s="48" t="n">
        <f aca="false">MAX(0,(C68*'Model Inputs &amp; Assumptions'!$N$28+E68*'Model Inputs &amp; Assumptions'!$O$28+G68*'Model Inputs &amp; Assumptions'!$P$28)*EXP('Model Inputs &amp; Assumptions'!$Q$28*S68-'Model Inputs &amp; Assumptions'!$Q$28^2/2))</f>
        <v>21.30487231101</v>
      </c>
      <c r="I68" s="49" t="n">
        <f aca="false">IF('Model Inputs &amp; Assumptions'!$H$28="Fixed",'Model Inputs &amp; Assumptions'!$I$28*'Model Inputs &amp; Assumptions'!$K$28,IF('Model Inputs &amp; Assumptions'!$H$28="CPM",'Model Inputs &amp; Assumptions'!$I$28*'Model Inputs &amp; Assumptions'!$K$28*C68/1000,IF('Model Inputs &amp; Assumptions'!$H$28="CPC",'Model Inputs &amp; Assumptions'!$I$28*'Model Inputs &amp; Assumptions'!$K$28*G68,0)))</f>
        <v>3814.057</v>
      </c>
      <c r="J68" s="50" t="n">
        <f aca="false">H68*INDEX('Model Inputs &amp; Assumptions'!$D$40:$D$42,MATCH('Model Inputs &amp; Assumptions'!$L$28,'Model Inputs &amp; Assumptions'!$A$40:$A$42,0))*INDEX('Model Inputs &amp; Assumptions'!$H$40:$H$42,MATCH('Model Inputs &amp; Assumptions'!$L$28,'Model Inputs &amp; Assumptions'!$A$40:$A$42,0))</f>
        <v>181091.414643585</v>
      </c>
      <c r="K68" s="49" t="n">
        <f aca="false">H68*INDEX('Model Inputs &amp; Assumptions'!$G$40:$G$42,MATCH('Model Inputs &amp; Assumptions'!$L$28,'Model Inputs &amp; Assumptions'!$A$40:$A$42,0))*INDEX('Model Inputs &amp; Assumptions'!$H$40:$H$42,MATCH('Model Inputs &amp; Assumptions'!$L$28,'Model Inputs &amp; Assumptions'!$A$40:$A$42,0))</f>
        <v>4074.55682948066</v>
      </c>
      <c r="L68" s="51" t="n">
        <f aca="false">IFERROR(K68/I68,0)</f>
        <v>1.06829993088217</v>
      </c>
      <c r="M68" s="49" t="n">
        <f aca="false">IFERROR(I68/H68,0)</f>
        <v>179.02275800212</v>
      </c>
      <c r="N68" s="52" t="str">
        <f aca="false">'Model Inputs &amp; Assumptions'!$L$28</f>
        <v>PRD-EUAI</v>
      </c>
      <c r="P68" s="53" t="n">
        <v>1.442336</v>
      </c>
      <c r="Q68" s="53" t="n">
        <v>1.378495</v>
      </c>
      <c r="R68" s="53" t="n">
        <v>-1.096971</v>
      </c>
      <c r="S68" s="53" t="n">
        <v>0.31927</v>
      </c>
    </row>
    <row r="69" customFormat="false" ht="15" hidden="false" customHeight="false" outlineLevel="0" collapsed="false">
      <c r="A69" s="43" t="n">
        <v>66</v>
      </c>
      <c r="B69" s="44" t="str">
        <f aca="false">'Model Inputs &amp; Assumptions'!$B$28</f>
        <v>finanzen.net — Q1 Awareness Burst</v>
      </c>
      <c r="C69" s="45" t="n">
        <f aca="false">ROUND(MAX(0,'Model Inputs &amp; Assumptions'!$S$28*EXP('Model Inputs &amp; Assumptions'!$T$28*P69-'Model Inputs &amp; Assumptions'!$T$28^2/2)),0)</f>
        <v>596843</v>
      </c>
      <c r="D69" s="46" t="n">
        <f aca="false">MIN(1,'Model Inputs &amp; Assumptions'!$U$28*EXP('Model Inputs &amp; Assumptions'!$V$28*Q69-'Model Inputs &amp; Assumptions'!$V$28^2/2))</f>
        <v>0</v>
      </c>
      <c r="E69" s="45" t="n">
        <f aca="false">ROUND(C69*D69,0)</f>
        <v>0</v>
      </c>
      <c r="F69" s="47" t="n">
        <f aca="false">MIN(1,'Model Inputs &amp; Assumptions'!$W$28*EXP('Model Inputs &amp; Assumptions'!$X$28*R69-'Model Inputs &amp; Assumptions'!$X$28^2/2))</f>
        <v>0.00213125721654934</v>
      </c>
      <c r="G69" s="45" t="n">
        <f aca="false">ROUND(C69*F69,0)</f>
        <v>1272</v>
      </c>
      <c r="H69" s="48" t="n">
        <f aca="false">MAX(0,(C69*'Model Inputs &amp; Assumptions'!$N$28+E69*'Model Inputs &amp; Assumptions'!$O$28+G69*'Model Inputs &amp; Assumptions'!$P$28)*EXP('Model Inputs &amp; Assumptions'!$Q$28*S69-'Model Inputs &amp; Assumptions'!$Q$28^2/2))</f>
        <v>34.6033136109283</v>
      </c>
      <c r="I69" s="49" t="n">
        <f aca="false">IF('Model Inputs &amp; Assumptions'!$H$28="Fixed",'Model Inputs &amp; Assumptions'!$I$28*'Model Inputs &amp; Assumptions'!$K$28,IF('Model Inputs &amp; Assumptions'!$H$28="CPM",'Model Inputs &amp; Assumptions'!$I$28*'Model Inputs &amp; Assumptions'!$K$28*C69/1000,IF('Model Inputs &amp; Assumptions'!$H$28="CPC",'Model Inputs &amp; Assumptions'!$I$28*'Model Inputs &amp; Assumptions'!$K$28*G69,0)))</f>
        <v>3879.4795</v>
      </c>
      <c r="J69" s="50" t="n">
        <f aca="false">H69*INDEX('Model Inputs &amp; Assumptions'!$D$40:$D$42,MATCH('Model Inputs &amp; Assumptions'!$L$28,'Model Inputs &amp; Assumptions'!$A$40:$A$42,0))*INDEX('Model Inputs &amp; Assumptions'!$H$40:$H$42,MATCH('Model Inputs &amp; Assumptions'!$L$28,'Model Inputs &amp; Assumptions'!$A$40:$A$42,0))</f>
        <v>294128.165692891</v>
      </c>
      <c r="K69" s="49" t="n">
        <f aca="false">H69*INDEX('Model Inputs &amp; Assumptions'!$G$40:$G$42,MATCH('Model Inputs &amp; Assumptions'!$L$28,'Model Inputs &amp; Assumptions'!$A$40:$A$42,0))*INDEX('Model Inputs &amp; Assumptions'!$H$40:$H$42,MATCH('Model Inputs &amp; Assumptions'!$L$28,'Model Inputs &amp; Assumptions'!$A$40:$A$42,0))</f>
        <v>6617.88372809004</v>
      </c>
      <c r="L69" s="51" t="n">
        <f aca="false">IFERROR(K69/I69,0)</f>
        <v>1.70586897754971</v>
      </c>
      <c r="M69" s="49" t="n">
        <f aca="false">IFERROR(I69/H69,0)</f>
        <v>112.112948014747</v>
      </c>
      <c r="N69" s="52" t="str">
        <f aca="false">'Model Inputs &amp; Assumptions'!$L$28</f>
        <v>PRD-EUAI</v>
      </c>
      <c r="P69" s="53" t="n">
        <v>1.536821</v>
      </c>
      <c r="Q69" s="53" t="n">
        <v>-1.274683</v>
      </c>
      <c r="R69" s="53" t="n">
        <v>1.706577</v>
      </c>
      <c r="S69" s="53" t="n">
        <v>-0.176128</v>
      </c>
    </row>
    <row r="70" customFormat="false" ht="15" hidden="false" customHeight="false" outlineLevel="0" collapsed="false">
      <c r="A70" s="43" t="n">
        <v>67</v>
      </c>
      <c r="B70" s="44" t="str">
        <f aca="false">'Model Inputs &amp; Assumptions'!$B$28</f>
        <v>finanzen.net — Q1 Awareness Burst</v>
      </c>
      <c r="C70" s="45" t="n">
        <f aca="false">ROUND(MAX(0,'Model Inputs &amp; Assumptions'!$S$28*EXP('Model Inputs &amp; Assumptions'!$T$28*P70-'Model Inputs &amp; Assumptions'!$T$28^2/2)),0)</f>
        <v>623682</v>
      </c>
      <c r="D70" s="46" t="n">
        <f aca="false">MIN(1,'Model Inputs &amp; Assumptions'!$U$28*EXP('Model Inputs &amp; Assumptions'!$V$28*Q70-'Model Inputs &amp; Assumptions'!$V$28^2/2))</f>
        <v>0</v>
      </c>
      <c r="E70" s="45" t="n">
        <f aca="false">ROUND(C70*D70,0)</f>
        <v>0</v>
      </c>
      <c r="F70" s="47" t="n">
        <f aca="false">MIN(1,'Model Inputs &amp; Assumptions'!$W$28*EXP('Model Inputs &amp; Assumptions'!$X$28*R70-'Model Inputs &amp; Assumptions'!$X$28^2/2))</f>
        <v>0.00157231986238456</v>
      </c>
      <c r="G70" s="45" t="n">
        <f aca="false">ROUND(C70*F70,0)</f>
        <v>981</v>
      </c>
      <c r="H70" s="48" t="n">
        <f aca="false">MAX(0,(C70*'Model Inputs &amp; Assumptions'!$N$28+E70*'Model Inputs &amp; Assumptions'!$O$28+G70*'Model Inputs &amp; Assumptions'!$P$28)*EXP('Model Inputs &amp; Assumptions'!$Q$28*S70-'Model Inputs &amp; Assumptions'!$Q$28^2/2))</f>
        <v>18.432952548567</v>
      </c>
      <c r="I70" s="49" t="n">
        <f aca="false">IF('Model Inputs &amp; Assumptions'!$H$28="Fixed",'Model Inputs &amp; Assumptions'!$I$28*'Model Inputs &amp; Assumptions'!$K$28,IF('Model Inputs &amp; Assumptions'!$H$28="CPM",'Model Inputs &amp; Assumptions'!$I$28*'Model Inputs &amp; Assumptions'!$K$28*C70/1000,IF('Model Inputs &amp; Assumptions'!$H$28="CPC",'Model Inputs &amp; Assumptions'!$I$28*'Model Inputs &amp; Assumptions'!$K$28*G70,0)))</f>
        <v>4053.933</v>
      </c>
      <c r="J70" s="50" t="n">
        <f aca="false">H70*INDEX('Model Inputs &amp; Assumptions'!$D$40:$D$42,MATCH('Model Inputs &amp; Assumptions'!$L$28,'Model Inputs &amp; Assumptions'!$A$40:$A$42,0))*INDEX('Model Inputs &amp; Assumptions'!$H$40:$H$42,MATCH('Model Inputs &amp; Assumptions'!$L$28,'Model Inputs &amp; Assumptions'!$A$40:$A$42,0))</f>
        <v>156680.096662819</v>
      </c>
      <c r="K70" s="49" t="n">
        <f aca="false">H70*INDEX('Model Inputs &amp; Assumptions'!$G$40:$G$42,MATCH('Model Inputs &amp; Assumptions'!$L$28,'Model Inputs &amp; Assumptions'!$A$40:$A$42,0))*INDEX('Model Inputs &amp; Assumptions'!$H$40:$H$42,MATCH('Model Inputs &amp; Assumptions'!$L$28,'Model Inputs &amp; Assumptions'!$A$40:$A$42,0))</f>
        <v>3525.30217491343</v>
      </c>
      <c r="L70" s="51" t="n">
        <f aca="false">IFERROR(K70/I70,0)</f>
        <v>0.869600502749658</v>
      </c>
      <c r="M70" s="49" t="n">
        <f aca="false">IFERROR(I70/H70,0)</f>
        <v>219.928575702603</v>
      </c>
      <c r="N70" s="52" t="str">
        <f aca="false">'Model Inputs &amp; Assumptions'!$L$28</f>
        <v>PRD-EUAI</v>
      </c>
      <c r="P70" s="53" t="n">
        <v>1.781193</v>
      </c>
      <c r="Q70" s="53" t="n">
        <v>-0.395815</v>
      </c>
      <c r="R70" s="53" t="n">
        <v>0.324032</v>
      </c>
      <c r="S70" s="53" t="n">
        <v>-1.409582</v>
      </c>
    </row>
    <row r="71" customFormat="false" ht="15" hidden="false" customHeight="false" outlineLevel="0" collapsed="false">
      <c r="A71" s="43" t="n">
        <v>68</v>
      </c>
      <c r="B71" s="44" t="str">
        <f aca="false">'Model Inputs &amp; Assumptions'!$B$28</f>
        <v>finanzen.net — Q1 Awareness Burst</v>
      </c>
      <c r="C71" s="45" t="n">
        <f aca="false">ROUND(MAX(0,'Model Inputs &amp; Assumptions'!$S$28*EXP('Model Inputs &amp; Assumptions'!$T$28*P71-'Model Inputs &amp; Assumptions'!$T$28^2/2)),0)</f>
        <v>613227</v>
      </c>
      <c r="D71" s="46" t="n">
        <f aca="false">MIN(1,'Model Inputs &amp; Assumptions'!$U$28*EXP('Model Inputs &amp; Assumptions'!$V$28*Q71-'Model Inputs &amp; Assumptions'!$V$28^2/2))</f>
        <v>0</v>
      </c>
      <c r="E71" s="45" t="n">
        <f aca="false">ROUND(C71*D71,0)</f>
        <v>0</v>
      </c>
      <c r="F71" s="47" t="n">
        <f aca="false">MIN(1,'Model Inputs &amp; Assumptions'!$W$28*EXP('Model Inputs &amp; Assumptions'!$X$28*R71-'Model Inputs &amp; Assumptions'!$X$28^2/2))</f>
        <v>0.00151219063038661</v>
      </c>
      <c r="G71" s="45" t="n">
        <f aca="false">ROUND(C71*F71,0)</f>
        <v>927</v>
      </c>
      <c r="H71" s="48" t="n">
        <f aca="false">MAX(0,(C71*'Model Inputs &amp; Assumptions'!$N$28+E71*'Model Inputs &amp; Assumptions'!$O$28+G71*'Model Inputs &amp; Assumptions'!$P$28)*EXP('Model Inputs &amp; Assumptions'!$Q$28*S71-'Model Inputs &amp; Assumptions'!$Q$28^2/2))</f>
        <v>26.1930332323661</v>
      </c>
      <c r="I71" s="49" t="n">
        <f aca="false">IF('Model Inputs &amp; Assumptions'!$H$28="Fixed",'Model Inputs &amp; Assumptions'!$I$28*'Model Inputs &amp; Assumptions'!$K$28,IF('Model Inputs &amp; Assumptions'!$H$28="CPM",'Model Inputs &amp; Assumptions'!$I$28*'Model Inputs &amp; Assumptions'!$K$28*C71/1000,IF('Model Inputs &amp; Assumptions'!$H$28="CPC",'Model Inputs &amp; Assumptions'!$I$28*'Model Inputs &amp; Assumptions'!$K$28*G71,0)))</f>
        <v>3985.9755</v>
      </c>
      <c r="J71" s="50" t="n">
        <f aca="false">H71*INDEX('Model Inputs &amp; Assumptions'!$D$40:$D$42,MATCH('Model Inputs &amp; Assumptions'!$L$28,'Model Inputs &amp; Assumptions'!$A$40:$A$42,0))*INDEX('Model Inputs &amp; Assumptions'!$H$40:$H$42,MATCH('Model Inputs &amp; Assumptions'!$L$28,'Model Inputs &amp; Assumptions'!$A$40:$A$42,0))</f>
        <v>222640.782475112</v>
      </c>
      <c r="K71" s="49" t="n">
        <f aca="false">H71*INDEX('Model Inputs &amp; Assumptions'!$G$40:$G$42,MATCH('Model Inputs &amp; Assumptions'!$L$28,'Model Inputs &amp; Assumptions'!$A$40:$A$42,0))*INDEX('Model Inputs &amp; Assumptions'!$H$40:$H$42,MATCH('Model Inputs &amp; Assumptions'!$L$28,'Model Inputs &amp; Assumptions'!$A$40:$A$42,0))</f>
        <v>5009.41760569001</v>
      </c>
      <c r="L71" s="51" t="n">
        <f aca="false">IFERROR(K71/I71,0)</f>
        <v>1.25676076174829</v>
      </c>
      <c r="M71" s="49" t="n">
        <f aca="false">IFERROR(I71/H71,0)</f>
        <v>152.176934402337</v>
      </c>
      <c r="N71" s="52" t="str">
        <f aca="false">'Model Inputs &amp; Assumptions'!$L$28</f>
        <v>PRD-EUAI</v>
      </c>
      <c r="P71" s="53" t="n">
        <v>1.687274</v>
      </c>
      <c r="Q71" s="53" t="n">
        <v>0.496658</v>
      </c>
      <c r="R71" s="53" t="n">
        <v>0.146792</v>
      </c>
      <c r="S71" s="53" t="n">
        <v>-0.049674</v>
      </c>
    </row>
    <row r="72" customFormat="false" ht="15" hidden="false" customHeight="false" outlineLevel="0" collapsed="false">
      <c r="A72" s="43" t="n">
        <v>69</v>
      </c>
      <c r="B72" s="44" t="str">
        <f aca="false">'Model Inputs &amp; Assumptions'!$B$28</f>
        <v>finanzen.net — Q1 Awareness Burst</v>
      </c>
      <c r="C72" s="45" t="n">
        <f aca="false">ROUND(MAX(0,'Model Inputs &amp; Assumptions'!$S$28*EXP('Model Inputs &amp; Assumptions'!$T$28*P72-'Model Inputs &amp; Assumptions'!$T$28^2/2)),0)</f>
        <v>357102</v>
      </c>
      <c r="D72" s="46" t="n">
        <f aca="false">MIN(1,'Model Inputs &amp; Assumptions'!$U$28*EXP('Model Inputs &amp; Assumptions'!$V$28*Q72-'Model Inputs &amp; Assumptions'!$V$28^2/2))</f>
        <v>0</v>
      </c>
      <c r="E72" s="45" t="n">
        <f aca="false">ROUND(C72*D72,0)</f>
        <v>0</v>
      </c>
      <c r="F72" s="47" t="n">
        <f aca="false">MIN(1,'Model Inputs &amp; Assumptions'!$W$28*EXP('Model Inputs &amp; Assumptions'!$X$28*R72-'Model Inputs &amp; Assumptions'!$X$28^2/2))</f>
        <v>0.00112514177294064</v>
      </c>
      <c r="G72" s="45" t="n">
        <f aca="false">ROUND(C72*F72,0)</f>
        <v>402</v>
      </c>
      <c r="H72" s="48" t="n">
        <f aca="false">MAX(0,(C72*'Model Inputs &amp; Assumptions'!$N$28+E72*'Model Inputs &amp; Assumptions'!$O$28+G72*'Model Inputs &amp; Assumptions'!$P$28)*EXP('Model Inputs &amp; Assumptions'!$Q$28*S72-'Model Inputs &amp; Assumptions'!$Q$28^2/2))</f>
        <v>23.7257579500093</v>
      </c>
      <c r="I72" s="49" t="n">
        <f aca="false">IF('Model Inputs &amp; Assumptions'!$H$28="Fixed",'Model Inputs &amp; Assumptions'!$I$28*'Model Inputs &amp; Assumptions'!$K$28,IF('Model Inputs &amp; Assumptions'!$H$28="CPM",'Model Inputs &amp; Assumptions'!$I$28*'Model Inputs &amp; Assumptions'!$K$28*C72/1000,IF('Model Inputs &amp; Assumptions'!$H$28="CPC",'Model Inputs &amp; Assumptions'!$I$28*'Model Inputs &amp; Assumptions'!$K$28*G72,0)))</f>
        <v>2321.163</v>
      </c>
      <c r="J72" s="50" t="n">
        <f aca="false">H72*INDEX('Model Inputs &amp; Assumptions'!$D$40:$D$42,MATCH('Model Inputs &amp; Assumptions'!$L$28,'Model Inputs &amp; Assumptions'!$A$40:$A$42,0))*INDEX('Model Inputs &amp; Assumptions'!$H$40:$H$42,MATCH('Model Inputs &amp; Assumptions'!$L$28,'Model Inputs &amp; Assumptions'!$A$40:$A$42,0))</f>
        <v>201668.942575079</v>
      </c>
      <c r="K72" s="49" t="n">
        <f aca="false">H72*INDEX('Model Inputs &amp; Assumptions'!$G$40:$G$42,MATCH('Model Inputs &amp; Assumptions'!$L$28,'Model Inputs &amp; Assumptions'!$A$40:$A$42,0))*INDEX('Model Inputs &amp; Assumptions'!$H$40:$H$42,MATCH('Model Inputs &amp; Assumptions'!$L$28,'Model Inputs &amp; Assumptions'!$A$40:$A$42,0))</f>
        <v>4537.55120793928</v>
      </c>
      <c r="L72" s="51" t="n">
        <f aca="false">IFERROR(K72/I72,0)</f>
        <v>1.95486107952749</v>
      </c>
      <c r="M72" s="49" t="n">
        <f aca="false">IFERROR(I72/H72,0)</f>
        <v>97.8330388808123</v>
      </c>
      <c r="N72" s="52" t="str">
        <f aca="false">'Model Inputs &amp; Assumptions'!$L$28</f>
        <v>PRD-EUAI</v>
      </c>
      <c r="P72" s="53" t="n">
        <v>-1.3167</v>
      </c>
      <c r="Q72" s="53" t="n">
        <v>-1.602706</v>
      </c>
      <c r="R72" s="53" t="n">
        <v>-1.197073</v>
      </c>
      <c r="S72" s="53" t="n">
        <v>2.405557</v>
      </c>
    </row>
    <row r="73" customFormat="false" ht="15" hidden="false" customHeight="false" outlineLevel="0" collapsed="false">
      <c r="A73" s="43" t="n">
        <v>70</v>
      </c>
      <c r="B73" s="44" t="str">
        <f aca="false">'Model Inputs &amp; Assumptions'!$B$28</f>
        <v>finanzen.net — Q1 Awareness Burst</v>
      </c>
      <c r="C73" s="45" t="n">
        <f aca="false">ROUND(MAX(0,'Model Inputs &amp; Assumptions'!$S$28*EXP('Model Inputs &amp; Assumptions'!$T$28*P73-'Model Inputs &amp; Assumptions'!$T$28^2/2)),0)</f>
        <v>523755</v>
      </c>
      <c r="D73" s="46" t="n">
        <f aca="false">MIN(1,'Model Inputs &amp; Assumptions'!$U$28*EXP('Model Inputs &amp; Assumptions'!$V$28*Q73-'Model Inputs &amp; Assumptions'!$V$28^2/2))</f>
        <v>0</v>
      </c>
      <c r="E73" s="45" t="n">
        <f aca="false">ROUND(C73*D73,0)</f>
        <v>0</v>
      </c>
      <c r="F73" s="47" t="n">
        <f aca="false">MIN(1,'Model Inputs &amp; Assumptions'!$W$28*EXP('Model Inputs &amp; Assumptions'!$X$28*R73-'Model Inputs &amp; Assumptions'!$X$28^2/2))</f>
        <v>0.00181987432791448</v>
      </c>
      <c r="G73" s="45" t="n">
        <f aca="false">ROUND(C73*F73,0)</f>
        <v>953</v>
      </c>
      <c r="H73" s="48" t="n">
        <f aca="false">MAX(0,(C73*'Model Inputs &amp; Assumptions'!$N$28+E73*'Model Inputs &amp; Assumptions'!$O$28+G73*'Model Inputs &amp; Assumptions'!$P$28)*EXP('Model Inputs &amp; Assumptions'!$Q$28*S73-'Model Inputs &amp; Assumptions'!$Q$28^2/2))</f>
        <v>38.432144521373</v>
      </c>
      <c r="I73" s="49" t="n">
        <f aca="false">IF('Model Inputs &amp; Assumptions'!$H$28="Fixed",'Model Inputs &amp; Assumptions'!$I$28*'Model Inputs &amp; Assumptions'!$K$28,IF('Model Inputs &amp; Assumptions'!$H$28="CPM",'Model Inputs &amp; Assumptions'!$I$28*'Model Inputs &amp; Assumptions'!$K$28*C73/1000,IF('Model Inputs &amp; Assumptions'!$H$28="CPC",'Model Inputs &amp; Assumptions'!$I$28*'Model Inputs &amp; Assumptions'!$K$28*G73,0)))</f>
        <v>3404.4075</v>
      </c>
      <c r="J73" s="50" t="n">
        <f aca="false">H73*INDEX('Model Inputs &amp; Assumptions'!$D$40:$D$42,MATCH('Model Inputs &amp; Assumptions'!$L$28,'Model Inputs &amp; Assumptions'!$A$40:$A$42,0))*INDEX('Model Inputs &amp; Assumptions'!$H$40:$H$42,MATCH('Model Inputs &amp; Assumptions'!$L$28,'Model Inputs &amp; Assumptions'!$A$40:$A$42,0))</f>
        <v>326673.22843167</v>
      </c>
      <c r="K73" s="49" t="n">
        <f aca="false">H73*INDEX('Model Inputs &amp; Assumptions'!$G$40:$G$42,MATCH('Model Inputs &amp; Assumptions'!$L$28,'Model Inputs &amp; Assumptions'!$A$40:$A$42,0))*INDEX('Model Inputs &amp; Assumptions'!$H$40:$H$42,MATCH('Model Inputs &amp; Assumptions'!$L$28,'Model Inputs &amp; Assumptions'!$A$40:$A$42,0))</f>
        <v>7350.14763971258</v>
      </c>
      <c r="L73" s="51" t="n">
        <f aca="false">IFERROR(K73/I73,0)</f>
        <v>2.15900935470051</v>
      </c>
      <c r="M73" s="49" t="n">
        <f aca="false">IFERROR(I73/H73,0)</f>
        <v>88.5822933483905</v>
      </c>
      <c r="N73" s="52" t="str">
        <f aca="false">'Model Inputs &amp; Assumptions'!$L$28</f>
        <v>PRD-EUAI</v>
      </c>
      <c r="P73" s="53" t="n">
        <v>0.811099</v>
      </c>
      <c r="Q73" s="53" t="n">
        <v>1.667973</v>
      </c>
      <c r="R73" s="53" t="n">
        <v>0.988647</v>
      </c>
      <c r="S73" s="53" t="n">
        <v>1.136124</v>
      </c>
    </row>
    <row r="74" customFormat="false" ht="15" hidden="false" customHeight="false" outlineLevel="0" collapsed="false">
      <c r="A74" s="43" t="n">
        <v>71</v>
      </c>
      <c r="B74" s="44" t="str">
        <f aca="false">'Model Inputs &amp; Assumptions'!$B$28</f>
        <v>finanzen.net — Q1 Awareness Burst</v>
      </c>
      <c r="C74" s="45" t="n">
        <f aca="false">ROUND(MAX(0,'Model Inputs &amp; Assumptions'!$S$28*EXP('Model Inputs &amp; Assumptions'!$T$28*P74-'Model Inputs &amp; Assumptions'!$T$28^2/2)),0)</f>
        <v>452727</v>
      </c>
      <c r="D74" s="46" t="n">
        <f aca="false">MIN(1,'Model Inputs &amp; Assumptions'!$U$28*EXP('Model Inputs &amp; Assumptions'!$V$28*Q74-'Model Inputs &amp; Assumptions'!$V$28^2/2))</f>
        <v>0</v>
      </c>
      <c r="E74" s="45" t="n">
        <f aca="false">ROUND(C74*D74,0)</f>
        <v>0</v>
      </c>
      <c r="F74" s="47" t="n">
        <f aca="false">MIN(1,'Model Inputs &amp; Assumptions'!$W$28*EXP('Model Inputs &amp; Assumptions'!$X$28*R74-'Model Inputs &amp; Assumptions'!$X$28^2/2))</f>
        <v>0.0014919978012809</v>
      </c>
      <c r="G74" s="45" t="n">
        <f aca="false">ROUND(C74*F74,0)</f>
        <v>675</v>
      </c>
      <c r="H74" s="48" t="n">
        <f aca="false">MAX(0,(C74*'Model Inputs &amp; Assumptions'!$N$28+E74*'Model Inputs &amp; Assumptions'!$O$28+G74*'Model Inputs &amp; Assumptions'!$P$28)*EXP('Model Inputs &amp; Assumptions'!$Q$28*S74-'Model Inputs &amp; Assumptions'!$Q$28^2/2))</f>
        <v>25.508820480554</v>
      </c>
      <c r="I74" s="49" t="n">
        <f aca="false">IF('Model Inputs &amp; Assumptions'!$H$28="Fixed",'Model Inputs &amp; Assumptions'!$I$28*'Model Inputs &amp; Assumptions'!$K$28,IF('Model Inputs &amp; Assumptions'!$H$28="CPM",'Model Inputs &amp; Assumptions'!$I$28*'Model Inputs &amp; Assumptions'!$K$28*C74/1000,IF('Model Inputs &amp; Assumptions'!$H$28="CPC",'Model Inputs &amp; Assumptions'!$I$28*'Model Inputs &amp; Assumptions'!$K$28*G74,0)))</f>
        <v>2942.7255</v>
      </c>
      <c r="J74" s="50" t="n">
        <f aca="false">H74*INDEX('Model Inputs &amp; Assumptions'!$D$40:$D$42,MATCH('Model Inputs &amp; Assumptions'!$L$28,'Model Inputs &amp; Assumptions'!$A$40:$A$42,0))*INDEX('Model Inputs &amp; Assumptions'!$H$40:$H$42,MATCH('Model Inputs &amp; Assumptions'!$L$28,'Model Inputs &amp; Assumptions'!$A$40:$A$42,0))</f>
        <v>216824.974084709</v>
      </c>
      <c r="K74" s="49" t="n">
        <f aca="false">H74*INDEX('Model Inputs &amp; Assumptions'!$G$40:$G$42,MATCH('Model Inputs &amp; Assumptions'!$L$28,'Model Inputs &amp; Assumptions'!$A$40:$A$42,0))*INDEX('Model Inputs &amp; Assumptions'!$H$40:$H$42,MATCH('Model Inputs &amp; Assumptions'!$L$28,'Model Inputs &amp; Assumptions'!$A$40:$A$42,0))</f>
        <v>4878.56191690595</v>
      </c>
      <c r="L74" s="51" t="n">
        <f aca="false">IFERROR(K74/I74,0)</f>
        <v>1.65783791825162</v>
      </c>
      <c r="M74" s="49" t="n">
        <f aca="false">IFERROR(I74/H74,0)</f>
        <v>115.36109645851</v>
      </c>
      <c r="N74" s="52" t="str">
        <f aca="false">'Model Inputs &amp; Assumptions'!$L$28</f>
        <v>PRD-EUAI</v>
      </c>
      <c r="P74" s="53" t="n">
        <v>0.001459</v>
      </c>
      <c r="Q74" s="53" t="n">
        <v>0.134082</v>
      </c>
      <c r="R74" s="53" t="n">
        <v>0.085686</v>
      </c>
      <c r="S74" s="53" t="n">
        <v>0.919565</v>
      </c>
    </row>
    <row r="75" customFormat="false" ht="15" hidden="false" customHeight="false" outlineLevel="0" collapsed="false">
      <c r="A75" s="43" t="n">
        <v>72</v>
      </c>
      <c r="B75" s="44" t="str">
        <f aca="false">'Model Inputs &amp; Assumptions'!$B$28</f>
        <v>finanzen.net — Q1 Awareness Burst</v>
      </c>
      <c r="C75" s="45" t="n">
        <f aca="false">ROUND(MAX(0,'Model Inputs &amp; Assumptions'!$S$28*EXP('Model Inputs &amp; Assumptions'!$T$28*P75-'Model Inputs &amp; Assumptions'!$T$28^2/2)),0)</f>
        <v>476208</v>
      </c>
      <c r="D75" s="46" t="n">
        <f aca="false">MIN(1,'Model Inputs &amp; Assumptions'!$U$28*EXP('Model Inputs &amp; Assumptions'!$V$28*Q75-'Model Inputs &amp; Assumptions'!$V$28^2/2))</f>
        <v>0</v>
      </c>
      <c r="E75" s="45" t="n">
        <f aca="false">ROUND(C75*D75,0)</f>
        <v>0</v>
      </c>
      <c r="F75" s="47" t="n">
        <f aca="false">MIN(1,'Model Inputs &amp; Assumptions'!$W$28*EXP('Model Inputs &amp; Assumptions'!$X$28*R75-'Model Inputs &amp; Assumptions'!$X$28^2/2))</f>
        <v>0.00174015450995395</v>
      </c>
      <c r="G75" s="45" t="n">
        <f aca="false">ROUND(C75*F75,0)</f>
        <v>829</v>
      </c>
      <c r="H75" s="48" t="n">
        <f aca="false">MAX(0,(C75*'Model Inputs &amp; Assumptions'!$N$28+E75*'Model Inputs &amp; Assumptions'!$O$28+G75*'Model Inputs &amp; Assumptions'!$P$28)*EXP('Model Inputs &amp; Assumptions'!$Q$28*S75-'Model Inputs &amp; Assumptions'!$Q$28^2/2))</f>
        <v>22.4478167005989</v>
      </c>
      <c r="I75" s="49" t="n">
        <f aca="false">IF('Model Inputs &amp; Assumptions'!$H$28="Fixed",'Model Inputs &amp; Assumptions'!$I$28*'Model Inputs &amp; Assumptions'!$K$28,IF('Model Inputs &amp; Assumptions'!$H$28="CPM",'Model Inputs &amp; Assumptions'!$I$28*'Model Inputs &amp; Assumptions'!$K$28*C75/1000,IF('Model Inputs &amp; Assumptions'!$H$28="CPC",'Model Inputs &amp; Assumptions'!$I$28*'Model Inputs &amp; Assumptions'!$K$28*G75,0)))</f>
        <v>3095.352</v>
      </c>
      <c r="J75" s="50" t="n">
        <f aca="false">H75*INDEX('Model Inputs &amp; Assumptions'!$D$40:$D$42,MATCH('Model Inputs &amp; Assumptions'!$L$28,'Model Inputs &amp; Assumptions'!$A$40:$A$42,0))*INDEX('Model Inputs &amp; Assumptions'!$H$40:$H$42,MATCH('Model Inputs &amp; Assumptions'!$L$28,'Model Inputs &amp; Assumptions'!$A$40:$A$42,0))</f>
        <v>190806.441955091</v>
      </c>
      <c r="K75" s="49" t="n">
        <f aca="false">H75*INDEX('Model Inputs &amp; Assumptions'!$G$40:$G$42,MATCH('Model Inputs &amp; Assumptions'!$L$28,'Model Inputs &amp; Assumptions'!$A$40:$A$42,0))*INDEX('Model Inputs &amp; Assumptions'!$H$40:$H$42,MATCH('Model Inputs &amp; Assumptions'!$L$28,'Model Inputs &amp; Assumptions'!$A$40:$A$42,0))</f>
        <v>4293.14494398954</v>
      </c>
      <c r="L75" s="51" t="n">
        <f aca="false">IFERROR(K75/I75,0)</f>
        <v>1.38696501851471</v>
      </c>
      <c r="M75" s="49" t="n">
        <f aca="false">IFERROR(I75/H75,0)</f>
        <v>137.891004781655</v>
      </c>
      <c r="N75" s="52" t="str">
        <f aca="false">'Model Inputs &amp; Assumptions'!$L$28</f>
        <v>PRD-EUAI</v>
      </c>
      <c r="P75" s="53" t="n">
        <v>0.282382</v>
      </c>
      <c r="Q75" s="53" t="n">
        <v>0.73737</v>
      </c>
      <c r="R75" s="53" t="n">
        <v>0.78504</v>
      </c>
      <c r="S75" s="53" t="n">
        <v>-0.191563</v>
      </c>
    </row>
    <row r="76" customFormat="false" ht="15" hidden="false" customHeight="false" outlineLevel="0" collapsed="false">
      <c r="A76" s="43" t="n">
        <v>73</v>
      </c>
      <c r="B76" s="44" t="str">
        <f aca="false">'Model Inputs &amp; Assumptions'!$B$28</f>
        <v>finanzen.net — Q1 Awareness Burst</v>
      </c>
      <c r="C76" s="45" t="n">
        <f aca="false">ROUND(MAX(0,'Model Inputs &amp; Assumptions'!$S$28*EXP('Model Inputs &amp; Assumptions'!$T$28*P76-'Model Inputs &amp; Assumptions'!$T$28^2/2)),0)</f>
        <v>443217</v>
      </c>
      <c r="D76" s="46" t="n">
        <f aca="false">MIN(1,'Model Inputs &amp; Assumptions'!$U$28*EXP('Model Inputs &amp; Assumptions'!$V$28*Q76-'Model Inputs &amp; Assumptions'!$V$28^2/2))</f>
        <v>0</v>
      </c>
      <c r="E76" s="45" t="n">
        <f aca="false">ROUND(C76*D76,0)</f>
        <v>0</v>
      </c>
      <c r="F76" s="47" t="n">
        <f aca="false">MIN(1,'Model Inputs &amp; Assumptions'!$W$28*EXP('Model Inputs &amp; Assumptions'!$X$28*R76-'Model Inputs &amp; Assumptions'!$X$28^2/2))</f>
        <v>0.00180399874886822</v>
      </c>
      <c r="G76" s="45" t="n">
        <f aca="false">ROUND(C76*F76,0)</f>
        <v>800</v>
      </c>
      <c r="H76" s="48" t="n">
        <f aca="false">MAX(0,(C76*'Model Inputs &amp; Assumptions'!$N$28+E76*'Model Inputs &amp; Assumptions'!$O$28+G76*'Model Inputs &amp; Assumptions'!$P$28)*EXP('Model Inputs &amp; Assumptions'!$Q$28*S76-'Model Inputs &amp; Assumptions'!$Q$28^2/2))</f>
        <v>20.9567676072323</v>
      </c>
      <c r="I76" s="49" t="n">
        <f aca="false">IF('Model Inputs &amp; Assumptions'!$H$28="Fixed",'Model Inputs &amp; Assumptions'!$I$28*'Model Inputs &amp; Assumptions'!$K$28,IF('Model Inputs &amp; Assumptions'!$H$28="CPM",'Model Inputs &amp; Assumptions'!$I$28*'Model Inputs &amp; Assumptions'!$K$28*C76/1000,IF('Model Inputs &amp; Assumptions'!$H$28="CPC",'Model Inputs &amp; Assumptions'!$I$28*'Model Inputs &amp; Assumptions'!$K$28*G76,0)))</f>
        <v>2880.9105</v>
      </c>
      <c r="J76" s="50" t="n">
        <f aca="false">H76*INDEX('Model Inputs &amp; Assumptions'!$D$40:$D$42,MATCH('Model Inputs &amp; Assumptions'!$L$28,'Model Inputs &amp; Assumptions'!$A$40:$A$42,0))*INDEX('Model Inputs &amp; Assumptions'!$H$40:$H$42,MATCH('Model Inputs &amp; Assumptions'!$L$28,'Model Inputs &amp; Assumptions'!$A$40:$A$42,0))</f>
        <v>178132.524661475</v>
      </c>
      <c r="K76" s="49" t="n">
        <f aca="false">H76*INDEX('Model Inputs &amp; Assumptions'!$G$40:$G$42,MATCH('Model Inputs &amp; Assumptions'!$L$28,'Model Inputs &amp; Assumptions'!$A$40:$A$42,0))*INDEX('Model Inputs &amp; Assumptions'!$H$40:$H$42,MATCH('Model Inputs &amp; Assumptions'!$L$28,'Model Inputs &amp; Assumptions'!$A$40:$A$42,0))</f>
        <v>4007.98180488318</v>
      </c>
      <c r="L76" s="51" t="n">
        <f aca="false">IFERROR(K76/I76,0)</f>
        <v>1.39122052034702</v>
      </c>
      <c r="M76" s="49" t="n">
        <f aca="false">IFERROR(I76/H76,0)</f>
        <v>137.469220158064</v>
      </c>
      <c r="N76" s="52" t="str">
        <f aca="false">'Model Inputs &amp; Assumptions'!$L$28</f>
        <v>PRD-EUAI</v>
      </c>
      <c r="P76" s="53" t="n">
        <v>-0.116481</v>
      </c>
      <c r="Q76" s="53" t="n">
        <v>-0.574974</v>
      </c>
      <c r="R76" s="53" t="n">
        <v>0.948821</v>
      </c>
      <c r="S76" s="53" t="n">
        <v>-0.301974</v>
      </c>
    </row>
    <row r="77" customFormat="false" ht="15" hidden="false" customHeight="false" outlineLevel="0" collapsed="false">
      <c r="A77" s="43" t="n">
        <v>74</v>
      </c>
      <c r="B77" s="44" t="str">
        <f aca="false">'Model Inputs &amp; Assumptions'!$B$28</f>
        <v>finanzen.net — Q1 Awareness Burst</v>
      </c>
      <c r="C77" s="45" t="n">
        <f aca="false">ROUND(MAX(0,'Model Inputs &amp; Assumptions'!$S$28*EXP('Model Inputs &amp; Assumptions'!$T$28*P77-'Model Inputs &amp; Assumptions'!$T$28^2/2)),0)</f>
        <v>432688</v>
      </c>
      <c r="D77" s="46" t="n">
        <f aca="false">MIN(1,'Model Inputs &amp; Assumptions'!$U$28*EXP('Model Inputs &amp; Assumptions'!$V$28*Q77-'Model Inputs &amp; Assumptions'!$V$28^2/2))</f>
        <v>0</v>
      </c>
      <c r="E77" s="45" t="n">
        <f aca="false">ROUND(C77*D77,0)</f>
        <v>0</v>
      </c>
      <c r="F77" s="47" t="n">
        <f aca="false">MIN(1,'Model Inputs &amp; Assumptions'!$W$28*EXP('Model Inputs &amp; Assumptions'!$X$28*R77-'Model Inputs &amp; Assumptions'!$X$28^2/2))</f>
        <v>0.00134883639090276</v>
      </c>
      <c r="G77" s="45" t="n">
        <f aca="false">ROUND(C77*F77,0)</f>
        <v>584</v>
      </c>
      <c r="H77" s="48" t="n">
        <f aca="false">MAX(0,(C77*'Model Inputs &amp; Assumptions'!$N$28+E77*'Model Inputs &amp; Assumptions'!$O$28+G77*'Model Inputs &amp; Assumptions'!$P$28)*EXP('Model Inputs &amp; Assumptions'!$Q$28*S77-'Model Inputs &amp; Assumptions'!$Q$28^2/2))</f>
        <v>15.5174079225716</v>
      </c>
      <c r="I77" s="49" t="n">
        <f aca="false">IF('Model Inputs &amp; Assumptions'!$H$28="Fixed",'Model Inputs &amp; Assumptions'!$I$28*'Model Inputs &amp; Assumptions'!$K$28,IF('Model Inputs &amp; Assumptions'!$H$28="CPM",'Model Inputs &amp; Assumptions'!$I$28*'Model Inputs &amp; Assumptions'!$K$28*C77/1000,IF('Model Inputs &amp; Assumptions'!$H$28="CPC",'Model Inputs &amp; Assumptions'!$I$28*'Model Inputs &amp; Assumptions'!$K$28*G77,0)))</f>
        <v>2812.472</v>
      </c>
      <c r="J77" s="50" t="n">
        <f aca="false">H77*INDEX('Model Inputs &amp; Assumptions'!$D$40:$D$42,MATCH('Model Inputs &amp; Assumptions'!$L$28,'Model Inputs &amp; Assumptions'!$A$40:$A$42,0))*INDEX('Model Inputs &amp; Assumptions'!$H$40:$H$42,MATCH('Model Inputs &amp; Assumptions'!$L$28,'Model Inputs &amp; Assumptions'!$A$40:$A$42,0))</f>
        <v>131897.967341859</v>
      </c>
      <c r="K77" s="49" t="n">
        <f aca="false">H77*INDEX('Model Inputs &amp; Assumptions'!$G$40:$G$42,MATCH('Model Inputs &amp; Assumptions'!$L$28,'Model Inputs &amp; Assumptions'!$A$40:$A$42,0))*INDEX('Model Inputs &amp; Assumptions'!$H$40:$H$42,MATCH('Model Inputs &amp; Assumptions'!$L$28,'Model Inputs &amp; Assumptions'!$A$40:$A$42,0))</f>
        <v>2967.70426519183</v>
      </c>
      <c r="L77" s="51" t="n">
        <f aca="false">IFERROR(K77/I77,0)</f>
        <v>1.05519424377979</v>
      </c>
      <c r="M77" s="49" t="n">
        <f aca="false">IFERROR(I77/H77,0)</f>
        <v>181.246250277985</v>
      </c>
      <c r="N77" s="52" t="str">
        <f aca="false">'Model Inputs &amp; Assumptions'!$L$28</f>
        <v>PRD-EUAI</v>
      </c>
      <c r="P77" s="53" t="n">
        <v>-0.250051</v>
      </c>
      <c r="Q77" s="53" t="n">
        <v>-0.425484</v>
      </c>
      <c r="R77" s="53" t="n">
        <v>-0.372831</v>
      </c>
      <c r="S77" s="53" t="n">
        <v>-0.254602</v>
      </c>
    </row>
    <row r="78" customFormat="false" ht="15" hidden="false" customHeight="false" outlineLevel="0" collapsed="false">
      <c r="A78" s="43" t="n">
        <v>75</v>
      </c>
      <c r="B78" s="44" t="str">
        <f aca="false">'Model Inputs &amp; Assumptions'!$B$28</f>
        <v>finanzen.net — Q1 Awareness Burst</v>
      </c>
      <c r="C78" s="45" t="n">
        <f aca="false">ROUND(MAX(0,'Model Inputs &amp; Assumptions'!$S$28*EXP('Model Inputs &amp; Assumptions'!$T$28*P78-'Model Inputs &amp; Assumptions'!$T$28^2/2)),0)</f>
        <v>445565</v>
      </c>
      <c r="D78" s="46" t="n">
        <f aca="false">MIN(1,'Model Inputs &amp; Assumptions'!$U$28*EXP('Model Inputs &amp; Assumptions'!$V$28*Q78-'Model Inputs &amp; Assumptions'!$V$28^2/2))</f>
        <v>0</v>
      </c>
      <c r="E78" s="45" t="n">
        <f aca="false">ROUND(C78*D78,0)</f>
        <v>0</v>
      </c>
      <c r="F78" s="47" t="n">
        <f aca="false">MIN(1,'Model Inputs &amp; Assumptions'!$W$28*EXP('Model Inputs &amp; Assumptions'!$X$28*R78-'Model Inputs &amp; Assumptions'!$X$28^2/2))</f>
        <v>0.00115880827524644</v>
      </c>
      <c r="G78" s="45" t="n">
        <f aca="false">ROUND(C78*F78,0)</f>
        <v>516</v>
      </c>
      <c r="H78" s="48" t="n">
        <f aca="false">MAX(0,(C78*'Model Inputs &amp; Assumptions'!$N$28+E78*'Model Inputs &amp; Assumptions'!$O$28+G78*'Model Inputs &amp; Assumptions'!$P$28)*EXP('Model Inputs &amp; Assumptions'!$Q$28*S78-'Model Inputs &amp; Assumptions'!$Q$28^2/2))</f>
        <v>22.0615895759243</v>
      </c>
      <c r="I78" s="49" t="n">
        <f aca="false">IF('Model Inputs &amp; Assumptions'!$H$28="Fixed",'Model Inputs &amp; Assumptions'!$I$28*'Model Inputs &amp; Assumptions'!$K$28,IF('Model Inputs &amp; Assumptions'!$H$28="CPM",'Model Inputs &amp; Assumptions'!$I$28*'Model Inputs &amp; Assumptions'!$K$28*C78/1000,IF('Model Inputs &amp; Assumptions'!$H$28="CPC",'Model Inputs &amp; Assumptions'!$I$28*'Model Inputs &amp; Assumptions'!$K$28*G78,0)))</f>
        <v>2896.1725</v>
      </c>
      <c r="J78" s="50" t="n">
        <f aca="false">H78*INDEX('Model Inputs &amp; Assumptions'!$D$40:$D$42,MATCH('Model Inputs &amp; Assumptions'!$L$28,'Model Inputs &amp; Assumptions'!$A$40:$A$42,0))*INDEX('Model Inputs &amp; Assumptions'!$H$40:$H$42,MATCH('Model Inputs &amp; Assumptions'!$L$28,'Model Inputs &amp; Assumptions'!$A$40:$A$42,0))</f>
        <v>187523.511395357</v>
      </c>
      <c r="K78" s="49" t="n">
        <f aca="false">H78*INDEX('Model Inputs &amp; Assumptions'!$G$40:$G$42,MATCH('Model Inputs &amp; Assumptions'!$L$28,'Model Inputs &amp; Assumptions'!$A$40:$A$42,0))*INDEX('Model Inputs &amp; Assumptions'!$H$40:$H$42,MATCH('Model Inputs &amp; Assumptions'!$L$28,'Model Inputs &amp; Assumptions'!$A$40:$A$42,0))</f>
        <v>4219.27900639553</v>
      </c>
      <c r="L78" s="51" t="n">
        <f aca="false">IFERROR(K78/I78,0)</f>
        <v>1.45684658161609</v>
      </c>
      <c r="M78" s="49" t="n">
        <f aca="false">IFERROR(I78/H78,0)</f>
        <v>131.276692009563</v>
      </c>
      <c r="N78" s="52" t="str">
        <f aca="false">'Model Inputs &amp; Assumptions'!$L$28</f>
        <v>PRD-EUAI</v>
      </c>
      <c r="P78" s="53" t="n">
        <v>-0.087129</v>
      </c>
      <c r="Q78" s="53" t="n">
        <v>-1.230919</v>
      </c>
      <c r="R78" s="53" t="n">
        <v>-1.063059</v>
      </c>
      <c r="S78" s="53" t="n">
        <v>1.330964</v>
      </c>
    </row>
    <row r="79" customFormat="false" ht="15" hidden="false" customHeight="false" outlineLevel="0" collapsed="false">
      <c r="A79" s="43" t="n">
        <v>76</v>
      </c>
      <c r="B79" s="44" t="str">
        <f aca="false">'Model Inputs &amp; Assumptions'!$B$28</f>
        <v>finanzen.net — Q1 Awareness Burst</v>
      </c>
      <c r="C79" s="45" t="n">
        <f aca="false">ROUND(MAX(0,'Model Inputs &amp; Assumptions'!$S$28*EXP('Model Inputs &amp; Assumptions'!$T$28*P79-'Model Inputs &amp; Assumptions'!$T$28^2/2)),0)</f>
        <v>378550</v>
      </c>
      <c r="D79" s="46" t="n">
        <f aca="false">MIN(1,'Model Inputs &amp; Assumptions'!$U$28*EXP('Model Inputs &amp; Assumptions'!$V$28*Q79-'Model Inputs &amp; Assumptions'!$V$28^2/2))</f>
        <v>0</v>
      </c>
      <c r="E79" s="45" t="n">
        <f aca="false">ROUND(C79*D79,0)</f>
        <v>0</v>
      </c>
      <c r="F79" s="47" t="n">
        <f aca="false">MIN(1,'Model Inputs &amp; Assumptions'!$W$28*EXP('Model Inputs &amp; Assumptions'!$X$28*R79-'Model Inputs &amp; Assumptions'!$X$28^2/2))</f>
        <v>0.00144209446742609</v>
      </c>
      <c r="G79" s="45" t="n">
        <f aca="false">ROUND(C79*F79,0)</f>
        <v>546</v>
      </c>
      <c r="H79" s="48" t="n">
        <f aca="false">MAX(0,(C79*'Model Inputs &amp; Assumptions'!$N$28+E79*'Model Inputs &amp; Assumptions'!$O$28+G79*'Model Inputs &amp; Assumptions'!$P$28)*EXP('Model Inputs &amp; Assumptions'!$Q$28*S79-'Model Inputs &amp; Assumptions'!$Q$28^2/2))</f>
        <v>11.5353435958461</v>
      </c>
      <c r="I79" s="49" t="n">
        <f aca="false">IF('Model Inputs &amp; Assumptions'!$H$28="Fixed",'Model Inputs &amp; Assumptions'!$I$28*'Model Inputs &amp; Assumptions'!$K$28,IF('Model Inputs &amp; Assumptions'!$H$28="CPM",'Model Inputs &amp; Assumptions'!$I$28*'Model Inputs &amp; Assumptions'!$K$28*C79/1000,IF('Model Inputs &amp; Assumptions'!$H$28="CPC",'Model Inputs &amp; Assumptions'!$I$28*'Model Inputs &amp; Assumptions'!$K$28*G79,0)))</f>
        <v>2460.575</v>
      </c>
      <c r="J79" s="50" t="n">
        <f aca="false">H79*INDEX('Model Inputs &amp; Assumptions'!$D$40:$D$42,MATCH('Model Inputs &amp; Assumptions'!$L$28,'Model Inputs &amp; Assumptions'!$A$40:$A$42,0))*INDEX('Model Inputs &amp; Assumptions'!$H$40:$H$42,MATCH('Model Inputs &amp; Assumptions'!$L$28,'Model Inputs &amp; Assumptions'!$A$40:$A$42,0))</f>
        <v>98050.4205646921</v>
      </c>
      <c r="K79" s="49" t="n">
        <f aca="false">H79*INDEX('Model Inputs &amp; Assumptions'!$G$40:$G$42,MATCH('Model Inputs &amp; Assumptions'!$L$28,'Model Inputs &amp; Assumptions'!$A$40:$A$42,0))*INDEX('Model Inputs &amp; Assumptions'!$H$40:$H$42,MATCH('Model Inputs &amp; Assumptions'!$L$28,'Model Inputs &amp; Assumptions'!$A$40:$A$42,0))</f>
        <v>2206.13446270557</v>
      </c>
      <c r="L79" s="51" t="n">
        <f aca="false">IFERROR(K79/I79,0)</f>
        <v>0.89659305760059</v>
      </c>
      <c r="M79" s="49" t="n">
        <f aca="false">IFERROR(I79/H79,0)</f>
        <v>213.307473640061</v>
      </c>
      <c r="N79" s="52" t="str">
        <f aca="false">'Model Inputs &amp; Assumptions'!$L$28</f>
        <v>PRD-EUAI</v>
      </c>
      <c r="P79" s="53" t="n">
        <v>-0.992656</v>
      </c>
      <c r="Q79" s="53" t="n">
        <v>-0.823276</v>
      </c>
      <c r="R79" s="53" t="n">
        <v>-0.068948</v>
      </c>
      <c r="S79" s="53" t="n">
        <v>-1.018818</v>
      </c>
    </row>
    <row r="80" customFormat="false" ht="15" hidden="false" customHeight="false" outlineLevel="0" collapsed="false">
      <c r="A80" s="43" t="n">
        <v>77</v>
      </c>
      <c r="B80" s="44" t="str">
        <f aca="false">'Model Inputs &amp; Assumptions'!$B$28</f>
        <v>finanzen.net — Q1 Awareness Burst</v>
      </c>
      <c r="C80" s="45" t="n">
        <f aca="false">ROUND(MAX(0,'Model Inputs &amp; Assumptions'!$S$28*EXP('Model Inputs &amp; Assumptions'!$T$28*P80-'Model Inputs &amp; Assumptions'!$T$28^2/2)),0)</f>
        <v>543859</v>
      </c>
      <c r="D80" s="46" t="n">
        <f aca="false">MIN(1,'Model Inputs &amp; Assumptions'!$U$28*EXP('Model Inputs &amp; Assumptions'!$V$28*Q80-'Model Inputs &amp; Assumptions'!$V$28^2/2))</f>
        <v>0</v>
      </c>
      <c r="E80" s="45" t="n">
        <f aca="false">ROUND(C80*D80,0)</f>
        <v>0</v>
      </c>
      <c r="F80" s="47" t="n">
        <f aca="false">MIN(1,'Model Inputs &amp; Assumptions'!$W$28*EXP('Model Inputs &amp; Assumptions'!$X$28*R80-'Model Inputs &amp; Assumptions'!$X$28^2/2))</f>
        <v>0.00106649262963476</v>
      </c>
      <c r="G80" s="45" t="n">
        <f aca="false">ROUND(C80*F80,0)</f>
        <v>580</v>
      </c>
      <c r="H80" s="48" t="n">
        <f aca="false">MAX(0,(C80*'Model Inputs &amp; Assumptions'!$N$28+E80*'Model Inputs &amp; Assumptions'!$O$28+G80*'Model Inputs &amp; Assumptions'!$P$28)*EXP('Model Inputs &amp; Assumptions'!$Q$28*S80-'Model Inputs &amp; Assumptions'!$Q$28^2/2))</f>
        <v>8.92539787246964</v>
      </c>
      <c r="I80" s="49" t="n">
        <f aca="false">IF('Model Inputs &amp; Assumptions'!$H$28="Fixed",'Model Inputs &amp; Assumptions'!$I$28*'Model Inputs &amp; Assumptions'!$K$28,IF('Model Inputs &amp; Assumptions'!$H$28="CPM",'Model Inputs &amp; Assumptions'!$I$28*'Model Inputs &amp; Assumptions'!$K$28*C80/1000,IF('Model Inputs &amp; Assumptions'!$H$28="CPC",'Model Inputs &amp; Assumptions'!$I$28*'Model Inputs &amp; Assumptions'!$K$28*G80,0)))</f>
        <v>3535.0835</v>
      </c>
      <c r="J80" s="50" t="n">
        <f aca="false">H80*INDEX('Model Inputs &amp; Assumptions'!$D$40:$D$42,MATCH('Model Inputs &amp; Assumptions'!$L$28,'Model Inputs &amp; Assumptions'!$A$40:$A$42,0))*INDEX('Model Inputs &amp; Assumptions'!$H$40:$H$42,MATCH('Model Inputs &amp; Assumptions'!$L$28,'Model Inputs &amp; Assumptions'!$A$40:$A$42,0))</f>
        <v>75865.8819159919</v>
      </c>
      <c r="K80" s="49" t="n">
        <f aca="false">H80*INDEX('Model Inputs &amp; Assumptions'!$G$40:$G$42,MATCH('Model Inputs &amp; Assumptions'!$L$28,'Model Inputs &amp; Assumptions'!$A$40:$A$42,0))*INDEX('Model Inputs &amp; Assumptions'!$H$40:$H$42,MATCH('Model Inputs &amp; Assumptions'!$L$28,'Model Inputs &amp; Assumptions'!$A$40:$A$42,0))</f>
        <v>1706.98234310982</v>
      </c>
      <c r="L80" s="51" t="n">
        <f aca="false">IFERROR(K80/I80,0)</f>
        <v>0.482869030706013</v>
      </c>
      <c r="M80" s="49" t="n">
        <f aca="false">IFERROR(I80/H80,0)</f>
        <v>396.070130487287</v>
      </c>
      <c r="N80" s="52" t="str">
        <f aca="false">'Model Inputs &amp; Assumptions'!$L$28</f>
        <v>PRD-EUAI</v>
      </c>
      <c r="P80" s="53" t="n">
        <v>1.020351</v>
      </c>
      <c r="Q80" s="53" t="n">
        <v>1.737993</v>
      </c>
      <c r="R80" s="53" t="n">
        <v>-1.440408</v>
      </c>
      <c r="S80" s="53" t="n">
        <v>-2.075231</v>
      </c>
    </row>
    <row r="81" customFormat="false" ht="15" hidden="false" customHeight="false" outlineLevel="0" collapsed="false">
      <c r="A81" s="43" t="n">
        <v>78</v>
      </c>
      <c r="B81" s="44" t="str">
        <f aca="false">'Model Inputs &amp; Assumptions'!$B$28</f>
        <v>finanzen.net — Q1 Awareness Burst</v>
      </c>
      <c r="C81" s="45" t="n">
        <f aca="false">ROUND(MAX(0,'Model Inputs &amp; Assumptions'!$S$28*EXP('Model Inputs &amp; Assumptions'!$T$28*P81-'Model Inputs &amp; Assumptions'!$T$28^2/2)),0)</f>
        <v>587263</v>
      </c>
      <c r="D81" s="46" t="n">
        <f aca="false">MIN(1,'Model Inputs &amp; Assumptions'!$U$28*EXP('Model Inputs &amp; Assumptions'!$V$28*Q81-'Model Inputs &amp; Assumptions'!$V$28^2/2))</f>
        <v>0</v>
      </c>
      <c r="E81" s="45" t="n">
        <f aca="false">ROUND(C81*D81,0)</f>
        <v>0</v>
      </c>
      <c r="F81" s="47" t="n">
        <f aca="false">MIN(1,'Model Inputs &amp; Assumptions'!$W$28*EXP('Model Inputs &amp; Assumptions'!$X$28*R81-'Model Inputs &amp; Assumptions'!$X$28^2/2))</f>
        <v>0.00140608601428681</v>
      </c>
      <c r="G81" s="45" t="n">
        <f aca="false">ROUND(C81*F81,0)</f>
        <v>826</v>
      </c>
      <c r="H81" s="48" t="n">
        <f aca="false">MAX(0,(C81*'Model Inputs &amp; Assumptions'!$N$28+E81*'Model Inputs &amp; Assumptions'!$O$28+G81*'Model Inputs &amp; Assumptions'!$P$28)*EXP('Model Inputs &amp; Assumptions'!$Q$28*S81-'Model Inputs &amp; Assumptions'!$Q$28^2/2))</f>
        <v>22.2000063785662</v>
      </c>
      <c r="I81" s="49" t="n">
        <f aca="false">IF('Model Inputs &amp; Assumptions'!$H$28="Fixed",'Model Inputs &amp; Assumptions'!$I$28*'Model Inputs &amp; Assumptions'!$K$28,IF('Model Inputs &amp; Assumptions'!$H$28="CPM",'Model Inputs &amp; Assumptions'!$I$28*'Model Inputs &amp; Assumptions'!$K$28*C81/1000,IF('Model Inputs &amp; Assumptions'!$H$28="CPC",'Model Inputs &amp; Assumptions'!$I$28*'Model Inputs &amp; Assumptions'!$K$28*G81,0)))</f>
        <v>3817.2095</v>
      </c>
      <c r="J81" s="50" t="n">
        <f aca="false">H81*INDEX('Model Inputs &amp; Assumptions'!$D$40:$D$42,MATCH('Model Inputs &amp; Assumptions'!$L$28,'Model Inputs &amp; Assumptions'!$A$40:$A$42,0))*INDEX('Model Inputs &amp; Assumptions'!$H$40:$H$42,MATCH('Model Inputs &amp; Assumptions'!$L$28,'Model Inputs &amp; Assumptions'!$A$40:$A$42,0))</f>
        <v>188700.054217813</v>
      </c>
      <c r="K81" s="49" t="n">
        <f aca="false">H81*INDEX('Model Inputs &amp; Assumptions'!$G$40:$G$42,MATCH('Model Inputs &amp; Assumptions'!$L$28,'Model Inputs &amp; Assumptions'!$A$40:$A$42,0))*INDEX('Model Inputs &amp; Assumptions'!$H$40:$H$42,MATCH('Model Inputs &amp; Assumptions'!$L$28,'Model Inputs &amp; Assumptions'!$A$40:$A$42,0))</f>
        <v>4245.75121990079</v>
      </c>
      <c r="L81" s="51" t="n">
        <f aca="false">IFERROR(K81/I81,0)</f>
        <v>1.11226570611354</v>
      </c>
      <c r="M81" s="49" t="n">
        <f aca="false">IFERROR(I81/H81,0)</f>
        <v>171.946324469774</v>
      </c>
      <c r="N81" s="52" t="str">
        <f aca="false">'Model Inputs &amp; Assumptions'!$L$28</f>
        <v>PRD-EUAI</v>
      </c>
      <c r="P81" s="53" t="n">
        <v>1.446921</v>
      </c>
      <c r="Q81" s="53" t="n">
        <v>0.616234</v>
      </c>
      <c r="R81" s="53" t="n">
        <v>-0.183887</v>
      </c>
      <c r="S81" s="53" t="n">
        <v>-0.216481</v>
      </c>
    </row>
    <row r="82" customFormat="false" ht="15" hidden="false" customHeight="false" outlineLevel="0" collapsed="false">
      <c r="A82" s="43" t="n">
        <v>79</v>
      </c>
      <c r="B82" s="44" t="str">
        <f aca="false">'Model Inputs &amp; Assumptions'!$B$28</f>
        <v>finanzen.net — Q1 Awareness Burst</v>
      </c>
      <c r="C82" s="45" t="n">
        <f aca="false">ROUND(MAX(0,'Model Inputs &amp; Assumptions'!$S$28*EXP('Model Inputs &amp; Assumptions'!$T$28*P82-'Model Inputs &amp; Assumptions'!$T$28^2/2)),0)</f>
        <v>467123</v>
      </c>
      <c r="D82" s="46" t="n">
        <f aca="false">MIN(1,'Model Inputs &amp; Assumptions'!$U$28*EXP('Model Inputs &amp; Assumptions'!$V$28*Q82-'Model Inputs &amp; Assumptions'!$V$28^2/2))</f>
        <v>0</v>
      </c>
      <c r="E82" s="45" t="n">
        <f aca="false">ROUND(C82*D82,0)</f>
        <v>0</v>
      </c>
      <c r="F82" s="47" t="n">
        <f aca="false">MIN(1,'Model Inputs &amp; Assumptions'!$W$28*EXP('Model Inputs &amp; Assumptions'!$X$28*R82-'Model Inputs &amp; Assumptions'!$X$28^2/2))</f>
        <v>0.00168507027321731</v>
      </c>
      <c r="G82" s="45" t="n">
        <f aca="false">ROUND(C82*F82,0)</f>
        <v>787</v>
      </c>
      <c r="H82" s="48" t="n">
        <f aca="false">MAX(0,(C82*'Model Inputs &amp; Assumptions'!$N$28+E82*'Model Inputs &amp; Assumptions'!$O$28+G82*'Model Inputs &amp; Assumptions'!$P$28)*EXP('Model Inputs &amp; Assumptions'!$Q$28*S82-'Model Inputs &amp; Assumptions'!$Q$28^2/2))</f>
        <v>11.1684043456241</v>
      </c>
      <c r="I82" s="49" t="n">
        <f aca="false">IF('Model Inputs &amp; Assumptions'!$H$28="Fixed",'Model Inputs &amp; Assumptions'!$I$28*'Model Inputs &amp; Assumptions'!$K$28,IF('Model Inputs &amp; Assumptions'!$H$28="CPM",'Model Inputs &amp; Assumptions'!$I$28*'Model Inputs &amp; Assumptions'!$K$28*C82/1000,IF('Model Inputs &amp; Assumptions'!$H$28="CPC",'Model Inputs &amp; Assumptions'!$I$28*'Model Inputs &amp; Assumptions'!$K$28*G82,0)))</f>
        <v>3036.2995</v>
      </c>
      <c r="J82" s="50" t="n">
        <f aca="false">H82*INDEX('Model Inputs &amp; Assumptions'!$D$40:$D$42,MATCH('Model Inputs &amp; Assumptions'!$L$28,'Model Inputs &amp; Assumptions'!$A$40:$A$42,0))*INDEX('Model Inputs &amp; Assumptions'!$H$40:$H$42,MATCH('Model Inputs &amp; Assumptions'!$L$28,'Model Inputs &amp; Assumptions'!$A$40:$A$42,0))</f>
        <v>94931.4369378048</v>
      </c>
      <c r="K82" s="49" t="n">
        <f aca="false">H82*INDEX('Model Inputs &amp; Assumptions'!$G$40:$G$42,MATCH('Model Inputs &amp; Assumptions'!$L$28,'Model Inputs &amp; Assumptions'!$A$40:$A$42,0))*INDEX('Model Inputs &amp; Assumptions'!$H$40:$H$42,MATCH('Model Inputs &amp; Assumptions'!$L$28,'Model Inputs &amp; Assumptions'!$A$40:$A$42,0))</f>
        <v>2135.95733110061</v>
      </c>
      <c r="L82" s="51" t="n">
        <f aca="false">IFERROR(K82/I82,0)</f>
        <v>0.703473860566327</v>
      </c>
      <c r="M82" s="49" t="n">
        <f aca="false">IFERROR(I82/H82,0)</f>
        <v>271.865112153614</v>
      </c>
      <c r="N82" s="52" t="str">
        <f aca="false">'Model Inputs &amp; Assumptions'!$L$28</f>
        <v>PRD-EUAI</v>
      </c>
      <c r="P82" s="53" t="n">
        <v>0.175371</v>
      </c>
      <c r="Q82" s="53" t="n">
        <v>0.15038</v>
      </c>
      <c r="R82" s="53" t="n">
        <v>0.638828</v>
      </c>
      <c r="S82" s="53" t="n">
        <v>-2.345272</v>
      </c>
    </row>
    <row r="83" customFormat="false" ht="15" hidden="false" customHeight="false" outlineLevel="0" collapsed="false">
      <c r="A83" s="43" t="n">
        <v>80</v>
      </c>
      <c r="B83" s="44" t="str">
        <f aca="false">'Model Inputs &amp; Assumptions'!$B$28</f>
        <v>finanzen.net — Q1 Awareness Burst</v>
      </c>
      <c r="C83" s="45" t="n">
        <f aca="false">ROUND(MAX(0,'Model Inputs &amp; Assumptions'!$S$28*EXP('Model Inputs &amp; Assumptions'!$T$28*P83-'Model Inputs &amp; Assumptions'!$T$28^2/2)),0)</f>
        <v>411738</v>
      </c>
      <c r="D83" s="46" t="n">
        <f aca="false">MIN(1,'Model Inputs &amp; Assumptions'!$U$28*EXP('Model Inputs &amp; Assumptions'!$V$28*Q83-'Model Inputs &amp; Assumptions'!$V$28^2/2))</f>
        <v>0</v>
      </c>
      <c r="E83" s="45" t="n">
        <f aca="false">ROUND(C83*D83,0)</f>
        <v>0</v>
      </c>
      <c r="F83" s="47" t="n">
        <f aca="false">MIN(1,'Model Inputs &amp; Assumptions'!$W$28*EXP('Model Inputs &amp; Assumptions'!$X$28*R83-'Model Inputs &amp; Assumptions'!$X$28^2/2))</f>
        <v>0.0017799813524691</v>
      </c>
      <c r="G83" s="45" t="n">
        <f aca="false">ROUND(C83*F83,0)</f>
        <v>733</v>
      </c>
      <c r="H83" s="48" t="n">
        <f aca="false">MAX(0,(C83*'Model Inputs &amp; Assumptions'!$N$28+E83*'Model Inputs &amp; Assumptions'!$O$28+G83*'Model Inputs &amp; Assumptions'!$P$28)*EXP('Model Inputs &amp; Assumptions'!$Q$28*S83-'Model Inputs &amp; Assumptions'!$Q$28^2/2))</f>
        <v>15.8996453598688</v>
      </c>
      <c r="I83" s="49" t="n">
        <f aca="false">IF('Model Inputs &amp; Assumptions'!$H$28="Fixed",'Model Inputs &amp; Assumptions'!$I$28*'Model Inputs &amp; Assumptions'!$K$28,IF('Model Inputs &amp; Assumptions'!$H$28="CPM",'Model Inputs &amp; Assumptions'!$I$28*'Model Inputs &amp; Assumptions'!$K$28*C83/1000,IF('Model Inputs &amp; Assumptions'!$H$28="CPC",'Model Inputs &amp; Assumptions'!$I$28*'Model Inputs &amp; Assumptions'!$K$28*G83,0)))</f>
        <v>2676.297</v>
      </c>
      <c r="J83" s="50" t="n">
        <f aca="false">H83*INDEX('Model Inputs &amp; Assumptions'!$D$40:$D$42,MATCH('Model Inputs &amp; Assumptions'!$L$28,'Model Inputs &amp; Assumptions'!$A$40:$A$42,0))*INDEX('Model Inputs &amp; Assumptions'!$H$40:$H$42,MATCH('Model Inputs &amp; Assumptions'!$L$28,'Model Inputs &amp; Assumptions'!$A$40:$A$42,0))</f>
        <v>135146.985558885</v>
      </c>
      <c r="K83" s="49" t="n">
        <f aca="false">H83*INDEX('Model Inputs &amp; Assumptions'!$G$40:$G$42,MATCH('Model Inputs &amp; Assumptions'!$L$28,'Model Inputs &amp; Assumptions'!$A$40:$A$42,0))*INDEX('Model Inputs &amp; Assumptions'!$H$40:$H$42,MATCH('Model Inputs &amp; Assumptions'!$L$28,'Model Inputs &amp; Assumptions'!$A$40:$A$42,0))</f>
        <v>3040.8071750749</v>
      </c>
      <c r="L83" s="51" t="n">
        <f aca="false">IFERROR(K83/I83,0)</f>
        <v>1.13619944837023</v>
      </c>
      <c r="M83" s="49" t="n">
        <f aca="false">IFERROR(I83/H83,0)</f>
        <v>168.324320412521</v>
      </c>
      <c r="N83" s="52" t="str">
        <f aca="false">'Model Inputs &amp; Assumptions'!$L$28</f>
        <v>PRD-EUAI</v>
      </c>
      <c r="P83" s="53" t="n">
        <v>-0.52578</v>
      </c>
      <c r="Q83" s="53" t="n">
        <v>-0.590775</v>
      </c>
      <c r="R83" s="53" t="n">
        <v>0.887899</v>
      </c>
      <c r="S83" s="53" t="n">
        <v>-0.93097</v>
      </c>
    </row>
    <row r="84" customFormat="false" ht="15" hidden="false" customHeight="false" outlineLevel="0" collapsed="false">
      <c r="A84" s="43" t="n">
        <v>81</v>
      </c>
      <c r="B84" s="44" t="str">
        <f aca="false">'Model Inputs &amp; Assumptions'!$B$28</f>
        <v>finanzen.net — Q1 Awareness Burst</v>
      </c>
      <c r="C84" s="45" t="n">
        <f aca="false">ROUND(MAX(0,'Model Inputs &amp; Assumptions'!$S$28*EXP('Model Inputs &amp; Assumptions'!$T$28*P84-'Model Inputs &amp; Assumptions'!$T$28^2/2)),0)</f>
        <v>399948</v>
      </c>
      <c r="D84" s="46" t="n">
        <f aca="false">MIN(1,'Model Inputs &amp; Assumptions'!$U$28*EXP('Model Inputs &amp; Assumptions'!$V$28*Q84-'Model Inputs &amp; Assumptions'!$V$28^2/2))</f>
        <v>0</v>
      </c>
      <c r="E84" s="45" t="n">
        <f aca="false">ROUND(C84*D84,0)</f>
        <v>0</v>
      </c>
      <c r="F84" s="47" t="n">
        <f aca="false">MIN(1,'Model Inputs &amp; Assumptions'!$W$28*EXP('Model Inputs &amp; Assumptions'!$X$28*R84-'Model Inputs &amp; Assumptions'!$X$28^2/2))</f>
        <v>0.00164544155075032</v>
      </c>
      <c r="G84" s="45" t="n">
        <f aca="false">ROUND(C84*F84,0)</f>
        <v>658</v>
      </c>
      <c r="H84" s="48" t="n">
        <f aca="false">MAX(0,(C84*'Model Inputs &amp; Assumptions'!$N$28+E84*'Model Inputs &amp; Assumptions'!$O$28+G84*'Model Inputs &amp; Assumptions'!$P$28)*EXP('Model Inputs &amp; Assumptions'!$Q$28*S84-'Model Inputs &amp; Assumptions'!$Q$28^2/2))</f>
        <v>14.7903158775832</v>
      </c>
      <c r="I84" s="49" t="n">
        <f aca="false">IF('Model Inputs &amp; Assumptions'!$H$28="Fixed",'Model Inputs &amp; Assumptions'!$I$28*'Model Inputs &amp; Assumptions'!$K$28,IF('Model Inputs &amp; Assumptions'!$H$28="CPM",'Model Inputs &amp; Assumptions'!$I$28*'Model Inputs &amp; Assumptions'!$K$28*C84/1000,IF('Model Inputs &amp; Assumptions'!$H$28="CPC",'Model Inputs &amp; Assumptions'!$I$28*'Model Inputs &amp; Assumptions'!$K$28*G84,0)))</f>
        <v>2599.662</v>
      </c>
      <c r="J84" s="50" t="n">
        <f aca="false">H84*INDEX('Model Inputs &amp; Assumptions'!$D$40:$D$42,MATCH('Model Inputs &amp; Assumptions'!$L$28,'Model Inputs &amp; Assumptions'!$A$40:$A$42,0))*INDEX('Model Inputs &amp; Assumptions'!$H$40:$H$42,MATCH('Model Inputs &amp; Assumptions'!$L$28,'Model Inputs &amp; Assumptions'!$A$40:$A$42,0))</f>
        <v>125717.684959457</v>
      </c>
      <c r="K84" s="49" t="n">
        <f aca="false">H84*INDEX('Model Inputs &amp; Assumptions'!$G$40:$G$42,MATCH('Model Inputs &amp; Assumptions'!$L$28,'Model Inputs &amp; Assumptions'!$A$40:$A$42,0))*INDEX('Model Inputs &amp; Assumptions'!$H$40:$H$42,MATCH('Model Inputs &amp; Assumptions'!$L$28,'Model Inputs &amp; Assumptions'!$A$40:$A$42,0))</f>
        <v>2828.64791158778</v>
      </c>
      <c r="L84" s="51" t="n">
        <f aca="false">IFERROR(K84/I84,0)</f>
        <v>1.08808295524102</v>
      </c>
      <c r="M84" s="49" t="n">
        <f aca="false">IFERROR(I84/H84,0)</f>
        <v>175.767848470373</v>
      </c>
      <c r="N84" s="52" t="str">
        <f aca="false">'Model Inputs &amp; Assumptions'!$L$28</f>
        <v>PRD-EUAI</v>
      </c>
      <c r="P84" s="53" t="n">
        <v>-0.687181</v>
      </c>
      <c r="Q84" s="53" t="n">
        <v>-2.423184</v>
      </c>
      <c r="R84" s="53" t="n">
        <v>0.530653</v>
      </c>
      <c r="S84" s="53" t="n">
        <v>-0.812248</v>
      </c>
    </row>
    <row r="85" customFormat="false" ht="15" hidden="false" customHeight="false" outlineLevel="0" collapsed="false">
      <c r="A85" s="43" t="n">
        <v>82</v>
      </c>
      <c r="B85" s="44" t="str">
        <f aca="false">'Model Inputs &amp; Assumptions'!$B$28</f>
        <v>finanzen.net — Q1 Awareness Burst</v>
      </c>
      <c r="C85" s="45" t="n">
        <f aca="false">ROUND(MAX(0,'Model Inputs &amp; Assumptions'!$S$28*EXP('Model Inputs &amp; Assumptions'!$T$28*P85-'Model Inputs &amp; Assumptions'!$T$28^2/2)),0)</f>
        <v>422636</v>
      </c>
      <c r="D85" s="46" t="n">
        <f aca="false">MIN(1,'Model Inputs &amp; Assumptions'!$U$28*EXP('Model Inputs &amp; Assumptions'!$V$28*Q85-'Model Inputs &amp; Assumptions'!$V$28^2/2))</f>
        <v>0</v>
      </c>
      <c r="E85" s="45" t="n">
        <f aca="false">ROUND(C85*D85,0)</f>
        <v>0</v>
      </c>
      <c r="F85" s="47" t="n">
        <f aca="false">MIN(1,'Model Inputs &amp; Assumptions'!$W$28*EXP('Model Inputs &amp; Assumptions'!$X$28*R85-'Model Inputs &amp; Assumptions'!$X$28^2/2))</f>
        <v>0.00129207669894661</v>
      </c>
      <c r="G85" s="45" t="n">
        <f aca="false">ROUND(C85*F85,0)</f>
        <v>546</v>
      </c>
      <c r="H85" s="48" t="n">
        <f aca="false">MAX(0,(C85*'Model Inputs &amp; Assumptions'!$N$28+E85*'Model Inputs &amp; Assumptions'!$O$28+G85*'Model Inputs &amp; Assumptions'!$P$28)*EXP('Model Inputs &amp; Assumptions'!$Q$28*S85-'Model Inputs &amp; Assumptions'!$Q$28^2/2))</f>
        <v>8.84840554538421</v>
      </c>
      <c r="I85" s="49" t="n">
        <f aca="false">IF('Model Inputs &amp; Assumptions'!$H$28="Fixed",'Model Inputs &amp; Assumptions'!$I$28*'Model Inputs &amp; Assumptions'!$K$28,IF('Model Inputs &amp; Assumptions'!$H$28="CPM",'Model Inputs &amp; Assumptions'!$I$28*'Model Inputs &amp; Assumptions'!$K$28*C85/1000,IF('Model Inputs &amp; Assumptions'!$H$28="CPC",'Model Inputs &amp; Assumptions'!$I$28*'Model Inputs &amp; Assumptions'!$K$28*G85,0)))</f>
        <v>2747.134</v>
      </c>
      <c r="J85" s="50" t="n">
        <f aca="false">H85*INDEX('Model Inputs &amp; Assumptions'!$D$40:$D$42,MATCH('Model Inputs &amp; Assumptions'!$L$28,'Model Inputs &amp; Assumptions'!$A$40:$A$42,0))*INDEX('Model Inputs &amp; Assumptions'!$H$40:$H$42,MATCH('Model Inputs &amp; Assumptions'!$L$28,'Model Inputs &amp; Assumptions'!$A$40:$A$42,0))</f>
        <v>75211.4471357658</v>
      </c>
      <c r="K85" s="49" t="n">
        <f aca="false">H85*INDEX('Model Inputs &amp; Assumptions'!$G$40:$G$42,MATCH('Model Inputs &amp; Assumptions'!$L$28,'Model Inputs &amp; Assumptions'!$A$40:$A$42,0))*INDEX('Model Inputs &amp; Assumptions'!$H$40:$H$42,MATCH('Model Inputs &amp; Assumptions'!$L$28,'Model Inputs &amp; Assumptions'!$A$40:$A$42,0))</f>
        <v>1692.25756055473</v>
      </c>
      <c r="L85" s="51" t="n">
        <f aca="false">IFERROR(K85/I85,0)</f>
        <v>0.616008378388069</v>
      </c>
      <c r="M85" s="49" t="n">
        <f aca="false">IFERROR(I85/H85,0)</f>
        <v>310.466556478421</v>
      </c>
      <c r="N85" s="52" t="str">
        <f aca="false">'Model Inputs &amp; Assumptions'!$L$28</f>
        <v>PRD-EUAI</v>
      </c>
      <c r="P85" s="53" t="n">
        <v>-0.380634</v>
      </c>
      <c r="Q85" s="53" t="n">
        <v>-0.132054</v>
      </c>
      <c r="R85" s="53" t="n">
        <v>-0.568247</v>
      </c>
      <c r="S85" s="53" t="n">
        <v>-1.902746</v>
      </c>
    </row>
    <row r="86" customFormat="false" ht="15" hidden="false" customHeight="false" outlineLevel="0" collapsed="false">
      <c r="A86" s="43" t="n">
        <v>83</v>
      </c>
      <c r="B86" s="44" t="str">
        <f aca="false">'Model Inputs &amp; Assumptions'!$B$28</f>
        <v>finanzen.net — Q1 Awareness Burst</v>
      </c>
      <c r="C86" s="45" t="n">
        <f aca="false">ROUND(MAX(0,'Model Inputs &amp; Assumptions'!$S$28*EXP('Model Inputs &amp; Assumptions'!$T$28*P86-'Model Inputs &amp; Assumptions'!$T$28^2/2)),0)</f>
        <v>492217</v>
      </c>
      <c r="D86" s="46" t="n">
        <f aca="false">MIN(1,'Model Inputs &amp; Assumptions'!$U$28*EXP('Model Inputs &amp; Assumptions'!$V$28*Q86-'Model Inputs &amp; Assumptions'!$V$28^2/2))</f>
        <v>0</v>
      </c>
      <c r="E86" s="45" t="n">
        <f aca="false">ROUND(C86*D86,0)</f>
        <v>0</v>
      </c>
      <c r="F86" s="47" t="n">
        <f aca="false">MIN(1,'Model Inputs &amp; Assumptions'!$W$28*EXP('Model Inputs &amp; Assumptions'!$X$28*R86-'Model Inputs &amp; Assumptions'!$X$28^2/2))</f>
        <v>0.00208107849825026</v>
      </c>
      <c r="G86" s="45" t="n">
        <f aca="false">ROUND(C86*F86,0)</f>
        <v>1024</v>
      </c>
      <c r="H86" s="48" t="n">
        <f aca="false">MAX(0,(C86*'Model Inputs &amp; Assumptions'!$N$28+E86*'Model Inputs &amp; Assumptions'!$O$28+G86*'Model Inputs &amp; Assumptions'!$P$28)*EXP('Model Inputs &amp; Assumptions'!$Q$28*S86-'Model Inputs &amp; Assumptions'!$Q$28^2/2))</f>
        <v>30.8474721906495</v>
      </c>
      <c r="I86" s="49" t="n">
        <f aca="false">IF('Model Inputs &amp; Assumptions'!$H$28="Fixed",'Model Inputs &amp; Assumptions'!$I$28*'Model Inputs &amp; Assumptions'!$K$28,IF('Model Inputs &amp; Assumptions'!$H$28="CPM",'Model Inputs &amp; Assumptions'!$I$28*'Model Inputs &amp; Assumptions'!$K$28*C86/1000,IF('Model Inputs &amp; Assumptions'!$H$28="CPC",'Model Inputs &amp; Assumptions'!$I$28*'Model Inputs &amp; Assumptions'!$K$28*G86,0)))</f>
        <v>3199.4105</v>
      </c>
      <c r="J86" s="50" t="n">
        <f aca="false">H86*INDEX('Model Inputs &amp; Assumptions'!$D$40:$D$42,MATCH('Model Inputs &amp; Assumptions'!$L$28,'Model Inputs &amp; Assumptions'!$A$40:$A$42,0))*INDEX('Model Inputs &amp; Assumptions'!$H$40:$H$42,MATCH('Model Inputs &amp; Assumptions'!$L$28,'Model Inputs &amp; Assumptions'!$A$40:$A$42,0))</f>
        <v>262203.513620521</v>
      </c>
      <c r="K86" s="49" t="n">
        <f aca="false">H86*INDEX('Model Inputs &amp; Assumptions'!$G$40:$G$42,MATCH('Model Inputs &amp; Assumptions'!$L$28,'Model Inputs &amp; Assumptions'!$A$40:$A$42,0))*INDEX('Model Inputs &amp; Assumptions'!$H$40:$H$42,MATCH('Model Inputs &amp; Assumptions'!$L$28,'Model Inputs &amp; Assumptions'!$A$40:$A$42,0))</f>
        <v>5899.57905646172</v>
      </c>
      <c r="L86" s="51" t="n">
        <f aca="false">IFERROR(K86/I86,0)</f>
        <v>1.84395814680914</v>
      </c>
      <c r="M86" s="49" t="n">
        <f aca="false">IFERROR(I86/H86,0)</f>
        <v>103.717104605084</v>
      </c>
      <c r="N86" s="52" t="str">
        <f aca="false">'Model Inputs &amp; Assumptions'!$L$28</f>
        <v>PRD-EUAI</v>
      </c>
      <c r="P86" s="53" t="n">
        <v>0.46607</v>
      </c>
      <c r="Q86" s="53" t="n">
        <v>-0.382516</v>
      </c>
      <c r="R86" s="53" t="n">
        <v>1.598278</v>
      </c>
      <c r="S86" s="53" t="n">
        <v>0.163803</v>
      </c>
    </row>
    <row r="87" customFormat="false" ht="15" hidden="false" customHeight="false" outlineLevel="0" collapsed="false">
      <c r="A87" s="43" t="n">
        <v>84</v>
      </c>
      <c r="B87" s="44" t="str">
        <f aca="false">'Model Inputs &amp; Assumptions'!$B$28</f>
        <v>finanzen.net — Q1 Awareness Burst</v>
      </c>
      <c r="C87" s="45" t="n">
        <f aca="false">ROUND(MAX(0,'Model Inputs &amp; Assumptions'!$S$28*EXP('Model Inputs &amp; Assumptions'!$T$28*P87-'Model Inputs &amp; Assumptions'!$T$28^2/2)),0)</f>
        <v>507160</v>
      </c>
      <c r="D87" s="46" t="n">
        <f aca="false">MIN(1,'Model Inputs &amp; Assumptions'!$U$28*EXP('Model Inputs &amp; Assumptions'!$V$28*Q87-'Model Inputs &amp; Assumptions'!$V$28^2/2))</f>
        <v>0</v>
      </c>
      <c r="E87" s="45" t="n">
        <f aca="false">ROUND(C87*D87,0)</f>
        <v>0</v>
      </c>
      <c r="F87" s="47" t="n">
        <f aca="false">MIN(1,'Model Inputs &amp; Assumptions'!$W$28*EXP('Model Inputs &amp; Assumptions'!$X$28*R87-'Model Inputs &amp; Assumptions'!$X$28^2/2))</f>
        <v>0.00210920269858389</v>
      </c>
      <c r="G87" s="45" t="n">
        <f aca="false">ROUND(C87*F87,0)</f>
        <v>1070</v>
      </c>
      <c r="H87" s="48" t="n">
        <f aca="false">MAX(0,(C87*'Model Inputs &amp; Assumptions'!$N$28+E87*'Model Inputs &amp; Assumptions'!$O$28+G87*'Model Inputs &amp; Assumptions'!$P$28)*EXP('Model Inputs &amp; Assumptions'!$Q$28*S87-'Model Inputs &amp; Assumptions'!$Q$28^2/2))</f>
        <v>42.7006537377937</v>
      </c>
      <c r="I87" s="49" t="n">
        <f aca="false">IF('Model Inputs &amp; Assumptions'!$H$28="Fixed",'Model Inputs &amp; Assumptions'!$I$28*'Model Inputs &amp; Assumptions'!$K$28,IF('Model Inputs &amp; Assumptions'!$H$28="CPM",'Model Inputs &amp; Assumptions'!$I$28*'Model Inputs &amp; Assumptions'!$K$28*C87/1000,IF('Model Inputs &amp; Assumptions'!$H$28="CPC",'Model Inputs &amp; Assumptions'!$I$28*'Model Inputs &amp; Assumptions'!$K$28*G87,0)))</f>
        <v>3296.54</v>
      </c>
      <c r="J87" s="50" t="n">
        <f aca="false">H87*INDEX('Model Inputs &amp; Assumptions'!$D$40:$D$42,MATCH('Model Inputs &amp; Assumptions'!$L$28,'Model Inputs &amp; Assumptions'!$A$40:$A$42,0))*INDEX('Model Inputs &amp; Assumptions'!$H$40:$H$42,MATCH('Model Inputs &amp; Assumptions'!$L$28,'Model Inputs &amp; Assumptions'!$A$40:$A$42,0))</f>
        <v>362955.556771247</v>
      </c>
      <c r="K87" s="49" t="n">
        <f aca="false">H87*INDEX('Model Inputs &amp; Assumptions'!$G$40:$G$42,MATCH('Model Inputs &amp; Assumptions'!$L$28,'Model Inputs &amp; Assumptions'!$A$40:$A$42,0))*INDEX('Model Inputs &amp; Assumptions'!$H$40:$H$42,MATCH('Model Inputs &amp; Assumptions'!$L$28,'Model Inputs &amp; Assumptions'!$A$40:$A$42,0))</f>
        <v>8166.50002735305</v>
      </c>
      <c r="L87" s="51" t="n">
        <f aca="false">IFERROR(K87/I87,0)</f>
        <v>2.47729438361223</v>
      </c>
      <c r="M87" s="49" t="n">
        <f aca="false">IFERROR(I87/H87,0)</f>
        <v>77.2011599691805</v>
      </c>
      <c r="N87" s="52" t="str">
        <f aca="false">'Model Inputs &amp; Assumptions'!$L$28</f>
        <v>PRD-EUAI</v>
      </c>
      <c r="P87" s="53" t="n">
        <v>0.632225</v>
      </c>
      <c r="Q87" s="53" t="n">
        <v>-0.562039</v>
      </c>
      <c r="R87" s="53" t="n">
        <v>1.659295</v>
      </c>
      <c r="S87" s="53" t="n">
        <v>1.101194</v>
      </c>
    </row>
    <row r="88" customFormat="false" ht="15" hidden="false" customHeight="false" outlineLevel="0" collapsed="false">
      <c r="A88" s="43" t="n">
        <v>85</v>
      </c>
      <c r="B88" s="44" t="str">
        <f aca="false">'Model Inputs &amp; Assumptions'!$B$28</f>
        <v>finanzen.net — Q1 Awareness Burst</v>
      </c>
      <c r="C88" s="45" t="n">
        <f aca="false">ROUND(MAX(0,'Model Inputs &amp; Assumptions'!$S$28*EXP('Model Inputs &amp; Assumptions'!$T$28*P88-'Model Inputs &amp; Assumptions'!$T$28^2/2)),0)</f>
        <v>401431</v>
      </c>
      <c r="D88" s="46" t="n">
        <f aca="false">MIN(1,'Model Inputs &amp; Assumptions'!$U$28*EXP('Model Inputs &amp; Assumptions'!$V$28*Q88-'Model Inputs &amp; Assumptions'!$V$28^2/2))</f>
        <v>0</v>
      </c>
      <c r="E88" s="45" t="n">
        <f aca="false">ROUND(C88*D88,0)</f>
        <v>0</v>
      </c>
      <c r="F88" s="47" t="n">
        <f aca="false">MIN(1,'Model Inputs &amp; Assumptions'!$W$28*EXP('Model Inputs &amp; Assumptions'!$X$28*R88-'Model Inputs &amp; Assumptions'!$X$28^2/2))</f>
        <v>0.00190775612564353</v>
      </c>
      <c r="G88" s="45" t="n">
        <f aca="false">ROUND(C88*F88,0)</f>
        <v>766</v>
      </c>
      <c r="H88" s="48" t="n">
        <f aca="false">MAX(0,(C88*'Model Inputs &amp; Assumptions'!$N$28+E88*'Model Inputs &amp; Assumptions'!$O$28+G88*'Model Inputs &amp; Assumptions'!$P$28)*EXP('Model Inputs &amp; Assumptions'!$Q$28*S88-'Model Inputs &amp; Assumptions'!$Q$28^2/2))</f>
        <v>11.6190079383346</v>
      </c>
      <c r="I88" s="49" t="n">
        <f aca="false">IF('Model Inputs &amp; Assumptions'!$H$28="Fixed",'Model Inputs &amp; Assumptions'!$I$28*'Model Inputs &amp; Assumptions'!$K$28,IF('Model Inputs &amp; Assumptions'!$H$28="CPM",'Model Inputs &amp; Assumptions'!$I$28*'Model Inputs &amp; Assumptions'!$K$28*C88/1000,IF('Model Inputs &amp; Assumptions'!$H$28="CPC",'Model Inputs &amp; Assumptions'!$I$28*'Model Inputs &amp; Assumptions'!$K$28*G88,0)))</f>
        <v>2609.3015</v>
      </c>
      <c r="J88" s="50" t="n">
        <f aca="false">H88*INDEX('Model Inputs &amp; Assumptions'!$D$40:$D$42,MATCH('Model Inputs &amp; Assumptions'!$L$28,'Model Inputs &amp; Assumptions'!$A$40:$A$42,0))*INDEX('Model Inputs &amp; Assumptions'!$H$40:$H$42,MATCH('Model Inputs &amp; Assumptions'!$L$28,'Model Inputs &amp; Assumptions'!$A$40:$A$42,0))</f>
        <v>98761.5674758437</v>
      </c>
      <c r="K88" s="49" t="n">
        <f aca="false">H88*INDEX('Model Inputs &amp; Assumptions'!$G$40:$G$42,MATCH('Model Inputs &amp; Assumptions'!$L$28,'Model Inputs &amp; Assumptions'!$A$40:$A$42,0))*INDEX('Model Inputs &amp; Assumptions'!$H$40:$H$42,MATCH('Model Inputs &amp; Assumptions'!$L$28,'Model Inputs &amp; Assumptions'!$A$40:$A$42,0))</f>
        <v>2222.13526820648</v>
      </c>
      <c r="L88" s="51" t="n">
        <f aca="false">IFERROR(K88/I88,0)</f>
        <v>0.85162073765967</v>
      </c>
      <c r="M88" s="49" t="n">
        <f aca="false">IFERROR(I88/H88,0)</f>
        <v>224.571797682584</v>
      </c>
      <c r="N88" s="52" t="str">
        <f aca="false">'Model Inputs &amp; Assumptions'!$L$28</f>
        <v>PRD-EUAI</v>
      </c>
      <c r="P88" s="53" t="n">
        <v>-0.666611</v>
      </c>
      <c r="Q88" s="53" t="n">
        <v>-0.419205</v>
      </c>
      <c r="R88" s="53" t="n">
        <v>1.203012</v>
      </c>
      <c r="S88" s="53" t="n">
        <v>-2.123273</v>
      </c>
    </row>
    <row r="89" customFormat="false" ht="15" hidden="false" customHeight="false" outlineLevel="0" collapsed="false">
      <c r="A89" s="43" t="n">
        <v>86</v>
      </c>
      <c r="B89" s="44" t="str">
        <f aca="false">'Model Inputs &amp; Assumptions'!$B$28</f>
        <v>finanzen.net — Q1 Awareness Burst</v>
      </c>
      <c r="C89" s="45" t="n">
        <f aca="false">ROUND(MAX(0,'Model Inputs &amp; Assumptions'!$S$28*EXP('Model Inputs &amp; Assumptions'!$T$28*P89-'Model Inputs &amp; Assumptions'!$T$28^2/2)),0)</f>
        <v>448592</v>
      </c>
      <c r="D89" s="46" t="n">
        <f aca="false">MIN(1,'Model Inputs &amp; Assumptions'!$U$28*EXP('Model Inputs &amp; Assumptions'!$V$28*Q89-'Model Inputs &amp; Assumptions'!$V$28^2/2))</f>
        <v>0</v>
      </c>
      <c r="E89" s="45" t="n">
        <f aca="false">ROUND(C89*D89,0)</f>
        <v>0</v>
      </c>
      <c r="F89" s="47" t="n">
        <f aca="false">MIN(1,'Model Inputs &amp; Assumptions'!$W$28*EXP('Model Inputs &amp; Assumptions'!$X$28*R89-'Model Inputs &amp; Assumptions'!$X$28^2/2))</f>
        <v>0.00181858038431972</v>
      </c>
      <c r="G89" s="45" t="n">
        <f aca="false">ROUND(C89*F89,0)</f>
        <v>816</v>
      </c>
      <c r="H89" s="48" t="n">
        <f aca="false">MAX(0,(C89*'Model Inputs &amp; Assumptions'!$N$28+E89*'Model Inputs &amp; Assumptions'!$O$28+G89*'Model Inputs &amp; Assumptions'!$P$28)*EXP('Model Inputs &amp; Assumptions'!$Q$28*S89-'Model Inputs &amp; Assumptions'!$Q$28^2/2))</f>
        <v>26.6747401989372</v>
      </c>
      <c r="I89" s="49" t="n">
        <f aca="false">IF('Model Inputs &amp; Assumptions'!$H$28="Fixed",'Model Inputs &amp; Assumptions'!$I$28*'Model Inputs &amp; Assumptions'!$K$28,IF('Model Inputs &amp; Assumptions'!$H$28="CPM",'Model Inputs &amp; Assumptions'!$I$28*'Model Inputs &amp; Assumptions'!$K$28*C89/1000,IF('Model Inputs &amp; Assumptions'!$H$28="CPC",'Model Inputs &amp; Assumptions'!$I$28*'Model Inputs &amp; Assumptions'!$K$28*G89,0)))</f>
        <v>2915.848</v>
      </c>
      <c r="J89" s="50" t="n">
        <f aca="false">H89*INDEX('Model Inputs &amp; Assumptions'!$D$40:$D$42,MATCH('Model Inputs &amp; Assumptions'!$L$28,'Model Inputs &amp; Assumptions'!$A$40:$A$42,0))*INDEX('Model Inputs &amp; Assumptions'!$H$40:$H$42,MATCH('Model Inputs &amp; Assumptions'!$L$28,'Model Inputs &amp; Assumptions'!$A$40:$A$42,0))</f>
        <v>226735.291690966</v>
      </c>
      <c r="K89" s="49" t="n">
        <f aca="false">H89*INDEX('Model Inputs &amp; Assumptions'!$G$40:$G$42,MATCH('Model Inputs &amp; Assumptions'!$L$28,'Model Inputs &amp; Assumptions'!$A$40:$A$42,0))*INDEX('Model Inputs &amp; Assumptions'!$H$40:$H$42,MATCH('Model Inputs &amp; Assumptions'!$L$28,'Model Inputs &amp; Assumptions'!$A$40:$A$42,0))</f>
        <v>5101.54406304674</v>
      </c>
      <c r="L89" s="51" t="n">
        <f aca="false">IFERROR(K89/I89,0)</f>
        <v>1.74959190707017</v>
      </c>
      <c r="M89" s="49" t="n">
        <f aca="false">IFERROR(I89/H89,0)</f>
        <v>109.311205217143</v>
      </c>
      <c r="N89" s="52" t="str">
        <f aca="false">'Model Inputs &amp; Assumptions'!$L$28</f>
        <v>PRD-EUAI</v>
      </c>
      <c r="P89" s="53" t="n">
        <v>-0.049521</v>
      </c>
      <c r="Q89" s="53" t="n">
        <v>0.775009</v>
      </c>
      <c r="R89" s="53" t="n">
        <v>0.985414</v>
      </c>
      <c r="S89" s="53" t="n">
        <v>0.436202</v>
      </c>
    </row>
    <row r="90" customFormat="false" ht="15" hidden="false" customHeight="false" outlineLevel="0" collapsed="false">
      <c r="A90" s="43" t="n">
        <v>87</v>
      </c>
      <c r="B90" s="44" t="str">
        <f aca="false">'Model Inputs &amp; Assumptions'!$B$28</f>
        <v>finanzen.net — Q1 Awareness Burst</v>
      </c>
      <c r="C90" s="45" t="n">
        <f aca="false">ROUND(MAX(0,'Model Inputs &amp; Assumptions'!$S$28*EXP('Model Inputs &amp; Assumptions'!$T$28*P90-'Model Inputs &amp; Assumptions'!$T$28^2/2)),0)</f>
        <v>513443</v>
      </c>
      <c r="D90" s="46" t="n">
        <f aca="false">MIN(1,'Model Inputs &amp; Assumptions'!$U$28*EXP('Model Inputs &amp; Assumptions'!$V$28*Q90-'Model Inputs &amp; Assumptions'!$V$28^2/2))</f>
        <v>0</v>
      </c>
      <c r="E90" s="45" t="n">
        <f aca="false">ROUND(C90*D90,0)</f>
        <v>0</v>
      </c>
      <c r="F90" s="47" t="n">
        <f aca="false">MIN(1,'Model Inputs &amp; Assumptions'!$W$28*EXP('Model Inputs &amp; Assumptions'!$X$28*R90-'Model Inputs &amp; Assumptions'!$X$28^2/2))</f>
        <v>0.00209329083134478</v>
      </c>
      <c r="G90" s="45" t="n">
        <f aca="false">ROUND(C90*F90,0)</f>
        <v>1075</v>
      </c>
      <c r="H90" s="48" t="n">
        <f aca="false">MAX(0,(C90*'Model Inputs &amp; Assumptions'!$N$28+E90*'Model Inputs &amp; Assumptions'!$O$28+G90*'Model Inputs &amp; Assumptions'!$P$28)*EXP('Model Inputs &amp; Assumptions'!$Q$28*S90-'Model Inputs &amp; Assumptions'!$Q$28^2/2))</f>
        <v>39.0448522589638</v>
      </c>
      <c r="I90" s="49" t="n">
        <f aca="false">IF('Model Inputs &amp; Assumptions'!$H$28="Fixed",'Model Inputs &amp; Assumptions'!$I$28*'Model Inputs &amp; Assumptions'!$K$28,IF('Model Inputs &amp; Assumptions'!$H$28="CPM",'Model Inputs &amp; Assumptions'!$I$28*'Model Inputs &amp; Assumptions'!$K$28*C90/1000,IF('Model Inputs &amp; Assumptions'!$H$28="CPC",'Model Inputs &amp; Assumptions'!$I$28*'Model Inputs &amp; Assumptions'!$K$28*G90,0)))</f>
        <v>3337.3795</v>
      </c>
      <c r="J90" s="50" t="n">
        <f aca="false">H90*INDEX('Model Inputs &amp; Assumptions'!$D$40:$D$42,MATCH('Model Inputs &amp; Assumptions'!$L$28,'Model Inputs &amp; Assumptions'!$A$40:$A$42,0))*INDEX('Model Inputs &amp; Assumptions'!$H$40:$H$42,MATCH('Model Inputs &amp; Assumptions'!$L$28,'Model Inputs &amp; Assumptions'!$A$40:$A$42,0))</f>
        <v>331881.244201192</v>
      </c>
      <c r="K90" s="49" t="n">
        <f aca="false">H90*INDEX('Model Inputs &amp; Assumptions'!$G$40:$G$42,MATCH('Model Inputs &amp; Assumptions'!$L$28,'Model Inputs &amp; Assumptions'!$A$40:$A$42,0))*INDEX('Model Inputs &amp; Assumptions'!$H$40:$H$42,MATCH('Model Inputs &amp; Assumptions'!$L$28,'Model Inputs &amp; Assumptions'!$A$40:$A$42,0))</f>
        <v>7467.32799452683</v>
      </c>
      <c r="L90" s="51" t="n">
        <f aca="false">IFERROR(K90/I90,0)</f>
        <v>2.23748243031002</v>
      </c>
      <c r="M90" s="49" t="n">
        <f aca="false">IFERROR(I90/H90,0)</f>
        <v>85.4755315211575</v>
      </c>
      <c r="N90" s="52" t="str">
        <f aca="false">'Model Inputs &amp; Assumptions'!$L$28</f>
        <v>PRD-EUAI</v>
      </c>
      <c r="P90" s="53" t="n">
        <v>0.700626</v>
      </c>
      <c r="Q90" s="53" t="n">
        <v>-0.770756</v>
      </c>
      <c r="R90" s="53" t="n">
        <v>1.624874</v>
      </c>
      <c r="S90" s="53" t="n">
        <v>0.78731</v>
      </c>
    </row>
    <row r="91" customFormat="false" ht="15" hidden="false" customHeight="false" outlineLevel="0" collapsed="false">
      <c r="A91" s="43" t="n">
        <v>88</v>
      </c>
      <c r="B91" s="44" t="str">
        <f aca="false">'Model Inputs &amp; Assumptions'!$B$28</f>
        <v>finanzen.net — Q1 Awareness Burst</v>
      </c>
      <c r="C91" s="45" t="n">
        <f aca="false">ROUND(MAX(0,'Model Inputs &amp; Assumptions'!$S$28*EXP('Model Inputs &amp; Assumptions'!$T$28*P91-'Model Inputs &amp; Assumptions'!$T$28^2/2)),0)</f>
        <v>480130</v>
      </c>
      <c r="D91" s="46" t="n">
        <f aca="false">MIN(1,'Model Inputs &amp; Assumptions'!$U$28*EXP('Model Inputs &amp; Assumptions'!$V$28*Q91-'Model Inputs &amp; Assumptions'!$V$28^2/2))</f>
        <v>0</v>
      </c>
      <c r="E91" s="45" t="n">
        <f aca="false">ROUND(C91*D91,0)</f>
        <v>0</v>
      </c>
      <c r="F91" s="47" t="n">
        <f aca="false">MIN(1,'Model Inputs &amp; Assumptions'!$W$28*EXP('Model Inputs &amp; Assumptions'!$X$28*R91-'Model Inputs &amp; Assumptions'!$X$28^2/2))</f>
        <v>0.00163738590228895</v>
      </c>
      <c r="G91" s="45" t="n">
        <f aca="false">ROUND(C91*F91,0)</f>
        <v>786</v>
      </c>
      <c r="H91" s="48" t="n">
        <f aca="false">MAX(0,(C91*'Model Inputs &amp; Assumptions'!$N$28+E91*'Model Inputs &amp; Assumptions'!$O$28+G91*'Model Inputs &amp; Assumptions'!$P$28)*EXP('Model Inputs &amp; Assumptions'!$Q$28*S91-'Model Inputs &amp; Assumptions'!$Q$28^2/2))</f>
        <v>20.5138300468093</v>
      </c>
      <c r="I91" s="49" t="n">
        <f aca="false">IF('Model Inputs &amp; Assumptions'!$H$28="Fixed",'Model Inputs &amp; Assumptions'!$I$28*'Model Inputs &amp; Assumptions'!$K$28,IF('Model Inputs &amp; Assumptions'!$H$28="CPM",'Model Inputs &amp; Assumptions'!$I$28*'Model Inputs &amp; Assumptions'!$K$28*C91/1000,IF('Model Inputs &amp; Assumptions'!$H$28="CPC",'Model Inputs &amp; Assumptions'!$I$28*'Model Inputs &amp; Assumptions'!$K$28*G91,0)))</f>
        <v>3120.845</v>
      </c>
      <c r="J91" s="50" t="n">
        <f aca="false">H91*INDEX('Model Inputs &amp; Assumptions'!$D$40:$D$42,MATCH('Model Inputs &amp; Assumptions'!$L$28,'Model Inputs &amp; Assumptions'!$A$40:$A$42,0))*INDEX('Model Inputs &amp; Assumptions'!$H$40:$H$42,MATCH('Model Inputs &amp; Assumptions'!$L$28,'Model Inputs &amp; Assumptions'!$A$40:$A$42,0))</f>
        <v>174367.555397879</v>
      </c>
      <c r="K91" s="49" t="n">
        <f aca="false">H91*INDEX('Model Inputs &amp; Assumptions'!$G$40:$G$42,MATCH('Model Inputs &amp; Assumptions'!$L$28,'Model Inputs &amp; Assumptions'!$A$40:$A$42,0))*INDEX('Model Inputs &amp; Assumptions'!$H$40:$H$42,MATCH('Model Inputs &amp; Assumptions'!$L$28,'Model Inputs &amp; Assumptions'!$A$40:$A$42,0))</f>
        <v>3923.26999645227</v>
      </c>
      <c r="L91" s="51" t="n">
        <f aca="false">IFERROR(K91/I91,0)</f>
        <v>1.25711786277507</v>
      </c>
      <c r="M91" s="49" t="n">
        <f aca="false">IFERROR(I91/H91,0)</f>
        <v>152.133706522806</v>
      </c>
      <c r="N91" s="52" t="str">
        <f aca="false">'Model Inputs &amp; Assumptions'!$L$28</f>
        <v>PRD-EUAI</v>
      </c>
      <c r="P91" s="53" t="n">
        <v>0.327946</v>
      </c>
      <c r="Q91" s="53" t="n">
        <v>-0.637047</v>
      </c>
      <c r="R91" s="53" t="n">
        <v>0.508345</v>
      </c>
      <c r="S91" s="53" t="n">
        <v>-0.314332</v>
      </c>
    </row>
    <row r="92" customFormat="false" ht="15" hidden="false" customHeight="false" outlineLevel="0" collapsed="false">
      <c r="A92" s="43" t="n">
        <v>89</v>
      </c>
      <c r="B92" s="44" t="str">
        <f aca="false">'Model Inputs &amp; Assumptions'!$B$28</f>
        <v>finanzen.net — Q1 Awareness Burst</v>
      </c>
      <c r="C92" s="45" t="n">
        <f aca="false">ROUND(MAX(0,'Model Inputs &amp; Assumptions'!$S$28*EXP('Model Inputs &amp; Assumptions'!$T$28*P92-'Model Inputs &amp; Assumptions'!$T$28^2/2)),0)</f>
        <v>437188</v>
      </c>
      <c r="D92" s="46" t="n">
        <f aca="false">MIN(1,'Model Inputs &amp; Assumptions'!$U$28*EXP('Model Inputs &amp; Assumptions'!$V$28*Q92-'Model Inputs &amp; Assumptions'!$V$28^2/2))</f>
        <v>0</v>
      </c>
      <c r="E92" s="45" t="n">
        <f aca="false">ROUND(C92*D92,0)</f>
        <v>0</v>
      </c>
      <c r="F92" s="47" t="n">
        <f aca="false">MIN(1,'Model Inputs &amp; Assumptions'!$W$28*EXP('Model Inputs &amp; Assumptions'!$X$28*R92-'Model Inputs &amp; Assumptions'!$X$28^2/2))</f>
        <v>0.00187488373239085</v>
      </c>
      <c r="G92" s="45" t="n">
        <f aca="false">ROUND(C92*F92,0)</f>
        <v>820</v>
      </c>
      <c r="H92" s="48" t="n">
        <f aca="false">MAX(0,(C92*'Model Inputs &amp; Assumptions'!$N$28+E92*'Model Inputs &amp; Assumptions'!$O$28+G92*'Model Inputs &amp; Assumptions'!$P$28)*EXP('Model Inputs &amp; Assumptions'!$Q$28*S92-'Model Inputs &amp; Assumptions'!$Q$28^2/2))</f>
        <v>22.2594367643696</v>
      </c>
      <c r="I92" s="49" t="n">
        <f aca="false">IF('Model Inputs &amp; Assumptions'!$H$28="Fixed",'Model Inputs &amp; Assumptions'!$I$28*'Model Inputs &amp; Assumptions'!$K$28,IF('Model Inputs &amp; Assumptions'!$H$28="CPM",'Model Inputs &amp; Assumptions'!$I$28*'Model Inputs &amp; Assumptions'!$K$28*C92/1000,IF('Model Inputs &amp; Assumptions'!$H$28="CPC",'Model Inputs &amp; Assumptions'!$I$28*'Model Inputs &amp; Assumptions'!$K$28*G92,0)))</f>
        <v>2841.722</v>
      </c>
      <c r="J92" s="50" t="n">
        <f aca="false">H92*INDEX('Model Inputs &amp; Assumptions'!$D$40:$D$42,MATCH('Model Inputs &amp; Assumptions'!$L$28,'Model Inputs &amp; Assumptions'!$A$40:$A$42,0))*INDEX('Model Inputs &amp; Assumptions'!$H$40:$H$42,MATCH('Model Inputs &amp; Assumptions'!$L$28,'Model Inputs &amp; Assumptions'!$A$40:$A$42,0))</f>
        <v>189205.212497142</v>
      </c>
      <c r="K92" s="49" t="n">
        <f aca="false">H92*INDEX('Model Inputs &amp; Assumptions'!$G$40:$G$42,MATCH('Model Inputs &amp; Assumptions'!$L$28,'Model Inputs &amp; Assumptions'!$A$40:$A$42,0))*INDEX('Model Inputs &amp; Assumptions'!$H$40:$H$42,MATCH('Model Inputs &amp; Assumptions'!$L$28,'Model Inputs &amp; Assumptions'!$A$40:$A$42,0))</f>
        <v>4257.11728118569</v>
      </c>
      <c r="L92" s="51" t="n">
        <f aca="false">IFERROR(K92/I92,0)</f>
        <v>1.49807661734177</v>
      </c>
      <c r="M92" s="49" t="n">
        <f aca="false">IFERROR(I92/H92,0)</f>
        <v>127.663697427812</v>
      </c>
      <c r="N92" s="52" t="str">
        <f aca="false">'Model Inputs &amp; Assumptions'!$L$28</f>
        <v>PRD-EUAI</v>
      </c>
      <c r="P92" s="53" t="n">
        <v>-0.192573</v>
      </c>
      <c r="Q92" s="53" t="n">
        <v>-0.330446</v>
      </c>
      <c r="R92" s="53" t="n">
        <v>1.124007</v>
      </c>
      <c r="S92" s="53" t="n">
        <v>-0.183268</v>
      </c>
    </row>
    <row r="93" customFormat="false" ht="15" hidden="false" customHeight="false" outlineLevel="0" collapsed="false">
      <c r="A93" s="43" t="n">
        <v>90</v>
      </c>
      <c r="B93" s="44" t="str">
        <f aca="false">'Model Inputs &amp; Assumptions'!$B$28</f>
        <v>finanzen.net — Q1 Awareness Burst</v>
      </c>
      <c r="C93" s="45" t="n">
        <f aca="false">ROUND(MAX(0,'Model Inputs &amp; Assumptions'!$S$28*EXP('Model Inputs &amp; Assumptions'!$T$28*P93-'Model Inputs &amp; Assumptions'!$T$28^2/2)),0)</f>
        <v>387102</v>
      </c>
      <c r="D93" s="46" t="n">
        <f aca="false">MIN(1,'Model Inputs &amp; Assumptions'!$U$28*EXP('Model Inputs &amp; Assumptions'!$V$28*Q93-'Model Inputs &amp; Assumptions'!$V$28^2/2))</f>
        <v>0</v>
      </c>
      <c r="E93" s="45" t="n">
        <f aca="false">ROUND(C93*D93,0)</f>
        <v>0</v>
      </c>
      <c r="F93" s="47" t="n">
        <f aca="false">MIN(1,'Model Inputs &amp; Assumptions'!$W$28*EXP('Model Inputs &amp; Assumptions'!$X$28*R93-'Model Inputs &amp; Assumptions'!$X$28^2/2))</f>
        <v>0.00153411846797449</v>
      </c>
      <c r="G93" s="45" t="n">
        <f aca="false">ROUND(C93*F93,0)</f>
        <v>594</v>
      </c>
      <c r="H93" s="48" t="n">
        <f aca="false">MAX(0,(C93*'Model Inputs &amp; Assumptions'!$N$28+E93*'Model Inputs &amp; Assumptions'!$O$28+G93*'Model Inputs &amp; Assumptions'!$P$28)*EXP('Model Inputs &amp; Assumptions'!$Q$28*S93-'Model Inputs &amp; Assumptions'!$Q$28^2/2))</f>
        <v>20.2352538236616</v>
      </c>
      <c r="I93" s="49" t="n">
        <f aca="false">IF('Model Inputs &amp; Assumptions'!$H$28="Fixed",'Model Inputs &amp; Assumptions'!$I$28*'Model Inputs &amp; Assumptions'!$K$28,IF('Model Inputs &amp; Assumptions'!$H$28="CPM",'Model Inputs &amp; Assumptions'!$I$28*'Model Inputs &amp; Assumptions'!$K$28*C93/1000,IF('Model Inputs &amp; Assumptions'!$H$28="CPC",'Model Inputs &amp; Assumptions'!$I$28*'Model Inputs &amp; Assumptions'!$K$28*G93,0)))</f>
        <v>2516.163</v>
      </c>
      <c r="J93" s="50" t="n">
        <f aca="false">H93*INDEX('Model Inputs &amp; Assumptions'!$D$40:$D$42,MATCH('Model Inputs &amp; Assumptions'!$L$28,'Model Inputs &amp; Assumptions'!$A$40:$A$42,0))*INDEX('Model Inputs &amp; Assumptions'!$H$40:$H$42,MATCH('Model Inputs &amp; Assumptions'!$L$28,'Model Inputs &amp; Assumptions'!$A$40:$A$42,0))</f>
        <v>171999.657501124</v>
      </c>
      <c r="K93" s="49" t="n">
        <f aca="false">H93*INDEX('Model Inputs &amp; Assumptions'!$G$40:$G$42,MATCH('Model Inputs &amp; Assumptions'!$L$28,'Model Inputs &amp; Assumptions'!$A$40:$A$42,0))*INDEX('Model Inputs &amp; Assumptions'!$H$40:$H$42,MATCH('Model Inputs &amp; Assumptions'!$L$28,'Model Inputs &amp; Assumptions'!$A$40:$A$42,0))</f>
        <v>3869.99229377528</v>
      </c>
      <c r="L93" s="51" t="n">
        <f aca="false">IFERROR(K93/I93,0)</f>
        <v>1.53805309662978</v>
      </c>
      <c r="M93" s="49" t="n">
        <f aca="false">IFERROR(I93/H93,0)</f>
        <v>124.345512140687</v>
      </c>
      <c r="N93" s="52" t="str">
        <f aca="false">'Model Inputs &amp; Assumptions'!$L$28</f>
        <v>PRD-EUAI</v>
      </c>
      <c r="P93" s="53" t="n">
        <v>-0.868552</v>
      </c>
      <c r="Q93" s="53" t="n">
        <v>-0.58137</v>
      </c>
      <c r="R93" s="53" t="n">
        <v>0.212231</v>
      </c>
      <c r="S93" s="53" t="n">
        <v>0.573683</v>
      </c>
    </row>
    <row r="94" customFormat="false" ht="15" hidden="false" customHeight="false" outlineLevel="0" collapsed="false">
      <c r="A94" s="43" t="n">
        <v>91</v>
      </c>
      <c r="B94" s="44" t="str">
        <f aca="false">'Model Inputs &amp; Assumptions'!$B$28</f>
        <v>finanzen.net — Q1 Awareness Burst</v>
      </c>
      <c r="C94" s="45" t="n">
        <f aca="false">ROUND(MAX(0,'Model Inputs &amp; Assumptions'!$S$28*EXP('Model Inputs &amp; Assumptions'!$T$28*P94-'Model Inputs &amp; Assumptions'!$T$28^2/2)),0)</f>
        <v>273418</v>
      </c>
      <c r="D94" s="46" t="n">
        <f aca="false">MIN(1,'Model Inputs &amp; Assumptions'!$U$28*EXP('Model Inputs &amp; Assumptions'!$V$28*Q94-'Model Inputs &amp; Assumptions'!$V$28^2/2))</f>
        <v>0</v>
      </c>
      <c r="E94" s="45" t="n">
        <f aca="false">ROUND(C94*D94,0)</f>
        <v>0</v>
      </c>
      <c r="F94" s="47" t="n">
        <f aca="false">MIN(1,'Model Inputs &amp; Assumptions'!$W$28*EXP('Model Inputs &amp; Assumptions'!$X$28*R94-'Model Inputs &amp; Assumptions'!$X$28^2/2))</f>
        <v>0.00139313860107635</v>
      </c>
      <c r="G94" s="45" t="n">
        <f aca="false">ROUND(C94*F94,0)</f>
        <v>381</v>
      </c>
      <c r="H94" s="48" t="n">
        <f aca="false">MAX(0,(C94*'Model Inputs &amp; Assumptions'!$N$28+E94*'Model Inputs &amp; Assumptions'!$O$28+G94*'Model Inputs &amp; Assumptions'!$P$28)*EXP('Model Inputs &amp; Assumptions'!$Q$28*S94-'Model Inputs &amp; Assumptions'!$Q$28^2/2))</f>
        <v>10.3748693971053</v>
      </c>
      <c r="I94" s="49" t="n">
        <f aca="false">IF('Model Inputs &amp; Assumptions'!$H$28="Fixed",'Model Inputs &amp; Assumptions'!$I$28*'Model Inputs &amp; Assumptions'!$K$28,IF('Model Inputs &amp; Assumptions'!$H$28="CPM",'Model Inputs &amp; Assumptions'!$I$28*'Model Inputs &amp; Assumptions'!$K$28*C94/1000,IF('Model Inputs &amp; Assumptions'!$H$28="CPC",'Model Inputs &amp; Assumptions'!$I$28*'Model Inputs &amp; Assumptions'!$K$28*G94,0)))</f>
        <v>1777.217</v>
      </c>
      <c r="J94" s="50" t="n">
        <f aca="false">H94*INDEX('Model Inputs &amp; Assumptions'!$D$40:$D$42,MATCH('Model Inputs &amp; Assumptions'!$L$28,'Model Inputs &amp; Assumptions'!$A$40:$A$42,0))*INDEX('Model Inputs &amp; Assumptions'!$H$40:$H$42,MATCH('Model Inputs &amp; Assumptions'!$L$28,'Model Inputs &amp; Assumptions'!$A$40:$A$42,0))</f>
        <v>88186.3898753954</v>
      </c>
      <c r="K94" s="49" t="n">
        <f aca="false">H94*INDEX('Model Inputs &amp; Assumptions'!$G$40:$G$42,MATCH('Model Inputs &amp; Assumptions'!$L$28,'Model Inputs &amp; Assumptions'!$A$40:$A$42,0))*INDEX('Model Inputs &amp; Assumptions'!$H$40:$H$42,MATCH('Model Inputs &amp; Assumptions'!$L$28,'Model Inputs &amp; Assumptions'!$A$40:$A$42,0))</f>
        <v>1984.1937721964</v>
      </c>
      <c r="L94" s="51" t="n">
        <f aca="false">IFERROR(K94/I94,0)</f>
        <v>1.11646117058097</v>
      </c>
      <c r="M94" s="49" t="n">
        <f aca="false">IFERROR(I94/H94,0)</f>
        <v>171.300180462595</v>
      </c>
      <c r="N94" s="52" t="str">
        <f aca="false">'Model Inputs &amp; Assumptions'!$L$28</f>
        <v>PRD-EUAI</v>
      </c>
      <c r="P94" s="53" t="n">
        <v>-2.800132</v>
      </c>
      <c r="Q94" s="53" t="n">
        <v>-2.164848</v>
      </c>
      <c r="R94" s="53" t="n">
        <v>-0.225936</v>
      </c>
      <c r="S94" s="53" t="n">
        <v>-0.17285</v>
      </c>
    </row>
    <row r="95" customFormat="false" ht="15" hidden="false" customHeight="false" outlineLevel="0" collapsed="false">
      <c r="A95" s="43" t="n">
        <v>92</v>
      </c>
      <c r="B95" s="44" t="str">
        <f aca="false">'Model Inputs &amp; Assumptions'!$B$28</f>
        <v>finanzen.net — Q1 Awareness Burst</v>
      </c>
      <c r="C95" s="45" t="n">
        <f aca="false">ROUND(MAX(0,'Model Inputs &amp; Assumptions'!$S$28*EXP('Model Inputs &amp; Assumptions'!$T$28*P95-'Model Inputs &amp; Assumptions'!$T$28^2/2)),0)</f>
        <v>440222</v>
      </c>
      <c r="D95" s="46" t="n">
        <f aca="false">MIN(1,'Model Inputs &amp; Assumptions'!$U$28*EXP('Model Inputs &amp; Assumptions'!$V$28*Q95-'Model Inputs &amp; Assumptions'!$V$28^2/2))</f>
        <v>0</v>
      </c>
      <c r="E95" s="45" t="n">
        <f aca="false">ROUND(C95*D95,0)</f>
        <v>0</v>
      </c>
      <c r="F95" s="47" t="n">
        <f aca="false">MIN(1,'Model Inputs &amp; Assumptions'!$W$28*EXP('Model Inputs &amp; Assumptions'!$X$28*R95-'Model Inputs &amp; Assumptions'!$X$28^2/2))</f>
        <v>0.00134441090479441</v>
      </c>
      <c r="G95" s="45" t="n">
        <f aca="false">ROUND(C95*F95,0)</f>
        <v>592</v>
      </c>
      <c r="H95" s="48" t="n">
        <f aca="false">MAX(0,(C95*'Model Inputs &amp; Assumptions'!$N$28+E95*'Model Inputs &amp; Assumptions'!$O$28+G95*'Model Inputs &amp; Assumptions'!$P$28)*EXP('Model Inputs &amp; Assumptions'!$Q$28*S95-'Model Inputs &amp; Assumptions'!$Q$28^2/2))</f>
        <v>14.1410800133754</v>
      </c>
      <c r="I95" s="49" t="n">
        <f aca="false">IF('Model Inputs &amp; Assumptions'!$H$28="Fixed",'Model Inputs &amp; Assumptions'!$I$28*'Model Inputs &amp; Assumptions'!$K$28,IF('Model Inputs &amp; Assumptions'!$H$28="CPM",'Model Inputs &amp; Assumptions'!$I$28*'Model Inputs &amp; Assumptions'!$K$28*C95/1000,IF('Model Inputs &amp; Assumptions'!$H$28="CPC",'Model Inputs &amp; Assumptions'!$I$28*'Model Inputs &amp; Assumptions'!$K$28*G95,0)))</f>
        <v>2861.443</v>
      </c>
      <c r="J95" s="50" t="n">
        <f aca="false">H95*INDEX('Model Inputs &amp; Assumptions'!$D$40:$D$42,MATCH('Model Inputs &amp; Assumptions'!$L$28,'Model Inputs &amp; Assumptions'!$A$40:$A$42,0))*INDEX('Model Inputs &amp; Assumptions'!$H$40:$H$42,MATCH('Model Inputs &amp; Assumptions'!$L$28,'Model Inputs &amp; Assumptions'!$A$40:$A$42,0))</f>
        <v>120199.180113691</v>
      </c>
      <c r="K95" s="49" t="n">
        <f aca="false">H95*INDEX('Model Inputs &amp; Assumptions'!$G$40:$G$42,MATCH('Model Inputs &amp; Assumptions'!$L$28,'Model Inputs &amp; Assumptions'!$A$40:$A$42,0))*INDEX('Model Inputs &amp; Assumptions'!$H$40:$H$42,MATCH('Model Inputs &amp; Assumptions'!$L$28,'Model Inputs &amp; Assumptions'!$A$40:$A$42,0))</f>
        <v>2704.48155255804</v>
      </c>
      <c r="L95" s="51" t="n">
        <f aca="false">IFERROR(K95/I95,0)</f>
        <v>0.945146051330758</v>
      </c>
      <c r="M95" s="49" t="n">
        <f aca="false">IFERROR(I95/H95,0)</f>
        <v>202.349678899596</v>
      </c>
      <c r="N95" s="52" t="str">
        <f aca="false">'Model Inputs &amp; Assumptions'!$L$28</f>
        <v>PRD-EUAI</v>
      </c>
      <c r="P95" s="53" t="n">
        <v>-0.154148</v>
      </c>
      <c r="Q95" s="53" t="n">
        <v>-0.04819</v>
      </c>
      <c r="R95" s="53" t="n">
        <v>-0.387769</v>
      </c>
      <c r="S95" s="53" t="n">
        <v>-0.609549</v>
      </c>
    </row>
    <row r="96" customFormat="false" ht="15" hidden="false" customHeight="false" outlineLevel="0" collapsed="false">
      <c r="A96" s="43" t="n">
        <v>93</v>
      </c>
      <c r="B96" s="44" t="str">
        <f aca="false">'Model Inputs &amp; Assumptions'!$B$28</f>
        <v>finanzen.net — Q1 Awareness Burst</v>
      </c>
      <c r="C96" s="45" t="n">
        <f aca="false">ROUND(MAX(0,'Model Inputs &amp; Assumptions'!$S$28*EXP('Model Inputs &amp; Assumptions'!$T$28*P96-'Model Inputs &amp; Assumptions'!$T$28^2/2)),0)</f>
        <v>579824</v>
      </c>
      <c r="D96" s="46" t="n">
        <f aca="false">MIN(1,'Model Inputs &amp; Assumptions'!$U$28*EXP('Model Inputs &amp; Assumptions'!$V$28*Q96-'Model Inputs &amp; Assumptions'!$V$28^2/2))</f>
        <v>0</v>
      </c>
      <c r="E96" s="45" t="n">
        <f aca="false">ROUND(C96*D96,0)</f>
        <v>0</v>
      </c>
      <c r="F96" s="47" t="n">
        <f aca="false">MIN(1,'Model Inputs &amp; Assumptions'!$W$28*EXP('Model Inputs &amp; Assumptions'!$X$28*R96-'Model Inputs &amp; Assumptions'!$X$28^2/2))</f>
        <v>0.00184897580729345</v>
      </c>
      <c r="G96" s="45" t="n">
        <f aca="false">ROUND(C96*F96,0)</f>
        <v>1072</v>
      </c>
      <c r="H96" s="48" t="n">
        <f aca="false">MAX(0,(C96*'Model Inputs &amp; Assumptions'!$N$28+E96*'Model Inputs &amp; Assumptions'!$O$28+G96*'Model Inputs &amp; Assumptions'!$P$28)*EXP('Model Inputs &amp; Assumptions'!$Q$28*S96-'Model Inputs &amp; Assumptions'!$Q$28^2/2))</f>
        <v>36.9707309544874</v>
      </c>
      <c r="I96" s="49" t="n">
        <f aca="false">IF('Model Inputs &amp; Assumptions'!$H$28="Fixed",'Model Inputs &amp; Assumptions'!$I$28*'Model Inputs &amp; Assumptions'!$K$28,IF('Model Inputs &amp; Assumptions'!$H$28="CPM",'Model Inputs &amp; Assumptions'!$I$28*'Model Inputs &amp; Assumptions'!$K$28*C96/1000,IF('Model Inputs &amp; Assumptions'!$H$28="CPC",'Model Inputs &amp; Assumptions'!$I$28*'Model Inputs &amp; Assumptions'!$K$28*G96,0)))</f>
        <v>3768.856</v>
      </c>
      <c r="J96" s="50" t="n">
        <f aca="false">H96*INDEX('Model Inputs &amp; Assumptions'!$D$40:$D$42,MATCH('Model Inputs &amp; Assumptions'!$L$28,'Model Inputs &amp; Assumptions'!$A$40:$A$42,0))*INDEX('Model Inputs &amp; Assumptions'!$H$40:$H$42,MATCH('Model Inputs &amp; Assumptions'!$L$28,'Model Inputs &amp; Assumptions'!$A$40:$A$42,0))</f>
        <v>314251.213113143</v>
      </c>
      <c r="K96" s="49" t="n">
        <f aca="false">H96*INDEX('Model Inputs &amp; Assumptions'!$G$40:$G$42,MATCH('Model Inputs &amp; Assumptions'!$L$28,'Model Inputs &amp; Assumptions'!$A$40:$A$42,0))*INDEX('Model Inputs &amp; Assumptions'!$H$40:$H$42,MATCH('Model Inputs &amp; Assumptions'!$L$28,'Model Inputs &amp; Assumptions'!$A$40:$A$42,0))</f>
        <v>7070.65229504572</v>
      </c>
      <c r="L96" s="51" t="n">
        <f aca="false">IFERROR(K96/I96,0)</f>
        <v>1.87607387892923</v>
      </c>
      <c r="M96" s="49" t="n">
        <f aca="false">IFERROR(I96/H96,0)</f>
        <v>101.941614425737</v>
      </c>
      <c r="N96" s="52" t="str">
        <f aca="false">'Model Inputs &amp; Assumptions'!$L$28</f>
        <v>PRD-EUAI</v>
      </c>
      <c r="P96" s="53" t="n">
        <v>1.376104</v>
      </c>
      <c r="Q96" s="53" t="n">
        <v>-0.943237</v>
      </c>
      <c r="R96" s="53" t="n">
        <v>1.060758</v>
      </c>
      <c r="S96" s="53" t="n">
        <v>0.614677</v>
      </c>
    </row>
    <row r="97" customFormat="false" ht="15" hidden="false" customHeight="false" outlineLevel="0" collapsed="false">
      <c r="A97" s="43" t="n">
        <v>94</v>
      </c>
      <c r="B97" s="44" t="str">
        <f aca="false">'Model Inputs &amp; Assumptions'!$B$28</f>
        <v>finanzen.net — Q1 Awareness Burst</v>
      </c>
      <c r="C97" s="45" t="n">
        <f aca="false">ROUND(MAX(0,'Model Inputs &amp; Assumptions'!$S$28*EXP('Model Inputs &amp; Assumptions'!$T$28*P97-'Model Inputs &amp; Assumptions'!$T$28^2/2)),0)</f>
        <v>400660</v>
      </c>
      <c r="D97" s="46" t="n">
        <f aca="false">MIN(1,'Model Inputs &amp; Assumptions'!$U$28*EXP('Model Inputs &amp; Assumptions'!$V$28*Q97-'Model Inputs &amp; Assumptions'!$V$28^2/2))</f>
        <v>0</v>
      </c>
      <c r="E97" s="45" t="n">
        <f aca="false">ROUND(C97*D97,0)</f>
        <v>0</v>
      </c>
      <c r="F97" s="47" t="n">
        <f aca="false">MIN(1,'Model Inputs &amp; Assumptions'!$W$28*EXP('Model Inputs &amp; Assumptions'!$X$28*R97-'Model Inputs &amp; Assumptions'!$X$28^2/2))</f>
        <v>0.00120024075772561</v>
      </c>
      <c r="G97" s="45" t="n">
        <f aca="false">ROUND(C97*F97,0)</f>
        <v>481</v>
      </c>
      <c r="H97" s="48" t="n">
        <f aca="false">MAX(0,(C97*'Model Inputs &amp; Assumptions'!$N$28+E97*'Model Inputs &amp; Assumptions'!$O$28+G97*'Model Inputs &amp; Assumptions'!$P$28)*EXP('Model Inputs &amp; Assumptions'!$Q$28*S97-'Model Inputs &amp; Assumptions'!$Q$28^2/2))</f>
        <v>8.70141775549605</v>
      </c>
      <c r="I97" s="49" t="n">
        <f aca="false">IF('Model Inputs &amp; Assumptions'!$H$28="Fixed",'Model Inputs &amp; Assumptions'!$I$28*'Model Inputs &amp; Assumptions'!$K$28,IF('Model Inputs &amp; Assumptions'!$H$28="CPM",'Model Inputs &amp; Assumptions'!$I$28*'Model Inputs &amp; Assumptions'!$K$28*C97/1000,IF('Model Inputs &amp; Assumptions'!$H$28="CPC",'Model Inputs &amp; Assumptions'!$I$28*'Model Inputs &amp; Assumptions'!$K$28*G97,0)))</f>
        <v>2604.29</v>
      </c>
      <c r="J97" s="50" t="n">
        <f aca="false">H97*INDEX('Model Inputs &amp; Assumptions'!$D$40:$D$42,MATCH('Model Inputs &amp; Assumptions'!$L$28,'Model Inputs &amp; Assumptions'!$A$40:$A$42,0))*INDEX('Model Inputs &amp; Assumptions'!$H$40:$H$42,MATCH('Model Inputs &amp; Assumptions'!$L$28,'Model Inputs &amp; Assumptions'!$A$40:$A$42,0))</f>
        <v>73962.0509217165</v>
      </c>
      <c r="K97" s="49" t="n">
        <f aca="false">H97*INDEX('Model Inputs &amp; Assumptions'!$G$40:$G$42,MATCH('Model Inputs &amp; Assumptions'!$L$28,'Model Inputs &amp; Assumptions'!$A$40:$A$42,0))*INDEX('Model Inputs &amp; Assumptions'!$H$40:$H$42,MATCH('Model Inputs &amp; Assumptions'!$L$28,'Model Inputs &amp; Assumptions'!$A$40:$A$42,0))</f>
        <v>1664.14614573862</v>
      </c>
      <c r="L97" s="51" t="n">
        <f aca="false">IFERROR(K97/I97,0)</f>
        <v>0.63900185683569</v>
      </c>
      <c r="M97" s="49" t="n">
        <f aca="false">IFERROR(I97/H97,0)</f>
        <v>299.29490494294</v>
      </c>
      <c r="N97" s="52" t="str">
        <f aca="false">'Model Inputs &amp; Assumptions'!$L$28</f>
        <v>PRD-EUAI</v>
      </c>
      <c r="P97" s="53" t="n">
        <v>-0.677293</v>
      </c>
      <c r="Q97" s="53" t="n">
        <v>0.125951</v>
      </c>
      <c r="R97" s="53" t="n">
        <v>-0.903377</v>
      </c>
      <c r="S97" s="53" t="n">
        <v>-1.536078</v>
      </c>
    </row>
    <row r="98" customFormat="false" ht="15" hidden="false" customHeight="false" outlineLevel="0" collapsed="false">
      <c r="A98" s="43" t="n">
        <v>95</v>
      </c>
      <c r="B98" s="44" t="str">
        <f aca="false">'Model Inputs &amp; Assumptions'!$B$28</f>
        <v>finanzen.net — Q1 Awareness Burst</v>
      </c>
      <c r="C98" s="45" t="n">
        <f aca="false">ROUND(MAX(0,'Model Inputs &amp; Assumptions'!$S$28*EXP('Model Inputs &amp; Assumptions'!$T$28*P98-'Model Inputs &amp; Assumptions'!$T$28^2/2)),0)</f>
        <v>406952</v>
      </c>
      <c r="D98" s="46" t="n">
        <f aca="false">MIN(1,'Model Inputs &amp; Assumptions'!$U$28*EXP('Model Inputs &amp; Assumptions'!$V$28*Q98-'Model Inputs &amp; Assumptions'!$V$28^2/2))</f>
        <v>0</v>
      </c>
      <c r="E98" s="45" t="n">
        <f aca="false">ROUND(C98*D98,0)</f>
        <v>0</v>
      </c>
      <c r="F98" s="47" t="n">
        <f aca="false">MIN(1,'Model Inputs &amp; Assumptions'!$W$28*EXP('Model Inputs &amp; Assumptions'!$X$28*R98-'Model Inputs &amp; Assumptions'!$X$28^2/2))</f>
        <v>0.00140705303079547</v>
      </c>
      <c r="G98" s="45" t="n">
        <f aca="false">ROUND(C98*F98,0)</f>
        <v>573</v>
      </c>
      <c r="H98" s="48" t="n">
        <f aca="false">MAX(0,(C98*'Model Inputs &amp; Assumptions'!$N$28+E98*'Model Inputs &amp; Assumptions'!$O$28+G98*'Model Inputs &amp; Assumptions'!$P$28)*EXP('Model Inputs &amp; Assumptions'!$Q$28*S98-'Model Inputs &amp; Assumptions'!$Q$28^2/2))</f>
        <v>32.8264902627617</v>
      </c>
      <c r="I98" s="49" t="n">
        <f aca="false">IF('Model Inputs &amp; Assumptions'!$H$28="Fixed",'Model Inputs &amp; Assumptions'!$I$28*'Model Inputs &amp; Assumptions'!$K$28,IF('Model Inputs &amp; Assumptions'!$H$28="CPM",'Model Inputs &amp; Assumptions'!$I$28*'Model Inputs &amp; Assumptions'!$K$28*C98/1000,IF('Model Inputs &amp; Assumptions'!$H$28="CPC",'Model Inputs &amp; Assumptions'!$I$28*'Model Inputs &amp; Assumptions'!$K$28*G98,0)))</f>
        <v>2645.188</v>
      </c>
      <c r="J98" s="50" t="n">
        <f aca="false">H98*INDEX('Model Inputs &amp; Assumptions'!$D$40:$D$42,MATCH('Model Inputs &amp; Assumptions'!$L$28,'Model Inputs &amp; Assumptions'!$A$40:$A$42,0))*INDEX('Model Inputs &amp; Assumptions'!$H$40:$H$42,MATCH('Model Inputs &amp; Assumptions'!$L$28,'Model Inputs &amp; Assumptions'!$A$40:$A$42,0))</f>
        <v>279025.167233475</v>
      </c>
      <c r="K98" s="49" t="n">
        <f aca="false">H98*INDEX('Model Inputs &amp; Assumptions'!$G$40:$G$42,MATCH('Model Inputs &amp; Assumptions'!$L$28,'Model Inputs &amp; Assumptions'!$A$40:$A$42,0))*INDEX('Model Inputs &amp; Assumptions'!$H$40:$H$42,MATCH('Model Inputs &amp; Assumptions'!$L$28,'Model Inputs &amp; Assumptions'!$A$40:$A$42,0))</f>
        <v>6278.06626275318</v>
      </c>
      <c r="L98" s="51" t="n">
        <f aca="false">IFERROR(K98/I98,0)</f>
        <v>2.37339132899181</v>
      </c>
      <c r="M98" s="49" t="n">
        <f aca="false">IFERROR(I98/H98,0)</f>
        <v>80.5808960637103</v>
      </c>
      <c r="N98" s="52" t="str">
        <f aca="false">'Model Inputs &amp; Assumptions'!$L$28</f>
        <v>PRD-EUAI</v>
      </c>
      <c r="P98" s="53" t="n">
        <v>-0.590725</v>
      </c>
      <c r="Q98" s="53" t="n">
        <v>1.102243</v>
      </c>
      <c r="R98" s="53" t="n">
        <v>-0.180762</v>
      </c>
      <c r="S98" s="53" t="n">
        <v>2.30636</v>
      </c>
    </row>
    <row r="99" customFormat="false" ht="15" hidden="false" customHeight="false" outlineLevel="0" collapsed="false">
      <c r="A99" s="43" t="n">
        <v>96</v>
      </c>
      <c r="B99" s="44" t="str">
        <f aca="false">'Model Inputs &amp; Assumptions'!$B$28</f>
        <v>finanzen.net — Q1 Awareness Burst</v>
      </c>
      <c r="C99" s="45" t="n">
        <f aca="false">ROUND(MAX(0,'Model Inputs &amp; Assumptions'!$S$28*EXP('Model Inputs &amp; Assumptions'!$T$28*P99-'Model Inputs &amp; Assumptions'!$T$28^2/2)),0)</f>
        <v>417146</v>
      </c>
      <c r="D99" s="46" t="n">
        <f aca="false">MIN(1,'Model Inputs &amp; Assumptions'!$U$28*EXP('Model Inputs &amp; Assumptions'!$V$28*Q99-'Model Inputs &amp; Assumptions'!$V$28^2/2))</f>
        <v>0</v>
      </c>
      <c r="E99" s="45" t="n">
        <f aca="false">ROUND(C99*D99,0)</f>
        <v>0</v>
      </c>
      <c r="F99" s="47" t="n">
        <f aca="false">MIN(1,'Model Inputs &amp; Assumptions'!$W$28*EXP('Model Inputs &amp; Assumptions'!$X$28*R99-'Model Inputs &amp; Assumptions'!$X$28^2/2))</f>
        <v>0.00154586930350453</v>
      </c>
      <c r="G99" s="45" t="n">
        <f aca="false">ROUND(C99*F99,0)</f>
        <v>645</v>
      </c>
      <c r="H99" s="48" t="n">
        <f aca="false">MAX(0,(C99*'Model Inputs &amp; Assumptions'!$N$28+E99*'Model Inputs &amp; Assumptions'!$O$28+G99*'Model Inputs &amp; Assumptions'!$P$28)*EXP('Model Inputs &amp; Assumptions'!$Q$28*S99-'Model Inputs &amp; Assumptions'!$Q$28^2/2))</f>
        <v>17.8290583797861</v>
      </c>
      <c r="I99" s="49" t="n">
        <f aca="false">IF('Model Inputs &amp; Assumptions'!$H$28="Fixed",'Model Inputs &amp; Assumptions'!$I$28*'Model Inputs &amp; Assumptions'!$K$28,IF('Model Inputs &amp; Assumptions'!$H$28="CPM",'Model Inputs &amp; Assumptions'!$I$28*'Model Inputs &amp; Assumptions'!$K$28*C99/1000,IF('Model Inputs &amp; Assumptions'!$H$28="CPC",'Model Inputs &amp; Assumptions'!$I$28*'Model Inputs &amp; Assumptions'!$K$28*G99,0)))</f>
        <v>2711.449</v>
      </c>
      <c r="J99" s="50" t="n">
        <f aca="false">H99*INDEX('Model Inputs &amp; Assumptions'!$D$40:$D$42,MATCH('Model Inputs &amp; Assumptions'!$L$28,'Model Inputs &amp; Assumptions'!$A$40:$A$42,0))*INDEX('Model Inputs &amp; Assumptions'!$H$40:$H$42,MATCH('Model Inputs &amp; Assumptions'!$L$28,'Model Inputs &amp; Assumptions'!$A$40:$A$42,0))</f>
        <v>151546.996228181</v>
      </c>
      <c r="K99" s="49" t="n">
        <f aca="false">H99*INDEX('Model Inputs &amp; Assumptions'!$G$40:$G$42,MATCH('Model Inputs &amp; Assumptions'!$L$28,'Model Inputs &amp; Assumptions'!$A$40:$A$42,0))*INDEX('Model Inputs &amp; Assumptions'!$H$40:$H$42,MATCH('Model Inputs &amp; Assumptions'!$L$28,'Model Inputs &amp; Assumptions'!$A$40:$A$42,0))</f>
        <v>3409.80741513408</v>
      </c>
      <c r="L99" s="51" t="n">
        <f aca="false">IFERROR(K99/I99,0)</f>
        <v>1.25755911880846</v>
      </c>
      <c r="M99" s="49" t="n">
        <f aca="false">IFERROR(I99/H99,0)</f>
        <v>152.080325401489</v>
      </c>
      <c r="N99" s="52" t="str">
        <f aca="false">'Model Inputs &amp; Assumptions'!$L$28</f>
        <v>PRD-EUAI</v>
      </c>
      <c r="P99" s="53" t="n">
        <v>-0.453283</v>
      </c>
      <c r="Q99" s="53" t="n">
        <v>-0.427827</v>
      </c>
      <c r="R99" s="53" t="n">
        <v>0.246915</v>
      </c>
      <c r="S99" s="53" t="n">
        <v>-0.122876</v>
      </c>
    </row>
    <row r="100" customFormat="false" ht="15" hidden="false" customHeight="false" outlineLevel="0" collapsed="false">
      <c r="A100" s="43" t="n">
        <v>97</v>
      </c>
      <c r="B100" s="44" t="str">
        <f aca="false">'Model Inputs &amp; Assumptions'!$B$28</f>
        <v>finanzen.net — Q1 Awareness Burst</v>
      </c>
      <c r="C100" s="45" t="n">
        <f aca="false">ROUND(MAX(0,'Model Inputs &amp; Assumptions'!$S$28*EXP('Model Inputs &amp; Assumptions'!$T$28*P100-'Model Inputs &amp; Assumptions'!$T$28^2/2)),0)</f>
        <v>347419</v>
      </c>
      <c r="D100" s="46" t="n">
        <f aca="false">MIN(1,'Model Inputs &amp; Assumptions'!$U$28*EXP('Model Inputs &amp; Assumptions'!$V$28*Q100-'Model Inputs &amp; Assumptions'!$V$28^2/2))</f>
        <v>0</v>
      </c>
      <c r="E100" s="45" t="n">
        <f aca="false">ROUND(C100*D100,0)</f>
        <v>0</v>
      </c>
      <c r="F100" s="47" t="n">
        <f aca="false">MIN(1,'Model Inputs &amp; Assumptions'!$W$28*EXP('Model Inputs &amp; Assumptions'!$X$28*R100-'Model Inputs &amp; Assumptions'!$X$28^2/2))</f>
        <v>0.00112325098749448</v>
      </c>
      <c r="G100" s="45" t="n">
        <f aca="false">ROUND(C100*F100,0)</f>
        <v>390</v>
      </c>
      <c r="H100" s="48" t="n">
        <f aca="false">MAX(0,(C100*'Model Inputs &amp; Assumptions'!$N$28+E100*'Model Inputs &amp; Assumptions'!$O$28+G100*'Model Inputs &amp; Assumptions'!$P$28)*EXP('Model Inputs &amp; Assumptions'!$Q$28*S100-'Model Inputs &amp; Assumptions'!$Q$28^2/2))</f>
        <v>6.0326232047349</v>
      </c>
      <c r="I100" s="49" t="n">
        <f aca="false">IF('Model Inputs &amp; Assumptions'!$H$28="Fixed",'Model Inputs &amp; Assumptions'!$I$28*'Model Inputs &amp; Assumptions'!$K$28,IF('Model Inputs &amp; Assumptions'!$H$28="CPM",'Model Inputs &amp; Assumptions'!$I$28*'Model Inputs &amp; Assumptions'!$K$28*C100/1000,IF('Model Inputs &amp; Assumptions'!$H$28="CPC",'Model Inputs &amp; Assumptions'!$I$28*'Model Inputs &amp; Assumptions'!$K$28*G100,0)))</f>
        <v>2258.2235</v>
      </c>
      <c r="J100" s="50" t="n">
        <f aca="false">H100*INDEX('Model Inputs &amp; Assumptions'!$D$40:$D$42,MATCH('Model Inputs &amp; Assumptions'!$L$28,'Model Inputs &amp; Assumptions'!$A$40:$A$42,0))*INDEX('Model Inputs &amp; Assumptions'!$H$40:$H$42,MATCH('Model Inputs &amp; Assumptions'!$L$28,'Model Inputs &amp; Assumptions'!$A$40:$A$42,0))</f>
        <v>51277.2972402466</v>
      </c>
      <c r="K100" s="49" t="n">
        <f aca="false">H100*INDEX('Model Inputs &amp; Assumptions'!$G$40:$G$42,MATCH('Model Inputs &amp; Assumptions'!$L$28,'Model Inputs &amp; Assumptions'!$A$40:$A$42,0))*INDEX('Model Inputs &amp; Assumptions'!$H$40:$H$42,MATCH('Model Inputs &amp; Assumptions'!$L$28,'Model Inputs &amp; Assumptions'!$A$40:$A$42,0))</f>
        <v>1153.73918790555</v>
      </c>
      <c r="L100" s="51" t="n">
        <f aca="false">IFERROR(K100/I100,0)</f>
        <v>0.510905668949752</v>
      </c>
      <c r="M100" s="49" t="n">
        <f aca="false">IFERROR(I100/H100,0)</f>
        <v>374.335247430597</v>
      </c>
      <c r="N100" s="52" t="str">
        <f aca="false">'Model Inputs &amp; Assumptions'!$L$28</f>
        <v>PRD-EUAI</v>
      </c>
      <c r="P100" s="53" t="n">
        <v>-1.469415</v>
      </c>
      <c r="Q100" s="53" t="n">
        <v>0.602722</v>
      </c>
      <c r="R100" s="53" t="n">
        <v>-1.204718</v>
      </c>
      <c r="S100" s="53" t="n">
        <v>-2.058023</v>
      </c>
    </row>
    <row r="101" customFormat="false" ht="15" hidden="false" customHeight="false" outlineLevel="0" collapsed="false">
      <c r="A101" s="43" t="n">
        <v>98</v>
      </c>
      <c r="B101" s="44" t="str">
        <f aca="false">'Model Inputs &amp; Assumptions'!$B$28</f>
        <v>finanzen.net — Q1 Awareness Burst</v>
      </c>
      <c r="C101" s="45" t="n">
        <f aca="false">ROUND(MAX(0,'Model Inputs &amp; Assumptions'!$S$28*EXP('Model Inputs &amp; Assumptions'!$T$28*P101-'Model Inputs &amp; Assumptions'!$T$28^2/2)),0)</f>
        <v>453545</v>
      </c>
      <c r="D101" s="46" t="n">
        <f aca="false">MIN(1,'Model Inputs &amp; Assumptions'!$U$28*EXP('Model Inputs &amp; Assumptions'!$V$28*Q101-'Model Inputs &amp; Assumptions'!$V$28^2/2))</f>
        <v>0</v>
      </c>
      <c r="E101" s="45" t="n">
        <f aca="false">ROUND(C101*D101,0)</f>
        <v>0</v>
      </c>
      <c r="F101" s="47" t="n">
        <f aca="false">MIN(1,'Model Inputs &amp; Assumptions'!$W$28*EXP('Model Inputs &amp; Assumptions'!$X$28*R101-'Model Inputs &amp; Assumptions'!$X$28^2/2))</f>
        <v>0.00137413247964557</v>
      </c>
      <c r="G101" s="45" t="n">
        <f aca="false">ROUND(C101*F101,0)</f>
        <v>623</v>
      </c>
      <c r="H101" s="48" t="n">
        <f aca="false">MAX(0,(C101*'Model Inputs &amp; Assumptions'!$N$28+E101*'Model Inputs &amp; Assumptions'!$O$28+G101*'Model Inputs &amp; Assumptions'!$P$28)*EXP('Model Inputs &amp; Assumptions'!$Q$28*S101-'Model Inputs &amp; Assumptions'!$Q$28^2/2))</f>
        <v>26.7253438074802</v>
      </c>
      <c r="I101" s="49" t="n">
        <f aca="false">IF('Model Inputs &amp; Assumptions'!$H$28="Fixed",'Model Inputs &amp; Assumptions'!$I$28*'Model Inputs &amp; Assumptions'!$K$28,IF('Model Inputs &amp; Assumptions'!$H$28="CPM",'Model Inputs &amp; Assumptions'!$I$28*'Model Inputs &amp; Assumptions'!$K$28*C101/1000,IF('Model Inputs &amp; Assumptions'!$H$28="CPC",'Model Inputs &amp; Assumptions'!$I$28*'Model Inputs &amp; Assumptions'!$K$28*G101,0)))</f>
        <v>2948.0425</v>
      </c>
      <c r="J101" s="50" t="n">
        <f aca="false">H101*INDEX('Model Inputs &amp; Assumptions'!$D$40:$D$42,MATCH('Model Inputs &amp; Assumptions'!$L$28,'Model Inputs &amp; Assumptions'!$A$40:$A$42,0))*INDEX('Model Inputs &amp; Assumptions'!$H$40:$H$42,MATCH('Model Inputs &amp; Assumptions'!$L$28,'Model Inputs &amp; Assumptions'!$A$40:$A$42,0))</f>
        <v>227165.422363582</v>
      </c>
      <c r="K101" s="49" t="n">
        <f aca="false">H101*INDEX('Model Inputs &amp; Assumptions'!$G$40:$G$42,MATCH('Model Inputs &amp; Assumptions'!$L$28,'Model Inputs &amp; Assumptions'!$A$40:$A$42,0))*INDEX('Model Inputs &amp; Assumptions'!$H$40:$H$42,MATCH('Model Inputs &amp; Assumptions'!$L$28,'Model Inputs &amp; Assumptions'!$A$40:$A$42,0))</f>
        <v>5111.2220031806</v>
      </c>
      <c r="L101" s="51" t="n">
        <f aca="false">IFERROR(K101/I101,0)</f>
        <v>1.73376808617264</v>
      </c>
      <c r="M101" s="49" t="n">
        <f aca="false">IFERROR(I101/H101,0)</f>
        <v>110.30887090683</v>
      </c>
      <c r="N101" s="52" t="str">
        <f aca="false">'Model Inputs &amp; Assumptions'!$L$28</f>
        <v>PRD-EUAI</v>
      </c>
      <c r="P101" s="53" t="n">
        <v>0.011494</v>
      </c>
      <c r="Q101" s="53" t="n">
        <v>-0.36558</v>
      </c>
      <c r="R101" s="53" t="n">
        <v>-0.288375</v>
      </c>
      <c r="S101" s="53" t="n">
        <v>1.342079</v>
      </c>
    </row>
    <row r="102" customFormat="false" ht="15" hidden="false" customHeight="false" outlineLevel="0" collapsed="false">
      <c r="A102" s="43" t="n">
        <v>99</v>
      </c>
      <c r="B102" s="44" t="str">
        <f aca="false">'Model Inputs &amp; Assumptions'!$B$28</f>
        <v>finanzen.net — Q1 Awareness Burst</v>
      </c>
      <c r="C102" s="45" t="n">
        <f aca="false">ROUND(MAX(0,'Model Inputs &amp; Assumptions'!$S$28*EXP('Model Inputs &amp; Assumptions'!$T$28*P102-'Model Inputs &amp; Assumptions'!$T$28^2/2)),0)</f>
        <v>416062</v>
      </c>
      <c r="D102" s="46" t="n">
        <f aca="false">MIN(1,'Model Inputs &amp; Assumptions'!$U$28*EXP('Model Inputs &amp; Assumptions'!$V$28*Q102-'Model Inputs &amp; Assumptions'!$V$28^2/2))</f>
        <v>0</v>
      </c>
      <c r="E102" s="45" t="n">
        <f aca="false">ROUND(C102*D102,0)</f>
        <v>0</v>
      </c>
      <c r="F102" s="47" t="n">
        <f aca="false">MIN(1,'Model Inputs &amp; Assumptions'!$W$28*EXP('Model Inputs &amp; Assumptions'!$X$28*R102-'Model Inputs &amp; Assumptions'!$X$28^2/2))</f>
        <v>0.00115466658130919</v>
      </c>
      <c r="G102" s="45" t="n">
        <f aca="false">ROUND(C102*F102,0)</f>
        <v>480</v>
      </c>
      <c r="H102" s="48" t="n">
        <f aca="false">MAX(0,(C102*'Model Inputs &amp; Assumptions'!$N$28+E102*'Model Inputs &amp; Assumptions'!$O$28+G102*'Model Inputs &amp; Assumptions'!$P$28)*EXP('Model Inputs &amp; Assumptions'!$Q$28*S102-'Model Inputs &amp; Assumptions'!$Q$28^2/2))</f>
        <v>9.8907977689431</v>
      </c>
      <c r="I102" s="49" t="n">
        <f aca="false">IF('Model Inputs &amp; Assumptions'!$H$28="Fixed",'Model Inputs &amp; Assumptions'!$I$28*'Model Inputs &amp; Assumptions'!$K$28,IF('Model Inputs &amp; Assumptions'!$H$28="CPM",'Model Inputs &amp; Assumptions'!$I$28*'Model Inputs &amp; Assumptions'!$K$28*C102/1000,IF('Model Inputs &amp; Assumptions'!$H$28="CPC",'Model Inputs &amp; Assumptions'!$I$28*'Model Inputs &amp; Assumptions'!$K$28*G102,0)))</f>
        <v>2704.403</v>
      </c>
      <c r="J102" s="50" t="n">
        <f aca="false">H102*INDEX('Model Inputs &amp; Assumptions'!$D$40:$D$42,MATCH('Model Inputs &amp; Assumptions'!$L$28,'Model Inputs &amp; Assumptions'!$A$40:$A$42,0))*INDEX('Model Inputs &amp; Assumptions'!$H$40:$H$42,MATCH('Model Inputs &amp; Assumptions'!$L$28,'Model Inputs &amp; Assumptions'!$A$40:$A$42,0))</f>
        <v>84071.7810360164</v>
      </c>
      <c r="K102" s="49" t="n">
        <f aca="false">H102*INDEX('Model Inputs &amp; Assumptions'!$G$40:$G$42,MATCH('Model Inputs &amp; Assumptions'!$L$28,'Model Inputs &amp; Assumptions'!$A$40:$A$42,0))*INDEX('Model Inputs &amp; Assumptions'!$H$40:$H$42,MATCH('Model Inputs &amp; Assumptions'!$L$28,'Model Inputs &amp; Assumptions'!$A$40:$A$42,0))</f>
        <v>1891.61507331037</v>
      </c>
      <c r="L102" s="51" t="n">
        <f aca="false">IFERROR(K102/I102,0)</f>
        <v>0.699457541390972</v>
      </c>
      <c r="M102" s="49" t="n">
        <f aca="false">IFERROR(I102/H102,0)</f>
        <v>273.426174832102</v>
      </c>
      <c r="N102" s="52" t="str">
        <f aca="false">'Model Inputs &amp; Assumptions'!$L$28</f>
        <v>PRD-EUAI</v>
      </c>
      <c r="P102" s="53" t="n">
        <v>-0.467738</v>
      </c>
      <c r="Q102" s="53" t="n">
        <v>-1.07564</v>
      </c>
      <c r="R102" s="53" t="n">
        <v>-1.079334</v>
      </c>
      <c r="S102" s="53" t="n">
        <v>-1.102078</v>
      </c>
    </row>
    <row r="103" customFormat="false" ht="15" hidden="false" customHeight="false" outlineLevel="0" collapsed="false">
      <c r="A103" s="43" t="n">
        <v>100</v>
      </c>
      <c r="B103" s="44" t="str">
        <f aca="false">'Model Inputs &amp; Assumptions'!$B$28</f>
        <v>finanzen.net — Q1 Awareness Burst</v>
      </c>
      <c r="C103" s="45" t="n">
        <f aca="false">ROUND(MAX(0,'Model Inputs &amp; Assumptions'!$S$28*EXP('Model Inputs &amp; Assumptions'!$T$28*P103-'Model Inputs &amp; Assumptions'!$T$28^2/2)),0)</f>
        <v>411045</v>
      </c>
      <c r="D103" s="46" t="n">
        <f aca="false">MIN(1,'Model Inputs &amp; Assumptions'!$U$28*EXP('Model Inputs &amp; Assumptions'!$V$28*Q103-'Model Inputs &amp; Assumptions'!$V$28^2/2))</f>
        <v>0</v>
      </c>
      <c r="E103" s="45" t="n">
        <f aca="false">ROUND(C103*D103,0)</f>
        <v>0</v>
      </c>
      <c r="F103" s="47" t="n">
        <f aca="false">MIN(1,'Model Inputs &amp; Assumptions'!$W$28*EXP('Model Inputs &amp; Assumptions'!$X$28*R103-'Model Inputs &amp; Assumptions'!$X$28^2/2))</f>
        <v>0.00146656062441671</v>
      </c>
      <c r="G103" s="45" t="n">
        <f aca="false">ROUND(C103*F103,0)</f>
        <v>603</v>
      </c>
      <c r="H103" s="48" t="n">
        <f aca="false">MAX(0,(C103*'Model Inputs &amp; Assumptions'!$N$28+E103*'Model Inputs &amp; Assumptions'!$O$28+G103*'Model Inputs &amp; Assumptions'!$P$28)*EXP('Model Inputs &amp; Assumptions'!$Q$28*S103-'Model Inputs &amp; Assumptions'!$Q$28^2/2))</f>
        <v>21.5709154287872</v>
      </c>
      <c r="I103" s="49" t="n">
        <f aca="false">IF('Model Inputs &amp; Assumptions'!$H$28="Fixed",'Model Inputs &amp; Assumptions'!$I$28*'Model Inputs &amp; Assumptions'!$K$28,IF('Model Inputs &amp; Assumptions'!$H$28="CPM",'Model Inputs &amp; Assumptions'!$I$28*'Model Inputs &amp; Assumptions'!$K$28*C103/1000,IF('Model Inputs &amp; Assumptions'!$H$28="CPC",'Model Inputs &amp; Assumptions'!$I$28*'Model Inputs &amp; Assumptions'!$K$28*G103,0)))</f>
        <v>2671.7925</v>
      </c>
      <c r="J103" s="50" t="n">
        <f aca="false">H103*INDEX('Model Inputs &amp; Assumptions'!$D$40:$D$42,MATCH('Model Inputs &amp; Assumptions'!$L$28,'Model Inputs &amp; Assumptions'!$A$40:$A$42,0))*INDEX('Model Inputs &amp; Assumptions'!$H$40:$H$42,MATCH('Model Inputs &amp; Assumptions'!$L$28,'Model Inputs &amp; Assumptions'!$A$40:$A$42,0))</f>
        <v>183352.781144691</v>
      </c>
      <c r="K103" s="49" t="n">
        <f aca="false">H103*INDEX('Model Inputs &amp; Assumptions'!$G$40:$G$42,MATCH('Model Inputs &amp; Assumptions'!$L$28,'Model Inputs &amp; Assumptions'!$A$40:$A$42,0))*INDEX('Model Inputs &amp; Assumptions'!$H$40:$H$42,MATCH('Model Inputs &amp; Assumptions'!$L$28,'Model Inputs &amp; Assumptions'!$A$40:$A$42,0))</f>
        <v>4125.43757575556</v>
      </c>
      <c r="L103" s="51" t="n">
        <f aca="false">IFERROR(K103/I103,0)</f>
        <v>1.54407109674705</v>
      </c>
      <c r="M103" s="49" t="n">
        <f aca="false">IFERROR(I103/H103,0)</f>
        <v>123.860876874719</v>
      </c>
      <c r="N103" s="52" t="str">
        <f aca="false">'Model Inputs &amp; Assumptions'!$L$28</f>
        <v>PRD-EUAI</v>
      </c>
      <c r="P103" s="53" t="n">
        <v>-0.535133</v>
      </c>
      <c r="Q103" s="53" t="n">
        <v>0.514183</v>
      </c>
      <c r="R103" s="53" t="n">
        <v>0.007522</v>
      </c>
      <c r="S103" s="53" t="n">
        <v>0.736622</v>
      </c>
    </row>
    <row r="104" customFormat="false" ht="15" hidden="false" customHeight="false" outlineLevel="0" collapsed="false">
      <c r="A104" s="43" t="n">
        <v>101</v>
      </c>
      <c r="B104" s="44" t="str">
        <f aca="false">'Model Inputs &amp; Assumptions'!$B$28</f>
        <v>finanzen.net — Q1 Awareness Burst</v>
      </c>
      <c r="C104" s="45" t="n">
        <f aca="false">ROUND(MAX(0,'Model Inputs &amp; Assumptions'!$S$28*EXP('Model Inputs &amp; Assumptions'!$T$28*P104-'Model Inputs &amp; Assumptions'!$T$28^2/2)),0)</f>
        <v>597879</v>
      </c>
      <c r="D104" s="46" t="n">
        <f aca="false">MIN(1,'Model Inputs &amp; Assumptions'!$U$28*EXP('Model Inputs &amp; Assumptions'!$V$28*Q104-'Model Inputs &amp; Assumptions'!$V$28^2/2))</f>
        <v>0</v>
      </c>
      <c r="E104" s="45" t="n">
        <f aca="false">ROUND(C104*D104,0)</f>
        <v>0</v>
      </c>
      <c r="F104" s="47" t="n">
        <f aca="false">MIN(1,'Model Inputs &amp; Assumptions'!$W$28*EXP('Model Inputs &amp; Assumptions'!$X$28*R104-'Model Inputs &amp; Assumptions'!$X$28^2/2))</f>
        <v>0.0012636744764567</v>
      </c>
      <c r="G104" s="45" t="n">
        <f aca="false">ROUND(C104*F104,0)</f>
        <v>756</v>
      </c>
      <c r="H104" s="48" t="n">
        <f aca="false">MAX(0,(C104*'Model Inputs &amp; Assumptions'!$N$28+E104*'Model Inputs &amp; Assumptions'!$O$28+G104*'Model Inputs &amp; Assumptions'!$P$28)*EXP('Model Inputs &amp; Assumptions'!$Q$28*S104-'Model Inputs &amp; Assumptions'!$Q$28^2/2))</f>
        <v>17.2474684961148</v>
      </c>
      <c r="I104" s="49" t="n">
        <f aca="false">IF('Model Inputs &amp; Assumptions'!$H$28="Fixed",'Model Inputs &amp; Assumptions'!$I$28*'Model Inputs &amp; Assumptions'!$K$28,IF('Model Inputs &amp; Assumptions'!$H$28="CPM",'Model Inputs &amp; Assumptions'!$I$28*'Model Inputs &amp; Assumptions'!$K$28*C104/1000,IF('Model Inputs &amp; Assumptions'!$H$28="CPC",'Model Inputs &amp; Assumptions'!$I$28*'Model Inputs &amp; Assumptions'!$K$28*G104,0)))</f>
        <v>3886.2135</v>
      </c>
      <c r="J104" s="50" t="n">
        <f aca="false">H104*INDEX('Model Inputs &amp; Assumptions'!$D$40:$D$42,MATCH('Model Inputs &amp; Assumptions'!$L$28,'Model Inputs &amp; Assumptions'!$A$40:$A$42,0))*INDEX('Model Inputs &amp; Assumptions'!$H$40:$H$42,MATCH('Model Inputs &amp; Assumptions'!$L$28,'Model Inputs &amp; Assumptions'!$A$40:$A$42,0))</f>
        <v>146603.482216976</v>
      </c>
      <c r="K104" s="49" t="n">
        <f aca="false">H104*INDEX('Model Inputs &amp; Assumptions'!$G$40:$G$42,MATCH('Model Inputs &amp; Assumptions'!$L$28,'Model Inputs &amp; Assumptions'!$A$40:$A$42,0))*INDEX('Model Inputs &amp; Assumptions'!$H$40:$H$42,MATCH('Model Inputs &amp; Assumptions'!$L$28,'Model Inputs &amp; Assumptions'!$A$40:$A$42,0))</f>
        <v>3298.57834988195</v>
      </c>
      <c r="L104" s="51" t="n">
        <f aca="false">IFERROR(K104/I104,0)</f>
        <v>0.848789792398682</v>
      </c>
      <c r="M104" s="49" t="n">
        <f aca="false">IFERROR(I104/H104,0)</f>
        <v>225.320805825818</v>
      </c>
      <c r="N104" s="52" t="str">
        <f aca="false">'Model Inputs &amp; Assumptions'!$L$28</f>
        <v>PRD-EUAI</v>
      </c>
      <c r="P104" s="53" t="n">
        <v>1.546457</v>
      </c>
      <c r="Q104" s="53" t="n">
        <v>0.372376</v>
      </c>
      <c r="R104" s="53" t="n">
        <v>-0.669279</v>
      </c>
      <c r="S104" s="53" t="n">
        <v>-0.762727</v>
      </c>
    </row>
    <row r="105" customFormat="false" ht="15" hidden="false" customHeight="false" outlineLevel="0" collapsed="false">
      <c r="A105" s="43" t="n">
        <v>102</v>
      </c>
      <c r="B105" s="44" t="str">
        <f aca="false">'Model Inputs &amp; Assumptions'!$B$28</f>
        <v>finanzen.net — Q1 Awareness Burst</v>
      </c>
      <c r="C105" s="45" t="n">
        <f aca="false">ROUND(MAX(0,'Model Inputs &amp; Assumptions'!$S$28*EXP('Model Inputs &amp; Assumptions'!$T$28*P105-'Model Inputs &amp; Assumptions'!$T$28^2/2)),0)</f>
        <v>435600</v>
      </c>
      <c r="D105" s="46" t="n">
        <f aca="false">MIN(1,'Model Inputs &amp; Assumptions'!$U$28*EXP('Model Inputs &amp; Assumptions'!$V$28*Q105-'Model Inputs &amp; Assumptions'!$V$28^2/2))</f>
        <v>0</v>
      </c>
      <c r="E105" s="45" t="n">
        <f aca="false">ROUND(C105*D105,0)</f>
        <v>0</v>
      </c>
      <c r="F105" s="47" t="n">
        <f aca="false">MIN(1,'Model Inputs &amp; Assumptions'!$W$28*EXP('Model Inputs &amp; Assumptions'!$X$28*R105-'Model Inputs &amp; Assumptions'!$X$28^2/2))</f>
        <v>0.00166908349119035</v>
      </c>
      <c r="G105" s="45" t="n">
        <f aca="false">ROUND(C105*F105,0)</f>
        <v>727</v>
      </c>
      <c r="H105" s="48" t="n">
        <f aca="false">MAX(0,(C105*'Model Inputs &amp; Assumptions'!$N$28+E105*'Model Inputs &amp; Assumptions'!$O$28+G105*'Model Inputs &amp; Assumptions'!$P$28)*EXP('Model Inputs &amp; Assumptions'!$Q$28*S105-'Model Inputs &amp; Assumptions'!$Q$28^2/2))</f>
        <v>20.1903482378779</v>
      </c>
      <c r="I105" s="49" t="n">
        <f aca="false">IF('Model Inputs &amp; Assumptions'!$H$28="Fixed",'Model Inputs &amp; Assumptions'!$I$28*'Model Inputs &amp; Assumptions'!$K$28,IF('Model Inputs &amp; Assumptions'!$H$28="CPM",'Model Inputs &amp; Assumptions'!$I$28*'Model Inputs &amp; Assumptions'!$K$28*C105/1000,IF('Model Inputs &amp; Assumptions'!$H$28="CPC",'Model Inputs &amp; Assumptions'!$I$28*'Model Inputs &amp; Assumptions'!$K$28*G105,0)))</f>
        <v>2831.4</v>
      </c>
      <c r="J105" s="50" t="n">
        <f aca="false">H105*INDEX('Model Inputs &amp; Assumptions'!$D$40:$D$42,MATCH('Model Inputs &amp; Assumptions'!$L$28,'Model Inputs &amp; Assumptions'!$A$40:$A$42,0))*INDEX('Model Inputs &amp; Assumptions'!$H$40:$H$42,MATCH('Model Inputs &amp; Assumptions'!$L$28,'Model Inputs &amp; Assumptions'!$A$40:$A$42,0))</f>
        <v>171617.960021962</v>
      </c>
      <c r="K105" s="49" t="n">
        <f aca="false">H105*INDEX('Model Inputs &amp; Assumptions'!$G$40:$G$42,MATCH('Model Inputs &amp; Assumptions'!$L$28,'Model Inputs &amp; Assumptions'!$A$40:$A$42,0))*INDEX('Model Inputs &amp; Assumptions'!$H$40:$H$42,MATCH('Model Inputs &amp; Assumptions'!$L$28,'Model Inputs &amp; Assumptions'!$A$40:$A$42,0))</f>
        <v>3861.40410049414</v>
      </c>
      <c r="L105" s="51" t="n">
        <f aca="false">IFERROR(K105/I105,0)</f>
        <v>1.36377908472633</v>
      </c>
      <c r="M105" s="49" t="n">
        <f aca="false">IFERROR(I105/H105,0)</f>
        <v>140.235322672057</v>
      </c>
      <c r="N105" s="52" t="str">
        <f aca="false">'Model Inputs &amp; Assumptions'!$L$28</f>
        <v>PRD-EUAI</v>
      </c>
      <c r="P105" s="53" t="n">
        <v>-0.212794</v>
      </c>
      <c r="Q105" s="53" t="n">
        <v>-0.726758</v>
      </c>
      <c r="R105" s="53" t="n">
        <v>0.595498</v>
      </c>
      <c r="S105" s="53" t="n">
        <v>-0.107213</v>
      </c>
    </row>
    <row r="106" customFormat="false" ht="15" hidden="false" customHeight="false" outlineLevel="0" collapsed="false">
      <c r="A106" s="43" t="n">
        <v>103</v>
      </c>
      <c r="B106" s="44" t="str">
        <f aca="false">'Model Inputs &amp; Assumptions'!$B$28</f>
        <v>finanzen.net — Q1 Awareness Burst</v>
      </c>
      <c r="C106" s="45" t="n">
        <f aca="false">ROUND(MAX(0,'Model Inputs &amp; Assumptions'!$S$28*EXP('Model Inputs &amp; Assumptions'!$T$28*P106-'Model Inputs &amp; Assumptions'!$T$28^2/2)),0)</f>
        <v>501118</v>
      </c>
      <c r="D106" s="46" t="n">
        <f aca="false">MIN(1,'Model Inputs &amp; Assumptions'!$U$28*EXP('Model Inputs &amp; Assumptions'!$V$28*Q106-'Model Inputs &amp; Assumptions'!$V$28^2/2))</f>
        <v>0</v>
      </c>
      <c r="E106" s="45" t="n">
        <f aca="false">ROUND(C106*D106,0)</f>
        <v>0</v>
      </c>
      <c r="F106" s="47" t="n">
        <f aca="false">MIN(1,'Model Inputs &amp; Assumptions'!$W$28*EXP('Model Inputs &amp; Assumptions'!$X$28*R106-'Model Inputs &amp; Assumptions'!$X$28^2/2))</f>
        <v>0.00181216113108695</v>
      </c>
      <c r="G106" s="45" t="n">
        <f aca="false">ROUND(C106*F106,0)</f>
        <v>908</v>
      </c>
      <c r="H106" s="48" t="n">
        <f aca="false">MAX(0,(C106*'Model Inputs &amp; Assumptions'!$N$28+E106*'Model Inputs &amp; Assumptions'!$O$28+G106*'Model Inputs &amp; Assumptions'!$P$28)*EXP('Model Inputs &amp; Assumptions'!$Q$28*S106-'Model Inputs &amp; Assumptions'!$Q$28^2/2))</f>
        <v>25.9096446910222</v>
      </c>
      <c r="I106" s="49" t="n">
        <f aca="false">IF('Model Inputs &amp; Assumptions'!$H$28="Fixed",'Model Inputs &amp; Assumptions'!$I$28*'Model Inputs &amp; Assumptions'!$K$28,IF('Model Inputs &amp; Assumptions'!$H$28="CPM",'Model Inputs &amp; Assumptions'!$I$28*'Model Inputs &amp; Assumptions'!$K$28*C106/1000,IF('Model Inputs &amp; Assumptions'!$H$28="CPC",'Model Inputs &amp; Assumptions'!$I$28*'Model Inputs &amp; Assumptions'!$K$28*G106,0)))</f>
        <v>3257.267</v>
      </c>
      <c r="J106" s="50" t="n">
        <f aca="false">H106*INDEX('Model Inputs &amp; Assumptions'!$D$40:$D$42,MATCH('Model Inputs &amp; Assumptions'!$L$28,'Model Inputs &amp; Assumptions'!$A$40:$A$42,0))*INDEX('Model Inputs &amp; Assumptions'!$H$40:$H$42,MATCH('Model Inputs &amp; Assumptions'!$L$28,'Model Inputs &amp; Assumptions'!$A$40:$A$42,0))</f>
        <v>220231.979873689</v>
      </c>
      <c r="K106" s="49" t="n">
        <f aca="false">H106*INDEX('Model Inputs &amp; Assumptions'!$G$40:$G$42,MATCH('Model Inputs &amp; Assumptions'!$L$28,'Model Inputs &amp; Assumptions'!$A$40:$A$42,0))*INDEX('Model Inputs &amp; Assumptions'!$H$40:$H$42,MATCH('Model Inputs &amp; Assumptions'!$L$28,'Model Inputs &amp; Assumptions'!$A$40:$A$42,0))</f>
        <v>4955.21954715799</v>
      </c>
      <c r="L106" s="51" t="n">
        <f aca="false">IFERROR(K106/I106,0)</f>
        <v>1.52128135248292</v>
      </c>
      <c r="M106" s="49" t="n">
        <f aca="false">IFERROR(I106/H106,0)</f>
        <v>125.7163901259</v>
      </c>
      <c r="N106" s="52" t="str">
        <f aca="false">'Model Inputs &amp; Assumptions'!$L$28</f>
        <v>PRD-EUAI</v>
      </c>
      <c r="P106" s="53" t="n">
        <v>0.565644</v>
      </c>
      <c r="Q106" s="53" t="n">
        <v>1.116505</v>
      </c>
      <c r="R106" s="53" t="n">
        <v>0.969341</v>
      </c>
      <c r="S106" s="53" t="n">
        <v>-0.016904</v>
      </c>
    </row>
    <row r="107" customFormat="false" ht="15" hidden="false" customHeight="false" outlineLevel="0" collapsed="false">
      <c r="A107" s="43" t="n">
        <v>104</v>
      </c>
      <c r="B107" s="44" t="str">
        <f aca="false">'Model Inputs &amp; Assumptions'!$B$28</f>
        <v>finanzen.net — Q1 Awareness Burst</v>
      </c>
      <c r="C107" s="45" t="n">
        <f aca="false">ROUND(MAX(0,'Model Inputs &amp; Assumptions'!$S$28*EXP('Model Inputs &amp; Assumptions'!$T$28*P107-'Model Inputs &amp; Assumptions'!$T$28^2/2)),0)</f>
        <v>486245</v>
      </c>
      <c r="D107" s="46" t="n">
        <f aca="false">MIN(1,'Model Inputs &amp; Assumptions'!$U$28*EXP('Model Inputs &amp; Assumptions'!$V$28*Q107-'Model Inputs &amp; Assumptions'!$V$28^2/2))</f>
        <v>0</v>
      </c>
      <c r="E107" s="45" t="n">
        <f aca="false">ROUND(C107*D107,0)</f>
        <v>0</v>
      </c>
      <c r="F107" s="47" t="n">
        <f aca="false">MIN(1,'Model Inputs &amp; Assumptions'!$W$28*EXP('Model Inputs &amp; Assumptions'!$X$28*R107-'Model Inputs &amp; Assumptions'!$X$28^2/2))</f>
        <v>0.00150614196033847</v>
      </c>
      <c r="G107" s="45" t="n">
        <f aca="false">ROUND(C107*F107,0)</f>
        <v>732</v>
      </c>
      <c r="H107" s="48" t="n">
        <f aca="false">MAX(0,(C107*'Model Inputs &amp; Assumptions'!$N$28+E107*'Model Inputs &amp; Assumptions'!$O$28+G107*'Model Inputs &amp; Assumptions'!$P$28)*EXP('Model Inputs &amp; Assumptions'!$Q$28*S107-'Model Inputs &amp; Assumptions'!$Q$28^2/2))</f>
        <v>17.6629374813573</v>
      </c>
      <c r="I107" s="49" t="n">
        <f aca="false">IF('Model Inputs &amp; Assumptions'!$H$28="Fixed",'Model Inputs &amp; Assumptions'!$I$28*'Model Inputs &amp; Assumptions'!$K$28,IF('Model Inputs &amp; Assumptions'!$H$28="CPM",'Model Inputs &amp; Assumptions'!$I$28*'Model Inputs &amp; Assumptions'!$K$28*C107/1000,IF('Model Inputs &amp; Assumptions'!$H$28="CPC",'Model Inputs &amp; Assumptions'!$I$28*'Model Inputs &amp; Assumptions'!$K$28*G107,0)))</f>
        <v>3160.5925</v>
      </c>
      <c r="J107" s="50" t="n">
        <f aca="false">H107*INDEX('Model Inputs &amp; Assumptions'!$D$40:$D$42,MATCH('Model Inputs &amp; Assumptions'!$L$28,'Model Inputs &amp; Assumptions'!$A$40:$A$42,0))*INDEX('Model Inputs &amp; Assumptions'!$H$40:$H$42,MATCH('Model Inputs &amp; Assumptions'!$L$28,'Model Inputs &amp; Assumptions'!$A$40:$A$42,0))</f>
        <v>150134.968591537</v>
      </c>
      <c r="K107" s="49" t="n">
        <f aca="false">H107*INDEX('Model Inputs &amp; Assumptions'!$G$40:$G$42,MATCH('Model Inputs &amp; Assumptions'!$L$28,'Model Inputs &amp; Assumptions'!$A$40:$A$42,0))*INDEX('Model Inputs &amp; Assumptions'!$H$40:$H$42,MATCH('Model Inputs &amp; Assumptions'!$L$28,'Model Inputs &amp; Assumptions'!$A$40:$A$42,0))</f>
        <v>3378.03679330959</v>
      </c>
      <c r="L107" s="51" t="n">
        <f aca="false">IFERROR(K107/I107,0)</f>
        <v>1.06879858548978</v>
      </c>
      <c r="M107" s="49" t="n">
        <f aca="false">IFERROR(I107/H107,0)</f>
        <v>178.939233824266</v>
      </c>
      <c r="N107" s="52" t="str">
        <f aca="false">'Model Inputs &amp; Assumptions'!$L$28</f>
        <v>PRD-EUAI</v>
      </c>
      <c r="P107" s="53" t="n">
        <v>0.398257</v>
      </c>
      <c r="Q107" s="53" t="n">
        <v>1.626159</v>
      </c>
      <c r="R107" s="53" t="n">
        <v>0.128574</v>
      </c>
      <c r="S107" s="53" t="n">
        <v>-0.575847</v>
      </c>
    </row>
    <row r="108" customFormat="false" ht="15" hidden="false" customHeight="false" outlineLevel="0" collapsed="false">
      <c r="A108" s="43" t="n">
        <v>105</v>
      </c>
      <c r="B108" s="44" t="str">
        <f aca="false">'Model Inputs &amp; Assumptions'!$B$28</f>
        <v>finanzen.net — Q1 Awareness Burst</v>
      </c>
      <c r="C108" s="45" t="n">
        <f aca="false">ROUND(MAX(0,'Model Inputs &amp; Assumptions'!$S$28*EXP('Model Inputs &amp; Assumptions'!$T$28*P108-'Model Inputs &amp; Assumptions'!$T$28^2/2)),0)</f>
        <v>631482</v>
      </c>
      <c r="D108" s="46" t="n">
        <f aca="false">MIN(1,'Model Inputs &amp; Assumptions'!$U$28*EXP('Model Inputs &amp; Assumptions'!$V$28*Q108-'Model Inputs &amp; Assumptions'!$V$28^2/2))</f>
        <v>0</v>
      </c>
      <c r="E108" s="45" t="n">
        <f aca="false">ROUND(C108*D108,0)</f>
        <v>0</v>
      </c>
      <c r="F108" s="47" t="n">
        <f aca="false">MIN(1,'Model Inputs &amp; Assumptions'!$W$28*EXP('Model Inputs &amp; Assumptions'!$X$28*R108-'Model Inputs &amp; Assumptions'!$X$28^2/2))</f>
        <v>0.00145721066959319</v>
      </c>
      <c r="G108" s="45" t="n">
        <f aca="false">ROUND(C108*F108,0)</f>
        <v>920</v>
      </c>
      <c r="H108" s="48" t="n">
        <f aca="false">MAX(0,(C108*'Model Inputs &amp; Assumptions'!$N$28+E108*'Model Inputs &amp; Assumptions'!$O$28+G108*'Model Inputs &amp; Assumptions'!$P$28)*EXP('Model Inputs &amp; Assumptions'!$Q$28*S108-'Model Inputs &amp; Assumptions'!$Q$28^2/2))</f>
        <v>30.5919552088818</v>
      </c>
      <c r="I108" s="49" t="n">
        <f aca="false">IF('Model Inputs &amp; Assumptions'!$H$28="Fixed",'Model Inputs &amp; Assumptions'!$I$28*'Model Inputs &amp; Assumptions'!$K$28,IF('Model Inputs &amp; Assumptions'!$H$28="CPM",'Model Inputs &amp; Assumptions'!$I$28*'Model Inputs &amp; Assumptions'!$K$28*C108/1000,IF('Model Inputs &amp; Assumptions'!$H$28="CPC",'Model Inputs &amp; Assumptions'!$I$28*'Model Inputs &amp; Assumptions'!$K$28*G108,0)))</f>
        <v>4104.633</v>
      </c>
      <c r="J108" s="50" t="n">
        <f aca="false">H108*INDEX('Model Inputs &amp; Assumptions'!$D$40:$D$42,MATCH('Model Inputs &amp; Assumptions'!$L$28,'Model Inputs &amp; Assumptions'!$A$40:$A$42,0))*INDEX('Model Inputs &amp; Assumptions'!$H$40:$H$42,MATCH('Model Inputs &amp; Assumptions'!$L$28,'Model Inputs &amp; Assumptions'!$A$40:$A$42,0))</f>
        <v>260031.619275496</v>
      </c>
      <c r="K108" s="49" t="n">
        <f aca="false">H108*INDEX('Model Inputs &amp; Assumptions'!$G$40:$G$42,MATCH('Model Inputs &amp; Assumptions'!$L$28,'Model Inputs &amp; Assumptions'!$A$40:$A$42,0))*INDEX('Model Inputs &amp; Assumptions'!$H$40:$H$42,MATCH('Model Inputs &amp; Assumptions'!$L$28,'Model Inputs &amp; Assumptions'!$A$40:$A$42,0))</f>
        <v>5850.71143369865</v>
      </c>
      <c r="L108" s="51" t="n">
        <f aca="false">IFERROR(K108/I108,0)</f>
        <v>1.42539209563892</v>
      </c>
      <c r="M108" s="49" t="n">
        <f aca="false">IFERROR(I108/H108,0)</f>
        <v>134.173607798965</v>
      </c>
      <c r="N108" s="52" t="str">
        <f aca="false">'Model Inputs &amp; Assumptions'!$L$28</f>
        <v>PRD-EUAI</v>
      </c>
      <c r="P108" s="53" t="n">
        <v>1.850236</v>
      </c>
      <c r="Q108" s="53" t="n">
        <v>0.475265</v>
      </c>
      <c r="R108" s="53" t="n">
        <v>-0.02155</v>
      </c>
      <c r="S108" s="53" t="n">
        <v>0.493071</v>
      </c>
    </row>
    <row r="109" customFormat="false" ht="15" hidden="false" customHeight="false" outlineLevel="0" collapsed="false">
      <c r="A109" s="43" t="n">
        <v>106</v>
      </c>
      <c r="B109" s="44" t="str">
        <f aca="false">'Model Inputs &amp; Assumptions'!$B$28</f>
        <v>finanzen.net — Q1 Awareness Burst</v>
      </c>
      <c r="C109" s="45" t="n">
        <f aca="false">ROUND(MAX(0,'Model Inputs &amp; Assumptions'!$S$28*EXP('Model Inputs &amp; Assumptions'!$T$28*P109-'Model Inputs &amp; Assumptions'!$T$28^2/2)),0)</f>
        <v>441246</v>
      </c>
      <c r="D109" s="46" t="n">
        <f aca="false">MIN(1,'Model Inputs &amp; Assumptions'!$U$28*EXP('Model Inputs &amp; Assumptions'!$V$28*Q109-'Model Inputs &amp; Assumptions'!$V$28^2/2))</f>
        <v>0</v>
      </c>
      <c r="E109" s="45" t="n">
        <f aca="false">ROUND(C109*D109,0)</f>
        <v>0</v>
      </c>
      <c r="F109" s="47" t="n">
        <f aca="false">MIN(1,'Model Inputs &amp; Assumptions'!$W$28*EXP('Model Inputs &amp; Assumptions'!$X$28*R109-'Model Inputs &amp; Assumptions'!$X$28^2/2))</f>
        <v>0.0012754767727295</v>
      </c>
      <c r="G109" s="45" t="n">
        <f aca="false">ROUND(C109*F109,0)</f>
        <v>563</v>
      </c>
      <c r="H109" s="48" t="n">
        <f aca="false">MAX(0,(C109*'Model Inputs &amp; Assumptions'!$N$28+E109*'Model Inputs &amp; Assumptions'!$O$28+G109*'Model Inputs &amp; Assumptions'!$P$28)*EXP('Model Inputs &amp; Assumptions'!$Q$28*S109-'Model Inputs &amp; Assumptions'!$Q$28^2/2))</f>
        <v>19.8750013968014</v>
      </c>
      <c r="I109" s="49" t="n">
        <f aca="false">IF('Model Inputs &amp; Assumptions'!$H$28="Fixed",'Model Inputs &amp; Assumptions'!$I$28*'Model Inputs &amp; Assumptions'!$K$28,IF('Model Inputs &amp; Assumptions'!$H$28="CPM",'Model Inputs &amp; Assumptions'!$I$28*'Model Inputs &amp; Assumptions'!$K$28*C109/1000,IF('Model Inputs &amp; Assumptions'!$H$28="CPC",'Model Inputs &amp; Assumptions'!$I$28*'Model Inputs &amp; Assumptions'!$K$28*G109,0)))</f>
        <v>2868.099</v>
      </c>
      <c r="J109" s="50" t="n">
        <f aca="false">H109*INDEX('Model Inputs &amp; Assumptions'!$D$40:$D$42,MATCH('Model Inputs &amp; Assumptions'!$L$28,'Model Inputs &amp; Assumptions'!$A$40:$A$42,0))*INDEX('Model Inputs &amp; Assumptions'!$H$40:$H$42,MATCH('Model Inputs &amp; Assumptions'!$L$28,'Model Inputs &amp; Assumptions'!$A$40:$A$42,0))</f>
        <v>168937.511872812</v>
      </c>
      <c r="K109" s="49" t="n">
        <f aca="false">H109*INDEX('Model Inputs &amp; Assumptions'!$G$40:$G$42,MATCH('Model Inputs &amp; Assumptions'!$L$28,'Model Inputs &amp; Assumptions'!$A$40:$A$42,0))*INDEX('Model Inputs &amp; Assumptions'!$H$40:$H$42,MATCH('Model Inputs &amp; Assumptions'!$L$28,'Model Inputs &amp; Assumptions'!$A$40:$A$42,0))</f>
        <v>3801.09401713827</v>
      </c>
      <c r="L109" s="51" t="n">
        <f aca="false">IFERROR(K109/I109,0)</f>
        <v>1.32530084112796</v>
      </c>
      <c r="M109" s="49" t="n">
        <f aca="false">IFERROR(I109/H109,0)</f>
        <v>144.306857782741</v>
      </c>
      <c r="N109" s="52" t="str">
        <f aca="false">'Model Inputs &amp; Assumptions'!$L$28</f>
        <v>PRD-EUAI</v>
      </c>
      <c r="P109" s="53" t="n">
        <v>-0.14125</v>
      </c>
      <c r="Q109" s="53" t="n">
        <v>0.971727</v>
      </c>
      <c r="R109" s="53" t="n">
        <v>-0.627023</v>
      </c>
      <c r="S109" s="53" t="n">
        <v>0.69247</v>
      </c>
    </row>
    <row r="110" customFormat="false" ht="15" hidden="false" customHeight="false" outlineLevel="0" collapsed="false">
      <c r="A110" s="43" t="n">
        <v>107</v>
      </c>
      <c r="B110" s="44" t="str">
        <f aca="false">'Model Inputs &amp; Assumptions'!$B$28</f>
        <v>finanzen.net — Q1 Awareness Burst</v>
      </c>
      <c r="C110" s="45" t="n">
        <f aca="false">ROUND(MAX(0,'Model Inputs &amp; Assumptions'!$S$28*EXP('Model Inputs &amp; Assumptions'!$T$28*P110-'Model Inputs &amp; Assumptions'!$T$28^2/2)),0)</f>
        <v>335897</v>
      </c>
      <c r="D110" s="46" t="n">
        <f aca="false">MIN(1,'Model Inputs &amp; Assumptions'!$U$28*EXP('Model Inputs &amp; Assumptions'!$V$28*Q110-'Model Inputs &amp; Assumptions'!$V$28^2/2))</f>
        <v>0</v>
      </c>
      <c r="E110" s="45" t="n">
        <f aca="false">ROUND(C110*D110,0)</f>
        <v>0</v>
      </c>
      <c r="F110" s="47" t="n">
        <f aca="false">MIN(1,'Model Inputs &amp; Assumptions'!$W$28*EXP('Model Inputs &amp; Assumptions'!$X$28*R110-'Model Inputs &amp; Assumptions'!$X$28^2/2))</f>
        <v>0.00141170646023653</v>
      </c>
      <c r="G110" s="45" t="n">
        <f aca="false">ROUND(C110*F110,0)</f>
        <v>474</v>
      </c>
      <c r="H110" s="48" t="n">
        <f aca="false">MAX(0,(C110*'Model Inputs &amp; Assumptions'!$N$28+E110*'Model Inputs &amp; Assumptions'!$O$28+G110*'Model Inputs &amp; Assumptions'!$P$28)*EXP('Model Inputs &amp; Assumptions'!$Q$28*S110-'Model Inputs &amp; Assumptions'!$Q$28^2/2))</f>
        <v>12.4050745199285</v>
      </c>
      <c r="I110" s="49" t="n">
        <f aca="false">IF('Model Inputs &amp; Assumptions'!$H$28="Fixed",'Model Inputs &amp; Assumptions'!$I$28*'Model Inputs &amp; Assumptions'!$K$28,IF('Model Inputs &amp; Assumptions'!$H$28="CPM",'Model Inputs &amp; Assumptions'!$I$28*'Model Inputs &amp; Assumptions'!$K$28*C110/1000,IF('Model Inputs &amp; Assumptions'!$H$28="CPC",'Model Inputs &amp; Assumptions'!$I$28*'Model Inputs &amp; Assumptions'!$K$28*G110,0)))</f>
        <v>2183.3305</v>
      </c>
      <c r="J110" s="50" t="n">
        <f aca="false">H110*INDEX('Model Inputs &amp; Assumptions'!$D$40:$D$42,MATCH('Model Inputs &amp; Assumptions'!$L$28,'Model Inputs &amp; Assumptions'!$A$40:$A$42,0))*INDEX('Model Inputs &amp; Assumptions'!$H$40:$H$42,MATCH('Model Inputs &amp; Assumptions'!$L$28,'Model Inputs &amp; Assumptions'!$A$40:$A$42,0))</f>
        <v>105443.133419392</v>
      </c>
      <c r="K110" s="49" t="n">
        <f aca="false">H110*INDEX('Model Inputs &amp; Assumptions'!$G$40:$G$42,MATCH('Model Inputs &amp; Assumptions'!$L$28,'Model Inputs &amp; Assumptions'!$A$40:$A$42,0))*INDEX('Model Inputs &amp; Assumptions'!$H$40:$H$42,MATCH('Model Inputs &amp; Assumptions'!$L$28,'Model Inputs &amp; Assumptions'!$A$40:$A$42,0))</f>
        <v>2372.47050193632</v>
      </c>
      <c r="L110" s="51" t="n">
        <f aca="false">IFERROR(K110/I110,0)</f>
        <v>1.08662912093992</v>
      </c>
      <c r="M110" s="49" t="n">
        <f aca="false">IFERROR(I110/H110,0)</f>
        <v>176.003013645144</v>
      </c>
      <c r="N110" s="52" t="str">
        <f aca="false">'Model Inputs &amp; Assumptions'!$L$28</f>
        <v>PRD-EUAI</v>
      </c>
      <c r="P110" s="53" t="n">
        <v>-1.656784</v>
      </c>
      <c r="Q110" s="53" t="n">
        <v>-0.41672</v>
      </c>
      <c r="R110" s="53" t="n">
        <v>-0.165754</v>
      </c>
      <c r="S110" s="53" t="n">
        <v>-0.305146</v>
      </c>
    </row>
    <row r="111" customFormat="false" ht="15" hidden="false" customHeight="false" outlineLevel="0" collapsed="false">
      <c r="A111" s="43" t="n">
        <v>108</v>
      </c>
      <c r="B111" s="44" t="str">
        <f aca="false">'Model Inputs &amp; Assumptions'!$B$28</f>
        <v>finanzen.net — Q1 Awareness Burst</v>
      </c>
      <c r="C111" s="45" t="n">
        <f aca="false">ROUND(MAX(0,'Model Inputs &amp; Assumptions'!$S$28*EXP('Model Inputs &amp; Assumptions'!$T$28*P111-'Model Inputs &amp; Assumptions'!$T$28^2/2)),0)</f>
        <v>449131</v>
      </c>
      <c r="D111" s="46" t="n">
        <f aca="false">MIN(1,'Model Inputs &amp; Assumptions'!$U$28*EXP('Model Inputs &amp; Assumptions'!$V$28*Q111-'Model Inputs &amp; Assumptions'!$V$28^2/2))</f>
        <v>0</v>
      </c>
      <c r="E111" s="45" t="n">
        <f aca="false">ROUND(C111*D111,0)</f>
        <v>0</v>
      </c>
      <c r="F111" s="47" t="n">
        <f aca="false">MIN(1,'Model Inputs &amp; Assumptions'!$W$28*EXP('Model Inputs &amp; Assumptions'!$X$28*R111-'Model Inputs &amp; Assumptions'!$X$28^2/2))</f>
        <v>0.00120299031723106</v>
      </c>
      <c r="G111" s="45" t="n">
        <f aca="false">ROUND(C111*F111,0)</f>
        <v>540</v>
      </c>
      <c r="H111" s="48" t="n">
        <f aca="false">MAX(0,(C111*'Model Inputs &amp; Assumptions'!$N$28+E111*'Model Inputs &amp; Assumptions'!$O$28+G111*'Model Inputs &amp; Assumptions'!$P$28)*EXP('Model Inputs &amp; Assumptions'!$Q$28*S111-'Model Inputs &amp; Assumptions'!$Q$28^2/2))</f>
        <v>15.0257341667376</v>
      </c>
      <c r="I111" s="49" t="n">
        <f aca="false">IF('Model Inputs &amp; Assumptions'!$H$28="Fixed",'Model Inputs &amp; Assumptions'!$I$28*'Model Inputs &amp; Assumptions'!$K$28,IF('Model Inputs &amp; Assumptions'!$H$28="CPM",'Model Inputs &amp; Assumptions'!$I$28*'Model Inputs &amp; Assumptions'!$K$28*C111/1000,IF('Model Inputs &amp; Assumptions'!$H$28="CPC",'Model Inputs &amp; Assumptions'!$I$28*'Model Inputs &amp; Assumptions'!$K$28*G111,0)))</f>
        <v>2919.3515</v>
      </c>
      <c r="J111" s="50" t="n">
        <f aca="false">H111*INDEX('Model Inputs &amp; Assumptions'!$D$40:$D$42,MATCH('Model Inputs &amp; Assumptions'!$L$28,'Model Inputs &amp; Assumptions'!$A$40:$A$42,0))*INDEX('Model Inputs &amp; Assumptions'!$H$40:$H$42,MATCH('Model Inputs &amp; Assumptions'!$L$28,'Model Inputs &amp; Assumptions'!$A$40:$A$42,0))</f>
        <v>127718.74041727</v>
      </c>
      <c r="K111" s="49" t="n">
        <f aca="false">H111*INDEX('Model Inputs &amp; Assumptions'!$G$40:$G$42,MATCH('Model Inputs &amp; Assumptions'!$L$28,'Model Inputs &amp; Assumptions'!$A$40:$A$42,0))*INDEX('Model Inputs &amp; Assumptions'!$H$40:$H$42,MATCH('Model Inputs &amp; Assumptions'!$L$28,'Model Inputs &amp; Assumptions'!$A$40:$A$42,0))</f>
        <v>2873.67165938858</v>
      </c>
      <c r="L111" s="51" t="n">
        <f aca="false">IFERROR(K111/I111,0)</f>
        <v>0.984352743884584</v>
      </c>
      <c r="M111" s="49" t="n">
        <f aca="false">IFERROR(I111/H111,0)</f>
        <v>194.290107065953</v>
      </c>
      <c r="N111" s="52" t="str">
        <f aca="false">'Model Inputs &amp; Assumptions'!$L$28</f>
        <v>PRD-EUAI</v>
      </c>
      <c r="P111" s="53" t="n">
        <v>-0.042847</v>
      </c>
      <c r="Q111" s="53" t="n">
        <v>1.657996</v>
      </c>
      <c r="R111" s="53" t="n">
        <v>-0.892976</v>
      </c>
      <c r="S111" s="53" t="n">
        <v>-0.100823</v>
      </c>
    </row>
    <row r="112" customFormat="false" ht="15" hidden="false" customHeight="false" outlineLevel="0" collapsed="false">
      <c r="A112" s="43" t="n">
        <v>109</v>
      </c>
      <c r="B112" s="44" t="str">
        <f aca="false">'Model Inputs &amp; Assumptions'!$B$28</f>
        <v>finanzen.net — Q1 Awareness Burst</v>
      </c>
      <c r="C112" s="45" t="n">
        <f aca="false">ROUND(MAX(0,'Model Inputs &amp; Assumptions'!$S$28*EXP('Model Inputs &amp; Assumptions'!$T$28*P112-'Model Inputs &amp; Assumptions'!$T$28^2/2)),0)</f>
        <v>561974</v>
      </c>
      <c r="D112" s="46" t="n">
        <f aca="false">MIN(1,'Model Inputs &amp; Assumptions'!$U$28*EXP('Model Inputs &amp; Assumptions'!$V$28*Q112-'Model Inputs &amp; Assumptions'!$V$28^2/2))</f>
        <v>0</v>
      </c>
      <c r="E112" s="45" t="n">
        <f aca="false">ROUND(C112*D112,0)</f>
        <v>0</v>
      </c>
      <c r="F112" s="47" t="n">
        <f aca="false">MIN(1,'Model Inputs &amp; Assumptions'!$W$28*EXP('Model Inputs &amp; Assumptions'!$X$28*R112-'Model Inputs &amp; Assumptions'!$X$28^2/2))</f>
        <v>0.00120586104038895</v>
      </c>
      <c r="G112" s="45" t="n">
        <f aca="false">ROUND(C112*F112,0)</f>
        <v>678</v>
      </c>
      <c r="H112" s="48" t="n">
        <f aca="false">MAX(0,(C112*'Model Inputs &amp; Assumptions'!$N$28+E112*'Model Inputs &amp; Assumptions'!$O$28+G112*'Model Inputs &amp; Assumptions'!$P$28)*EXP('Model Inputs &amp; Assumptions'!$Q$28*S112-'Model Inputs &amp; Assumptions'!$Q$28^2/2))</f>
        <v>24.0754509996639</v>
      </c>
      <c r="I112" s="49" t="n">
        <f aca="false">IF('Model Inputs &amp; Assumptions'!$H$28="Fixed",'Model Inputs &amp; Assumptions'!$I$28*'Model Inputs &amp; Assumptions'!$K$28,IF('Model Inputs &amp; Assumptions'!$H$28="CPM",'Model Inputs &amp; Assumptions'!$I$28*'Model Inputs &amp; Assumptions'!$K$28*C112/1000,IF('Model Inputs &amp; Assumptions'!$H$28="CPC",'Model Inputs &amp; Assumptions'!$I$28*'Model Inputs &amp; Assumptions'!$K$28*G112,0)))</f>
        <v>3652.831</v>
      </c>
      <c r="J112" s="50" t="n">
        <f aca="false">H112*INDEX('Model Inputs &amp; Assumptions'!$D$40:$D$42,MATCH('Model Inputs &amp; Assumptions'!$L$28,'Model Inputs &amp; Assumptions'!$A$40:$A$42,0))*INDEX('Model Inputs &amp; Assumptions'!$H$40:$H$42,MATCH('Model Inputs &amp; Assumptions'!$L$28,'Model Inputs &amp; Assumptions'!$A$40:$A$42,0))</f>
        <v>204641.333497143</v>
      </c>
      <c r="K112" s="49" t="n">
        <f aca="false">H112*INDEX('Model Inputs &amp; Assumptions'!$G$40:$G$42,MATCH('Model Inputs &amp; Assumptions'!$L$28,'Model Inputs &amp; Assumptions'!$A$40:$A$42,0))*INDEX('Model Inputs &amp; Assumptions'!$H$40:$H$42,MATCH('Model Inputs &amp; Assumptions'!$L$28,'Model Inputs &amp; Assumptions'!$A$40:$A$42,0))</f>
        <v>4604.43000368571</v>
      </c>
      <c r="L112" s="51" t="n">
        <f aca="false">IFERROR(K112/I112,0)</f>
        <v>1.26050999996598</v>
      </c>
      <c r="M112" s="49" t="n">
        <f aca="false">IFERROR(I112/H112,0)</f>
        <v>151.724302072306</v>
      </c>
      <c r="N112" s="52" t="str">
        <f aca="false">'Model Inputs &amp; Assumptions'!$L$28</f>
        <v>PRD-EUAI</v>
      </c>
      <c r="P112" s="53" t="n">
        <v>1.202381</v>
      </c>
      <c r="Q112" s="53" t="n">
        <v>1.378846</v>
      </c>
      <c r="R112" s="53" t="n">
        <v>-0.882142</v>
      </c>
      <c r="S112" s="53" t="n">
        <v>0.712011</v>
      </c>
    </row>
    <row r="113" customFormat="false" ht="15" hidden="false" customHeight="false" outlineLevel="0" collapsed="false">
      <c r="A113" s="43" t="n">
        <v>110</v>
      </c>
      <c r="B113" s="44" t="str">
        <f aca="false">'Model Inputs &amp; Assumptions'!$B$28</f>
        <v>finanzen.net — Q1 Awareness Burst</v>
      </c>
      <c r="C113" s="45" t="n">
        <f aca="false">ROUND(MAX(0,'Model Inputs &amp; Assumptions'!$S$28*EXP('Model Inputs &amp; Assumptions'!$T$28*P113-'Model Inputs &amp; Assumptions'!$T$28^2/2)),0)</f>
        <v>470117</v>
      </c>
      <c r="D113" s="46" t="n">
        <f aca="false">MIN(1,'Model Inputs &amp; Assumptions'!$U$28*EXP('Model Inputs &amp; Assumptions'!$V$28*Q113-'Model Inputs &amp; Assumptions'!$V$28^2/2))</f>
        <v>0</v>
      </c>
      <c r="E113" s="45" t="n">
        <f aca="false">ROUND(C113*D113,0)</f>
        <v>0</v>
      </c>
      <c r="F113" s="47" t="n">
        <f aca="false">MIN(1,'Model Inputs &amp; Assumptions'!$W$28*EXP('Model Inputs &amp; Assumptions'!$X$28*R113-'Model Inputs &amp; Assumptions'!$X$28^2/2))</f>
        <v>0.00129477084795566</v>
      </c>
      <c r="G113" s="45" t="n">
        <f aca="false">ROUND(C113*F113,0)</f>
        <v>609</v>
      </c>
      <c r="H113" s="48" t="n">
        <f aca="false">MAX(0,(C113*'Model Inputs &amp; Assumptions'!$N$28+E113*'Model Inputs &amp; Assumptions'!$O$28+G113*'Model Inputs &amp; Assumptions'!$P$28)*EXP('Model Inputs &amp; Assumptions'!$Q$28*S113-'Model Inputs &amp; Assumptions'!$Q$28^2/2))</f>
        <v>25.3379651655963</v>
      </c>
      <c r="I113" s="49" t="n">
        <f aca="false">IF('Model Inputs &amp; Assumptions'!$H$28="Fixed",'Model Inputs &amp; Assumptions'!$I$28*'Model Inputs &amp; Assumptions'!$K$28,IF('Model Inputs &amp; Assumptions'!$H$28="CPM",'Model Inputs &amp; Assumptions'!$I$28*'Model Inputs &amp; Assumptions'!$K$28*C113/1000,IF('Model Inputs &amp; Assumptions'!$H$28="CPC",'Model Inputs &amp; Assumptions'!$I$28*'Model Inputs &amp; Assumptions'!$K$28*G113,0)))</f>
        <v>3055.7605</v>
      </c>
      <c r="J113" s="50" t="n">
        <f aca="false">H113*INDEX('Model Inputs &amp; Assumptions'!$D$40:$D$42,MATCH('Model Inputs &amp; Assumptions'!$L$28,'Model Inputs &amp; Assumptions'!$A$40:$A$42,0))*INDEX('Model Inputs &amp; Assumptions'!$H$40:$H$42,MATCH('Model Inputs &amp; Assumptions'!$L$28,'Model Inputs &amp; Assumptions'!$A$40:$A$42,0))</f>
        <v>215372.703907568</v>
      </c>
      <c r="K113" s="49" t="n">
        <f aca="false">H113*INDEX('Model Inputs &amp; Assumptions'!$G$40:$G$42,MATCH('Model Inputs &amp; Assumptions'!$L$28,'Model Inputs &amp; Assumptions'!$A$40:$A$42,0))*INDEX('Model Inputs &amp; Assumptions'!$H$40:$H$42,MATCH('Model Inputs &amp; Assumptions'!$L$28,'Model Inputs &amp; Assumptions'!$A$40:$A$42,0))</f>
        <v>4845.88583792029</v>
      </c>
      <c r="L113" s="51" t="n">
        <f aca="false">IFERROR(K113/I113,0)</f>
        <v>1.5858199089622</v>
      </c>
      <c r="M113" s="49" t="n">
        <f aca="false">IFERROR(I113/H113,0)</f>
        <v>120.600075026904</v>
      </c>
      <c r="N113" s="52" t="str">
        <f aca="false">'Model Inputs &amp; Assumptions'!$L$28</f>
        <v>PRD-EUAI</v>
      </c>
      <c r="P113" s="53" t="n">
        <v>0.210862</v>
      </c>
      <c r="Q113" s="53" t="n">
        <v>-0.587641</v>
      </c>
      <c r="R113" s="53" t="n">
        <v>-0.558779</v>
      </c>
      <c r="S113" s="53" t="n">
        <v>1.240145</v>
      </c>
    </row>
    <row r="114" customFormat="false" ht="15" hidden="false" customHeight="false" outlineLevel="0" collapsed="false">
      <c r="A114" s="43" t="n">
        <v>111</v>
      </c>
      <c r="B114" s="44" t="str">
        <f aca="false">'Model Inputs &amp; Assumptions'!$B$28</f>
        <v>finanzen.net — Q1 Awareness Burst</v>
      </c>
      <c r="C114" s="45" t="n">
        <f aca="false">ROUND(MAX(0,'Model Inputs &amp; Assumptions'!$S$28*EXP('Model Inputs &amp; Assumptions'!$T$28*P114-'Model Inputs &amp; Assumptions'!$T$28^2/2)),0)</f>
        <v>381415</v>
      </c>
      <c r="D114" s="46" t="n">
        <f aca="false">MIN(1,'Model Inputs &amp; Assumptions'!$U$28*EXP('Model Inputs &amp; Assumptions'!$V$28*Q114-'Model Inputs &amp; Assumptions'!$V$28^2/2))</f>
        <v>0</v>
      </c>
      <c r="E114" s="45" t="n">
        <f aca="false">ROUND(C114*D114,0)</f>
        <v>0</v>
      </c>
      <c r="F114" s="47" t="n">
        <f aca="false">MIN(1,'Model Inputs &amp; Assumptions'!$W$28*EXP('Model Inputs &amp; Assumptions'!$X$28*R114-'Model Inputs &amp; Assumptions'!$X$28^2/2))</f>
        <v>0.00156226746336727</v>
      </c>
      <c r="G114" s="45" t="n">
        <f aca="false">ROUND(C114*F114,0)</f>
        <v>596</v>
      </c>
      <c r="H114" s="48" t="n">
        <f aca="false">MAX(0,(C114*'Model Inputs &amp; Assumptions'!$N$28+E114*'Model Inputs &amp; Assumptions'!$O$28+G114*'Model Inputs &amp; Assumptions'!$P$28)*EXP('Model Inputs &amp; Assumptions'!$Q$28*S114-'Model Inputs &amp; Assumptions'!$Q$28^2/2))</f>
        <v>12.1548682645477</v>
      </c>
      <c r="I114" s="49" t="n">
        <f aca="false">IF('Model Inputs &amp; Assumptions'!$H$28="Fixed",'Model Inputs &amp; Assumptions'!$I$28*'Model Inputs &amp; Assumptions'!$K$28,IF('Model Inputs &amp; Assumptions'!$H$28="CPM",'Model Inputs &amp; Assumptions'!$I$28*'Model Inputs &amp; Assumptions'!$K$28*C114/1000,IF('Model Inputs &amp; Assumptions'!$H$28="CPC",'Model Inputs &amp; Assumptions'!$I$28*'Model Inputs &amp; Assumptions'!$K$28*G114,0)))</f>
        <v>2479.1975</v>
      </c>
      <c r="J114" s="50" t="n">
        <f aca="false">H114*INDEX('Model Inputs &amp; Assumptions'!$D$40:$D$42,MATCH('Model Inputs &amp; Assumptions'!$L$28,'Model Inputs &amp; Assumptions'!$A$40:$A$42,0))*INDEX('Model Inputs &amp; Assumptions'!$H$40:$H$42,MATCH('Model Inputs &amp; Assumptions'!$L$28,'Model Inputs &amp; Assumptions'!$A$40:$A$42,0))</f>
        <v>103316.380248656</v>
      </c>
      <c r="K114" s="49" t="n">
        <f aca="false">H114*INDEX('Model Inputs &amp; Assumptions'!$G$40:$G$42,MATCH('Model Inputs &amp; Assumptions'!$L$28,'Model Inputs &amp; Assumptions'!$A$40:$A$42,0))*INDEX('Model Inputs &amp; Assumptions'!$H$40:$H$42,MATCH('Model Inputs &amp; Assumptions'!$L$28,'Model Inputs &amp; Assumptions'!$A$40:$A$42,0))</f>
        <v>2324.61855559475</v>
      </c>
      <c r="L114" s="51" t="n">
        <f aca="false">IFERROR(K114/I114,0)</f>
        <v>0.93764960459776</v>
      </c>
      <c r="M114" s="49" t="n">
        <f aca="false">IFERROR(I114/H114,0)</f>
        <v>203.967451233602</v>
      </c>
      <c r="N114" s="52" t="str">
        <f aca="false">'Model Inputs &amp; Assumptions'!$L$28</f>
        <v>PRD-EUAI</v>
      </c>
      <c r="P114" s="53" t="n">
        <v>-0.950768</v>
      </c>
      <c r="Q114" s="53" t="n">
        <v>0.334247</v>
      </c>
      <c r="R114" s="53" t="n">
        <v>0.294878</v>
      </c>
      <c r="S114" s="53" t="n">
        <v>-1.13651</v>
      </c>
    </row>
    <row r="115" customFormat="false" ht="15" hidden="false" customHeight="false" outlineLevel="0" collapsed="false">
      <c r="A115" s="43" t="n">
        <v>112</v>
      </c>
      <c r="B115" s="44" t="str">
        <f aca="false">'Model Inputs &amp; Assumptions'!$B$28</f>
        <v>finanzen.net — Q1 Awareness Burst</v>
      </c>
      <c r="C115" s="45" t="n">
        <f aca="false">ROUND(MAX(0,'Model Inputs &amp; Assumptions'!$S$28*EXP('Model Inputs &amp; Assumptions'!$T$28*P115-'Model Inputs &amp; Assumptions'!$T$28^2/2)),0)</f>
        <v>811735</v>
      </c>
      <c r="D115" s="46" t="n">
        <f aca="false">MIN(1,'Model Inputs &amp; Assumptions'!$U$28*EXP('Model Inputs &amp; Assumptions'!$V$28*Q115-'Model Inputs &amp; Assumptions'!$V$28^2/2))</f>
        <v>0</v>
      </c>
      <c r="E115" s="45" t="n">
        <f aca="false">ROUND(C115*D115,0)</f>
        <v>0</v>
      </c>
      <c r="F115" s="47" t="n">
        <f aca="false">MIN(1,'Model Inputs &amp; Assumptions'!$W$28*EXP('Model Inputs &amp; Assumptions'!$X$28*R115-'Model Inputs &amp; Assumptions'!$X$28^2/2))</f>
        <v>0.00128163346400767</v>
      </c>
      <c r="G115" s="45" t="n">
        <f aca="false">ROUND(C115*F115,0)</f>
        <v>1040</v>
      </c>
      <c r="H115" s="48" t="n">
        <f aca="false">MAX(0,(C115*'Model Inputs &amp; Assumptions'!$N$28+E115*'Model Inputs &amp; Assumptions'!$O$28+G115*'Model Inputs &amp; Assumptions'!$P$28)*EXP('Model Inputs &amp; Assumptions'!$Q$28*S115-'Model Inputs &amp; Assumptions'!$Q$28^2/2))</f>
        <v>42.5969772768539</v>
      </c>
      <c r="I115" s="49" t="n">
        <f aca="false">IF('Model Inputs &amp; Assumptions'!$H$28="Fixed",'Model Inputs &amp; Assumptions'!$I$28*'Model Inputs &amp; Assumptions'!$K$28,IF('Model Inputs &amp; Assumptions'!$H$28="CPM",'Model Inputs &amp; Assumptions'!$I$28*'Model Inputs &amp; Assumptions'!$K$28*C115/1000,IF('Model Inputs &amp; Assumptions'!$H$28="CPC",'Model Inputs &amp; Assumptions'!$I$28*'Model Inputs &amp; Assumptions'!$K$28*G115,0)))</f>
        <v>5276.2775</v>
      </c>
      <c r="J115" s="50" t="n">
        <f aca="false">H115*INDEX('Model Inputs &amp; Assumptions'!$D$40:$D$42,MATCH('Model Inputs &amp; Assumptions'!$L$28,'Model Inputs &amp; Assumptions'!$A$40:$A$42,0))*INDEX('Model Inputs &amp; Assumptions'!$H$40:$H$42,MATCH('Model Inputs &amp; Assumptions'!$L$28,'Model Inputs &amp; Assumptions'!$A$40:$A$42,0))</f>
        <v>362074.306853258</v>
      </c>
      <c r="K115" s="49" t="n">
        <f aca="false">H115*INDEX('Model Inputs &amp; Assumptions'!$G$40:$G$42,MATCH('Model Inputs &amp; Assumptions'!$L$28,'Model Inputs &amp; Assumptions'!$A$40:$A$42,0))*INDEX('Model Inputs &amp; Assumptions'!$H$40:$H$42,MATCH('Model Inputs &amp; Assumptions'!$L$28,'Model Inputs &amp; Assumptions'!$A$40:$A$42,0))</f>
        <v>8146.67190419831</v>
      </c>
      <c r="L115" s="51" t="n">
        <f aca="false">IFERROR(K115/I115,0)</f>
        <v>1.54401884741625</v>
      </c>
      <c r="M115" s="49" t="n">
        <f aca="false">IFERROR(I115/H115,0)</f>
        <v>123.865068305375</v>
      </c>
      <c r="N115" s="52" t="str">
        <f aca="false">'Model Inputs &amp; Assumptions'!$L$28</f>
        <v>PRD-EUAI</v>
      </c>
      <c r="P115" s="53" t="n">
        <v>3.245264</v>
      </c>
      <c r="Q115" s="53" t="n">
        <v>1.197707</v>
      </c>
      <c r="R115" s="53" t="n">
        <v>-0.605135</v>
      </c>
      <c r="S115" s="53" t="n">
        <v>1.187884</v>
      </c>
    </row>
    <row r="116" customFormat="false" ht="15" hidden="false" customHeight="false" outlineLevel="0" collapsed="false">
      <c r="A116" s="43" t="n">
        <v>113</v>
      </c>
      <c r="B116" s="44" t="str">
        <f aca="false">'Model Inputs &amp; Assumptions'!$B$28</f>
        <v>finanzen.net — Q1 Awareness Burst</v>
      </c>
      <c r="C116" s="45" t="n">
        <f aca="false">ROUND(MAX(0,'Model Inputs &amp; Assumptions'!$S$28*EXP('Model Inputs &amp; Assumptions'!$T$28*P116-'Model Inputs &amp; Assumptions'!$T$28^2/2)),0)</f>
        <v>458105</v>
      </c>
      <c r="D116" s="46" t="n">
        <f aca="false">MIN(1,'Model Inputs &amp; Assumptions'!$U$28*EXP('Model Inputs &amp; Assumptions'!$V$28*Q116-'Model Inputs &amp; Assumptions'!$V$28^2/2))</f>
        <v>0</v>
      </c>
      <c r="E116" s="45" t="n">
        <f aca="false">ROUND(C116*D116,0)</f>
        <v>0</v>
      </c>
      <c r="F116" s="47" t="n">
        <f aca="false">MIN(1,'Model Inputs &amp; Assumptions'!$W$28*EXP('Model Inputs &amp; Assumptions'!$X$28*R116-'Model Inputs &amp; Assumptions'!$X$28^2/2))</f>
        <v>0.00179794816810871</v>
      </c>
      <c r="G116" s="45" t="n">
        <f aca="false">ROUND(C116*F116,0)</f>
        <v>824</v>
      </c>
      <c r="H116" s="48" t="n">
        <f aca="false">MAX(0,(C116*'Model Inputs &amp; Assumptions'!$N$28+E116*'Model Inputs &amp; Assumptions'!$O$28+G116*'Model Inputs &amp; Assumptions'!$P$28)*EXP('Model Inputs &amp; Assumptions'!$Q$28*S116-'Model Inputs &amp; Assumptions'!$Q$28^2/2))</f>
        <v>25.6409820445755</v>
      </c>
      <c r="I116" s="49" t="n">
        <f aca="false">IF('Model Inputs &amp; Assumptions'!$H$28="Fixed",'Model Inputs &amp; Assumptions'!$I$28*'Model Inputs &amp; Assumptions'!$K$28,IF('Model Inputs &amp; Assumptions'!$H$28="CPM",'Model Inputs &amp; Assumptions'!$I$28*'Model Inputs &amp; Assumptions'!$K$28*C116/1000,IF('Model Inputs &amp; Assumptions'!$H$28="CPC",'Model Inputs &amp; Assumptions'!$I$28*'Model Inputs &amp; Assumptions'!$K$28*G116,0)))</f>
        <v>2977.6825</v>
      </c>
      <c r="J116" s="50" t="n">
        <f aca="false">H116*INDEX('Model Inputs &amp; Assumptions'!$D$40:$D$42,MATCH('Model Inputs &amp; Assumptions'!$L$28,'Model Inputs &amp; Assumptions'!$A$40:$A$42,0))*INDEX('Model Inputs &amp; Assumptions'!$H$40:$H$42,MATCH('Model Inputs &amp; Assumptions'!$L$28,'Model Inputs &amp; Assumptions'!$A$40:$A$42,0))</f>
        <v>217948.347378892</v>
      </c>
      <c r="K116" s="49" t="n">
        <f aca="false">H116*INDEX('Model Inputs &amp; Assumptions'!$G$40:$G$42,MATCH('Model Inputs &amp; Assumptions'!$L$28,'Model Inputs &amp; Assumptions'!$A$40:$A$42,0))*INDEX('Model Inputs &amp; Assumptions'!$H$40:$H$42,MATCH('Model Inputs &amp; Assumptions'!$L$28,'Model Inputs &amp; Assumptions'!$A$40:$A$42,0))</f>
        <v>4903.83781602507</v>
      </c>
      <c r="L116" s="51" t="n">
        <f aca="false">IFERROR(K116/I116,0)</f>
        <v>1.64686390037389</v>
      </c>
      <c r="M116" s="49" t="n">
        <f aca="false">IFERROR(I116/H116,0)</f>
        <v>116.12981495106</v>
      </c>
      <c r="N116" s="52" t="str">
        <f aca="false">'Model Inputs &amp; Assumptions'!$L$28</f>
        <v>PRD-EUAI</v>
      </c>
      <c r="P116" s="53" t="n">
        <v>0.067063</v>
      </c>
      <c r="Q116" s="53" t="n">
        <v>0.141473</v>
      </c>
      <c r="R116" s="53" t="n">
        <v>0.93355</v>
      </c>
      <c r="S116" s="53" t="n">
        <v>0.271931</v>
      </c>
    </row>
    <row r="117" customFormat="false" ht="15" hidden="false" customHeight="false" outlineLevel="0" collapsed="false">
      <c r="A117" s="43" t="n">
        <v>114</v>
      </c>
      <c r="B117" s="44" t="str">
        <f aca="false">'Model Inputs &amp; Assumptions'!$B$28</f>
        <v>finanzen.net — Q1 Awareness Burst</v>
      </c>
      <c r="C117" s="45" t="n">
        <f aca="false">ROUND(MAX(0,'Model Inputs &amp; Assumptions'!$S$28*EXP('Model Inputs &amp; Assumptions'!$T$28*P117-'Model Inputs &amp; Assumptions'!$T$28^2/2)),0)</f>
        <v>495615</v>
      </c>
      <c r="D117" s="46" t="n">
        <f aca="false">MIN(1,'Model Inputs &amp; Assumptions'!$U$28*EXP('Model Inputs &amp; Assumptions'!$V$28*Q117-'Model Inputs &amp; Assumptions'!$V$28^2/2))</f>
        <v>0</v>
      </c>
      <c r="E117" s="45" t="n">
        <f aca="false">ROUND(C117*D117,0)</f>
        <v>0</v>
      </c>
      <c r="F117" s="47" t="n">
        <f aca="false">MIN(1,'Model Inputs &amp; Assumptions'!$W$28*EXP('Model Inputs &amp; Assumptions'!$X$28*R117-'Model Inputs &amp; Assumptions'!$X$28^2/2))</f>
        <v>0.00115530360177043</v>
      </c>
      <c r="G117" s="45" t="n">
        <f aca="false">ROUND(C117*F117,0)</f>
        <v>573</v>
      </c>
      <c r="H117" s="48" t="n">
        <f aca="false">MAX(0,(C117*'Model Inputs &amp; Assumptions'!$N$28+E117*'Model Inputs &amp; Assumptions'!$O$28+G117*'Model Inputs &amp; Assumptions'!$P$28)*EXP('Model Inputs &amp; Assumptions'!$Q$28*S117-'Model Inputs &amp; Assumptions'!$Q$28^2/2))</f>
        <v>22.3241805230543</v>
      </c>
      <c r="I117" s="49" t="n">
        <f aca="false">IF('Model Inputs &amp; Assumptions'!$H$28="Fixed",'Model Inputs &amp; Assumptions'!$I$28*'Model Inputs &amp; Assumptions'!$K$28,IF('Model Inputs &amp; Assumptions'!$H$28="CPM",'Model Inputs &amp; Assumptions'!$I$28*'Model Inputs &amp; Assumptions'!$K$28*C117/1000,IF('Model Inputs &amp; Assumptions'!$H$28="CPC",'Model Inputs &amp; Assumptions'!$I$28*'Model Inputs &amp; Assumptions'!$K$28*G117,0)))</f>
        <v>3221.4975</v>
      </c>
      <c r="J117" s="50" t="n">
        <f aca="false">H117*INDEX('Model Inputs &amp; Assumptions'!$D$40:$D$42,MATCH('Model Inputs &amp; Assumptions'!$L$28,'Model Inputs &amp; Assumptions'!$A$40:$A$42,0))*INDEX('Model Inputs &amp; Assumptions'!$H$40:$H$42,MATCH('Model Inputs &amp; Assumptions'!$L$28,'Model Inputs &amp; Assumptions'!$A$40:$A$42,0))</f>
        <v>189755.534445961</v>
      </c>
      <c r="K117" s="49" t="n">
        <f aca="false">H117*INDEX('Model Inputs &amp; Assumptions'!$G$40:$G$42,MATCH('Model Inputs &amp; Assumptions'!$L$28,'Model Inputs &amp; Assumptions'!$A$40:$A$42,0))*INDEX('Model Inputs &amp; Assumptions'!$H$40:$H$42,MATCH('Model Inputs &amp; Assumptions'!$L$28,'Model Inputs &amp; Assumptions'!$A$40:$A$42,0))</f>
        <v>4269.49952503413</v>
      </c>
      <c r="L117" s="51" t="n">
        <f aca="false">IFERROR(K117/I117,0)</f>
        <v>1.32531517563932</v>
      </c>
      <c r="M117" s="49" t="n">
        <f aca="false">IFERROR(I117/H117,0)</f>
        <v>144.305296970393</v>
      </c>
      <c r="N117" s="52" t="str">
        <f aca="false">'Model Inputs &amp; Assumptions'!$L$28</f>
        <v>PRD-EUAI</v>
      </c>
      <c r="P117" s="53" t="n">
        <v>0.504292</v>
      </c>
      <c r="Q117" s="53" t="n">
        <v>-0.390883</v>
      </c>
      <c r="R117" s="53" t="n">
        <v>-1.076827</v>
      </c>
      <c r="S117" s="53" t="n">
        <v>1.021142</v>
      </c>
    </row>
    <row r="118" customFormat="false" ht="15" hidden="false" customHeight="false" outlineLevel="0" collapsed="false">
      <c r="A118" s="43" t="n">
        <v>115</v>
      </c>
      <c r="B118" s="44" t="str">
        <f aca="false">'Model Inputs &amp; Assumptions'!$B$28</f>
        <v>finanzen.net — Q1 Awareness Burst</v>
      </c>
      <c r="C118" s="45" t="n">
        <f aca="false">ROUND(MAX(0,'Model Inputs &amp; Assumptions'!$S$28*EXP('Model Inputs &amp; Assumptions'!$T$28*P118-'Model Inputs &amp; Assumptions'!$T$28^2/2)),0)</f>
        <v>470610</v>
      </c>
      <c r="D118" s="46" t="n">
        <f aca="false">MIN(1,'Model Inputs &amp; Assumptions'!$U$28*EXP('Model Inputs &amp; Assumptions'!$V$28*Q118-'Model Inputs &amp; Assumptions'!$V$28^2/2))</f>
        <v>0</v>
      </c>
      <c r="E118" s="45" t="n">
        <f aca="false">ROUND(C118*D118,0)</f>
        <v>0</v>
      </c>
      <c r="F118" s="47" t="n">
        <f aca="false">MIN(1,'Model Inputs &amp; Assumptions'!$W$28*EXP('Model Inputs &amp; Assumptions'!$X$28*R118-'Model Inputs &amp; Assumptions'!$X$28^2/2))</f>
        <v>0.00173353491644836</v>
      </c>
      <c r="G118" s="45" t="n">
        <f aca="false">ROUND(C118*F118,0)</f>
        <v>816</v>
      </c>
      <c r="H118" s="48" t="n">
        <f aca="false">MAX(0,(C118*'Model Inputs &amp; Assumptions'!$N$28+E118*'Model Inputs &amp; Assumptions'!$O$28+G118*'Model Inputs &amp; Assumptions'!$P$28)*EXP('Model Inputs &amp; Assumptions'!$Q$28*S118-'Model Inputs &amp; Assumptions'!$Q$28^2/2))</f>
        <v>17.9730795464135</v>
      </c>
      <c r="I118" s="49" t="n">
        <f aca="false">IF('Model Inputs &amp; Assumptions'!$H$28="Fixed",'Model Inputs &amp; Assumptions'!$I$28*'Model Inputs &amp; Assumptions'!$K$28,IF('Model Inputs &amp; Assumptions'!$H$28="CPM",'Model Inputs &amp; Assumptions'!$I$28*'Model Inputs &amp; Assumptions'!$K$28*C118/1000,IF('Model Inputs &amp; Assumptions'!$H$28="CPC",'Model Inputs &amp; Assumptions'!$I$28*'Model Inputs &amp; Assumptions'!$K$28*G118,0)))</f>
        <v>3058.965</v>
      </c>
      <c r="J118" s="50" t="n">
        <f aca="false">H118*INDEX('Model Inputs &amp; Assumptions'!$D$40:$D$42,MATCH('Model Inputs &amp; Assumptions'!$L$28,'Model Inputs &amp; Assumptions'!$A$40:$A$42,0))*INDEX('Model Inputs &amp; Assumptions'!$H$40:$H$42,MATCH('Model Inputs &amp; Assumptions'!$L$28,'Model Inputs &amp; Assumptions'!$A$40:$A$42,0))</f>
        <v>152771.176144515</v>
      </c>
      <c r="K118" s="49" t="n">
        <f aca="false">H118*INDEX('Model Inputs &amp; Assumptions'!$G$40:$G$42,MATCH('Model Inputs &amp; Assumptions'!$L$28,'Model Inputs &amp; Assumptions'!$A$40:$A$42,0))*INDEX('Model Inputs &amp; Assumptions'!$H$40:$H$42,MATCH('Model Inputs &amp; Assumptions'!$L$28,'Model Inputs &amp; Assumptions'!$A$40:$A$42,0))</f>
        <v>3437.35146325159</v>
      </c>
      <c r="L118" s="51" t="n">
        <f aca="false">IFERROR(K118/I118,0)</f>
        <v>1.12369754582076</v>
      </c>
      <c r="M118" s="49" t="n">
        <f aca="false">IFERROR(I118/H118,0)</f>
        <v>170.197043422668</v>
      </c>
      <c r="N118" s="52" t="str">
        <f aca="false">'Model Inputs &amp; Assumptions'!$L$28</f>
        <v>PRD-EUAI</v>
      </c>
      <c r="P118" s="53" t="n">
        <v>0.216689</v>
      </c>
      <c r="Q118" s="53" t="n">
        <v>-0.571089</v>
      </c>
      <c r="R118" s="53" t="n">
        <v>0.767716</v>
      </c>
      <c r="S118" s="53" t="n">
        <v>-0.879938</v>
      </c>
    </row>
    <row r="119" customFormat="false" ht="15" hidden="false" customHeight="false" outlineLevel="0" collapsed="false">
      <c r="A119" s="43" t="n">
        <v>116</v>
      </c>
      <c r="B119" s="44" t="str">
        <f aca="false">'Model Inputs &amp; Assumptions'!$B$28</f>
        <v>finanzen.net — Q1 Awareness Burst</v>
      </c>
      <c r="C119" s="45" t="n">
        <f aca="false">ROUND(MAX(0,'Model Inputs &amp; Assumptions'!$S$28*EXP('Model Inputs &amp; Assumptions'!$T$28*P119-'Model Inputs &amp; Assumptions'!$T$28^2/2)),0)</f>
        <v>345004</v>
      </c>
      <c r="D119" s="46" t="n">
        <f aca="false">MIN(1,'Model Inputs &amp; Assumptions'!$U$28*EXP('Model Inputs &amp; Assumptions'!$V$28*Q119-'Model Inputs &amp; Assumptions'!$V$28^2/2))</f>
        <v>0</v>
      </c>
      <c r="E119" s="45" t="n">
        <f aca="false">ROUND(C119*D119,0)</f>
        <v>0</v>
      </c>
      <c r="F119" s="47" t="n">
        <f aca="false">MIN(1,'Model Inputs &amp; Assumptions'!$W$28*EXP('Model Inputs &amp; Assumptions'!$X$28*R119-'Model Inputs &amp; Assumptions'!$X$28^2/2))</f>
        <v>0.00111231241833413</v>
      </c>
      <c r="G119" s="45" t="n">
        <f aca="false">ROUND(C119*F119,0)</f>
        <v>384</v>
      </c>
      <c r="H119" s="48" t="n">
        <f aca="false">MAX(0,(C119*'Model Inputs &amp; Assumptions'!$N$28+E119*'Model Inputs &amp; Assumptions'!$O$28+G119*'Model Inputs &amp; Assumptions'!$P$28)*EXP('Model Inputs &amp; Assumptions'!$Q$28*S119-'Model Inputs &amp; Assumptions'!$Q$28^2/2))</f>
        <v>24.5604998499315</v>
      </c>
      <c r="I119" s="49" t="n">
        <f aca="false">IF('Model Inputs &amp; Assumptions'!$H$28="Fixed",'Model Inputs &amp; Assumptions'!$I$28*'Model Inputs &amp; Assumptions'!$K$28,IF('Model Inputs &amp; Assumptions'!$H$28="CPM",'Model Inputs &amp; Assumptions'!$I$28*'Model Inputs &amp; Assumptions'!$K$28*C119/1000,IF('Model Inputs &amp; Assumptions'!$H$28="CPC",'Model Inputs &amp; Assumptions'!$I$28*'Model Inputs &amp; Assumptions'!$K$28*G119,0)))</f>
        <v>2242.526</v>
      </c>
      <c r="J119" s="50" t="n">
        <f aca="false">H119*INDEX('Model Inputs &amp; Assumptions'!$D$40:$D$42,MATCH('Model Inputs &amp; Assumptions'!$L$28,'Model Inputs &amp; Assumptions'!$A$40:$A$42,0))*INDEX('Model Inputs &amp; Assumptions'!$H$40:$H$42,MATCH('Model Inputs &amp; Assumptions'!$L$28,'Model Inputs &amp; Assumptions'!$A$40:$A$42,0))</f>
        <v>208764.248724417</v>
      </c>
      <c r="K119" s="49" t="n">
        <f aca="false">H119*INDEX('Model Inputs &amp; Assumptions'!$G$40:$G$42,MATCH('Model Inputs &amp; Assumptions'!$L$28,'Model Inputs &amp; Assumptions'!$A$40:$A$42,0))*INDEX('Model Inputs &amp; Assumptions'!$H$40:$H$42,MATCH('Model Inputs &amp; Assumptions'!$L$28,'Model Inputs &amp; Assumptions'!$A$40:$A$42,0))</f>
        <v>4697.19559629939</v>
      </c>
      <c r="L119" s="51" t="n">
        <f aca="false">IFERROR(K119/I119,0)</f>
        <v>2.09460028392063</v>
      </c>
      <c r="M119" s="49" t="n">
        <f aca="false">IFERROR(I119/H119,0)</f>
        <v>91.3062036075075</v>
      </c>
      <c r="N119" s="52" t="str">
        <f aca="false">'Model Inputs &amp; Assumptions'!$L$28</f>
        <v>PRD-EUAI</v>
      </c>
      <c r="P119" s="53" t="n">
        <v>-1.508171</v>
      </c>
      <c r="Q119" s="53" t="n">
        <v>0.979881</v>
      </c>
      <c r="R119" s="53" t="n">
        <v>-1.2492</v>
      </c>
      <c r="S119" s="53" t="n">
        <v>2.673516</v>
      </c>
    </row>
    <row r="120" customFormat="false" ht="15" hidden="false" customHeight="false" outlineLevel="0" collapsed="false">
      <c r="A120" s="43" t="n">
        <v>117</v>
      </c>
      <c r="B120" s="44" t="str">
        <f aca="false">'Model Inputs &amp; Assumptions'!$B$28</f>
        <v>finanzen.net — Q1 Awareness Burst</v>
      </c>
      <c r="C120" s="45" t="n">
        <f aca="false">ROUND(MAX(0,'Model Inputs &amp; Assumptions'!$S$28*EXP('Model Inputs &amp; Assumptions'!$T$28*P120-'Model Inputs &amp; Assumptions'!$T$28^2/2)),0)</f>
        <v>453711</v>
      </c>
      <c r="D120" s="46" t="n">
        <f aca="false">MIN(1,'Model Inputs &amp; Assumptions'!$U$28*EXP('Model Inputs &amp; Assumptions'!$V$28*Q120-'Model Inputs &amp; Assumptions'!$V$28^2/2))</f>
        <v>0</v>
      </c>
      <c r="E120" s="45" t="n">
        <f aca="false">ROUND(C120*D120,0)</f>
        <v>0</v>
      </c>
      <c r="F120" s="47" t="n">
        <f aca="false">MIN(1,'Model Inputs &amp; Assumptions'!$W$28*EXP('Model Inputs &amp; Assumptions'!$X$28*R120-'Model Inputs &amp; Assumptions'!$X$28^2/2))</f>
        <v>0.00194003421226555</v>
      </c>
      <c r="G120" s="45" t="n">
        <f aca="false">ROUND(C120*F120,0)</f>
        <v>880</v>
      </c>
      <c r="H120" s="48" t="n">
        <f aca="false">MAX(0,(C120*'Model Inputs &amp; Assumptions'!$N$28+E120*'Model Inputs &amp; Assumptions'!$O$28+G120*'Model Inputs &amp; Assumptions'!$P$28)*EXP('Model Inputs &amp; Assumptions'!$Q$28*S120-'Model Inputs &amp; Assumptions'!$Q$28^2/2))</f>
        <v>13.6875342540457</v>
      </c>
      <c r="I120" s="49" t="n">
        <f aca="false">IF('Model Inputs &amp; Assumptions'!$H$28="Fixed",'Model Inputs &amp; Assumptions'!$I$28*'Model Inputs &amp; Assumptions'!$K$28,IF('Model Inputs &amp; Assumptions'!$H$28="CPM",'Model Inputs &amp; Assumptions'!$I$28*'Model Inputs &amp; Assumptions'!$K$28*C120/1000,IF('Model Inputs &amp; Assumptions'!$H$28="CPC",'Model Inputs &amp; Assumptions'!$I$28*'Model Inputs &amp; Assumptions'!$K$28*G120,0)))</f>
        <v>2949.1215</v>
      </c>
      <c r="J120" s="50" t="n">
        <f aca="false">H120*INDEX('Model Inputs &amp; Assumptions'!$D$40:$D$42,MATCH('Model Inputs &amp; Assumptions'!$L$28,'Model Inputs &amp; Assumptions'!$A$40:$A$42,0))*INDEX('Model Inputs &amp; Assumptions'!$H$40:$H$42,MATCH('Model Inputs &amp; Assumptions'!$L$28,'Model Inputs &amp; Assumptions'!$A$40:$A$42,0))</f>
        <v>116344.041159389</v>
      </c>
      <c r="K120" s="49" t="n">
        <f aca="false">H120*INDEX('Model Inputs &amp; Assumptions'!$G$40:$G$42,MATCH('Model Inputs &amp; Assumptions'!$L$28,'Model Inputs &amp; Assumptions'!$A$40:$A$42,0))*INDEX('Model Inputs &amp; Assumptions'!$H$40:$H$42,MATCH('Model Inputs &amp; Assumptions'!$L$28,'Model Inputs &amp; Assumptions'!$A$40:$A$42,0))</f>
        <v>2617.74092608624</v>
      </c>
      <c r="L120" s="51" t="n">
        <f aca="false">IFERROR(K120/I120,0)</f>
        <v>0.887634139890894</v>
      </c>
      <c r="M120" s="49" t="n">
        <f aca="false">IFERROR(I120/H120,0)</f>
        <v>215.460392300265</v>
      </c>
      <c r="N120" s="52" t="str">
        <f aca="false">'Model Inputs &amp; Assumptions'!$L$28</f>
        <v>PRD-EUAI</v>
      </c>
      <c r="P120" s="53" t="n">
        <v>0.01352</v>
      </c>
      <c r="Q120" s="53" t="n">
        <v>-1.090446</v>
      </c>
      <c r="R120" s="53" t="n">
        <v>1.279275</v>
      </c>
      <c r="S120" s="53" t="n">
        <v>-2.039595</v>
      </c>
    </row>
    <row r="121" customFormat="false" ht="15" hidden="false" customHeight="false" outlineLevel="0" collapsed="false">
      <c r="A121" s="43" t="n">
        <v>118</v>
      </c>
      <c r="B121" s="44" t="str">
        <f aca="false">'Model Inputs &amp; Assumptions'!$B$28</f>
        <v>finanzen.net — Q1 Awareness Burst</v>
      </c>
      <c r="C121" s="45" t="n">
        <f aca="false">ROUND(MAX(0,'Model Inputs &amp; Assumptions'!$S$28*EXP('Model Inputs &amp; Assumptions'!$T$28*P121-'Model Inputs &amp; Assumptions'!$T$28^2/2)),0)</f>
        <v>446946</v>
      </c>
      <c r="D121" s="46" t="n">
        <f aca="false">MIN(1,'Model Inputs &amp; Assumptions'!$U$28*EXP('Model Inputs &amp; Assumptions'!$V$28*Q121-'Model Inputs &amp; Assumptions'!$V$28^2/2))</f>
        <v>0</v>
      </c>
      <c r="E121" s="45" t="n">
        <f aca="false">ROUND(C121*D121,0)</f>
        <v>0</v>
      </c>
      <c r="F121" s="47" t="n">
        <f aca="false">MIN(1,'Model Inputs &amp; Assumptions'!$W$28*EXP('Model Inputs &amp; Assumptions'!$X$28*R121-'Model Inputs &amp; Assumptions'!$X$28^2/2))</f>
        <v>0.0014559827003966</v>
      </c>
      <c r="G121" s="45" t="n">
        <f aca="false">ROUND(C121*F121,0)</f>
        <v>651</v>
      </c>
      <c r="H121" s="48" t="n">
        <f aca="false">MAX(0,(C121*'Model Inputs &amp; Assumptions'!$N$28+E121*'Model Inputs &amp; Assumptions'!$O$28+G121*'Model Inputs &amp; Assumptions'!$P$28)*EXP('Model Inputs &amp; Assumptions'!$Q$28*S121-'Model Inputs &amp; Assumptions'!$Q$28^2/2))</f>
        <v>20.8564727745345</v>
      </c>
      <c r="I121" s="49" t="n">
        <f aca="false">IF('Model Inputs &amp; Assumptions'!$H$28="Fixed",'Model Inputs &amp; Assumptions'!$I$28*'Model Inputs &amp; Assumptions'!$K$28,IF('Model Inputs &amp; Assumptions'!$H$28="CPM",'Model Inputs &amp; Assumptions'!$I$28*'Model Inputs &amp; Assumptions'!$K$28*C121/1000,IF('Model Inputs &amp; Assumptions'!$H$28="CPC",'Model Inputs &amp; Assumptions'!$I$28*'Model Inputs &amp; Assumptions'!$K$28*G121,0)))</f>
        <v>2905.149</v>
      </c>
      <c r="J121" s="50" t="n">
        <f aca="false">H121*INDEX('Model Inputs &amp; Assumptions'!$D$40:$D$42,MATCH('Model Inputs &amp; Assumptions'!$L$28,'Model Inputs &amp; Assumptions'!$A$40:$A$42,0))*INDEX('Model Inputs &amp; Assumptions'!$H$40:$H$42,MATCH('Model Inputs &amp; Assumptions'!$L$28,'Model Inputs &amp; Assumptions'!$A$40:$A$42,0))</f>
        <v>177280.018583543</v>
      </c>
      <c r="K121" s="49" t="n">
        <f aca="false">H121*INDEX('Model Inputs &amp; Assumptions'!$G$40:$G$42,MATCH('Model Inputs &amp; Assumptions'!$L$28,'Model Inputs &amp; Assumptions'!$A$40:$A$42,0))*INDEX('Model Inputs &amp; Assumptions'!$H$40:$H$42,MATCH('Model Inputs &amp; Assumptions'!$L$28,'Model Inputs &amp; Assumptions'!$A$40:$A$42,0))</f>
        <v>3988.80041812973</v>
      </c>
      <c r="L121" s="51" t="n">
        <f aca="false">IFERROR(K121/I121,0)</f>
        <v>1.37301061602339</v>
      </c>
      <c r="M121" s="49" t="n">
        <f aca="false">IFERROR(I121/H121,0)</f>
        <v>139.292440836264</v>
      </c>
      <c r="N121" s="52" t="str">
        <f aca="false">'Model Inputs &amp; Assumptions'!$L$28</f>
        <v>PRD-EUAI</v>
      </c>
      <c r="P121" s="53" t="n">
        <v>-0.06994</v>
      </c>
      <c r="Q121" s="53" t="n">
        <v>-1.212583</v>
      </c>
      <c r="R121" s="53" t="n">
        <v>-0.025382</v>
      </c>
      <c r="S121" s="53" t="n">
        <v>0.369042</v>
      </c>
    </row>
    <row r="122" customFormat="false" ht="15" hidden="false" customHeight="false" outlineLevel="0" collapsed="false">
      <c r="A122" s="43" t="n">
        <v>119</v>
      </c>
      <c r="B122" s="44" t="str">
        <f aca="false">'Model Inputs &amp; Assumptions'!$B$28</f>
        <v>finanzen.net — Q1 Awareness Burst</v>
      </c>
      <c r="C122" s="45" t="n">
        <f aca="false">ROUND(MAX(0,'Model Inputs &amp; Assumptions'!$S$28*EXP('Model Inputs &amp; Assumptions'!$T$28*P122-'Model Inputs &amp; Assumptions'!$T$28^2/2)),0)</f>
        <v>389528</v>
      </c>
      <c r="D122" s="46" t="n">
        <f aca="false">MIN(1,'Model Inputs &amp; Assumptions'!$U$28*EXP('Model Inputs &amp; Assumptions'!$V$28*Q122-'Model Inputs &amp; Assumptions'!$V$28^2/2))</f>
        <v>0</v>
      </c>
      <c r="E122" s="45" t="n">
        <f aca="false">ROUND(C122*D122,0)</f>
        <v>0</v>
      </c>
      <c r="F122" s="47" t="n">
        <f aca="false">MIN(1,'Model Inputs &amp; Assumptions'!$W$28*EXP('Model Inputs &amp; Assumptions'!$X$28*R122-'Model Inputs &amp; Assumptions'!$X$28^2/2))</f>
        <v>0.00193198812271457</v>
      </c>
      <c r="G122" s="45" t="n">
        <f aca="false">ROUND(C122*F122,0)</f>
        <v>753</v>
      </c>
      <c r="H122" s="48" t="n">
        <f aca="false">MAX(0,(C122*'Model Inputs &amp; Assumptions'!$N$28+E122*'Model Inputs &amp; Assumptions'!$O$28+G122*'Model Inputs &amp; Assumptions'!$P$28)*EXP('Model Inputs &amp; Assumptions'!$Q$28*S122-'Model Inputs &amp; Assumptions'!$Q$28^2/2))</f>
        <v>17.8513641893652</v>
      </c>
      <c r="I122" s="49" t="n">
        <f aca="false">IF('Model Inputs &amp; Assumptions'!$H$28="Fixed",'Model Inputs &amp; Assumptions'!$I$28*'Model Inputs &amp; Assumptions'!$K$28,IF('Model Inputs &amp; Assumptions'!$H$28="CPM",'Model Inputs &amp; Assumptions'!$I$28*'Model Inputs &amp; Assumptions'!$K$28*C122/1000,IF('Model Inputs &amp; Assumptions'!$H$28="CPC",'Model Inputs &amp; Assumptions'!$I$28*'Model Inputs &amp; Assumptions'!$K$28*G122,0)))</f>
        <v>2531.932</v>
      </c>
      <c r="J122" s="50" t="n">
        <f aca="false">H122*INDEX('Model Inputs &amp; Assumptions'!$D$40:$D$42,MATCH('Model Inputs &amp; Assumptions'!$L$28,'Model Inputs &amp; Assumptions'!$A$40:$A$42,0))*INDEX('Model Inputs &amp; Assumptions'!$H$40:$H$42,MATCH('Model Inputs &amp; Assumptions'!$L$28,'Model Inputs &amp; Assumptions'!$A$40:$A$42,0))</f>
        <v>151736.595609604</v>
      </c>
      <c r="K122" s="49" t="n">
        <f aca="false">H122*INDEX('Model Inputs &amp; Assumptions'!$G$40:$G$42,MATCH('Model Inputs &amp; Assumptions'!$L$28,'Model Inputs &amp; Assumptions'!$A$40:$A$42,0))*INDEX('Model Inputs &amp; Assumptions'!$H$40:$H$42,MATCH('Model Inputs &amp; Assumptions'!$L$28,'Model Inputs &amp; Assumptions'!$A$40:$A$42,0))</f>
        <v>3414.07340121609</v>
      </c>
      <c r="L122" s="51" t="n">
        <f aca="false">IFERROR(K122/I122,0)</f>
        <v>1.34840643477632</v>
      </c>
      <c r="M122" s="49" t="n">
        <f aca="false">IFERROR(I122/H122,0)</f>
        <v>141.834090276887</v>
      </c>
      <c r="N122" s="52" t="str">
        <f aca="false">'Model Inputs &amp; Assumptions'!$L$28</f>
        <v>PRD-EUAI</v>
      </c>
      <c r="P122" s="53" t="n">
        <v>-0.833836</v>
      </c>
      <c r="Q122" s="53" t="n">
        <v>0.384944</v>
      </c>
      <c r="R122" s="53" t="n">
        <v>1.260384</v>
      </c>
      <c r="S122" s="53" t="n">
        <v>-0.634758</v>
      </c>
    </row>
    <row r="123" customFormat="false" ht="15" hidden="false" customHeight="false" outlineLevel="0" collapsed="false">
      <c r="A123" s="43" t="n">
        <v>120</v>
      </c>
      <c r="B123" s="44" t="str">
        <f aca="false">'Model Inputs &amp; Assumptions'!$B$28</f>
        <v>finanzen.net — Q1 Awareness Burst</v>
      </c>
      <c r="C123" s="45" t="n">
        <f aca="false">ROUND(MAX(0,'Model Inputs &amp; Assumptions'!$S$28*EXP('Model Inputs &amp; Assumptions'!$T$28*P123-'Model Inputs &amp; Assumptions'!$T$28^2/2)),0)</f>
        <v>340016</v>
      </c>
      <c r="D123" s="46" t="n">
        <f aca="false">MIN(1,'Model Inputs &amp; Assumptions'!$U$28*EXP('Model Inputs &amp; Assumptions'!$V$28*Q123-'Model Inputs &amp; Assumptions'!$V$28^2/2))</f>
        <v>0</v>
      </c>
      <c r="E123" s="45" t="n">
        <f aca="false">ROUND(C123*D123,0)</f>
        <v>0</v>
      </c>
      <c r="F123" s="47" t="n">
        <f aca="false">MIN(1,'Model Inputs &amp; Assumptions'!$W$28*EXP('Model Inputs &amp; Assumptions'!$X$28*R123-'Model Inputs &amp; Assumptions'!$X$28^2/2))</f>
        <v>0.00156410733472354</v>
      </c>
      <c r="G123" s="45" t="n">
        <f aca="false">ROUND(C123*F123,0)</f>
        <v>532</v>
      </c>
      <c r="H123" s="48" t="n">
        <f aca="false">MAX(0,(C123*'Model Inputs &amp; Assumptions'!$N$28+E123*'Model Inputs &amp; Assumptions'!$O$28+G123*'Model Inputs &amp; Assumptions'!$P$28)*EXP('Model Inputs &amp; Assumptions'!$Q$28*S123-'Model Inputs &amp; Assumptions'!$Q$28^2/2))</f>
        <v>15.7129370980591</v>
      </c>
      <c r="I123" s="49" t="n">
        <f aca="false">IF('Model Inputs &amp; Assumptions'!$H$28="Fixed",'Model Inputs &amp; Assumptions'!$I$28*'Model Inputs &amp; Assumptions'!$K$28,IF('Model Inputs &amp; Assumptions'!$H$28="CPM",'Model Inputs &amp; Assumptions'!$I$28*'Model Inputs &amp; Assumptions'!$K$28*C123/1000,IF('Model Inputs &amp; Assumptions'!$H$28="CPC",'Model Inputs &amp; Assumptions'!$I$28*'Model Inputs &amp; Assumptions'!$K$28*G123,0)))</f>
        <v>2210.104</v>
      </c>
      <c r="J123" s="50" t="n">
        <f aca="false">H123*INDEX('Model Inputs &amp; Assumptions'!$D$40:$D$42,MATCH('Model Inputs &amp; Assumptions'!$L$28,'Model Inputs &amp; Assumptions'!$A$40:$A$42,0))*INDEX('Model Inputs &amp; Assumptions'!$H$40:$H$42,MATCH('Model Inputs &amp; Assumptions'!$L$28,'Model Inputs &amp; Assumptions'!$A$40:$A$42,0))</f>
        <v>133559.965333502</v>
      </c>
      <c r="K123" s="49" t="n">
        <f aca="false">H123*INDEX('Model Inputs &amp; Assumptions'!$G$40:$G$42,MATCH('Model Inputs &amp; Assumptions'!$L$28,'Model Inputs &amp; Assumptions'!$A$40:$A$42,0))*INDEX('Model Inputs &amp; Assumptions'!$H$40:$H$42,MATCH('Model Inputs &amp; Assumptions'!$L$28,'Model Inputs &amp; Assumptions'!$A$40:$A$42,0))</f>
        <v>3005.0992200038</v>
      </c>
      <c r="L123" s="51" t="n">
        <f aca="false">IFERROR(K123/I123,0)</f>
        <v>1.35970941639117</v>
      </c>
      <c r="M123" s="49" t="n">
        <f aca="false">IFERROR(I123/H123,0)</f>
        <v>140.65505298007</v>
      </c>
      <c r="N123" s="52" t="str">
        <f aca="false">'Model Inputs &amp; Assumptions'!$L$28</f>
        <v>PRD-EUAI</v>
      </c>
      <c r="P123" s="53" t="n">
        <v>-1.589083</v>
      </c>
      <c r="Q123" s="53" t="n">
        <v>0.178502</v>
      </c>
      <c r="R123" s="53" t="n">
        <v>0.300228</v>
      </c>
      <c r="S123" s="53" t="n">
        <v>0.097996</v>
      </c>
    </row>
    <row r="124" customFormat="false" ht="15" hidden="false" customHeight="false" outlineLevel="0" collapsed="false">
      <c r="A124" s="43" t="n">
        <v>121</v>
      </c>
      <c r="B124" s="44" t="str">
        <f aca="false">'Model Inputs &amp; Assumptions'!$B$28</f>
        <v>finanzen.net — Q1 Awareness Burst</v>
      </c>
      <c r="C124" s="45" t="n">
        <f aca="false">ROUND(MAX(0,'Model Inputs &amp; Assumptions'!$S$28*EXP('Model Inputs &amp; Assumptions'!$T$28*P124-'Model Inputs &amp; Assumptions'!$T$28^2/2)),0)</f>
        <v>411729</v>
      </c>
      <c r="D124" s="46" t="n">
        <f aca="false">MIN(1,'Model Inputs &amp; Assumptions'!$U$28*EXP('Model Inputs &amp; Assumptions'!$V$28*Q124-'Model Inputs &amp; Assumptions'!$V$28^2/2))</f>
        <v>0</v>
      </c>
      <c r="E124" s="45" t="n">
        <f aca="false">ROUND(C124*D124,0)</f>
        <v>0</v>
      </c>
      <c r="F124" s="47" t="n">
        <f aca="false">MIN(1,'Model Inputs &amp; Assumptions'!$W$28*EXP('Model Inputs &amp; Assumptions'!$X$28*R124-'Model Inputs &amp; Assumptions'!$X$28^2/2))</f>
        <v>0.00130460742023145</v>
      </c>
      <c r="G124" s="45" t="n">
        <f aca="false">ROUND(C124*F124,0)</f>
        <v>537</v>
      </c>
      <c r="H124" s="48" t="n">
        <f aca="false">MAX(0,(C124*'Model Inputs &amp; Assumptions'!$N$28+E124*'Model Inputs &amp; Assumptions'!$O$28+G124*'Model Inputs &amp; Assumptions'!$P$28)*EXP('Model Inputs &amp; Assumptions'!$Q$28*S124-'Model Inputs &amp; Assumptions'!$Q$28^2/2))</f>
        <v>16.8018012376528</v>
      </c>
      <c r="I124" s="49" t="n">
        <f aca="false">IF('Model Inputs &amp; Assumptions'!$H$28="Fixed",'Model Inputs &amp; Assumptions'!$I$28*'Model Inputs &amp; Assumptions'!$K$28,IF('Model Inputs &amp; Assumptions'!$H$28="CPM",'Model Inputs &amp; Assumptions'!$I$28*'Model Inputs &amp; Assumptions'!$K$28*C124/1000,IF('Model Inputs &amp; Assumptions'!$H$28="CPC",'Model Inputs &amp; Assumptions'!$I$28*'Model Inputs &amp; Assumptions'!$K$28*G124,0)))</f>
        <v>2676.2385</v>
      </c>
      <c r="J124" s="50" t="n">
        <f aca="false">H124*INDEX('Model Inputs &amp; Assumptions'!$D$40:$D$42,MATCH('Model Inputs &amp; Assumptions'!$L$28,'Model Inputs &amp; Assumptions'!$A$40:$A$42,0))*INDEX('Model Inputs &amp; Assumptions'!$H$40:$H$42,MATCH('Model Inputs &amp; Assumptions'!$L$28,'Model Inputs &amp; Assumptions'!$A$40:$A$42,0))</f>
        <v>142815.310520049</v>
      </c>
      <c r="K124" s="49" t="n">
        <f aca="false">H124*INDEX('Model Inputs &amp; Assumptions'!$G$40:$G$42,MATCH('Model Inputs &amp; Assumptions'!$L$28,'Model Inputs &amp; Assumptions'!$A$40:$A$42,0))*INDEX('Model Inputs &amp; Assumptions'!$H$40:$H$42,MATCH('Model Inputs &amp; Assumptions'!$L$28,'Model Inputs &amp; Assumptions'!$A$40:$A$42,0))</f>
        <v>3213.34448670109</v>
      </c>
      <c r="L124" s="51" t="n">
        <f aca="false">IFERROR(K124/I124,0)</f>
        <v>1.20069436513266</v>
      </c>
      <c r="M124" s="49" t="n">
        <f aca="false">IFERROR(I124/H124,0)</f>
        <v>159.282832962133</v>
      </c>
      <c r="N124" s="52" t="str">
        <f aca="false">'Model Inputs &amp; Assumptions'!$L$28</f>
        <v>PRD-EUAI</v>
      </c>
      <c r="P124" s="53" t="n">
        <v>-0.52589</v>
      </c>
      <c r="Q124" s="53" t="n">
        <v>-1.236975</v>
      </c>
      <c r="R124" s="53" t="n">
        <v>-0.524377</v>
      </c>
      <c r="S124" s="53" t="n">
        <v>0.290153</v>
      </c>
    </row>
    <row r="125" customFormat="false" ht="15" hidden="false" customHeight="false" outlineLevel="0" collapsed="false">
      <c r="A125" s="43" t="n">
        <v>122</v>
      </c>
      <c r="B125" s="44" t="str">
        <f aca="false">'Model Inputs &amp; Assumptions'!$B$28</f>
        <v>finanzen.net — Q1 Awareness Burst</v>
      </c>
      <c r="C125" s="45" t="n">
        <f aca="false">ROUND(MAX(0,'Model Inputs &amp; Assumptions'!$S$28*EXP('Model Inputs &amp; Assumptions'!$T$28*P125-'Model Inputs &amp; Assumptions'!$T$28^2/2)),0)</f>
        <v>465700</v>
      </c>
      <c r="D125" s="46" t="n">
        <f aca="false">MIN(1,'Model Inputs &amp; Assumptions'!$U$28*EXP('Model Inputs &amp; Assumptions'!$V$28*Q125-'Model Inputs &amp; Assumptions'!$V$28^2/2))</f>
        <v>0</v>
      </c>
      <c r="E125" s="45" t="n">
        <f aca="false">ROUND(C125*D125,0)</f>
        <v>0</v>
      </c>
      <c r="F125" s="47" t="n">
        <f aca="false">MIN(1,'Model Inputs &amp; Assumptions'!$W$28*EXP('Model Inputs &amp; Assumptions'!$X$28*R125-'Model Inputs &amp; Assumptions'!$X$28^2/2))</f>
        <v>0.00154599004061186</v>
      </c>
      <c r="G125" s="45" t="n">
        <f aca="false">ROUND(C125*F125,0)</f>
        <v>720</v>
      </c>
      <c r="H125" s="48" t="n">
        <f aca="false">MAX(0,(C125*'Model Inputs &amp; Assumptions'!$N$28+E125*'Model Inputs &amp; Assumptions'!$O$28+G125*'Model Inputs &amp; Assumptions'!$P$28)*EXP('Model Inputs &amp; Assumptions'!$Q$28*S125-'Model Inputs &amp; Assumptions'!$Q$28^2/2))</f>
        <v>17.6506500846075</v>
      </c>
      <c r="I125" s="49" t="n">
        <f aca="false">IF('Model Inputs &amp; Assumptions'!$H$28="Fixed",'Model Inputs &amp; Assumptions'!$I$28*'Model Inputs &amp; Assumptions'!$K$28,IF('Model Inputs &amp; Assumptions'!$H$28="CPM",'Model Inputs &amp; Assumptions'!$I$28*'Model Inputs &amp; Assumptions'!$K$28*C125/1000,IF('Model Inputs &amp; Assumptions'!$H$28="CPC",'Model Inputs &amp; Assumptions'!$I$28*'Model Inputs &amp; Assumptions'!$K$28*G125,0)))</f>
        <v>3027.05</v>
      </c>
      <c r="J125" s="50" t="n">
        <f aca="false">H125*INDEX('Model Inputs &amp; Assumptions'!$D$40:$D$42,MATCH('Model Inputs &amp; Assumptions'!$L$28,'Model Inputs &amp; Assumptions'!$A$40:$A$42,0))*INDEX('Model Inputs &amp; Assumptions'!$H$40:$H$42,MATCH('Model Inputs &amp; Assumptions'!$L$28,'Model Inputs &amp; Assumptions'!$A$40:$A$42,0))</f>
        <v>150030.525719164</v>
      </c>
      <c r="K125" s="49" t="n">
        <f aca="false">H125*INDEX('Model Inputs &amp; Assumptions'!$G$40:$G$42,MATCH('Model Inputs &amp; Assumptions'!$L$28,'Model Inputs &amp; Assumptions'!$A$40:$A$42,0))*INDEX('Model Inputs &amp; Assumptions'!$H$40:$H$42,MATCH('Model Inputs &amp; Assumptions'!$L$28,'Model Inputs &amp; Assumptions'!$A$40:$A$42,0))</f>
        <v>3375.68682868119</v>
      </c>
      <c r="L125" s="51" t="n">
        <f aca="false">IFERROR(K125/I125,0)</f>
        <v>1.11517379253107</v>
      </c>
      <c r="M125" s="49" t="n">
        <f aca="false">IFERROR(I125/H125,0)</f>
        <v>171.497932681798</v>
      </c>
      <c r="N125" s="52" t="str">
        <f aca="false">'Model Inputs &amp; Assumptions'!$L$28</f>
        <v>PRD-EUAI</v>
      </c>
      <c r="P125" s="53" t="n">
        <v>0.158422</v>
      </c>
      <c r="Q125" s="53" t="n">
        <v>0.847616</v>
      </c>
      <c r="R125" s="53" t="n">
        <v>0.24727</v>
      </c>
      <c r="S125" s="53" t="n">
        <v>-0.523069</v>
      </c>
    </row>
    <row r="126" customFormat="false" ht="15" hidden="false" customHeight="false" outlineLevel="0" collapsed="false">
      <c r="A126" s="43" t="n">
        <v>123</v>
      </c>
      <c r="B126" s="44" t="str">
        <f aca="false">'Model Inputs &amp; Assumptions'!$B$28</f>
        <v>finanzen.net — Q1 Awareness Burst</v>
      </c>
      <c r="C126" s="45" t="n">
        <f aca="false">ROUND(MAX(0,'Model Inputs &amp; Assumptions'!$S$28*EXP('Model Inputs &amp; Assumptions'!$T$28*P126-'Model Inputs &amp; Assumptions'!$T$28^2/2)),0)</f>
        <v>639443</v>
      </c>
      <c r="D126" s="46" t="n">
        <f aca="false">MIN(1,'Model Inputs &amp; Assumptions'!$U$28*EXP('Model Inputs &amp; Assumptions'!$V$28*Q126-'Model Inputs &amp; Assumptions'!$V$28^2/2))</f>
        <v>0</v>
      </c>
      <c r="E126" s="45" t="n">
        <f aca="false">ROUND(C126*D126,0)</f>
        <v>0</v>
      </c>
      <c r="F126" s="47" t="n">
        <f aca="false">MIN(1,'Model Inputs &amp; Assumptions'!$W$28*EXP('Model Inputs &amp; Assumptions'!$X$28*R126-'Model Inputs &amp; Assumptions'!$X$28^2/2))</f>
        <v>0.0010212808431513</v>
      </c>
      <c r="G126" s="45" t="n">
        <f aca="false">ROUND(C126*F126,0)</f>
        <v>653</v>
      </c>
      <c r="H126" s="48" t="n">
        <f aca="false">MAX(0,(C126*'Model Inputs &amp; Assumptions'!$N$28+E126*'Model Inputs &amp; Assumptions'!$O$28+G126*'Model Inputs &amp; Assumptions'!$P$28)*EXP('Model Inputs &amp; Assumptions'!$Q$28*S126-'Model Inputs &amp; Assumptions'!$Q$28^2/2))</f>
        <v>28.588679905017</v>
      </c>
      <c r="I126" s="49" t="n">
        <f aca="false">IF('Model Inputs &amp; Assumptions'!$H$28="Fixed",'Model Inputs &amp; Assumptions'!$I$28*'Model Inputs &amp; Assumptions'!$K$28,IF('Model Inputs &amp; Assumptions'!$H$28="CPM",'Model Inputs &amp; Assumptions'!$I$28*'Model Inputs &amp; Assumptions'!$K$28*C126/1000,IF('Model Inputs &amp; Assumptions'!$H$28="CPC",'Model Inputs &amp; Assumptions'!$I$28*'Model Inputs &amp; Assumptions'!$K$28*G126,0)))</f>
        <v>4156.3795</v>
      </c>
      <c r="J126" s="50" t="n">
        <f aca="false">H126*INDEX('Model Inputs &amp; Assumptions'!$D$40:$D$42,MATCH('Model Inputs &amp; Assumptions'!$L$28,'Model Inputs &amp; Assumptions'!$A$40:$A$42,0))*INDEX('Model Inputs &amp; Assumptions'!$H$40:$H$42,MATCH('Model Inputs &amp; Assumptions'!$L$28,'Model Inputs &amp; Assumptions'!$A$40:$A$42,0))</f>
        <v>243003.779192645</v>
      </c>
      <c r="K126" s="49" t="n">
        <f aca="false">H126*INDEX('Model Inputs &amp; Assumptions'!$G$40:$G$42,MATCH('Model Inputs &amp; Assumptions'!$L$28,'Model Inputs &amp; Assumptions'!$A$40:$A$42,0))*INDEX('Model Inputs &amp; Assumptions'!$H$40:$H$42,MATCH('Model Inputs &amp; Assumptions'!$L$28,'Model Inputs &amp; Assumptions'!$A$40:$A$42,0))</f>
        <v>5467.58503183451</v>
      </c>
      <c r="L126" s="51" t="n">
        <f aca="false">IFERROR(K126/I126,0)</f>
        <v>1.31546819337226</v>
      </c>
      <c r="M126" s="49" t="n">
        <f aca="false">IFERROR(I126/H126,0)</f>
        <v>145.385499218892</v>
      </c>
      <c r="N126" s="52" t="str">
        <f aca="false">'Model Inputs &amp; Assumptions'!$L$28</f>
        <v>PRD-EUAI</v>
      </c>
      <c r="P126" s="53" t="n">
        <v>1.919841</v>
      </c>
      <c r="Q126" s="53" t="n">
        <v>-0.123147</v>
      </c>
      <c r="R126" s="53" t="n">
        <v>-1.637307</v>
      </c>
      <c r="S126" s="53" t="n">
        <v>1.409972</v>
      </c>
    </row>
    <row r="127" customFormat="false" ht="15" hidden="false" customHeight="false" outlineLevel="0" collapsed="false">
      <c r="A127" s="43" t="n">
        <v>124</v>
      </c>
      <c r="B127" s="44" t="str">
        <f aca="false">'Model Inputs &amp; Assumptions'!$B$28</f>
        <v>finanzen.net — Q1 Awareness Burst</v>
      </c>
      <c r="C127" s="45" t="n">
        <f aca="false">ROUND(MAX(0,'Model Inputs &amp; Assumptions'!$S$28*EXP('Model Inputs &amp; Assumptions'!$T$28*P127-'Model Inputs &amp; Assumptions'!$T$28^2/2)),0)</f>
        <v>473144</v>
      </c>
      <c r="D127" s="46" t="n">
        <f aca="false">MIN(1,'Model Inputs &amp; Assumptions'!$U$28*EXP('Model Inputs &amp; Assumptions'!$V$28*Q127-'Model Inputs &amp; Assumptions'!$V$28^2/2))</f>
        <v>0</v>
      </c>
      <c r="E127" s="45" t="n">
        <f aca="false">ROUND(C127*D127,0)</f>
        <v>0</v>
      </c>
      <c r="F127" s="47" t="n">
        <f aca="false">MIN(1,'Model Inputs &amp; Assumptions'!$W$28*EXP('Model Inputs &amp; Assumptions'!$X$28*R127-'Model Inputs &amp; Assumptions'!$X$28^2/2))</f>
        <v>0.00140080286620595</v>
      </c>
      <c r="G127" s="45" t="n">
        <f aca="false">ROUND(C127*F127,0)</f>
        <v>663</v>
      </c>
      <c r="H127" s="48" t="n">
        <f aca="false">MAX(0,(C127*'Model Inputs &amp; Assumptions'!$N$28+E127*'Model Inputs &amp; Assumptions'!$O$28+G127*'Model Inputs &amp; Assumptions'!$P$28)*EXP('Model Inputs &amp; Assumptions'!$Q$28*S127-'Model Inputs &amp; Assumptions'!$Q$28^2/2))</f>
        <v>59.6827654544629</v>
      </c>
      <c r="I127" s="49" t="n">
        <f aca="false">IF('Model Inputs &amp; Assumptions'!$H$28="Fixed",'Model Inputs &amp; Assumptions'!$I$28*'Model Inputs &amp; Assumptions'!$K$28,IF('Model Inputs &amp; Assumptions'!$H$28="CPM",'Model Inputs &amp; Assumptions'!$I$28*'Model Inputs &amp; Assumptions'!$K$28*C127/1000,IF('Model Inputs &amp; Assumptions'!$H$28="CPC",'Model Inputs &amp; Assumptions'!$I$28*'Model Inputs &amp; Assumptions'!$K$28*G127,0)))</f>
        <v>3075.436</v>
      </c>
      <c r="J127" s="50" t="n">
        <f aca="false">H127*INDEX('Model Inputs &amp; Assumptions'!$D$40:$D$42,MATCH('Model Inputs &amp; Assumptions'!$L$28,'Model Inputs &amp; Assumptions'!$A$40:$A$42,0))*INDEX('Model Inputs &amp; Assumptions'!$H$40:$H$42,MATCH('Model Inputs &amp; Assumptions'!$L$28,'Model Inputs &amp; Assumptions'!$A$40:$A$42,0))</f>
        <v>507303.506362935</v>
      </c>
      <c r="K127" s="49" t="n">
        <f aca="false">H127*INDEX('Model Inputs &amp; Assumptions'!$G$40:$G$42,MATCH('Model Inputs &amp; Assumptions'!$L$28,'Model Inputs &amp; Assumptions'!$A$40:$A$42,0))*INDEX('Model Inputs &amp; Assumptions'!$H$40:$H$42,MATCH('Model Inputs &amp; Assumptions'!$L$28,'Model Inputs &amp; Assumptions'!$A$40:$A$42,0))</f>
        <v>11414.328893166</v>
      </c>
      <c r="L127" s="51" t="n">
        <f aca="false">IFERROR(K127/I127,0)</f>
        <v>3.71145063437055</v>
      </c>
      <c r="M127" s="49" t="n">
        <f aca="false">IFERROR(I127/H127,0)</f>
        <v>51.5297167713603</v>
      </c>
      <c r="N127" s="52" t="str">
        <f aca="false">'Model Inputs &amp; Assumptions'!$L$28</f>
        <v>PRD-EUAI</v>
      </c>
      <c r="P127" s="53" t="n">
        <v>0.246515</v>
      </c>
      <c r="Q127" s="53" t="n">
        <v>0.788013</v>
      </c>
      <c r="R127" s="53" t="n">
        <v>-0.200998</v>
      </c>
      <c r="S127" s="53" t="n">
        <v>3.812754</v>
      </c>
    </row>
    <row r="128" customFormat="false" ht="15" hidden="false" customHeight="false" outlineLevel="0" collapsed="false">
      <c r="A128" s="43" t="n">
        <v>125</v>
      </c>
      <c r="B128" s="44" t="str">
        <f aca="false">'Model Inputs &amp; Assumptions'!$B$28</f>
        <v>finanzen.net — Q1 Awareness Burst</v>
      </c>
      <c r="C128" s="45" t="n">
        <f aca="false">ROUND(MAX(0,'Model Inputs &amp; Assumptions'!$S$28*EXP('Model Inputs &amp; Assumptions'!$T$28*P128-'Model Inputs &amp; Assumptions'!$T$28^2/2)),0)</f>
        <v>393273</v>
      </c>
      <c r="D128" s="46" t="n">
        <f aca="false">MIN(1,'Model Inputs &amp; Assumptions'!$U$28*EXP('Model Inputs &amp; Assumptions'!$V$28*Q128-'Model Inputs &amp; Assumptions'!$V$28^2/2))</f>
        <v>0</v>
      </c>
      <c r="E128" s="45" t="n">
        <f aca="false">ROUND(C128*D128,0)</f>
        <v>0</v>
      </c>
      <c r="F128" s="47" t="n">
        <f aca="false">MIN(1,'Model Inputs &amp; Assumptions'!$W$28*EXP('Model Inputs &amp; Assumptions'!$X$28*R128-'Model Inputs &amp; Assumptions'!$X$28^2/2))</f>
        <v>0.00130680751067606</v>
      </c>
      <c r="G128" s="45" t="n">
        <f aca="false">ROUND(C128*F128,0)</f>
        <v>514</v>
      </c>
      <c r="H128" s="48" t="n">
        <f aca="false">MAX(0,(C128*'Model Inputs &amp; Assumptions'!$N$28+E128*'Model Inputs &amp; Assumptions'!$O$28+G128*'Model Inputs &amp; Assumptions'!$P$28)*EXP('Model Inputs &amp; Assumptions'!$Q$28*S128-'Model Inputs &amp; Assumptions'!$Q$28^2/2))</f>
        <v>18.6966650453488</v>
      </c>
      <c r="I128" s="49" t="n">
        <f aca="false">IF('Model Inputs &amp; Assumptions'!$H$28="Fixed",'Model Inputs &amp; Assumptions'!$I$28*'Model Inputs &amp; Assumptions'!$K$28,IF('Model Inputs &amp; Assumptions'!$H$28="CPM",'Model Inputs &amp; Assumptions'!$I$28*'Model Inputs &amp; Assumptions'!$K$28*C128/1000,IF('Model Inputs &amp; Assumptions'!$H$28="CPC",'Model Inputs &amp; Assumptions'!$I$28*'Model Inputs &amp; Assumptions'!$K$28*G128,0)))</f>
        <v>2556.2745</v>
      </c>
      <c r="J128" s="50" t="n">
        <f aca="false">H128*INDEX('Model Inputs &amp; Assumptions'!$D$40:$D$42,MATCH('Model Inputs &amp; Assumptions'!$L$28,'Model Inputs &amp; Assumptions'!$A$40:$A$42,0))*INDEX('Model Inputs &amp; Assumptions'!$H$40:$H$42,MATCH('Model Inputs &amp; Assumptions'!$L$28,'Model Inputs &amp; Assumptions'!$A$40:$A$42,0))</f>
        <v>158921.652885465</v>
      </c>
      <c r="K128" s="49" t="n">
        <f aca="false">H128*INDEX('Model Inputs &amp; Assumptions'!$G$40:$G$42,MATCH('Model Inputs &amp; Assumptions'!$L$28,'Model Inputs &amp; Assumptions'!$A$40:$A$42,0))*INDEX('Model Inputs &amp; Assumptions'!$H$40:$H$42,MATCH('Model Inputs &amp; Assumptions'!$L$28,'Model Inputs &amp; Assumptions'!$A$40:$A$42,0))</f>
        <v>3575.73718992295</v>
      </c>
      <c r="L128" s="51" t="n">
        <f aca="false">IFERROR(K128/I128,0)</f>
        <v>1.39880798792264</v>
      </c>
      <c r="M128" s="49" t="n">
        <f aca="false">IFERROR(I128/H128,0)</f>
        <v>136.723554377198</v>
      </c>
      <c r="N128" s="52" t="str">
        <f aca="false">'Model Inputs &amp; Assumptions'!$L$28</f>
        <v>PRD-EUAI</v>
      </c>
      <c r="P128" s="53" t="n">
        <v>-0.78068</v>
      </c>
      <c r="Q128" s="53" t="n">
        <v>-1.140085</v>
      </c>
      <c r="R128" s="53" t="n">
        <v>-0.516718</v>
      </c>
      <c r="S128" s="53" t="n">
        <v>0.792266</v>
      </c>
    </row>
    <row r="129" customFormat="false" ht="15" hidden="false" customHeight="false" outlineLevel="0" collapsed="false">
      <c r="A129" s="43" t="n">
        <v>126</v>
      </c>
      <c r="B129" s="44" t="str">
        <f aca="false">'Model Inputs &amp; Assumptions'!$B$28</f>
        <v>finanzen.net — Q1 Awareness Burst</v>
      </c>
      <c r="C129" s="45" t="n">
        <f aca="false">ROUND(MAX(0,'Model Inputs &amp; Assumptions'!$S$28*EXP('Model Inputs &amp; Assumptions'!$T$28*P129-'Model Inputs &amp; Assumptions'!$T$28^2/2)),0)</f>
        <v>504827</v>
      </c>
      <c r="D129" s="46" t="n">
        <f aca="false">MIN(1,'Model Inputs &amp; Assumptions'!$U$28*EXP('Model Inputs &amp; Assumptions'!$V$28*Q129-'Model Inputs &amp; Assumptions'!$V$28^2/2))</f>
        <v>0</v>
      </c>
      <c r="E129" s="45" t="n">
        <f aca="false">ROUND(C129*D129,0)</f>
        <v>0</v>
      </c>
      <c r="F129" s="47" t="n">
        <f aca="false">MIN(1,'Model Inputs &amp; Assumptions'!$W$28*EXP('Model Inputs &amp; Assumptions'!$X$28*R129-'Model Inputs &amp; Assumptions'!$X$28^2/2))</f>
        <v>0.00199190950339564</v>
      </c>
      <c r="G129" s="45" t="n">
        <f aca="false">ROUND(C129*F129,0)</f>
        <v>1006</v>
      </c>
      <c r="H129" s="48" t="n">
        <f aca="false">MAX(0,(C129*'Model Inputs &amp; Assumptions'!$N$28+E129*'Model Inputs &amp; Assumptions'!$O$28+G129*'Model Inputs &amp; Assumptions'!$P$28)*EXP('Model Inputs &amp; Assumptions'!$Q$28*S129-'Model Inputs &amp; Assumptions'!$Q$28^2/2))</f>
        <v>39.6869513910489</v>
      </c>
      <c r="I129" s="49" t="n">
        <f aca="false">IF('Model Inputs &amp; Assumptions'!$H$28="Fixed",'Model Inputs &amp; Assumptions'!$I$28*'Model Inputs &amp; Assumptions'!$K$28,IF('Model Inputs &amp; Assumptions'!$H$28="CPM",'Model Inputs &amp; Assumptions'!$I$28*'Model Inputs &amp; Assumptions'!$K$28*C129/1000,IF('Model Inputs &amp; Assumptions'!$H$28="CPC",'Model Inputs &amp; Assumptions'!$I$28*'Model Inputs &amp; Assumptions'!$K$28*G129,0)))</f>
        <v>3281.3755</v>
      </c>
      <c r="J129" s="50" t="n">
        <f aca="false">H129*INDEX('Model Inputs &amp; Assumptions'!$D$40:$D$42,MATCH('Model Inputs &amp; Assumptions'!$L$28,'Model Inputs &amp; Assumptions'!$A$40:$A$42,0))*INDEX('Model Inputs &amp; Assumptions'!$H$40:$H$42,MATCH('Model Inputs &amp; Assumptions'!$L$28,'Model Inputs &amp; Assumptions'!$A$40:$A$42,0))</f>
        <v>337339.086823916</v>
      </c>
      <c r="K129" s="49" t="n">
        <f aca="false">H129*INDEX('Model Inputs &amp; Assumptions'!$G$40:$G$42,MATCH('Model Inputs &amp; Assumptions'!$L$28,'Model Inputs &amp; Assumptions'!$A$40:$A$42,0))*INDEX('Model Inputs &amp; Assumptions'!$H$40:$H$42,MATCH('Model Inputs &amp; Assumptions'!$L$28,'Model Inputs &amp; Assumptions'!$A$40:$A$42,0))</f>
        <v>7590.1294535381</v>
      </c>
      <c r="L129" s="51" t="n">
        <f aca="false">IFERROR(K129/I129,0)</f>
        <v>2.31309383931772</v>
      </c>
      <c r="M129" s="49" t="n">
        <f aca="false">IFERROR(I129/H129,0)</f>
        <v>82.6814704830186</v>
      </c>
      <c r="N129" s="52" t="str">
        <f aca="false">'Model Inputs &amp; Assumptions'!$L$28</f>
        <v>PRD-EUAI</v>
      </c>
      <c r="P129" s="53" t="n">
        <v>0.606605</v>
      </c>
      <c r="Q129" s="53" t="n">
        <v>-0.70733</v>
      </c>
      <c r="R129" s="53" t="n">
        <v>1.399221</v>
      </c>
      <c r="S129" s="53" t="n">
        <v>1.06281</v>
      </c>
    </row>
    <row r="130" customFormat="false" ht="15" hidden="false" customHeight="false" outlineLevel="0" collapsed="false">
      <c r="A130" s="43" t="n">
        <v>127</v>
      </c>
      <c r="B130" s="44" t="str">
        <f aca="false">'Model Inputs &amp; Assumptions'!$B$28</f>
        <v>finanzen.net — Q1 Awareness Burst</v>
      </c>
      <c r="C130" s="45" t="n">
        <f aca="false">ROUND(MAX(0,'Model Inputs &amp; Assumptions'!$S$28*EXP('Model Inputs &amp; Assumptions'!$T$28*P130-'Model Inputs &amp; Assumptions'!$T$28^2/2)),0)</f>
        <v>381476</v>
      </c>
      <c r="D130" s="46" t="n">
        <f aca="false">MIN(1,'Model Inputs &amp; Assumptions'!$U$28*EXP('Model Inputs &amp; Assumptions'!$V$28*Q130-'Model Inputs &amp; Assumptions'!$V$28^2/2))</f>
        <v>0</v>
      </c>
      <c r="E130" s="45" t="n">
        <f aca="false">ROUND(C130*D130,0)</f>
        <v>0</v>
      </c>
      <c r="F130" s="47" t="n">
        <f aca="false">MIN(1,'Model Inputs &amp; Assumptions'!$W$28*EXP('Model Inputs &amp; Assumptions'!$X$28*R130-'Model Inputs &amp; Assumptions'!$X$28^2/2))</f>
        <v>0.00107076765745</v>
      </c>
      <c r="G130" s="45" t="n">
        <f aca="false">ROUND(C130*F130,0)</f>
        <v>408</v>
      </c>
      <c r="H130" s="48" t="n">
        <f aca="false">MAX(0,(C130*'Model Inputs &amp; Assumptions'!$N$28+E130*'Model Inputs &amp; Assumptions'!$O$28+G130*'Model Inputs &amp; Assumptions'!$P$28)*EXP('Model Inputs &amp; Assumptions'!$Q$28*S130-'Model Inputs &amp; Assumptions'!$Q$28^2/2))</f>
        <v>9.57821335389475</v>
      </c>
      <c r="I130" s="49" t="n">
        <f aca="false">IF('Model Inputs &amp; Assumptions'!$H$28="Fixed",'Model Inputs &amp; Assumptions'!$I$28*'Model Inputs &amp; Assumptions'!$K$28,IF('Model Inputs &amp; Assumptions'!$H$28="CPM",'Model Inputs &amp; Assumptions'!$I$28*'Model Inputs &amp; Assumptions'!$K$28*C130/1000,IF('Model Inputs &amp; Assumptions'!$H$28="CPC",'Model Inputs &amp; Assumptions'!$I$28*'Model Inputs &amp; Assumptions'!$K$28*G130,0)))</f>
        <v>2479.594</v>
      </c>
      <c r="J130" s="50" t="n">
        <f aca="false">H130*INDEX('Model Inputs &amp; Assumptions'!$D$40:$D$42,MATCH('Model Inputs &amp; Assumptions'!$L$28,'Model Inputs &amp; Assumptions'!$A$40:$A$42,0))*INDEX('Model Inputs &amp; Assumptions'!$H$40:$H$42,MATCH('Model Inputs &amp; Assumptions'!$L$28,'Model Inputs &amp; Assumptions'!$A$40:$A$42,0))</f>
        <v>81414.8135081054</v>
      </c>
      <c r="K130" s="49" t="n">
        <f aca="false">H130*INDEX('Model Inputs &amp; Assumptions'!$G$40:$G$42,MATCH('Model Inputs &amp; Assumptions'!$L$28,'Model Inputs &amp; Assumptions'!$A$40:$A$42,0))*INDEX('Model Inputs &amp; Assumptions'!$H$40:$H$42,MATCH('Model Inputs &amp; Assumptions'!$L$28,'Model Inputs &amp; Assumptions'!$A$40:$A$42,0))</f>
        <v>1831.83330393237</v>
      </c>
      <c r="L130" s="51" t="n">
        <f aca="false">IFERROR(K130/I130,0)</f>
        <v>0.738763403981608</v>
      </c>
      <c r="M130" s="49" t="n">
        <f aca="false">IFERROR(I130/H130,0)</f>
        <v>258.878551602918</v>
      </c>
      <c r="N130" s="52" t="str">
        <f aca="false">'Model Inputs &amp; Assumptions'!$L$28</f>
        <v>PRD-EUAI</v>
      </c>
      <c r="P130" s="53" t="n">
        <v>-0.949874</v>
      </c>
      <c r="Q130" s="53" t="n">
        <v>1.214332</v>
      </c>
      <c r="R130" s="53" t="n">
        <v>-1.422224</v>
      </c>
      <c r="S130" s="53" t="n">
        <v>-0.667394</v>
      </c>
    </row>
    <row r="131" customFormat="false" ht="15" hidden="false" customHeight="false" outlineLevel="0" collapsed="false">
      <c r="A131" s="43" t="n">
        <v>128</v>
      </c>
      <c r="B131" s="44" t="str">
        <f aca="false">'Model Inputs &amp; Assumptions'!$B$28</f>
        <v>finanzen.net — Q1 Awareness Burst</v>
      </c>
      <c r="C131" s="45" t="n">
        <f aca="false">ROUND(MAX(0,'Model Inputs &amp; Assumptions'!$S$28*EXP('Model Inputs &amp; Assumptions'!$T$28*P131-'Model Inputs &amp; Assumptions'!$T$28^2/2)),0)</f>
        <v>509880</v>
      </c>
      <c r="D131" s="46" t="n">
        <f aca="false">MIN(1,'Model Inputs &amp; Assumptions'!$U$28*EXP('Model Inputs &amp; Assumptions'!$V$28*Q131-'Model Inputs &amp; Assumptions'!$V$28^2/2))</f>
        <v>0</v>
      </c>
      <c r="E131" s="45" t="n">
        <f aca="false">ROUND(C131*D131,0)</f>
        <v>0</v>
      </c>
      <c r="F131" s="47" t="n">
        <f aca="false">MIN(1,'Model Inputs &amp; Assumptions'!$W$28*EXP('Model Inputs &amp; Assumptions'!$X$28*R131-'Model Inputs &amp; Assumptions'!$X$28^2/2))</f>
        <v>0.00149951728768706</v>
      </c>
      <c r="G131" s="45" t="n">
        <f aca="false">ROUND(C131*F131,0)</f>
        <v>765</v>
      </c>
      <c r="H131" s="48" t="n">
        <f aca="false">MAX(0,(C131*'Model Inputs &amp; Assumptions'!$N$28+E131*'Model Inputs &amp; Assumptions'!$O$28+G131*'Model Inputs &amp; Assumptions'!$P$28)*EXP('Model Inputs &amp; Assumptions'!$Q$28*S131-'Model Inputs &amp; Assumptions'!$Q$28^2/2))</f>
        <v>15.9201823820025</v>
      </c>
      <c r="I131" s="49" t="n">
        <f aca="false">IF('Model Inputs &amp; Assumptions'!$H$28="Fixed",'Model Inputs &amp; Assumptions'!$I$28*'Model Inputs &amp; Assumptions'!$K$28,IF('Model Inputs &amp; Assumptions'!$H$28="CPM",'Model Inputs &amp; Assumptions'!$I$28*'Model Inputs &amp; Assumptions'!$K$28*C131/1000,IF('Model Inputs &amp; Assumptions'!$H$28="CPC",'Model Inputs &amp; Assumptions'!$I$28*'Model Inputs &amp; Assumptions'!$K$28*G131,0)))</f>
        <v>3314.22</v>
      </c>
      <c r="J131" s="50" t="n">
        <f aca="false">H131*INDEX('Model Inputs &amp; Assumptions'!$D$40:$D$42,MATCH('Model Inputs &amp; Assumptions'!$L$28,'Model Inputs &amp; Assumptions'!$A$40:$A$42,0))*INDEX('Model Inputs &amp; Assumptions'!$H$40:$H$42,MATCH('Model Inputs &amp; Assumptions'!$L$28,'Model Inputs &amp; Assumptions'!$A$40:$A$42,0))</f>
        <v>135321.550247022</v>
      </c>
      <c r="K131" s="49" t="n">
        <f aca="false">H131*INDEX('Model Inputs &amp; Assumptions'!$G$40:$G$42,MATCH('Model Inputs &amp; Assumptions'!$L$28,'Model Inputs &amp; Assumptions'!$A$40:$A$42,0))*INDEX('Model Inputs &amp; Assumptions'!$H$40:$H$42,MATCH('Model Inputs &amp; Assumptions'!$L$28,'Model Inputs &amp; Assumptions'!$A$40:$A$42,0))</f>
        <v>3044.73488055799</v>
      </c>
      <c r="L131" s="51" t="n">
        <f aca="false">IFERROR(K131/I131,0)</f>
        <v>0.918688222434837</v>
      </c>
      <c r="M131" s="49" t="n">
        <f aca="false">IFERROR(I131/H131,0)</f>
        <v>208.177263330014</v>
      </c>
      <c r="N131" s="52" t="str">
        <f aca="false">'Model Inputs &amp; Assumptions'!$L$28</f>
        <v>PRD-EUAI</v>
      </c>
      <c r="P131" s="53" t="n">
        <v>0.661933</v>
      </c>
      <c r="Q131" s="53" t="n">
        <v>-0.293481</v>
      </c>
      <c r="R131" s="53" t="n">
        <v>0.108537</v>
      </c>
      <c r="S131" s="53" t="n">
        <v>-1.069101</v>
      </c>
    </row>
    <row r="132" customFormat="false" ht="15" hidden="false" customHeight="false" outlineLevel="0" collapsed="false">
      <c r="A132" s="43" t="n">
        <v>129</v>
      </c>
      <c r="B132" s="44" t="str">
        <f aca="false">'Model Inputs &amp; Assumptions'!$B$28</f>
        <v>finanzen.net — Q1 Awareness Burst</v>
      </c>
      <c r="C132" s="45" t="n">
        <f aca="false">ROUND(MAX(0,'Model Inputs &amp; Assumptions'!$S$28*EXP('Model Inputs &amp; Assumptions'!$T$28*P132-'Model Inputs &amp; Assumptions'!$T$28^2/2)),0)</f>
        <v>495588</v>
      </c>
      <c r="D132" s="46" t="n">
        <f aca="false">MIN(1,'Model Inputs &amp; Assumptions'!$U$28*EXP('Model Inputs &amp; Assumptions'!$V$28*Q132-'Model Inputs &amp; Assumptions'!$V$28^2/2))</f>
        <v>0</v>
      </c>
      <c r="E132" s="45" t="n">
        <f aca="false">ROUND(C132*D132,0)</f>
        <v>0</v>
      </c>
      <c r="F132" s="47" t="n">
        <f aca="false">MIN(1,'Model Inputs &amp; Assumptions'!$W$28*EXP('Model Inputs &amp; Assumptions'!$X$28*R132-'Model Inputs &amp; Assumptions'!$X$28^2/2))</f>
        <v>0.00187793274499519</v>
      </c>
      <c r="G132" s="45" t="n">
        <f aca="false">ROUND(C132*F132,0)</f>
        <v>931</v>
      </c>
      <c r="H132" s="48" t="n">
        <f aca="false">MAX(0,(C132*'Model Inputs &amp; Assumptions'!$N$28+E132*'Model Inputs &amp; Assumptions'!$O$28+G132*'Model Inputs &amp; Assumptions'!$P$28)*EXP('Model Inputs &amp; Assumptions'!$Q$28*S132-'Model Inputs &amp; Assumptions'!$Q$28^2/2))</f>
        <v>28.1485707304901</v>
      </c>
      <c r="I132" s="49" t="n">
        <f aca="false">IF('Model Inputs &amp; Assumptions'!$H$28="Fixed",'Model Inputs &amp; Assumptions'!$I$28*'Model Inputs &amp; Assumptions'!$K$28,IF('Model Inputs &amp; Assumptions'!$H$28="CPM",'Model Inputs &amp; Assumptions'!$I$28*'Model Inputs &amp; Assumptions'!$K$28*C132/1000,IF('Model Inputs &amp; Assumptions'!$H$28="CPC",'Model Inputs &amp; Assumptions'!$I$28*'Model Inputs &amp; Assumptions'!$K$28*G132,0)))</f>
        <v>3221.322</v>
      </c>
      <c r="J132" s="50" t="n">
        <f aca="false">H132*INDEX('Model Inputs &amp; Assumptions'!$D$40:$D$42,MATCH('Model Inputs &amp; Assumptions'!$L$28,'Model Inputs &amp; Assumptions'!$A$40:$A$42,0))*INDEX('Model Inputs &amp; Assumptions'!$H$40:$H$42,MATCH('Model Inputs &amp; Assumptions'!$L$28,'Model Inputs &amp; Assumptions'!$A$40:$A$42,0))</f>
        <v>239262.851209166</v>
      </c>
      <c r="K132" s="49" t="n">
        <f aca="false">H132*INDEX('Model Inputs &amp; Assumptions'!$G$40:$G$42,MATCH('Model Inputs &amp; Assumptions'!$L$28,'Model Inputs &amp; Assumptions'!$A$40:$A$42,0))*INDEX('Model Inputs &amp; Assumptions'!$H$40:$H$42,MATCH('Model Inputs &amp; Assumptions'!$L$28,'Model Inputs &amp; Assumptions'!$A$40:$A$42,0))</f>
        <v>5383.41415220624</v>
      </c>
      <c r="L132" s="51" t="n">
        <f aca="false">IFERROR(K132/I132,0)</f>
        <v>1.67118163046297</v>
      </c>
      <c r="M132" s="49" t="n">
        <f aca="false">IFERROR(I132/H132,0)</f>
        <v>114.439984567696</v>
      </c>
      <c r="N132" s="52" t="str">
        <f aca="false">'Model Inputs &amp; Assumptions'!$L$28</f>
        <v>PRD-EUAI</v>
      </c>
      <c r="P132" s="53" t="n">
        <v>0.503995</v>
      </c>
      <c r="Q132" s="53" t="n">
        <v>0.624257</v>
      </c>
      <c r="R132" s="53" t="n">
        <v>1.131393</v>
      </c>
      <c r="S132" s="53" t="n">
        <v>0.175984</v>
      </c>
    </row>
    <row r="133" customFormat="false" ht="15" hidden="false" customHeight="false" outlineLevel="0" collapsed="false">
      <c r="A133" s="43" t="n">
        <v>130</v>
      </c>
      <c r="B133" s="44" t="str">
        <f aca="false">'Model Inputs &amp; Assumptions'!$B$28</f>
        <v>finanzen.net — Q1 Awareness Burst</v>
      </c>
      <c r="C133" s="45" t="n">
        <f aca="false">ROUND(MAX(0,'Model Inputs &amp; Assumptions'!$S$28*EXP('Model Inputs &amp; Assumptions'!$T$28*P133-'Model Inputs &amp; Assumptions'!$T$28^2/2)),0)</f>
        <v>480420</v>
      </c>
      <c r="D133" s="46" t="n">
        <f aca="false">MIN(1,'Model Inputs &amp; Assumptions'!$U$28*EXP('Model Inputs &amp; Assumptions'!$V$28*Q133-'Model Inputs &amp; Assumptions'!$V$28^2/2))</f>
        <v>0</v>
      </c>
      <c r="E133" s="45" t="n">
        <f aca="false">ROUND(C133*D133,0)</f>
        <v>0</v>
      </c>
      <c r="F133" s="47" t="n">
        <f aca="false">MIN(1,'Model Inputs &amp; Assumptions'!$W$28*EXP('Model Inputs &amp; Assumptions'!$X$28*R133-'Model Inputs &amp; Assumptions'!$X$28^2/2))</f>
        <v>0.00133710400925982</v>
      </c>
      <c r="G133" s="45" t="n">
        <f aca="false">ROUND(C133*F133,0)</f>
        <v>642</v>
      </c>
      <c r="H133" s="48" t="n">
        <f aca="false">MAX(0,(C133*'Model Inputs &amp; Assumptions'!$N$28+E133*'Model Inputs &amp; Assumptions'!$O$28+G133*'Model Inputs &amp; Assumptions'!$P$28)*EXP('Model Inputs &amp; Assumptions'!$Q$28*S133-'Model Inputs &amp; Assumptions'!$Q$28^2/2))</f>
        <v>26.6948404823106</v>
      </c>
      <c r="I133" s="49" t="n">
        <f aca="false">IF('Model Inputs &amp; Assumptions'!$H$28="Fixed",'Model Inputs &amp; Assumptions'!$I$28*'Model Inputs &amp; Assumptions'!$K$28,IF('Model Inputs &amp; Assumptions'!$H$28="CPM",'Model Inputs &amp; Assumptions'!$I$28*'Model Inputs &amp; Assumptions'!$K$28*C133/1000,IF('Model Inputs &amp; Assumptions'!$H$28="CPC",'Model Inputs &amp; Assumptions'!$I$28*'Model Inputs &amp; Assumptions'!$K$28*G133,0)))</f>
        <v>3122.73</v>
      </c>
      <c r="J133" s="50" t="n">
        <f aca="false">H133*INDEX('Model Inputs &amp; Assumptions'!$D$40:$D$42,MATCH('Model Inputs &amp; Assumptions'!$L$28,'Model Inputs &amp; Assumptions'!$A$40:$A$42,0))*INDEX('Model Inputs &amp; Assumptions'!$H$40:$H$42,MATCH('Model Inputs &amp; Assumptions'!$L$28,'Model Inputs &amp; Assumptions'!$A$40:$A$42,0))</f>
        <v>226906.14409964</v>
      </c>
      <c r="K133" s="49" t="n">
        <f aca="false">H133*INDEX('Model Inputs &amp; Assumptions'!$G$40:$G$42,MATCH('Model Inputs &amp; Assumptions'!$L$28,'Model Inputs &amp; Assumptions'!$A$40:$A$42,0))*INDEX('Model Inputs &amp; Assumptions'!$H$40:$H$42,MATCH('Model Inputs &amp; Assumptions'!$L$28,'Model Inputs &amp; Assumptions'!$A$40:$A$42,0))</f>
        <v>5105.3882422419</v>
      </c>
      <c r="L133" s="51" t="n">
        <f aca="false">IFERROR(K133/I133,0)</f>
        <v>1.63491183747615</v>
      </c>
      <c r="M133" s="49" t="n">
        <f aca="false">IFERROR(I133/H133,0)</f>
        <v>116.978784798107</v>
      </c>
      <c r="N133" s="52" t="str">
        <f aca="false">'Model Inputs &amp; Assumptions'!$L$28</f>
        <v>PRD-EUAI</v>
      </c>
      <c r="P133" s="53" t="n">
        <v>0.331303</v>
      </c>
      <c r="Q133" s="53" t="n">
        <v>-0.118771</v>
      </c>
      <c r="R133" s="53" t="n">
        <v>-0.412541</v>
      </c>
      <c r="S133" s="53" t="n">
        <v>1.238133</v>
      </c>
    </row>
    <row r="134" customFormat="false" ht="15" hidden="false" customHeight="false" outlineLevel="0" collapsed="false">
      <c r="A134" s="43" t="n">
        <v>131</v>
      </c>
      <c r="B134" s="44" t="str">
        <f aca="false">'Model Inputs &amp; Assumptions'!$B$28</f>
        <v>finanzen.net — Q1 Awareness Burst</v>
      </c>
      <c r="C134" s="45" t="n">
        <f aca="false">ROUND(MAX(0,'Model Inputs &amp; Assumptions'!$S$28*EXP('Model Inputs &amp; Assumptions'!$T$28*P134-'Model Inputs &amp; Assumptions'!$T$28^2/2)),0)</f>
        <v>467932</v>
      </c>
      <c r="D134" s="46" t="n">
        <f aca="false">MIN(1,'Model Inputs &amp; Assumptions'!$U$28*EXP('Model Inputs &amp; Assumptions'!$V$28*Q134-'Model Inputs &amp; Assumptions'!$V$28^2/2))</f>
        <v>0</v>
      </c>
      <c r="E134" s="45" t="n">
        <f aca="false">ROUND(C134*D134,0)</f>
        <v>0</v>
      </c>
      <c r="F134" s="47" t="n">
        <f aca="false">MIN(1,'Model Inputs &amp; Assumptions'!$W$28*EXP('Model Inputs &amp; Assumptions'!$X$28*R134-'Model Inputs &amp; Assumptions'!$X$28^2/2))</f>
        <v>0.00163568760279178</v>
      </c>
      <c r="G134" s="45" t="n">
        <f aca="false">ROUND(C134*F134,0)</f>
        <v>765</v>
      </c>
      <c r="H134" s="48" t="n">
        <f aca="false">MAX(0,(C134*'Model Inputs &amp; Assumptions'!$N$28+E134*'Model Inputs &amp; Assumptions'!$O$28+G134*'Model Inputs &amp; Assumptions'!$P$28)*EXP('Model Inputs &amp; Assumptions'!$Q$28*S134-'Model Inputs &amp; Assumptions'!$Q$28^2/2))</f>
        <v>27.528472605074</v>
      </c>
      <c r="I134" s="49" t="n">
        <f aca="false">IF('Model Inputs &amp; Assumptions'!$H$28="Fixed",'Model Inputs &amp; Assumptions'!$I$28*'Model Inputs &amp; Assumptions'!$K$28,IF('Model Inputs &amp; Assumptions'!$H$28="CPM",'Model Inputs &amp; Assumptions'!$I$28*'Model Inputs &amp; Assumptions'!$K$28*C134/1000,IF('Model Inputs &amp; Assumptions'!$H$28="CPC",'Model Inputs &amp; Assumptions'!$I$28*'Model Inputs &amp; Assumptions'!$K$28*G134,0)))</f>
        <v>3041.558</v>
      </c>
      <c r="J134" s="50" t="n">
        <f aca="false">H134*INDEX('Model Inputs &amp; Assumptions'!$D$40:$D$42,MATCH('Model Inputs &amp; Assumptions'!$L$28,'Model Inputs &amp; Assumptions'!$A$40:$A$42,0))*INDEX('Model Inputs &amp; Assumptions'!$H$40:$H$42,MATCH('Model Inputs &amp; Assumptions'!$L$28,'Model Inputs &amp; Assumptions'!$A$40:$A$42,0))</f>
        <v>233992.017143129</v>
      </c>
      <c r="K134" s="49" t="n">
        <f aca="false">H134*INDEX('Model Inputs &amp; Assumptions'!$G$40:$G$42,MATCH('Model Inputs &amp; Assumptions'!$L$28,'Model Inputs &amp; Assumptions'!$A$40:$A$42,0))*INDEX('Model Inputs &amp; Assumptions'!$H$40:$H$42,MATCH('Model Inputs &amp; Assumptions'!$L$28,'Model Inputs &amp; Assumptions'!$A$40:$A$42,0))</f>
        <v>5264.82038572039</v>
      </c>
      <c r="L134" s="51" t="n">
        <f aca="false">IFERROR(K134/I134,0)</f>
        <v>1.73096169322446</v>
      </c>
      <c r="M134" s="49" t="n">
        <f aca="false">IFERROR(I134/H134,0)</f>
        <v>110.487713707712</v>
      </c>
      <c r="N134" s="52" t="str">
        <f aca="false">'Model Inputs &amp; Assumptions'!$L$28</f>
        <v>PRD-EUAI</v>
      </c>
      <c r="P134" s="53" t="n">
        <v>0.184984</v>
      </c>
      <c r="Q134" s="53" t="n">
        <v>0.647682</v>
      </c>
      <c r="R134" s="53" t="n">
        <v>0.503628</v>
      </c>
      <c r="S134" s="53" t="n">
        <v>0.756343</v>
      </c>
    </row>
    <row r="135" customFormat="false" ht="15" hidden="false" customHeight="false" outlineLevel="0" collapsed="false">
      <c r="A135" s="43" t="n">
        <v>132</v>
      </c>
      <c r="B135" s="44" t="str">
        <f aca="false">'Model Inputs &amp; Assumptions'!$B$28</f>
        <v>finanzen.net — Q1 Awareness Burst</v>
      </c>
      <c r="C135" s="45" t="n">
        <f aca="false">ROUND(MAX(0,'Model Inputs &amp; Assumptions'!$S$28*EXP('Model Inputs &amp; Assumptions'!$T$28*P135-'Model Inputs &amp; Assumptions'!$T$28^2/2)),0)</f>
        <v>404518</v>
      </c>
      <c r="D135" s="46" t="n">
        <f aca="false">MIN(1,'Model Inputs &amp; Assumptions'!$U$28*EXP('Model Inputs &amp; Assumptions'!$V$28*Q135-'Model Inputs &amp; Assumptions'!$V$28^2/2))</f>
        <v>0</v>
      </c>
      <c r="E135" s="45" t="n">
        <f aca="false">ROUND(C135*D135,0)</f>
        <v>0</v>
      </c>
      <c r="F135" s="47" t="n">
        <f aca="false">MIN(1,'Model Inputs &amp; Assumptions'!$W$28*EXP('Model Inputs &amp; Assumptions'!$X$28*R135-'Model Inputs &amp; Assumptions'!$X$28^2/2))</f>
        <v>0.00120887371019534</v>
      </c>
      <c r="G135" s="45" t="n">
        <f aca="false">ROUND(C135*F135,0)</f>
        <v>489</v>
      </c>
      <c r="H135" s="48" t="n">
        <f aca="false">MAX(0,(C135*'Model Inputs &amp; Assumptions'!$N$28+E135*'Model Inputs &amp; Assumptions'!$O$28+G135*'Model Inputs &amp; Assumptions'!$P$28)*EXP('Model Inputs &amp; Assumptions'!$Q$28*S135-'Model Inputs &amp; Assumptions'!$Q$28^2/2))</f>
        <v>8.7267628380412</v>
      </c>
      <c r="I135" s="49" t="n">
        <f aca="false">IF('Model Inputs &amp; Assumptions'!$H$28="Fixed",'Model Inputs &amp; Assumptions'!$I$28*'Model Inputs &amp; Assumptions'!$K$28,IF('Model Inputs &amp; Assumptions'!$H$28="CPM",'Model Inputs &amp; Assumptions'!$I$28*'Model Inputs &amp; Assumptions'!$K$28*C135/1000,IF('Model Inputs &amp; Assumptions'!$H$28="CPC",'Model Inputs &amp; Assumptions'!$I$28*'Model Inputs &amp; Assumptions'!$K$28*G135,0)))</f>
        <v>2629.367</v>
      </c>
      <c r="J135" s="50" t="n">
        <f aca="false">H135*INDEX('Model Inputs &amp; Assumptions'!$D$40:$D$42,MATCH('Model Inputs &amp; Assumptions'!$L$28,'Model Inputs &amp; Assumptions'!$A$40:$A$42,0))*INDEX('Model Inputs &amp; Assumptions'!$H$40:$H$42,MATCH('Model Inputs &amp; Assumptions'!$L$28,'Model Inputs &amp; Assumptions'!$A$40:$A$42,0))</f>
        <v>74177.4841233502</v>
      </c>
      <c r="K135" s="49" t="n">
        <f aca="false">H135*INDEX('Model Inputs &amp; Assumptions'!$G$40:$G$42,MATCH('Model Inputs &amp; Assumptions'!$L$28,'Model Inputs &amp; Assumptions'!$A$40:$A$42,0))*INDEX('Model Inputs &amp; Assumptions'!$H$40:$H$42,MATCH('Model Inputs &amp; Assumptions'!$L$28,'Model Inputs &amp; Assumptions'!$A$40:$A$42,0))</f>
        <v>1668.99339277538</v>
      </c>
      <c r="L135" s="51" t="n">
        <f aca="false">IFERROR(K135/I135,0)</f>
        <v>0.634751022879415</v>
      </c>
      <c r="M135" s="49" t="n">
        <f aca="false">IFERROR(I135/H135,0)</f>
        <v>301.299238766776</v>
      </c>
      <c r="N135" s="52" t="str">
        <f aca="false">'Model Inputs &amp; Assumptions'!$L$28</f>
        <v>PRD-EUAI</v>
      </c>
      <c r="P135" s="53" t="n">
        <v>-0.624062</v>
      </c>
      <c r="Q135" s="53" t="n">
        <v>-0.766956</v>
      </c>
      <c r="R135" s="53" t="n">
        <v>-0.8708</v>
      </c>
      <c r="S135" s="53" t="n">
        <v>-1.581367</v>
      </c>
    </row>
    <row r="136" customFormat="false" ht="15" hidden="false" customHeight="false" outlineLevel="0" collapsed="false">
      <c r="A136" s="43" t="n">
        <v>133</v>
      </c>
      <c r="B136" s="44" t="str">
        <f aca="false">'Model Inputs &amp; Assumptions'!$B$28</f>
        <v>finanzen.net — Q1 Awareness Burst</v>
      </c>
      <c r="C136" s="45" t="n">
        <f aca="false">ROUND(MAX(0,'Model Inputs &amp; Assumptions'!$S$28*EXP('Model Inputs &amp; Assumptions'!$T$28*P136-'Model Inputs &amp; Assumptions'!$T$28^2/2)),0)</f>
        <v>411773</v>
      </c>
      <c r="D136" s="46" t="n">
        <f aca="false">MIN(1,'Model Inputs &amp; Assumptions'!$U$28*EXP('Model Inputs &amp; Assumptions'!$V$28*Q136-'Model Inputs &amp; Assumptions'!$V$28^2/2))</f>
        <v>0</v>
      </c>
      <c r="E136" s="45" t="n">
        <f aca="false">ROUND(C136*D136,0)</f>
        <v>0</v>
      </c>
      <c r="F136" s="47" t="n">
        <f aca="false">MIN(1,'Model Inputs &amp; Assumptions'!$W$28*EXP('Model Inputs &amp; Assumptions'!$X$28*R136-'Model Inputs &amp; Assumptions'!$X$28^2/2))</f>
        <v>0.00126525872645443</v>
      </c>
      <c r="G136" s="45" t="n">
        <f aca="false">ROUND(C136*F136,0)</f>
        <v>521</v>
      </c>
      <c r="H136" s="48" t="n">
        <f aca="false">MAX(0,(C136*'Model Inputs &amp; Assumptions'!$N$28+E136*'Model Inputs &amp; Assumptions'!$O$28+G136*'Model Inputs &amp; Assumptions'!$P$28)*EXP('Model Inputs &amp; Assumptions'!$Q$28*S136-'Model Inputs &amp; Assumptions'!$Q$28^2/2))</f>
        <v>9.66864856658609</v>
      </c>
      <c r="I136" s="49" t="n">
        <f aca="false">IF('Model Inputs &amp; Assumptions'!$H$28="Fixed",'Model Inputs &amp; Assumptions'!$I$28*'Model Inputs &amp; Assumptions'!$K$28,IF('Model Inputs &amp; Assumptions'!$H$28="CPM",'Model Inputs &amp; Assumptions'!$I$28*'Model Inputs &amp; Assumptions'!$K$28*C136/1000,IF('Model Inputs &amp; Assumptions'!$H$28="CPC",'Model Inputs &amp; Assumptions'!$I$28*'Model Inputs &amp; Assumptions'!$K$28*G136,0)))</f>
        <v>2676.5245</v>
      </c>
      <c r="J136" s="50" t="n">
        <f aca="false">H136*INDEX('Model Inputs &amp; Assumptions'!$D$40:$D$42,MATCH('Model Inputs &amp; Assumptions'!$L$28,'Model Inputs &amp; Assumptions'!$A$40:$A$42,0))*INDEX('Model Inputs &amp; Assumptions'!$H$40:$H$42,MATCH('Model Inputs &amp; Assumptions'!$L$28,'Model Inputs &amp; Assumptions'!$A$40:$A$42,0))</f>
        <v>82183.5128159818</v>
      </c>
      <c r="K136" s="49" t="n">
        <f aca="false">H136*INDEX('Model Inputs &amp; Assumptions'!$G$40:$G$42,MATCH('Model Inputs &amp; Assumptions'!$L$28,'Model Inputs &amp; Assumptions'!$A$40:$A$42,0))*INDEX('Model Inputs &amp; Assumptions'!$H$40:$H$42,MATCH('Model Inputs &amp; Assumptions'!$L$28,'Model Inputs &amp; Assumptions'!$A$40:$A$42,0))</f>
        <v>1849.12903835959</v>
      </c>
      <c r="L136" s="51" t="n">
        <f aca="false">IFERROR(K136/I136,0)</f>
        <v>0.690869460884662</v>
      </c>
      <c r="M136" s="49" t="n">
        <f aca="false">IFERROR(I136/H136,0)</f>
        <v>276.825089004663</v>
      </c>
      <c r="N136" s="52" t="str">
        <f aca="false">'Model Inputs &amp; Assumptions'!$L$28</f>
        <v>PRD-EUAI</v>
      </c>
      <c r="P136" s="53" t="n">
        <v>-0.525305</v>
      </c>
      <c r="Q136" s="53" t="n">
        <v>1.126853</v>
      </c>
      <c r="R136" s="53" t="n">
        <v>-0.663584</v>
      </c>
      <c r="S136" s="53" t="n">
        <v>-1.451012</v>
      </c>
    </row>
    <row r="137" customFormat="false" ht="15" hidden="false" customHeight="false" outlineLevel="0" collapsed="false">
      <c r="A137" s="43" t="n">
        <v>134</v>
      </c>
      <c r="B137" s="44" t="str">
        <f aca="false">'Model Inputs &amp; Assumptions'!$B$28</f>
        <v>finanzen.net — Q1 Awareness Burst</v>
      </c>
      <c r="C137" s="45" t="n">
        <f aca="false">ROUND(MAX(0,'Model Inputs &amp; Assumptions'!$S$28*EXP('Model Inputs &amp; Assumptions'!$T$28*P137-'Model Inputs &amp; Assumptions'!$T$28^2/2)),0)</f>
        <v>476058</v>
      </c>
      <c r="D137" s="46" t="n">
        <f aca="false">MIN(1,'Model Inputs &amp; Assumptions'!$U$28*EXP('Model Inputs &amp; Assumptions'!$V$28*Q137-'Model Inputs &amp; Assumptions'!$V$28^2/2))</f>
        <v>0</v>
      </c>
      <c r="E137" s="45" t="n">
        <f aca="false">ROUND(C137*D137,0)</f>
        <v>0</v>
      </c>
      <c r="F137" s="47" t="n">
        <f aca="false">MIN(1,'Model Inputs &amp; Assumptions'!$W$28*EXP('Model Inputs &amp; Assumptions'!$X$28*R137-'Model Inputs &amp; Assumptions'!$X$28^2/2))</f>
        <v>0.00160164365785562</v>
      </c>
      <c r="G137" s="45" t="n">
        <f aca="false">ROUND(C137*F137,0)</f>
        <v>762</v>
      </c>
      <c r="H137" s="48" t="n">
        <f aca="false">MAX(0,(C137*'Model Inputs &amp; Assumptions'!$N$28+E137*'Model Inputs &amp; Assumptions'!$O$28+G137*'Model Inputs &amp; Assumptions'!$P$28)*EXP('Model Inputs &amp; Assumptions'!$Q$28*S137-'Model Inputs &amp; Assumptions'!$Q$28^2/2))</f>
        <v>12.6799975826544</v>
      </c>
      <c r="I137" s="49" t="n">
        <f aca="false">IF('Model Inputs &amp; Assumptions'!$H$28="Fixed",'Model Inputs &amp; Assumptions'!$I$28*'Model Inputs &amp; Assumptions'!$K$28,IF('Model Inputs &amp; Assumptions'!$H$28="CPM",'Model Inputs &amp; Assumptions'!$I$28*'Model Inputs &amp; Assumptions'!$K$28*C137/1000,IF('Model Inputs &amp; Assumptions'!$H$28="CPC",'Model Inputs &amp; Assumptions'!$I$28*'Model Inputs &amp; Assumptions'!$K$28*G137,0)))</f>
        <v>3094.377</v>
      </c>
      <c r="J137" s="50" t="n">
        <f aca="false">H137*INDEX('Model Inputs &amp; Assumptions'!$D$40:$D$42,MATCH('Model Inputs &amp; Assumptions'!$L$28,'Model Inputs &amp; Assumptions'!$A$40:$A$42,0))*INDEX('Model Inputs &amp; Assumptions'!$H$40:$H$42,MATCH('Model Inputs &amp; Assumptions'!$L$28,'Model Inputs &amp; Assumptions'!$A$40:$A$42,0))</f>
        <v>107779.979452562</v>
      </c>
      <c r="K137" s="49" t="n">
        <f aca="false">H137*INDEX('Model Inputs &amp; Assumptions'!$G$40:$G$42,MATCH('Model Inputs &amp; Assumptions'!$L$28,'Model Inputs &amp; Assumptions'!$A$40:$A$42,0))*INDEX('Model Inputs &amp; Assumptions'!$H$40:$H$42,MATCH('Model Inputs &amp; Assumptions'!$L$28,'Model Inputs &amp; Assumptions'!$A$40:$A$42,0))</f>
        <v>2425.04953768266</v>
      </c>
      <c r="L137" s="51" t="n">
        <f aca="false">IFERROR(K137/I137,0)</f>
        <v>0.78369556705038</v>
      </c>
      <c r="M137" s="49" t="n">
        <f aca="false">IFERROR(I137/H137,0)</f>
        <v>244.036087533088</v>
      </c>
      <c r="N137" s="52" t="str">
        <f aca="false">'Model Inputs &amp; Assumptions'!$L$28</f>
        <v>PRD-EUAI</v>
      </c>
      <c r="P137" s="53" t="n">
        <v>0.280631</v>
      </c>
      <c r="Q137" s="53" t="n">
        <v>-1.66445</v>
      </c>
      <c r="R137" s="53" t="n">
        <v>0.408024</v>
      </c>
      <c r="S137" s="53" t="n">
        <v>-1.814543</v>
      </c>
    </row>
    <row r="138" customFormat="false" ht="15" hidden="false" customHeight="false" outlineLevel="0" collapsed="false">
      <c r="A138" s="43" t="n">
        <v>135</v>
      </c>
      <c r="B138" s="44" t="str">
        <f aca="false">'Model Inputs &amp; Assumptions'!$B$28</f>
        <v>finanzen.net — Q1 Awareness Burst</v>
      </c>
      <c r="C138" s="45" t="n">
        <f aca="false">ROUND(MAX(0,'Model Inputs &amp; Assumptions'!$S$28*EXP('Model Inputs &amp; Assumptions'!$T$28*P138-'Model Inputs &amp; Assumptions'!$T$28^2/2)),0)</f>
        <v>433888</v>
      </c>
      <c r="D138" s="46" t="n">
        <f aca="false">MIN(1,'Model Inputs &amp; Assumptions'!$U$28*EXP('Model Inputs &amp; Assumptions'!$V$28*Q138-'Model Inputs &amp; Assumptions'!$V$28^2/2))</f>
        <v>0</v>
      </c>
      <c r="E138" s="45" t="n">
        <f aca="false">ROUND(C138*D138,0)</f>
        <v>0</v>
      </c>
      <c r="F138" s="47" t="n">
        <f aca="false">MIN(1,'Model Inputs &amp; Assumptions'!$W$28*EXP('Model Inputs &amp; Assumptions'!$X$28*R138-'Model Inputs &amp; Assumptions'!$X$28^2/2))</f>
        <v>0.00147036596870467</v>
      </c>
      <c r="G138" s="45" t="n">
        <f aca="false">ROUND(C138*F138,0)</f>
        <v>638</v>
      </c>
      <c r="H138" s="48" t="n">
        <f aca="false">MAX(0,(C138*'Model Inputs &amp; Assumptions'!$N$28+E138*'Model Inputs &amp; Assumptions'!$O$28+G138*'Model Inputs &amp; Assumptions'!$P$28)*EXP('Model Inputs &amp; Assumptions'!$Q$28*S138-'Model Inputs &amp; Assumptions'!$Q$28^2/2))</f>
        <v>19.7352580745062</v>
      </c>
      <c r="I138" s="49" t="n">
        <f aca="false">IF('Model Inputs &amp; Assumptions'!$H$28="Fixed",'Model Inputs &amp; Assumptions'!$I$28*'Model Inputs &amp; Assumptions'!$K$28,IF('Model Inputs &amp; Assumptions'!$H$28="CPM",'Model Inputs &amp; Assumptions'!$I$28*'Model Inputs &amp; Assumptions'!$K$28*C138/1000,IF('Model Inputs &amp; Assumptions'!$H$28="CPC",'Model Inputs &amp; Assumptions'!$I$28*'Model Inputs &amp; Assumptions'!$K$28*G138,0)))</f>
        <v>2820.272</v>
      </c>
      <c r="J138" s="50" t="n">
        <f aca="false">H138*INDEX('Model Inputs &amp; Assumptions'!$D$40:$D$42,MATCH('Model Inputs &amp; Assumptions'!$L$28,'Model Inputs &amp; Assumptions'!$A$40:$A$42,0))*INDEX('Model Inputs &amp; Assumptions'!$H$40:$H$42,MATCH('Model Inputs &amp; Assumptions'!$L$28,'Model Inputs &amp; Assumptions'!$A$40:$A$42,0))</f>
        <v>167749.693633303</v>
      </c>
      <c r="K138" s="49" t="n">
        <f aca="false">H138*INDEX('Model Inputs &amp; Assumptions'!$G$40:$G$42,MATCH('Model Inputs &amp; Assumptions'!$L$28,'Model Inputs &amp; Assumptions'!$A$40:$A$42,0))*INDEX('Model Inputs &amp; Assumptions'!$H$40:$H$42,MATCH('Model Inputs &amp; Assumptions'!$L$28,'Model Inputs &amp; Assumptions'!$A$40:$A$42,0))</f>
        <v>3774.36810674931</v>
      </c>
      <c r="L138" s="51" t="n">
        <f aca="false">IFERROR(K138/I138,0)</f>
        <v>1.33829932245873</v>
      </c>
      <c r="M138" s="49" t="n">
        <f aca="false">IFERROR(I138/H138,0)</f>
        <v>142.905250559819</v>
      </c>
      <c r="N138" s="52" t="str">
        <f aca="false">'Model Inputs &amp; Assumptions'!$L$28</f>
        <v>PRD-EUAI</v>
      </c>
      <c r="P138" s="53" t="n">
        <v>-0.234669</v>
      </c>
      <c r="Q138" s="53" t="n">
        <v>-0.402214</v>
      </c>
      <c r="R138" s="53" t="n">
        <v>0.019301</v>
      </c>
      <c r="S138" s="53" t="n">
        <v>0.252088</v>
      </c>
    </row>
    <row r="139" customFormat="false" ht="15" hidden="false" customHeight="false" outlineLevel="0" collapsed="false">
      <c r="A139" s="43" t="n">
        <v>136</v>
      </c>
      <c r="B139" s="44" t="str">
        <f aca="false">'Model Inputs &amp; Assumptions'!$B$28</f>
        <v>finanzen.net — Q1 Awareness Burst</v>
      </c>
      <c r="C139" s="45" t="n">
        <f aca="false">ROUND(MAX(0,'Model Inputs &amp; Assumptions'!$S$28*EXP('Model Inputs &amp; Assumptions'!$T$28*P139-'Model Inputs &amp; Assumptions'!$T$28^2/2)),0)</f>
        <v>596365</v>
      </c>
      <c r="D139" s="46" t="n">
        <f aca="false">MIN(1,'Model Inputs &amp; Assumptions'!$U$28*EXP('Model Inputs &amp; Assumptions'!$V$28*Q139-'Model Inputs &amp; Assumptions'!$V$28^2/2))</f>
        <v>0</v>
      </c>
      <c r="E139" s="45" t="n">
        <f aca="false">ROUND(C139*D139,0)</f>
        <v>0</v>
      </c>
      <c r="F139" s="47" t="n">
        <f aca="false">MIN(1,'Model Inputs &amp; Assumptions'!$W$28*EXP('Model Inputs &amp; Assumptions'!$X$28*R139-'Model Inputs &amp; Assumptions'!$X$28^2/2))</f>
        <v>0.00160693993363654</v>
      </c>
      <c r="G139" s="45" t="n">
        <f aca="false">ROUND(C139*F139,0)</f>
        <v>958</v>
      </c>
      <c r="H139" s="48" t="n">
        <f aca="false">MAX(0,(C139*'Model Inputs &amp; Assumptions'!$N$28+E139*'Model Inputs &amp; Assumptions'!$O$28+G139*'Model Inputs &amp; Assumptions'!$P$28)*EXP('Model Inputs &amp; Assumptions'!$Q$28*S139-'Model Inputs &amp; Assumptions'!$Q$28^2/2))</f>
        <v>34.7327859403038</v>
      </c>
      <c r="I139" s="49" t="n">
        <f aca="false">IF('Model Inputs &amp; Assumptions'!$H$28="Fixed",'Model Inputs &amp; Assumptions'!$I$28*'Model Inputs &amp; Assumptions'!$K$28,IF('Model Inputs &amp; Assumptions'!$H$28="CPM",'Model Inputs &amp; Assumptions'!$I$28*'Model Inputs &amp; Assumptions'!$K$28*C139/1000,IF('Model Inputs &amp; Assumptions'!$H$28="CPC",'Model Inputs &amp; Assumptions'!$I$28*'Model Inputs &amp; Assumptions'!$K$28*G139,0)))</f>
        <v>3876.3725</v>
      </c>
      <c r="J139" s="50" t="n">
        <f aca="false">H139*INDEX('Model Inputs &amp; Assumptions'!$D$40:$D$42,MATCH('Model Inputs &amp; Assumptions'!$L$28,'Model Inputs &amp; Assumptions'!$A$40:$A$42,0))*INDEX('Model Inputs &amp; Assumptions'!$H$40:$H$42,MATCH('Model Inputs &amp; Assumptions'!$L$28,'Model Inputs &amp; Assumptions'!$A$40:$A$42,0))</f>
        <v>295228.680492582</v>
      </c>
      <c r="K139" s="49" t="n">
        <f aca="false">H139*INDEX('Model Inputs &amp; Assumptions'!$G$40:$G$42,MATCH('Model Inputs &amp; Assumptions'!$L$28,'Model Inputs &amp; Assumptions'!$A$40:$A$42,0))*INDEX('Model Inputs &amp; Assumptions'!$H$40:$H$42,MATCH('Model Inputs &amp; Assumptions'!$L$28,'Model Inputs &amp; Assumptions'!$A$40:$A$42,0))</f>
        <v>6642.6453110831</v>
      </c>
      <c r="L139" s="51" t="n">
        <f aca="false">IFERROR(K139/I139,0)</f>
        <v>1.7136240934232</v>
      </c>
      <c r="M139" s="49" t="n">
        <f aca="false">IFERROR(I139/H139,0)</f>
        <v>111.605573669283</v>
      </c>
      <c r="N139" s="52" t="str">
        <f aca="false">'Model Inputs &amp; Assumptions'!$L$28</f>
        <v>PRD-EUAI</v>
      </c>
      <c r="P139" s="53" t="n">
        <v>1.532368</v>
      </c>
      <c r="Q139" s="53" t="n">
        <v>-1.487172</v>
      </c>
      <c r="R139" s="53" t="n">
        <v>0.42303</v>
      </c>
      <c r="S139" s="53" t="n">
        <v>0.781314</v>
      </c>
    </row>
    <row r="140" customFormat="false" ht="15" hidden="false" customHeight="false" outlineLevel="0" collapsed="false">
      <c r="A140" s="43" t="n">
        <v>137</v>
      </c>
      <c r="B140" s="44" t="str">
        <f aca="false">'Model Inputs &amp; Assumptions'!$B$28</f>
        <v>finanzen.net — Q1 Awareness Burst</v>
      </c>
      <c r="C140" s="45" t="n">
        <f aca="false">ROUND(MAX(0,'Model Inputs &amp; Assumptions'!$S$28*EXP('Model Inputs &amp; Assumptions'!$T$28*P140-'Model Inputs &amp; Assumptions'!$T$28^2/2)),0)</f>
        <v>496640</v>
      </c>
      <c r="D140" s="46" t="n">
        <f aca="false">MIN(1,'Model Inputs &amp; Assumptions'!$U$28*EXP('Model Inputs &amp; Assumptions'!$V$28*Q140-'Model Inputs &amp; Assumptions'!$V$28^2/2))</f>
        <v>0</v>
      </c>
      <c r="E140" s="45" t="n">
        <f aca="false">ROUND(C140*D140,0)</f>
        <v>0</v>
      </c>
      <c r="F140" s="47" t="n">
        <f aca="false">MIN(1,'Model Inputs &amp; Assumptions'!$W$28*EXP('Model Inputs &amp; Assumptions'!$X$28*R140-'Model Inputs &amp; Assumptions'!$X$28^2/2))</f>
        <v>0.00175106180229323</v>
      </c>
      <c r="G140" s="45" t="n">
        <f aca="false">ROUND(C140*F140,0)</f>
        <v>870</v>
      </c>
      <c r="H140" s="48" t="n">
        <f aca="false">MAX(0,(C140*'Model Inputs &amp; Assumptions'!$N$28+E140*'Model Inputs &amp; Assumptions'!$O$28+G140*'Model Inputs &amp; Assumptions'!$P$28)*EXP('Model Inputs &amp; Assumptions'!$Q$28*S140-'Model Inputs &amp; Assumptions'!$Q$28^2/2))</f>
        <v>32.5274586553994</v>
      </c>
      <c r="I140" s="49" t="n">
        <f aca="false">IF('Model Inputs &amp; Assumptions'!$H$28="Fixed",'Model Inputs &amp; Assumptions'!$I$28*'Model Inputs &amp; Assumptions'!$K$28,IF('Model Inputs &amp; Assumptions'!$H$28="CPM",'Model Inputs &amp; Assumptions'!$I$28*'Model Inputs &amp; Assumptions'!$K$28*C140/1000,IF('Model Inputs &amp; Assumptions'!$H$28="CPC",'Model Inputs &amp; Assumptions'!$I$28*'Model Inputs &amp; Assumptions'!$K$28*G140,0)))</f>
        <v>3228.16</v>
      </c>
      <c r="J140" s="50" t="n">
        <f aca="false">H140*INDEX('Model Inputs &amp; Assumptions'!$D$40:$D$42,MATCH('Model Inputs &amp; Assumptions'!$L$28,'Model Inputs &amp; Assumptions'!$A$40:$A$42,0))*INDEX('Model Inputs &amp; Assumptions'!$H$40:$H$42,MATCH('Model Inputs &amp; Assumptions'!$L$28,'Model Inputs &amp; Assumptions'!$A$40:$A$42,0))</f>
        <v>276483.398570895</v>
      </c>
      <c r="K140" s="49" t="n">
        <f aca="false">H140*INDEX('Model Inputs &amp; Assumptions'!$G$40:$G$42,MATCH('Model Inputs &amp; Assumptions'!$L$28,'Model Inputs &amp; Assumptions'!$A$40:$A$42,0))*INDEX('Model Inputs &amp; Assumptions'!$H$40:$H$42,MATCH('Model Inputs &amp; Assumptions'!$L$28,'Model Inputs &amp; Assumptions'!$A$40:$A$42,0))</f>
        <v>6220.87646784514</v>
      </c>
      <c r="L140" s="51" t="n">
        <f aca="false">IFERROR(K140/I140,0)</f>
        <v>1.92706571788423</v>
      </c>
      <c r="M140" s="49" t="n">
        <f aca="false">IFERROR(I140/H140,0)</f>
        <v>99.2441504330108</v>
      </c>
      <c r="N140" s="52" t="str">
        <f aca="false">'Model Inputs &amp; Assumptions'!$L$28</f>
        <v>PRD-EUAI</v>
      </c>
      <c r="P140" s="53" t="n">
        <v>0.515774</v>
      </c>
      <c r="Q140" s="53" t="n">
        <v>-0.269144</v>
      </c>
      <c r="R140" s="53" t="n">
        <v>0.813442</v>
      </c>
      <c r="S140" s="53" t="n">
        <v>0.883831</v>
      </c>
    </row>
    <row r="141" customFormat="false" ht="15" hidden="false" customHeight="false" outlineLevel="0" collapsed="false">
      <c r="A141" s="43" t="n">
        <v>138</v>
      </c>
      <c r="B141" s="44" t="str">
        <f aca="false">'Model Inputs &amp; Assumptions'!$B$28</f>
        <v>finanzen.net — Q1 Awareness Burst</v>
      </c>
      <c r="C141" s="45" t="n">
        <f aca="false">ROUND(MAX(0,'Model Inputs &amp; Assumptions'!$S$28*EXP('Model Inputs &amp; Assumptions'!$T$28*P141-'Model Inputs &amp; Assumptions'!$T$28^2/2)),0)</f>
        <v>463389</v>
      </c>
      <c r="D141" s="46" t="n">
        <f aca="false">MIN(1,'Model Inputs &amp; Assumptions'!$U$28*EXP('Model Inputs &amp; Assumptions'!$V$28*Q141-'Model Inputs &amp; Assumptions'!$V$28^2/2))</f>
        <v>0</v>
      </c>
      <c r="E141" s="45" t="n">
        <f aca="false">ROUND(C141*D141,0)</f>
        <v>0</v>
      </c>
      <c r="F141" s="47" t="n">
        <f aca="false">MIN(1,'Model Inputs &amp; Assumptions'!$W$28*EXP('Model Inputs &amp; Assumptions'!$X$28*R141-'Model Inputs &amp; Assumptions'!$X$28^2/2))</f>
        <v>0.00197653372798259</v>
      </c>
      <c r="G141" s="45" t="n">
        <f aca="false">ROUND(C141*F141,0)</f>
        <v>916</v>
      </c>
      <c r="H141" s="48" t="n">
        <f aca="false">MAX(0,(C141*'Model Inputs &amp; Assumptions'!$N$28+E141*'Model Inputs &amp; Assumptions'!$O$28+G141*'Model Inputs &amp; Assumptions'!$P$28)*EXP('Model Inputs &amp; Assumptions'!$Q$28*S141-'Model Inputs &amp; Assumptions'!$Q$28^2/2))</f>
        <v>29.0591778813303</v>
      </c>
      <c r="I141" s="49" t="n">
        <f aca="false">IF('Model Inputs &amp; Assumptions'!$H$28="Fixed",'Model Inputs &amp; Assumptions'!$I$28*'Model Inputs &amp; Assumptions'!$K$28,IF('Model Inputs &amp; Assumptions'!$H$28="CPM",'Model Inputs &amp; Assumptions'!$I$28*'Model Inputs &amp; Assumptions'!$K$28*C141/1000,IF('Model Inputs &amp; Assumptions'!$H$28="CPC",'Model Inputs &amp; Assumptions'!$I$28*'Model Inputs &amp; Assumptions'!$K$28*G141,0)))</f>
        <v>3012.0285</v>
      </c>
      <c r="J141" s="50" t="n">
        <f aca="false">H141*INDEX('Model Inputs &amp; Assumptions'!$D$40:$D$42,MATCH('Model Inputs &amp; Assumptions'!$L$28,'Model Inputs &amp; Assumptions'!$A$40:$A$42,0))*INDEX('Model Inputs &amp; Assumptions'!$H$40:$H$42,MATCH('Model Inputs &amp; Assumptions'!$L$28,'Model Inputs &amp; Assumptions'!$A$40:$A$42,0))</f>
        <v>247003.011991308</v>
      </c>
      <c r="K141" s="49" t="n">
        <f aca="false">H141*INDEX('Model Inputs &amp; Assumptions'!$G$40:$G$42,MATCH('Model Inputs &amp; Assumptions'!$L$28,'Model Inputs &amp; Assumptions'!$A$40:$A$42,0))*INDEX('Model Inputs &amp; Assumptions'!$H$40:$H$42,MATCH('Model Inputs &amp; Assumptions'!$L$28,'Model Inputs &amp; Assumptions'!$A$40:$A$42,0))</f>
        <v>5557.56776980442</v>
      </c>
      <c r="L141" s="51" t="n">
        <f aca="false">IFERROR(K141/I141,0)</f>
        <v>1.84512456299946</v>
      </c>
      <c r="M141" s="49" t="n">
        <f aca="false">IFERROR(I141/H141,0)</f>
        <v>103.651538673953</v>
      </c>
      <c r="N141" s="52" t="str">
        <f aca="false">'Model Inputs &amp; Assumptions'!$L$28</f>
        <v>PRD-EUAI</v>
      </c>
      <c r="P141" s="53" t="n">
        <v>0.130783</v>
      </c>
      <c r="Q141" s="53" t="n">
        <v>0.991741</v>
      </c>
      <c r="R141" s="53" t="n">
        <v>1.363998</v>
      </c>
      <c r="S141" s="53" t="n">
        <v>0.336253</v>
      </c>
    </row>
    <row r="142" customFormat="false" ht="15" hidden="false" customHeight="false" outlineLevel="0" collapsed="false">
      <c r="A142" s="43" t="n">
        <v>139</v>
      </c>
      <c r="B142" s="44" t="str">
        <f aca="false">'Model Inputs &amp; Assumptions'!$B$28</f>
        <v>finanzen.net — Q1 Awareness Burst</v>
      </c>
      <c r="C142" s="45" t="n">
        <f aca="false">ROUND(MAX(0,'Model Inputs &amp; Assumptions'!$S$28*EXP('Model Inputs &amp; Assumptions'!$T$28*P142-'Model Inputs &amp; Assumptions'!$T$28^2/2)),0)</f>
        <v>479504</v>
      </c>
      <c r="D142" s="46" t="n">
        <f aca="false">MIN(1,'Model Inputs &amp; Assumptions'!$U$28*EXP('Model Inputs &amp; Assumptions'!$V$28*Q142-'Model Inputs &amp; Assumptions'!$V$28^2/2))</f>
        <v>0</v>
      </c>
      <c r="E142" s="45" t="n">
        <f aca="false">ROUND(C142*D142,0)</f>
        <v>0</v>
      </c>
      <c r="F142" s="47" t="n">
        <f aca="false">MIN(1,'Model Inputs &amp; Assumptions'!$W$28*EXP('Model Inputs &amp; Assumptions'!$X$28*R142-'Model Inputs &amp; Assumptions'!$X$28^2/2))</f>
        <v>0.00126591749036174</v>
      </c>
      <c r="G142" s="45" t="n">
        <f aca="false">ROUND(C142*F142,0)</f>
        <v>607</v>
      </c>
      <c r="H142" s="48" t="n">
        <f aca="false">MAX(0,(C142*'Model Inputs &amp; Assumptions'!$N$28+E142*'Model Inputs &amp; Assumptions'!$O$28+G142*'Model Inputs &amp; Assumptions'!$P$28)*EXP('Model Inputs &amp; Assumptions'!$Q$28*S142-'Model Inputs &amp; Assumptions'!$Q$28^2/2))</f>
        <v>16.0074892962477</v>
      </c>
      <c r="I142" s="49" t="n">
        <f aca="false">IF('Model Inputs &amp; Assumptions'!$H$28="Fixed",'Model Inputs &amp; Assumptions'!$I$28*'Model Inputs &amp; Assumptions'!$K$28,IF('Model Inputs &amp; Assumptions'!$H$28="CPM",'Model Inputs &amp; Assumptions'!$I$28*'Model Inputs &amp; Assumptions'!$K$28*C142/1000,IF('Model Inputs &amp; Assumptions'!$H$28="CPC",'Model Inputs &amp; Assumptions'!$I$28*'Model Inputs &amp; Assumptions'!$K$28*G142,0)))</f>
        <v>3116.776</v>
      </c>
      <c r="J142" s="50" t="n">
        <f aca="false">H142*INDEX('Model Inputs &amp; Assumptions'!$D$40:$D$42,MATCH('Model Inputs &amp; Assumptions'!$L$28,'Model Inputs &amp; Assumptions'!$A$40:$A$42,0))*INDEX('Model Inputs &amp; Assumptions'!$H$40:$H$42,MATCH('Model Inputs &amp; Assumptions'!$L$28,'Model Inputs &amp; Assumptions'!$A$40:$A$42,0))</f>
        <v>136063.659018105</v>
      </c>
      <c r="K142" s="49" t="n">
        <f aca="false">H142*INDEX('Model Inputs &amp; Assumptions'!$G$40:$G$42,MATCH('Model Inputs &amp; Assumptions'!$L$28,'Model Inputs &amp; Assumptions'!$A$40:$A$42,0))*INDEX('Model Inputs &amp; Assumptions'!$H$40:$H$42,MATCH('Model Inputs &amp; Assumptions'!$L$28,'Model Inputs &amp; Assumptions'!$A$40:$A$42,0))</f>
        <v>3061.43232790737</v>
      </c>
      <c r="L142" s="51" t="n">
        <f aca="false">IFERROR(K142/I142,0)</f>
        <v>0.982243294964852</v>
      </c>
      <c r="M142" s="49" t="n">
        <f aca="false">IFERROR(I142/H142,0)</f>
        <v>194.707361180657</v>
      </c>
      <c r="N142" s="52" t="str">
        <f aca="false">'Model Inputs &amp; Assumptions'!$L$28</f>
        <v>PRD-EUAI</v>
      </c>
      <c r="P142" s="53" t="n">
        <v>0.320698</v>
      </c>
      <c r="Q142" s="53" t="n">
        <v>-0.266819</v>
      </c>
      <c r="R142" s="53" t="n">
        <v>-0.661218</v>
      </c>
      <c r="S142" s="53" t="n">
        <v>-0.279714</v>
      </c>
    </row>
    <row r="143" customFormat="false" ht="15" hidden="false" customHeight="false" outlineLevel="0" collapsed="false">
      <c r="A143" s="43" t="n">
        <v>140</v>
      </c>
      <c r="B143" s="44" t="str">
        <f aca="false">'Model Inputs &amp; Assumptions'!$B$28</f>
        <v>finanzen.net — Q1 Awareness Burst</v>
      </c>
      <c r="C143" s="45" t="n">
        <f aca="false">ROUND(MAX(0,'Model Inputs &amp; Assumptions'!$S$28*EXP('Model Inputs &amp; Assumptions'!$T$28*P143-'Model Inputs &amp; Assumptions'!$T$28^2/2)),0)</f>
        <v>417866</v>
      </c>
      <c r="D143" s="46" t="n">
        <f aca="false">MIN(1,'Model Inputs &amp; Assumptions'!$U$28*EXP('Model Inputs &amp; Assumptions'!$V$28*Q143-'Model Inputs &amp; Assumptions'!$V$28^2/2))</f>
        <v>0</v>
      </c>
      <c r="E143" s="45" t="n">
        <f aca="false">ROUND(C143*D143,0)</f>
        <v>0</v>
      </c>
      <c r="F143" s="47" t="n">
        <f aca="false">MIN(1,'Model Inputs &amp; Assumptions'!$W$28*EXP('Model Inputs &amp; Assumptions'!$X$28*R143-'Model Inputs &amp; Assumptions'!$X$28^2/2))</f>
        <v>0.00137837679052608</v>
      </c>
      <c r="G143" s="45" t="n">
        <f aca="false">ROUND(C143*F143,0)</f>
        <v>576</v>
      </c>
      <c r="H143" s="48" t="n">
        <f aca="false">MAX(0,(C143*'Model Inputs &amp; Assumptions'!$N$28+E143*'Model Inputs &amp; Assumptions'!$O$28+G143*'Model Inputs &amp; Assumptions'!$P$28)*EXP('Model Inputs &amp; Assumptions'!$Q$28*S143-'Model Inputs &amp; Assumptions'!$Q$28^2/2))</f>
        <v>16.1467657002758</v>
      </c>
      <c r="I143" s="49" t="n">
        <f aca="false">IF('Model Inputs &amp; Assumptions'!$H$28="Fixed",'Model Inputs &amp; Assumptions'!$I$28*'Model Inputs &amp; Assumptions'!$K$28,IF('Model Inputs &amp; Assumptions'!$H$28="CPM",'Model Inputs &amp; Assumptions'!$I$28*'Model Inputs &amp; Assumptions'!$K$28*C143/1000,IF('Model Inputs &amp; Assumptions'!$H$28="CPC",'Model Inputs &amp; Assumptions'!$I$28*'Model Inputs &amp; Assumptions'!$K$28*G143,0)))</f>
        <v>2716.129</v>
      </c>
      <c r="J143" s="50" t="n">
        <f aca="false">H143*INDEX('Model Inputs &amp; Assumptions'!$D$40:$D$42,MATCH('Model Inputs &amp; Assumptions'!$L$28,'Model Inputs &amp; Assumptions'!$A$40:$A$42,0))*INDEX('Model Inputs &amp; Assumptions'!$H$40:$H$42,MATCH('Model Inputs &amp; Assumptions'!$L$28,'Model Inputs &amp; Assumptions'!$A$40:$A$42,0))</f>
        <v>137247.508452344</v>
      </c>
      <c r="K143" s="49" t="n">
        <f aca="false">H143*INDEX('Model Inputs &amp; Assumptions'!$G$40:$G$42,MATCH('Model Inputs &amp; Assumptions'!$L$28,'Model Inputs &amp; Assumptions'!$A$40:$A$42,0))*INDEX('Model Inputs &amp; Assumptions'!$H$40:$H$42,MATCH('Model Inputs &amp; Assumptions'!$L$28,'Model Inputs &amp; Assumptions'!$A$40:$A$42,0))</f>
        <v>3088.06894017774</v>
      </c>
      <c r="L143" s="51" t="n">
        <f aca="false">IFERROR(K143/I143,0)</f>
        <v>1.13693750929272</v>
      </c>
      <c r="M143" s="49" t="n">
        <f aca="false">IFERROR(I143/H143,0)</f>
        <v>168.215050024143</v>
      </c>
      <c r="N143" s="52" t="str">
        <f aca="false">'Model Inputs &amp; Assumptions'!$L$28</f>
        <v>PRD-EUAI</v>
      </c>
      <c r="P143" s="53" t="n">
        <v>-0.443701</v>
      </c>
      <c r="Q143" s="53" t="n">
        <v>-0.669322</v>
      </c>
      <c r="R143" s="53" t="n">
        <v>-0.274357</v>
      </c>
      <c r="S143" s="53" t="n">
        <v>-0.0761</v>
      </c>
    </row>
    <row r="144" customFormat="false" ht="15" hidden="false" customHeight="false" outlineLevel="0" collapsed="false">
      <c r="A144" s="43" t="n">
        <v>141</v>
      </c>
      <c r="B144" s="44" t="str">
        <f aca="false">'Model Inputs &amp; Assumptions'!$B$28</f>
        <v>finanzen.net — Q1 Awareness Burst</v>
      </c>
      <c r="C144" s="45" t="n">
        <f aca="false">ROUND(MAX(0,'Model Inputs &amp; Assumptions'!$S$28*EXP('Model Inputs &amp; Assumptions'!$T$28*P144-'Model Inputs &amp; Assumptions'!$T$28^2/2)),0)</f>
        <v>451396</v>
      </c>
      <c r="D144" s="46" t="n">
        <f aca="false">MIN(1,'Model Inputs &amp; Assumptions'!$U$28*EXP('Model Inputs &amp; Assumptions'!$V$28*Q144-'Model Inputs &amp; Assumptions'!$V$28^2/2))</f>
        <v>0</v>
      </c>
      <c r="E144" s="45" t="n">
        <f aca="false">ROUND(C144*D144,0)</f>
        <v>0</v>
      </c>
      <c r="F144" s="47" t="n">
        <f aca="false">MIN(1,'Model Inputs &amp; Assumptions'!$W$28*EXP('Model Inputs &amp; Assumptions'!$X$28*R144-'Model Inputs &amp; Assumptions'!$X$28^2/2))</f>
        <v>0.00100921714678004</v>
      </c>
      <c r="G144" s="45" t="n">
        <f aca="false">ROUND(C144*F144,0)</f>
        <v>456</v>
      </c>
      <c r="H144" s="48" t="n">
        <f aca="false">MAX(0,(C144*'Model Inputs &amp; Assumptions'!$N$28+E144*'Model Inputs &amp; Assumptions'!$O$28+G144*'Model Inputs &amp; Assumptions'!$P$28)*EXP('Model Inputs &amp; Assumptions'!$Q$28*S144-'Model Inputs &amp; Assumptions'!$Q$28^2/2))</f>
        <v>9.56204974156247</v>
      </c>
      <c r="I144" s="49" t="n">
        <f aca="false">IF('Model Inputs &amp; Assumptions'!$H$28="Fixed",'Model Inputs &amp; Assumptions'!$I$28*'Model Inputs &amp; Assumptions'!$K$28,IF('Model Inputs &amp; Assumptions'!$H$28="CPM",'Model Inputs &amp; Assumptions'!$I$28*'Model Inputs &amp; Assumptions'!$K$28*C144/1000,IF('Model Inputs &amp; Assumptions'!$H$28="CPC",'Model Inputs &amp; Assumptions'!$I$28*'Model Inputs &amp; Assumptions'!$K$28*G144,0)))</f>
        <v>2934.074</v>
      </c>
      <c r="J144" s="50" t="n">
        <f aca="false">H144*INDEX('Model Inputs &amp; Assumptions'!$D$40:$D$42,MATCH('Model Inputs &amp; Assumptions'!$L$28,'Model Inputs &amp; Assumptions'!$A$40:$A$42,0))*INDEX('Model Inputs &amp; Assumptions'!$H$40:$H$42,MATCH('Model Inputs &amp; Assumptions'!$L$28,'Model Inputs &amp; Assumptions'!$A$40:$A$42,0))</f>
        <v>81277.422803281</v>
      </c>
      <c r="K144" s="49" t="n">
        <f aca="false">H144*INDEX('Model Inputs &amp; Assumptions'!$G$40:$G$42,MATCH('Model Inputs &amp; Assumptions'!$L$28,'Model Inputs &amp; Assumptions'!$A$40:$A$42,0))*INDEX('Model Inputs &amp; Assumptions'!$H$40:$H$42,MATCH('Model Inputs &amp; Assumptions'!$L$28,'Model Inputs &amp; Assumptions'!$A$40:$A$42,0))</f>
        <v>1828.74201307382</v>
      </c>
      <c r="L144" s="51" t="n">
        <f aca="false">IFERROR(K144/I144,0)</f>
        <v>0.623277399640848</v>
      </c>
      <c r="M144" s="49" t="n">
        <f aca="false">IFERROR(I144/H144,0)</f>
        <v>306.845716065117</v>
      </c>
      <c r="N144" s="52" t="str">
        <f aca="false">'Model Inputs &amp; Assumptions'!$L$28</f>
        <v>PRD-EUAI</v>
      </c>
      <c r="P144" s="53" t="n">
        <v>-0.014891</v>
      </c>
      <c r="Q144" s="53" t="n">
        <v>0.647155</v>
      </c>
      <c r="R144" s="53" t="n">
        <v>-1.691319</v>
      </c>
      <c r="S144" s="53" t="n">
        <v>-1.043776</v>
      </c>
    </row>
    <row r="145" customFormat="false" ht="15" hidden="false" customHeight="false" outlineLevel="0" collapsed="false">
      <c r="A145" s="43" t="n">
        <v>142</v>
      </c>
      <c r="B145" s="44" t="str">
        <f aca="false">'Model Inputs &amp; Assumptions'!$B$28</f>
        <v>finanzen.net — Q1 Awareness Burst</v>
      </c>
      <c r="C145" s="45" t="n">
        <f aca="false">ROUND(MAX(0,'Model Inputs &amp; Assumptions'!$S$28*EXP('Model Inputs &amp; Assumptions'!$T$28*P145-'Model Inputs &amp; Assumptions'!$T$28^2/2)),0)</f>
        <v>474679</v>
      </c>
      <c r="D145" s="46" t="n">
        <f aca="false">MIN(1,'Model Inputs &amp; Assumptions'!$U$28*EXP('Model Inputs &amp; Assumptions'!$V$28*Q145-'Model Inputs &amp; Assumptions'!$V$28^2/2))</f>
        <v>0</v>
      </c>
      <c r="E145" s="45" t="n">
        <f aca="false">ROUND(C145*D145,0)</f>
        <v>0</v>
      </c>
      <c r="F145" s="47" t="n">
        <f aca="false">MIN(1,'Model Inputs &amp; Assumptions'!$W$28*EXP('Model Inputs &amp; Assumptions'!$X$28*R145-'Model Inputs &amp; Assumptions'!$X$28^2/2))</f>
        <v>0.00136570255441576</v>
      </c>
      <c r="G145" s="45" t="n">
        <f aca="false">ROUND(C145*F145,0)</f>
        <v>648</v>
      </c>
      <c r="H145" s="48" t="n">
        <f aca="false">MAX(0,(C145*'Model Inputs &amp; Assumptions'!$N$28+E145*'Model Inputs &amp; Assumptions'!$O$28+G145*'Model Inputs &amp; Assumptions'!$P$28)*EXP('Model Inputs &amp; Assumptions'!$Q$28*S145-'Model Inputs &amp; Assumptions'!$Q$28^2/2))</f>
        <v>21.2823586901221</v>
      </c>
      <c r="I145" s="49" t="n">
        <f aca="false">IF('Model Inputs &amp; Assumptions'!$H$28="Fixed",'Model Inputs &amp; Assumptions'!$I$28*'Model Inputs &amp; Assumptions'!$K$28,IF('Model Inputs &amp; Assumptions'!$H$28="CPM",'Model Inputs &amp; Assumptions'!$I$28*'Model Inputs &amp; Assumptions'!$K$28*C145/1000,IF('Model Inputs &amp; Assumptions'!$H$28="CPC",'Model Inputs &amp; Assumptions'!$I$28*'Model Inputs &amp; Assumptions'!$K$28*G145,0)))</f>
        <v>3085.4135</v>
      </c>
      <c r="J145" s="50" t="n">
        <f aca="false">H145*INDEX('Model Inputs &amp; Assumptions'!$D$40:$D$42,MATCH('Model Inputs &amp; Assumptions'!$L$28,'Model Inputs &amp; Assumptions'!$A$40:$A$42,0))*INDEX('Model Inputs &amp; Assumptions'!$H$40:$H$42,MATCH('Model Inputs &amp; Assumptions'!$L$28,'Model Inputs &amp; Assumptions'!$A$40:$A$42,0))</f>
        <v>180900.048866038</v>
      </c>
      <c r="K145" s="49" t="n">
        <f aca="false">H145*INDEX('Model Inputs &amp; Assumptions'!$G$40:$G$42,MATCH('Model Inputs &amp; Assumptions'!$L$28,'Model Inputs &amp; Assumptions'!$A$40:$A$42,0))*INDEX('Model Inputs &amp; Assumptions'!$H$40:$H$42,MATCH('Model Inputs &amp; Assumptions'!$L$28,'Model Inputs &amp; Assumptions'!$A$40:$A$42,0))</f>
        <v>4070.25109948585</v>
      </c>
      <c r="L145" s="51" t="n">
        <f aca="false">IFERROR(K145/I145,0)</f>
        <v>1.3191914469441</v>
      </c>
      <c r="M145" s="49" t="n">
        <f aca="false">IFERROR(I145/H145,0)</f>
        <v>144.975166753112</v>
      </c>
      <c r="N145" s="52" t="str">
        <f aca="false">'Model Inputs &amp; Assumptions'!$L$28</f>
        <v>PRD-EUAI</v>
      </c>
      <c r="P145" s="53" t="n">
        <v>0.26451</v>
      </c>
      <c r="Q145" s="53" t="n">
        <v>0.414783</v>
      </c>
      <c r="R145" s="53" t="n">
        <v>-0.316346</v>
      </c>
      <c r="S145" s="53" t="n">
        <v>0.451819</v>
      </c>
    </row>
    <row r="146" customFormat="false" ht="15" hidden="false" customHeight="false" outlineLevel="0" collapsed="false">
      <c r="A146" s="43" t="n">
        <v>143</v>
      </c>
      <c r="B146" s="44" t="str">
        <f aca="false">'Model Inputs &amp; Assumptions'!$B$28</f>
        <v>finanzen.net — Q1 Awareness Burst</v>
      </c>
      <c r="C146" s="45" t="n">
        <f aca="false">ROUND(MAX(0,'Model Inputs &amp; Assumptions'!$S$28*EXP('Model Inputs &amp; Assumptions'!$T$28*P146-'Model Inputs &amp; Assumptions'!$T$28^2/2)),0)</f>
        <v>381856</v>
      </c>
      <c r="D146" s="46" t="n">
        <f aca="false">MIN(1,'Model Inputs &amp; Assumptions'!$U$28*EXP('Model Inputs &amp; Assumptions'!$V$28*Q146-'Model Inputs &amp; Assumptions'!$V$28^2/2))</f>
        <v>0</v>
      </c>
      <c r="E146" s="45" t="n">
        <f aca="false">ROUND(C146*D146,0)</f>
        <v>0</v>
      </c>
      <c r="F146" s="47" t="n">
        <f aca="false">MIN(1,'Model Inputs &amp; Assumptions'!$W$28*EXP('Model Inputs &amp; Assumptions'!$X$28*R146-'Model Inputs &amp; Assumptions'!$X$28^2/2))</f>
        <v>0.0016317200243343</v>
      </c>
      <c r="G146" s="45" t="n">
        <f aca="false">ROUND(C146*F146,0)</f>
        <v>623</v>
      </c>
      <c r="H146" s="48" t="n">
        <f aca="false">MAX(0,(C146*'Model Inputs &amp; Assumptions'!$N$28+E146*'Model Inputs &amp; Assumptions'!$O$28+G146*'Model Inputs &amp; Assumptions'!$P$28)*EXP('Model Inputs &amp; Assumptions'!$Q$28*S146-'Model Inputs &amp; Assumptions'!$Q$28^2/2))</f>
        <v>16.9355594603146</v>
      </c>
      <c r="I146" s="49" t="n">
        <f aca="false">IF('Model Inputs &amp; Assumptions'!$H$28="Fixed",'Model Inputs &amp; Assumptions'!$I$28*'Model Inputs &amp; Assumptions'!$K$28,IF('Model Inputs &amp; Assumptions'!$H$28="CPM",'Model Inputs &amp; Assumptions'!$I$28*'Model Inputs &amp; Assumptions'!$K$28*C146/1000,IF('Model Inputs &amp; Assumptions'!$H$28="CPC",'Model Inputs &amp; Assumptions'!$I$28*'Model Inputs &amp; Assumptions'!$K$28*G146,0)))</f>
        <v>2482.064</v>
      </c>
      <c r="J146" s="50" t="n">
        <f aca="false">H146*INDEX('Model Inputs &amp; Assumptions'!$D$40:$D$42,MATCH('Model Inputs &amp; Assumptions'!$L$28,'Model Inputs &amp; Assumptions'!$A$40:$A$42,0))*INDEX('Model Inputs &amp; Assumptions'!$H$40:$H$42,MATCH('Model Inputs &amp; Assumptions'!$L$28,'Model Inputs &amp; Assumptions'!$A$40:$A$42,0))</f>
        <v>143952.255412674</v>
      </c>
      <c r="K146" s="49" t="n">
        <f aca="false">H146*INDEX('Model Inputs &amp; Assumptions'!$G$40:$G$42,MATCH('Model Inputs &amp; Assumptions'!$L$28,'Model Inputs &amp; Assumptions'!$A$40:$A$42,0))*INDEX('Model Inputs &amp; Assumptions'!$H$40:$H$42,MATCH('Model Inputs &amp; Assumptions'!$L$28,'Model Inputs &amp; Assumptions'!$A$40:$A$42,0))</f>
        <v>3238.92574678516</v>
      </c>
      <c r="L146" s="51" t="n">
        <f aca="false">IFERROR(K146/I146,0)</f>
        <v>1.30493240576599</v>
      </c>
      <c r="M146" s="49" t="n">
        <f aca="false">IFERROR(I146/H146,0)</f>
        <v>146.559315375218</v>
      </c>
      <c r="N146" s="52" t="str">
        <f aca="false">'Model Inputs &amp; Assumptions'!$L$28</f>
        <v>PRD-EUAI</v>
      </c>
      <c r="P146" s="53" t="n">
        <v>-0.944353</v>
      </c>
      <c r="Q146" s="53" t="n">
        <v>-0.468596</v>
      </c>
      <c r="R146" s="53" t="n">
        <v>0.492589</v>
      </c>
      <c r="S146" s="53" t="n">
        <v>-0.178577</v>
      </c>
    </row>
    <row r="147" customFormat="false" ht="15" hidden="false" customHeight="false" outlineLevel="0" collapsed="false">
      <c r="A147" s="43" t="n">
        <v>144</v>
      </c>
      <c r="B147" s="44" t="str">
        <f aca="false">'Model Inputs &amp; Assumptions'!$B$28</f>
        <v>finanzen.net — Q1 Awareness Burst</v>
      </c>
      <c r="C147" s="45" t="n">
        <f aca="false">ROUND(MAX(0,'Model Inputs &amp; Assumptions'!$S$28*EXP('Model Inputs &amp; Assumptions'!$T$28*P147-'Model Inputs &amp; Assumptions'!$T$28^2/2)),0)</f>
        <v>504585</v>
      </c>
      <c r="D147" s="46" t="n">
        <f aca="false">MIN(1,'Model Inputs &amp; Assumptions'!$U$28*EXP('Model Inputs &amp; Assumptions'!$V$28*Q147-'Model Inputs &amp; Assumptions'!$V$28^2/2))</f>
        <v>0</v>
      </c>
      <c r="E147" s="45" t="n">
        <f aca="false">ROUND(C147*D147,0)</f>
        <v>0</v>
      </c>
      <c r="F147" s="47" t="n">
        <f aca="false">MIN(1,'Model Inputs &amp; Assumptions'!$W$28*EXP('Model Inputs &amp; Assumptions'!$X$28*R147-'Model Inputs &amp; Assumptions'!$X$28^2/2))</f>
        <v>0.00146241086039367</v>
      </c>
      <c r="G147" s="45" t="n">
        <f aca="false">ROUND(C147*F147,0)</f>
        <v>738</v>
      </c>
      <c r="H147" s="48" t="n">
        <f aca="false">MAX(0,(C147*'Model Inputs &amp; Assumptions'!$N$28+E147*'Model Inputs &amp; Assumptions'!$O$28+G147*'Model Inputs &amp; Assumptions'!$P$28)*EXP('Model Inputs &amp; Assumptions'!$Q$28*S147-'Model Inputs &amp; Assumptions'!$Q$28^2/2))</f>
        <v>12.5039691671911</v>
      </c>
      <c r="I147" s="49" t="n">
        <f aca="false">IF('Model Inputs &amp; Assumptions'!$H$28="Fixed",'Model Inputs &amp; Assumptions'!$I$28*'Model Inputs &amp; Assumptions'!$K$28,IF('Model Inputs &amp; Assumptions'!$H$28="CPM",'Model Inputs &amp; Assumptions'!$I$28*'Model Inputs &amp; Assumptions'!$K$28*C147/1000,IF('Model Inputs &amp; Assumptions'!$H$28="CPC",'Model Inputs &amp; Assumptions'!$I$28*'Model Inputs &amp; Assumptions'!$K$28*G147,0)))</f>
        <v>3279.8025</v>
      </c>
      <c r="J147" s="50" t="n">
        <f aca="false">H147*INDEX('Model Inputs &amp; Assumptions'!$D$40:$D$42,MATCH('Model Inputs &amp; Assumptions'!$L$28,'Model Inputs &amp; Assumptions'!$A$40:$A$42,0))*INDEX('Model Inputs &amp; Assumptions'!$H$40:$H$42,MATCH('Model Inputs &amp; Assumptions'!$L$28,'Model Inputs &amp; Assumptions'!$A$40:$A$42,0))</f>
        <v>106283.737921124</v>
      </c>
      <c r="K147" s="49" t="n">
        <f aca="false">H147*INDEX('Model Inputs &amp; Assumptions'!$G$40:$G$42,MATCH('Model Inputs &amp; Assumptions'!$L$28,'Model Inputs &amp; Assumptions'!$A$40:$A$42,0))*INDEX('Model Inputs &amp; Assumptions'!$H$40:$H$42,MATCH('Model Inputs &amp; Assumptions'!$L$28,'Model Inputs &amp; Assumptions'!$A$40:$A$42,0))</f>
        <v>2391.3841032253</v>
      </c>
      <c r="L147" s="51" t="n">
        <f aca="false">IFERROR(K147/I147,0)</f>
        <v>0.729124422347168</v>
      </c>
      <c r="M147" s="49" t="n">
        <f aca="false">IFERROR(I147/H147,0)</f>
        <v>262.300910706482</v>
      </c>
      <c r="N147" s="52" t="str">
        <f aca="false">'Model Inputs &amp; Assumptions'!$L$28</f>
        <v>PRD-EUAI</v>
      </c>
      <c r="P147" s="53" t="n">
        <v>0.603948</v>
      </c>
      <c r="Q147" s="53" t="n">
        <v>-0.361428</v>
      </c>
      <c r="R147" s="53" t="n">
        <v>-0.005358</v>
      </c>
      <c r="S147" s="53" t="n">
        <v>-1.754466</v>
      </c>
    </row>
    <row r="148" customFormat="false" ht="15" hidden="false" customHeight="false" outlineLevel="0" collapsed="false">
      <c r="A148" s="43" t="n">
        <v>145</v>
      </c>
      <c r="B148" s="44" t="str">
        <f aca="false">'Model Inputs &amp; Assumptions'!$B$28</f>
        <v>finanzen.net — Q1 Awareness Burst</v>
      </c>
      <c r="C148" s="45" t="n">
        <f aca="false">ROUND(MAX(0,'Model Inputs &amp; Assumptions'!$S$28*EXP('Model Inputs &amp; Assumptions'!$T$28*P148-'Model Inputs &amp; Assumptions'!$T$28^2/2)),0)</f>
        <v>295890</v>
      </c>
      <c r="D148" s="46" t="n">
        <f aca="false">MIN(1,'Model Inputs &amp; Assumptions'!$U$28*EXP('Model Inputs &amp; Assumptions'!$V$28*Q148-'Model Inputs &amp; Assumptions'!$V$28^2/2))</f>
        <v>0</v>
      </c>
      <c r="E148" s="45" t="n">
        <f aca="false">ROUND(C148*D148,0)</f>
        <v>0</v>
      </c>
      <c r="F148" s="47" t="n">
        <f aca="false">MIN(1,'Model Inputs &amp; Assumptions'!$W$28*EXP('Model Inputs &amp; Assumptions'!$X$28*R148-'Model Inputs &amp; Assumptions'!$X$28^2/2))</f>
        <v>0.00136037779023276</v>
      </c>
      <c r="G148" s="45" t="n">
        <f aca="false">ROUND(C148*F148,0)</f>
        <v>403</v>
      </c>
      <c r="H148" s="48" t="n">
        <f aca="false">MAX(0,(C148*'Model Inputs &amp; Assumptions'!$N$28+E148*'Model Inputs &amp; Assumptions'!$O$28+G148*'Model Inputs &amp; Assumptions'!$P$28)*EXP('Model Inputs &amp; Assumptions'!$Q$28*S148-'Model Inputs &amp; Assumptions'!$Q$28^2/2))</f>
        <v>8.43654415650723</v>
      </c>
      <c r="I148" s="49" t="n">
        <f aca="false">IF('Model Inputs &amp; Assumptions'!$H$28="Fixed",'Model Inputs &amp; Assumptions'!$I$28*'Model Inputs &amp; Assumptions'!$K$28,IF('Model Inputs &amp; Assumptions'!$H$28="CPM",'Model Inputs &amp; Assumptions'!$I$28*'Model Inputs &amp; Assumptions'!$K$28*C148/1000,IF('Model Inputs &amp; Assumptions'!$H$28="CPC",'Model Inputs &amp; Assumptions'!$I$28*'Model Inputs &amp; Assumptions'!$K$28*G148,0)))</f>
        <v>1923.285</v>
      </c>
      <c r="J148" s="50" t="n">
        <f aca="false">H148*INDEX('Model Inputs &amp; Assumptions'!$D$40:$D$42,MATCH('Model Inputs &amp; Assumptions'!$L$28,'Model Inputs &amp; Assumptions'!$A$40:$A$42,0))*INDEX('Model Inputs &amp; Assumptions'!$H$40:$H$42,MATCH('Model Inputs &amp; Assumptions'!$L$28,'Model Inputs &amp; Assumptions'!$A$40:$A$42,0))</f>
        <v>71710.6253303114</v>
      </c>
      <c r="K148" s="49" t="n">
        <f aca="false">H148*INDEX('Model Inputs &amp; Assumptions'!$G$40:$G$42,MATCH('Model Inputs &amp; Assumptions'!$L$28,'Model Inputs &amp; Assumptions'!$A$40:$A$42,0))*INDEX('Model Inputs &amp; Assumptions'!$H$40:$H$42,MATCH('Model Inputs &amp; Assumptions'!$L$28,'Model Inputs &amp; Assumptions'!$A$40:$A$42,0))</f>
        <v>1613.48906993201</v>
      </c>
      <c r="L148" s="51" t="n">
        <f aca="false">IFERROR(K148/I148,0)</f>
        <v>0.838923544837092</v>
      </c>
      <c r="M148" s="49" t="n">
        <f aca="false">IFERROR(I148/H148,0)</f>
        <v>227.970714586558</v>
      </c>
      <c r="N148" s="52" t="str">
        <f aca="false">'Model Inputs &amp; Assumptions'!$L$28</f>
        <v>PRD-EUAI</v>
      </c>
      <c r="P148" s="53" t="n">
        <v>-2.361333</v>
      </c>
      <c r="Q148" s="53" t="n">
        <v>-1.548654</v>
      </c>
      <c r="R148" s="53" t="n">
        <v>-0.334103</v>
      </c>
      <c r="S148" s="53" t="n">
        <v>-1.049353</v>
      </c>
    </row>
    <row r="149" customFormat="false" ht="15" hidden="false" customHeight="false" outlineLevel="0" collapsed="false">
      <c r="A149" s="43" t="n">
        <v>146</v>
      </c>
      <c r="B149" s="44" t="str">
        <f aca="false">'Model Inputs &amp; Assumptions'!$B$28</f>
        <v>finanzen.net — Q1 Awareness Burst</v>
      </c>
      <c r="C149" s="45" t="n">
        <f aca="false">ROUND(MAX(0,'Model Inputs &amp; Assumptions'!$S$28*EXP('Model Inputs &amp; Assumptions'!$T$28*P149-'Model Inputs &amp; Assumptions'!$T$28^2/2)),0)</f>
        <v>519365</v>
      </c>
      <c r="D149" s="46" t="n">
        <f aca="false">MIN(1,'Model Inputs &amp; Assumptions'!$U$28*EXP('Model Inputs &amp; Assumptions'!$V$28*Q149-'Model Inputs &amp; Assumptions'!$V$28^2/2))</f>
        <v>0</v>
      </c>
      <c r="E149" s="45" t="n">
        <f aca="false">ROUND(C149*D149,0)</f>
        <v>0</v>
      </c>
      <c r="F149" s="47" t="n">
        <f aca="false">MIN(1,'Model Inputs &amp; Assumptions'!$W$28*EXP('Model Inputs &amp; Assumptions'!$X$28*R149-'Model Inputs &amp; Assumptions'!$X$28^2/2))</f>
        <v>0.00184703529076494</v>
      </c>
      <c r="G149" s="45" t="n">
        <f aca="false">ROUND(C149*F149,0)</f>
        <v>959</v>
      </c>
      <c r="H149" s="48" t="n">
        <f aca="false">MAX(0,(C149*'Model Inputs &amp; Assumptions'!$N$28+E149*'Model Inputs &amp; Assumptions'!$O$28+G149*'Model Inputs &amp; Assumptions'!$P$28)*EXP('Model Inputs &amp; Assumptions'!$Q$28*S149-'Model Inputs &amp; Assumptions'!$Q$28^2/2))</f>
        <v>38.8527312801341</v>
      </c>
      <c r="I149" s="49" t="n">
        <f aca="false">IF('Model Inputs &amp; Assumptions'!$H$28="Fixed",'Model Inputs &amp; Assumptions'!$I$28*'Model Inputs &amp; Assumptions'!$K$28,IF('Model Inputs &amp; Assumptions'!$H$28="CPM",'Model Inputs &amp; Assumptions'!$I$28*'Model Inputs &amp; Assumptions'!$K$28*C149/1000,IF('Model Inputs &amp; Assumptions'!$H$28="CPC",'Model Inputs &amp; Assumptions'!$I$28*'Model Inputs &amp; Assumptions'!$K$28*G149,0)))</f>
        <v>3375.8725</v>
      </c>
      <c r="J149" s="50" t="n">
        <f aca="false">H149*INDEX('Model Inputs &amp; Assumptions'!$D$40:$D$42,MATCH('Model Inputs &amp; Assumptions'!$L$28,'Model Inputs &amp; Assumptions'!$A$40:$A$42,0))*INDEX('Model Inputs &amp; Assumptions'!$H$40:$H$42,MATCH('Model Inputs &amp; Assumptions'!$L$28,'Model Inputs &amp; Assumptions'!$A$40:$A$42,0))</f>
        <v>330248.21588114</v>
      </c>
      <c r="K149" s="49" t="n">
        <f aca="false">H149*INDEX('Model Inputs &amp; Assumptions'!$G$40:$G$42,MATCH('Model Inputs &amp; Assumptions'!$L$28,'Model Inputs &amp; Assumptions'!$A$40:$A$42,0))*INDEX('Model Inputs &amp; Assumptions'!$H$40:$H$42,MATCH('Model Inputs &amp; Assumptions'!$L$28,'Model Inputs &amp; Assumptions'!$A$40:$A$42,0))</f>
        <v>7430.58485732565</v>
      </c>
      <c r="L149" s="51" t="n">
        <f aca="false">IFERROR(K149/I149,0)</f>
        <v>2.20108575111342</v>
      </c>
      <c r="M149" s="49" t="n">
        <f aca="false">IFERROR(I149/H149,0)</f>
        <v>86.8889364729456</v>
      </c>
      <c r="N149" s="52" t="str">
        <f aca="false">'Model Inputs &amp; Assumptions'!$L$28</f>
        <v>PRD-EUAI</v>
      </c>
      <c r="P149" s="53" t="n">
        <v>0.764334</v>
      </c>
      <c r="Q149" s="53" t="n">
        <v>-0.926214</v>
      </c>
      <c r="R149" s="53" t="n">
        <v>1.055985</v>
      </c>
      <c r="S149" s="53" t="n">
        <v>1.151484</v>
      </c>
    </row>
    <row r="150" customFormat="false" ht="15" hidden="false" customHeight="false" outlineLevel="0" collapsed="false">
      <c r="A150" s="43" t="n">
        <v>147</v>
      </c>
      <c r="B150" s="44" t="str">
        <f aca="false">'Model Inputs &amp; Assumptions'!$B$28</f>
        <v>finanzen.net — Q1 Awareness Burst</v>
      </c>
      <c r="C150" s="45" t="n">
        <f aca="false">ROUND(MAX(0,'Model Inputs &amp; Assumptions'!$S$28*EXP('Model Inputs &amp; Assumptions'!$T$28*P150-'Model Inputs &amp; Assumptions'!$T$28^2/2)),0)</f>
        <v>457837</v>
      </c>
      <c r="D150" s="46" t="n">
        <f aca="false">MIN(1,'Model Inputs &amp; Assumptions'!$U$28*EXP('Model Inputs &amp; Assumptions'!$V$28*Q150-'Model Inputs &amp; Assumptions'!$V$28^2/2))</f>
        <v>0</v>
      </c>
      <c r="E150" s="45" t="n">
        <f aca="false">ROUND(C150*D150,0)</f>
        <v>0</v>
      </c>
      <c r="F150" s="47" t="n">
        <f aca="false">MIN(1,'Model Inputs &amp; Assumptions'!$W$28*EXP('Model Inputs &amp; Assumptions'!$X$28*R150-'Model Inputs &amp; Assumptions'!$X$28^2/2))</f>
        <v>0.0017367869193856</v>
      </c>
      <c r="G150" s="45" t="n">
        <f aca="false">ROUND(C150*F150,0)</f>
        <v>795</v>
      </c>
      <c r="H150" s="48" t="n">
        <f aca="false">MAX(0,(C150*'Model Inputs &amp; Assumptions'!$N$28+E150*'Model Inputs &amp; Assumptions'!$O$28+G150*'Model Inputs &amp; Assumptions'!$P$28)*EXP('Model Inputs &amp; Assumptions'!$Q$28*S150-'Model Inputs &amp; Assumptions'!$Q$28^2/2))</f>
        <v>21.9799861165325</v>
      </c>
      <c r="I150" s="49" t="n">
        <f aca="false">IF('Model Inputs &amp; Assumptions'!$H$28="Fixed",'Model Inputs &amp; Assumptions'!$I$28*'Model Inputs &amp; Assumptions'!$K$28,IF('Model Inputs &amp; Assumptions'!$H$28="CPM",'Model Inputs &amp; Assumptions'!$I$28*'Model Inputs &amp; Assumptions'!$K$28*C150/1000,IF('Model Inputs &amp; Assumptions'!$H$28="CPC",'Model Inputs &amp; Assumptions'!$I$28*'Model Inputs &amp; Assumptions'!$K$28*G150,0)))</f>
        <v>2975.9405</v>
      </c>
      <c r="J150" s="50" t="n">
        <f aca="false">H150*INDEX('Model Inputs &amp; Assumptions'!$D$40:$D$42,MATCH('Model Inputs &amp; Assumptions'!$L$28,'Model Inputs &amp; Assumptions'!$A$40:$A$42,0))*INDEX('Model Inputs &amp; Assumptions'!$H$40:$H$42,MATCH('Model Inputs &amp; Assumptions'!$L$28,'Model Inputs &amp; Assumptions'!$A$40:$A$42,0))</f>
        <v>186829.881990526</v>
      </c>
      <c r="K150" s="49" t="n">
        <f aca="false">H150*INDEX('Model Inputs &amp; Assumptions'!$G$40:$G$42,MATCH('Model Inputs &amp; Assumptions'!$L$28,'Model Inputs &amp; Assumptions'!$A$40:$A$42,0))*INDEX('Model Inputs &amp; Assumptions'!$H$40:$H$42,MATCH('Model Inputs &amp; Assumptions'!$L$28,'Model Inputs &amp; Assumptions'!$A$40:$A$42,0))</f>
        <v>4203.67234478683</v>
      </c>
      <c r="L150" s="51" t="n">
        <f aca="false">IFERROR(K150/I150,0)</f>
        <v>1.41255255096224</v>
      </c>
      <c r="M150" s="49" t="n">
        <f aca="false">IFERROR(I150/H150,0)</f>
        <v>135.393192890218</v>
      </c>
      <c r="N150" s="52" t="str">
        <f aca="false">'Model Inputs &amp; Assumptions'!$L$28</f>
        <v>PRD-EUAI</v>
      </c>
      <c r="P150" s="53" t="n">
        <v>0.06382</v>
      </c>
      <c r="Q150" s="53" t="n">
        <v>1.265729</v>
      </c>
      <c r="R150" s="53" t="n">
        <v>0.776235</v>
      </c>
      <c r="S150" s="53" t="n">
        <v>-0.122173</v>
      </c>
    </row>
    <row r="151" customFormat="false" ht="15" hidden="false" customHeight="false" outlineLevel="0" collapsed="false">
      <c r="A151" s="43" t="n">
        <v>148</v>
      </c>
      <c r="B151" s="44" t="str">
        <f aca="false">'Model Inputs &amp; Assumptions'!$B$28</f>
        <v>finanzen.net — Q1 Awareness Burst</v>
      </c>
      <c r="C151" s="45" t="n">
        <f aca="false">ROUND(MAX(0,'Model Inputs &amp; Assumptions'!$S$28*EXP('Model Inputs &amp; Assumptions'!$T$28*P151-'Model Inputs &amp; Assumptions'!$T$28^2/2)),0)</f>
        <v>404161</v>
      </c>
      <c r="D151" s="46" t="n">
        <f aca="false">MIN(1,'Model Inputs &amp; Assumptions'!$U$28*EXP('Model Inputs &amp; Assumptions'!$V$28*Q151-'Model Inputs &amp; Assumptions'!$V$28^2/2))</f>
        <v>0</v>
      </c>
      <c r="E151" s="45" t="n">
        <f aca="false">ROUND(C151*D151,0)</f>
        <v>0</v>
      </c>
      <c r="F151" s="47" t="n">
        <f aca="false">MIN(1,'Model Inputs &amp; Assumptions'!$W$28*EXP('Model Inputs &amp; Assumptions'!$X$28*R151-'Model Inputs &amp; Assumptions'!$X$28^2/2))</f>
        <v>0.00125647269668566</v>
      </c>
      <c r="G151" s="45" t="n">
        <f aca="false">ROUND(C151*F151,0)</f>
        <v>508</v>
      </c>
      <c r="H151" s="48" t="n">
        <f aca="false">MAX(0,(C151*'Model Inputs &amp; Assumptions'!$N$28+E151*'Model Inputs &amp; Assumptions'!$O$28+G151*'Model Inputs &amp; Assumptions'!$P$28)*EXP('Model Inputs &amp; Assumptions'!$Q$28*S151-'Model Inputs &amp; Assumptions'!$Q$28^2/2))</f>
        <v>13.9819365521868</v>
      </c>
      <c r="I151" s="49" t="n">
        <f aca="false">IF('Model Inputs &amp; Assumptions'!$H$28="Fixed",'Model Inputs &amp; Assumptions'!$I$28*'Model Inputs &amp; Assumptions'!$K$28,IF('Model Inputs &amp; Assumptions'!$H$28="CPM",'Model Inputs &amp; Assumptions'!$I$28*'Model Inputs &amp; Assumptions'!$K$28*C151/1000,IF('Model Inputs &amp; Assumptions'!$H$28="CPC",'Model Inputs &amp; Assumptions'!$I$28*'Model Inputs &amp; Assumptions'!$K$28*G151,0)))</f>
        <v>2627.0465</v>
      </c>
      <c r="J151" s="50" t="n">
        <f aca="false">H151*INDEX('Model Inputs &amp; Assumptions'!$D$40:$D$42,MATCH('Model Inputs &amp; Assumptions'!$L$28,'Model Inputs &amp; Assumptions'!$A$40:$A$42,0))*INDEX('Model Inputs &amp; Assumptions'!$H$40:$H$42,MATCH('Model Inputs &amp; Assumptions'!$L$28,'Model Inputs &amp; Assumptions'!$A$40:$A$42,0))</f>
        <v>118846.460693588</v>
      </c>
      <c r="K151" s="49" t="n">
        <f aca="false">H151*INDEX('Model Inputs &amp; Assumptions'!$G$40:$G$42,MATCH('Model Inputs &amp; Assumptions'!$L$28,'Model Inputs &amp; Assumptions'!$A$40:$A$42,0))*INDEX('Model Inputs &amp; Assumptions'!$H$40:$H$42,MATCH('Model Inputs &amp; Assumptions'!$L$28,'Model Inputs &amp; Assumptions'!$A$40:$A$42,0))</f>
        <v>2674.04536560573</v>
      </c>
      <c r="L151" s="51" t="n">
        <f aca="false">IFERROR(K151/I151,0)</f>
        <v>1.01789038207193</v>
      </c>
      <c r="M151" s="49" t="n">
        <f aca="false">IFERROR(I151/H151,0)</f>
        <v>187.888601138669</v>
      </c>
      <c r="N151" s="52" t="str">
        <f aca="false">'Model Inputs &amp; Assumptions'!$L$28</f>
        <v>PRD-EUAI</v>
      </c>
      <c r="P151" s="53" t="n">
        <v>-0.62896</v>
      </c>
      <c r="Q151" s="53" t="n">
        <v>-0.203721</v>
      </c>
      <c r="R151" s="53" t="n">
        <v>-0.695258</v>
      </c>
      <c r="S151" s="53" t="n">
        <v>-0.137191</v>
      </c>
    </row>
    <row r="152" customFormat="false" ht="15" hidden="false" customHeight="false" outlineLevel="0" collapsed="false">
      <c r="A152" s="43" t="n">
        <v>149</v>
      </c>
      <c r="B152" s="44" t="str">
        <f aca="false">'Model Inputs &amp; Assumptions'!$B$28</f>
        <v>finanzen.net — Q1 Awareness Burst</v>
      </c>
      <c r="C152" s="45" t="n">
        <f aca="false">ROUND(MAX(0,'Model Inputs &amp; Assumptions'!$S$28*EXP('Model Inputs &amp; Assumptions'!$T$28*P152-'Model Inputs &amp; Assumptions'!$T$28^2/2)),0)</f>
        <v>355412</v>
      </c>
      <c r="D152" s="46" t="n">
        <f aca="false">MIN(1,'Model Inputs &amp; Assumptions'!$U$28*EXP('Model Inputs &amp; Assumptions'!$V$28*Q152-'Model Inputs &amp; Assumptions'!$V$28^2/2))</f>
        <v>0</v>
      </c>
      <c r="E152" s="45" t="n">
        <f aca="false">ROUND(C152*D152,0)</f>
        <v>0</v>
      </c>
      <c r="F152" s="47" t="n">
        <f aca="false">MIN(1,'Model Inputs &amp; Assumptions'!$W$28*EXP('Model Inputs &amp; Assumptions'!$X$28*R152-'Model Inputs &amp; Assumptions'!$X$28^2/2))</f>
        <v>0.00184739819496507</v>
      </c>
      <c r="G152" s="45" t="n">
        <f aca="false">ROUND(C152*F152,0)</f>
        <v>657</v>
      </c>
      <c r="H152" s="48" t="n">
        <f aca="false">MAX(0,(C152*'Model Inputs &amp; Assumptions'!$N$28+E152*'Model Inputs &amp; Assumptions'!$O$28+G152*'Model Inputs &amp; Assumptions'!$P$28)*EXP('Model Inputs &amp; Assumptions'!$Q$28*S152-'Model Inputs &amp; Assumptions'!$Q$28^2/2))</f>
        <v>23.6956958315464</v>
      </c>
      <c r="I152" s="49" t="n">
        <f aca="false">IF('Model Inputs &amp; Assumptions'!$H$28="Fixed",'Model Inputs &amp; Assumptions'!$I$28*'Model Inputs &amp; Assumptions'!$K$28,IF('Model Inputs &amp; Assumptions'!$H$28="CPM",'Model Inputs &amp; Assumptions'!$I$28*'Model Inputs &amp; Assumptions'!$K$28*C152/1000,IF('Model Inputs &amp; Assumptions'!$H$28="CPC",'Model Inputs &amp; Assumptions'!$I$28*'Model Inputs &amp; Assumptions'!$K$28*G152,0)))</f>
        <v>2310.178</v>
      </c>
      <c r="J152" s="50" t="n">
        <f aca="false">H152*INDEX('Model Inputs &amp; Assumptions'!$D$40:$D$42,MATCH('Model Inputs &amp; Assumptions'!$L$28,'Model Inputs &amp; Assumptions'!$A$40:$A$42,0))*INDEX('Model Inputs &amp; Assumptions'!$H$40:$H$42,MATCH('Model Inputs &amp; Assumptions'!$L$28,'Model Inputs &amp; Assumptions'!$A$40:$A$42,0))</f>
        <v>201413.414568144</v>
      </c>
      <c r="K152" s="49" t="n">
        <f aca="false">H152*INDEX('Model Inputs &amp; Assumptions'!$G$40:$G$42,MATCH('Model Inputs &amp; Assumptions'!$L$28,'Model Inputs &amp; Assumptions'!$A$40:$A$42,0))*INDEX('Model Inputs &amp; Assumptions'!$H$40:$H$42,MATCH('Model Inputs &amp; Assumptions'!$L$28,'Model Inputs &amp; Assumptions'!$A$40:$A$42,0))</f>
        <v>4531.80182778324</v>
      </c>
      <c r="L152" s="51" t="n">
        <f aca="false">IFERROR(K152/I152,0)</f>
        <v>1.96166781424775</v>
      </c>
      <c r="M152" s="49" t="n">
        <f aca="false">IFERROR(I152/H152,0)</f>
        <v>97.4935708334183</v>
      </c>
      <c r="N152" s="52" t="str">
        <f aca="false">'Model Inputs &amp; Assumptions'!$L$28</f>
        <v>PRD-EUAI</v>
      </c>
      <c r="P152" s="53" t="n">
        <v>-1.343052</v>
      </c>
      <c r="Q152" s="53" t="n">
        <v>-0.200866</v>
      </c>
      <c r="R152" s="53" t="n">
        <v>1.056878</v>
      </c>
      <c r="S152" s="53" t="n">
        <v>0.763891</v>
      </c>
    </row>
    <row r="153" customFormat="false" ht="15" hidden="false" customHeight="false" outlineLevel="0" collapsed="false">
      <c r="A153" s="43" t="n">
        <v>150</v>
      </c>
      <c r="B153" s="44" t="str">
        <f aca="false">'Model Inputs &amp; Assumptions'!$B$28</f>
        <v>finanzen.net — Q1 Awareness Burst</v>
      </c>
      <c r="C153" s="45" t="n">
        <f aca="false">ROUND(MAX(0,'Model Inputs &amp; Assumptions'!$S$28*EXP('Model Inputs &amp; Assumptions'!$T$28*P153-'Model Inputs &amp; Assumptions'!$T$28^2/2)),0)</f>
        <v>420210</v>
      </c>
      <c r="D153" s="46" t="n">
        <f aca="false">MIN(1,'Model Inputs &amp; Assumptions'!$U$28*EXP('Model Inputs &amp; Assumptions'!$V$28*Q153-'Model Inputs &amp; Assumptions'!$V$28^2/2))</f>
        <v>0</v>
      </c>
      <c r="E153" s="45" t="n">
        <f aca="false">ROUND(C153*D153,0)</f>
        <v>0</v>
      </c>
      <c r="F153" s="47" t="n">
        <f aca="false">MIN(1,'Model Inputs &amp; Assumptions'!$W$28*EXP('Model Inputs &amp; Assumptions'!$X$28*R153-'Model Inputs &amp; Assumptions'!$X$28^2/2))</f>
        <v>0.00163954903949918</v>
      </c>
      <c r="G153" s="45" t="n">
        <f aca="false">ROUND(C153*F153,0)</f>
        <v>689</v>
      </c>
      <c r="H153" s="48" t="n">
        <f aca="false">MAX(0,(C153*'Model Inputs &amp; Assumptions'!$N$28+E153*'Model Inputs &amp; Assumptions'!$O$28+G153*'Model Inputs &amp; Assumptions'!$P$28)*EXP('Model Inputs &amp; Assumptions'!$Q$28*S153-'Model Inputs &amp; Assumptions'!$Q$28^2/2))</f>
        <v>25.5095903519735</v>
      </c>
      <c r="I153" s="49" t="n">
        <f aca="false">IF('Model Inputs &amp; Assumptions'!$H$28="Fixed",'Model Inputs &amp; Assumptions'!$I$28*'Model Inputs &amp; Assumptions'!$K$28,IF('Model Inputs &amp; Assumptions'!$H$28="CPM",'Model Inputs &amp; Assumptions'!$I$28*'Model Inputs &amp; Assumptions'!$K$28*C153/1000,IF('Model Inputs &amp; Assumptions'!$H$28="CPC",'Model Inputs &amp; Assumptions'!$I$28*'Model Inputs &amp; Assumptions'!$K$28*G153,0)))</f>
        <v>2731.365</v>
      </c>
      <c r="J153" s="50" t="n">
        <f aca="false">H153*INDEX('Model Inputs &amp; Assumptions'!$D$40:$D$42,MATCH('Model Inputs &amp; Assumptions'!$L$28,'Model Inputs &amp; Assumptions'!$A$40:$A$42,0))*INDEX('Model Inputs &amp; Assumptions'!$H$40:$H$42,MATCH('Model Inputs &amp; Assumptions'!$L$28,'Model Inputs &amp; Assumptions'!$A$40:$A$42,0))</f>
        <v>216831.517991774</v>
      </c>
      <c r="K153" s="49" t="n">
        <f aca="false">H153*INDEX('Model Inputs &amp; Assumptions'!$G$40:$G$42,MATCH('Model Inputs &amp; Assumptions'!$L$28,'Model Inputs &amp; Assumptions'!$A$40:$A$42,0))*INDEX('Model Inputs &amp; Assumptions'!$H$40:$H$42,MATCH('Model Inputs &amp; Assumptions'!$L$28,'Model Inputs &amp; Assumptions'!$A$40:$A$42,0))</f>
        <v>4878.70915481493</v>
      </c>
      <c r="L153" s="51" t="n">
        <f aca="false">IFERROR(K153/I153,0)</f>
        <v>1.78617986055138</v>
      </c>
      <c r="M153" s="49" t="n">
        <f aca="false">IFERROR(I153/H153,0)</f>
        <v>107.072083961893</v>
      </c>
      <c r="N153" s="52" t="str">
        <f aca="false">'Model Inputs &amp; Assumptions'!$L$28</f>
        <v>PRD-EUAI</v>
      </c>
      <c r="P153" s="53" t="n">
        <v>-0.412622</v>
      </c>
      <c r="Q153" s="53" t="n">
        <v>0.583404</v>
      </c>
      <c r="R153" s="53" t="n">
        <v>0.514346</v>
      </c>
      <c r="S153" s="53" t="n">
        <v>0.851237</v>
      </c>
    </row>
    <row r="154" customFormat="false" ht="15" hidden="false" customHeight="false" outlineLevel="0" collapsed="false">
      <c r="A154" s="43" t="n">
        <v>151</v>
      </c>
      <c r="B154" s="44" t="str">
        <f aca="false">'Model Inputs &amp; Assumptions'!$B$28</f>
        <v>finanzen.net — Q1 Awareness Burst</v>
      </c>
      <c r="C154" s="45" t="n">
        <f aca="false">ROUND(MAX(0,'Model Inputs &amp; Assumptions'!$S$28*EXP('Model Inputs &amp; Assumptions'!$T$28*P154-'Model Inputs &amp; Assumptions'!$T$28^2/2)),0)</f>
        <v>384332</v>
      </c>
      <c r="D154" s="46" t="n">
        <f aca="false">MIN(1,'Model Inputs &amp; Assumptions'!$U$28*EXP('Model Inputs &amp; Assumptions'!$V$28*Q154-'Model Inputs &amp; Assumptions'!$V$28^2/2))</f>
        <v>0</v>
      </c>
      <c r="E154" s="45" t="n">
        <f aca="false">ROUND(C154*D154,0)</f>
        <v>0</v>
      </c>
      <c r="F154" s="47" t="n">
        <f aca="false">MIN(1,'Model Inputs &amp; Assumptions'!$W$28*EXP('Model Inputs &amp; Assumptions'!$X$28*R154-'Model Inputs &amp; Assumptions'!$X$28^2/2))</f>
        <v>0.00123456419357657</v>
      </c>
      <c r="G154" s="45" t="n">
        <f aca="false">ROUND(C154*F154,0)</f>
        <v>474</v>
      </c>
      <c r="H154" s="48" t="n">
        <f aca="false">MAX(0,(C154*'Model Inputs &amp; Assumptions'!$N$28+E154*'Model Inputs &amp; Assumptions'!$O$28+G154*'Model Inputs &amp; Assumptions'!$P$28)*EXP('Model Inputs &amp; Assumptions'!$Q$28*S154-'Model Inputs &amp; Assumptions'!$Q$28^2/2))</f>
        <v>15.3119829985522</v>
      </c>
      <c r="I154" s="49" t="n">
        <f aca="false">IF('Model Inputs &amp; Assumptions'!$H$28="Fixed",'Model Inputs &amp; Assumptions'!$I$28*'Model Inputs &amp; Assumptions'!$K$28,IF('Model Inputs &amp; Assumptions'!$H$28="CPM",'Model Inputs &amp; Assumptions'!$I$28*'Model Inputs &amp; Assumptions'!$K$28*C154/1000,IF('Model Inputs &amp; Assumptions'!$H$28="CPC",'Model Inputs &amp; Assumptions'!$I$28*'Model Inputs &amp; Assumptions'!$K$28*G154,0)))</f>
        <v>2498.158</v>
      </c>
      <c r="J154" s="50" t="n">
        <f aca="false">H154*INDEX('Model Inputs &amp; Assumptions'!$D$40:$D$42,MATCH('Model Inputs &amp; Assumptions'!$L$28,'Model Inputs &amp; Assumptions'!$A$40:$A$42,0))*INDEX('Model Inputs &amp; Assumptions'!$H$40:$H$42,MATCH('Model Inputs &amp; Assumptions'!$L$28,'Model Inputs &amp; Assumptions'!$A$40:$A$42,0))</f>
        <v>130151.855487694</v>
      </c>
      <c r="K154" s="49" t="n">
        <f aca="false">H154*INDEX('Model Inputs &amp; Assumptions'!$G$40:$G$42,MATCH('Model Inputs &amp; Assumptions'!$L$28,'Model Inputs &amp; Assumptions'!$A$40:$A$42,0))*INDEX('Model Inputs &amp; Assumptions'!$H$40:$H$42,MATCH('Model Inputs &amp; Assumptions'!$L$28,'Model Inputs &amp; Assumptions'!$A$40:$A$42,0))</f>
        <v>2928.41674847311</v>
      </c>
      <c r="L154" s="51" t="n">
        <f aca="false">IFERROR(K154/I154,0)</f>
        <v>1.17223039874704</v>
      </c>
      <c r="M154" s="49" t="n">
        <f aca="false">IFERROR(I154/H154,0)</f>
        <v>163.150520754641</v>
      </c>
      <c r="N154" s="52" t="str">
        <f aca="false">'Model Inputs &amp; Assumptions'!$L$28</f>
        <v>PRD-EUAI</v>
      </c>
      <c r="P154" s="53" t="n">
        <v>-0.908449</v>
      </c>
      <c r="Q154" s="53" t="n">
        <v>-1.302821</v>
      </c>
      <c r="R154" s="53" t="n">
        <v>-0.775214</v>
      </c>
      <c r="S154" s="53" t="n">
        <v>0.396621</v>
      </c>
    </row>
    <row r="155" customFormat="false" ht="15" hidden="false" customHeight="false" outlineLevel="0" collapsed="false">
      <c r="A155" s="43" t="n">
        <v>152</v>
      </c>
      <c r="B155" s="44" t="str">
        <f aca="false">'Model Inputs &amp; Assumptions'!$B$28</f>
        <v>finanzen.net — Q1 Awareness Burst</v>
      </c>
      <c r="C155" s="45" t="n">
        <f aca="false">ROUND(MAX(0,'Model Inputs &amp; Assumptions'!$S$28*EXP('Model Inputs &amp; Assumptions'!$T$28*P155-'Model Inputs &amp; Assumptions'!$T$28^2/2)),0)</f>
        <v>412446</v>
      </c>
      <c r="D155" s="46" t="n">
        <f aca="false">MIN(1,'Model Inputs &amp; Assumptions'!$U$28*EXP('Model Inputs &amp; Assumptions'!$V$28*Q155-'Model Inputs &amp; Assumptions'!$V$28^2/2))</f>
        <v>0</v>
      </c>
      <c r="E155" s="45" t="n">
        <f aca="false">ROUND(C155*D155,0)</f>
        <v>0</v>
      </c>
      <c r="F155" s="47" t="n">
        <f aca="false">MIN(1,'Model Inputs &amp; Assumptions'!$W$28*EXP('Model Inputs &amp; Assumptions'!$X$28*R155-'Model Inputs &amp; Assumptions'!$X$28^2/2))</f>
        <v>0.00167836701883802</v>
      </c>
      <c r="G155" s="45" t="n">
        <f aca="false">ROUND(C155*F155,0)</f>
        <v>692</v>
      </c>
      <c r="H155" s="48" t="n">
        <f aca="false">MAX(0,(C155*'Model Inputs &amp; Assumptions'!$N$28+E155*'Model Inputs &amp; Assumptions'!$O$28+G155*'Model Inputs &amp; Assumptions'!$P$28)*EXP('Model Inputs &amp; Assumptions'!$Q$28*S155-'Model Inputs &amp; Assumptions'!$Q$28^2/2))</f>
        <v>32.0705370035814</v>
      </c>
      <c r="I155" s="49" t="n">
        <f aca="false">IF('Model Inputs &amp; Assumptions'!$H$28="Fixed",'Model Inputs &amp; Assumptions'!$I$28*'Model Inputs &amp; Assumptions'!$K$28,IF('Model Inputs &amp; Assumptions'!$H$28="CPM",'Model Inputs &amp; Assumptions'!$I$28*'Model Inputs &amp; Assumptions'!$K$28*C155/1000,IF('Model Inputs &amp; Assumptions'!$H$28="CPC",'Model Inputs &amp; Assumptions'!$I$28*'Model Inputs &amp; Assumptions'!$K$28*G155,0)))</f>
        <v>2680.899</v>
      </c>
      <c r="J155" s="50" t="n">
        <f aca="false">H155*INDEX('Model Inputs &amp; Assumptions'!$D$40:$D$42,MATCH('Model Inputs &amp; Assumptions'!$L$28,'Model Inputs &amp; Assumptions'!$A$40:$A$42,0))*INDEX('Model Inputs &amp; Assumptions'!$H$40:$H$42,MATCH('Model Inputs &amp; Assumptions'!$L$28,'Model Inputs &amp; Assumptions'!$A$40:$A$42,0))</f>
        <v>272599.564530442</v>
      </c>
      <c r="K155" s="49" t="n">
        <f aca="false">H155*INDEX('Model Inputs &amp; Assumptions'!$G$40:$G$42,MATCH('Model Inputs &amp; Assumptions'!$L$28,'Model Inputs &amp; Assumptions'!$A$40:$A$42,0))*INDEX('Model Inputs &amp; Assumptions'!$H$40:$H$42,MATCH('Model Inputs &amp; Assumptions'!$L$28,'Model Inputs &amp; Assumptions'!$A$40:$A$42,0))</f>
        <v>6133.49020193494</v>
      </c>
      <c r="L155" s="51" t="n">
        <f aca="false">IFERROR(K155/I155,0)</f>
        <v>2.28784829340268</v>
      </c>
      <c r="M155" s="49" t="n">
        <f aca="false">IFERROR(I155/H155,0)</f>
        <v>83.5938294298164</v>
      </c>
      <c r="N155" s="52" t="str">
        <f aca="false">'Model Inputs &amp; Assumptions'!$L$28</f>
        <v>PRD-EUAI</v>
      </c>
      <c r="P155" s="53" t="n">
        <v>-0.516223</v>
      </c>
      <c r="Q155" s="53" t="n">
        <v>1.136444</v>
      </c>
      <c r="R155" s="53" t="n">
        <v>0.62071</v>
      </c>
      <c r="S155" s="53" t="n">
        <v>1.599699</v>
      </c>
    </row>
    <row r="156" customFormat="false" ht="15" hidden="false" customHeight="false" outlineLevel="0" collapsed="false">
      <c r="A156" s="43" t="n">
        <v>153</v>
      </c>
      <c r="B156" s="44" t="str">
        <f aca="false">'Model Inputs &amp; Assumptions'!$B$28</f>
        <v>finanzen.net — Q1 Awareness Burst</v>
      </c>
      <c r="C156" s="45" t="n">
        <f aca="false">ROUND(MAX(0,'Model Inputs &amp; Assumptions'!$S$28*EXP('Model Inputs &amp; Assumptions'!$T$28*P156-'Model Inputs &amp; Assumptions'!$T$28^2/2)),0)</f>
        <v>539637</v>
      </c>
      <c r="D156" s="46" t="n">
        <f aca="false">MIN(1,'Model Inputs &amp; Assumptions'!$U$28*EXP('Model Inputs &amp; Assumptions'!$V$28*Q156-'Model Inputs &amp; Assumptions'!$V$28^2/2))</f>
        <v>0</v>
      </c>
      <c r="E156" s="45" t="n">
        <f aca="false">ROUND(C156*D156,0)</f>
        <v>0</v>
      </c>
      <c r="F156" s="47" t="n">
        <f aca="false">MIN(1,'Model Inputs &amp; Assumptions'!$W$28*EXP('Model Inputs &amp; Assumptions'!$X$28*R156-'Model Inputs &amp; Assumptions'!$X$28^2/2))</f>
        <v>0.00161381549525895</v>
      </c>
      <c r="G156" s="45" t="n">
        <f aca="false">ROUND(C156*F156,0)</f>
        <v>871</v>
      </c>
      <c r="H156" s="48" t="n">
        <f aca="false">MAX(0,(C156*'Model Inputs &amp; Assumptions'!$N$28+E156*'Model Inputs &amp; Assumptions'!$O$28+G156*'Model Inputs &amp; Assumptions'!$P$28)*EXP('Model Inputs &amp; Assumptions'!$Q$28*S156-'Model Inputs &amp; Assumptions'!$Q$28^2/2))</f>
        <v>18.9179740774683</v>
      </c>
      <c r="I156" s="49" t="n">
        <f aca="false">IF('Model Inputs &amp; Assumptions'!$H$28="Fixed",'Model Inputs &amp; Assumptions'!$I$28*'Model Inputs &amp; Assumptions'!$K$28,IF('Model Inputs &amp; Assumptions'!$H$28="CPM",'Model Inputs &amp; Assumptions'!$I$28*'Model Inputs &amp; Assumptions'!$K$28*C156/1000,IF('Model Inputs &amp; Assumptions'!$H$28="CPC",'Model Inputs &amp; Assumptions'!$I$28*'Model Inputs &amp; Assumptions'!$K$28*G156,0)))</f>
        <v>3507.6405</v>
      </c>
      <c r="J156" s="50" t="n">
        <f aca="false">H156*INDEX('Model Inputs &amp; Assumptions'!$D$40:$D$42,MATCH('Model Inputs &amp; Assumptions'!$L$28,'Model Inputs &amp; Assumptions'!$A$40:$A$42,0))*INDEX('Model Inputs &amp; Assumptions'!$H$40:$H$42,MATCH('Model Inputs &amp; Assumptions'!$L$28,'Model Inputs &amp; Assumptions'!$A$40:$A$42,0))</f>
        <v>160802.77965848</v>
      </c>
      <c r="K156" s="49" t="n">
        <f aca="false">H156*INDEX('Model Inputs &amp; Assumptions'!$G$40:$G$42,MATCH('Model Inputs &amp; Assumptions'!$L$28,'Model Inputs &amp; Assumptions'!$A$40:$A$42,0))*INDEX('Model Inputs &amp; Assumptions'!$H$40:$H$42,MATCH('Model Inputs &amp; Assumptions'!$L$28,'Model Inputs &amp; Assumptions'!$A$40:$A$42,0))</f>
        <v>3618.0625423158</v>
      </c>
      <c r="L156" s="51" t="n">
        <f aca="false">IFERROR(K156/I156,0)</f>
        <v>1.03148043316178</v>
      </c>
      <c r="M156" s="49" t="n">
        <f aca="false">IFERROR(I156/H156,0)</f>
        <v>185.413114831238</v>
      </c>
      <c r="N156" s="52" t="str">
        <f aca="false">'Model Inputs &amp; Assumptions'!$L$28</f>
        <v>PRD-EUAI</v>
      </c>
      <c r="P156" s="53" t="n">
        <v>0.977054</v>
      </c>
      <c r="Q156" s="53" t="n">
        <v>-0.194129</v>
      </c>
      <c r="R156" s="53" t="n">
        <v>0.442437</v>
      </c>
      <c r="S156" s="53" t="n">
        <v>-0.926572</v>
      </c>
    </row>
    <row r="157" customFormat="false" ht="15" hidden="false" customHeight="false" outlineLevel="0" collapsed="false">
      <c r="A157" s="43" t="n">
        <v>154</v>
      </c>
      <c r="B157" s="44" t="str">
        <f aca="false">'Model Inputs &amp; Assumptions'!$B$28</f>
        <v>finanzen.net — Q1 Awareness Burst</v>
      </c>
      <c r="C157" s="45" t="n">
        <f aca="false">ROUND(MAX(0,'Model Inputs &amp; Assumptions'!$S$28*EXP('Model Inputs &amp; Assumptions'!$T$28*P157-'Model Inputs &amp; Assumptions'!$T$28^2/2)),0)</f>
        <v>600342</v>
      </c>
      <c r="D157" s="46" t="n">
        <f aca="false">MIN(1,'Model Inputs &amp; Assumptions'!$U$28*EXP('Model Inputs &amp; Assumptions'!$V$28*Q157-'Model Inputs &amp; Assumptions'!$V$28^2/2))</f>
        <v>0</v>
      </c>
      <c r="E157" s="45" t="n">
        <f aca="false">ROUND(C157*D157,0)</f>
        <v>0</v>
      </c>
      <c r="F157" s="47" t="n">
        <f aca="false">MIN(1,'Model Inputs &amp; Assumptions'!$W$28*EXP('Model Inputs &amp; Assumptions'!$X$28*R157-'Model Inputs &amp; Assumptions'!$X$28^2/2))</f>
        <v>0.00109791379393714</v>
      </c>
      <c r="G157" s="45" t="n">
        <f aca="false">ROUND(C157*F157,0)</f>
        <v>659</v>
      </c>
      <c r="H157" s="48" t="n">
        <f aca="false">MAX(0,(C157*'Model Inputs &amp; Assumptions'!$N$28+E157*'Model Inputs &amp; Assumptions'!$O$28+G157*'Model Inputs &amp; Assumptions'!$P$28)*EXP('Model Inputs &amp; Assumptions'!$Q$28*S157-'Model Inputs &amp; Assumptions'!$Q$28^2/2))</f>
        <v>19.157750070612</v>
      </c>
      <c r="I157" s="49" t="n">
        <f aca="false">IF('Model Inputs &amp; Assumptions'!$H$28="Fixed",'Model Inputs &amp; Assumptions'!$I$28*'Model Inputs &amp; Assumptions'!$K$28,IF('Model Inputs &amp; Assumptions'!$H$28="CPM",'Model Inputs &amp; Assumptions'!$I$28*'Model Inputs &amp; Assumptions'!$K$28*C157/1000,IF('Model Inputs &amp; Assumptions'!$H$28="CPC",'Model Inputs &amp; Assumptions'!$I$28*'Model Inputs &amp; Assumptions'!$K$28*G157,0)))</f>
        <v>3902.223</v>
      </c>
      <c r="J157" s="50" t="n">
        <f aca="false">H157*INDEX('Model Inputs &amp; Assumptions'!$D$40:$D$42,MATCH('Model Inputs &amp; Assumptions'!$L$28,'Model Inputs &amp; Assumptions'!$A$40:$A$42,0))*INDEX('Model Inputs &amp; Assumptions'!$H$40:$H$42,MATCH('Model Inputs &amp; Assumptions'!$L$28,'Model Inputs &amp; Assumptions'!$A$40:$A$42,0))</f>
        <v>162840.875600202</v>
      </c>
      <c r="K157" s="49" t="n">
        <f aca="false">H157*INDEX('Model Inputs &amp; Assumptions'!$G$40:$G$42,MATCH('Model Inputs &amp; Assumptions'!$L$28,'Model Inputs &amp; Assumptions'!$A$40:$A$42,0))*INDEX('Model Inputs &amp; Assumptions'!$H$40:$H$42,MATCH('Model Inputs &amp; Assumptions'!$L$28,'Model Inputs &amp; Assumptions'!$A$40:$A$42,0))</f>
        <v>3663.91970100455</v>
      </c>
      <c r="L157" s="51" t="n">
        <f aca="false">IFERROR(K157/I157,0)</f>
        <v>0.938931399103676</v>
      </c>
      <c r="M157" s="49" t="n">
        <f aca="false">IFERROR(I157/H157,0)</f>
        <v>203.689002394181</v>
      </c>
      <c r="N157" s="52" t="str">
        <f aca="false">'Model Inputs &amp; Assumptions'!$L$28</f>
        <v>PRD-EUAI</v>
      </c>
      <c r="P157" s="53" t="n">
        <v>1.569295</v>
      </c>
      <c r="Q157" s="53" t="n">
        <v>0.73514</v>
      </c>
      <c r="R157" s="53" t="n">
        <v>-1.308424</v>
      </c>
      <c r="S157" s="53" t="n">
        <v>0.045139</v>
      </c>
    </row>
    <row r="158" customFormat="false" ht="15" hidden="false" customHeight="false" outlineLevel="0" collapsed="false">
      <c r="A158" s="43" t="n">
        <v>155</v>
      </c>
      <c r="B158" s="44" t="str">
        <f aca="false">'Model Inputs &amp; Assumptions'!$B$28</f>
        <v>finanzen.net — Q1 Awareness Burst</v>
      </c>
      <c r="C158" s="45" t="n">
        <f aca="false">ROUND(MAX(0,'Model Inputs &amp; Assumptions'!$S$28*EXP('Model Inputs &amp; Assumptions'!$T$28*P158-'Model Inputs &amp; Assumptions'!$T$28^2/2)),0)</f>
        <v>438066</v>
      </c>
      <c r="D158" s="46" t="n">
        <f aca="false">MIN(1,'Model Inputs &amp; Assumptions'!$U$28*EXP('Model Inputs &amp; Assumptions'!$V$28*Q158-'Model Inputs &amp; Assumptions'!$V$28^2/2))</f>
        <v>0</v>
      </c>
      <c r="E158" s="45" t="n">
        <f aca="false">ROUND(C158*D158,0)</f>
        <v>0</v>
      </c>
      <c r="F158" s="47" t="n">
        <f aca="false">MIN(1,'Model Inputs &amp; Assumptions'!$W$28*EXP('Model Inputs &amp; Assumptions'!$X$28*R158-'Model Inputs &amp; Assumptions'!$X$28^2/2))</f>
        <v>0.00147650449728754</v>
      </c>
      <c r="G158" s="45" t="n">
        <f aca="false">ROUND(C158*F158,0)</f>
        <v>647</v>
      </c>
      <c r="H158" s="48" t="n">
        <f aca="false">MAX(0,(C158*'Model Inputs &amp; Assumptions'!$N$28+E158*'Model Inputs &amp; Assumptions'!$O$28+G158*'Model Inputs &amp; Assumptions'!$P$28)*EXP('Model Inputs &amp; Assumptions'!$Q$28*S158-'Model Inputs &amp; Assumptions'!$Q$28^2/2))</f>
        <v>19.1718852728624</v>
      </c>
      <c r="I158" s="49" t="n">
        <f aca="false">IF('Model Inputs &amp; Assumptions'!$H$28="Fixed",'Model Inputs &amp; Assumptions'!$I$28*'Model Inputs &amp; Assumptions'!$K$28,IF('Model Inputs &amp; Assumptions'!$H$28="CPM",'Model Inputs &amp; Assumptions'!$I$28*'Model Inputs &amp; Assumptions'!$K$28*C158/1000,IF('Model Inputs &amp; Assumptions'!$H$28="CPC",'Model Inputs &amp; Assumptions'!$I$28*'Model Inputs &amp; Assumptions'!$K$28*G158,0)))</f>
        <v>2847.429</v>
      </c>
      <c r="J158" s="50" t="n">
        <f aca="false">H158*INDEX('Model Inputs &amp; Assumptions'!$D$40:$D$42,MATCH('Model Inputs &amp; Assumptions'!$L$28,'Model Inputs &amp; Assumptions'!$A$40:$A$42,0))*INDEX('Model Inputs &amp; Assumptions'!$H$40:$H$42,MATCH('Model Inputs &amp; Assumptions'!$L$28,'Model Inputs &amp; Assumptions'!$A$40:$A$42,0))</f>
        <v>162961.02481933</v>
      </c>
      <c r="K158" s="49" t="n">
        <f aca="false">H158*INDEX('Model Inputs &amp; Assumptions'!$G$40:$G$42,MATCH('Model Inputs &amp; Assumptions'!$L$28,'Model Inputs &amp; Assumptions'!$A$40:$A$42,0))*INDEX('Model Inputs &amp; Assumptions'!$H$40:$H$42,MATCH('Model Inputs &amp; Assumptions'!$L$28,'Model Inputs &amp; Assumptions'!$A$40:$A$42,0))</f>
        <v>3666.62305843493</v>
      </c>
      <c r="L158" s="51" t="n">
        <f aca="false">IFERROR(K158/I158,0)</f>
        <v>1.2876960438469</v>
      </c>
      <c r="M158" s="49" t="n">
        <f aca="false">IFERROR(I158/H158,0)</f>
        <v>148.521074452209</v>
      </c>
      <c r="N158" s="52" t="str">
        <f aca="false">'Model Inputs &amp; Assumptions'!$L$28</f>
        <v>PRD-EUAI</v>
      </c>
      <c r="P158" s="53" t="n">
        <v>-0.181428</v>
      </c>
      <c r="Q158" s="53" t="n">
        <v>0.526765</v>
      </c>
      <c r="R158" s="53" t="n">
        <v>0.038238</v>
      </c>
      <c r="S158" s="53" t="n">
        <v>0.108855</v>
      </c>
    </row>
    <row r="159" customFormat="false" ht="15" hidden="false" customHeight="false" outlineLevel="0" collapsed="false">
      <c r="A159" s="43" t="n">
        <v>156</v>
      </c>
      <c r="B159" s="44" t="str">
        <f aca="false">'Model Inputs &amp; Assumptions'!$B$28</f>
        <v>finanzen.net — Q1 Awareness Burst</v>
      </c>
      <c r="C159" s="45" t="n">
        <f aca="false">ROUND(MAX(0,'Model Inputs &amp; Assumptions'!$S$28*EXP('Model Inputs &amp; Assumptions'!$T$28*P159-'Model Inputs &amp; Assumptions'!$T$28^2/2)),0)</f>
        <v>403650</v>
      </c>
      <c r="D159" s="46" t="n">
        <f aca="false">MIN(1,'Model Inputs &amp; Assumptions'!$U$28*EXP('Model Inputs &amp; Assumptions'!$V$28*Q159-'Model Inputs &amp; Assumptions'!$V$28^2/2))</f>
        <v>0</v>
      </c>
      <c r="E159" s="45" t="n">
        <f aca="false">ROUND(C159*D159,0)</f>
        <v>0</v>
      </c>
      <c r="F159" s="47" t="n">
        <f aca="false">MIN(1,'Model Inputs &amp; Assumptions'!$W$28*EXP('Model Inputs &amp; Assumptions'!$X$28*R159-'Model Inputs &amp; Assumptions'!$X$28^2/2))</f>
        <v>0.00147540827501081</v>
      </c>
      <c r="G159" s="45" t="n">
        <f aca="false">ROUND(C159*F159,0)</f>
        <v>596</v>
      </c>
      <c r="H159" s="48" t="n">
        <f aca="false">MAX(0,(C159*'Model Inputs &amp; Assumptions'!$N$28+E159*'Model Inputs &amp; Assumptions'!$O$28+G159*'Model Inputs &amp; Assumptions'!$P$28)*EXP('Model Inputs &amp; Assumptions'!$Q$28*S159-'Model Inputs &amp; Assumptions'!$Q$28^2/2))</f>
        <v>13.0671071725546</v>
      </c>
      <c r="I159" s="49" t="n">
        <f aca="false">IF('Model Inputs &amp; Assumptions'!$H$28="Fixed",'Model Inputs &amp; Assumptions'!$I$28*'Model Inputs &amp; Assumptions'!$K$28,IF('Model Inputs &amp; Assumptions'!$H$28="CPM",'Model Inputs &amp; Assumptions'!$I$28*'Model Inputs &amp; Assumptions'!$K$28*C159/1000,IF('Model Inputs &amp; Assumptions'!$H$28="CPC",'Model Inputs &amp; Assumptions'!$I$28*'Model Inputs &amp; Assumptions'!$K$28*G159,0)))</f>
        <v>2623.725</v>
      </c>
      <c r="J159" s="50" t="n">
        <f aca="false">H159*INDEX('Model Inputs &amp; Assumptions'!$D$40:$D$42,MATCH('Model Inputs &amp; Assumptions'!$L$28,'Model Inputs &amp; Assumptions'!$A$40:$A$42,0))*INDEX('Model Inputs &amp; Assumptions'!$H$40:$H$42,MATCH('Model Inputs &amp; Assumptions'!$L$28,'Model Inputs &amp; Assumptions'!$A$40:$A$42,0))</f>
        <v>111070.410966714</v>
      </c>
      <c r="K159" s="49" t="n">
        <f aca="false">H159*INDEX('Model Inputs &amp; Assumptions'!$G$40:$G$42,MATCH('Model Inputs &amp; Assumptions'!$L$28,'Model Inputs &amp; Assumptions'!$A$40:$A$42,0))*INDEX('Model Inputs &amp; Assumptions'!$H$40:$H$42,MATCH('Model Inputs &amp; Assumptions'!$L$28,'Model Inputs &amp; Assumptions'!$A$40:$A$42,0))</f>
        <v>2499.08424675107</v>
      </c>
      <c r="L159" s="51" t="n">
        <f aca="false">IFERROR(K159/I159,0)</f>
        <v>0.952494734299926</v>
      </c>
      <c r="M159" s="49" t="n">
        <f aca="false">IFERROR(I159/H159,0)</f>
        <v>200.788511592735</v>
      </c>
      <c r="N159" s="52" t="str">
        <f aca="false">'Model Inputs &amp; Assumptions'!$L$28</f>
        <v>PRD-EUAI</v>
      </c>
      <c r="P159" s="53" t="n">
        <v>-0.635989</v>
      </c>
      <c r="Q159" s="53" t="n">
        <v>0.653902</v>
      </c>
      <c r="R159" s="53" t="n">
        <v>0.034862</v>
      </c>
      <c r="S159" s="53" t="n">
        <v>-0.895282</v>
      </c>
    </row>
    <row r="160" customFormat="false" ht="15" hidden="false" customHeight="false" outlineLevel="0" collapsed="false">
      <c r="A160" s="43" t="n">
        <v>157</v>
      </c>
      <c r="B160" s="44" t="str">
        <f aca="false">'Model Inputs &amp; Assumptions'!$B$28</f>
        <v>finanzen.net — Q1 Awareness Burst</v>
      </c>
      <c r="C160" s="45" t="n">
        <f aca="false">ROUND(MAX(0,'Model Inputs &amp; Assumptions'!$S$28*EXP('Model Inputs &amp; Assumptions'!$T$28*P160-'Model Inputs &amp; Assumptions'!$T$28^2/2)),0)</f>
        <v>673639</v>
      </c>
      <c r="D160" s="46" t="n">
        <f aca="false">MIN(1,'Model Inputs &amp; Assumptions'!$U$28*EXP('Model Inputs &amp; Assumptions'!$V$28*Q160-'Model Inputs &amp; Assumptions'!$V$28^2/2))</f>
        <v>0</v>
      </c>
      <c r="E160" s="45" t="n">
        <f aca="false">ROUND(C160*D160,0)</f>
        <v>0</v>
      </c>
      <c r="F160" s="47" t="n">
        <f aca="false">MIN(1,'Model Inputs &amp; Assumptions'!$W$28*EXP('Model Inputs &amp; Assumptions'!$X$28*R160-'Model Inputs &amp; Assumptions'!$X$28^2/2))</f>
        <v>0.00205468314375895</v>
      </c>
      <c r="G160" s="45" t="n">
        <f aca="false">ROUND(C160*F160,0)</f>
        <v>1384</v>
      </c>
      <c r="H160" s="48" t="n">
        <f aca="false">MAX(0,(C160*'Model Inputs &amp; Assumptions'!$N$28+E160*'Model Inputs &amp; Assumptions'!$O$28+G160*'Model Inputs &amp; Assumptions'!$P$28)*EXP('Model Inputs &amp; Assumptions'!$Q$28*S160-'Model Inputs &amp; Assumptions'!$Q$28^2/2))</f>
        <v>35.8945415817509</v>
      </c>
      <c r="I160" s="49" t="n">
        <f aca="false">IF('Model Inputs &amp; Assumptions'!$H$28="Fixed",'Model Inputs &amp; Assumptions'!$I$28*'Model Inputs &amp; Assumptions'!$K$28,IF('Model Inputs &amp; Assumptions'!$H$28="CPM",'Model Inputs &amp; Assumptions'!$I$28*'Model Inputs &amp; Assumptions'!$K$28*C160/1000,IF('Model Inputs &amp; Assumptions'!$H$28="CPC",'Model Inputs &amp; Assumptions'!$I$28*'Model Inputs &amp; Assumptions'!$K$28*G160,0)))</f>
        <v>4378.6535</v>
      </c>
      <c r="J160" s="50" t="n">
        <f aca="false">H160*INDEX('Model Inputs &amp; Assumptions'!$D$40:$D$42,MATCH('Model Inputs &amp; Assumptions'!$L$28,'Model Inputs &amp; Assumptions'!$A$40:$A$42,0))*INDEX('Model Inputs &amp; Assumptions'!$H$40:$H$42,MATCH('Model Inputs &amp; Assumptions'!$L$28,'Model Inputs &amp; Assumptions'!$A$40:$A$42,0))</f>
        <v>305103.603444883</v>
      </c>
      <c r="K160" s="49" t="n">
        <f aca="false">H160*INDEX('Model Inputs &amp; Assumptions'!$G$40:$G$42,MATCH('Model Inputs &amp; Assumptions'!$L$28,'Model Inputs &amp; Assumptions'!$A$40:$A$42,0))*INDEX('Model Inputs &amp; Assumptions'!$H$40:$H$42,MATCH('Model Inputs &amp; Assumptions'!$L$28,'Model Inputs &amp; Assumptions'!$A$40:$A$42,0))</f>
        <v>6864.83107750987</v>
      </c>
      <c r="L160" s="51" t="n">
        <f aca="false">IFERROR(K160/I160,0)</f>
        <v>1.56779500307797</v>
      </c>
      <c r="M160" s="49" t="n">
        <f aca="false">IFERROR(I160/H160,0)</f>
        <v>121.986611530544</v>
      </c>
      <c r="N160" s="52" t="str">
        <f aca="false">'Model Inputs &amp; Assumptions'!$L$28</f>
        <v>PRD-EUAI</v>
      </c>
      <c r="P160" s="53" t="n">
        <v>2.209268</v>
      </c>
      <c r="Q160" s="53" t="n">
        <v>-1.06277</v>
      </c>
      <c r="R160" s="53" t="n">
        <v>1.540257</v>
      </c>
      <c r="S160" s="53" t="n">
        <v>-0.3353</v>
      </c>
    </row>
    <row r="161" customFormat="false" ht="15" hidden="false" customHeight="false" outlineLevel="0" collapsed="false">
      <c r="A161" s="43" t="n">
        <v>158</v>
      </c>
      <c r="B161" s="44" t="str">
        <f aca="false">'Model Inputs &amp; Assumptions'!$B$28</f>
        <v>finanzen.net — Q1 Awareness Burst</v>
      </c>
      <c r="C161" s="45" t="n">
        <f aca="false">ROUND(MAX(0,'Model Inputs &amp; Assumptions'!$S$28*EXP('Model Inputs &amp; Assumptions'!$T$28*P161-'Model Inputs &amp; Assumptions'!$T$28^2/2)),0)</f>
        <v>397637</v>
      </c>
      <c r="D161" s="46" t="n">
        <f aca="false">MIN(1,'Model Inputs &amp; Assumptions'!$U$28*EXP('Model Inputs &amp; Assumptions'!$V$28*Q161-'Model Inputs &amp; Assumptions'!$V$28^2/2))</f>
        <v>0</v>
      </c>
      <c r="E161" s="45" t="n">
        <f aca="false">ROUND(C161*D161,0)</f>
        <v>0</v>
      </c>
      <c r="F161" s="47" t="n">
        <f aca="false">MIN(1,'Model Inputs &amp; Assumptions'!$W$28*EXP('Model Inputs &amp; Assumptions'!$X$28*R161-'Model Inputs &amp; Assumptions'!$X$28^2/2))</f>
        <v>0.0018838375910419</v>
      </c>
      <c r="G161" s="45" t="n">
        <f aca="false">ROUND(C161*F161,0)</f>
        <v>749</v>
      </c>
      <c r="H161" s="48" t="n">
        <f aca="false">MAX(0,(C161*'Model Inputs &amp; Assumptions'!$N$28+E161*'Model Inputs &amp; Assumptions'!$O$28+G161*'Model Inputs &amp; Assumptions'!$P$28)*EXP('Model Inputs &amp; Assumptions'!$Q$28*S161-'Model Inputs &amp; Assumptions'!$Q$28^2/2))</f>
        <v>25.5796313960463</v>
      </c>
      <c r="I161" s="49" t="n">
        <f aca="false">IF('Model Inputs &amp; Assumptions'!$H$28="Fixed",'Model Inputs &amp; Assumptions'!$I$28*'Model Inputs &amp; Assumptions'!$K$28,IF('Model Inputs &amp; Assumptions'!$H$28="CPM",'Model Inputs &amp; Assumptions'!$I$28*'Model Inputs &amp; Assumptions'!$K$28*C161/1000,IF('Model Inputs &amp; Assumptions'!$H$28="CPC",'Model Inputs &amp; Assumptions'!$I$28*'Model Inputs &amp; Assumptions'!$K$28*G161,0)))</f>
        <v>2584.6405</v>
      </c>
      <c r="J161" s="50" t="n">
        <f aca="false">H161*INDEX('Model Inputs &amp; Assumptions'!$D$40:$D$42,MATCH('Model Inputs &amp; Assumptions'!$L$28,'Model Inputs &amp; Assumptions'!$A$40:$A$42,0))*INDEX('Model Inputs &amp; Assumptions'!$H$40:$H$42,MATCH('Model Inputs &amp; Assumptions'!$L$28,'Model Inputs &amp; Assumptions'!$A$40:$A$42,0))</f>
        <v>217426.866866394</v>
      </c>
      <c r="K161" s="49" t="n">
        <f aca="false">H161*INDEX('Model Inputs &amp; Assumptions'!$G$40:$G$42,MATCH('Model Inputs &amp; Assumptions'!$L$28,'Model Inputs &amp; Assumptions'!$A$40:$A$42,0))*INDEX('Model Inputs &amp; Assumptions'!$H$40:$H$42,MATCH('Model Inputs &amp; Assumptions'!$L$28,'Model Inputs &amp; Assumptions'!$A$40:$A$42,0))</f>
        <v>4892.10450449386</v>
      </c>
      <c r="L161" s="51" t="n">
        <f aca="false">IFERROR(K161/I161,0)</f>
        <v>1.89276013607844</v>
      </c>
      <c r="M161" s="49" t="n">
        <f aca="false">IFERROR(I161/H161,0)</f>
        <v>101.042914183646</v>
      </c>
      <c r="N161" s="52" t="str">
        <f aca="false">'Model Inputs &amp; Assumptions'!$L$28</f>
        <v>PRD-EUAI</v>
      </c>
      <c r="P161" s="53" t="n">
        <v>-0.719377</v>
      </c>
      <c r="Q161" s="53" t="n">
        <v>1.578936</v>
      </c>
      <c r="R161" s="53" t="n">
        <v>1.145663</v>
      </c>
      <c r="S161" s="53" t="n">
        <v>0.582051</v>
      </c>
    </row>
    <row r="162" customFormat="false" ht="15" hidden="false" customHeight="false" outlineLevel="0" collapsed="false">
      <c r="A162" s="43" t="n">
        <v>159</v>
      </c>
      <c r="B162" s="44" t="str">
        <f aca="false">'Model Inputs &amp; Assumptions'!$B$28</f>
        <v>finanzen.net — Q1 Awareness Burst</v>
      </c>
      <c r="C162" s="45" t="n">
        <f aca="false">ROUND(MAX(0,'Model Inputs &amp; Assumptions'!$S$28*EXP('Model Inputs &amp; Assumptions'!$T$28*P162-'Model Inputs &amp; Assumptions'!$T$28^2/2)),0)</f>
        <v>381379</v>
      </c>
      <c r="D162" s="46" t="n">
        <f aca="false">MIN(1,'Model Inputs &amp; Assumptions'!$U$28*EXP('Model Inputs &amp; Assumptions'!$V$28*Q162-'Model Inputs &amp; Assumptions'!$V$28^2/2))</f>
        <v>0</v>
      </c>
      <c r="E162" s="45" t="n">
        <f aca="false">ROUND(C162*D162,0)</f>
        <v>0</v>
      </c>
      <c r="F162" s="47" t="n">
        <f aca="false">MIN(1,'Model Inputs &amp; Assumptions'!$W$28*EXP('Model Inputs &amp; Assumptions'!$X$28*R162-'Model Inputs &amp; Assumptions'!$X$28^2/2))</f>
        <v>0.00196098627480108</v>
      </c>
      <c r="G162" s="45" t="n">
        <f aca="false">ROUND(C162*F162,0)</f>
        <v>748</v>
      </c>
      <c r="H162" s="48" t="n">
        <f aca="false">MAX(0,(C162*'Model Inputs &amp; Assumptions'!$N$28+E162*'Model Inputs &amp; Assumptions'!$O$28+G162*'Model Inputs &amp; Assumptions'!$P$28)*EXP('Model Inputs &amp; Assumptions'!$Q$28*S162-'Model Inputs &amp; Assumptions'!$Q$28^2/2))</f>
        <v>18.7852611439077</v>
      </c>
      <c r="I162" s="49" t="n">
        <f aca="false">IF('Model Inputs &amp; Assumptions'!$H$28="Fixed",'Model Inputs &amp; Assumptions'!$I$28*'Model Inputs &amp; Assumptions'!$K$28,IF('Model Inputs &amp; Assumptions'!$H$28="CPM",'Model Inputs &amp; Assumptions'!$I$28*'Model Inputs &amp; Assumptions'!$K$28*C162/1000,IF('Model Inputs &amp; Assumptions'!$H$28="CPC",'Model Inputs &amp; Assumptions'!$I$28*'Model Inputs &amp; Assumptions'!$K$28*G162,0)))</f>
        <v>2478.9635</v>
      </c>
      <c r="J162" s="50" t="n">
        <f aca="false">H162*INDEX('Model Inputs &amp; Assumptions'!$D$40:$D$42,MATCH('Model Inputs &amp; Assumptions'!$L$28,'Model Inputs &amp; Assumptions'!$A$40:$A$42,0))*INDEX('Model Inputs &amp; Assumptions'!$H$40:$H$42,MATCH('Model Inputs &amp; Assumptions'!$L$28,'Model Inputs &amp; Assumptions'!$A$40:$A$42,0))</f>
        <v>159674.719723216</v>
      </c>
      <c r="K162" s="49" t="n">
        <f aca="false">H162*INDEX('Model Inputs &amp; Assumptions'!$G$40:$G$42,MATCH('Model Inputs &amp; Assumptions'!$L$28,'Model Inputs &amp; Assumptions'!$A$40:$A$42,0))*INDEX('Model Inputs &amp; Assumptions'!$H$40:$H$42,MATCH('Model Inputs &amp; Assumptions'!$L$28,'Model Inputs &amp; Assumptions'!$A$40:$A$42,0))</f>
        <v>3592.68119377235</v>
      </c>
      <c r="L162" s="51" t="n">
        <f aca="false">IFERROR(K162/I162,0)</f>
        <v>1.44926748367709</v>
      </c>
      <c r="M162" s="49" t="n">
        <f aca="false">IFERROR(I162/H162,0)</f>
        <v>131.963217386731</v>
      </c>
      <c r="N162" s="52" t="str">
        <f aca="false">'Model Inputs &amp; Assumptions'!$L$28</f>
        <v>PRD-EUAI</v>
      </c>
      <c r="P162" s="53" t="n">
        <v>-0.951293</v>
      </c>
      <c r="Q162" s="53" t="n">
        <v>-1.059102</v>
      </c>
      <c r="R162" s="53" t="n">
        <v>1.328102</v>
      </c>
      <c r="S162" s="53" t="n">
        <v>-0.442575</v>
      </c>
    </row>
    <row r="163" customFormat="false" ht="15" hidden="false" customHeight="false" outlineLevel="0" collapsed="false">
      <c r="A163" s="43" t="n">
        <v>160</v>
      </c>
      <c r="B163" s="44" t="str">
        <f aca="false">'Model Inputs &amp; Assumptions'!$B$28</f>
        <v>finanzen.net — Q1 Awareness Burst</v>
      </c>
      <c r="C163" s="45" t="n">
        <f aca="false">ROUND(MAX(0,'Model Inputs &amp; Assumptions'!$S$28*EXP('Model Inputs &amp; Assumptions'!$T$28*P163-'Model Inputs &amp; Assumptions'!$T$28^2/2)),0)</f>
        <v>449561</v>
      </c>
      <c r="D163" s="46" t="n">
        <f aca="false">MIN(1,'Model Inputs &amp; Assumptions'!$U$28*EXP('Model Inputs &amp; Assumptions'!$V$28*Q163-'Model Inputs &amp; Assumptions'!$V$28^2/2))</f>
        <v>0</v>
      </c>
      <c r="E163" s="45" t="n">
        <f aca="false">ROUND(C163*D163,0)</f>
        <v>0</v>
      </c>
      <c r="F163" s="47" t="n">
        <f aca="false">MIN(1,'Model Inputs &amp; Assumptions'!$W$28*EXP('Model Inputs &amp; Assumptions'!$X$28*R163-'Model Inputs &amp; Assumptions'!$X$28^2/2))</f>
        <v>0.00154110721382734</v>
      </c>
      <c r="G163" s="45" t="n">
        <f aca="false">ROUND(C163*F163,0)</f>
        <v>693</v>
      </c>
      <c r="H163" s="48" t="n">
        <f aca="false">MAX(0,(C163*'Model Inputs &amp; Assumptions'!$N$28+E163*'Model Inputs &amp; Assumptions'!$O$28+G163*'Model Inputs &amp; Assumptions'!$P$28)*EXP('Model Inputs &amp; Assumptions'!$Q$28*S163-'Model Inputs &amp; Assumptions'!$Q$28^2/2))</f>
        <v>16.0492689759654</v>
      </c>
      <c r="I163" s="49" t="n">
        <f aca="false">IF('Model Inputs &amp; Assumptions'!$H$28="Fixed",'Model Inputs &amp; Assumptions'!$I$28*'Model Inputs &amp; Assumptions'!$K$28,IF('Model Inputs &amp; Assumptions'!$H$28="CPM",'Model Inputs &amp; Assumptions'!$I$28*'Model Inputs &amp; Assumptions'!$K$28*C163/1000,IF('Model Inputs &amp; Assumptions'!$H$28="CPC",'Model Inputs &amp; Assumptions'!$I$28*'Model Inputs &amp; Assumptions'!$K$28*G163,0)))</f>
        <v>2922.1465</v>
      </c>
      <c r="J163" s="50" t="n">
        <f aca="false">H163*INDEX('Model Inputs &amp; Assumptions'!$D$40:$D$42,MATCH('Model Inputs &amp; Assumptions'!$L$28,'Model Inputs &amp; Assumptions'!$A$40:$A$42,0))*INDEX('Model Inputs &amp; Assumptions'!$H$40:$H$42,MATCH('Model Inputs &amp; Assumptions'!$L$28,'Model Inputs &amp; Assumptions'!$A$40:$A$42,0))</f>
        <v>136418.786295706</v>
      </c>
      <c r="K163" s="49" t="n">
        <f aca="false">H163*INDEX('Model Inputs &amp; Assumptions'!$G$40:$G$42,MATCH('Model Inputs &amp; Assumptions'!$L$28,'Model Inputs &amp; Assumptions'!$A$40:$A$42,0))*INDEX('Model Inputs &amp; Assumptions'!$H$40:$H$42,MATCH('Model Inputs &amp; Assumptions'!$L$28,'Model Inputs &amp; Assumptions'!$A$40:$A$42,0))</f>
        <v>3069.42269165338</v>
      </c>
      <c r="L163" s="51" t="n">
        <f aca="false">IFERROR(K163/I163,0)</f>
        <v>1.05040000275598</v>
      </c>
      <c r="M163" s="49" t="n">
        <f aca="false">IFERROR(I163/H163,0)</f>
        <v>182.073495333405</v>
      </c>
      <c r="N163" s="52" t="str">
        <f aca="false">'Model Inputs &amp; Assumptions'!$L$28</f>
        <v>PRD-EUAI</v>
      </c>
      <c r="P163" s="53" t="n">
        <v>-0.037531</v>
      </c>
      <c r="Q163" s="53" t="n">
        <v>0.612009</v>
      </c>
      <c r="R163" s="53" t="n">
        <v>0.232891</v>
      </c>
      <c r="S163" s="53" t="n">
        <v>-0.712696</v>
      </c>
    </row>
    <row r="164" customFormat="false" ht="15" hidden="false" customHeight="false" outlineLevel="0" collapsed="false">
      <c r="A164" s="43" t="n">
        <v>161</v>
      </c>
      <c r="B164" s="44" t="str">
        <f aca="false">'Model Inputs &amp; Assumptions'!$B$28</f>
        <v>finanzen.net — Q1 Awareness Burst</v>
      </c>
      <c r="C164" s="45" t="n">
        <f aca="false">ROUND(MAX(0,'Model Inputs &amp; Assumptions'!$S$28*EXP('Model Inputs &amp; Assumptions'!$T$28*P164-'Model Inputs &amp; Assumptions'!$T$28^2/2)),0)</f>
        <v>409748</v>
      </c>
      <c r="D164" s="46" t="n">
        <f aca="false">MIN(1,'Model Inputs &amp; Assumptions'!$U$28*EXP('Model Inputs &amp; Assumptions'!$V$28*Q164-'Model Inputs &amp; Assumptions'!$V$28^2/2))</f>
        <v>0</v>
      </c>
      <c r="E164" s="45" t="n">
        <f aca="false">ROUND(C164*D164,0)</f>
        <v>0</v>
      </c>
      <c r="F164" s="47" t="n">
        <f aca="false">MIN(1,'Model Inputs &amp; Assumptions'!$W$28*EXP('Model Inputs &amp; Assumptions'!$X$28*R164-'Model Inputs &amp; Assumptions'!$X$28^2/2))</f>
        <v>0.00142519417573061</v>
      </c>
      <c r="G164" s="45" t="n">
        <f aca="false">ROUND(C164*F164,0)</f>
        <v>584</v>
      </c>
      <c r="H164" s="48" t="n">
        <f aca="false">MAX(0,(C164*'Model Inputs &amp; Assumptions'!$N$28+E164*'Model Inputs &amp; Assumptions'!$O$28+G164*'Model Inputs &amp; Assumptions'!$P$28)*EXP('Model Inputs &amp; Assumptions'!$Q$28*S164-'Model Inputs &amp; Assumptions'!$Q$28^2/2))</f>
        <v>15.136830583524</v>
      </c>
      <c r="I164" s="49" t="n">
        <f aca="false">IF('Model Inputs &amp; Assumptions'!$H$28="Fixed",'Model Inputs &amp; Assumptions'!$I$28*'Model Inputs &amp; Assumptions'!$K$28,IF('Model Inputs &amp; Assumptions'!$H$28="CPM",'Model Inputs &amp; Assumptions'!$I$28*'Model Inputs &amp; Assumptions'!$K$28*C164/1000,IF('Model Inputs &amp; Assumptions'!$H$28="CPC",'Model Inputs &amp; Assumptions'!$I$28*'Model Inputs &amp; Assumptions'!$K$28*G164,0)))</f>
        <v>2663.362</v>
      </c>
      <c r="J164" s="50" t="n">
        <f aca="false">H164*INDEX('Model Inputs &amp; Assumptions'!$D$40:$D$42,MATCH('Model Inputs &amp; Assumptions'!$L$28,'Model Inputs &amp; Assumptions'!$A$40:$A$42,0))*INDEX('Model Inputs &amp; Assumptions'!$H$40:$H$42,MATCH('Model Inputs &amp; Assumptions'!$L$28,'Model Inputs &amp; Assumptions'!$A$40:$A$42,0))</f>
        <v>128663.059959954</v>
      </c>
      <c r="K164" s="49" t="n">
        <f aca="false">H164*INDEX('Model Inputs &amp; Assumptions'!$G$40:$G$42,MATCH('Model Inputs &amp; Assumptions'!$L$28,'Model Inputs &amp; Assumptions'!$A$40:$A$42,0))*INDEX('Model Inputs &amp; Assumptions'!$H$40:$H$42,MATCH('Model Inputs &amp; Assumptions'!$L$28,'Model Inputs &amp; Assumptions'!$A$40:$A$42,0))</f>
        <v>2894.91884909897</v>
      </c>
      <c r="L164" s="51" t="n">
        <f aca="false">IFERROR(K164/I164,0)</f>
        <v>1.08694156074126</v>
      </c>
      <c r="M164" s="49" t="n">
        <f aca="false">IFERROR(I164/H164,0)</f>
        <v>175.952421829903</v>
      </c>
      <c r="N164" s="52" t="str">
        <f aca="false">'Model Inputs &amp; Assumptions'!$L$28</f>
        <v>PRD-EUAI</v>
      </c>
      <c r="P164" s="53" t="n">
        <v>-0.552688</v>
      </c>
      <c r="Q164" s="53" t="n">
        <v>-0.310055</v>
      </c>
      <c r="R164" s="53" t="n">
        <v>-0.122532</v>
      </c>
      <c r="S164" s="53" t="n">
        <v>-0.337374</v>
      </c>
    </row>
    <row r="165" customFormat="false" ht="15" hidden="false" customHeight="false" outlineLevel="0" collapsed="false">
      <c r="A165" s="43" t="n">
        <v>162</v>
      </c>
      <c r="B165" s="44" t="str">
        <f aca="false">'Model Inputs &amp; Assumptions'!$B$28</f>
        <v>finanzen.net — Q1 Awareness Burst</v>
      </c>
      <c r="C165" s="45" t="n">
        <f aca="false">ROUND(MAX(0,'Model Inputs &amp; Assumptions'!$S$28*EXP('Model Inputs &amp; Assumptions'!$T$28*P165-'Model Inputs &amp; Assumptions'!$T$28^2/2)),0)</f>
        <v>481405</v>
      </c>
      <c r="D165" s="46" t="n">
        <f aca="false">MIN(1,'Model Inputs &amp; Assumptions'!$U$28*EXP('Model Inputs &amp; Assumptions'!$V$28*Q165-'Model Inputs &amp; Assumptions'!$V$28^2/2))</f>
        <v>0</v>
      </c>
      <c r="E165" s="45" t="n">
        <f aca="false">ROUND(C165*D165,0)</f>
        <v>0</v>
      </c>
      <c r="F165" s="47" t="n">
        <f aca="false">MIN(1,'Model Inputs &amp; Assumptions'!$W$28*EXP('Model Inputs &amp; Assumptions'!$X$28*R165-'Model Inputs &amp; Assumptions'!$X$28^2/2))</f>
        <v>0.000996907898531442</v>
      </c>
      <c r="G165" s="45" t="n">
        <f aca="false">ROUND(C165*F165,0)</f>
        <v>480</v>
      </c>
      <c r="H165" s="48" t="n">
        <f aca="false">MAX(0,(C165*'Model Inputs &amp; Assumptions'!$N$28+E165*'Model Inputs &amp; Assumptions'!$O$28+G165*'Model Inputs &amp; Assumptions'!$P$28)*EXP('Model Inputs &amp; Assumptions'!$Q$28*S165-'Model Inputs &amp; Assumptions'!$Q$28^2/2))</f>
        <v>21.2021800000418</v>
      </c>
      <c r="I165" s="49" t="n">
        <f aca="false">IF('Model Inputs &amp; Assumptions'!$H$28="Fixed",'Model Inputs &amp; Assumptions'!$I$28*'Model Inputs &amp; Assumptions'!$K$28,IF('Model Inputs &amp; Assumptions'!$H$28="CPM",'Model Inputs &amp; Assumptions'!$I$28*'Model Inputs &amp; Assumptions'!$K$28*C165/1000,IF('Model Inputs &amp; Assumptions'!$H$28="CPC",'Model Inputs &amp; Assumptions'!$I$28*'Model Inputs &amp; Assumptions'!$K$28*G165,0)))</f>
        <v>3129.1325</v>
      </c>
      <c r="J165" s="50" t="n">
        <f aca="false">H165*INDEX('Model Inputs &amp; Assumptions'!$D$40:$D$42,MATCH('Model Inputs &amp; Assumptions'!$L$28,'Model Inputs &amp; Assumptions'!$A$40:$A$42,0))*INDEX('Model Inputs &amp; Assumptions'!$H$40:$H$42,MATCH('Model Inputs &amp; Assumptions'!$L$28,'Model Inputs &amp; Assumptions'!$A$40:$A$42,0))</f>
        <v>180218.530000355</v>
      </c>
      <c r="K165" s="49" t="n">
        <f aca="false">H165*INDEX('Model Inputs &amp; Assumptions'!$G$40:$G$42,MATCH('Model Inputs &amp; Assumptions'!$L$28,'Model Inputs &amp; Assumptions'!$A$40:$A$42,0))*INDEX('Model Inputs &amp; Assumptions'!$H$40:$H$42,MATCH('Model Inputs &amp; Assumptions'!$L$28,'Model Inputs &amp; Assumptions'!$A$40:$A$42,0))</f>
        <v>4054.91692500799</v>
      </c>
      <c r="L165" s="51" t="n">
        <f aca="false">IFERROR(K165/I165,0)</f>
        <v>1.29585977104133</v>
      </c>
      <c r="M165" s="49" t="n">
        <f aca="false">IFERROR(I165/H165,0)</f>
        <v>147.585413386446</v>
      </c>
      <c r="N165" s="52" t="str">
        <f aca="false">'Model Inputs &amp; Assumptions'!$L$28</f>
        <v>PRD-EUAI</v>
      </c>
      <c r="P165" s="53" t="n">
        <v>0.342675</v>
      </c>
      <c r="Q165" s="53" t="n">
        <v>-1.789463</v>
      </c>
      <c r="R165" s="53" t="n">
        <v>-1.7471</v>
      </c>
      <c r="S165" s="53" t="n">
        <v>1.439586</v>
      </c>
    </row>
    <row r="166" customFormat="false" ht="15" hidden="false" customHeight="false" outlineLevel="0" collapsed="false">
      <c r="A166" s="43" t="n">
        <v>163</v>
      </c>
      <c r="B166" s="44" t="str">
        <f aca="false">'Model Inputs &amp; Assumptions'!$B$28</f>
        <v>finanzen.net — Q1 Awareness Burst</v>
      </c>
      <c r="C166" s="45" t="n">
        <f aca="false">ROUND(MAX(0,'Model Inputs &amp; Assumptions'!$S$28*EXP('Model Inputs &amp; Assumptions'!$T$28*P166-'Model Inputs &amp; Assumptions'!$T$28^2/2)),0)</f>
        <v>509507</v>
      </c>
      <c r="D166" s="46" t="n">
        <f aca="false">MIN(1,'Model Inputs &amp; Assumptions'!$U$28*EXP('Model Inputs &amp; Assumptions'!$V$28*Q166-'Model Inputs &amp; Assumptions'!$V$28^2/2))</f>
        <v>0</v>
      </c>
      <c r="E166" s="45" t="n">
        <f aca="false">ROUND(C166*D166,0)</f>
        <v>0</v>
      </c>
      <c r="F166" s="47" t="n">
        <f aca="false">MIN(1,'Model Inputs &amp; Assumptions'!$W$28*EXP('Model Inputs &amp; Assumptions'!$X$28*R166-'Model Inputs &amp; Assumptions'!$X$28^2/2))</f>
        <v>0.00150551186213493</v>
      </c>
      <c r="G166" s="45" t="n">
        <f aca="false">ROUND(C166*F166,0)</f>
        <v>767</v>
      </c>
      <c r="H166" s="48" t="n">
        <f aca="false">MAX(0,(C166*'Model Inputs &amp; Assumptions'!$N$28+E166*'Model Inputs &amp; Assumptions'!$O$28+G166*'Model Inputs &amp; Assumptions'!$P$28)*EXP('Model Inputs &amp; Assumptions'!$Q$28*S166-'Model Inputs &amp; Assumptions'!$Q$28^2/2))</f>
        <v>16.4437391182009</v>
      </c>
      <c r="I166" s="49" t="n">
        <f aca="false">IF('Model Inputs &amp; Assumptions'!$H$28="Fixed",'Model Inputs &amp; Assumptions'!$I$28*'Model Inputs &amp; Assumptions'!$K$28,IF('Model Inputs &amp; Assumptions'!$H$28="CPM",'Model Inputs &amp; Assumptions'!$I$28*'Model Inputs &amp; Assumptions'!$K$28*C166/1000,IF('Model Inputs &amp; Assumptions'!$H$28="CPC",'Model Inputs &amp; Assumptions'!$I$28*'Model Inputs &amp; Assumptions'!$K$28*G166,0)))</f>
        <v>3311.7955</v>
      </c>
      <c r="J166" s="50" t="n">
        <f aca="false">H166*INDEX('Model Inputs &amp; Assumptions'!$D$40:$D$42,MATCH('Model Inputs &amp; Assumptions'!$L$28,'Model Inputs &amp; Assumptions'!$A$40:$A$42,0))*INDEX('Model Inputs &amp; Assumptions'!$H$40:$H$42,MATCH('Model Inputs &amp; Assumptions'!$L$28,'Model Inputs &amp; Assumptions'!$A$40:$A$42,0))</f>
        <v>139771.782504708</v>
      </c>
      <c r="K166" s="49" t="n">
        <f aca="false">H166*INDEX('Model Inputs &amp; Assumptions'!$G$40:$G$42,MATCH('Model Inputs &amp; Assumptions'!$L$28,'Model Inputs &amp; Assumptions'!$A$40:$A$42,0))*INDEX('Model Inputs &amp; Assumptions'!$H$40:$H$42,MATCH('Model Inputs &amp; Assumptions'!$L$28,'Model Inputs &amp; Assumptions'!$A$40:$A$42,0))</f>
        <v>3144.86510635592</v>
      </c>
      <c r="L166" s="51" t="n">
        <f aca="false">IFERROR(K166/I166,0)</f>
        <v>0.949595198844833</v>
      </c>
      <c r="M166" s="49" t="n">
        <f aca="false">IFERROR(I166/H166,0)</f>
        <v>201.401608003761</v>
      </c>
      <c r="N166" s="52" t="str">
        <f aca="false">'Model Inputs &amp; Assumptions'!$L$28</f>
        <v>PRD-EUAI</v>
      </c>
      <c r="P166" s="53" t="n">
        <v>0.657877</v>
      </c>
      <c r="Q166" s="53" t="n">
        <v>0.204851</v>
      </c>
      <c r="R166" s="53" t="n">
        <v>0.126672</v>
      </c>
      <c r="S166" s="53" t="n">
        <v>-0.969947</v>
      </c>
    </row>
    <row r="167" customFormat="false" ht="15" hidden="false" customHeight="false" outlineLevel="0" collapsed="false">
      <c r="A167" s="43" t="n">
        <v>164</v>
      </c>
      <c r="B167" s="44" t="str">
        <f aca="false">'Model Inputs &amp; Assumptions'!$B$28</f>
        <v>finanzen.net — Q1 Awareness Burst</v>
      </c>
      <c r="C167" s="45" t="n">
        <f aca="false">ROUND(MAX(0,'Model Inputs &amp; Assumptions'!$S$28*EXP('Model Inputs &amp; Assumptions'!$T$28*P167-'Model Inputs &amp; Assumptions'!$T$28^2/2)),0)</f>
        <v>444527</v>
      </c>
      <c r="D167" s="46" t="n">
        <f aca="false">MIN(1,'Model Inputs &amp; Assumptions'!$U$28*EXP('Model Inputs &amp; Assumptions'!$V$28*Q167-'Model Inputs &amp; Assumptions'!$V$28^2/2))</f>
        <v>0</v>
      </c>
      <c r="E167" s="45" t="n">
        <f aca="false">ROUND(C167*D167,0)</f>
        <v>0</v>
      </c>
      <c r="F167" s="47" t="n">
        <f aca="false">MIN(1,'Model Inputs &amp; Assumptions'!$W$28*EXP('Model Inputs &amp; Assumptions'!$X$28*R167-'Model Inputs &amp; Assumptions'!$X$28^2/2))</f>
        <v>0.00130733143639681</v>
      </c>
      <c r="G167" s="45" t="n">
        <f aca="false">ROUND(C167*F167,0)</f>
        <v>581</v>
      </c>
      <c r="H167" s="48" t="n">
        <f aca="false">MAX(0,(C167*'Model Inputs &amp; Assumptions'!$N$28+E167*'Model Inputs &amp; Assumptions'!$O$28+G167*'Model Inputs &amp; Assumptions'!$P$28)*EXP('Model Inputs &amp; Assumptions'!$Q$28*S167-'Model Inputs &amp; Assumptions'!$Q$28^2/2))</f>
        <v>25.7535700323266</v>
      </c>
      <c r="I167" s="49" t="n">
        <f aca="false">IF('Model Inputs &amp; Assumptions'!$H$28="Fixed",'Model Inputs &amp; Assumptions'!$I$28*'Model Inputs &amp; Assumptions'!$K$28,IF('Model Inputs &amp; Assumptions'!$H$28="CPM",'Model Inputs &amp; Assumptions'!$I$28*'Model Inputs &amp; Assumptions'!$K$28*C167/1000,IF('Model Inputs &amp; Assumptions'!$H$28="CPC",'Model Inputs &amp; Assumptions'!$I$28*'Model Inputs &amp; Assumptions'!$K$28*G167,0)))</f>
        <v>2889.4255</v>
      </c>
      <c r="J167" s="50" t="n">
        <f aca="false">H167*INDEX('Model Inputs &amp; Assumptions'!$D$40:$D$42,MATCH('Model Inputs &amp; Assumptions'!$L$28,'Model Inputs &amp; Assumptions'!$A$40:$A$42,0))*INDEX('Model Inputs &amp; Assumptions'!$H$40:$H$42,MATCH('Model Inputs &amp; Assumptions'!$L$28,'Model Inputs &amp; Assumptions'!$A$40:$A$42,0))</f>
        <v>218905.345274776</v>
      </c>
      <c r="K167" s="49" t="n">
        <f aca="false">H167*INDEX('Model Inputs &amp; Assumptions'!$G$40:$G$42,MATCH('Model Inputs &amp; Assumptions'!$L$28,'Model Inputs &amp; Assumptions'!$A$40:$A$42,0))*INDEX('Model Inputs &amp; Assumptions'!$H$40:$H$42,MATCH('Model Inputs &amp; Assumptions'!$L$28,'Model Inputs &amp; Assumptions'!$A$40:$A$42,0))</f>
        <v>4925.37026868247</v>
      </c>
      <c r="L167" s="51" t="n">
        <f aca="false">IFERROR(K167/I167,0)</f>
        <v>1.70461922921441</v>
      </c>
      <c r="M167" s="49" t="n">
        <f aca="false">IFERROR(I167/H167,0)</f>
        <v>112.195144066361</v>
      </c>
      <c r="N167" s="52" t="str">
        <f aca="false">'Model Inputs &amp; Assumptions'!$L$28</f>
        <v>PRD-EUAI</v>
      </c>
      <c r="P167" s="53" t="n">
        <v>-0.100093</v>
      </c>
      <c r="Q167" s="53" t="n">
        <v>-0.575958</v>
      </c>
      <c r="R167" s="53" t="n">
        <v>-0.514896</v>
      </c>
      <c r="S167" s="53" t="n">
        <v>1.451268</v>
      </c>
    </row>
    <row r="168" customFormat="false" ht="15" hidden="false" customHeight="false" outlineLevel="0" collapsed="false">
      <c r="A168" s="43" t="n">
        <v>165</v>
      </c>
      <c r="B168" s="44" t="str">
        <f aca="false">'Model Inputs &amp; Assumptions'!$B$28</f>
        <v>finanzen.net — Q1 Awareness Burst</v>
      </c>
      <c r="C168" s="45" t="n">
        <f aca="false">ROUND(MAX(0,'Model Inputs &amp; Assumptions'!$S$28*EXP('Model Inputs &amp; Assumptions'!$T$28*P168-'Model Inputs &amp; Assumptions'!$T$28^2/2)),0)</f>
        <v>497544</v>
      </c>
      <c r="D168" s="46" t="n">
        <f aca="false">MIN(1,'Model Inputs &amp; Assumptions'!$U$28*EXP('Model Inputs &amp; Assumptions'!$V$28*Q168-'Model Inputs &amp; Assumptions'!$V$28^2/2))</f>
        <v>0</v>
      </c>
      <c r="E168" s="45" t="n">
        <f aca="false">ROUND(C168*D168,0)</f>
        <v>0</v>
      </c>
      <c r="F168" s="47" t="n">
        <f aca="false">MIN(1,'Model Inputs &amp; Assumptions'!$W$28*EXP('Model Inputs &amp; Assumptions'!$X$28*R168-'Model Inputs &amp; Assumptions'!$X$28^2/2))</f>
        <v>0.00160686604823703</v>
      </c>
      <c r="G168" s="45" t="n">
        <f aca="false">ROUND(C168*F168,0)</f>
        <v>799</v>
      </c>
      <c r="H168" s="48" t="n">
        <f aca="false">MAX(0,(C168*'Model Inputs &amp; Assumptions'!$N$28+E168*'Model Inputs &amp; Assumptions'!$O$28+G168*'Model Inputs &amp; Assumptions'!$P$28)*EXP('Model Inputs &amp; Assumptions'!$Q$28*S168-'Model Inputs &amp; Assumptions'!$Q$28^2/2))</f>
        <v>43.7259281841091</v>
      </c>
      <c r="I168" s="49" t="n">
        <f aca="false">IF('Model Inputs &amp; Assumptions'!$H$28="Fixed",'Model Inputs &amp; Assumptions'!$I$28*'Model Inputs &amp; Assumptions'!$K$28,IF('Model Inputs &amp; Assumptions'!$H$28="CPM",'Model Inputs &amp; Assumptions'!$I$28*'Model Inputs &amp; Assumptions'!$K$28*C168/1000,IF('Model Inputs &amp; Assumptions'!$H$28="CPC",'Model Inputs &amp; Assumptions'!$I$28*'Model Inputs &amp; Assumptions'!$K$28*G168,0)))</f>
        <v>3234.036</v>
      </c>
      <c r="J168" s="50" t="n">
        <f aca="false">H168*INDEX('Model Inputs &amp; Assumptions'!$D$40:$D$42,MATCH('Model Inputs &amp; Assumptions'!$L$28,'Model Inputs &amp; Assumptions'!$A$40:$A$42,0))*INDEX('Model Inputs &amp; Assumptions'!$H$40:$H$42,MATCH('Model Inputs &amp; Assumptions'!$L$28,'Model Inputs &amp; Assumptions'!$A$40:$A$42,0))</f>
        <v>371670.389564928</v>
      </c>
      <c r="K168" s="49" t="n">
        <f aca="false">H168*INDEX('Model Inputs &amp; Assumptions'!$G$40:$G$42,MATCH('Model Inputs &amp; Assumptions'!$L$28,'Model Inputs &amp; Assumptions'!$A$40:$A$42,0))*INDEX('Model Inputs &amp; Assumptions'!$H$40:$H$42,MATCH('Model Inputs &amp; Assumptions'!$L$28,'Model Inputs &amp; Assumptions'!$A$40:$A$42,0))</f>
        <v>8362.58376521087</v>
      </c>
      <c r="L168" s="51" t="n">
        <f aca="false">IFERROR(K168/I168,0)</f>
        <v>2.58580416705654</v>
      </c>
      <c r="M168" s="49" t="n">
        <f aca="false">IFERROR(I168/H168,0)</f>
        <v>73.9615174407049</v>
      </c>
      <c r="N168" s="52" t="str">
        <f aca="false">'Model Inputs &amp; Assumptions'!$L$28</f>
        <v>PRD-EUAI</v>
      </c>
      <c r="P168" s="53" t="n">
        <v>0.525877</v>
      </c>
      <c r="Q168" s="53" t="n">
        <v>0.808422</v>
      </c>
      <c r="R168" s="53" t="n">
        <v>0.422821</v>
      </c>
      <c r="S168" s="53" t="n">
        <v>2.153794</v>
      </c>
    </row>
    <row r="169" customFormat="false" ht="15" hidden="false" customHeight="false" outlineLevel="0" collapsed="false">
      <c r="A169" s="43" t="n">
        <v>166</v>
      </c>
      <c r="B169" s="44" t="str">
        <f aca="false">'Model Inputs &amp; Assumptions'!$B$28</f>
        <v>finanzen.net — Q1 Awareness Burst</v>
      </c>
      <c r="C169" s="45" t="n">
        <f aca="false">ROUND(MAX(0,'Model Inputs &amp; Assumptions'!$S$28*EXP('Model Inputs &amp; Assumptions'!$T$28*P169-'Model Inputs &amp; Assumptions'!$T$28^2/2)),0)</f>
        <v>536323</v>
      </c>
      <c r="D169" s="46" t="n">
        <f aca="false">MIN(1,'Model Inputs &amp; Assumptions'!$U$28*EXP('Model Inputs &amp; Assumptions'!$V$28*Q169-'Model Inputs &amp; Assumptions'!$V$28^2/2))</f>
        <v>0</v>
      </c>
      <c r="E169" s="45" t="n">
        <f aca="false">ROUND(C169*D169,0)</f>
        <v>0</v>
      </c>
      <c r="F169" s="47" t="n">
        <f aca="false">MIN(1,'Model Inputs &amp; Assumptions'!$W$28*EXP('Model Inputs &amp; Assumptions'!$X$28*R169-'Model Inputs &amp; Assumptions'!$X$28^2/2))</f>
        <v>0.00197685596877606</v>
      </c>
      <c r="G169" s="45" t="n">
        <f aca="false">ROUND(C169*F169,0)</f>
        <v>1060</v>
      </c>
      <c r="H169" s="48" t="n">
        <f aca="false">MAX(0,(C169*'Model Inputs &amp; Assumptions'!$N$28+E169*'Model Inputs &amp; Assumptions'!$O$28+G169*'Model Inputs &amp; Assumptions'!$P$28)*EXP('Model Inputs &amp; Assumptions'!$Q$28*S169-'Model Inputs &amp; Assumptions'!$Q$28^2/2))</f>
        <v>34.6411883834076</v>
      </c>
      <c r="I169" s="49" t="n">
        <f aca="false">IF('Model Inputs &amp; Assumptions'!$H$28="Fixed",'Model Inputs &amp; Assumptions'!$I$28*'Model Inputs &amp; Assumptions'!$K$28,IF('Model Inputs &amp; Assumptions'!$H$28="CPM",'Model Inputs &amp; Assumptions'!$I$28*'Model Inputs &amp; Assumptions'!$K$28*C169/1000,IF('Model Inputs &amp; Assumptions'!$H$28="CPC",'Model Inputs &amp; Assumptions'!$I$28*'Model Inputs &amp; Assumptions'!$K$28*G169,0)))</f>
        <v>3486.0995</v>
      </c>
      <c r="J169" s="50" t="n">
        <f aca="false">H169*INDEX('Model Inputs &amp; Assumptions'!$D$40:$D$42,MATCH('Model Inputs &amp; Assumptions'!$L$28,'Model Inputs &amp; Assumptions'!$A$40:$A$42,0))*INDEX('Model Inputs &amp; Assumptions'!$H$40:$H$42,MATCH('Model Inputs &amp; Assumptions'!$L$28,'Model Inputs &amp; Assumptions'!$A$40:$A$42,0))</f>
        <v>294450.101258964</v>
      </c>
      <c r="K169" s="49" t="n">
        <f aca="false">H169*INDEX('Model Inputs &amp; Assumptions'!$G$40:$G$42,MATCH('Model Inputs &amp; Assumptions'!$L$28,'Model Inputs &amp; Assumptions'!$A$40:$A$42,0))*INDEX('Model Inputs &amp; Assumptions'!$H$40:$H$42,MATCH('Model Inputs &amp; Assumptions'!$L$28,'Model Inputs &amp; Assumptions'!$A$40:$A$42,0))</f>
        <v>6625.1272783267</v>
      </c>
      <c r="L169" s="51" t="n">
        <f aca="false">IFERROR(K169/I169,0)</f>
        <v>1.90044124624862</v>
      </c>
      <c r="M169" s="49" t="n">
        <f aca="false">IFERROR(I169/H169,0)</f>
        <v>100.634523891501</v>
      </c>
      <c r="N169" s="52" t="str">
        <f aca="false">'Model Inputs &amp; Assumptions'!$L$28</f>
        <v>PRD-EUAI</v>
      </c>
      <c r="P169" s="53" t="n">
        <v>0.942837</v>
      </c>
      <c r="Q169" s="53" t="n">
        <v>0.305734</v>
      </c>
      <c r="R169" s="53" t="n">
        <v>1.364739</v>
      </c>
      <c r="S169" s="53" t="n">
        <v>0.435257</v>
      </c>
    </row>
    <row r="170" customFormat="false" ht="15" hidden="false" customHeight="false" outlineLevel="0" collapsed="false">
      <c r="A170" s="43" t="n">
        <v>167</v>
      </c>
      <c r="B170" s="44" t="str">
        <f aca="false">'Model Inputs &amp; Assumptions'!$B$28</f>
        <v>finanzen.net — Q1 Awareness Burst</v>
      </c>
      <c r="C170" s="45" t="n">
        <f aca="false">ROUND(MAX(0,'Model Inputs &amp; Assumptions'!$S$28*EXP('Model Inputs &amp; Assumptions'!$T$28*P170-'Model Inputs &amp; Assumptions'!$T$28^2/2)),0)</f>
        <v>332393</v>
      </c>
      <c r="D170" s="46" t="n">
        <f aca="false">MIN(1,'Model Inputs &amp; Assumptions'!$U$28*EXP('Model Inputs &amp; Assumptions'!$V$28*Q170-'Model Inputs &amp; Assumptions'!$V$28^2/2))</f>
        <v>0</v>
      </c>
      <c r="E170" s="45" t="n">
        <f aca="false">ROUND(C170*D170,0)</f>
        <v>0</v>
      </c>
      <c r="F170" s="47" t="n">
        <f aca="false">MIN(1,'Model Inputs &amp; Assumptions'!$W$28*EXP('Model Inputs &amp; Assumptions'!$X$28*R170-'Model Inputs &amp; Assumptions'!$X$28^2/2))</f>
        <v>0.00123134689654375</v>
      </c>
      <c r="G170" s="45" t="n">
        <f aca="false">ROUND(C170*F170,0)</f>
        <v>409</v>
      </c>
      <c r="H170" s="48" t="n">
        <f aca="false">MAX(0,(C170*'Model Inputs &amp; Assumptions'!$N$28+E170*'Model Inputs &amp; Assumptions'!$O$28+G170*'Model Inputs &amp; Assumptions'!$P$28)*EXP('Model Inputs &amp; Assumptions'!$Q$28*S170-'Model Inputs &amp; Assumptions'!$Q$28^2/2))</f>
        <v>13.9077878291982</v>
      </c>
      <c r="I170" s="49" t="n">
        <f aca="false">IF('Model Inputs &amp; Assumptions'!$H$28="Fixed",'Model Inputs &amp; Assumptions'!$I$28*'Model Inputs &amp; Assumptions'!$K$28,IF('Model Inputs &amp; Assumptions'!$H$28="CPM",'Model Inputs &amp; Assumptions'!$I$28*'Model Inputs &amp; Assumptions'!$K$28*C170/1000,IF('Model Inputs &amp; Assumptions'!$H$28="CPC",'Model Inputs &amp; Assumptions'!$I$28*'Model Inputs &amp; Assumptions'!$K$28*G170,0)))</f>
        <v>2160.5545</v>
      </c>
      <c r="J170" s="50" t="n">
        <f aca="false">H170*INDEX('Model Inputs &amp; Assumptions'!$D$40:$D$42,MATCH('Model Inputs &amp; Assumptions'!$L$28,'Model Inputs &amp; Assumptions'!$A$40:$A$42,0))*INDEX('Model Inputs &amp; Assumptions'!$H$40:$H$42,MATCH('Model Inputs &amp; Assumptions'!$L$28,'Model Inputs &amp; Assumptions'!$A$40:$A$42,0))</f>
        <v>118216.196548184</v>
      </c>
      <c r="K170" s="49" t="n">
        <f aca="false">H170*INDEX('Model Inputs &amp; Assumptions'!$G$40:$G$42,MATCH('Model Inputs &amp; Assumptions'!$L$28,'Model Inputs &amp; Assumptions'!$A$40:$A$42,0))*INDEX('Model Inputs &amp; Assumptions'!$H$40:$H$42,MATCH('Model Inputs &amp; Assumptions'!$L$28,'Model Inputs &amp; Assumptions'!$A$40:$A$42,0))</f>
        <v>2659.86442233415</v>
      </c>
      <c r="L170" s="51" t="n">
        <f aca="false">IFERROR(K170/I170,0)</f>
        <v>1.23110267402842</v>
      </c>
      <c r="M170" s="49" t="n">
        <f aca="false">IFERROR(I170/H170,0)</f>
        <v>155.348537562826</v>
      </c>
      <c r="N170" s="52" t="str">
        <f aca="false">'Model Inputs &amp; Assumptions'!$L$28</f>
        <v>PRD-EUAI</v>
      </c>
      <c r="P170" s="53" t="n">
        <v>-1.715052</v>
      </c>
      <c r="Q170" s="53" t="n">
        <v>1.245237</v>
      </c>
      <c r="R170" s="53" t="n">
        <v>-0.787075</v>
      </c>
      <c r="S170" s="53" t="n">
        <v>0.567639</v>
      </c>
    </row>
    <row r="171" customFormat="false" ht="15" hidden="false" customHeight="false" outlineLevel="0" collapsed="false">
      <c r="A171" s="43" t="n">
        <v>168</v>
      </c>
      <c r="B171" s="44" t="str">
        <f aca="false">'Model Inputs &amp; Assumptions'!$B$28</f>
        <v>finanzen.net — Q1 Awareness Burst</v>
      </c>
      <c r="C171" s="45" t="n">
        <f aca="false">ROUND(MAX(0,'Model Inputs &amp; Assumptions'!$S$28*EXP('Model Inputs &amp; Assumptions'!$T$28*P171-'Model Inputs &amp; Assumptions'!$T$28^2/2)),0)</f>
        <v>413154</v>
      </c>
      <c r="D171" s="46" t="n">
        <f aca="false">MIN(1,'Model Inputs &amp; Assumptions'!$U$28*EXP('Model Inputs &amp; Assumptions'!$V$28*Q171-'Model Inputs &amp; Assumptions'!$V$28^2/2))</f>
        <v>0</v>
      </c>
      <c r="E171" s="45" t="n">
        <f aca="false">ROUND(C171*D171,0)</f>
        <v>0</v>
      </c>
      <c r="F171" s="47" t="n">
        <f aca="false">MIN(1,'Model Inputs &amp; Assumptions'!$W$28*EXP('Model Inputs &amp; Assumptions'!$X$28*R171-'Model Inputs &amp; Assumptions'!$X$28^2/2))</f>
        <v>0.00196262245878423</v>
      </c>
      <c r="G171" s="45" t="n">
        <f aca="false">ROUND(C171*F171,0)</f>
        <v>811</v>
      </c>
      <c r="H171" s="48" t="n">
        <f aca="false">MAX(0,(C171*'Model Inputs &amp; Assumptions'!$N$28+E171*'Model Inputs &amp; Assumptions'!$O$28+G171*'Model Inputs &amp; Assumptions'!$P$28)*EXP('Model Inputs &amp; Assumptions'!$Q$28*S171-'Model Inputs &amp; Assumptions'!$Q$28^2/2))</f>
        <v>16.5748909488508</v>
      </c>
      <c r="I171" s="49" t="n">
        <f aca="false">IF('Model Inputs &amp; Assumptions'!$H$28="Fixed",'Model Inputs &amp; Assumptions'!$I$28*'Model Inputs &amp; Assumptions'!$K$28,IF('Model Inputs &amp; Assumptions'!$H$28="CPM",'Model Inputs &amp; Assumptions'!$I$28*'Model Inputs &amp; Assumptions'!$K$28*C171/1000,IF('Model Inputs &amp; Assumptions'!$H$28="CPC",'Model Inputs &amp; Assumptions'!$I$28*'Model Inputs &amp; Assumptions'!$K$28*G171,0)))</f>
        <v>2685.501</v>
      </c>
      <c r="J171" s="50" t="n">
        <f aca="false">H171*INDEX('Model Inputs &amp; Assumptions'!$D$40:$D$42,MATCH('Model Inputs &amp; Assumptions'!$L$28,'Model Inputs &amp; Assumptions'!$A$40:$A$42,0))*INDEX('Model Inputs &amp; Assumptions'!$H$40:$H$42,MATCH('Model Inputs &amp; Assumptions'!$L$28,'Model Inputs &amp; Assumptions'!$A$40:$A$42,0))</f>
        <v>140886.573065232</v>
      </c>
      <c r="K171" s="49" t="n">
        <f aca="false">H171*INDEX('Model Inputs &amp; Assumptions'!$G$40:$G$42,MATCH('Model Inputs &amp; Assumptions'!$L$28,'Model Inputs &amp; Assumptions'!$A$40:$A$42,0))*INDEX('Model Inputs &amp; Assumptions'!$H$40:$H$42,MATCH('Model Inputs &amp; Assumptions'!$L$28,'Model Inputs &amp; Assumptions'!$A$40:$A$42,0))</f>
        <v>3169.94789396772</v>
      </c>
      <c r="L171" s="51" t="n">
        <f aca="false">IFERROR(K171/I171,0)</f>
        <v>1.18039348857726</v>
      </c>
      <c r="M171" s="49" t="n">
        <f aca="false">IFERROR(I171/H171,0)</f>
        <v>162.022242456213</v>
      </c>
      <c r="N171" s="52" t="str">
        <f aca="false">'Model Inputs &amp; Assumptions'!$L$28</f>
        <v>PRD-EUAI</v>
      </c>
      <c r="P171" s="53" t="n">
        <v>-0.506699</v>
      </c>
      <c r="Q171" s="53" t="n">
        <v>1.129388</v>
      </c>
      <c r="R171" s="53" t="n">
        <v>1.331893</v>
      </c>
      <c r="S171" s="53" t="n">
        <v>-1.129404</v>
      </c>
    </row>
    <row r="172" customFormat="false" ht="15" hidden="false" customHeight="false" outlineLevel="0" collapsed="false">
      <c r="A172" s="43" t="n">
        <v>169</v>
      </c>
      <c r="B172" s="44" t="str">
        <f aca="false">'Model Inputs &amp; Assumptions'!$B$28</f>
        <v>finanzen.net — Q1 Awareness Burst</v>
      </c>
      <c r="C172" s="45" t="n">
        <f aca="false">ROUND(MAX(0,'Model Inputs &amp; Assumptions'!$S$28*EXP('Model Inputs &amp; Assumptions'!$T$28*P172-'Model Inputs &amp; Assumptions'!$T$28^2/2)),0)</f>
        <v>408499</v>
      </c>
      <c r="D172" s="46" t="n">
        <f aca="false">MIN(1,'Model Inputs &amp; Assumptions'!$U$28*EXP('Model Inputs &amp; Assumptions'!$V$28*Q172-'Model Inputs &amp; Assumptions'!$V$28^2/2))</f>
        <v>0</v>
      </c>
      <c r="E172" s="45" t="n">
        <f aca="false">ROUND(C172*D172,0)</f>
        <v>0</v>
      </c>
      <c r="F172" s="47" t="n">
        <f aca="false">MIN(1,'Model Inputs &amp; Assumptions'!$W$28*EXP('Model Inputs &amp; Assumptions'!$X$28*R172-'Model Inputs &amp; Assumptions'!$X$28^2/2))</f>
        <v>0.00161622481417933</v>
      </c>
      <c r="G172" s="45" t="n">
        <f aca="false">ROUND(C172*F172,0)</f>
        <v>660</v>
      </c>
      <c r="H172" s="48" t="n">
        <f aca="false">MAX(0,(C172*'Model Inputs &amp; Assumptions'!$N$28+E172*'Model Inputs &amp; Assumptions'!$O$28+G172*'Model Inputs &amp; Assumptions'!$P$28)*EXP('Model Inputs &amp; Assumptions'!$Q$28*S172-'Model Inputs &amp; Assumptions'!$Q$28^2/2))</f>
        <v>18.7083273523958</v>
      </c>
      <c r="I172" s="49" t="n">
        <f aca="false">IF('Model Inputs &amp; Assumptions'!$H$28="Fixed",'Model Inputs &amp; Assumptions'!$I$28*'Model Inputs &amp; Assumptions'!$K$28,IF('Model Inputs &amp; Assumptions'!$H$28="CPM",'Model Inputs &amp; Assumptions'!$I$28*'Model Inputs &amp; Assumptions'!$K$28*C172/1000,IF('Model Inputs &amp; Assumptions'!$H$28="CPC",'Model Inputs &amp; Assumptions'!$I$28*'Model Inputs &amp; Assumptions'!$K$28*G172,0)))</f>
        <v>2655.2435</v>
      </c>
      <c r="J172" s="50" t="n">
        <f aca="false">H172*INDEX('Model Inputs &amp; Assumptions'!$D$40:$D$42,MATCH('Model Inputs &amp; Assumptions'!$L$28,'Model Inputs &amp; Assumptions'!$A$40:$A$42,0))*INDEX('Model Inputs &amp; Assumptions'!$H$40:$H$42,MATCH('Model Inputs &amp; Assumptions'!$L$28,'Model Inputs &amp; Assumptions'!$A$40:$A$42,0))</f>
        <v>159020.782495364</v>
      </c>
      <c r="K172" s="49" t="n">
        <f aca="false">H172*INDEX('Model Inputs &amp; Assumptions'!$G$40:$G$42,MATCH('Model Inputs &amp; Assumptions'!$L$28,'Model Inputs &amp; Assumptions'!$A$40:$A$42,0))*INDEX('Model Inputs &amp; Assumptions'!$H$40:$H$42,MATCH('Model Inputs &amp; Assumptions'!$L$28,'Model Inputs &amp; Assumptions'!$A$40:$A$42,0))</f>
        <v>3577.96760614569</v>
      </c>
      <c r="L172" s="51" t="n">
        <f aca="false">IFERROR(K172/I172,0)</f>
        <v>1.34751016475351</v>
      </c>
      <c r="M172" s="49" t="n">
        <f aca="false">IFERROR(I172/H172,0)</f>
        <v>141.928428447131</v>
      </c>
      <c r="N172" s="52" t="str">
        <f aca="false">'Model Inputs &amp; Assumptions'!$L$28</f>
        <v>PRD-EUAI</v>
      </c>
      <c r="P172" s="53" t="n">
        <v>-0.569646</v>
      </c>
      <c r="Q172" s="53" t="n">
        <v>-1.904123</v>
      </c>
      <c r="R172" s="53" t="n">
        <v>0.449218</v>
      </c>
      <c r="S172" s="53" t="n">
        <v>-0.039044</v>
      </c>
    </row>
    <row r="173" customFormat="false" ht="15" hidden="false" customHeight="false" outlineLevel="0" collapsed="false">
      <c r="A173" s="43" t="n">
        <v>170</v>
      </c>
      <c r="B173" s="44" t="str">
        <f aca="false">'Model Inputs &amp; Assumptions'!$B$28</f>
        <v>finanzen.net — Q1 Awareness Burst</v>
      </c>
      <c r="C173" s="45" t="n">
        <f aca="false">ROUND(MAX(0,'Model Inputs &amp; Assumptions'!$S$28*EXP('Model Inputs &amp; Assumptions'!$T$28*P173-'Model Inputs &amp; Assumptions'!$T$28^2/2)),0)</f>
        <v>483528</v>
      </c>
      <c r="D173" s="46" t="n">
        <f aca="false">MIN(1,'Model Inputs &amp; Assumptions'!$U$28*EXP('Model Inputs &amp; Assumptions'!$V$28*Q173-'Model Inputs &amp; Assumptions'!$V$28^2/2))</f>
        <v>0</v>
      </c>
      <c r="E173" s="45" t="n">
        <f aca="false">ROUND(C173*D173,0)</f>
        <v>0</v>
      </c>
      <c r="F173" s="47" t="n">
        <f aca="false">MIN(1,'Model Inputs &amp; Assumptions'!$W$28*EXP('Model Inputs &amp; Assumptions'!$X$28*R173-'Model Inputs &amp; Assumptions'!$X$28^2/2))</f>
        <v>0.00128696877710775</v>
      </c>
      <c r="G173" s="45" t="n">
        <f aca="false">ROUND(C173*F173,0)</f>
        <v>622</v>
      </c>
      <c r="H173" s="48" t="n">
        <f aca="false">MAX(0,(C173*'Model Inputs &amp; Assumptions'!$N$28+E173*'Model Inputs &amp; Assumptions'!$O$28+G173*'Model Inputs &amp; Assumptions'!$P$28)*EXP('Model Inputs &amp; Assumptions'!$Q$28*S173-'Model Inputs &amp; Assumptions'!$Q$28^2/2))</f>
        <v>9.36223173615984</v>
      </c>
      <c r="I173" s="49" t="n">
        <f aca="false">IF('Model Inputs &amp; Assumptions'!$H$28="Fixed",'Model Inputs &amp; Assumptions'!$I$28*'Model Inputs &amp; Assumptions'!$K$28,IF('Model Inputs &amp; Assumptions'!$H$28="CPM",'Model Inputs &amp; Assumptions'!$I$28*'Model Inputs &amp; Assumptions'!$K$28*C173/1000,IF('Model Inputs &amp; Assumptions'!$H$28="CPC",'Model Inputs &amp; Assumptions'!$I$28*'Model Inputs &amp; Assumptions'!$K$28*G173,0)))</f>
        <v>3142.932</v>
      </c>
      <c r="J173" s="50" t="n">
        <f aca="false">H173*INDEX('Model Inputs &amp; Assumptions'!$D$40:$D$42,MATCH('Model Inputs &amp; Assumptions'!$L$28,'Model Inputs &amp; Assumptions'!$A$40:$A$42,0))*INDEX('Model Inputs &amp; Assumptions'!$H$40:$H$42,MATCH('Model Inputs &amp; Assumptions'!$L$28,'Model Inputs &amp; Assumptions'!$A$40:$A$42,0))</f>
        <v>79578.9697573587</v>
      </c>
      <c r="K173" s="49" t="n">
        <f aca="false">H173*INDEX('Model Inputs &amp; Assumptions'!$G$40:$G$42,MATCH('Model Inputs &amp; Assumptions'!$L$28,'Model Inputs &amp; Assumptions'!$A$40:$A$42,0))*INDEX('Model Inputs &amp; Assumptions'!$H$40:$H$42,MATCH('Model Inputs &amp; Assumptions'!$L$28,'Model Inputs &amp; Assumptions'!$A$40:$A$42,0))</f>
        <v>1790.52681954057</v>
      </c>
      <c r="L173" s="51" t="n">
        <f aca="false">IFERROR(K173/I173,0)</f>
        <v>0.569699509738222</v>
      </c>
      <c r="M173" s="49" t="n">
        <f aca="false">IFERROR(I173/H173,0)</f>
        <v>335.703290473042</v>
      </c>
      <c r="N173" s="52" t="str">
        <f aca="false">'Model Inputs &amp; Assumptions'!$L$28</f>
        <v>PRD-EUAI</v>
      </c>
      <c r="P173" s="53" t="n">
        <v>0.367126</v>
      </c>
      <c r="Q173" s="53" t="n">
        <v>0.242916</v>
      </c>
      <c r="R173" s="53" t="n">
        <v>-0.586252</v>
      </c>
      <c r="S173" s="53" t="n">
        <v>-2.148995</v>
      </c>
    </row>
    <row r="174" customFormat="false" ht="15" hidden="false" customHeight="false" outlineLevel="0" collapsed="false">
      <c r="A174" s="43" t="n">
        <v>171</v>
      </c>
      <c r="B174" s="44" t="str">
        <f aca="false">'Model Inputs &amp; Assumptions'!$B$28</f>
        <v>finanzen.net — Q1 Awareness Burst</v>
      </c>
      <c r="C174" s="45" t="n">
        <f aca="false">ROUND(MAX(0,'Model Inputs &amp; Assumptions'!$S$28*EXP('Model Inputs &amp; Assumptions'!$T$28*P174-'Model Inputs &amp; Assumptions'!$T$28^2/2)),0)</f>
        <v>415910</v>
      </c>
      <c r="D174" s="46" t="n">
        <f aca="false">MIN(1,'Model Inputs &amp; Assumptions'!$U$28*EXP('Model Inputs &amp; Assumptions'!$V$28*Q174-'Model Inputs &amp; Assumptions'!$V$28^2/2))</f>
        <v>0</v>
      </c>
      <c r="E174" s="45" t="n">
        <f aca="false">ROUND(C174*D174,0)</f>
        <v>0</v>
      </c>
      <c r="F174" s="47" t="n">
        <f aca="false">MIN(1,'Model Inputs &amp; Assumptions'!$W$28*EXP('Model Inputs &amp; Assumptions'!$X$28*R174-'Model Inputs &amp; Assumptions'!$X$28^2/2))</f>
        <v>0.00101812468207422</v>
      </c>
      <c r="G174" s="45" t="n">
        <f aca="false">ROUND(C174*F174,0)</f>
        <v>423</v>
      </c>
      <c r="H174" s="48" t="n">
        <f aca="false">MAX(0,(C174*'Model Inputs &amp; Assumptions'!$N$28+E174*'Model Inputs &amp; Assumptions'!$O$28+G174*'Model Inputs &amp; Assumptions'!$P$28)*EXP('Model Inputs &amp; Assumptions'!$Q$28*S174-'Model Inputs &amp; Assumptions'!$Q$28^2/2))</f>
        <v>14.5433650852298</v>
      </c>
      <c r="I174" s="49" t="n">
        <f aca="false">IF('Model Inputs &amp; Assumptions'!$H$28="Fixed",'Model Inputs &amp; Assumptions'!$I$28*'Model Inputs &amp; Assumptions'!$K$28,IF('Model Inputs &amp; Assumptions'!$H$28="CPM",'Model Inputs &amp; Assumptions'!$I$28*'Model Inputs &amp; Assumptions'!$K$28*C174/1000,IF('Model Inputs &amp; Assumptions'!$H$28="CPC",'Model Inputs &amp; Assumptions'!$I$28*'Model Inputs &amp; Assumptions'!$K$28*G174,0)))</f>
        <v>2703.415</v>
      </c>
      <c r="J174" s="50" t="n">
        <f aca="false">H174*INDEX('Model Inputs &amp; Assumptions'!$D$40:$D$42,MATCH('Model Inputs &amp; Assumptions'!$L$28,'Model Inputs &amp; Assumptions'!$A$40:$A$42,0))*INDEX('Model Inputs &amp; Assumptions'!$H$40:$H$42,MATCH('Model Inputs &amp; Assumptions'!$L$28,'Model Inputs &amp; Assumptions'!$A$40:$A$42,0))</f>
        <v>123618.603224453</v>
      </c>
      <c r="K174" s="49" t="n">
        <f aca="false">H174*INDEX('Model Inputs &amp; Assumptions'!$G$40:$G$42,MATCH('Model Inputs &amp; Assumptions'!$L$28,'Model Inputs &amp; Assumptions'!$A$40:$A$42,0))*INDEX('Model Inputs &amp; Assumptions'!$H$40:$H$42,MATCH('Model Inputs &amp; Assumptions'!$L$28,'Model Inputs &amp; Assumptions'!$A$40:$A$42,0))</f>
        <v>2781.41857255019</v>
      </c>
      <c r="L174" s="51" t="n">
        <f aca="false">IFERROR(K174/I174,0)</f>
        <v>1.02885371744634</v>
      </c>
      <c r="M174" s="49" t="n">
        <f aca="false">IFERROR(I174/H174,0)</f>
        <v>185.886483915995</v>
      </c>
      <c r="N174" s="52" t="str">
        <f aca="false">'Model Inputs &amp; Assumptions'!$L$28</f>
        <v>PRD-EUAI</v>
      </c>
      <c r="P174" s="53" t="n">
        <v>-0.469769</v>
      </c>
      <c r="Q174" s="53" t="n">
        <v>0.316798</v>
      </c>
      <c r="R174" s="53" t="n">
        <v>-1.651376</v>
      </c>
      <c r="S174" s="53" t="n">
        <v>0.604402</v>
      </c>
    </row>
    <row r="175" customFormat="false" ht="15" hidden="false" customHeight="false" outlineLevel="0" collapsed="false">
      <c r="A175" s="43" t="n">
        <v>172</v>
      </c>
      <c r="B175" s="44" t="str">
        <f aca="false">'Model Inputs &amp; Assumptions'!$B$28</f>
        <v>finanzen.net — Q1 Awareness Burst</v>
      </c>
      <c r="C175" s="45" t="n">
        <f aca="false">ROUND(MAX(0,'Model Inputs &amp; Assumptions'!$S$28*EXP('Model Inputs &amp; Assumptions'!$T$28*P175-'Model Inputs &amp; Assumptions'!$T$28^2/2)),0)</f>
        <v>474416</v>
      </c>
      <c r="D175" s="46" t="n">
        <f aca="false">MIN(1,'Model Inputs &amp; Assumptions'!$U$28*EXP('Model Inputs &amp; Assumptions'!$V$28*Q175-'Model Inputs &amp; Assumptions'!$V$28^2/2))</f>
        <v>0</v>
      </c>
      <c r="E175" s="45" t="n">
        <f aca="false">ROUND(C175*D175,0)</f>
        <v>0</v>
      </c>
      <c r="F175" s="47" t="n">
        <f aca="false">MIN(1,'Model Inputs &amp; Assumptions'!$W$28*EXP('Model Inputs &amp; Assumptions'!$X$28*R175-'Model Inputs &amp; Assumptions'!$X$28^2/2))</f>
        <v>0.00182431626607154</v>
      </c>
      <c r="G175" s="45" t="n">
        <f aca="false">ROUND(C175*F175,0)</f>
        <v>865</v>
      </c>
      <c r="H175" s="48" t="n">
        <f aca="false">MAX(0,(C175*'Model Inputs &amp; Assumptions'!$N$28+E175*'Model Inputs &amp; Assumptions'!$O$28+G175*'Model Inputs &amp; Assumptions'!$P$28)*EXP('Model Inputs &amp; Assumptions'!$Q$28*S175-'Model Inputs &amp; Assumptions'!$Q$28^2/2))</f>
        <v>21.5247257581387</v>
      </c>
      <c r="I175" s="49" t="n">
        <f aca="false">IF('Model Inputs &amp; Assumptions'!$H$28="Fixed",'Model Inputs &amp; Assumptions'!$I$28*'Model Inputs &amp; Assumptions'!$K$28,IF('Model Inputs &amp; Assumptions'!$H$28="CPM",'Model Inputs &amp; Assumptions'!$I$28*'Model Inputs &amp; Assumptions'!$K$28*C175/1000,IF('Model Inputs &amp; Assumptions'!$H$28="CPC",'Model Inputs &amp; Assumptions'!$I$28*'Model Inputs &amp; Assumptions'!$K$28*G175,0)))</f>
        <v>3083.704</v>
      </c>
      <c r="J175" s="50" t="n">
        <f aca="false">H175*INDEX('Model Inputs &amp; Assumptions'!$D$40:$D$42,MATCH('Model Inputs &amp; Assumptions'!$L$28,'Model Inputs &amp; Assumptions'!$A$40:$A$42,0))*INDEX('Model Inputs &amp; Assumptions'!$H$40:$H$42,MATCH('Model Inputs &amp; Assumptions'!$L$28,'Model Inputs &amp; Assumptions'!$A$40:$A$42,0))</f>
        <v>182960.168944179</v>
      </c>
      <c r="K175" s="49" t="n">
        <f aca="false">H175*INDEX('Model Inputs &amp; Assumptions'!$G$40:$G$42,MATCH('Model Inputs &amp; Assumptions'!$L$28,'Model Inputs &amp; Assumptions'!$A$40:$A$42,0))*INDEX('Model Inputs &amp; Assumptions'!$H$40:$H$42,MATCH('Model Inputs &amp; Assumptions'!$L$28,'Model Inputs &amp; Assumptions'!$A$40:$A$42,0))</f>
        <v>4116.60380124402</v>
      </c>
      <c r="L175" s="51" t="n">
        <f aca="false">IFERROR(K175/I175,0)</f>
        <v>1.33495426319907</v>
      </c>
      <c r="M175" s="49" t="n">
        <f aca="false">IFERROR(I175/H175,0)</f>
        <v>143.26333513606</v>
      </c>
      <c r="N175" s="52" t="str">
        <f aca="false">'Model Inputs &amp; Assumptions'!$L$28</f>
        <v>PRD-EUAI</v>
      </c>
      <c r="P175" s="53" t="n">
        <v>0.261437</v>
      </c>
      <c r="Q175" s="53" t="n">
        <v>0.717302</v>
      </c>
      <c r="R175" s="53" t="n">
        <v>0.999728</v>
      </c>
      <c r="S175" s="53" t="n">
        <v>-0.473231</v>
      </c>
    </row>
    <row r="176" customFormat="false" ht="15" hidden="false" customHeight="false" outlineLevel="0" collapsed="false">
      <c r="A176" s="43" t="n">
        <v>173</v>
      </c>
      <c r="B176" s="44" t="str">
        <f aca="false">'Model Inputs &amp; Assumptions'!$B$28</f>
        <v>finanzen.net — Q1 Awareness Burst</v>
      </c>
      <c r="C176" s="45" t="n">
        <f aca="false">ROUND(MAX(0,'Model Inputs &amp; Assumptions'!$S$28*EXP('Model Inputs &amp; Assumptions'!$T$28*P176-'Model Inputs &amp; Assumptions'!$T$28^2/2)),0)</f>
        <v>534867</v>
      </c>
      <c r="D176" s="46" t="n">
        <f aca="false">MIN(1,'Model Inputs &amp; Assumptions'!$U$28*EXP('Model Inputs &amp; Assumptions'!$V$28*Q176-'Model Inputs &amp; Assumptions'!$V$28^2/2))</f>
        <v>0</v>
      </c>
      <c r="E176" s="45" t="n">
        <f aca="false">ROUND(C176*D176,0)</f>
        <v>0</v>
      </c>
      <c r="F176" s="47" t="n">
        <f aca="false">MIN(1,'Model Inputs &amp; Assumptions'!$W$28*EXP('Model Inputs &amp; Assumptions'!$X$28*R176-'Model Inputs &amp; Assumptions'!$X$28^2/2))</f>
        <v>0.00226998714415212</v>
      </c>
      <c r="G176" s="45" t="n">
        <f aca="false">ROUND(C176*F176,0)</f>
        <v>1214</v>
      </c>
      <c r="H176" s="48" t="n">
        <f aca="false">MAX(0,(C176*'Model Inputs &amp; Assumptions'!$N$28+E176*'Model Inputs &amp; Assumptions'!$O$28+G176*'Model Inputs &amp; Assumptions'!$P$28)*EXP('Model Inputs &amp; Assumptions'!$Q$28*S176-'Model Inputs &amp; Assumptions'!$Q$28^2/2))</f>
        <v>23.9259698664362</v>
      </c>
      <c r="I176" s="49" t="n">
        <f aca="false">IF('Model Inputs &amp; Assumptions'!$H$28="Fixed",'Model Inputs &amp; Assumptions'!$I$28*'Model Inputs &amp; Assumptions'!$K$28,IF('Model Inputs &amp; Assumptions'!$H$28="CPM",'Model Inputs &amp; Assumptions'!$I$28*'Model Inputs &amp; Assumptions'!$K$28*C176/1000,IF('Model Inputs &amp; Assumptions'!$H$28="CPC",'Model Inputs &amp; Assumptions'!$I$28*'Model Inputs &amp; Assumptions'!$K$28*G176,0)))</f>
        <v>3476.6355</v>
      </c>
      <c r="J176" s="50" t="n">
        <f aca="false">H176*INDEX('Model Inputs &amp; Assumptions'!$D$40:$D$42,MATCH('Model Inputs &amp; Assumptions'!$L$28,'Model Inputs &amp; Assumptions'!$A$40:$A$42,0))*INDEX('Model Inputs &amp; Assumptions'!$H$40:$H$42,MATCH('Model Inputs &amp; Assumptions'!$L$28,'Model Inputs &amp; Assumptions'!$A$40:$A$42,0))</f>
        <v>203370.743864708</v>
      </c>
      <c r="K176" s="49" t="n">
        <f aca="false">H176*INDEX('Model Inputs &amp; Assumptions'!$G$40:$G$42,MATCH('Model Inputs &amp; Assumptions'!$L$28,'Model Inputs &amp; Assumptions'!$A$40:$A$42,0))*INDEX('Model Inputs &amp; Assumptions'!$H$40:$H$42,MATCH('Model Inputs &amp; Assumptions'!$L$28,'Model Inputs &amp; Assumptions'!$A$40:$A$42,0))</f>
        <v>4575.84173695593</v>
      </c>
      <c r="L176" s="51" t="n">
        <f aca="false">IFERROR(K176/I176,0)</f>
        <v>1.31616953717349</v>
      </c>
      <c r="M176" s="49" t="n">
        <f aca="false">IFERROR(I176/H176,0)</f>
        <v>145.308028030123</v>
      </c>
      <c r="N176" s="52" t="str">
        <f aca="false">'Model Inputs &amp; Assumptions'!$L$28</f>
        <v>PRD-EUAI</v>
      </c>
      <c r="P176" s="53" t="n">
        <v>0.927736</v>
      </c>
      <c r="Q176" s="53" t="n">
        <v>0.169059</v>
      </c>
      <c r="R176" s="53" t="n">
        <v>1.993223</v>
      </c>
      <c r="S176" s="53" t="n">
        <v>-1.250512</v>
      </c>
    </row>
    <row r="177" customFormat="false" ht="15" hidden="false" customHeight="false" outlineLevel="0" collapsed="false">
      <c r="A177" s="43" t="n">
        <v>174</v>
      </c>
      <c r="B177" s="44" t="str">
        <f aca="false">'Model Inputs &amp; Assumptions'!$B$28</f>
        <v>finanzen.net — Q1 Awareness Burst</v>
      </c>
      <c r="C177" s="45" t="n">
        <f aca="false">ROUND(MAX(0,'Model Inputs &amp; Assumptions'!$S$28*EXP('Model Inputs &amp; Assumptions'!$T$28*P177-'Model Inputs &amp; Assumptions'!$T$28^2/2)),0)</f>
        <v>540778</v>
      </c>
      <c r="D177" s="46" t="n">
        <f aca="false">MIN(1,'Model Inputs &amp; Assumptions'!$U$28*EXP('Model Inputs &amp; Assumptions'!$V$28*Q177-'Model Inputs &amp; Assumptions'!$V$28^2/2))</f>
        <v>0</v>
      </c>
      <c r="E177" s="45" t="n">
        <f aca="false">ROUND(C177*D177,0)</f>
        <v>0</v>
      </c>
      <c r="F177" s="47" t="n">
        <f aca="false">MIN(1,'Model Inputs &amp; Assumptions'!$W$28*EXP('Model Inputs &amp; Assumptions'!$X$28*R177-'Model Inputs &amp; Assumptions'!$X$28^2/2))</f>
        <v>0.00100325274684535</v>
      </c>
      <c r="G177" s="45" t="n">
        <f aca="false">ROUND(C177*F177,0)</f>
        <v>543</v>
      </c>
      <c r="H177" s="48" t="n">
        <f aca="false">MAX(0,(C177*'Model Inputs &amp; Assumptions'!$N$28+E177*'Model Inputs &amp; Assumptions'!$O$28+G177*'Model Inputs &amp; Assumptions'!$P$28)*EXP('Model Inputs &amp; Assumptions'!$Q$28*S177-'Model Inputs &amp; Assumptions'!$Q$28^2/2))</f>
        <v>11.1042589355239</v>
      </c>
      <c r="I177" s="49" t="n">
        <f aca="false">IF('Model Inputs &amp; Assumptions'!$H$28="Fixed",'Model Inputs &amp; Assumptions'!$I$28*'Model Inputs &amp; Assumptions'!$K$28,IF('Model Inputs &amp; Assumptions'!$H$28="CPM",'Model Inputs &amp; Assumptions'!$I$28*'Model Inputs &amp; Assumptions'!$K$28*C177/1000,IF('Model Inputs &amp; Assumptions'!$H$28="CPC",'Model Inputs &amp; Assumptions'!$I$28*'Model Inputs &amp; Assumptions'!$K$28*G177,0)))</f>
        <v>3515.057</v>
      </c>
      <c r="J177" s="50" t="n">
        <f aca="false">H177*INDEX('Model Inputs &amp; Assumptions'!$D$40:$D$42,MATCH('Model Inputs &amp; Assumptions'!$L$28,'Model Inputs &amp; Assumptions'!$A$40:$A$42,0))*INDEX('Model Inputs &amp; Assumptions'!$H$40:$H$42,MATCH('Model Inputs &amp; Assumptions'!$L$28,'Model Inputs &amp; Assumptions'!$A$40:$A$42,0))</f>
        <v>94386.2009519534</v>
      </c>
      <c r="K177" s="49" t="n">
        <f aca="false">H177*INDEX('Model Inputs &amp; Assumptions'!$G$40:$G$42,MATCH('Model Inputs &amp; Assumptions'!$L$28,'Model Inputs &amp; Assumptions'!$A$40:$A$42,0))*INDEX('Model Inputs &amp; Assumptions'!$H$40:$H$42,MATCH('Model Inputs &amp; Assumptions'!$L$28,'Model Inputs &amp; Assumptions'!$A$40:$A$42,0))</f>
        <v>2123.68952141895</v>
      </c>
      <c r="L177" s="51" t="n">
        <f aca="false">IFERROR(K177/I177,0)</f>
        <v>0.604169298369544</v>
      </c>
      <c r="M177" s="49" t="n">
        <f aca="false">IFERROR(I177/H177,0)</f>
        <v>316.550345269317</v>
      </c>
      <c r="N177" s="52" t="str">
        <f aca="false">'Model Inputs &amp; Assumptions'!$L$28</f>
        <v>PRD-EUAI</v>
      </c>
      <c r="P177" s="53" t="n">
        <v>0.988794</v>
      </c>
      <c r="Q177" s="53" t="n">
        <v>-0.901912</v>
      </c>
      <c r="R177" s="53" t="n">
        <v>-1.718262</v>
      </c>
      <c r="S177" s="53" t="n">
        <v>-1.127409</v>
      </c>
    </row>
    <row r="178" customFormat="false" ht="15" hidden="false" customHeight="false" outlineLevel="0" collapsed="false">
      <c r="A178" s="43" t="n">
        <v>175</v>
      </c>
      <c r="B178" s="44" t="str">
        <f aca="false">'Model Inputs &amp; Assumptions'!$B$28</f>
        <v>finanzen.net — Q1 Awareness Burst</v>
      </c>
      <c r="C178" s="45" t="n">
        <f aca="false">ROUND(MAX(0,'Model Inputs &amp; Assumptions'!$S$28*EXP('Model Inputs &amp; Assumptions'!$T$28*P178-'Model Inputs &amp; Assumptions'!$T$28^2/2)),0)</f>
        <v>436306</v>
      </c>
      <c r="D178" s="46" t="n">
        <f aca="false">MIN(1,'Model Inputs &amp; Assumptions'!$U$28*EXP('Model Inputs &amp; Assumptions'!$V$28*Q178-'Model Inputs &amp; Assumptions'!$V$28^2/2))</f>
        <v>0</v>
      </c>
      <c r="E178" s="45" t="n">
        <f aca="false">ROUND(C178*D178,0)</f>
        <v>0</v>
      </c>
      <c r="F178" s="47" t="n">
        <f aca="false">MIN(1,'Model Inputs &amp; Assumptions'!$W$28*EXP('Model Inputs &amp; Assumptions'!$X$28*R178-'Model Inputs &amp; Assumptions'!$X$28^2/2))</f>
        <v>0.00146946244186941</v>
      </c>
      <c r="G178" s="45" t="n">
        <f aca="false">ROUND(C178*F178,0)</f>
        <v>641</v>
      </c>
      <c r="H178" s="48" t="n">
        <f aca="false">MAX(0,(C178*'Model Inputs &amp; Assumptions'!$N$28+E178*'Model Inputs &amp; Assumptions'!$O$28+G178*'Model Inputs &amp; Assumptions'!$P$28)*EXP('Model Inputs &amp; Assumptions'!$Q$28*S178-'Model Inputs &amp; Assumptions'!$Q$28^2/2))</f>
        <v>13.5572744032821</v>
      </c>
      <c r="I178" s="49" t="n">
        <f aca="false">IF('Model Inputs &amp; Assumptions'!$H$28="Fixed",'Model Inputs &amp; Assumptions'!$I$28*'Model Inputs &amp; Assumptions'!$K$28,IF('Model Inputs &amp; Assumptions'!$H$28="CPM",'Model Inputs &amp; Assumptions'!$I$28*'Model Inputs &amp; Assumptions'!$K$28*C178/1000,IF('Model Inputs &amp; Assumptions'!$H$28="CPC",'Model Inputs &amp; Assumptions'!$I$28*'Model Inputs &amp; Assumptions'!$K$28*G178,0)))</f>
        <v>2835.989</v>
      </c>
      <c r="J178" s="50" t="n">
        <f aca="false">H178*INDEX('Model Inputs &amp; Assumptions'!$D$40:$D$42,MATCH('Model Inputs &amp; Assumptions'!$L$28,'Model Inputs &amp; Assumptions'!$A$40:$A$42,0))*INDEX('Model Inputs &amp; Assumptions'!$H$40:$H$42,MATCH('Model Inputs &amp; Assumptions'!$L$28,'Model Inputs &amp; Assumptions'!$A$40:$A$42,0))</f>
        <v>115236.832427898</v>
      </c>
      <c r="K178" s="49" t="n">
        <f aca="false">H178*INDEX('Model Inputs &amp; Assumptions'!$G$40:$G$42,MATCH('Model Inputs &amp; Assumptions'!$L$28,'Model Inputs &amp; Assumptions'!$A$40:$A$42,0))*INDEX('Model Inputs &amp; Assumptions'!$H$40:$H$42,MATCH('Model Inputs &amp; Assumptions'!$L$28,'Model Inputs &amp; Assumptions'!$A$40:$A$42,0))</f>
        <v>2592.8287296277</v>
      </c>
      <c r="L178" s="51" t="n">
        <f aca="false">IFERROR(K178/I178,0)</f>
        <v>0.914259092552088</v>
      </c>
      <c r="M178" s="49" t="n">
        <f aca="false">IFERROR(I178/H178,0)</f>
        <v>209.18577847133</v>
      </c>
      <c r="N178" s="52" t="str">
        <f aca="false">'Model Inputs &amp; Assumptions'!$L$28</f>
        <v>PRD-EUAI</v>
      </c>
      <c r="P178" s="53" t="n">
        <v>-0.20379</v>
      </c>
      <c r="Q178" s="53" t="n">
        <v>0.618618</v>
      </c>
      <c r="R178" s="53" t="n">
        <v>0.016507</v>
      </c>
      <c r="S178" s="53" t="n">
        <v>-1.015161</v>
      </c>
    </row>
    <row r="179" customFormat="false" ht="15" hidden="false" customHeight="false" outlineLevel="0" collapsed="false">
      <c r="A179" s="43" t="n">
        <v>176</v>
      </c>
      <c r="B179" s="44" t="str">
        <f aca="false">'Model Inputs &amp; Assumptions'!$B$28</f>
        <v>finanzen.net — Q1 Awareness Burst</v>
      </c>
      <c r="C179" s="45" t="n">
        <f aca="false">ROUND(MAX(0,'Model Inputs &amp; Assumptions'!$S$28*EXP('Model Inputs &amp; Assumptions'!$T$28*P179-'Model Inputs &amp; Assumptions'!$T$28^2/2)),0)</f>
        <v>384546</v>
      </c>
      <c r="D179" s="46" t="n">
        <f aca="false">MIN(1,'Model Inputs &amp; Assumptions'!$U$28*EXP('Model Inputs &amp; Assumptions'!$V$28*Q179-'Model Inputs &amp; Assumptions'!$V$28^2/2))</f>
        <v>0</v>
      </c>
      <c r="E179" s="45" t="n">
        <f aca="false">ROUND(C179*D179,0)</f>
        <v>0</v>
      </c>
      <c r="F179" s="47" t="n">
        <f aca="false">MIN(1,'Model Inputs &amp; Assumptions'!$W$28*EXP('Model Inputs &amp; Assumptions'!$X$28*R179-'Model Inputs &amp; Assumptions'!$X$28^2/2))</f>
        <v>0.00138325274618566</v>
      </c>
      <c r="G179" s="45" t="n">
        <f aca="false">ROUND(C179*F179,0)</f>
        <v>532</v>
      </c>
      <c r="H179" s="48" t="n">
        <f aca="false">MAX(0,(C179*'Model Inputs &amp; Assumptions'!$N$28+E179*'Model Inputs &amp; Assumptions'!$O$28+G179*'Model Inputs &amp; Assumptions'!$P$28)*EXP('Model Inputs &amp; Assumptions'!$Q$28*S179-'Model Inputs &amp; Assumptions'!$Q$28^2/2))</f>
        <v>19.4592160748238</v>
      </c>
      <c r="I179" s="49" t="n">
        <f aca="false">IF('Model Inputs &amp; Assumptions'!$H$28="Fixed",'Model Inputs &amp; Assumptions'!$I$28*'Model Inputs &amp; Assumptions'!$K$28,IF('Model Inputs &amp; Assumptions'!$H$28="CPM",'Model Inputs &amp; Assumptions'!$I$28*'Model Inputs &amp; Assumptions'!$K$28*C179/1000,IF('Model Inputs &amp; Assumptions'!$H$28="CPC",'Model Inputs &amp; Assumptions'!$I$28*'Model Inputs &amp; Assumptions'!$K$28*G179,0)))</f>
        <v>2499.549</v>
      </c>
      <c r="J179" s="50" t="n">
        <f aca="false">H179*INDEX('Model Inputs &amp; Assumptions'!$D$40:$D$42,MATCH('Model Inputs &amp; Assumptions'!$L$28,'Model Inputs &amp; Assumptions'!$A$40:$A$42,0))*INDEX('Model Inputs &amp; Assumptions'!$H$40:$H$42,MATCH('Model Inputs &amp; Assumptions'!$L$28,'Model Inputs &amp; Assumptions'!$A$40:$A$42,0))</f>
        <v>165403.336636003</v>
      </c>
      <c r="K179" s="49" t="n">
        <f aca="false">H179*INDEX('Model Inputs &amp; Assumptions'!$G$40:$G$42,MATCH('Model Inputs &amp; Assumptions'!$L$28,'Model Inputs &amp; Assumptions'!$A$40:$A$42,0))*INDEX('Model Inputs &amp; Assumptions'!$H$40:$H$42,MATCH('Model Inputs &amp; Assumptions'!$L$28,'Model Inputs &amp; Assumptions'!$A$40:$A$42,0))</f>
        <v>3721.57507431006</v>
      </c>
      <c r="L179" s="51" t="n">
        <f aca="false">IFERROR(K179/I179,0)</f>
        <v>1.48889862703634</v>
      </c>
      <c r="M179" s="49" t="n">
        <f aca="false">IFERROR(I179/H179,0)</f>
        <v>128.45065239981</v>
      </c>
      <c r="N179" s="52" t="str">
        <f aca="false">'Model Inputs &amp; Assumptions'!$L$28</f>
        <v>PRD-EUAI</v>
      </c>
      <c r="P179" s="53" t="n">
        <v>-0.90535</v>
      </c>
      <c r="Q179" s="53" t="n">
        <v>0.61837</v>
      </c>
      <c r="R179" s="53" t="n">
        <v>-0.258306</v>
      </c>
      <c r="S179" s="53" t="n">
        <v>0.810784</v>
      </c>
    </row>
    <row r="180" customFormat="false" ht="15" hidden="false" customHeight="false" outlineLevel="0" collapsed="false">
      <c r="A180" s="43" t="n">
        <v>177</v>
      </c>
      <c r="B180" s="44" t="str">
        <f aca="false">'Model Inputs &amp; Assumptions'!$B$28</f>
        <v>finanzen.net — Q1 Awareness Burst</v>
      </c>
      <c r="C180" s="45" t="n">
        <f aca="false">ROUND(MAX(0,'Model Inputs &amp; Assumptions'!$S$28*EXP('Model Inputs &amp; Assumptions'!$T$28*P180-'Model Inputs &amp; Assumptions'!$T$28^2/2)),0)</f>
        <v>332338</v>
      </c>
      <c r="D180" s="46" t="n">
        <f aca="false">MIN(1,'Model Inputs &amp; Assumptions'!$U$28*EXP('Model Inputs &amp; Assumptions'!$V$28*Q180-'Model Inputs &amp; Assumptions'!$V$28^2/2))</f>
        <v>0</v>
      </c>
      <c r="E180" s="45" t="n">
        <f aca="false">ROUND(C180*D180,0)</f>
        <v>0</v>
      </c>
      <c r="F180" s="47" t="n">
        <f aca="false">MIN(1,'Model Inputs &amp; Assumptions'!$W$28*EXP('Model Inputs &amp; Assumptions'!$X$28*R180-'Model Inputs &amp; Assumptions'!$X$28^2/2))</f>
        <v>0.001604897494373</v>
      </c>
      <c r="G180" s="45" t="n">
        <f aca="false">ROUND(C180*F180,0)</f>
        <v>533</v>
      </c>
      <c r="H180" s="48" t="n">
        <f aca="false">MAX(0,(C180*'Model Inputs &amp; Assumptions'!$N$28+E180*'Model Inputs &amp; Assumptions'!$O$28+G180*'Model Inputs &amp; Assumptions'!$P$28)*EXP('Model Inputs &amp; Assumptions'!$Q$28*S180-'Model Inputs &amp; Assumptions'!$Q$28^2/2))</f>
        <v>9.64754835740673</v>
      </c>
      <c r="I180" s="49" t="n">
        <f aca="false">IF('Model Inputs &amp; Assumptions'!$H$28="Fixed",'Model Inputs &amp; Assumptions'!$I$28*'Model Inputs &amp; Assumptions'!$K$28,IF('Model Inputs &amp; Assumptions'!$H$28="CPM",'Model Inputs &amp; Assumptions'!$I$28*'Model Inputs &amp; Assumptions'!$K$28*C180/1000,IF('Model Inputs &amp; Assumptions'!$H$28="CPC",'Model Inputs &amp; Assumptions'!$I$28*'Model Inputs &amp; Assumptions'!$K$28*G180,0)))</f>
        <v>2160.197</v>
      </c>
      <c r="J180" s="50" t="n">
        <f aca="false">H180*INDEX('Model Inputs &amp; Assumptions'!$D$40:$D$42,MATCH('Model Inputs &amp; Assumptions'!$L$28,'Model Inputs &amp; Assumptions'!$A$40:$A$42,0))*INDEX('Model Inputs &amp; Assumptions'!$H$40:$H$42,MATCH('Model Inputs &amp; Assumptions'!$L$28,'Model Inputs &amp; Assumptions'!$A$40:$A$42,0))</f>
        <v>82004.1610379572</v>
      </c>
      <c r="K180" s="49" t="n">
        <f aca="false">H180*INDEX('Model Inputs &amp; Assumptions'!$G$40:$G$42,MATCH('Model Inputs &amp; Assumptions'!$L$28,'Model Inputs &amp; Assumptions'!$A$40:$A$42,0))*INDEX('Model Inputs &amp; Assumptions'!$H$40:$H$42,MATCH('Model Inputs &amp; Assumptions'!$L$28,'Model Inputs &amp; Assumptions'!$A$40:$A$42,0))</f>
        <v>1845.09362335404</v>
      </c>
      <c r="L180" s="51" t="n">
        <f aca="false">IFERROR(K180/I180,0)</f>
        <v>0.854132110800097</v>
      </c>
      <c r="M180" s="49" t="n">
        <f aca="false">IFERROR(I180/H180,0)</f>
        <v>223.911497509266</v>
      </c>
      <c r="N180" s="52" t="str">
        <f aca="false">'Model Inputs &amp; Assumptions'!$L$28</f>
        <v>PRD-EUAI</v>
      </c>
      <c r="P180" s="53" t="n">
        <v>-1.71596</v>
      </c>
      <c r="Q180" s="53" t="n">
        <v>-0.357535</v>
      </c>
      <c r="R180" s="53" t="n">
        <v>0.417249</v>
      </c>
      <c r="S180" s="53" t="n">
        <v>-1.534199</v>
      </c>
    </row>
    <row r="181" customFormat="false" ht="15" hidden="false" customHeight="false" outlineLevel="0" collapsed="false">
      <c r="A181" s="43" t="n">
        <v>178</v>
      </c>
      <c r="B181" s="44" t="str">
        <f aca="false">'Model Inputs &amp; Assumptions'!$B$28</f>
        <v>finanzen.net — Q1 Awareness Burst</v>
      </c>
      <c r="C181" s="45" t="n">
        <f aca="false">ROUND(MAX(0,'Model Inputs &amp; Assumptions'!$S$28*EXP('Model Inputs &amp; Assumptions'!$T$28*P181-'Model Inputs &amp; Assumptions'!$T$28^2/2)),0)</f>
        <v>306380</v>
      </c>
      <c r="D181" s="46" t="n">
        <f aca="false">MIN(1,'Model Inputs &amp; Assumptions'!$U$28*EXP('Model Inputs &amp; Assumptions'!$V$28*Q181-'Model Inputs &amp; Assumptions'!$V$28^2/2))</f>
        <v>0</v>
      </c>
      <c r="E181" s="45" t="n">
        <f aca="false">ROUND(C181*D181,0)</f>
        <v>0</v>
      </c>
      <c r="F181" s="47" t="n">
        <f aca="false">MIN(1,'Model Inputs &amp; Assumptions'!$W$28*EXP('Model Inputs &amp; Assumptions'!$X$28*R181-'Model Inputs &amp; Assumptions'!$X$28^2/2))</f>
        <v>0.00112910254375657</v>
      </c>
      <c r="G181" s="45" t="n">
        <f aca="false">ROUND(C181*F181,0)</f>
        <v>346</v>
      </c>
      <c r="H181" s="48" t="n">
        <f aca="false">MAX(0,(C181*'Model Inputs &amp; Assumptions'!$N$28+E181*'Model Inputs &amp; Assumptions'!$O$28+G181*'Model Inputs &amp; Assumptions'!$P$28)*EXP('Model Inputs &amp; Assumptions'!$Q$28*S181-'Model Inputs &amp; Assumptions'!$Q$28^2/2))</f>
        <v>10.0750893646892</v>
      </c>
      <c r="I181" s="49" t="n">
        <f aca="false">IF('Model Inputs &amp; Assumptions'!$H$28="Fixed",'Model Inputs &amp; Assumptions'!$I$28*'Model Inputs &amp; Assumptions'!$K$28,IF('Model Inputs &amp; Assumptions'!$H$28="CPM",'Model Inputs &amp; Assumptions'!$I$28*'Model Inputs &amp; Assumptions'!$K$28*C181/1000,IF('Model Inputs &amp; Assumptions'!$H$28="CPC",'Model Inputs &amp; Assumptions'!$I$28*'Model Inputs &amp; Assumptions'!$K$28*G181,0)))</f>
        <v>1991.47</v>
      </c>
      <c r="J181" s="50" t="n">
        <f aca="false">H181*INDEX('Model Inputs &amp; Assumptions'!$D$40:$D$42,MATCH('Model Inputs &amp; Assumptions'!$L$28,'Model Inputs &amp; Assumptions'!$A$40:$A$42,0))*INDEX('Model Inputs &amp; Assumptions'!$H$40:$H$42,MATCH('Model Inputs &amp; Assumptions'!$L$28,'Model Inputs &amp; Assumptions'!$A$40:$A$42,0))</f>
        <v>85638.2595998579</v>
      </c>
      <c r="K181" s="49" t="n">
        <f aca="false">H181*INDEX('Model Inputs &amp; Assumptions'!$G$40:$G$42,MATCH('Model Inputs &amp; Assumptions'!$L$28,'Model Inputs &amp; Assumptions'!$A$40:$A$42,0))*INDEX('Model Inputs &amp; Assumptions'!$H$40:$H$42,MATCH('Model Inputs &amp; Assumptions'!$L$28,'Model Inputs &amp; Assumptions'!$A$40:$A$42,0))</f>
        <v>1926.8608409968</v>
      </c>
      <c r="L181" s="51" t="n">
        <f aca="false">IFERROR(K181/I181,0)</f>
        <v>0.967557051322291</v>
      </c>
      <c r="M181" s="49" t="n">
        <f aca="false">IFERROR(I181/H181,0)</f>
        <v>197.662762871329</v>
      </c>
      <c r="N181" s="52" t="str">
        <f aca="false">'Model Inputs &amp; Assumptions'!$L$28</f>
        <v>PRD-EUAI</v>
      </c>
      <c r="P181" s="53" t="n">
        <v>-2.167781</v>
      </c>
      <c r="Q181" s="53" t="n">
        <v>0.606005</v>
      </c>
      <c r="R181" s="53" t="n">
        <v>-1.1811</v>
      </c>
      <c r="S181" s="53" t="n">
        <v>0.050617</v>
      </c>
    </row>
    <row r="182" customFormat="false" ht="15" hidden="false" customHeight="false" outlineLevel="0" collapsed="false">
      <c r="A182" s="43" t="n">
        <v>179</v>
      </c>
      <c r="B182" s="44" t="str">
        <f aca="false">'Model Inputs &amp; Assumptions'!$B$28</f>
        <v>finanzen.net — Q1 Awareness Burst</v>
      </c>
      <c r="C182" s="45" t="n">
        <f aca="false">ROUND(MAX(0,'Model Inputs &amp; Assumptions'!$S$28*EXP('Model Inputs &amp; Assumptions'!$T$28*P182-'Model Inputs &amp; Assumptions'!$T$28^2/2)),0)</f>
        <v>513003</v>
      </c>
      <c r="D182" s="46" t="n">
        <f aca="false">MIN(1,'Model Inputs &amp; Assumptions'!$U$28*EXP('Model Inputs &amp; Assumptions'!$V$28*Q182-'Model Inputs &amp; Assumptions'!$V$28^2/2))</f>
        <v>0</v>
      </c>
      <c r="E182" s="45" t="n">
        <f aca="false">ROUND(C182*D182,0)</f>
        <v>0</v>
      </c>
      <c r="F182" s="47" t="n">
        <f aca="false">MIN(1,'Model Inputs &amp; Assumptions'!$W$28*EXP('Model Inputs &amp; Assumptions'!$X$28*R182-'Model Inputs &amp; Assumptions'!$X$28^2/2))</f>
        <v>0.0011566657214593</v>
      </c>
      <c r="G182" s="45" t="n">
        <f aca="false">ROUND(C182*F182,0)</f>
        <v>593</v>
      </c>
      <c r="H182" s="48" t="n">
        <f aca="false">MAX(0,(C182*'Model Inputs &amp; Assumptions'!$N$28+E182*'Model Inputs &amp; Assumptions'!$O$28+G182*'Model Inputs &amp; Assumptions'!$P$28)*EXP('Model Inputs &amp; Assumptions'!$Q$28*S182-'Model Inputs &amp; Assumptions'!$Q$28^2/2))</f>
        <v>12.5480001424112</v>
      </c>
      <c r="I182" s="49" t="n">
        <f aca="false">IF('Model Inputs &amp; Assumptions'!$H$28="Fixed",'Model Inputs &amp; Assumptions'!$I$28*'Model Inputs &amp; Assumptions'!$K$28,IF('Model Inputs &amp; Assumptions'!$H$28="CPM",'Model Inputs &amp; Assumptions'!$I$28*'Model Inputs &amp; Assumptions'!$K$28*C182/1000,IF('Model Inputs &amp; Assumptions'!$H$28="CPC",'Model Inputs &amp; Assumptions'!$I$28*'Model Inputs &amp; Assumptions'!$K$28*G182,0)))</f>
        <v>3334.5195</v>
      </c>
      <c r="J182" s="50" t="n">
        <f aca="false">H182*INDEX('Model Inputs &amp; Assumptions'!$D$40:$D$42,MATCH('Model Inputs &amp; Assumptions'!$L$28,'Model Inputs &amp; Assumptions'!$A$40:$A$42,0))*INDEX('Model Inputs &amp; Assumptions'!$H$40:$H$42,MATCH('Model Inputs &amp; Assumptions'!$L$28,'Model Inputs &amp; Assumptions'!$A$40:$A$42,0))</f>
        <v>106658.001210495</v>
      </c>
      <c r="K182" s="49" t="n">
        <f aca="false">H182*INDEX('Model Inputs &amp; Assumptions'!$G$40:$G$42,MATCH('Model Inputs &amp; Assumptions'!$L$28,'Model Inputs &amp; Assumptions'!$A$40:$A$42,0))*INDEX('Model Inputs &amp; Assumptions'!$H$40:$H$42,MATCH('Model Inputs &amp; Assumptions'!$L$28,'Model Inputs &amp; Assumptions'!$A$40:$A$42,0))</f>
        <v>2399.80502723614</v>
      </c>
      <c r="L182" s="51" t="n">
        <f aca="false">IFERROR(K182/I182,0)</f>
        <v>0.719685408118362</v>
      </c>
      <c r="M182" s="49" t="n">
        <f aca="false">IFERROR(I182/H182,0)</f>
        <v>265.741111105794</v>
      </c>
      <c r="N182" s="52" t="str">
        <f aca="false">'Model Inputs &amp; Assumptions'!$L$28</f>
        <v>PRD-EUAI</v>
      </c>
      <c r="P182" s="53" t="n">
        <v>0.695861</v>
      </c>
      <c r="Q182" s="53" t="n">
        <v>-0.787832</v>
      </c>
      <c r="R182" s="53" t="n">
        <v>-1.071471</v>
      </c>
      <c r="S182" s="53" t="n">
        <v>-1.013584</v>
      </c>
    </row>
    <row r="183" customFormat="false" ht="15" hidden="false" customHeight="false" outlineLevel="0" collapsed="false">
      <c r="A183" s="43" t="n">
        <v>180</v>
      </c>
      <c r="B183" s="44" t="str">
        <f aca="false">'Model Inputs &amp; Assumptions'!$B$28</f>
        <v>finanzen.net — Q1 Awareness Burst</v>
      </c>
      <c r="C183" s="45" t="n">
        <f aca="false">ROUND(MAX(0,'Model Inputs &amp; Assumptions'!$S$28*EXP('Model Inputs &amp; Assumptions'!$T$28*P183-'Model Inputs &amp; Assumptions'!$T$28^2/2)),0)</f>
        <v>335783</v>
      </c>
      <c r="D183" s="46" t="n">
        <f aca="false">MIN(1,'Model Inputs &amp; Assumptions'!$U$28*EXP('Model Inputs &amp; Assumptions'!$V$28*Q183-'Model Inputs &amp; Assumptions'!$V$28^2/2))</f>
        <v>0</v>
      </c>
      <c r="E183" s="45" t="n">
        <f aca="false">ROUND(C183*D183,0)</f>
        <v>0</v>
      </c>
      <c r="F183" s="47" t="n">
        <f aca="false">MIN(1,'Model Inputs &amp; Assumptions'!$W$28*EXP('Model Inputs &amp; Assumptions'!$X$28*R183-'Model Inputs &amp; Assumptions'!$X$28^2/2))</f>
        <v>0.00141984391720163</v>
      </c>
      <c r="G183" s="45" t="n">
        <f aca="false">ROUND(C183*F183,0)</f>
        <v>477</v>
      </c>
      <c r="H183" s="48" t="n">
        <f aca="false">MAX(0,(C183*'Model Inputs &amp; Assumptions'!$N$28+E183*'Model Inputs &amp; Assumptions'!$O$28+G183*'Model Inputs &amp; Assumptions'!$P$28)*EXP('Model Inputs &amp; Assumptions'!$Q$28*S183-'Model Inputs &amp; Assumptions'!$Q$28^2/2))</f>
        <v>11.6066660619179</v>
      </c>
      <c r="I183" s="49" t="n">
        <f aca="false">IF('Model Inputs &amp; Assumptions'!$H$28="Fixed",'Model Inputs &amp; Assumptions'!$I$28*'Model Inputs &amp; Assumptions'!$K$28,IF('Model Inputs &amp; Assumptions'!$H$28="CPM",'Model Inputs &amp; Assumptions'!$I$28*'Model Inputs &amp; Assumptions'!$K$28*C183/1000,IF('Model Inputs &amp; Assumptions'!$H$28="CPC",'Model Inputs &amp; Assumptions'!$I$28*'Model Inputs &amp; Assumptions'!$K$28*G183,0)))</f>
        <v>2182.5895</v>
      </c>
      <c r="J183" s="50" t="n">
        <f aca="false">H183*INDEX('Model Inputs &amp; Assumptions'!$D$40:$D$42,MATCH('Model Inputs &amp; Assumptions'!$L$28,'Model Inputs &amp; Assumptions'!$A$40:$A$42,0))*INDEX('Model Inputs &amp; Assumptions'!$H$40:$H$42,MATCH('Model Inputs &amp; Assumptions'!$L$28,'Model Inputs &amp; Assumptions'!$A$40:$A$42,0))</f>
        <v>98656.6615263019</v>
      </c>
      <c r="K183" s="49" t="n">
        <f aca="false">H183*INDEX('Model Inputs &amp; Assumptions'!$G$40:$G$42,MATCH('Model Inputs &amp; Assumptions'!$L$28,'Model Inputs &amp; Assumptions'!$A$40:$A$42,0))*INDEX('Model Inputs &amp; Assumptions'!$H$40:$H$42,MATCH('Model Inputs &amp; Assumptions'!$L$28,'Model Inputs &amp; Assumptions'!$A$40:$A$42,0))</f>
        <v>2219.77488434179</v>
      </c>
      <c r="L183" s="51" t="n">
        <f aca="false">IFERROR(K183/I183,0)</f>
        <v>1.01703727812389</v>
      </c>
      <c r="M183" s="49" t="n">
        <f aca="false">IFERROR(I183/H183,0)</f>
        <v>188.04620451356</v>
      </c>
      <c r="N183" s="52" t="str">
        <f aca="false">'Model Inputs &amp; Assumptions'!$L$28</f>
        <v>PRD-EUAI</v>
      </c>
      <c r="P183" s="53" t="n">
        <v>-1.658675</v>
      </c>
      <c r="Q183" s="53" t="n">
        <v>0.557501</v>
      </c>
      <c r="R183" s="53" t="n">
        <v>-0.139628</v>
      </c>
      <c r="S183" s="53" t="n">
        <v>-0.54793</v>
      </c>
    </row>
    <row r="184" customFormat="false" ht="15" hidden="false" customHeight="false" outlineLevel="0" collapsed="false">
      <c r="A184" s="43" t="n">
        <v>181</v>
      </c>
      <c r="B184" s="44" t="str">
        <f aca="false">'Model Inputs &amp; Assumptions'!$B$28</f>
        <v>finanzen.net — Q1 Awareness Burst</v>
      </c>
      <c r="C184" s="45" t="n">
        <f aca="false">ROUND(MAX(0,'Model Inputs &amp; Assumptions'!$S$28*EXP('Model Inputs &amp; Assumptions'!$T$28*P184-'Model Inputs &amp; Assumptions'!$T$28^2/2)),0)</f>
        <v>454279</v>
      </c>
      <c r="D184" s="46" t="n">
        <f aca="false">MIN(1,'Model Inputs &amp; Assumptions'!$U$28*EXP('Model Inputs &amp; Assumptions'!$V$28*Q184-'Model Inputs &amp; Assumptions'!$V$28^2/2))</f>
        <v>0</v>
      </c>
      <c r="E184" s="45" t="n">
        <f aca="false">ROUND(C184*D184,0)</f>
        <v>0</v>
      </c>
      <c r="F184" s="47" t="n">
        <f aca="false">MIN(1,'Model Inputs &amp; Assumptions'!$W$28*EXP('Model Inputs &amp; Assumptions'!$X$28*R184-'Model Inputs &amp; Assumptions'!$X$28^2/2))</f>
        <v>0.00146812240388327</v>
      </c>
      <c r="G184" s="45" t="n">
        <f aca="false">ROUND(C184*F184,0)</f>
        <v>667</v>
      </c>
      <c r="H184" s="48" t="n">
        <f aca="false">MAX(0,(C184*'Model Inputs &amp; Assumptions'!$N$28+E184*'Model Inputs &amp; Assumptions'!$O$28+G184*'Model Inputs &amp; Assumptions'!$P$28)*EXP('Model Inputs &amp; Assumptions'!$Q$28*S184-'Model Inputs &amp; Assumptions'!$Q$28^2/2))</f>
        <v>25.5072276330915</v>
      </c>
      <c r="I184" s="49" t="n">
        <f aca="false">IF('Model Inputs &amp; Assumptions'!$H$28="Fixed",'Model Inputs &amp; Assumptions'!$I$28*'Model Inputs &amp; Assumptions'!$K$28,IF('Model Inputs &amp; Assumptions'!$H$28="CPM",'Model Inputs &amp; Assumptions'!$I$28*'Model Inputs &amp; Assumptions'!$K$28*C184/1000,IF('Model Inputs &amp; Assumptions'!$H$28="CPC",'Model Inputs &amp; Assumptions'!$I$28*'Model Inputs &amp; Assumptions'!$K$28*G184,0)))</f>
        <v>2952.8135</v>
      </c>
      <c r="J184" s="50" t="n">
        <f aca="false">H184*INDEX('Model Inputs &amp; Assumptions'!$D$40:$D$42,MATCH('Model Inputs &amp; Assumptions'!$L$28,'Model Inputs &amp; Assumptions'!$A$40:$A$42,0))*INDEX('Model Inputs &amp; Assumptions'!$H$40:$H$42,MATCH('Model Inputs &amp; Assumptions'!$L$28,'Model Inputs &amp; Assumptions'!$A$40:$A$42,0))</f>
        <v>216811.434881278</v>
      </c>
      <c r="K184" s="49" t="n">
        <f aca="false">H184*INDEX('Model Inputs &amp; Assumptions'!$G$40:$G$42,MATCH('Model Inputs &amp; Assumptions'!$L$28,'Model Inputs &amp; Assumptions'!$A$40:$A$42,0))*INDEX('Model Inputs &amp; Assumptions'!$H$40:$H$42,MATCH('Model Inputs &amp; Assumptions'!$L$28,'Model Inputs &amp; Assumptions'!$A$40:$A$42,0))</f>
        <v>4878.25728482875</v>
      </c>
      <c r="L184" s="51" t="n">
        <f aca="false">IFERROR(K184/I184,0)</f>
        <v>1.65207090960156</v>
      </c>
      <c r="M184" s="49" t="n">
        <f aca="false">IFERROR(I184/H184,0)</f>
        <v>115.763796147301</v>
      </c>
      <c r="N184" s="52" t="str">
        <f aca="false">'Model Inputs &amp; Assumptions'!$L$28</f>
        <v>PRD-EUAI</v>
      </c>
      <c r="P184" s="53" t="n">
        <v>0.020477</v>
      </c>
      <c r="Q184" s="53" t="n">
        <v>-0.048607</v>
      </c>
      <c r="R184" s="53" t="n">
        <v>0.01236</v>
      </c>
      <c r="S184" s="53" t="n">
        <v>0.959099</v>
      </c>
    </row>
    <row r="185" customFormat="false" ht="15" hidden="false" customHeight="false" outlineLevel="0" collapsed="false">
      <c r="A185" s="43" t="n">
        <v>182</v>
      </c>
      <c r="B185" s="44" t="str">
        <f aca="false">'Model Inputs &amp; Assumptions'!$B$28</f>
        <v>finanzen.net — Q1 Awareness Burst</v>
      </c>
      <c r="C185" s="45" t="n">
        <f aca="false">ROUND(MAX(0,'Model Inputs &amp; Assumptions'!$S$28*EXP('Model Inputs &amp; Assumptions'!$T$28*P185-'Model Inputs &amp; Assumptions'!$T$28^2/2)),0)</f>
        <v>422853</v>
      </c>
      <c r="D185" s="46" t="n">
        <f aca="false">MIN(1,'Model Inputs &amp; Assumptions'!$U$28*EXP('Model Inputs &amp; Assumptions'!$V$28*Q185-'Model Inputs &amp; Assumptions'!$V$28^2/2))</f>
        <v>0</v>
      </c>
      <c r="E185" s="45" t="n">
        <f aca="false">ROUND(C185*D185,0)</f>
        <v>0</v>
      </c>
      <c r="F185" s="47" t="n">
        <f aca="false">MIN(1,'Model Inputs &amp; Assumptions'!$W$28*EXP('Model Inputs &amp; Assumptions'!$X$28*R185-'Model Inputs &amp; Assumptions'!$X$28^2/2))</f>
        <v>0.00195636349083552</v>
      </c>
      <c r="G185" s="45" t="n">
        <f aca="false">ROUND(C185*F185,0)</f>
        <v>827</v>
      </c>
      <c r="H185" s="48" t="n">
        <f aca="false">MAX(0,(C185*'Model Inputs &amp; Assumptions'!$N$28+E185*'Model Inputs &amp; Assumptions'!$O$28+G185*'Model Inputs &amp; Assumptions'!$P$28)*EXP('Model Inputs &amp; Assumptions'!$Q$28*S185-'Model Inputs &amp; Assumptions'!$Q$28^2/2))</f>
        <v>14.80020153199</v>
      </c>
      <c r="I185" s="49" t="n">
        <f aca="false">IF('Model Inputs &amp; Assumptions'!$H$28="Fixed",'Model Inputs &amp; Assumptions'!$I$28*'Model Inputs &amp; Assumptions'!$K$28,IF('Model Inputs &amp; Assumptions'!$H$28="CPM",'Model Inputs &amp; Assumptions'!$I$28*'Model Inputs &amp; Assumptions'!$K$28*C185/1000,IF('Model Inputs &amp; Assumptions'!$H$28="CPC",'Model Inputs &amp; Assumptions'!$I$28*'Model Inputs &amp; Assumptions'!$K$28*G185,0)))</f>
        <v>2748.5445</v>
      </c>
      <c r="J185" s="50" t="n">
        <f aca="false">H185*INDEX('Model Inputs &amp; Assumptions'!$D$40:$D$42,MATCH('Model Inputs &amp; Assumptions'!$L$28,'Model Inputs &amp; Assumptions'!$A$40:$A$42,0))*INDEX('Model Inputs &amp; Assumptions'!$H$40:$H$42,MATCH('Model Inputs &amp; Assumptions'!$L$28,'Model Inputs &amp; Assumptions'!$A$40:$A$42,0))</f>
        <v>125801.713021915</v>
      </c>
      <c r="K185" s="49" t="n">
        <f aca="false">H185*INDEX('Model Inputs &amp; Assumptions'!$G$40:$G$42,MATCH('Model Inputs &amp; Assumptions'!$L$28,'Model Inputs &amp; Assumptions'!$A$40:$A$42,0))*INDEX('Model Inputs &amp; Assumptions'!$H$40:$H$42,MATCH('Model Inputs &amp; Assumptions'!$L$28,'Model Inputs &amp; Assumptions'!$A$40:$A$42,0))</f>
        <v>2830.53854299309</v>
      </c>
      <c r="L185" s="51" t="n">
        <f aca="false">IFERROR(K185/I185,0)</f>
        <v>1.02983180479453</v>
      </c>
      <c r="M185" s="49" t="n">
        <f aca="false">IFERROR(I185/H185,0)</f>
        <v>185.709937399105</v>
      </c>
      <c r="N185" s="52" t="str">
        <f aca="false">'Model Inputs &amp; Assumptions'!$L$28</f>
        <v>PRD-EUAI</v>
      </c>
      <c r="P185" s="53" t="n">
        <v>-0.377789</v>
      </c>
      <c r="Q185" s="53" t="n">
        <v>-0.905765</v>
      </c>
      <c r="R185" s="53" t="n">
        <v>1.317374</v>
      </c>
      <c r="S185" s="53" t="n">
        <v>-1.57202</v>
      </c>
    </row>
    <row r="186" customFormat="false" ht="15" hidden="false" customHeight="false" outlineLevel="0" collapsed="false">
      <c r="A186" s="43" t="n">
        <v>183</v>
      </c>
      <c r="B186" s="44" t="str">
        <f aca="false">'Model Inputs &amp; Assumptions'!$B$28</f>
        <v>finanzen.net — Q1 Awareness Burst</v>
      </c>
      <c r="C186" s="45" t="n">
        <f aca="false">ROUND(MAX(0,'Model Inputs &amp; Assumptions'!$S$28*EXP('Model Inputs &amp; Assumptions'!$T$28*P186-'Model Inputs &amp; Assumptions'!$T$28^2/2)),0)</f>
        <v>482811</v>
      </c>
      <c r="D186" s="46" t="n">
        <f aca="false">MIN(1,'Model Inputs &amp; Assumptions'!$U$28*EXP('Model Inputs &amp; Assumptions'!$V$28*Q186-'Model Inputs &amp; Assumptions'!$V$28^2/2))</f>
        <v>0</v>
      </c>
      <c r="E186" s="45" t="n">
        <f aca="false">ROUND(C186*D186,0)</f>
        <v>0</v>
      </c>
      <c r="F186" s="47" t="n">
        <f aca="false">MIN(1,'Model Inputs &amp; Assumptions'!$W$28*EXP('Model Inputs &amp; Assumptions'!$X$28*R186-'Model Inputs &amp; Assumptions'!$X$28^2/2))</f>
        <v>0.000988152074132839</v>
      </c>
      <c r="G186" s="45" t="n">
        <f aca="false">ROUND(C186*F186,0)</f>
        <v>477</v>
      </c>
      <c r="H186" s="48" t="n">
        <f aca="false">MAX(0,(C186*'Model Inputs &amp; Assumptions'!$N$28+E186*'Model Inputs &amp; Assumptions'!$O$28+G186*'Model Inputs &amp; Assumptions'!$P$28)*EXP('Model Inputs &amp; Assumptions'!$Q$28*S186-'Model Inputs &amp; Assumptions'!$Q$28^2/2))</f>
        <v>24.8605595423938</v>
      </c>
      <c r="I186" s="49" t="n">
        <f aca="false">IF('Model Inputs &amp; Assumptions'!$H$28="Fixed",'Model Inputs &amp; Assumptions'!$I$28*'Model Inputs &amp; Assumptions'!$K$28,IF('Model Inputs &amp; Assumptions'!$H$28="CPM",'Model Inputs &amp; Assumptions'!$I$28*'Model Inputs &amp; Assumptions'!$K$28*C186/1000,IF('Model Inputs &amp; Assumptions'!$H$28="CPC",'Model Inputs &amp; Assumptions'!$I$28*'Model Inputs &amp; Assumptions'!$K$28*G186,0)))</f>
        <v>3138.2715</v>
      </c>
      <c r="J186" s="50" t="n">
        <f aca="false">H186*INDEX('Model Inputs &amp; Assumptions'!$D$40:$D$42,MATCH('Model Inputs &amp; Assumptions'!$L$28,'Model Inputs &amp; Assumptions'!$A$40:$A$42,0))*INDEX('Model Inputs &amp; Assumptions'!$H$40:$H$42,MATCH('Model Inputs &amp; Assumptions'!$L$28,'Model Inputs &amp; Assumptions'!$A$40:$A$42,0))</f>
        <v>211314.756110347</v>
      </c>
      <c r="K186" s="49" t="n">
        <f aca="false">H186*INDEX('Model Inputs &amp; Assumptions'!$G$40:$G$42,MATCH('Model Inputs &amp; Assumptions'!$L$28,'Model Inputs &amp; Assumptions'!$A$40:$A$42,0))*INDEX('Model Inputs &amp; Assumptions'!$H$40:$H$42,MATCH('Model Inputs &amp; Assumptions'!$L$28,'Model Inputs &amp; Assumptions'!$A$40:$A$42,0))</f>
        <v>4754.58201248281</v>
      </c>
      <c r="L186" s="51" t="n">
        <f aca="false">IFERROR(K186/I186,0)</f>
        <v>1.51503208453533</v>
      </c>
      <c r="M186" s="49" t="n">
        <f aca="false">IFERROR(I186/H186,0)</f>
        <v>126.234950369819</v>
      </c>
      <c r="N186" s="52" t="str">
        <f aca="false">'Model Inputs &amp; Assumptions'!$L$28</f>
        <v>PRD-EUAI</v>
      </c>
      <c r="P186" s="53" t="n">
        <v>0.358885</v>
      </c>
      <c r="Q186" s="53" t="n">
        <v>1.017183</v>
      </c>
      <c r="R186" s="53" t="n">
        <v>-1.787199</v>
      </c>
      <c r="S186" s="53" t="n">
        <v>1.99108</v>
      </c>
    </row>
    <row r="187" customFormat="false" ht="15" hidden="false" customHeight="false" outlineLevel="0" collapsed="false">
      <c r="A187" s="43" t="n">
        <v>184</v>
      </c>
      <c r="B187" s="44" t="str">
        <f aca="false">'Model Inputs &amp; Assumptions'!$B$28</f>
        <v>finanzen.net — Q1 Awareness Burst</v>
      </c>
      <c r="C187" s="45" t="n">
        <f aca="false">ROUND(MAX(0,'Model Inputs &amp; Assumptions'!$S$28*EXP('Model Inputs &amp; Assumptions'!$T$28*P187-'Model Inputs &amp; Assumptions'!$T$28^2/2)),0)</f>
        <v>518517</v>
      </c>
      <c r="D187" s="46" t="n">
        <f aca="false">MIN(1,'Model Inputs &amp; Assumptions'!$U$28*EXP('Model Inputs &amp; Assumptions'!$V$28*Q187-'Model Inputs &amp; Assumptions'!$V$28^2/2))</f>
        <v>0</v>
      </c>
      <c r="E187" s="45" t="n">
        <f aca="false">ROUND(C187*D187,0)</f>
        <v>0</v>
      </c>
      <c r="F187" s="47" t="n">
        <f aca="false">MIN(1,'Model Inputs &amp; Assumptions'!$W$28*EXP('Model Inputs &amp; Assumptions'!$X$28*R187-'Model Inputs &amp; Assumptions'!$X$28^2/2))</f>
        <v>0.00177547666068596</v>
      </c>
      <c r="G187" s="45" t="n">
        <f aca="false">ROUND(C187*F187,0)</f>
        <v>921</v>
      </c>
      <c r="H187" s="48" t="n">
        <f aca="false">MAX(0,(C187*'Model Inputs &amp; Assumptions'!$N$28+E187*'Model Inputs &amp; Assumptions'!$O$28+G187*'Model Inputs &amp; Assumptions'!$P$28)*EXP('Model Inputs &amp; Assumptions'!$Q$28*S187-'Model Inputs &amp; Assumptions'!$Q$28^2/2))</f>
        <v>23.8997653031012</v>
      </c>
      <c r="I187" s="49" t="n">
        <f aca="false">IF('Model Inputs &amp; Assumptions'!$H$28="Fixed",'Model Inputs &amp; Assumptions'!$I$28*'Model Inputs &amp; Assumptions'!$K$28,IF('Model Inputs &amp; Assumptions'!$H$28="CPM",'Model Inputs &amp; Assumptions'!$I$28*'Model Inputs &amp; Assumptions'!$K$28*C187/1000,IF('Model Inputs &amp; Assumptions'!$H$28="CPC",'Model Inputs &amp; Assumptions'!$I$28*'Model Inputs &amp; Assumptions'!$K$28*G187,0)))</f>
        <v>3370.3605</v>
      </c>
      <c r="J187" s="50" t="n">
        <f aca="false">H187*INDEX('Model Inputs &amp; Assumptions'!$D$40:$D$42,MATCH('Model Inputs &amp; Assumptions'!$L$28,'Model Inputs &amp; Assumptions'!$A$40:$A$42,0))*INDEX('Model Inputs &amp; Assumptions'!$H$40:$H$42,MATCH('Model Inputs &amp; Assumptions'!$L$28,'Model Inputs &amp; Assumptions'!$A$40:$A$42,0))</f>
        <v>203148.00507636</v>
      </c>
      <c r="K187" s="49" t="n">
        <f aca="false">H187*INDEX('Model Inputs &amp; Assumptions'!$G$40:$G$42,MATCH('Model Inputs &amp; Assumptions'!$L$28,'Model Inputs &amp; Assumptions'!$A$40:$A$42,0))*INDEX('Model Inputs &amp; Assumptions'!$H$40:$H$42,MATCH('Model Inputs &amp; Assumptions'!$L$28,'Model Inputs &amp; Assumptions'!$A$40:$A$42,0))</f>
        <v>4570.83011421811</v>
      </c>
      <c r="L187" s="51" t="n">
        <f aca="false">IFERROR(K187/I187,0)</f>
        <v>1.35618433524192</v>
      </c>
      <c r="M187" s="49" t="n">
        <f aca="false">IFERROR(I187/H187,0)</f>
        <v>141.020652598738</v>
      </c>
      <c r="N187" s="52" t="str">
        <f aca="false">'Model Inputs &amp; Assumptions'!$L$28</f>
        <v>PRD-EUAI</v>
      </c>
      <c r="P187" s="53" t="n">
        <v>0.755262</v>
      </c>
      <c r="Q187" s="53" t="n">
        <v>0.785781</v>
      </c>
      <c r="R187" s="53" t="n">
        <v>0.876381</v>
      </c>
      <c r="S187" s="53" t="n">
        <v>-0.333445</v>
      </c>
    </row>
    <row r="188" customFormat="false" ht="15" hidden="false" customHeight="false" outlineLevel="0" collapsed="false">
      <c r="A188" s="43" t="n">
        <v>185</v>
      </c>
      <c r="B188" s="44" t="str">
        <f aca="false">'Model Inputs &amp; Assumptions'!$B$28</f>
        <v>finanzen.net — Q1 Awareness Burst</v>
      </c>
      <c r="C188" s="45" t="n">
        <f aca="false">ROUND(MAX(0,'Model Inputs &amp; Assumptions'!$S$28*EXP('Model Inputs &amp; Assumptions'!$T$28*P188-'Model Inputs &amp; Assumptions'!$T$28^2/2)),0)</f>
        <v>367377</v>
      </c>
      <c r="D188" s="46" t="n">
        <f aca="false">MIN(1,'Model Inputs &amp; Assumptions'!$U$28*EXP('Model Inputs &amp; Assumptions'!$V$28*Q188-'Model Inputs &amp; Assumptions'!$V$28^2/2))</f>
        <v>0</v>
      </c>
      <c r="E188" s="45" t="n">
        <f aca="false">ROUND(C188*D188,0)</f>
        <v>0</v>
      </c>
      <c r="F188" s="47" t="n">
        <f aca="false">MIN(1,'Model Inputs &amp; Assumptions'!$W$28*EXP('Model Inputs &amp; Assumptions'!$X$28*R188-'Model Inputs &amp; Assumptions'!$X$28^2/2))</f>
        <v>0.00159750242954153</v>
      </c>
      <c r="G188" s="45" t="n">
        <f aca="false">ROUND(C188*F188,0)</f>
        <v>587</v>
      </c>
      <c r="H188" s="48" t="n">
        <f aca="false">MAX(0,(C188*'Model Inputs &amp; Assumptions'!$N$28+E188*'Model Inputs &amp; Assumptions'!$O$28+G188*'Model Inputs &amp; Assumptions'!$P$28)*EXP('Model Inputs &amp; Assumptions'!$Q$28*S188-'Model Inputs &amp; Assumptions'!$Q$28^2/2))</f>
        <v>31.4158179521087</v>
      </c>
      <c r="I188" s="49" t="n">
        <f aca="false">IF('Model Inputs &amp; Assumptions'!$H$28="Fixed",'Model Inputs &amp; Assumptions'!$I$28*'Model Inputs &amp; Assumptions'!$K$28,IF('Model Inputs &amp; Assumptions'!$H$28="CPM",'Model Inputs &amp; Assumptions'!$I$28*'Model Inputs &amp; Assumptions'!$K$28*C188/1000,IF('Model Inputs &amp; Assumptions'!$H$28="CPC",'Model Inputs &amp; Assumptions'!$I$28*'Model Inputs &amp; Assumptions'!$K$28*G188,0)))</f>
        <v>2387.9505</v>
      </c>
      <c r="J188" s="50" t="n">
        <f aca="false">H188*INDEX('Model Inputs &amp; Assumptions'!$D$40:$D$42,MATCH('Model Inputs &amp; Assumptions'!$L$28,'Model Inputs &amp; Assumptions'!$A$40:$A$42,0))*INDEX('Model Inputs &amp; Assumptions'!$H$40:$H$42,MATCH('Model Inputs &amp; Assumptions'!$L$28,'Model Inputs &amp; Assumptions'!$A$40:$A$42,0))</f>
        <v>267034.452592924</v>
      </c>
      <c r="K188" s="49" t="n">
        <f aca="false">H188*INDEX('Model Inputs &amp; Assumptions'!$G$40:$G$42,MATCH('Model Inputs &amp; Assumptions'!$L$28,'Model Inputs &amp; Assumptions'!$A$40:$A$42,0))*INDEX('Model Inputs &amp; Assumptions'!$H$40:$H$42,MATCH('Model Inputs &amp; Assumptions'!$L$28,'Model Inputs &amp; Assumptions'!$A$40:$A$42,0))</f>
        <v>6008.2751833408</v>
      </c>
      <c r="L188" s="51" t="n">
        <f aca="false">IFERROR(K188/I188,0)</f>
        <v>2.51608028865791</v>
      </c>
      <c r="M188" s="49" t="n">
        <f aca="false">IFERROR(I188/H188,0)</f>
        <v>76.0110879061073</v>
      </c>
      <c r="N188" s="52" t="str">
        <f aca="false">'Model Inputs &amp; Assumptions'!$L$28</f>
        <v>PRD-EUAI</v>
      </c>
      <c r="P188" s="53" t="n">
        <v>-1.159098</v>
      </c>
      <c r="Q188" s="53" t="n">
        <v>0.926929</v>
      </c>
      <c r="R188" s="53" t="n">
        <v>0.396256</v>
      </c>
      <c r="S188" s="53" t="n">
        <v>2.079482</v>
      </c>
    </row>
    <row r="189" customFormat="false" ht="15" hidden="false" customHeight="false" outlineLevel="0" collapsed="false">
      <c r="A189" s="43" t="n">
        <v>186</v>
      </c>
      <c r="B189" s="44" t="str">
        <f aca="false">'Model Inputs &amp; Assumptions'!$B$28</f>
        <v>finanzen.net — Q1 Awareness Burst</v>
      </c>
      <c r="C189" s="45" t="n">
        <f aca="false">ROUND(MAX(0,'Model Inputs &amp; Assumptions'!$S$28*EXP('Model Inputs &amp; Assumptions'!$T$28*P189-'Model Inputs &amp; Assumptions'!$T$28^2/2)),0)</f>
        <v>390852</v>
      </c>
      <c r="D189" s="46" t="n">
        <f aca="false">MIN(1,'Model Inputs &amp; Assumptions'!$U$28*EXP('Model Inputs &amp; Assumptions'!$V$28*Q189-'Model Inputs &amp; Assumptions'!$V$28^2/2))</f>
        <v>0</v>
      </c>
      <c r="E189" s="45" t="n">
        <f aca="false">ROUND(C189*D189,0)</f>
        <v>0</v>
      </c>
      <c r="F189" s="47" t="n">
        <f aca="false">MIN(1,'Model Inputs &amp; Assumptions'!$W$28*EXP('Model Inputs &amp; Assumptions'!$X$28*R189-'Model Inputs &amp; Assumptions'!$X$28^2/2))</f>
        <v>0.00211186462992039</v>
      </c>
      <c r="G189" s="45" t="n">
        <f aca="false">ROUND(C189*F189,0)</f>
        <v>825</v>
      </c>
      <c r="H189" s="48" t="n">
        <f aca="false">MAX(0,(C189*'Model Inputs &amp; Assumptions'!$N$28+E189*'Model Inputs &amp; Assumptions'!$O$28+G189*'Model Inputs &amp; Assumptions'!$P$28)*EXP('Model Inputs &amp; Assumptions'!$Q$28*S189-'Model Inputs &amp; Assumptions'!$Q$28^2/2))</f>
        <v>20.5354177191314</v>
      </c>
      <c r="I189" s="49" t="n">
        <f aca="false">IF('Model Inputs &amp; Assumptions'!$H$28="Fixed",'Model Inputs &amp; Assumptions'!$I$28*'Model Inputs &amp; Assumptions'!$K$28,IF('Model Inputs &amp; Assumptions'!$H$28="CPM",'Model Inputs &amp; Assumptions'!$I$28*'Model Inputs &amp; Assumptions'!$K$28*C189/1000,IF('Model Inputs &amp; Assumptions'!$H$28="CPC",'Model Inputs &amp; Assumptions'!$I$28*'Model Inputs &amp; Assumptions'!$K$28*G189,0)))</f>
        <v>2540.538</v>
      </c>
      <c r="J189" s="50" t="n">
        <f aca="false">H189*INDEX('Model Inputs &amp; Assumptions'!$D$40:$D$42,MATCH('Model Inputs &amp; Assumptions'!$L$28,'Model Inputs &amp; Assumptions'!$A$40:$A$42,0))*INDEX('Model Inputs &amp; Assumptions'!$H$40:$H$42,MATCH('Model Inputs &amp; Assumptions'!$L$28,'Model Inputs &amp; Assumptions'!$A$40:$A$42,0))</f>
        <v>174551.050612617</v>
      </c>
      <c r="K189" s="49" t="n">
        <f aca="false">H189*INDEX('Model Inputs &amp; Assumptions'!$G$40:$G$42,MATCH('Model Inputs &amp; Assumptions'!$L$28,'Model Inputs &amp; Assumptions'!$A$40:$A$42,0))*INDEX('Model Inputs &amp; Assumptions'!$H$40:$H$42,MATCH('Model Inputs &amp; Assumptions'!$L$28,'Model Inputs &amp; Assumptions'!$A$40:$A$42,0))</f>
        <v>3927.39863878388</v>
      </c>
      <c r="L189" s="51" t="n">
        <f aca="false">IFERROR(K189/I189,0)</f>
        <v>1.54589249945637</v>
      </c>
      <c r="M189" s="49" t="n">
        <f aca="false">IFERROR(I189/H189,0)</f>
        <v>123.714941412327</v>
      </c>
      <c r="N189" s="52" t="str">
        <f aca="false">'Model Inputs &amp; Assumptions'!$L$28</f>
        <v>PRD-EUAI</v>
      </c>
      <c r="P189" s="53" t="n">
        <v>-0.814991</v>
      </c>
      <c r="Q189" s="53" t="n">
        <v>-0.683652</v>
      </c>
      <c r="R189" s="53" t="n">
        <v>1.665028</v>
      </c>
      <c r="S189" s="53" t="n">
        <v>-0.472248</v>
      </c>
    </row>
    <row r="190" customFormat="false" ht="15" hidden="false" customHeight="false" outlineLevel="0" collapsed="false">
      <c r="A190" s="43" t="n">
        <v>187</v>
      </c>
      <c r="B190" s="44" t="str">
        <f aca="false">'Model Inputs &amp; Assumptions'!$B$28</f>
        <v>finanzen.net — Q1 Awareness Burst</v>
      </c>
      <c r="C190" s="45" t="n">
        <f aca="false">ROUND(MAX(0,'Model Inputs &amp; Assumptions'!$S$28*EXP('Model Inputs &amp; Assumptions'!$T$28*P190-'Model Inputs &amp; Assumptions'!$T$28^2/2)),0)</f>
        <v>403103</v>
      </c>
      <c r="D190" s="46" t="n">
        <f aca="false">MIN(1,'Model Inputs &amp; Assumptions'!$U$28*EXP('Model Inputs &amp; Assumptions'!$V$28*Q190-'Model Inputs &amp; Assumptions'!$V$28^2/2))</f>
        <v>0</v>
      </c>
      <c r="E190" s="45" t="n">
        <f aca="false">ROUND(C190*D190,0)</f>
        <v>0</v>
      </c>
      <c r="F190" s="47" t="n">
        <f aca="false">MIN(1,'Model Inputs &amp; Assumptions'!$W$28*EXP('Model Inputs &amp; Assumptions'!$X$28*R190-'Model Inputs &amp; Assumptions'!$X$28^2/2))</f>
        <v>0.00168344028477062</v>
      </c>
      <c r="G190" s="45" t="n">
        <f aca="false">ROUND(C190*F190,0)</f>
        <v>679</v>
      </c>
      <c r="H190" s="48" t="n">
        <f aca="false">MAX(0,(C190*'Model Inputs &amp; Assumptions'!$N$28+E190*'Model Inputs &amp; Assumptions'!$O$28+G190*'Model Inputs &amp; Assumptions'!$P$28)*EXP('Model Inputs &amp; Assumptions'!$Q$28*S190-'Model Inputs &amp; Assumptions'!$Q$28^2/2))</f>
        <v>17.3354134637792</v>
      </c>
      <c r="I190" s="49" t="n">
        <f aca="false">IF('Model Inputs &amp; Assumptions'!$H$28="Fixed",'Model Inputs &amp; Assumptions'!$I$28*'Model Inputs &amp; Assumptions'!$K$28,IF('Model Inputs &amp; Assumptions'!$H$28="CPM",'Model Inputs &amp; Assumptions'!$I$28*'Model Inputs &amp; Assumptions'!$K$28*C190/1000,IF('Model Inputs &amp; Assumptions'!$H$28="CPC",'Model Inputs &amp; Assumptions'!$I$28*'Model Inputs &amp; Assumptions'!$K$28*G190,0)))</f>
        <v>2620.1695</v>
      </c>
      <c r="J190" s="50" t="n">
        <f aca="false">H190*INDEX('Model Inputs &amp; Assumptions'!$D$40:$D$42,MATCH('Model Inputs &amp; Assumptions'!$L$28,'Model Inputs &amp; Assumptions'!$A$40:$A$42,0))*INDEX('Model Inputs &amp; Assumptions'!$H$40:$H$42,MATCH('Model Inputs &amp; Assumptions'!$L$28,'Model Inputs &amp; Assumptions'!$A$40:$A$42,0))</f>
        <v>147351.014442123</v>
      </c>
      <c r="K190" s="49" t="n">
        <f aca="false">H190*INDEX('Model Inputs &amp; Assumptions'!$G$40:$G$42,MATCH('Model Inputs &amp; Assumptions'!$L$28,'Model Inputs &amp; Assumptions'!$A$40:$A$42,0))*INDEX('Model Inputs &amp; Assumptions'!$H$40:$H$42,MATCH('Model Inputs &amp; Assumptions'!$L$28,'Model Inputs &amp; Assumptions'!$A$40:$A$42,0))</f>
        <v>3315.39782494778</v>
      </c>
      <c r="L190" s="51" t="n">
        <f aca="false">IFERROR(K190/I190,0)</f>
        <v>1.26533715660295</v>
      </c>
      <c r="M190" s="49" t="n">
        <f aca="false">IFERROR(I190/H190,0)</f>
        <v>151.145486404152</v>
      </c>
      <c r="N190" s="52" t="str">
        <f aca="false">'Model Inputs &amp; Assumptions'!$L$28</f>
        <v>PRD-EUAI</v>
      </c>
      <c r="P190" s="53" t="n">
        <v>-0.643521</v>
      </c>
      <c r="Q190" s="53" t="n">
        <v>1.283498</v>
      </c>
      <c r="R190" s="53" t="n">
        <v>0.634429</v>
      </c>
      <c r="S190" s="53" t="n">
        <v>-0.387706</v>
      </c>
    </row>
    <row r="191" customFormat="false" ht="15" hidden="false" customHeight="false" outlineLevel="0" collapsed="false">
      <c r="A191" s="43" t="n">
        <v>188</v>
      </c>
      <c r="B191" s="44" t="str">
        <f aca="false">'Model Inputs &amp; Assumptions'!$B$28</f>
        <v>finanzen.net — Q1 Awareness Burst</v>
      </c>
      <c r="C191" s="45" t="n">
        <f aca="false">ROUND(MAX(0,'Model Inputs &amp; Assumptions'!$S$28*EXP('Model Inputs &amp; Assumptions'!$T$28*P191-'Model Inputs &amp; Assumptions'!$T$28^2/2)),0)</f>
        <v>420557</v>
      </c>
      <c r="D191" s="46" t="n">
        <f aca="false">MIN(1,'Model Inputs &amp; Assumptions'!$U$28*EXP('Model Inputs &amp; Assumptions'!$V$28*Q191-'Model Inputs &amp; Assumptions'!$V$28^2/2))</f>
        <v>0</v>
      </c>
      <c r="E191" s="45" t="n">
        <f aca="false">ROUND(C191*D191,0)</f>
        <v>0</v>
      </c>
      <c r="F191" s="47" t="n">
        <f aca="false">MIN(1,'Model Inputs &amp; Assumptions'!$W$28*EXP('Model Inputs &amp; Assumptions'!$X$28*R191-'Model Inputs &amp; Assumptions'!$X$28^2/2))</f>
        <v>0.00130885206672493</v>
      </c>
      <c r="G191" s="45" t="n">
        <f aca="false">ROUND(C191*F191,0)</f>
        <v>550</v>
      </c>
      <c r="H191" s="48" t="n">
        <f aca="false">MAX(0,(C191*'Model Inputs &amp; Assumptions'!$N$28+E191*'Model Inputs &amp; Assumptions'!$O$28+G191*'Model Inputs &amp; Assumptions'!$P$28)*EXP('Model Inputs &amp; Assumptions'!$Q$28*S191-'Model Inputs &amp; Assumptions'!$Q$28^2/2))</f>
        <v>12.711026954899</v>
      </c>
      <c r="I191" s="49" t="n">
        <f aca="false">IF('Model Inputs &amp; Assumptions'!$H$28="Fixed",'Model Inputs &amp; Assumptions'!$I$28*'Model Inputs &amp; Assumptions'!$K$28,IF('Model Inputs &amp; Assumptions'!$H$28="CPM",'Model Inputs &amp; Assumptions'!$I$28*'Model Inputs &amp; Assumptions'!$K$28*C191/1000,IF('Model Inputs &amp; Assumptions'!$H$28="CPC",'Model Inputs &amp; Assumptions'!$I$28*'Model Inputs &amp; Assumptions'!$K$28*G191,0)))</f>
        <v>2733.6205</v>
      </c>
      <c r="J191" s="50" t="n">
        <f aca="false">H191*INDEX('Model Inputs &amp; Assumptions'!$D$40:$D$42,MATCH('Model Inputs &amp; Assumptions'!$L$28,'Model Inputs &amp; Assumptions'!$A$40:$A$42,0))*INDEX('Model Inputs &amp; Assumptions'!$H$40:$H$42,MATCH('Model Inputs &amp; Assumptions'!$L$28,'Model Inputs &amp; Assumptions'!$A$40:$A$42,0))</f>
        <v>108043.729116641</v>
      </c>
      <c r="K191" s="49" t="n">
        <f aca="false">H191*INDEX('Model Inputs &amp; Assumptions'!$G$40:$G$42,MATCH('Model Inputs &amp; Assumptions'!$L$28,'Model Inputs &amp; Assumptions'!$A$40:$A$42,0))*INDEX('Model Inputs &amp; Assumptions'!$H$40:$H$42,MATCH('Model Inputs &amp; Assumptions'!$L$28,'Model Inputs &amp; Assumptions'!$A$40:$A$42,0))</f>
        <v>2430.98390512442</v>
      </c>
      <c r="L191" s="51" t="n">
        <f aca="false">IFERROR(K191/I191,0)</f>
        <v>0.889290925761065</v>
      </c>
      <c r="M191" s="49" t="n">
        <f aca="false">IFERROR(I191/H191,0)</f>
        <v>215.058980655095</v>
      </c>
      <c r="N191" s="52" t="str">
        <f aca="false">'Model Inputs &amp; Assumptions'!$L$28</f>
        <v>PRD-EUAI</v>
      </c>
      <c r="P191" s="53" t="n">
        <v>-0.408037</v>
      </c>
      <c r="Q191" s="53" t="n">
        <v>0.027679</v>
      </c>
      <c r="R191" s="53" t="n">
        <v>-0.509612</v>
      </c>
      <c r="S191" s="53" t="n">
        <v>-0.719635</v>
      </c>
    </row>
    <row r="192" customFormat="false" ht="15" hidden="false" customHeight="false" outlineLevel="0" collapsed="false">
      <c r="A192" s="43" t="n">
        <v>189</v>
      </c>
      <c r="B192" s="44" t="str">
        <f aca="false">'Model Inputs &amp; Assumptions'!$B$28</f>
        <v>finanzen.net — Q1 Awareness Burst</v>
      </c>
      <c r="C192" s="45" t="n">
        <f aca="false">ROUND(MAX(0,'Model Inputs &amp; Assumptions'!$S$28*EXP('Model Inputs &amp; Assumptions'!$T$28*P192-'Model Inputs &amp; Assumptions'!$T$28^2/2)),0)</f>
        <v>335129</v>
      </c>
      <c r="D192" s="46" t="n">
        <f aca="false">MIN(1,'Model Inputs &amp; Assumptions'!$U$28*EXP('Model Inputs &amp; Assumptions'!$V$28*Q192-'Model Inputs &amp; Assumptions'!$V$28^2/2))</f>
        <v>0</v>
      </c>
      <c r="E192" s="45" t="n">
        <f aca="false">ROUND(C192*D192,0)</f>
        <v>0</v>
      </c>
      <c r="F192" s="47" t="n">
        <f aca="false">MIN(1,'Model Inputs &amp; Assumptions'!$W$28*EXP('Model Inputs &amp; Assumptions'!$X$28*R192-'Model Inputs &amp; Assumptions'!$X$28^2/2))</f>
        <v>0.0014218841923819</v>
      </c>
      <c r="G192" s="45" t="n">
        <f aca="false">ROUND(C192*F192,0)</f>
        <v>477</v>
      </c>
      <c r="H192" s="48" t="n">
        <f aca="false">MAX(0,(C192*'Model Inputs &amp; Assumptions'!$N$28+E192*'Model Inputs &amp; Assumptions'!$O$28+G192*'Model Inputs &amp; Assumptions'!$P$28)*EXP('Model Inputs &amp; Assumptions'!$Q$28*S192-'Model Inputs &amp; Assumptions'!$Q$28^2/2))</f>
        <v>12.0170069655262</v>
      </c>
      <c r="I192" s="49" t="n">
        <f aca="false">IF('Model Inputs &amp; Assumptions'!$H$28="Fixed",'Model Inputs &amp; Assumptions'!$I$28*'Model Inputs &amp; Assumptions'!$K$28,IF('Model Inputs &amp; Assumptions'!$H$28="CPM",'Model Inputs &amp; Assumptions'!$I$28*'Model Inputs &amp; Assumptions'!$K$28*C192/1000,IF('Model Inputs &amp; Assumptions'!$H$28="CPC",'Model Inputs &amp; Assumptions'!$I$28*'Model Inputs &amp; Assumptions'!$K$28*G192,0)))</f>
        <v>2178.3385</v>
      </c>
      <c r="J192" s="50" t="n">
        <f aca="false">H192*INDEX('Model Inputs &amp; Assumptions'!$D$40:$D$42,MATCH('Model Inputs &amp; Assumptions'!$L$28,'Model Inputs &amp; Assumptions'!$A$40:$A$42,0))*INDEX('Model Inputs &amp; Assumptions'!$H$40:$H$42,MATCH('Model Inputs &amp; Assumptions'!$L$28,'Model Inputs &amp; Assumptions'!$A$40:$A$42,0))</f>
        <v>102144.559206973</v>
      </c>
      <c r="K192" s="49" t="n">
        <f aca="false">H192*INDEX('Model Inputs &amp; Assumptions'!$G$40:$G$42,MATCH('Model Inputs &amp; Assumptions'!$L$28,'Model Inputs &amp; Assumptions'!$A$40:$A$42,0))*INDEX('Model Inputs &amp; Assumptions'!$H$40:$H$42,MATCH('Model Inputs &amp; Assumptions'!$L$28,'Model Inputs &amp; Assumptions'!$A$40:$A$42,0))</f>
        <v>2298.25258215689</v>
      </c>
      <c r="L192" s="51" t="n">
        <f aca="false">IFERROR(K192/I192,0)</f>
        <v>1.0550484151829</v>
      </c>
      <c r="M192" s="49" t="n">
        <f aca="false">IFERROR(I192/H192,0)</f>
        <v>181.271302101189</v>
      </c>
      <c r="N192" s="52" t="str">
        <f aca="false">'Model Inputs &amp; Assumptions'!$L$28</f>
        <v>PRD-EUAI</v>
      </c>
      <c r="P192" s="53" t="n">
        <v>-1.669503</v>
      </c>
      <c r="Q192" s="53" t="n">
        <v>-1.809495</v>
      </c>
      <c r="R192" s="53" t="n">
        <v>-0.133101</v>
      </c>
      <c r="S192" s="53" t="n">
        <v>-0.432119</v>
      </c>
    </row>
    <row r="193" customFormat="false" ht="15" hidden="false" customHeight="false" outlineLevel="0" collapsed="false">
      <c r="A193" s="43" t="n">
        <v>190</v>
      </c>
      <c r="B193" s="44" t="str">
        <f aca="false">'Model Inputs &amp; Assumptions'!$B$28</f>
        <v>finanzen.net — Q1 Awareness Burst</v>
      </c>
      <c r="C193" s="45" t="n">
        <f aca="false">ROUND(MAX(0,'Model Inputs &amp; Assumptions'!$S$28*EXP('Model Inputs &amp; Assumptions'!$T$28*P193-'Model Inputs &amp; Assumptions'!$T$28^2/2)),0)</f>
        <v>392992</v>
      </c>
      <c r="D193" s="46" t="n">
        <f aca="false">MIN(1,'Model Inputs &amp; Assumptions'!$U$28*EXP('Model Inputs &amp; Assumptions'!$V$28*Q193-'Model Inputs &amp; Assumptions'!$V$28^2/2))</f>
        <v>0</v>
      </c>
      <c r="E193" s="45" t="n">
        <f aca="false">ROUND(C193*D193,0)</f>
        <v>0</v>
      </c>
      <c r="F193" s="47" t="n">
        <f aca="false">MIN(1,'Model Inputs &amp; Assumptions'!$W$28*EXP('Model Inputs &amp; Assumptions'!$X$28*R193-'Model Inputs &amp; Assumptions'!$X$28^2/2))</f>
        <v>0.00160857971989691</v>
      </c>
      <c r="G193" s="45" t="n">
        <f aca="false">ROUND(C193*F193,0)</f>
        <v>632</v>
      </c>
      <c r="H193" s="48" t="n">
        <f aca="false">MAX(0,(C193*'Model Inputs &amp; Assumptions'!$N$28+E193*'Model Inputs &amp; Assumptions'!$O$28+G193*'Model Inputs &amp; Assumptions'!$P$28)*EXP('Model Inputs &amp; Assumptions'!$Q$28*S193-'Model Inputs &amp; Assumptions'!$Q$28^2/2))</f>
        <v>36.26105487314</v>
      </c>
      <c r="I193" s="49" t="n">
        <f aca="false">IF('Model Inputs &amp; Assumptions'!$H$28="Fixed",'Model Inputs &amp; Assumptions'!$I$28*'Model Inputs &amp; Assumptions'!$K$28,IF('Model Inputs &amp; Assumptions'!$H$28="CPM",'Model Inputs &amp; Assumptions'!$I$28*'Model Inputs &amp; Assumptions'!$K$28*C193/1000,IF('Model Inputs &amp; Assumptions'!$H$28="CPC",'Model Inputs &amp; Assumptions'!$I$28*'Model Inputs &amp; Assumptions'!$K$28*G193,0)))</f>
        <v>2554.448</v>
      </c>
      <c r="J193" s="50" t="n">
        <f aca="false">H193*INDEX('Model Inputs &amp; Assumptions'!$D$40:$D$42,MATCH('Model Inputs &amp; Assumptions'!$L$28,'Model Inputs &amp; Assumptions'!$A$40:$A$42,0))*INDEX('Model Inputs &amp; Assumptions'!$H$40:$H$42,MATCH('Model Inputs &amp; Assumptions'!$L$28,'Model Inputs &amp; Assumptions'!$A$40:$A$42,0))</f>
        <v>308218.96642169</v>
      </c>
      <c r="K193" s="49" t="n">
        <f aca="false">H193*INDEX('Model Inputs &amp; Assumptions'!$G$40:$G$42,MATCH('Model Inputs &amp; Assumptions'!$L$28,'Model Inputs &amp; Assumptions'!$A$40:$A$42,0))*INDEX('Model Inputs &amp; Assumptions'!$H$40:$H$42,MATCH('Model Inputs &amp; Assumptions'!$L$28,'Model Inputs &amp; Assumptions'!$A$40:$A$42,0))</f>
        <v>6934.92674448803</v>
      </c>
      <c r="L193" s="51" t="n">
        <f aca="false">IFERROR(K193/I193,0)</f>
        <v>2.71484357657233</v>
      </c>
      <c r="M193" s="49" t="n">
        <f aca="false">IFERROR(I193/H193,0)</f>
        <v>70.4460476656507</v>
      </c>
      <c r="N193" s="52" t="str">
        <f aca="false">'Model Inputs &amp; Assumptions'!$L$28</f>
        <v>PRD-EUAI</v>
      </c>
      <c r="P193" s="53" t="n">
        <v>-0.784647</v>
      </c>
      <c r="Q193" s="53" t="n">
        <v>0.61232</v>
      </c>
      <c r="R193" s="53" t="n">
        <v>0.427666</v>
      </c>
      <c r="S193" s="53" t="n">
        <v>2.311376</v>
      </c>
    </row>
    <row r="194" customFormat="false" ht="15" hidden="false" customHeight="false" outlineLevel="0" collapsed="false">
      <c r="A194" s="43" t="n">
        <v>191</v>
      </c>
      <c r="B194" s="44" t="str">
        <f aca="false">'Model Inputs &amp; Assumptions'!$B$28</f>
        <v>finanzen.net — Q1 Awareness Burst</v>
      </c>
      <c r="C194" s="45" t="n">
        <f aca="false">ROUND(MAX(0,'Model Inputs &amp; Assumptions'!$S$28*EXP('Model Inputs &amp; Assumptions'!$T$28*P194-'Model Inputs &amp; Assumptions'!$T$28^2/2)),0)</f>
        <v>336868</v>
      </c>
      <c r="D194" s="46" t="n">
        <f aca="false">MIN(1,'Model Inputs &amp; Assumptions'!$U$28*EXP('Model Inputs &amp; Assumptions'!$V$28*Q194-'Model Inputs &amp; Assumptions'!$V$28^2/2))</f>
        <v>0</v>
      </c>
      <c r="E194" s="45" t="n">
        <f aca="false">ROUND(C194*D194,0)</f>
        <v>0</v>
      </c>
      <c r="F194" s="47" t="n">
        <f aca="false">MIN(1,'Model Inputs &amp; Assumptions'!$W$28*EXP('Model Inputs &amp; Assumptions'!$X$28*R194-'Model Inputs &amp; Assumptions'!$X$28^2/2))</f>
        <v>0.00163796921027478</v>
      </c>
      <c r="G194" s="45" t="n">
        <f aca="false">ROUND(C194*F194,0)</f>
        <v>552</v>
      </c>
      <c r="H194" s="48" t="n">
        <f aca="false">MAX(0,(C194*'Model Inputs &amp; Assumptions'!$N$28+E194*'Model Inputs &amp; Assumptions'!$O$28+G194*'Model Inputs &amp; Assumptions'!$P$28)*EXP('Model Inputs &amp; Assumptions'!$Q$28*S194-'Model Inputs &amp; Assumptions'!$Q$28^2/2))</f>
        <v>22.8206299439137</v>
      </c>
      <c r="I194" s="49" t="n">
        <f aca="false">IF('Model Inputs &amp; Assumptions'!$H$28="Fixed",'Model Inputs &amp; Assumptions'!$I$28*'Model Inputs &amp; Assumptions'!$K$28,IF('Model Inputs &amp; Assumptions'!$H$28="CPM",'Model Inputs &amp; Assumptions'!$I$28*'Model Inputs &amp; Assumptions'!$K$28*C194/1000,IF('Model Inputs &amp; Assumptions'!$H$28="CPC",'Model Inputs &amp; Assumptions'!$I$28*'Model Inputs &amp; Assumptions'!$K$28*G194,0)))</f>
        <v>2189.642</v>
      </c>
      <c r="J194" s="50" t="n">
        <f aca="false">H194*INDEX('Model Inputs &amp; Assumptions'!$D$40:$D$42,MATCH('Model Inputs &amp; Assumptions'!$L$28,'Model Inputs &amp; Assumptions'!$A$40:$A$42,0))*INDEX('Model Inputs &amp; Assumptions'!$H$40:$H$42,MATCH('Model Inputs &amp; Assumptions'!$L$28,'Model Inputs &amp; Assumptions'!$A$40:$A$42,0))</f>
        <v>193975.354523266</v>
      </c>
      <c r="K194" s="49" t="n">
        <f aca="false">H194*INDEX('Model Inputs &amp; Assumptions'!$G$40:$G$42,MATCH('Model Inputs &amp; Assumptions'!$L$28,'Model Inputs &amp; Assumptions'!$A$40:$A$42,0))*INDEX('Model Inputs &amp; Assumptions'!$H$40:$H$42,MATCH('Model Inputs &amp; Assumptions'!$L$28,'Model Inputs &amp; Assumptions'!$A$40:$A$42,0))</f>
        <v>4364.44547677349</v>
      </c>
      <c r="L194" s="51" t="n">
        <f aca="false">IFERROR(K194/I194,0)</f>
        <v>1.99322331083049</v>
      </c>
      <c r="M194" s="49" t="n">
        <f aca="false">IFERROR(I194/H194,0)</f>
        <v>95.9501120425461</v>
      </c>
      <c r="N194" s="52" t="str">
        <f aca="false">'Model Inputs &amp; Assumptions'!$L$28</f>
        <v>PRD-EUAI</v>
      </c>
      <c r="P194" s="53" t="n">
        <v>-1.640745</v>
      </c>
      <c r="Q194" s="53" t="n">
        <v>-0.659751</v>
      </c>
      <c r="R194" s="53" t="n">
        <v>0.509964</v>
      </c>
      <c r="S194" s="53" t="n">
        <v>1.218916</v>
      </c>
    </row>
    <row r="195" customFormat="false" ht="15" hidden="false" customHeight="false" outlineLevel="0" collapsed="false">
      <c r="A195" s="43" t="n">
        <v>192</v>
      </c>
      <c r="B195" s="44" t="str">
        <f aca="false">'Model Inputs &amp; Assumptions'!$B$28</f>
        <v>finanzen.net — Q1 Awareness Burst</v>
      </c>
      <c r="C195" s="45" t="n">
        <f aca="false">ROUND(MAX(0,'Model Inputs &amp; Assumptions'!$S$28*EXP('Model Inputs &amp; Assumptions'!$T$28*P195-'Model Inputs &amp; Assumptions'!$T$28^2/2)),0)</f>
        <v>565494</v>
      </c>
      <c r="D195" s="46" t="n">
        <f aca="false">MIN(1,'Model Inputs &amp; Assumptions'!$U$28*EXP('Model Inputs &amp; Assumptions'!$V$28*Q195-'Model Inputs &amp; Assumptions'!$V$28^2/2))</f>
        <v>0</v>
      </c>
      <c r="E195" s="45" t="n">
        <f aca="false">ROUND(C195*D195,0)</f>
        <v>0</v>
      </c>
      <c r="F195" s="47" t="n">
        <f aca="false">MIN(1,'Model Inputs &amp; Assumptions'!$W$28*EXP('Model Inputs &amp; Assumptions'!$X$28*R195-'Model Inputs &amp; Assumptions'!$X$28^2/2))</f>
        <v>0.00148407714531578</v>
      </c>
      <c r="G195" s="45" t="n">
        <f aca="false">ROUND(C195*F195,0)</f>
        <v>839</v>
      </c>
      <c r="H195" s="48" t="n">
        <f aca="false">MAX(0,(C195*'Model Inputs &amp; Assumptions'!$N$28+E195*'Model Inputs &amp; Assumptions'!$O$28+G195*'Model Inputs &amp; Assumptions'!$P$28)*EXP('Model Inputs &amp; Assumptions'!$Q$28*S195-'Model Inputs &amp; Assumptions'!$Q$28^2/2))</f>
        <v>27.8756182567097</v>
      </c>
      <c r="I195" s="49" t="n">
        <f aca="false">IF('Model Inputs &amp; Assumptions'!$H$28="Fixed",'Model Inputs &amp; Assumptions'!$I$28*'Model Inputs &amp; Assumptions'!$K$28,IF('Model Inputs &amp; Assumptions'!$H$28="CPM",'Model Inputs &amp; Assumptions'!$I$28*'Model Inputs &amp; Assumptions'!$K$28*C195/1000,IF('Model Inputs &amp; Assumptions'!$H$28="CPC",'Model Inputs &amp; Assumptions'!$I$28*'Model Inputs &amp; Assumptions'!$K$28*G195,0)))</f>
        <v>3675.711</v>
      </c>
      <c r="J195" s="50" t="n">
        <f aca="false">H195*INDEX('Model Inputs &amp; Assumptions'!$D$40:$D$42,MATCH('Model Inputs &amp; Assumptions'!$L$28,'Model Inputs &amp; Assumptions'!$A$40:$A$42,0))*INDEX('Model Inputs &amp; Assumptions'!$H$40:$H$42,MATCH('Model Inputs &amp; Assumptions'!$L$28,'Model Inputs &amp; Assumptions'!$A$40:$A$42,0))</f>
        <v>236942.755182033</v>
      </c>
      <c r="K195" s="49" t="n">
        <f aca="false">H195*INDEX('Model Inputs &amp; Assumptions'!$G$40:$G$42,MATCH('Model Inputs &amp; Assumptions'!$L$28,'Model Inputs &amp; Assumptions'!$A$40:$A$42,0))*INDEX('Model Inputs &amp; Assumptions'!$H$40:$H$42,MATCH('Model Inputs &amp; Assumptions'!$L$28,'Model Inputs &amp; Assumptions'!$A$40:$A$42,0))</f>
        <v>5331.21199159574</v>
      </c>
      <c r="L195" s="51" t="n">
        <f aca="false">IFERROR(K195/I195,0)</f>
        <v>1.45038932375144</v>
      </c>
      <c r="M195" s="49" t="n">
        <f aca="false">IFERROR(I195/H195,0)</f>
        <v>131.861147119679</v>
      </c>
      <c r="N195" s="52" t="str">
        <f aca="false">'Model Inputs &amp; Assumptions'!$L$28</f>
        <v>PRD-EUAI</v>
      </c>
      <c r="P195" s="53" t="n">
        <v>1.237075</v>
      </c>
      <c r="Q195" s="53" t="n">
        <v>-1.254541</v>
      </c>
      <c r="R195" s="53" t="n">
        <v>0.061491</v>
      </c>
      <c r="S195" s="53" t="n">
        <v>0.490332</v>
      </c>
    </row>
    <row r="196" customFormat="false" ht="15" hidden="false" customHeight="false" outlineLevel="0" collapsed="false">
      <c r="A196" s="43" t="n">
        <v>193</v>
      </c>
      <c r="B196" s="44" t="str">
        <f aca="false">'Model Inputs &amp; Assumptions'!$B$28</f>
        <v>finanzen.net — Q1 Awareness Burst</v>
      </c>
      <c r="C196" s="45" t="n">
        <f aca="false">ROUND(MAX(0,'Model Inputs &amp; Assumptions'!$S$28*EXP('Model Inputs &amp; Assumptions'!$T$28*P196-'Model Inputs &amp; Assumptions'!$T$28^2/2)),0)</f>
        <v>416270</v>
      </c>
      <c r="D196" s="46" t="n">
        <f aca="false">MIN(1,'Model Inputs &amp; Assumptions'!$U$28*EXP('Model Inputs &amp; Assumptions'!$V$28*Q196-'Model Inputs &amp; Assumptions'!$V$28^2/2))</f>
        <v>0</v>
      </c>
      <c r="E196" s="45" t="n">
        <f aca="false">ROUND(C196*D196,0)</f>
        <v>0</v>
      </c>
      <c r="F196" s="47" t="n">
        <f aca="false">MIN(1,'Model Inputs &amp; Assumptions'!$W$28*EXP('Model Inputs &amp; Assumptions'!$X$28*R196-'Model Inputs &amp; Assumptions'!$X$28^2/2))</f>
        <v>0.00152152476680318</v>
      </c>
      <c r="G196" s="45" t="n">
        <f aca="false">ROUND(C196*F196,0)</f>
        <v>633</v>
      </c>
      <c r="H196" s="48" t="n">
        <f aca="false">MAX(0,(C196*'Model Inputs &amp; Assumptions'!$N$28+E196*'Model Inputs &amp; Assumptions'!$O$28+G196*'Model Inputs &amp; Assumptions'!$P$28)*EXP('Model Inputs &amp; Assumptions'!$Q$28*S196-'Model Inputs &amp; Assumptions'!$Q$28^2/2))</f>
        <v>16.7817472880801</v>
      </c>
      <c r="I196" s="49" t="n">
        <f aca="false">IF('Model Inputs &amp; Assumptions'!$H$28="Fixed",'Model Inputs &amp; Assumptions'!$I$28*'Model Inputs &amp; Assumptions'!$K$28,IF('Model Inputs &amp; Assumptions'!$H$28="CPM",'Model Inputs &amp; Assumptions'!$I$28*'Model Inputs &amp; Assumptions'!$K$28*C196/1000,IF('Model Inputs &amp; Assumptions'!$H$28="CPC",'Model Inputs &amp; Assumptions'!$I$28*'Model Inputs &amp; Assumptions'!$K$28*G196,0)))</f>
        <v>2705.755</v>
      </c>
      <c r="J196" s="50" t="n">
        <f aca="false">H196*INDEX('Model Inputs &amp; Assumptions'!$D$40:$D$42,MATCH('Model Inputs &amp; Assumptions'!$L$28,'Model Inputs &amp; Assumptions'!$A$40:$A$42,0))*INDEX('Model Inputs &amp; Assumptions'!$H$40:$H$42,MATCH('Model Inputs &amp; Assumptions'!$L$28,'Model Inputs &amp; Assumptions'!$A$40:$A$42,0))</f>
        <v>142644.851948681</v>
      </c>
      <c r="K196" s="49" t="n">
        <f aca="false">H196*INDEX('Model Inputs &amp; Assumptions'!$G$40:$G$42,MATCH('Model Inputs &amp; Assumptions'!$L$28,'Model Inputs &amp; Assumptions'!$A$40:$A$42,0))*INDEX('Model Inputs &amp; Assumptions'!$H$40:$H$42,MATCH('Model Inputs &amp; Assumptions'!$L$28,'Model Inputs &amp; Assumptions'!$A$40:$A$42,0))</f>
        <v>3209.50916884532</v>
      </c>
      <c r="L196" s="51" t="n">
        <f aca="false">IFERROR(K196/I196,0)</f>
        <v>1.18617878146592</v>
      </c>
      <c r="M196" s="49" t="n">
        <f aca="false">IFERROR(I196/H196,0)</f>
        <v>161.232019142719</v>
      </c>
      <c r="N196" s="52" t="str">
        <f aca="false">'Model Inputs &amp; Assumptions'!$L$28</f>
        <v>PRD-EUAI</v>
      </c>
      <c r="P196" s="53" t="n">
        <v>-0.464955</v>
      </c>
      <c r="Q196" s="53" t="n">
        <v>0.18179</v>
      </c>
      <c r="R196" s="53" t="n">
        <v>0.174763</v>
      </c>
      <c r="S196" s="53" t="n">
        <v>-0.262069</v>
      </c>
    </row>
    <row r="197" customFormat="false" ht="15" hidden="false" customHeight="false" outlineLevel="0" collapsed="false">
      <c r="A197" s="43" t="n">
        <v>194</v>
      </c>
      <c r="B197" s="44" t="str">
        <f aca="false">'Model Inputs &amp; Assumptions'!$B$28</f>
        <v>finanzen.net — Q1 Awareness Burst</v>
      </c>
      <c r="C197" s="45" t="n">
        <f aca="false">ROUND(MAX(0,'Model Inputs &amp; Assumptions'!$S$28*EXP('Model Inputs &amp; Assumptions'!$T$28*P197-'Model Inputs &amp; Assumptions'!$T$28^2/2)),0)</f>
        <v>425100</v>
      </c>
      <c r="D197" s="46" t="n">
        <f aca="false">MIN(1,'Model Inputs &amp; Assumptions'!$U$28*EXP('Model Inputs &amp; Assumptions'!$V$28*Q197-'Model Inputs &amp; Assumptions'!$V$28^2/2))</f>
        <v>0</v>
      </c>
      <c r="E197" s="45" t="n">
        <f aca="false">ROUND(C197*D197,0)</f>
        <v>0</v>
      </c>
      <c r="F197" s="47" t="n">
        <f aca="false">MIN(1,'Model Inputs &amp; Assumptions'!$W$28*EXP('Model Inputs &amp; Assumptions'!$X$28*R197-'Model Inputs &amp; Assumptions'!$X$28^2/2))</f>
        <v>0.00142386600095365</v>
      </c>
      <c r="G197" s="45" t="n">
        <f aca="false">ROUND(C197*F197,0)</f>
        <v>605</v>
      </c>
      <c r="H197" s="48" t="n">
        <f aca="false">MAX(0,(C197*'Model Inputs &amp; Assumptions'!$N$28+E197*'Model Inputs &amp; Assumptions'!$O$28+G197*'Model Inputs &amp; Assumptions'!$P$28)*EXP('Model Inputs &amp; Assumptions'!$Q$28*S197-'Model Inputs &amp; Assumptions'!$Q$28^2/2))</f>
        <v>19.5771361177186</v>
      </c>
      <c r="I197" s="49" t="n">
        <f aca="false">IF('Model Inputs &amp; Assumptions'!$H$28="Fixed",'Model Inputs &amp; Assumptions'!$I$28*'Model Inputs &amp; Assumptions'!$K$28,IF('Model Inputs &amp; Assumptions'!$H$28="CPM",'Model Inputs &amp; Assumptions'!$I$28*'Model Inputs &amp; Assumptions'!$K$28*C197/1000,IF('Model Inputs &amp; Assumptions'!$H$28="CPC",'Model Inputs &amp; Assumptions'!$I$28*'Model Inputs &amp; Assumptions'!$K$28*G197,0)))</f>
        <v>2763.15</v>
      </c>
      <c r="J197" s="50" t="n">
        <f aca="false">H197*INDEX('Model Inputs &amp; Assumptions'!$D$40:$D$42,MATCH('Model Inputs &amp; Assumptions'!$L$28,'Model Inputs &amp; Assumptions'!$A$40:$A$42,0))*INDEX('Model Inputs &amp; Assumptions'!$H$40:$H$42,MATCH('Model Inputs &amp; Assumptions'!$L$28,'Model Inputs &amp; Assumptions'!$A$40:$A$42,0))</f>
        <v>166405.657000608</v>
      </c>
      <c r="K197" s="49" t="n">
        <f aca="false">H197*INDEX('Model Inputs &amp; Assumptions'!$G$40:$G$42,MATCH('Model Inputs &amp; Assumptions'!$L$28,'Model Inputs &amp; Assumptions'!$A$40:$A$42,0))*INDEX('Model Inputs &amp; Assumptions'!$H$40:$H$42,MATCH('Model Inputs &amp; Assumptions'!$L$28,'Model Inputs &amp; Assumptions'!$A$40:$A$42,0))</f>
        <v>3744.12728251369</v>
      </c>
      <c r="L197" s="51" t="n">
        <f aca="false">IFERROR(K197/I197,0)</f>
        <v>1.35502136420885</v>
      </c>
      <c r="M197" s="49" t="n">
        <f aca="false">IFERROR(I197/H197,0)</f>
        <v>141.141686066082</v>
      </c>
      <c r="N197" s="52" t="str">
        <f aca="false">'Model Inputs &amp; Assumptions'!$L$28</f>
        <v>PRD-EUAI</v>
      </c>
      <c r="P197" s="53" t="n">
        <v>-0.348349</v>
      </c>
      <c r="Q197" s="53" t="n">
        <v>1.497179</v>
      </c>
      <c r="R197" s="53" t="n">
        <v>-0.12677</v>
      </c>
      <c r="S197" s="53" t="n">
        <v>0.402306</v>
      </c>
    </row>
    <row r="198" customFormat="false" ht="15" hidden="false" customHeight="false" outlineLevel="0" collapsed="false">
      <c r="A198" s="43" t="n">
        <v>195</v>
      </c>
      <c r="B198" s="44" t="str">
        <f aca="false">'Model Inputs &amp; Assumptions'!$B$28</f>
        <v>finanzen.net — Q1 Awareness Burst</v>
      </c>
      <c r="C198" s="45" t="n">
        <f aca="false">ROUND(MAX(0,'Model Inputs &amp; Assumptions'!$S$28*EXP('Model Inputs &amp; Assumptions'!$T$28*P198-'Model Inputs &amp; Assumptions'!$T$28^2/2)),0)</f>
        <v>463386</v>
      </c>
      <c r="D198" s="46" t="n">
        <f aca="false">MIN(1,'Model Inputs &amp; Assumptions'!$U$28*EXP('Model Inputs &amp; Assumptions'!$V$28*Q198-'Model Inputs &amp; Assumptions'!$V$28^2/2))</f>
        <v>0</v>
      </c>
      <c r="E198" s="45" t="n">
        <f aca="false">ROUND(C198*D198,0)</f>
        <v>0</v>
      </c>
      <c r="F198" s="47" t="n">
        <f aca="false">MIN(1,'Model Inputs &amp; Assumptions'!$W$28*EXP('Model Inputs &amp; Assumptions'!$X$28*R198-'Model Inputs &amp; Assumptions'!$X$28^2/2))</f>
        <v>0.00210839359492087</v>
      </c>
      <c r="G198" s="45" t="n">
        <f aca="false">ROUND(C198*F198,0)</f>
        <v>977</v>
      </c>
      <c r="H198" s="48" t="n">
        <f aca="false">MAX(0,(C198*'Model Inputs &amp; Assumptions'!$N$28+E198*'Model Inputs &amp; Assumptions'!$O$28+G198*'Model Inputs &amp; Assumptions'!$P$28)*EXP('Model Inputs &amp; Assumptions'!$Q$28*S198-'Model Inputs &amp; Assumptions'!$Q$28^2/2))</f>
        <v>49.9001223532199</v>
      </c>
      <c r="I198" s="49" t="n">
        <f aca="false">IF('Model Inputs &amp; Assumptions'!$H$28="Fixed",'Model Inputs &amp; Assumptions'!$I$28*'Model Inputs &amp; Assumptions'!$K$28,IF('Model Inputs &amp; Assumptions'!$H$28="CPM",'Model Inputs &amp; Assumptions'!$I$28*'Model Inputs &amp; Assumptions'!$K$28*C198/1000,IF('Model Inputs &amp; Assumptions'!$H$28="CPC",'Model Inputs &amp; Assumptions'!$I$28*'Model Inputs &amp; Assumptions'!$K$28*G198,0)))</f>
        <v>3012.009</v>
      </c>
      <c r="J198" s="50" t="n">
        <f aca="false">H198*INDEX('Model Inputs &amp; Assumptions'!$D$40:$D$42,MATCH('Model Inputs &amp; Assumptions'!$L$28,'Model Inputs &amp; Assumptions'!$A$40:$A$42,0))*INDEX('Model Inputs &amp; Assumptions'!$H$40:$H$42,MATCH('Model Inputs &amp; Assumptions'!$L$28,'Model Inputs &amp; Assumptions'!$A$40:$A$42,0))</f>
        <v>424151.040002369</v>
      </c>
      <c r="K198" s="49" t="n">
        <f aca="false">H198*INDEX('Model Inputs &amp; Assumptions'!$G$40:$G$42,MATCH('Model Inputs &amp; Assumptions'!$L$28,'Model Inputs &amp; Assumptions'!$A$40:$A$42,0))*INDEX('Model Inputs &amp; Assumptions'!$H$40:$H$42,MATCH('Model Inputs &amp; Assumptions'!$L$28,'Model Inputs &amp; Assumptions'!$A$40:$A$42,0))</f>
        <v>9543.3984000533</v>
      </c>
      <c r="L198" s="51" t="n">
        <f aca="false">IFERROR(K198/I198,0)</f>
        <v>3.16844949668255</v>
      </c>
      <c r="M198" s="49" t="n">
        <f aca="false">IFERROR(I198/H198,0)</f>
        <v>60.3607538009503</v>
      </c>
      <c r="N198" s="52" t="str">
        <f aca="false">'Model Inputs &amp; Assumptions'!$L$28</f>
        <v>PRD-EUAI</v>
      </c>
      <c r="P198" s="53" t="n">
        <v>0.130739</v>
      </c>
      <c r="Q198" s="53" t="n">
        <v>1.768588</v>
      </c>
      <c r="R198" s="53" t="n">
        <v>1.657551</v>
      </c>
      <c r="S198" s="53" t="n">
        <v>1.923649</v>
      </c>
    </row>
    <row r="199" customFormat="false" ht="15" hidden="false" customHeight="false" outlineLevel="0" collapsed="false">
      <c r="A199" s="43" t="n">
        <v>196</v>
      </c>
      <c r="B199" s="44" t="str">
        <f aca="false">'Model Inputs &amp; Assumptions'!$B$28</f>
        <v>finanzen.net — Q1 Awareness Burst</v>
      </c>
      <c r="C199" s="45" t="n">
        <f aca="false">ROUND(MAX(0,'Model Inputs &amp; Assumptions'!$S$28*EXP('Model Inputs &amp; Assumptions'!$T$28*P199-'Model Inputs &amp; Assumptions'!$T$28^2/2)),0)</f>
        <v>503466</v>
      </c>
      <c r="D199" s="46" t="n">
        <f aca="false">MIN(1,'Model Inputs &amp; Assumptions'!$U$28*EXP('Model Inputs &amp; Assumptions'!$V$28*Q199-'Model Inputs &amp; Assumptions'!$V$28^2/2))</f>
        <v>0</v>
      </c>
      <c r="E199" s="45" t="n">
        <f aca="false">ROUND(C199*D199,0)</f>
        <v>0</v>
      </c>
      <c r="F199" s="47" t="n">
        <f aca="false">MIN(1,'Model Inputs &amp; Assumptions'!$W$28*EXP('Model Inputs &amp; Assumptions'!$X$28*R199-'Model Inputs &amp; Assumptions'!$X$28^2/2))</f>
        <v>0.0016154626530212</v>
      </c>
      <c r="G199" s="45" t="n">
        <f aca="false">ROUND(C199*F199,0)</f>
        <v>813</v>
      </c>
      <c r="H199" s="48" t="n">
        <f aca="false">MAX(0,(C199*'Model Inputs &amp; Assumptions'!$N$28+E199*'Model Inputs &amp; Assumptions'!$O$28+G199*'Model Inputs &amp; Assumptions'!$P$28)*EXP('Model Inputs &amp; Assumptions'!$Q$28*S199-'Model Inputs &amp; Assumptions'!$Q$28^2/2))</f>
        <v>33.444575707965</v>
      </c>
      <c r="I199" s="49" t="n">
        <f aca="false">IF('Model Inputs &amp; Assumptions'!$H$28="Fixed",'Model Inputs &amp; Assumptions'!$I$28*'Model Inputs &amp; Assumptions'!$K$28,IF('Model Inputs &amp; Assumptions'!$H$28="CPM",'Model Inputs &amp; Assumptions'!$I$28*'Model Inputs &amp; Assumptions'!$K$28*C199/1000,IF('Model Inputs &amp; Assumptions'!$H$28="CPC",'Model Inputs &amp; Assumptions'!$I$28*'Model Inputs &amp; Assumptions'!$K$28*G199,0)))</f>
        <v>3272.529</v>
      </c>
      <c r="J199" s="50" t="n">
        <f aca="false">H199*INDEX('Model Inputs &amp; Assumptions'!$D$40:$D$42,MATCH('Model Inputs &amp; Assumptions'!$L$28,'Model Inputs &amp; Assumptions'!$A$40:$A$42,0))*INDEX('Model Inputs &amp; Assumptions'!$H$40:$H$42,MATCH('Model Inputs &amp; Assumptions'!$L$28,'Model Inputs &amp; Assumptions'!$A$40:$A$42,0))</f>
        <v>284278.893517703</v>
      </c>
      <c r="K199" s="49" t="n">
        <f aca="false">H199*INDEX('Model Inputs &amp; Assumptions'!$G$40:$G$42,MATCH('Model Inputs &amp; Assumptions'!$L$28,'Model Inputs &amp; Assumptions'!$A$40:$A$42,0))*INDEX('Model Inputs &amp; Assumptions'!$H$40:$H$42,MATCH('Model Inputs &amp; Assumptions'!$L$28,'Model Inputs &amp; Assumptions'!$A$40:$A$42,0))</f>
        <v>6396.27510414831</v>
      </c>
      <c r="L199" s="51" t="n">
        <f aca="false">IFERROR(K199/I199,0)</f>
        <v>1.95453580522841</v>
      </c>
      <c r="M199" s="49" t="n">
        <f aca="false">IFERROR(I199/H199,0)</f>
        <v>97.8493202776864</v>
      </c>
      <c r="N199" s="52" t="str">
        <f aca="false">'Model Inputs &amp; Assumptions'!$L$28</f>
        <v>PRD-EUAI</v>
      </c>
      <c r="P199" s="53" t="n">
        <v>0.591613</v>
      </c>
      <c r="Q199" s="53" t="n">
        <v>0.497498</v>
      </c>
      <c r="R199" s="53" t="n">
        <v>0.447074</v>
      </c>
      <c r="S199" s="53" t="n">
        <v>1.202388</v>
      </c>
    </row>
    <row r="200" customFormat="false" ht="15" hidden="false" customHeight="false" outlineLevel="0" collapsed="false">
      <c r="A200" s="43" t="n">
        <v>197</v>
      </c>
      <c r="B200" s="44" t="str">
        <f aca="false">'Model Inputs &amp; Assumptions'!$B$28</f>
        <v>finanzen.net — Q1 Awareness Burst</v>
      </c>
      <c r="C200" s="45" t="n">
        <f aca="false">ROUND(MAX(0,'Model Inputs &amp; Assumptions'!$S$28*EXP('Model Inputs &amp; Assumptions'!$T$28*P200-'Model Inputs &amp; Assumptions'!$T$28^2/2)),0)</f>
        <v>405363</v>
      </c>
      <c r="D200" s="46" t="n">
        <f aca="false">MIN(1,'Model Inputs &amp; Assumptions'!$U$28*EXP('Model Inputs &amp; Assumptions'!$V$28*Q200-'Model Inputs &amp; Assumptions'!$V$28^2/2))</f>
        <v>0</v>
      </c>
      <c r="E200" s="45" t="n">
        <f aca="false">ROUND(C200*D200,0)</f>
        <v>0</v>
      </c>
      <c r="F200" s="47" t="n">
        <f aca="false">MIN(1,'Model Inputs &amp; Assumptions'!$W$28*EXP('Model Inputs &amp; Assumptions'!$X$28*R200-'Model Inputs &amp; Assumptions'!$X$28^2/2))</f>
        <v>0.00171163423670295</v>
      </c>
      <c r="G200" s="45" t="n">
        <f aca="false">ROUND(C200*F200,0)</f>
        <v>694</v>
      </c>
      <c r="H200" s="48" t="n">
        <f aca="false">MAX(0,(C200*'Model Inputs &amp; Assumptions'!$N$28+E200*'Model Inputs &amp; Assumptions'!$O$28+G200*'Model Inputs &amp; Assumptions'!$P$28)*EXP('Model Inputs &amp; Assumptions'!$Q$28*S200-'Model Inputs &amp; Assumptions'!$Q$28^2/2))</f>
        <v>27.365942428269</v>
      </c>
      <c r="I200" s="49" t="n">
        <f aca="false">IF('Model Inputs &amp; Assumptions'!$H$28="Fixed",'Model Inputs &amp; Assumptions'!$I$28*'Model Inputs &amp; Assumptions'!$K$28,IF('Model Inputs &amp; Assumptions'!$H$28="CPM",'Model Inputs &amp; Assumptions'!$I$28*'Model Inputs &amp; Assumptions'!$K$28*C200/1000,IF('Model Inputs &amp; Assumptions'!$H$28="CPC",'Model Inputs &amp; Assumptions'!$I$28*'Model Inputs &amp; Assumptions'!$K$28*G200,0)))</f>
        <v>2634.8595</v>
      </c>
      <c r="J200" s="50" t="n">
        <f aca="false">H200*INDEX('Model Inputs &amp; Assumptions'!$D$40:$D$42,MATCH('Model Inputs &amp; Assumptions'!$L$28,'Model Inputs &amp; Assumptions'!$A$40:$A$42,0))*INDEX('Model Inputs &amp; Assumptions'!$H$40:$H$42,MATCH('Model Inputs &amp; Assumptions'!$L$28,'Model Inputs &amp; Assumptions'!$A$40:$A$42,0))</f>
        <v>232610.510640286</v>
      </c>
      <c r="K200" s="49" t="n">
        <f aca="false">H200*INDEX('Model Inputs &amp; Assumptions'!$G$40:$G$42,MATCH('Model Inputs &amp; Assumptions'!$L$28,'Model Inputs &amp; Assumptions'!$A$40:$A$42,0))*INDEX('Model Inputs &amp; Assumptions'!$H$40:$H$42,MATCH('Model Inputs &amp; Assumptions'!$L$28,'Model Inputs &amp; Assumptions'!$A$40:$A$42,0))</f>
        <v>5233.73648940644</v>
      </c>
      <c r="L200" s="51" t="n">
        <f aca="false">IFERROR(K200/I200,0)</f>
        <v>1.98634367009187</v>
      </c>
      <c r="M200" s="49" t="n">
        <f aca="false">IFERROR(I200/H200,0)</f>
        <v>96.2824323301285</v>
      </c>
      <c r="N200" s="52" t="str">
        <f aca="false">'Model Inputs &amp; Assumptions'!$L$28</f>
        <v>PRD-EUAI</v>
      </c>
      <c r="P200" s="53" t="n">
        <v>-0.612459</v>
      </c>
      <c r="Q200" s="53" t="n">
        <v>-1.216521</v>
      </c>
      <c r="R200" s="53" t="n">
        <v>0.709925</v>
      </c>
      <c r="S200" s="53" t="n">
        <v>1.061284</v>
      </c>
    </row>
    <row r="201" customFormat="false" ht="15" hidden="false" customHeight="false" outlineLevel="0" collapsed="false">
      <c r="A201" s="43" t="n">
        <v>198</v>
      </c>
      <c r="B201" s="44" t="str">
        <f aca="false">'Model Inputs &amp; Assumptions'!$B$28</f>
        <v>finanzen.net — Q1 Awareness Burst</v>
      </c>
      <c r="C201" s="45" t="n">
        <f aca="false">ROUND(MAX(0,'Model Inputs &amp; Assumptions'!$S$28*EXP('Model Inputs &amp; Assumptions'!$T$28*P201-'Model Inputs &amp; Assumptions'!$T$28^2/2)),0)</f>
        <v>437620</v>
      </c>
      <c r="D201" s="46" t="n">
        <f aca="false">MIN(1,'Model Inputs &amp; Assumptions'!$U$28*EXP('Model Inputs &amp; Assumptions'!$V$28*Q201-'Model Inputs &amp; Assumptions'!$V$28^2/2))</f>
        <v>0</v>
      </c>
      <c r="E201" s="45" t="n">
        <f aca="false">ROUND(C201*D201,0)</f>
        <v>0</v>
      </c>
      <c r="F201" s="47" t="n">
        <f aca="false">MIN(1,'Model Inputs &amp; Assumptions'!$W$28*EXP('Model Inputs &amp; Assumptions'!$X$28*R201-'Model Inputs &amp; Assumptions'!$X$28^2/2))</f>
        <v>0.00115237296948425</v>
      </c>
      <c r="G201" s="45" t="n">
        <f aca="false">ROUND(C201*F201,0)</f>
        <v>504</v>
      </c>
      <c r="H201" s="48" t="n">
        <f aca="false">MAX(0,(C201*'Model Inputs &amp; Assumptions'!$N$28+E201*'Model Inputs &amp; Assumptions'!$O$28+G201*'Model Inputs &amp; Assumptions'!$P$28)*EXP('Model Inputs &amp; Assumptions'!$Q$28*S201-'Model Inputs &amp; Assumptions'!$Q$28^2/2))</f>
        <v>15.0316619136819</v>
      </c>
      <c r="I201" s="49" t="n">
        <f aca="false">IF('Model Inputs &amp; Assumptions'!$H$28="Fixed",'Model Inputs &amp; Assumptions'!$I$28*'Model Inputs &amp; Assumptions'!$K$28,IF('Model Inputs &amp; Assumptions'!$H$28="CPM",'Model Inputs &amp; Assumptions'!$I$28*'Model Inputs &amp; Assumptions'!$K$28*C201/1000,IF('Model Inputs &amp; Assumptions'!$H$28="CPC",'Model Inputs &amp; Assumptions'!$I$28*'Model Inputs &amp; Assumptions'!$K$28*G201,0)))</f>
        <v>2844.53</v>
      </c>
      <c r="J201" s="50" t="n">
        <f aca="false">H201*INDEX('Model Inputs &amp; Assumptions'!$D$40:$D$42,MATCH('Model Inputs &amp; Assumptions'!$L$28,'Model Inputs &amp; Assumptions'!$A$40:$A$42,0))*INDEX('Model Inputs &amp; Assumptions'!$H$40:$H$42,MATCH('Model Inputs &amp; Assumptions'!$L$28,'Model Inputs &amp; Assumptions'!$A$40:$A$42,0))</f>
        <v>127769.126266296</v>
      </c>
      <c r="K201" s="49" t="n">
        <f aca="false">H201*INDEX('Model Inputs &amp; Assumptions'!$G$40:$G$42,MATCH('Model Inputs &amp; Assumptions'!$L$28,'Model Inputs &amp; Assumptions'!$A$40:$A$42,0))*INDEX('Model Inputs &amp; Assumptions'!$H$40:$H$42,MATCH('Model Inputs &amp; Assumptions'!$L$28,'Model Inputs &amp; Assumptions'!$A$40:$A$42,0))</f>
        <v>2874.80534099165</v>
      </c>
      <c r="L201" s="51" t="n">
        <f aca="false">IFERROR(K201/I201,0)</f>
        <v>1.01064335443523</v>
      </c>
      <c r="M201" s="49" t="n">
        <f aca="false">IFERROR(I201/H201,0)</f>
        <v>189.235895294512</v>
      </c>
      <c r="N201" s="52" t="str">
        <f aca="false">'Model Inputs &amp; Assumptions'!$L$28</f>
        <v>PRD-EUAI</v>
      </c>
      <c r="P201" s="53" t="n">
        <v>-0.18708</v>
      </c>
      <c r="Q201" s="53" t="n">
        <v>1.346056</v>
      </c>
      <c r="R201" s="53" t="n">
        <v>-1.088372</v>
      </c>
      <c r="S201" s="53" t="n">
        <v>0.130468</v>
      </c>
    </row>
    <row r="202" customFormat="false" ht="15" hidden="false" customHeight="false" outlineLevel="0" collapsed="false">
      <c r="A202" s="43" t="n">
        <v>199</v>
      </c>
      <c r="B202" s="44" t="str">
        <f aca="false">'Model Inputs &amp; Assumptions'!$B$28</f>
        <v>finanzen.net — Q1 Awareness Burst</v>
      </c>
      <c r="C202" s="45" t="n">
        <f aca="false">ROUND(MAX(0,'Model Inputs &amp; Assumptions'!$S$28*EXP('Model Inputs &amp; Assumptions'!$T$28*P202-'Model Inputs &amp; Assumptions'!$T$28^2/2)),0)</f>
        <v>487159</v>
      </c>
      <c r="D202" s="46" t="n">
        <f aca="false">MIN(1,'Model Inputs &amp; Assumptions'!$U$28*EXP('Model Inputs &amp; Assumptions'!$V$28*Q202-'Model Inputs &amp; Assumptions'!$V$28^2/2))</f>
        <v>0</v>
      </c>
      <c r="E202" s="45" t="n">
        <f aca="false">ROUND(C202*D202,0)</f>
        <v>0</v>
      </c>
      <c r="F202" s="47" t="n">
        <f aca="false">MIN(1,'Model Inputs &amp; Assumptions'!$W$28*EXP('Model Inputs &amp; Assumptions'!$X$28*R202-'Model Inputs &amp; Assumptions'!$X$28^2/2))</f>
        <v>0.00135701531689206</v>
      </c>
      <c r="G202" s="45" t="n">
        <f aca="false">ROUND(C202*F202,0)</f>
        <v>661</v>
      </c>
      <c r="H202" s="48" t="n">
        <f aca="false">MAX(0,(C202*'Model Inputs &amp; Assumptions'!$N$28+E202*'Model Inputs &amp; Assumptions'!$O$28+G202*'Model Inputs &amp; Assumptions'!$P$28)*EXP('Model Inputs &amp; Assumptions'!$Q$28*S202-'Model Inputs &amp; Assumptions'!$Q$28^2/2))</f>
        <v>25.2296614126125</v>
      </c>
      <c r="I202" s="49" t="n">
        <f aca="false">IF('Model Inputs &amp; Assumptions'!$H$28="Fixed",'Model Inputs &amp; Assumptions'!$I$28*'Model Inputs &amp; Assumptions'!$K$28,IF('Model Inputs &amp; Assumptions'!$H$28="CPM",'Model Inputs &amp; Assumptions'!$I$28*'Model Inputs &amp; Assumptions'!$K$28*C202/1000,IF('Model Inputs &amp; Assumptions'!$H$28="CPC",'Model Inputs &amp; Assumptions'!$I$28*'Model Inputs &amp; Assumptions'!$K$28*G202,0)))</f>
        <v>3166.5335</v>
      </c>
      <c r="J202" s="50" t="n">
        <f aca="false">H202*INDEX('Model Inputs &amp; Assumptions'!$D$40:$D$42,MATCH('Model Inputs &amp; Assumptions'!$L$28,'Model Inputs &amp; Assumptions'!$A$40:$A$42,0))*INDEX('Model Inputs &amp; Assumptions'!$H$40:$H$42,MATCH('Model Inputs &amp; Assumptions'!$L$28,'Model Inputs &amp; Assumptions'!$A$40:$A$42,0))</f>
        <v>214452.122007206</v>
      </c>
      <c r="K202" s="49" t="n">
        <f aca="false">H202*INDEX('Model Inputs &amp; Assumptions'!$G$40:$G$42,MATCH('Model Inputs &amp; Assumptions'!$L$28,'Model Inputs &amp; Assumptions'!$A$40:$A$42,0))*INDEX('Model Inputs &amp; Assumptions'!$H$40:$H$42,MATCH('Model Inputs &amp; Assumptions'!$L$28,'Model Inputs &amp; Assumptions'!$A$40:$A$42,0))</f>
        <v>4825.17274516214</v>
      </c>
      <c r="L202" s="51" t="n">
        <f aca="false">IFERROR(K202/I202,0)</f>
        <v>1.52380284154965</v>
      </c>
      <c r="M202" s="49" t="n">
        <f aca="false">IFERROR(I202/H202,0)</f>
        <v>125.50836288342</v>
      </c>
      <c r="N202" s="52" t="str">
        <f aca="false">'Model Inputs &amp; Assumptions'!$L$28</f>
        <v>PRD-EUAI</v>
      </c>
      <c r="P202" s="53" t="n">
        <v>0.408684</v>
      </c>
      <c r="Q202" s="53" t="n">
        <v>-1.158812</v>
      </c>
      <c r="R202" s="53" t="n">
        <v>-0.345352</v>
      </c>
      <c r="S202" s="53" t="n">
        <v>0.952748</v>
      </c>
    </row>
    <row r="203" customFormat="false" ht="15" hidden="false" customHeight="false" outlineLevel="0" collapsed="false">
      <c r="A203" s="43" t="n">
        <v>200</v>
      </c>
      <c r="B203" s="44" t="str">
        <f aca="false">'Model Inputs &amp; Assumptions'!$B$28</f>
        <v>finanzen.net — Q1 Awareness Burst</v>
      </c>
      <c r="C203" s="45" t="n">
        <f aca="false">ROUND(MAX(0,'Model Inputs &amp; Assumptions'!$S$28*EXP('Model Inputs &amp; Assumptions'!$T$28*P203-'Model Inputs &amp; Assumptions'!$T$28^2/2)),0)</f>
        <v>453125</v>
      </c>
      <c r="D203" s="46" t="n">
        <f aca="false">MIN(1,'Model Inputs &amp; Assumptions'!$U$28*EXP('Model Inputs &amp; Assumptions'!$V$28*Q203-'Model Inputs &amp; Assumptions'!$V$28^2/2))</f>
        <v>0</v>
      </c>
      <c r="E203" s="45" t="n">
        <f aca="false">ROUND(C203*D203,0)</f>
        <v>0</v>
      </c>
      <c r="F203" s="47" t="n">
        <f aca="false">MIN(1,'Model Inputs &amp; Assumptions'!$W$28*EXP('Model Inputs &amp; Assumptions'!$X$28*R203-'Model Inputs &amp; Assumptions'!$X$28^2/2))</f>
        <v>0.00144413716866315</v>
      </c>
      <c r="G203" s="45" t="n">
        <f aca="false">ROUND(C203*F203,0)</f>
        <v>654</v>
      </c>
      <c r="H203" s="48" t="n">
        <f aca="false">MAX(0,(C203*'Model Inputs &amp; Assumptions'!$N$28+E203*'Model Inputs &amp; Assumptions'!$O$28+G203*'Model Inputs &amp; Assumptions'!$P$28)*EXP('Model Inputs &amp; Assumptions'!$Q$28*S203-'Model Inputs &amp; Assumptions'!$Q$28^2/2))</f>
        <v>19.622119074428</v>
      </c>
      <c r="I203" s="49" t="n">
        <f aca="false">IF('Model Inputs &amp; Assumptions'!$H$28="Fixed",'Model Inputs &amp; Assumptions'!$I$28*'Model Inputs &amp; Assumptions'!$K$28,IF('Model Inputs &amp; Assumptions'!$H$28="CPM",'Model Inputs &amp; Assumptions'!$I$28*'Model Inputs &amp; Assumptions'!$K$28*C203/1000,IF('Model Inputs &amp; Assumptions'!$H$28="CPC",'Model Inputs &amp; Assumptions'!$I$28*'Model Inputs &amp; Assumptions'!$K$28*G203,0)))</f>
        <v>2945.3125</v>
      </c>
      <c r="J203" s="50" t="n">
        <f aca="false">H203*INDEX('Model Inputs &amp; Assumptions'!$D$40:$D$42,MATCH('Model Inputs &amp; Assumptions'!$L$28,'Model Inputs &amp; Assumptions'!$A$40:$A$42,0))*INDEX('Model Inputs &amp; Assumptions'!$H$40:$H$42,MATCH('Model Inputs &amp; Assumptions'!$L$28,'Model Inputs &amp; Assumptions'!$A$40:$A$42,0))</f>
        <v>166788.012132638</v>
      </c>
      <c r="K203" s="49" t="n">
        <f aca="false">H203*INDEX('Model Inputs &amp; Assumptions'!$G$40:$G$42,MATCH('Model Inputs &amp; Assumptions'!$L$28,'Model Inputs &amp; Assumptions'!$A$40:$A$42,0))*INDEX('Model Inputs &amp; Assumptions'!$H$40:$H$42,MATCH('Model Inputs &amp; Assumptions'!$L$28,'Model Inputs &amp; Assumptions'!$A$40:$A$42,0))</f>
        <v>3752.73027298435</v>
      </c>
      <c r="L203" s="51" t="n">
        <f aca="false">IFERROR(K203/I203,0)</f>
        <v>1.27413653830768</v>
      </c>
      <c r="M203" s="49" t="n">
        <f aca="false">IFERROR(I203/H203,0)</f>
        <v>150.101652570155</v>
      </c>
      <c r="N203" s="52" t="str">
        <f aca="false">'Model Inputs &amp; Assumptions'!$L$28</f>
        <v>PRD-EUAI</v>
      </c>
      <c r="P203" s="53" t="n">
        <v>0.006346</v>
      </c>
      <c r="Q203" s="53" t="n">
        <v>0.495694</v>
      </c>
      <c r="R203" s="53" t="n">
        <v>-0.062514</v>
      </c>
      <c r="S203" s="53" t="n">
        <v>0.15036</v>
      </c>
    </row>
    <row r="204" customFormat="false" ht="15" hidden="false" customHeight="false" outlineLevel="0" collapsed="false">
      <c r="A204" s="43" t="n">
        <v>201</v>
      </c>
      <c r="B204" s="44" t="str">
        <f aca="false">'Model Inputs &amp; Assumptions'!$B$28</f>
        <v>finanzen.net — Q1 Awareness Burst</v>
      </c>
      <c r="C204" s="45" t="n">
        <f aca="false">ROUND(MAX(0,'Model Inputs &amp; Assumptions'!$S$28*EXP('Model Inputs &amp; Assumptions'!$T$28*P204-'Model Inputs &amp; Assumptions'!$T$28^2/2)),0)</f>
        <v>460696</v>
      </c>
      <c r="D204" s="46" t="n">
        <f aca="false">MIN(1,'Model Inputs &amp; Assumptions'!$U$28*EXP('Model Inputs &amp; Assumptions'!$V$28*Q204-'Model Inputs &amp; Assumptions'!$V$28^2/2))</f>
        <v>0</v>
      </c>
      <c r="E204" s="45" t="n">
        <f aca="false">ROUND(C204*D204,0)</f>
        <v>0</v>
      </c>
      <c r="F204" s="47" t="n">
        <f aca="false">MIN(1,'Model Inputs &amp; Assumptions'!$W$28*EXP('Model Inputs &amp; Assumptions'!$X$28*R204-'Model Inputs &amp; Assumptions'!$X$28^2/2))</f>
        <v>0.00250707934512813</v>
      </c>
      <c r="G204" s="45" t="n">
        <f aca="false">ROUND(C204*F204,0)</f>
        <v>1155</v>
      </c>
      <c r="H204" s="48" t="n">
        <f aca="false">MAX(0,(C204*'Model Inputs &amp; Assumptions'!$N$28+E204*'Model Inputs &amp; Assumptions'!$O$28+G204*'Model Inputs &amp; Assumptions'!$P$28)*EXP('Model Inputs &amp; Assumptions'!$Q$28*S204-'Model Inputs &amp; Assumptions'!$Q$28^2/2))</f>
        <v>39.6529531450281</v>
      </c>
      <c r="I204" s="49" t="n">
        <f aca="false">IF('Model Inputs &amp; Assumptions'!$H$28="Fixed",'Model Inputs &amp; Assumptions'!$I$28*'Model Inputs &amp; Assumptions'!$K$28,IF('Model Inputs &amp; Assumptions'!$H$28="CPM",'Model Inputs &amp; Assumptions'!$I$28*'Model Inputs &amp; Assumptions'!$K$28*C204/1000,IF('Model Inputs &amp; Assumptions'!$H$28="CPC",'Model Inputs &amp; Assumptions'!$I$28*'Model Inputs &amp; Assumptions'!$K$28*G204,0)))</f>
        <v>2994.524</v>
      </c>
      <c r="J204" s="50" t="n">
        <f aca="false">H204*INDEX('Model Inputs &amp; Assumptions'!$D$40:$D$42,MATCH('Model Inputs &amp; Assumptions'!$L$28,'Model Inputs &amp; Assumptions'!$A$40:$A$42,0))*INDEX('Model Inputs &amp; Assumptions'!$H$40:$H$42,MATCH('Model Inputs &amp; Assumptions'!$L$28,'Model Inputs &amp; Assumptions'!$A$40:$A$42,0))</f>
        <v>337050.101732739</v>
      </c>
      <c r="K204" s="49" t="n">
        <f aca="false">H204*INDEX('Model Inputs &amp; Assumptions'!$G$40:$G$42,MATCH('Model Inputs &amp; Assumptions'!$L$28,'Model Inputs &amp; Assumptions'!$A$40:$A$42,0))*INDEX('Model Inputs &amp; Assumptions'!$H$40:$H$42,MATCH('Model Inputs &amp; Assumptions'!$L$28,'Model Inputs &amp; Assumptions'!$A$40:$A$42,0))</f>
        <v>7583.62728898662</v>
      </c>
      <c r="L204" s="51" t="n">
        <f aca="false">IFERROR(K204/I204,0)</f>
        <v>2.53249841677229</v>
      </c>
      <c r="M204" s="49" t="n">
        <f aca="false">IFERROR(I204/H204,0)</f>
        <v>75.5183097977022</v>
      </c>
      <c r="N204" s="52" t="str">
        <f aca="false">'Model Inputs &amp; Assumptions'!$L$28</f>
        <v>PRD-EUAI</v>
      </c>
      <c r="P204" s="53" t="n">
        <v>0.098395</v>
      </c>
      <c r="Q204" s="53" t="n">
        <v>-1.258686</v>
      </c>
      <c r="R204" s="53" t="n">
        <v>2.444788</v>
      </c>
      <c r="S204" s="53" t="n">
        <v>0.599559</v>
      </c>
    </row>
    <row r="205" customFormat="false" ht="15" hidden="false" customHeight="false" outlineLevel="0" collapsed="false">
      <c r="A205" s="43" t="n">
        <v>202</v>
      </c>
      <c r="B205" s="44" t="str">
        <f aca="false">'Model Inputs &amp; Assumptions'!$B$28</f>
        <v>finanzen.net — Q1 Awareness Burst</v>
      </c>
      <c r="C205" s="45" t="n">
        <f aca="false">ROUND(MAX(0,'Model Inputs &amp; Assumptions'!$S$28*EXP('Model Inputs &amp; Assumptions'!$T$28*P205-'Model Inputs &amp; Assumptions'!$T$28^2/2)),0)</f>
        <v>362815</v>
      </c>
      <c r="D205" s="46" t="n">
        <f aca="false">MIN(1,'Model Inputs &amp; Assumptions'!$U$28*EXP('Model Inputs &amp; Assumptions'!$V$28*Q205-'Model Inputs &amp; Assumptions'!$V$28^2/2))</f>
        <v>0</v>
      </c>
      <c r="E205" s="45" t="n">
        <f aca="false">ROUND(C205*D205,0)</f>
        <v>0</v>
      </c>
      <c r="F205" s="47" t="n">
        <f aca="false">MIN(1,'Model Inputs &amp; Assumptions'!$W$28*EXP('Model Inputs &amp; Assumptions'!$X$28*R205-'Model Inputs &amp; Assumptions'!$X$28^2/2))</f>
        <v>0.00149590929810932</v>
      </c>
      <c r="G205" s="45" t="n">
        <f aca="false">ROUND(C205*F205,0)</f>
        <v>543</v>
      </c>
      <c r="H205" s="48" t="n">
        <f aca="false">MAX(0,(C205*'Model Inputs &amp; Assumptions'!$N$28+E205*'Model Inputs &amp; Assumptions'!$O$28+G205*'Model Inputs &amp; Assumptions'!$P$28)*EXP('Model Inputs &amp; Assumptions'!$Q$28*S205-'Model Inputs &amp; Assumptions'!$Q$28^2/2))</f>
        <v>17.0712510345768</v>
      </c>
      <c r="I205" s="49" t="n">
        <f aca="false">IF('Model Inputs &amp; Assumptions'!$H$28="Fixed",'Model Inputs &amp; Assumptions'!$I$28*'Model Inputs &amp; Assumptions'!$K$28,IF('Model Inputs &amp; Assumptions'!$H$28="CPM",'Model Inputs &amp; Assumptions'!$I$28*'Model Inputs &amp; Assumptions'!$K$28*C205/1000,IF('Model Inputs &amp; Assumptions'!$H$28="CPC",'Model Inputs &amp; Assumptions'!$I$28*'Model Inputs &amp; Assumptions'!$K$28*G205,0)))</f>
        <v>2358.2975</v>
      </c>
      <c r="J205" s="50" t="n">
        <f aca="false">H205*INDEX('Model Inputs &amp; Assumptions'!$D$40:$D$42,MATCH('Model Inputs &amp; Assumptions'!$L$28,'Model Inputs &amp; Assumptions'!$A$40:$A$42,0))*INDEX('Model Inputs &amp; Assumptions'!$H$40:$H$42,MATCH('Model Inputs &amp; Assumptions'!$L$28,'Model Inputs &amp; Assumptions'!$A$40:$A$42,0))</f>
        <v>145105.633793903</v>
      </c>
      <c r="K205" s="49" t="n">
        <f aca="false">H205*INDEX('Model Inputs &amp; Assumptions'!$G$40:$G$42,MATCH('Model Inputs &amp; Assumptions'!$L$28,'Model Inputs &amp; Assumptions'!$A$40:$A$42,0))*INDEX('Model Inputs &amp; Assumptions'!$H$40:$H$42,MATCH('Model Inputs &amp; Assumptions'!$L$28,'Model Inputs &amp; Assumptions'!$A$40:$A$42,0))</f>
        <v>3264.87676036281</v>
      </c>
      <c r="L205" s="51" t="n">
        <f aca="false">IFERROR(K205/I205,0)</f>
        <v>1.38442107510304</v>
      </c>
      <c r="M205" s="49" t="n">
        <f aca="false">IFERROR(I205/H205,0)</f>
        <v>138.144386443818</v>
      </c>
      <c r="N205" s="52" t="str">
        <f aca="false">'Model Inputs &amp; Assumptions'!$L$28</f>
        <v>PRD-EUAI</v>
      </c>
      <c r="P205" s="53" t="n">
        <v>-1.228515</v>
      </c>
      <c r="Q205" s="53" t="n">
        <v>-0.170404</v>
      </c>
      <c r="R205" s="53" t="n">
        <v>0.097587</v>
      </c>
      <c r="S205" s="53" t="n">
        <v>0.306148</v>
      </c>
    </row>
    <row r="206" customFormat="false" ht="15" hidden="false" customHeight="false" outlineLevel="0" collapsed="false">
      <c r="A206" s="43" t="n">
        <v>203</v>
      </c>
      <c r="B206" s="44" t="str">
        <f aca="false">'Model Inputs &amp; Assumptions'!$B$28</f>
        <v>finanzen.net — Q1 Awareness Burst</v>
      </c>
      <c r="C206" s="45" t="n">
        <f aca="false">ROUND(MAX(0,'Model Inputs &amp; Assumptions'!$S$28*EXP('Model Inputs &amp; Assumptions'!$T$28*P206-'Model Inputs &amp; Assumptions'!$T$28^2/2)),0)</f>
        <v>479541</v>
      </c>
      <c r="D206" s="46" t="n">
        <f aca="false">MIN(1,'Model Inputs &amp; Assumptions'!$U$28*EXP('Model Inputs &amp; Assumptions'!$V$28*Q206-'Model Inputs &amp; Assumptions'!$V$28^2/2))</f>
        <v>0</v>
      </c>
      <c r="E206" s="45" t="n">
        <f aca="false">ROUND(C206*D206,0)</f>
        <v>0</v>
      </c>
      <c r="F206" s="47" t="n">
        <f aca="false">MIN(1,'Model Inputs &amp; Assumptions'!$W$28*EXP('Model Inputs &amp; Assumptions'!$X$28*R206-'Model Inputs &amp; Assumptions'!$X$28^2/2))</f>
        <v>0.00168185812349353</v>
      </c>
      <c r="G206" s="45" t="n">
        <f aca="false">ROUND(C206*F206,0)</f>
        <v>807</v>
      </c>
      <c r="H206" s="48" t="n">
        <f aca="false">MAX(0,(C206*'Model Inputs &amp; Assumptions'!$N$28+E206*'Model Inputs &amp; Assumptions'!$O$28+G206*'Model Inputs &amp; Assumptions'!$P$28)*EXP('Model Inputs &amp; Assumptions'!$Q$28*S206-'Model Inputs &amp; Assumptions'!$Q$28^2/2))</f>
        <v>27.2425576746419</v>
      </c>
      <c r="I206" s="49" t="n">
        <f aca="false">IF('Model Inputs &amp; Assumptions'!$H$28="Fixed",'Model Inputs &amp; Assumptions'!$I$28*'Model Inputs &amp; Assumptions'!$K$28,IF('Model Inputs &amp; Assumptions'!$H$28="CPM",'Model Inputs &amp; Assumptions'!$I$28*'Model Inputs &amp; Assumptions'!$K$28*C206/1000,IF('Model Inputs &amp; Assumptions'!$H$28="CPC",'Model Inputs &amp; Assumptions'!$I$28*'Model Inputs &amp; Assumptions'!$K$28*G206,0)))</f>
        <v>3117.0165</v>
      </c>
      <c r="J206" s="50" t="n">
        <f aca="false">H206*INDEX('Model Inputs &amp; Assumptions'!$D$40:$D$42,MATCH('Model Inputs &amp; Assumptions'!$L$28,'Model Inputs &amp; Assumptions'!$A$40:$A$42,0))*INDEX('Model Inputs &amp; Assumptions'!$H$40:$H$42,MATCH('Model Inputs &amp; Assumptions'!$L$28,'Model Inputs &amp; Assumptions'!$A$40:$A$42,0))</f>
        <v>231561.740234456</v>
      </c>
      <c r="K206" s="49" t="n">
        <f aca="false">H206*INDEX('Model Inputs &amp; Assumptions'!$G$40:$G$42,MATCH('Model Inputs &amp; Assumptions'!$L$28,'Model Inputs &amp; Assumptions'!$A$40:$A$42,0))*INDEX('Model Inputs &amp; Assumptions'!$H$40:$H$42,MATCH('Model Inputs &amp; Assumptions'!$L$28,'Model Inputs &amp; Assumptions'!$A$40:$A$42,0))</f>
        <v>5210.13915527527</v>
      </c>
      <c r="L206" s="51" t="n">
        <f aca="false">IFERROR(K206/I206,0)</f>
        <v>1.67151478193178</v>
      </c>
      <c r="M206" s="49" t="n">
        <f aca="false">IFERROR(I206/H206,0)</f>
        <v>114.41717540719</v>
      </c>
      <c r="N206" s="52" t="str">
        <f aca="false">'Model Inputs &amp; Assumptions'!$L$28</f>
        <v>PRD-EUAI</v>
      </c>
      <c r="P206" s="53" t="n">
        <v>0.321133</v>
      </c>
      <c r="Q206" s="53" t="n">
        <v>0.161921</v>
      </c>
      <c r="R206" s="53" t="n">
        <v>0.630155</v>
      </c>
      <c r="S206" s="53" t="n">
        <v>0.543382</v>
      </c>
    </row>
    <row r="207" customFormat="false" ht="15" hidden="false" customHeight="false" outlineLevel="0" collapsed="false">
      <c r="A207" s="43" t="n">
        <v>204</v>
      </c>
      <c r="B207" s="44" t="str">
        <f aca="false">'Model Inputs &amp; Assumptions'!$B$28</f>
        <v>finanzen.net — Q1 Awareness Burst</v>
      </c>
      <c r="C207" s="45" t="n">
        <f aca="false">ROUND(MAX(0,'Model Inputs &amp; Assumptions'!$S$28*EXP('Model Inputs &amp; Assumptions'!$T$28*P207-'Model Inputs &amp; Assumptions'!$T$28^2/2)),0)</f>
        <v>336361</v>
      </c>
      <c r="D207" s="46" t="n">
        <f aca="false">MIN(1,'Model Inputs &amp; Assumptions'!$U$28*EXP('Model Inputs &amp; Assumptions'!$V$28*Q207-'Model Inputs &amp; Assumptions'!$V$28^2/2))</f>
        <v>0</v>
      </c>
      <c r="E207" s="45" t="n">
        <f aca="false">ROUND(C207*D207,0)</f>
        <v>0</v>
      </c>
      <c r="F207" s="47" t="n">
        <f aca="false">MIN(1,'Model Inputs &amp; Assumptions'!$W$28*EXP('Model Inputs &amp; Assumptions'!$X$28*R207-'Model Inputs &amp; Assumptions'!$X$28^2/2))</f>
        <v>0.00102261092597121</v>
      </c>
      <c r="G207" s="45" t="n">
        <f aca="false">ROUND(C207*F207,0)</f>
        <v>344</v>
      </c>
      <c r="H207" s="48" t="n">
        <f aca="false">MAX(0,(C207*'Model Inputs &amp; Assumptions'!$N$28+E207*'Model Inputs &amp; Assumptions'!$O$28+G207*'Model Inputs &amp; Assumptions'!$P$28)*EXP('Model Inputs &amp; Assumptions'!$Q$28*S207-'Model Inputs &amp; Assumptions'!$Q$28^2/2))</f>
        <v>6.1331633448761</v>
      </c>
      <c r="I207" s="49" t="n">
        <f aca="false">IF('Model Inputs &amp; Assumptions'!$H$28="Fixed",'Model Inputs &amp; Assumptions'!$I$28*'Model Inputs &amp; Assumptions'!$K$28,IF('Model Inputs &amp; Assumptions'!$H$28="CPM",'Model Inputs &amp; Assumptions'!$I$28*'Model Inputs &amp; Assumptions'!$K$28*C207/1000,IF('Model Inputs &amp; Assumptions'!$H$28="CPC",'Model Inputs &amp; Assumptions'!$I$28*'Model Inputs &amp; Assumptions'!$K$28*G207,0)))</f>
        <v>2186.3465</v>
      </c>
      <c r="J207" s="50" t="n">
        <f aca="false">H207*INDEX('Model Inputs &amp; Assumptions'!$D$40:$D$42,MATCH('Model Inputs &amp; Assumptions'!$L$28,'Model Inputs &amp; Assumptions'!$A$40:$A$42,0))*INDEX('Model Inputs &amp; Assumptions'!$H$40:$H$42,MATCH('Model Inputs &amp; Assumptions'!$L$28,'Model Inputs &amp; Assumptions'!$A$40:$A$42,0))</f>
        <v>52131.8884314468</v>
      </c>
      <c r="K207" s="49" t="n">
        <f aca="false">H207*INDEX('Model Inputs &amp; Assumptions'!$G$40:$G$42,MATCH('Model Inputs &amp; Assumptions'!$L$28,'Model Inputs &amp; Assumptions'!$A$40:$A$42,0))*INDEX('Model Inputs &amp; Assumptions'!$H$40:$H$42,MATCH('Model Inputs &amp; Assumptions'!$L$28,'Model Inputs &amp; Assumptions'!$A$40:$A$42,0))</f>
        <v>1172.96748970755</v>
      </c>
      <c r="L207" s="51" t="n">
        <f aca="false">IFERROR(K207/I207,0)</f>
        <v>0.536496611908293</v>
      </c>
      <c r="M207" s="49" t="n">
        <f aca="false">IFERROR(I207/H207,0)</f>
        <v>356.479418052116</v>
      </c>
      <c r="N207" s="52" t="str">
        <f aca="false">'Model Inputs &amp; Assumptions'!$L$28</f>
        <v>PRD-EUAI</v>
      </c>
      <c r="P207" s="53" t="n">
        <v>-1.649114</v>
      </c>
      <c r="Q207" s="53" t="n">
        <v>0.500176</v>
      </c>
      <c r="R207" s="53" t="n">
        <v>-1.631391</v>
      </c>
      <c r="S207" s="53" t="n">
        <v>-1.584577</v>
      </c>
    </row>
    <row r="208" customFormat="false" ht="15" hidden="false" customHeight="false" outlineLevel="0" collapsed="false">
      <c r="A208" s="43" t="n">
        <v>205</v>
      </c>
      <c r="B208" s="44" t="str">
        <f aca="false">'Model Inputs &amp; Assumptions'!$B$28</f>
        <v>finanzen.net — Q1 Awareness Burst</v>
      </c>
      <c r="C208" s="45" t="n">
        <f aca="false">ROUND(MAX(0,'Model Inputs &amp; Assumptions'!$S$28*EXP('Model Inputs &amp; Assumptions'!$T$28*P208-'Model Inputs &amp; Assumptions'!$T$28^2/2)),0)</f>
        <v>492953</v>
      </c>
      <c r="D208" s="46" t="n">
        <f aca="false">MIN(1,'Model Inputs &amp; Assumptions'!$U$28*EXP('Model Inputs &amp; Assumptions'!$V$28*Q208-'Model Inputs &amp; Assumptions'!$V$28^2/2))</f>
        <v>0</v>
      </c>
      <c r="E208" s="45" t="n">
        <f aca="false">ROUND(C208*D208,0)</f>
        <v>0</v>
      </c>
      <c r="F208" s="47" t="n">
        <f aca="false">MIN(1,'Model Inputs &amp; Assumptions'!$W$28*EXP('Model Inputs &amp; Assumptions'!$X$28*R208-'Model Inputs &amp; Assumptions'!$X$28^2/2))</f>
        <v>0.00118443106824145</v>
      </c>
      <c r="G208" s="45" t="n">
        <f aca="false">ROUND(C208*F208,0)</f>
        <v>584</v>
      </c>
      <c r="H208" s="48" t="n">
        <f aca="false">MAX(0,(C208*'Model Inputs &amp; Assumptions'!$N$28+E208*'Model Inputs &amp; Assumptions'!$O$28+G208*'Model Inputs &amp; Assumptions'!$P$28)*EXP('Model Inputs &amp; Assumptions'!$Q$28*S208-'Model Inputs &amp; Assumptions'!$Q$28^2/2))</f>
        <v>22.975770072103</v>
      </c>
      <c r="I208" s="49" t="n">
        <f aca="false">IF('Model Inputs &amp; Assumptions'!$H$28="Fixed",'Model Inputs &amp; Assumptions'!$I$28*'Model Inputs &amp; Assumptions'!$K$28,IF('Model Inputs &amp; Assumptions'!$H$28="CPM",'Model Inputs &amp; Assumptions'!$I$28*'Model Inputs &amp; Assumptions'!$K$28*C208/1000,IF('Model Inputs &amp; Assumptions'!$H$28="CPC",'Model Inputs &amp; Assumptions'!$I$28*'Model Inputs &amp; Assumptions'!$K$28*G208,0)))</f>
        <v>3204.1945</v>
      </c>
      <c r="J208" s="50" t="n">
        <f aca="false">H208*INDEX('Model Inputs &amp; Assumptions'!$D$40:$D$42,MATCH('Model Inputs &amp; Assumptions'!$L$28,'Model Inputs &amp; Assumptions'!$A$40:$A$42,0))*INDEX('Model Inputs &amp; Assumptions'!$H$40:$H$42,MATCH('Model Inputs &amp; Assumptions'!$L$28,'Model Inputs &amp; Assumptions'!$A$40:$A$42,0))</f>
        <v>195294.045612876</v>
      </c>
      <c r="K208" s="49" t="n">
        <f aca="false">H208*INDEX('Model Inputs &amp; Assumptions'!$G$40:$G$42,MATCH('Model Inputs &amp; Assumptions'!$L$28,'Model Inputs &amp; Assumptions'!$A$40:$A$42,0))*INDEX('Model Inputs &amp; Assumptions'!$H$40:$H$42,MATCH('Model Inputs &amp; Assumptions'!$L$28,'Model Inputs &amp; Assumptions'!$A$40:$A$42,0))</f>
        <v>4394.1160262897</v>
      </c>
      <c r="L208" s="51" t="n">
        <f aca="false">IFERROR(K208/I208,0)</f>
        <v>1.37136370039013</v>
      </c>
      <c r="M208" s="49" t="n">
        <f aca="false">IFERROR(I208/H208,0)</f>
        <v>139.459721695705</v>
      </c>
      <c r="N208" s="52" t="str">
        <f aca="false">'Model Inputs &amp; Assumptions'!$L$28</f>
        <v>PRD-EUAI</v>
      </c>
      <c r="P208" s="53" t="n">
        <v>0.474371</v>
      </c>
      <c r="Q208" s="53" t="n">
        <v>-0.433339</v>
      </c>
      <c r="R208" s="53" t="n">
        <v>-0.963648</v>
      </c>
      <c r="S208" s="53" t="n">
        <v>1.053657</v>
      </c>
    </row>
    <row r="209" customFormat="false" ht="15" hidden="false" customHeight="false" outlineLevel="0" collapsed="false">
      <c r="A209" s="43" t="n">
        <v>206</v>
      </c>
      <c r="B209" s="44" t="str">
        <f aca="false">'Model Inputs &amp; Assumptions'!$B$28</f>
        <v>finanzen.net — Q1 Awareness Burst</v>
      </c>
      <c r="C209" s="45" t="n">
        <f aca="false">ROUND(MAX(0,'Model Inputs &amp; Assumptions'!$S$28*EXP('Model Inputs &amp; Assumptions'!$T$28*P209-'Model Inputs &amp; Assumptions'!$T$28^2/2)),0)</f>
        <v>532560</v>
      </c>
      <c r="D209" s="46" t="n">
        <f aca="false">MIN(1,'Model Inputs &amp; Assumptions'!$U$28*EXP('Model Inputs &amp; Assumptions'!$V$28*Q209-'Model Inputs &amp; Assumptions'!$V$28^2/2))</f>
        <v>0</v>
      </c>
      <c r="E209" s="45" t="n">
        <f aca="false">ROUND(C209*D209,0)</f>
        <v>0</v>
      </c>
      <c r="F209" s="47" t="n">
        <f aca="false">MIN(1,'Model Inputs &amp; Assumptions'!$W$28*EXP('Model Inputs &amp; Assumptions'!$X$28*R209-'Model Inputs &amp; Assumptions'!$X$28^2/2))</f>
        <v>0.0015733226302644</v>
      </c>
      <c r="G209" s="45" t="n">
        <f aca="false">ROUND(C209*F209,0)</f>
        <v>838</v>
      </c>
      <c r="H209" s="48" t="n">
        <f aca="false">MAX(0,(C209*'Model Inputs &amp; Assumptions'!$N$28+E209*'Model Inputs &amp; Assumptions'!$O$28+G209*'Model Inputs &amp; Assumptions'!$P$28)*EXP('Model Inputs &amp; Assumptions'!$Q$28*S209-'Model Inputs &amp; Assumptions'!$Q$28^2/2))</f>
        <v>17.3966455501686</v>
      </c>
      <c r="I209" s="49" t="n">
        <f aca="false">IF('Model Inputs &amp; Assumptions'!$H$28="Fixed",'Model Inputs &amp; Assumptions'!$I$28*'Model Inputs &amp; Assumptions'!$K$28,IF('Model Inputs &amp; Assumptions'!$H$28="CPM",'Model Inputs &amp; Assumptions'!$I$28*'Model Inputs &amp; Assumptions'!$K$28*C209/1000,IF('Model Inputs &amp; Assumptions'!$H$28="CPC",'Model Inputs &amp; Assumptions'!$I$28*'Model Inputs &amp; Assumptions'!$K$28*G209,0)))</f>
        <v>3461.64</v>
      </c>
      <c r="J209" s="50" t="n">
        <f aca="false">H209*INDEX('Model Inputs &amp; Assumptions'!$D$40:$D$42,MATCH('Model Inputs &amp; Assumptions'!$L$28,'Model Inputs &amp; Assumptions'!$A$40:$A$42,0))*INDEX('Model Inputs &amp; Assumptions'!$H$40:$H$42,MATCH('Model Inputs &amp; Assumptions'!$L$28,'Model Inputs &amp; Assumptions'!$A$40:$A$42,0))</f>
        <v>147871.487176433</v>
      </c>
      <c r="K209" s="49" t="n">
        <f aca="false">H209*INDEX('Model Inputs &amp; Assumptions'!$G$40:$G$42,MATCH('Model Inputs &amp; Assumptions'!$L$28,'Model Inputs &amp; Assumptions'!$A$40:$A$42,0))*INDEX('Model Inputs &amp; Assumptions'!$H$40:$H$42,MATCH('Model Inputs &amp; Assumptions'!$L$28,'Model Inputs &amp; Assumptions'!$A$40:$A$42,0))</f>
        <v>3327.10846146975</v>
      </c>
      <c r="L209" s="51" t="n">
        <f aca="false">IFERROR(K209/I209,0)</f>
        <v>0.961136473310267</v>
      </c>
      <c r="M209" s="49" t="n">
        <f aca="false">IFERROR(I209/H209,0)</f>
        <v>198.983188455342</v>
      </c>
      <c r="N209" s="52" t="str">
        <f aca="false">'Model Inputs &amp; Assumptions'!$L$28</f>
        <v>PRD-EUAI</v>
      </c>
      <c r="P209" s="53" t="n">
        <v>0.903715</v>
      </c>
      <c r="Q209" s="53" t="n">
        <v>-0.906956</v>
      </c>
      <c r="R209" s="53" t="n">
        <v>0.32693</v>
      </c>
      <c r="S209" s="53" t="n">
        <v>-1.077276</v>
      </c>
    </row>
    <row r="210" customFormat="false" ht="15" hidden="false" customHeight="false" outlineLevel="0" collapsed="false">
      <c r="A210" s="43" t="n">
        <v>207</v>
      </c>
      <c r="B210" s="44" t="str">
        <f aca="false">'Model Inputs &amp; Assumptions'!$B$28</f>
        <v>finanzen.net — Q1 Awareness Burst</v>
      </c>
      <c r="C210" s="45" t="n">
        <f aca="false">ROUND(MAX(0,'Model Inputs &amp; Assumptions'!$S$28*EXP('Model Inputs &amp; Assumptions'!$T$28*P210-'Model Inputs &amp; Assumptions'!$T$28^2/2)),0)</f>
        <v>536655</v>
      </c>
      <c r="D210" s="46" t="n">
        <f aca="false">MIN(1,'Model Inputs &amp; Assumptions'!$U$28*EXP('Model Inputs &amp; Assumptions'!$V$28*Q210-'Model Inputs &amp; Assumptions'!$V$28^2/2))</f>
        <v>0</v>
      </c>
      <c r="E210" s="45" t="n">
        <f aca="false">ROUND(C210*D210,0)</f>
        <v>0</v>
      </c>
      <c r="F210" s="47" t="n">
        <f aca="false">MIN(1,'Model Inputs &amp; Assumptions'!$W$28*EXP('Model Inputs &amp; Assumptions'!$X$28*R210-'Model Inputs &amp; Assumptions'!$X$28^2/2))</f>
        <v>0.00135422412398616</v>
      </c>
      <c r="G210" s="45" t="n">
        <f aca="false">ROUND(C210*F210,0)</f>
        <v>727</v>
      </c>
      <c r="H210" s="48" t="n">
        <f aca="false">MAX(0,(C210*'Model Inputs &amp; Assumptions'!$N$28+E210*'Model Inputs &amp; Assumptions'!$O$28+G210*'Model Inputs &amp; Assumptions'!$P$28)*EXP('Model Inputs &amp; Assumptions'!$Q$28*S210-'Model Inputs &amp; Assumptions'!$Q$28^2/2))</f>
        <v>13.2595583890981</v>
      </c>
      <c r="I210" s="49" t="n">
        <f aca="false">IF('Model Inputs &amp; Assumptions'!$H$28="Fixed",'Model Inputs &amp; Assumptions'!$I$28*'Model Inputs &amp; Assumptions'!$K$28,IF('Model Inputs &amp; Assumptions'!$H$28="CPM",'Model Inputs &amp; Assumptions'!$I$28*'Model Inputs &amp; Assumptions'!$K$28*C210/1000,IF('Model Inputs &amp; Assumptions'!$H$28="CPC",'Model Inputs &amp; Assumptions'!$I$28*'Model Inputs &amp; Assumptions'!$K$28*G210,0)))</f>
        <v>3488.2575</v>
      </c>
      <c r="J210" s="50" t="n">
        <f aca="false">H210*INDEX('Model Inputs &amp; Assumptions'!$D$40:$D$42,MATCH('Model Inputs &amp; Assumptions'!$L$28,'Model Inputs &amp; Assumptions'!$A$40:$A$42,0))*INDEX('Model Inputs &amp; Assumptions'!$H$40:$H$42,MATCH('Model Inputs &amp; Assumptions'!$L$28,'Model Inputs &amp; Assumptions'!$A$40:$A$42,0))</f>
        <v>112706.246307333</v>
      </c>
      <c r="K210" s="49" t="n">
        <f aca="false">H210*INDEX('Model Inputs &amp; Assumptions'!$G$40:$G$42,MATCH('Model Inputs &amp; Assumptions'!$L$28,'Model Inputs &amp; Assumptions'!$A$40:$A$42,0))*INDEX('Model Inputs &amp; Assumptions'!$H$40:$H$42,MATCH('Model Inputs &amp; Assumptions'!$L$28,'Model Inputs &amp; Assumptions'!$A$40:$A$42,0))</f>
        <v>2535.890541915</v>
      </c>
      <c r="L210" s="51" t="n">
        <f aca="false">IFERROR(K210/I210,0)</f>
        <v>0.726979169948034</v>
      </c>
      <c r="M210" s="49" t="n">
        <f aca="false">IFERROR(I210/H210,0)</f>
        <v>263.074937915582</v>
      </c>
      <c r="N210" s="52" t="str">
        <f aca="false">'Model Inputs &amp; Assumptions'!$L$28</f>
        <v>PRD-EUAI</v>
      </c>
      <c r="P210" s="53" t="n">
        <v>0.946269</v>
      </c>
      <c r="Q210" s="53" t="n">
        <v>-0.874458</v>
      </c>
      <c r="R210" s="53" t="n">
        <v>-0.354711</v>
      </c>
      <c r="S210" s="53" t="n">
        <v>-1.508833</v>
      </c>
    </row>
    <row r="211" customFormat="false" ht="15" hidden="false" customHeight="false" outlineLevel="0" collapsed="false">
      <c r="A211" s="43" t="n">
        <v>208</v>
      </c>
      <c r="B211" s="44" t="str">
        <f aca="false">'Model Inputs &amp; Assumptions'!$B$28</f>
        <v>finanzen.net — Q1 Awareness Burst</v>
      </c>
      <c r="C211" s="45" t="n">
        <f aca="false">ROUND(MAX(0,'Model Inputs &amp; Assumptions'!$S$28*EXP('Model Inputs &amp; Assumptions'!$T$28*P211-'Model Inputs &amp; Assumptions'!$T$28^2/2)),0)</f>
        <v>543845</v>
      </c>
      <c r="D211" s="46" t="n">
        <f aca="false">MIN(1,'Model Inputs &amp; Assumptions'!$U$28*EXP('Model Inputs &amp; Assumptions'!$V$28*Q211-'Model Inputs &amp; Assumptions'!$V$28^2/2))</f>
        <v>0</v>
      </c>
      <c r="E211" s="45" t="n">
        <f aca="false">ROUND(C211*D211,0)</f>
        <v>0</v>
      </c>
      <c r="F211" s="47" t="n">
        <f aca="false">MIN(1,'Model Inputs &amp; Assumptions'!$W$28*EXP('Model Inputs &amp; Assumptions'!$X$28*R211-'Model Inputs &amp; Assumptions'!$X$28^2/2))</f>
        <v>0.0012532823981177</v>
      </c>
      <c r="G211" s="45" t="n">
        <f aca="false">ROUND(C211*F211,0)</f>
        <v>682</v>
      </c>
      <c r="H211" s="48" t="n">
        <f aca="false">MAX(0,(C211*'Model Inputs &amp; Assumptions'!$N$28+E211*'Model Inputs &amp; Assumptions'!$O$28+G211*'Model Inputs &amp; Assumptions'!$P$28)*EXP('Model Inputs &amp; Assumptions'!$Q$28*S211-'Model Inputs &amp; Assumptions'!$Q$28^2/2))</f>
        <v>13.5324561660637</v>
      </c>
      <c r="I211" s="49" t="n">
        <f aca="false">IF('Model Inputs &amp; Assumptions'!$H$28="Fixed",'Model Inputs &amp; Assumptions'!$I$28*'Model Inputs &amp; Assumptions'!$K$28,IF('Model Inputs &amp; Assumptions'!$H$28="CPM",'Model Inputs &amp; Assumptions'!$I$28*'Model Inputs &amp; Assumptions'!$K$28*C211/1000,IF('Model Inputs &amp; Assumptions'!$H$28="CPC",'Model Inputs &amp; Assumptions'!$I$28*'Model Inputs &amp; Assumptions'!$K$28*G211,0)))</f>
        <v>3534.9925</v>
      </c>
      <c r="J211" s="50" t="n">
        <f aca="false">H211*INDEX('Model Inputs &amp; Assumptions'!$D$40:$D$42,MATCH('Model Inputs &amp; Assumptions'!$L$28,'Model Inputs &amp; Assumptions'!$A$40:$A$42,0))*INDEX('Model Inputs &amp; Assumptions'!$H$40:$H$42,MATCH('Model Inputs &amp; Assumptions'!$L$28,'Model Inputs &amp; Assumptions'!$A$40:$A$42,0))</f>
        <v>115025.877411541</v>
      </c>
      <c r="K211" s="49" t="n">
        <f aca="false">H211*INDEX('Model Inputs &amp; Assumptions'!$G$40:$G$42,MATCH('Model Inputs &amp; Assumptions'!$L$28,'Model Inputs &amp; Assumptions'!$A$40:$A$42,0))*INDEX('Model Inputs &amp; Assumptions'!$H$40:$H$42,MATCH('Model Inputs &amp; Assumptions'!$L$28,'Model Inputs &amp; Assumptions'!$A$40:$A$42,0))</f>
        <v>2588.08224175967</v>
      </c>
      <c r="L211" s="51" t="n">
        <f aca="false">IFERROR(K211/I211,0)</f>
        <v>0.73213231478134</v>
      </c>
      <c r="M211" s="49" t="n">
        <f aca="false">IFERROR(I211/H211,0)</f>
        <v>261.223273633427</v>
      </c>
      <c r="N211" s="52" t="str">
        <f aca="false">'Model Inputs &amp; Assumptions'!$L$28</f>
        <v>PRD-EUAI</v>
      </c>
      <c r="P211" s="53" t="n">
        <v>1.02021</v>
      </c>
      <c r="Q211" s="53" t="n">
        <v>-0.10189</v>
      </c>
      <c r="R211" s="53" t="n">
        <v>-0.706814</v>
      </c>
      <c r="S211" s="53" t="n">
        <v>-1.227936</v>
      </c>
    </row>
    <row r="212" customFormat="false" ht="15" hidden="false" customHeight="false" outlineLevel="0" collapsed="false">
      <c r="A212" s="43" t="n">
        <v>209</v>
      </c>
      <c r="B212" s="44" t="str">
        <f aca="false">'Model Inputs &amp; Assumptions'!$B$28</f>
        <v>finanzen.net — Q1 Awareness Burst</v>
      </c>
      <c r="C212" s="45" t="n">
        <f aca="false">ROUND(MAX(0,'Model Inputs &amp; Assumptions'!$S$28*EXP('Model Inputs &amp; Assumptions'!$T$28*P212-'Model Inputs &amp; Assumptions'!$T$28^2/2)),0)</f>
        <v>396179</v>
      </c>
      <c r="D212" s="46" t="n">
        <f aca="false">MIN(1,'Model Inputs &amp; Assumptions'!$U$28*EXP('Model Inputs &amp; Assumptions'!$V$28*Q212-'Model Inputs &amp; Assumptions'!$V$28^2/2))</f>
        <v>0</v>
      </c>
      <c r="E212" s="45" t="n">
        <f aca="false">ROUND(C212*D212,0)</f>
        <v>0</v>
      </c>
      <c r="F212" s="47" t="n">
        <f aca="false">MIN(1,'Model Inputs &amp; Assumptions'!$W$28*EXP('Model Inputs &amp; Assumptions'!$X$28*R212-'Model Inputs &amp; Assumptions'!$X$28^2/2))</f>
        <v>0.00141251791636209</v>
      </c>
      <c r="G212" s="45" t="n">
        <f aca="false">ROUND(C212*F212,0)</f>
        <v>560</v>
      </c>
      <c r="H212" s="48" t="n">
        <f aca="false">MAX(0,(C212*'Model Inputs &amp; Assumptions'!$N$28+E212*'Model Inputs &amp; Assumptions'!$O$28+G212*'Model Inputs &amp; Assumptions'!$P$28)*EXP('Model Inputs &amp; Assumptions'!$Q$28*S212-'Model Inputs &amp; Assumptions'!$Q$28^2/2))</f>
        <v>19.053362332827</v>
      </c>
      <c r="I212" s="49" t="n">
        <f aca="false">IF('Model Inputs &amp; Assumptions'!$H$28="Fixed",'Model Inputs &amp; Assumptions'!$I$28*'Model Inputs &amp; Assumptions'!$K$28,IF('Model Inputs &amp; Assumptions'!$H$28="CPM",'Model Inputs &amp; Assumptions'!$I$28*'Model Inputs &amp; Assumptions'!$K$28*C212/1000,IF('Model Inputs &amp; Assumptions'!$H$28="CPC",'Model Inputs &amp; Assumptions'!$I$28*'Model Inputs &amp; Assumptions'!$K$28*G212,0)))</f>
        <v>2575.1635</v>
      </c>
      <c r="J212" s="50" t="n">
        <f aca="false">H212*INDEX('Model Inputs &amp; Assumptions'!$D$40:$D$42,MATCH('Model Inputs &amp; Assumptions'!$L$28,'Model Inputs &amp; Assumptions'!$A$40:$A$42,0))*INDEX('Model Inputs &amp; Assumptions'!$H$40:$H$42,MATCH('Model Inputs &amp; Assumptions'!$L$28,'Model Inputs &amp; Assumptions'!$A$40:$A$42,0))</f>
        <v>161953.57982903</v>
      </c>
      <c r="K212" s="49" t="n">
        <f aca="false">H212*INDEX('Model Inputs &amp; Assumptions'!$G$40:$G$42,MATCH('Model Inputs &amp; Assumptions'!$L$28,'Model Inputs &amp; Assumptions'!$A$40:$A$42,0))*INDEX('Model Inputs &amp; Assumptions'!$H$40:$H$42,MATCH('Model Inputs &amp; Assumptions'!$L$28,'Model Inputs &amp; Assumptions'!$A$40:$A$42,0))</f>
        <v>3643.95554615317</v>
      </c>
      <c r="L212" s="51" t="n">
        <f aca="false">IFERROR(K212/I212,0)</f>
        <v>1.41503851936126</v>
      </c>
      <c r="M212" s="49" t="n">
        <f aca="false">IFERROR(I212/H212,0)</f>
        <v>135.155331380186</v>
      </c>
      <c r="N212" s="52" t="str">
        <f aca="false">'Model Inputs &amp; Assumptions'!$L$28</f>
        <v>PRD-EUAI</v>
      </c>
      <c r="P212" s="53" t="n">
        <v>-0.739777</v>
      </c>
      <c r="Q212" s="53" t="n">
        <v>1.299852</v>
      </c>
      <c r="R212" s="53" t="n">
        <v>-0.163142</v>
      </c>
      <c r="S212" s="53" t="n">
        <v>0.569549</v>
      </c>
    </row>
    <row r="213" customFormat="false" ht="15" hidden="false" customHeight="false" outlineLevel="0" collapsed="false">
      <c r="A213" s="43" t="n">
        <v>210</v>
      </c>
      <c r="B213" s="44" t="str">
        <f aca="false">'Model Inputs &amp; Assumptions'!$B$28</f>
        <v>finanzen.net — Q1 Awareness Burst</v>
      </c>
      <c r="C213" s="45" t="n">
        <f aca="false">ROUND(MAX(0,'Model Inputs &amp; Assumptions'!$S$28*EXP('Model Inputs &amp; Assumptions'!$T$28*P213-'Model Inputs &amp; Assumptions'!$T$28^2/2)),0)</f>
        <v>518348</v>
      </c>
      <c r="D213" s="46" t="n">
        <f aca="false">MIN(1,'Model Inputs &amp; Assumptions'!$U$28*EXP('Model Inputs &amp; Assumptions'!$V$28*Q213-'Model Inputs &amp; Assumptions'!$V$28^2/2))</f>
        <v>0</v>
      </c>
      <c r="E213" s="45" t="n">
        <f aca="false">ROUND(C213*D213,0)</f>
        <v>0</v>
      </c>
      <c r="F213" s="47" t="n">
        <f aca="false">MIN(1,'Model Inputs &amp; Assumptions'!$W$28*EXP('Model Inputs &amp; Assumptions'!$X$28*R213-'Model Inputs &amp; Assumptions'!$X$28^2/2))</f>
        <v>0.00102829127476257</v>
      </c>
      <c r="G213" s="45" t="n">
        <f aca="false">ROUND(C213*F213,0)</f>
        <v>533</v>
      </c>
      <c r="H213" s="48" t="n">
        <f aca="false">MAX(0,(C213*'Model Inputs &amp; Assumptions'!$N$28+E213*'Model Inputs &amp; Assumptions'!$O$28+G213*'Model Inputs &amp; Assumptions'!$P$28)*EXP('Model Inputs &amp; Assumptions'!$Q$28*S213-'Model Inputs &amp; Assumptions'!$Q$28^2/2))</f>
        <v>8.29892531954007</v>
      </c>
      <c r="I213" s="49" t="n">
        <f aca="false">IF('Model Inputs &amp; Assumptions'!$H$28="Fixed",'Model Inputs &amp; Assumptions'!$I$28*'Model Inputs &amp; Assumptions'!$K$28,IF('Model Inputs &amp; Assumptions'!$H$28="CPM",'Model Inputs &amp; Assumptions'!$I$28*'Model Inputs &amp; Assumptions'!$K$28*C213/1000,IF('Model Inputs &amp; Assumptions'!$H$28="CPC",'Model Inputs &amp; Assumptions'!$I$28*'Model Inputs &amp; Assumptions'!$K$28*G213,0)))</f>
        <v>3369.262</v>
      </c>
      <c r="J213" s="50" t="n">
        <f aca="false">H213*INDEX('Model Inputs &amp; Assumptions'!$D$40:$D$42,MATCH('Model Inputs &amp; Assumptions'!$L$28,'Model Inputs &amp; Assumptions'!$A$40:$A$42,0))*INDEX('Model Inputs &amp; Assumptions'!$H$40:$H$42,MATCH('Model Inputs &amp; Assumptions'!$L$28,'Model Inputs &amp; Assumptions'!$A$40:$A$42,0))</f>
        <v>70540.8652160906</v>
      </c>
      <c r="K213" s="49" t="n">
        <f aca="false">H213*INDEX('Model Inputs &amp; Assumptions'!$G$40:$G$42,MATCH('Model Inputs &amp; Assumptions'!$L$28,'Model Inputs &amp; Assumptions'!$A$40:$A$42,0))*INDEX('Model Inputs &amp; Assumptions'!$H$40:$H$42,MATCH('Model Inputs &amp; Assumptions'!$L$28,'Model Inputs &amp; Assumptions'!$A$40:$A$42,0))</f>
        <v>1587.16946736204</v>
      </c>
      <c r="L213" s="51" t="n">
        <f aca="false">IFERROR(K213/I213,0)</f>
        <v>0.471073329222256</v>
      </c>
      <c r="M213" s="49" t="n">
        <f aca="false">IFERROR(I213/H213,0)</f>
        <v>405.987747843323</v>
      </c>
      <c r="N213" s="52" t="str">
        <f aca="false">'Model Inputs &amp; Assumptions'!$L$28</f>
        <v>PRD-EUAI</v>
      </c>
      <c r="P213" s="53" t="n">
        <v>0.75345</v>
      </c>
      <c r="Q213" s="53" t="n">
        <v>-0.185212</v>
      </c>
      <c r="R213" s="53" t="n">
        <v>-1.606212</v>
      </c>
      <c r="S213" s="53" t="n">
        <v>-2.036125</v>
      </c>
    </row>
    <row r="214" customFormat="false" ht="15" hidden="false" customHeight="false" outlineLevel="0" collapsed="false">
      <c r="A214" s="43" t="n">
        <v>211</v>
      </c>
      <c r="B214" s="44" t="str">
        <f aca="false">'Model Inputs &amp; Assumptions'!$B$28</f>
        <v>finanzen.net — Q1 Awareness Burst</v>
      </c>
      <c r="C214" s="45" t="n">
        <f aca="false">ROUND(MAX(0,'Model Inputs &amp; Assumptions'!$S$28*EXP('Model Inputs &amp; Assumptions'!$T$28*P214-'Model Inputs &amp; Assumptions'!$T$28^2/2)),0)</f>
        <v>349168</v>
      </c>
      <c r="D214" s="46" t="n">
        <f aca="false">MIN(1,'Model Inputs &amp; Assumptions'!$U$28*EXP('Model Inputs &amp; Assumptions'!$V$28*Q214-'Model Inputs &amp; Assumptions'!$V$28^2/2))</f>
        <v>0</v>
      </c>
      <c r="E214" s="45" t="n">
        <f aca="false">ROUND(C214*D214,0)</f>
        <v>0</v>
      </c>
      <c r="F214" s="47" t="n">
        <f aca="false">MIN(1,'Model Inputs &amp; Assumptions'!$W$28*EXP('Model Inputs &amp; Assumptions'!$X$28*R214-'Model Inputs &amp; Assumptions'!$X$28^2/2))</f>
        <v>0.00176231814124478</v>
      </c>
      <c r="G214" s="45" t="n">
        <f aca="false">ROUND(C214*F214,0)</f>
        <v>615</v>
      </c>
      <c r="H214" s="48" t="n">
        <f aca="false">MAX(0,(C214*'Model Inputs &amp; Assumptions'!$N$28+E214*'Model Inputs &amp; Assumptions'!$O$28+G214*'Model Inputs &amp; Assumptions'!$P$28)*EXP('Model Inputs &amp; Assumptions'!$Q$28*S214-'Model Inputs &amp; Assumptions'!$Q$28^2/2))</f>
        <v>17.4167636483311</v>
      </c>
      <c r="I214" s="49" t="n">
        <f aca="false">IF('Model Inputs &amp; Assumptions'!$H$28="Fixed",'Model Inputs &amp; Assumptions'!$I$28*'Model Inputs &amp; Assumptions'!$K$28,IF('Model Inputs &amp; Assumptions'!$H$28="CPM",'Model Inputs &amp; Assumptions'!$I$28*'Model Inputs &amp; Assumptions'!$K$28*C214/1000,IF('Model Inputs &amp; Assumptions'!$H$28="CPC",'Model Inputs &amp; Assumptions'!$I$28*'Model Inputs &amp; Assumptions'!$K$28*G214,0)))</f>
        <v>2269.592</v>
      </c>
      <c r="J214" s="50" t="n">
        <f aca="false">H214*INDEX('Model Inputs &amp; Assumptions'!$D$40:$D$42,MATCH('Model Inputs &amp; Assumptions'!$L$28,'Model Inputs &amp; Assumptions'!$A$40:$A$42,0))*INDEX('Model Inputs &amp; Assumptions'!$H$40:$H$42,MATCH('Model Inputs &amp; Assumptions'!$L$28,'Model Inputs &amp; Assumptions'!$A$40:$A$42,0))</f>
        <v>148042.491010814</v>
      </c>
      <c r="K214" s="49" t="n">
        <f aca="false">H214*INDEX('Model Inputs &amp; Assumptions'!$G$40:$G$42,MATCH('Model Inputs &amp; Assumptions'!$L$28,'Model Inputs &amp; Assumptions'!$A$40:$A$42,0))*INDEX('Model Inputs &amp; Assumptions'!$H$40:$H$42,MATCH('Model Inputs &amp; Assumptions'!$L$28,'Model Inputs &amp; Assumptions'!$A$40:$A$42,0))</f>
        <v>3330.95604774332</v>
      </c>
      <c r="L214" s="51" t="n">
        <f aca="false">IFERROR(K214/I214,0)</f>
        <v>1.46764530706106</v>
      </c>
      <c r="M214" s="49" t="n">
        <f aca="false">IFERROR(I214/H214,0)</f>
        <v>130.310776779559</v>
      </c>
      <c r="N214" s="52" t="str">
        <f aca="false">'Model Inputs &amp; Assumptions'!$L$28</f>
        <v>PRD-EUAI</v>
      </c>
      <c r="P214" s="53" t="n">
        <v>-1.441521</v>
      </c>
      <c r="Q214" s="53" t="n">
        <v>-0.302624</v>
      </c>
      <c r="R214" s="53" t="n">
        <v>0.842568</v>
      </c>
      <c r="S214" s="53" t="n">
        <v>-0.042104</v>
      </c>
    </row>
    <row r="215" customFormat="false" ht="15" hidden="false" customHeight="false" outlineLevel="0" collapsed="false">
      <c r="A215" s="43" t="n">
        <v>212</v>
      </c>
      <c r="B215" s="44" t="str">
        <f aca="false">'Model Inputs &amp; Assumptions'!$B$28</f>
        <v>finanzen.net — Q1 Awareness Burst</v>
      </c>
      <c r="C215" s="45" t="n">
        <f aca="false">ROUND(MAX(0,'Model Inputs &amp; Assumptions'!$S$28*EXP('Model Inputs &amp; Assumptions'!$T$28*P215-'Model Inputs &amp; Assumptions'!$T$28^2/2)),0)</f>
        <v>459295</v>
      </c>
      <c r="D215" s="46" t="n">
        <f aca="false">MIN(1,'Model Inputs &amp; Assumptions'!$U$28*EXP('Model Inputs &amp; Assumptions'!$V$28*Q215-'Model Inputs &amp; Assumptions'!$V$28^2/2))</f>
        <v>0</v>
      </c>
      <c r="E215" s="45" t="n">
        <f aca="false">ROUND(C215*D215,0)</f>
        <v>0</v>
      </c>
      <c r="F215" s="47" t="n">
        <f aca="false">MIN(1,'Model Inputs &amp; Assumptions'!$W$28*EXP('Model Inputs &amp; Assumptions'!$X$28*R215-'Model Inputs &amp; Assumptions'!$X$28^2/2))</f>
        <v>0.00143864394940794</v>
      </c>
      <c r="G215" s="45" t="n">
        <f aca="false">ROUND(C215*F215,0)</f>
        <v>661</v>
      </c>
      <c r="H215" s="48" t="n">
        <f aca="false">MAX(0,(C215*'Model Inputs &amp; Assumptions'!$N$28+E215*'Model Inputs &amp; Assumptions'!$O$28+G215*'Model Inputs &amp; Assumptions'!$P$28)*EXP('Model Inputs &amp; Assumptions'!$Q$28*S215-'Model Inputs &amp; Assumptions'!$Q$28^2/2))</f>
        <v>20.7589866094331</v>
      </c>
      <c r="I215" s="49" t="n">
        <f aca="false">IF('Model Inputs &amp; Assumptions'!$H$28="Fixed",'Model Inputs &amp; Assumptions'!$I$28*'Model Inputs &amp; Assumptions'!$K$28,IF('Model Inputs &amp; Assumptions'!$H$28="CPM",'Model Inputs &amp; Assumptions'!$I$28*'Model Inputs &amp; Assumptions'!$K$28*C215/1000,IF('Model Inputs &amp; Assumptions'!$H$28="CPC",'Model Inputs &amp; Assumptions'!$I$28*'Model Inputs &amp; Assumptions'!$K$28*G215,0)))</f>
        <v>2985.4175</v>
      </c>
      <c r="J215" s="50" t="n">
        <f aca="false">H215*INDEX('Model Inputs &amp; Assumptions'!$D$40:$D$42,MATCH('Model Inputs &amp; Assumptions'!$L$28,'Model Inputs &amp; Assumptions'!$A$40:$A$42,0))*INDEX('Model Inputs &amp; Assumptions'!$H$40:$H$42,MATCH('Model Inputs &amp; Assumptions'!$L$28,'Model Inputs &amp; Assumptions'!$A$40:$A$42,0))</f>
        <v>176451.386180181</v>
      </c>
      <c r="K215" s="49" t="n">
        <f aca="false">H215*INDEX('Model Inputs &amp; Assumptions'!$G$40:$G$42,MATCH('Model Inputs &amp; Assumptions'!$L$28,'Model Inputs &amp; Assumptions'!$A$40:$A$42,0))*INDEX('Model Inputs &amp; Assumptions'!$H$40:$H$42,MATCH('Model Inputs &amp; Assumptions'!$L$28,'Model Inputs &amp; Assumptions'!$A$40:$A$42,0))</f>
        <v>3970.15618905408</v>
      </c>
      <c r="L215" s="51" t="n">
        <f aca="false">IFERROR(K215/I215,0)</f>
        <v>1.32984957348648</v>
      </c>
      <c r="M215" s="49" t="n">
        <f aca="false">IFERROR(I215/H215,0)</f>
        <v>143.813258140616</v>
      </c>
      <c r="N215" s="52" t="str">
        <f aca="false">'Model Inputs &amp; Assumptions'!$L$28</f>
        <v>PRD-EUAI</v>
      </c>
      <c r="P215" s="53" t="n">
        <v>0.081484</v>
      </c>
      <c r="Q215" s="53" t="n">
        <v>0.172656</v>
      </c>
      <c r="R215" s="53" t="n">
        <v>-0.079837</v>
      </c>
      <c r="S215" s="53" t="n">
        <v>0.302611</v>
      </c>
    </row>
    <row r="216" customFormat="false" ht="15" hidden="false" customHeight="false" outlineLevel="0" collapsed="false">
      <c r="A216" s="43" t="n">
        <v>213</v>
      </c>
      <c r="B216" s="44" t="str">
        <f aca="false">'Model Inputs &amp; Assumptions'!$B$28</f>
        <v>finanzen.net — Q1 Awareness Burst</v>
      </c>
      <c r="C216" s="45" t="n">
        <f aca="false">ROUND(MAX(0,'Model Inputs &amp; Assumptions'!$S$28*EXP('Model Inputs &amp; Assumptions'!$T$28*P216-'Model Inputs &amp; Assumptions'!$T$28^2/2)),0)</f>
        <v>504485</v>
      </c>
      <c r="D216" s="46" t="n">
        <f aca="false">MIN(1,'Model Inputs &amp; Assumptions'!$U$28*EXP('Model Inputs &amp; Assumptions'!$V$28*Q216-'Model Inputs &amp; Assumptions'!$V$28^2/2))</f>
        <v>0</v>
      </c>
      <c r="E216" s="45" t="n">
        <f aca="false">ROUND(C216*D216,0)</f>
        <v>0</v>
      </c>
      <c r="F216" s="47" t="n">
        <f aca="false">MIN(1,'Model Inputs &amp; Assumptions'!$W$28*EXP('Model Inputs &amp; Assumptions'!$X$28*R216-'Model Inputs &amp; Assumptions'!$X$28^2/2))</f>
        <v>0.00178264149119964</v>
      </c>
      <c r="G216" s="45" t="n">
        <f aca="false">ROUND(C216*F216,0)</f>
        <v>899</v>
      </c>
      <c r="H216" s="48" t="n">
        <f aca="false">MAX(0,(C216*'Model Inputs &amp; Assumptions'!$N$28+E216*'Model Inputs &amp; Assumptions'!$O$28+G216*'Model Inputs &amp; Assumptions'!$P$28)*EXP('Model Inputs &amp; Assumptions'!$Q$28*S216-'Model Inputs &amp; Assumptions'!$Q$28^2/2))</f>
        <v>19.8120024254971</v>
      </c>
      <c r="I216" s="49" t="n">
        <f aca="false">IF('Model Inputs &amp; Assumptions'!$H$28="Fixed",'Model Inputs &amp; Assumptions'!$I$28*'Model Inputs &amp; Assumptions'!$K$28,IF('Model Inputs &amp; Assumptions'!$H$28="CPM",'Model Inputs &amp; Assumptions'!$I$28*'Model Inputs &amp; Assumptions'!$K$28*C216/1000,IF('Model Inputs &amp; Assumptions'!$H$28="CPC",'Model Inputs &amp; Assumptions'!$I$28*'Model Inputs &amp; Assumptions'!$K$28*G216,0)))</f>
        <v>3279.1525</v>
      </c>
      <c r="J216" s="50" t="n">
        <f aca="false">H216*INDEX('Model Inputs &amp; Assumptions'!$D$40:$D$42,MATCH('Model Inputs &amp; Assumptions'!$L$28,'Model Inputs &amp; Assumptions'!$A$40:$A$42,0))*INDEX('Model Inputs &amp; Assumptions'!$H$40:$H$42,MATCH('Model Inputs &amp; Assumptions'!$L$28,'Model Inputs &amp; Assumptions'!$A$40:$A$42,0))</f>
        <v>168402.020616725</v>
      </c>
      <c r="K216" s="49" t="n">
        <f aca="false">H216*INDEX('Model Inputs &amp; Assumptions'!$G$40:$G$42,MATCH('Model Inputs &amp; Assumptions'!$L$28,'Model Inputs &amp; Assumptions'!$A$40:$A$42,0))*INDEX('Model Inputs &amp; Assumptions'!$H$40:$H$42,MATCH('Model Inputs &amp; Assumptions'!$L$28,'Model Inputs &amp; Assumptions'!$A$40:$A$42,0))</f>
        <v>3789.04546387632</v>
      </c>
      <c r="L216" s="51" t="n">
        <f aca="false">IFERROR(K216/I216,0)</f>
        <v>1.15549534944664</v>
      </c>
      <c r="M216" s="49" t="n">
        <f aca="false">IFERROR(I216/H216,0)</f>
        <v>165.513431180479</v>
      </c>
      <c r="N216" s="52" t="str">
        <f aca="false">'Model Inputs &amp; Assumptions'!$L$28</f>
        <v>PRD-EUAI</v>
      </c>
      <c r="P216" s="53" t="n">
        <v>0.602841</v>
      </c>
      <c r="Q216" s="53" t="n">
        <v>0.5922</v>
      </c>
      <c r="R216" s="53" t="n">
        <v>0.894687</v>
      </c>
      <c r="S216" s="53" t="n">
        <v>-0.878124</v>
      </c>
    </row>
    <row r="217" customFormat="false" ht="15" hidden="false" customHeight="false" outlineLevel="0" collapsed="false">
      <c r="A217" s="43" t="n">
        <v>214</v>
      </c>
      <c r="B217" s="44" t="str">
        <f aca="false">'Model Inputs &amp; Assumptions'!$B$28</f>
        <v>finanzen.net — Q1 Awareness Burst</v>
      </c>
      <c r="C217" s="45" t="n">
        <f aca="false">ROUND(MAX(0,'Model Inputs &amp; Assumptions'!$S$28*EXP('Model Inputs &amp; Assumptions'!$T$28*P217-'Model Inputs &amp; Assumptions'!$T$28^2/2)),0)</f>
        <v>392296</v>
      </c>
      <c r="D217" s="46" t="n">
        <f aca="false">MIN(1,'Model Inputs &amp; Assumptions'!$U$28*EXP('Model Inputs &amp; Assumptions'!$V$28*Q217-'Model Inputs &amp; Assumptions'!$V$28^2/2))</f>
        <v>0</v>
      </c>
      <c r="E217" s="45" t="n">
        <f aca="false">ROUND(C217*D217,0)</f>
        <v>0</v>
      </c>
      <c r="F217" s="47" t="n">
        <f aca="false">MIN(1,'Model Inputs &amp; Assumptions'!$W$28*EXP('Model Inputs &amp; Assumptions'!$X$28*R217-'Model Inputs &amp; Assumptions'!$X$28^2/2))</f>
        <v>0.00122273313554581</v>
      </c>
      <c r="G217" s="45" t="n">
        <f aca="false">ROUND(C217*F217,0)</f>
        <v>480</v>
      </c>
      <c r="H217" s="48" t="n">
        <f aca="false">MAX(0,(C217*'Model Inputs &amp; Assumptions'!$N$28+E217*'Model Inputs &amp; Assumptions'!$O$28+G217*'Model Inputs &amp; Assumptions'!$P$28)*EXP('Model Inputs &amp; Assumptions'!$Q$28*S217-'Model Inputs &amp; Assumptions'!$Q$28^2/2))</f>
        <v>13.9784786362592</v>
      </c>
      <c r="I217" s="49" t="n">
        <f aca="false">IF('Model Inputs &amp; Assumptions'!$H$28="Fixed",'Model Inputs &amp; Assumptions'!$I$28*'Model Inputs &amp; Assumptions'!$K$28,IF('Model Inputs &amp; Assumptions'!$H$28="CPM",'Model Inputs &amp; Assumptions'!$I$28*'Model Inputs &amp; Assumptions'!$K$28*C217/1000,IF('Model Inputs &amp; Assumptions'!$H$28="CPC",'Model Inputs &amp; Assumptions'!$I$28*'Model Inputs &amp; Assumptions'!$K$28*G217,0)))</f>
        <v>2549.924</v>
      </c>
      <c r="J217" s="50" t="n">
        <f aca="false">H217*INDEX('Model Inputs &amp; Assumptions'!$D$40:$D$42,MATCH('Model Inputs &amp; Assumptions'!$L$28,'Model Inputs &amp; Assumptions'!$A$40:$A$42,0))*INDEX('Model Inputs &amp; Assumptions'!$H$40:$H$42,MATCH('Model Inputs &amp; Assumptions'!$L$28,'Model Inputs &amp; Assumptions'!$A$40:$A$42,0))</f>
        <v>118817.068408203</v>
      </c>
      <c r="K217" s="49" t="n">
        <f aca="false">H217*INDEX('Model Inputs &amp; Assumptions'!$G$40:$G$42,MATCH('Model Inputs &amp; Assumptions'!$L$28,'Model Inputs &amp; Assumptions'!$A$40:$A$42,0))*INDEX('Model Inputs &amp; Assumptions'!$H$40:$H$42,MATCH('Model Inputs &amp; Assumptions'!$L$28,'Model Inputs &amp; Assumptions'!$A$40:$A$42,0))</f>
        <v>2673.38403918458</v>
      </c>
      <c r="L217" s="51" t="n">
        <f aca="false">IFERROR(K217/I217,0)</f>
        <v>1.04841714466179</v>
      </c>
      <c r="M217" s="49" t="n">
        <f aca="false">IFERROR(I217/H217,0)</f>
        <v>182.417848633804</v>
      </c>
      <c r="N217" s="52" t="str">
        <f aca="false">'Model Inputs &amp; Assumptions'!$L$28</f>
        <v>PRD-EUAI</v>
      </c>
      <c r="P217" s="53" t="n">
        <v>-0.794502</v>
      </c>
      <c r="Q217" s="53" t="n">
        <v>0.124882</v>
      </c>
      <c r="R217" s="53" t="n">
        <v>-0.818984</v>
      </c>
      <c r="S217" s="53" t="n">
        <v>0.050969</v>
      </c>
    </row>
    <row r="218" customFormat="false" ht="15" hidden="false" customHeight="false" outlineLevel="0" collapsed="false">
      <c r="A218" s="43" t="n">
        <v>215</v>
      </c>
      <c r="B218" s="44" t="str">
        <f aca="false">'Model Inputs &amp; Assumptions'!$B$28</f>
        <v>finanzen.net — Q1 Awareness Burst</v>
      </c>
      <c r="C218" s="45" t="n">
        <f aca="false">ROUND(MAX(0,'Model Inputs &amp; Assumptions'!$S$28*EXP('Model Inputs &amp; Assumptions'!$T$28*P218-'Model Inputs &amp; Assumptions'!$T$28^2/2)),0)</f>
        <v>505586</v>
      </c>
      <c r="D218" s="46" t="n">
        <f aca="false">MIN(1,'Model Inputs &amp; Assumptions'!$U$28*EXP('Model Inputs &amp; Assumptions'!$V$28*Q218-'Model Inputs &amp; Assumptions'!$V$28^2/2))</f>
        <v>0</v>
      </c>
      <c r="E218" s="45" t="n">
        <f aca="false">ROUND(C218*D218,0)</f>
        <v>0</v>
      </c>
      <c r="F218" s="47" t="n">
        <f aca="false">MIN(1,'Model Inputs &amp; Assumptions'!$W$28*EXP('Model Inputs &amp; Assumptions'!$X$28*R218-'Model Inputs &amp; Assumptions'!$X$28^2/2))</f>
        <v>0.00225270421551829</v>
      </c>
      <c r="G218" s="45" t="n">
        <f aca="false">ROUND(C218*F218,0)</f>
        <v>1139</v>
      </c>
      <c r="H218" s="48" t="n">
        <f aca="false">MAX(0,(C218*'Model Inputs &amp; Assumptions'!$N$28+E218*'Model Inputs &amp; Assumptions'!$O$28+G218*'Model Inputs &amp; Assumptions'!$P$28)*EXP('Model Inputs &amp; Assumptions'!$Q$28*S218-'Model Inputs &amp; Assumptions'!$Q$28^2/2))</f>
        <v>33.5999529317432</v>
      </c>
      <c r="I218" s="49" t="n">
        <f aca="false">IF('Model Inputs &amp; Assumptions'!$H$28="Fixed",'Model Inputs &amp; Assumptions'!$I$28*'Model Inputs &amp; Assumptions'!$K$28,IF('Model Inputs &amp; Assumptions'!$H$28="CPM",'Model Inputs &amp; Assumptions'!$I$28*'Model Inputs &amp; Assumptions'!$K$28*C218/1000,IF('Model Inputs &amp; Assumptions'!$H$28="CPC",'Model Inputs &amp; Assumptions'!$I$28*'Model Inputs &amp; Assumptions'!$K$28*G218,0)))</f>
        <v>3286.309</v>
      </c>
      <c r="J218" s="50" t="n">
        <f aca="false">H218*INDEX('Model Inputs &amp; Assumptions'!$D$40:$D$42,MATCH('Model Inputs &amp; Assumptions'!$L$28,'Model Inputs &amp; Assumptions'!$A$40:$A$42,0))*INDEX('Model Inputs &amp; Assumptions'!$H$40:$H$42,MATCH('Model Inputs &amp; Assumptions'!$L$28,'Model Inputs &amp; Assumptions'!$A$40:$A$42,0))</f>
        <v>285599.599919817</v>
      </c>
      <c r="K218" s="49" t="n">
        <f aca="false">H218*INDEX('Model Inputs &amp; Assumptions'!$G$40:$G$42,MATCH('Model Inputs &amp; Assumptions'!$L$28,'Model Inputs &amp; Assumptions'!$A$40:$A$42,0))*INDEX('Model Inputs &amp; Assumptions'!$H$40:$H$42,MATCH('Model Inputs &amp; Assumptions'!$L$28,'Model Inputs &amp; Assumptions'!$A$40:$A$42,0))</f>
        <v>6425.99099819588</v>
      </c>
      <c r="L218" s="51" t="n">
        <f aca="false">IFERROR(K218/I218,0)</f>
        <v>1.95538246652883</v>
      </c>
      <c r="M218" s="49" t="n">
        <f aca="false">IFERROR(I218/H218,0)</f>
        <v>97.8069524881773</v>
      </c>
      <c r="N218" s="52" t="str">
        <f aca="false">'Model Inputs &amp; Assumptions'!$L$28</f>
        <v>PRD-EUAI</v>
      </c>
      <c r="P218" s="53" t="n">
        <v>0.614958</v>
      </c>
      <c r="Q218" s="53" t="n">
        <v>-0.549421</v>
      </c>
      <c r="R218" s="53" t="n">
        <v>1.958483</v>
      </c>
      <c r="S218" s="53" t="n">
        <v>0.093922</v>
      </c>
    </row>
    <row r="219" customFormat="false" ht="15" hidden="false" customHeight="false" outlineLevel="0" collapsed="false">
      <c r="A219" s="43" t="n">
        <v>216</v>
      </c>
      <c r="B219" s="44" t="str">
        <f aca="false">'Model Inputs &amp; Assumptions'!$B$28</f>
        <v>finanzen.net — Q1 Awareness Burst</v>
      </c>
      <c r="C219" s="45" t="n">
        <f aca="false">ROUND(MAX(0,'Model Inputs &amp; Assumptions'!$S$28*EXP('Model Inputs &amp; Assumptions'!$T$28*P219-'Model Inputs &amp; Assumptions'!$T$28^2/2)),0)</f>
        <v>620961</v>
      </c>
      <c r="D219" s="46" t="n">
        <f aca="false">MIN(1,'Model Inputs &amp; Assumptions'!$U$28*EXP('Model Inputs &amp; Assumptions'!$V$28*Q219-'Model Inputs &amp; Assumptions'!$V$28^2/2))</f>
        <v>0</v>
      </c>
      <c r="E219" s="45" t="n">
        <f aca="false">ROUND(C219*D219,0)</f>
        <v>0</v>
      </c>
      <c r="F219" s="47" t="n">
        <f aca="false">MIN(1,'Model Inputs &amp; Assumptions'!$W$28*EXP('Model Inputs &amp; Assumptions'!$X$28*R219-'Model Inputs &amp; Assumptions'!$X$28^2/2))</f>
        <v>0.00228454862858325</v>
      </c>
      <c r="G219" s="45" t="n">
        <f aca="false">ROUND(C219*F219,0)</f>
        <v>1419</v>
      </c>
      <c r="H219" s="48" t="n">
        <f aca="false">MAX(0,(C219*'Model Inputs &amp; Assumptions'!$N$28+E219*'Model Inputs &amp; Assumptions'!$O$28+G219*'Model Inputs &amp; Assumptions'!$P$28)*EXP('Model Inputs &amp; Assumptions'!$Q$28*S219-'Model Inputs &amp; Assumptions'!$Q$28^2/2))</f>
        <v>47.2516408272791</v>
      </c>
      <c r="I219" s="49" t="n">
        <f aca="false">IF('Model Inputs &amp; Assumptions'!$H$28="Fixed",'Model Inputs &amp; Assumptions'!$I$28*'Model Inputs &amp; Assumptions'!$K$28,IF('Model Inputs &amp; Assumptions'!$H$28="CPM",'Model Inputs &amp; Assumptions'!$I$28*'Model Inputs &amp; Assumptions'!$K$28*C219/1000,IF('Model Inputs &amp; Assumptions'!$H$28="CPC",'Model Inputs &amp; Assumptions'!$I$28*'Model Inputs &amp; Assumptions'!$K$28*G219,0)))</f>
        <v>4036.2465</v>
      </c>
      <c r="J219" s="50" t="n">
        <f aca="false">H219*INDEX('Model Inputs &amp; Assumptions'!$D$40:$D$42,MATCH('Model Inputs &amp; Assumptions'!$L$28,'Model Inputs &amp; Assumptions'!$A$40:$A$42,0))*INDEX('Model Inputs &amp; Assumptions'!$H$40:$H$42,MATCH('Model Inputs &amp; Assumptions'!$L$28,'Model Inputs &amp; Assumptions'!$A$40:$A$42,0))</f>
        <v>401638.947031872</v>
      </c>
      <c r="K219" s="49" t="n">
        <f aca="false">H219*INDEX('Model Inputs &amp; Assumptions'!$G$40:$G$42,MATCH('Model Inputs &amp; Assumptions'!$L$28,'Model Inputs &amp; Assumptions'!$A$40:$A$42,0))*INDEX('Model Inputs &amp; Assumptions'!$H$40:$H$42,MATCH('Model Inputs &amp; Assumptions'!$L$28,'Model Inputs &amp; Assumptions'!$A$40:$A$42,0))</f>
        <v>9036.87630821712</v>
      </c>
      <c r="L219" s="51" t="n">
        <f aca="false">IFERROR(K219/I219,0)</f>
        <v>2.23893072641057</v>
      </c>
      <c r="M219" s="49" t="n">
        <f aca="false">IFERROR(I219/H219,0)</f>
        <v>85.4202400029634</v>
      </c>
      <c r="N219" s="52" t="str">
        <f aca="false">'Model Inputs &amp; Assumptions'!$L$28</f>
        <v>PRD-EUAI</v>
      </c>
      <c r="P219" s="53" t="n">
        <v>1.7569</v>
      </c>
      <c r="Q219" s="53" t="n">
        <v>-1.434823</v>
      </c>
      <c r="R219" s="53" t="n">
        <v>2.022288</v>
      </c>
      <c r="S219" s="53" t="n">
        <v>0.497792</v>
      </c>
    </row>
    <row r="220" customFormat="false" ht="15" hidden="false" customHeight="false" outlineLevel="0" collapsed="false">
      <c r="A220" s="43" t="n">
        <v>217</v>
      </c>
      <c r="B220" s="44" t="str">
        <f aca="false">'Model Inputs &amp; Assumptions'!$B$28</f>
        <v>finanzen.net — Q1 Awareness Burst</v>
      </c>
      <c r="C220" s="45" t="n">
        <f aca="false">ROUND(MAX(0,'Model Inputs &amp; Assumptions'!$S$28*EXP('Model Inputs &amp; Assumptions'!$T$28*P220-'Model Inputs &amp; Assumptions'!$T$28^2/2)),0)</f>
        <v>340041</v>
      </c>
      <c r="D220" s="46" t="n">
        <f aca="false">MIN(1,'Model Inputs &amp; Assumptions'!$U$28*EXP('Model Inputs &amp; Assumptions'!$V$28*Q220-'Model Inputs &amp; Assumptions'!$V$28^2/2))</f>
        <v>0</v>
      </c>
      <c r="E220" s="45" t="n">
        <f aca="false">ROUND(C220*D220,0)</f>
        <v>0</v>
      </c>
      <c r="F220" s="47" t="n">
        <f aca="false">MIN(1,'Model Inputs &amp; Assumptions'!$W$28*EXP('Model Inputs &amp; Assumptions'!$X$28*R220-'Model Inputs &amp; Assumptions'!$X$28^2/2))</f>
        <v>0.00180688438551077</v>
      </c>
      <c r="G220" s="45" t="n">
        <f aca="false">ROUND(C220*F220,0)</f>
        <v>614</v>
      </c>
      <c r="H220" s="48" t="n">
        <f aca="false">MAX(0,(C220*'Model Inputs &amp; Assumptions'!$N$28+E220*'Model Inputs &amp; Assumptions'!$O$28+G220*'Model Inputs &amp; Assumptions'!$P$28)*EXP('Model Inputs &amp; Assumptions'!$Q$28*S220-'Model Inputs &amp; Assumptions'!$Q$28^2/2))</f>
        <v>29.0729744857394</v>
      </c>
      <c r="I220" s="49" t="n">
        <f aca="false">IF('Model Inputs &amp; Assumptions'!$H$28="Fixed",'Model Inputs &amp; Assumptions'!$I$28*'Model Inputs &amp; Assumptions'!$K$28,IF('Model Inputs &amp; Assumptions'!$H$28="CPM",'Model Inputs &amp; Assumptions'!$I$28*'Model Inputs &amp; Assumptions'!$K$28*C220/1000,IF('Model Inputs &amp; Assumptions'!$H$28="CPC",'Model Inputs &amp; Assumptions'!$I$28*'Model Inputs &amp; Assumptions'!$K$28*G220,0)))</f>
        <v>2210.2665</v>
      </c>
      <c r="J220" s="50" t="n">
        <f aca="false">H220*INDEX('Model Inputs &amp; Assumptions'!$D$40:$D$42,MATCH('Model Inputs &amp; Assumptions'!$L$28,'Model Inputs &amp; Assumptions'!$A$40:$A$42,0))*INDEX('Model Inputs &amp; Assumptions'!$H$40:$H$42,MATCH('Model Inputs &amp; Assumptions'!$L$28,'Model Inputs &amp; Assumptions'!$A$40:$A$42,0))</f>
        <v>247120.283128785</v>
      </c>
      <c r="K220" s="49" t="n">
        <f aca="false">H220*INDEX('Model Inputs &amp; Assumptions'!$G$40:$G$42,MATCH('Model Inputs &amp; Assumptions'!$L$28,'Model Inputs &amp; Assumptions'!$A$40:$A$42,0))*INDEX('Model Inputs &amp; Assumptions'!$H$40:$H$42,MATCH('Model Inputs &amp; Assumptions'!$L$28,'Model Inputs &amp; Assumptions'!$A$40:$A$42,0))</f>
        <v>5560.20637039766</v>
      </c>
      <c r="L220" s="51" t="n">
        <f aca="false">IFERROR(K220/I220,0)</f>
        <v>2.51562712930665</v>
      </c>
      <c r="M220" s="49" t="n">
        <f aca="false">IFERROR(I220/H220,0)</f>
        <v>76.0247803706553</v>
      </c>
      <c r="N220" s="52" t="str">
        <f aca="false">'Model Inputs &amp; Assumptions'!$L$28</f>
        <v>PRD-EUAI</v>
      </c>
      <c r="P220" s="53" t="n">
        <v>-1.588661</v>
      </c>
      <c r="Q220" s="53" t="n">
        <v>0.056696</v>
      </c>
      <c r="R220" s="53" t="n">
        <v>0.956086</v>
      </c>
      <c r="S220" s="53" t="n">
        <v>1.67124</v>
      </c>
    </row>
    <row r="221" customFormat="false" ht="15" hidden="false" customHeight="false" outlineLevel="0" collapsed="false">
      <c r="A221" s="43" t="n">
        <v>218</v>
      </c>
      <c r="B221" s="44" t="str">
        <f aca="false">'Model Inputs &amp; Assumptions'!$B$28</f>
        <v>finanzen.net — Q1 Awareness Burst</v>
      </c>
      <c r="C221" s="45" t="n">
        <f aca="false">ROUND(MAX(0,'Model Inputs &amp; Assumptions'!$S$28*EXP('Model Inputs &amp; Assumptions'!$T$28*P221-'Model Inputs &amp; Assumptions'!$T$28^2/2)),0)</f>
        <v>594575</v>
      </c>
      <c r="D221" s="46" t="n">
        <f aca="false">MIN(1,'Model Inputs &amp; Assumptions'!$U$28*EXP('Model Inputs &amp; Assumptions'!$V$28*Q221-'Model Inputs &amp; Assumptions'!$V$28^2/2))</f>
        <v>0</v>
      </c>
      <c r="E221" s="45" t="n">
        <f aca="false">ROUND(C221*D221,0)</f>
        <v>0</v>
      </c>
      <c r="F221" s="47" t="n">
        <f aca="false">MIN(1,'Model Inputs &amp; Assumptions'!$W$28*EXP('Model Inputs &amp; Assumptions'!$X$28*R221-'Model Inputs &amp; Assumptions'!$X$28^2/2))</f>
        <v>0.00164896356497365</v>
      </c>
      <c r="G221" s="45" t="n">
        <f aca="false">ROUND(C221*F221,0)</f>
        <v>980</v>
      </c>
      <c r="H221" s="48" t="n">
        <f aca="false">MAX(0,(C221*'Model Inputs &amp; Assumptions'!$N$28+E221*'Model Inputs &amp; Assumptions'!$O$28+G221*'Model Inputs &amp; Assumptions'!$P$28)*EXP('Model Inputs &amp; Assumptions'!$Q$28*S221-'Model Inputs &amp; Assumptions'!$Q$28^2/2))</f>
        <v>52.9902362214663</v>
      </c>
      <c r="I221" s="49" t="n">
        <f aca="false">IF('Model Inputs &amp; Assumptions'!$H$28="Fixed",'Model Inputs &amp; Assumptions'!$I$28*'Model Inputs &amp; Assumptions'!$K$28,IF('Model Inputs &amp; Assumptions'!$H$28="CPM",'Model Inputs &amp; Assumptions'!$I$28*'Model Inputs &amp; Assumptions'!$K$28*C221/1000,IF('Model Inputs &amp; Assumptions'!$H$28="CPC",'Model Inputs &amp; Assumptions'!$I$28*'Model Inputs &amp; Assumptions'!$K$28*G221,0)))</f>
        <v>3864.7375</v>
      </c>
      <c r="J221" s="50" t="n">
        <f aca="false">H221*INDEX('Model Inputs &amp; Assumptions'!$D$40:$D$42,MATCH('Model Inputs &amp; Assumptions'!$L$28,'Model Inputs &amp; Assumptions'!$A$40:$A$42,0))*INDEX('Model Inputs &amp; Assumptions'!$H$40:$H$42,MATCH('Model Inputs &amp; Assumptions'!$L$28,'Model Inputs &amp; Assumptions'!$A$40:$A$42,0))</f>
        <v>450417.007882463</v>
      </c>
      <c r="K221" s="49" t="n">
        <f aca="false">H221*INDEX('Model Inputs &amp; Assumptions'!$G$40:$G$42,MATCH('Model Inputs &amp; Assumptions'!$L$28,'Model Inputs &amp; Assumptions'!$A$40:$A$42,0))*INDEX('Model Inputs &amp; Assumptions'!$H$40:$H$42,MATCH('Model Inputs &amp; Assumptions'!$L$28,'Model Inputs &amp; Assumptions'!$A$40:$A$42,0))</f>
        <v>10134.3826773554</v>
      </c>
      <c r="L221" s="51" t="n">
        <f aca="false">IFERROR(K221/I221,0)</f>
        <v>2.62226934619891</v>
      </c>
      <c r="M221" s="49" t="n">
        <f aca="false">IFERROR(I221/H221,0)</f>
        <v>72.9330113541634</v>
      </c>
      <c r="N221" s="52" t="str">
        <f aca="false">'Model Inputs &amp; Assumptions'!$L$28</f>
        <v>PRD-EUAI</v>
      </c>
      <c r="P221" s="53" t="n">
        <v>1.51567</v>
      </c>
      <c r="Q221" s="53" t="n">
        <v>-0.072084</v>
      </c>
      <c r="R221" s="53" t="n">
        <v>0.540372</v>
      </c>
      <c r="S221" s="53" t="n">
        <v>2.11371</v>
      </c>
    </row>
    <row r="222" customFormat="false" ht="15" hidden="false" customHeight="false" outlineLevel="0" collapsed="false">
      <c r="A222" s="43" t="n">
        <v>219</v>
      </c>
      <c r="B222" s="44" t="str">
        <f aca="false">'Model Inputs &amp; Assumptions'!$B$28</f>
        <v>finanzen.net — Q1 Awareness Burst</v>
      </c>
      <c r="C222" s="45" t="n">
        <f aca="false">ROUND(MAX(0,'Model Inputs &amp; Assumptions'!$S$28*EXP('Model Inputs &amp; Assumptions'!$T$28*P222-'Model Inputs &amp; Assumptions'!$T$28^2/2)),0)</f>
        <v>670798</v>
      </c>
      <c r="D222" s="46" t="n">
        <f aca="false">MIN(1,'Model Inputs &amp; Assumptions'!$U$28*EXP('Model Inputs &amp; Assumptions'!$V$28*Q222-'Model Inputs &amp; Assumptions'!$V$28^2/2))</f>
        <v>0</v>
      </c>
      <c r="E222" s="45" t="n">
        <f aca="false">ROUND(C222*D222,0)</f>
        <v>0</v>
      </c>
      <c r="F222" s="47" t="n">
        <f aca="false">MIN(1,'Model Inputs &amp; Assumptions'!$W$28*EXP('Model Inputs &amp; Assumptions'!$X$28*R222-'Model Inputs &amp; Assumptions'!$X$28^2/2))</f>
        <v>0.00125713628944258</v>
      </c>
      <c r="G222" s="45" t="n">
        <f aca="false">ROUND(C222*F222,0)</f>
        <v>843</v>
      </c>
      <c r="H222" s="48" t="n">
        <f aca="false">MAX(0,(C222*'Model Inputs &amp; Assumptions'!$N$28+E222*'Model Inputs &amp; Assumptions'!$O$28+G222*'Model Inputs &amp; Assumptions'!$P$28)*EXP('Model Inputs &amp; Assumptions'!$Q$28*S222-'Model Inputs &amp; Assumptions'!$Q$28^2/2))</f>
        <v>22.3788263742954</v>
      </c>
      <c r="I222" s="49" t="n">
        <f aca="false">IF('Model Inputs &amp; Assumptions'!$H$28="Fixed",'Model Inputs &amp; Assumptions'!$I$28*'Model Inputs &amp; Assumptions'!$K$28,IF('Model Inputs &amp; Assumptions'!$H$28="CPM",'Model Inputs &amp; Assumptions'!$I$28*'Model Inputs &amp; Assumptions'!$K$28*C222/1000,IF('Model Inputs &amp; Assumptions'!$H$28="CPC",'Model Inputs &amp; Assumptions'!$I$28*'Model Inputs &amp; Assumptions'!$K$28*G222,0)))</f>
        <v>4360.187</v>
      </c>
      <c r="J222" s="50" t="n">
        <f aca="false">H222*INDEX('Model Inputs &amp; Assumptions'!$D$40:$D$42,MATCH('Model Inputs &amp; Assumptions'!$L$28,'Model Inputs &amp; Assumptions'!$A$40:$A$42,0))*INDEX('Model Inputs &amp; Assumptions'!$H$40:$H$42,MATCH('Model Inputs &amp; Assumptions'!$L$28,'Model Inputs &amp; Assumptions'!$A$40:$A$42,0))</f>
        <v>190220.024181511</v>
      </c>
      <c r="K222" s="49" t="n">
        <f aca="false">H222*INDEX('Model Inputs &amp; Assumptions'!$G$40:$G$42,MATCH('Model Inputs &amp; Assumptions'!$L$28,'Model Inputs &amp; Assumptions'!$A$40:$A$42,0))*INDEX('Model Inputs &amp; Assumptions'!$H$40:$H$42,MATCH('Model Inputs &amp; Assumptions'!$L$28,'Model Inputs &amp; Assumptions'!$A$40:$A$42,0))</f>
        <v>4279.95054408399</v>
      </c>
      <c r="L222" s="51" t="n">
        <f aca="false">IFERROR(K222/I222,0)</f>
        <v>0.981597932401522</v>
      </c>
      <c r="M222" s="49" t="n">
        <f aca="false">IFERROR(I222/H222,0)</f>
        <v>194.835373717728</v>
      </c>
      <c r="N222" s="52" t="str">
        <f aca="false">'Model Inputs &amp; Assumptions'!$L$28</f>
        <v>PRD-EUAI</v>
      </c>
      <c r="P222" s="53" t="n">
        <v>2.185783</v>
      </c>
      <c r="Q222" s="53" t="n">
        <v>-0.023938</v>
      </c>
      <c r="R222" s="53" t="n">
        <v>-0.692858</v>
      </c>
      <c r="S222" s="53" t="n">
        <v>-0.257646</v>
      </c>
    </row>
    <row r="223" customFormat="false" ht="15" hidden="false" customHeight="false" outlineLevel="0" collapsed="false">
      <c r="A223" s="43" t="n">
        <v>220</v>
      </c>
      <c r="B223" s="44" t="str">
        <f aca="false">'Model Inputs &amp; Assumptions'!$B$28</f>
        <v>finanzen.net — Q1 Awareness Burst</v>
      </c>
      <c r="C223" s="45" t="n">
        <f aca="false">ROUND(MAX(0,'Model Inputs &amp; Assumptions'!$S$28*EXP('Model Inputs &amp; Assumptions'!$T$28*P223-'Model Inputs &amp; Assumptions'!$T$28^2/2)),0)</f>
        <v>474362</v>
      </c>
      <c r="D223" s="46" t="n">
        <f aca="false">MIN(1,'Model Inputs &amp; Assumptions'!$U$28*EXP('Model Inputs &amp; Assumptions'!$V$28*Q223-'Model Inputs &amp; Assumptions'!$V$28^2/2))</f>
        <v>0</v>
      </c>
      <c r="E223" s="45" t="n">
        <f aca="false">ROUND(C223*D223,0)</f>
        <v>0</v>
      </c>
      <c r="F223" s="47" t="n">
        <f aca="false">MIN(1,'Model Inputs &amp; Assumptions'!$W$28*EXP('Model Inputs &amp; Assumptions'!$X$28*R223-'Model Inputs &amp; Assumptions'!$X$28^2/2))</f>
        <v>0.00147069045545863</v>
      </c>
      <c r="G223" s="45" t="n">
        <f aca="false">ROUND(C223*F223,0)</f>
        <v>698</v>
      </c>
      <c r="H223" s="48" t="n">
        <f aca="false">MAX(0,(C223*'Model Inputs &amp; Assumptions'!$N$28+E223*'Model Inputs &amp; Assumptions'!$O$28+G223*'Model Inputs &amp; Assumptions'!$P$28)*EXP('Model Inputs &amp; Assumptions'!$Q$28*S223-'Model Inputs &amp; Assumptions'!$Q$28^2/2))</f>
        <v>15.8784017524531</v>
      </c>
      <c r="I223" s="49" t="n">
        <f aca="false">IF('Model Inputs &amp; Assumptions'!$H$28="Fixed",'Model Inputs &amp; Assumptions'!$I$28*'Model Inputs &amp; Assumptions'!$K$28,IF('Model Inputs &amp; Assumptions'!$H$28="CPM",'Model Inputs &amp; Assumptions'!$I$28*'Model Inputs &amp; Assumptions'!$K$28*C223/1000,IF('Model Inputs &amp; Assumptions'!$H$28="CPC",'Model Inputs &amp; Assumptions'!$I$28*'Model Inputs &amp; Assumptions'!$K$28*G223,0)))</f>
        <v>3083.353</v>
      </c>
      <c r="J223" s="50" t="n">
        <f aca="false">H223*INDEX('Model Inputs &amp; Assumptions'!$D$40:$D$42,MATCH('Model Inputs &amp; Assumptions'!$L$28,'Model Inputs &amp; Assumptions'!$A$40:$A$42,0))*INDEX('Model Inputs &amp; Assumptions'!$H$40:$H$42,MATCH('Model Inputs &amp; Assumptions'!$L$28,'Model Inputs &amp; Assumptions'!$A$40:$A$42,0))</f>
        <v>134966.414895851</v>
      </c>
      <c r="K223" s="49" t="n">
        <f aca="false">H223*INDEX('Model Inputs &amp; Assumptions'!$G$40:$G$42,MATCH('Model Inputs &amp; Assumptions'!$L$28,'Model Inputs &amp; Assumptions'!$A$40:$A$42,0))*INDEX('Model Inputs &amp; Assumptions'!$H$40:$H$42,MATCH('Model Inputs &amp; Assumptions'!$L$28,'Model Inputs &amp; Assumptions'!$A$40:$A$42,0))</f>
        <v>3036.74433515665</v>
      </c>
      <c r="L223" s="51" t="n">
        <f aca="false">IFERROR(K223/I223,0)</f>
        <v>0.984883772684039</v>
      </c>
      <c r="M223" s="49" t="n">
        <f aca="false">IFERROR(I223/H223,0)</f>
        <v>194.185349890372</v>
      </c>
      <c r="N223" s="52" t="str">
        <f aca="false">'Model Inputs &amp; Assumptions'!$L$28</f>
        <v>PRD-EUAI</v>
      </c>
      <c r="P223" s="53" t="n">
        <v>0.260806</v>
      </c>
      <c r="Q223" s="53" t="n">
        <v>-0.436205</v>
      </c>
      <c r="R223" s="53" t="n">
        <v>0.020304</v>
      </c>
      <c r="S223" s="53" t="n">
        <v>-0.772338</v>
      </c>
    </row>
    <row r="224" customFormat="false" ht="15" hidden="false" customHeight="false" outlineLevel="0" collapsed="false">
      <c r="A224" s="43" t="n">
        <v>221</v>
      </c>
      <c r="B224" s="44" t="str">
        <f aca="false">'Model Inputs &amp; Assumptions'!$B$28</f>
        <v>finanzen.net — Q1 Awareness Burst</v>
      </c>
      <c r="C224" s="45" t="n">
        <f aca="false">ROUND(MAX(0,'Model Inputs &amp; Assumptions'!$S$28*EXP('Model Inputs &amp; Assumptions'!$T$28*P224-'Model Inputs &amp; Assumptions'!$T$28^2/2)),0)</f>
        <v>330326</v>
      </c>
      <c r="D224" s="46" t="n">
        <f aca="false">MIN(1,'Model Inputs &amp; Assumptions'!$U$28*EXP('Model Inputs &amp; Assumptions'!$V$28*Q224-'Model Inputs &amp; Assumptions'!$V$28^2/2))</f>
        <v>0</v>
      </c>
      <c r="E224" s="45" t="n">
        <f aca="false">ROUND(C224*D224,0)</f>
        <v>0</v>
      </c>
      <c r="F224" s="47" t="n">
        <f aca="false">MIN(1,'Model Inputs &amp; Assumptions'!$W$28*EXP('Model Inputs &amp; Assumptions'!$X$28*R224-'Model Inputs &amp; Assumptions'!$X$28^2/2))</f>
        <v>0.00170155603667633</v>
      </c>
      <c r="G224" s="45" t="n">
        <f aca="false">ROUND(C224*F224,0)</f>
        <v>562</v>
      </c>
      <c r="H224" s="48" t="n">
        <f aca="false">MAX(0,(C224*'Model Inputs &amp; Assumptions'!$N$28+E224*'Model Inputs &amp; Assumptions'!$O$28+G224*'Model Inputs &amp; Assumptions'!$P$28)*EXP('Model Inputs &amp; Assumptions'!$Q$28*S224-'Model Inputs &amp; Assumptions'!$Q$28^2/2))</f>
        <v>30.4310647236973</v>
      </c>
      <c r="I224" s="49" t="n">
        <f aca="false">IF('Model Inputs &amp; Assumptions'!$H$28="Fixed",'Model Inputs &amp; Assumptions'!$I$28*'Model Inputs &amp; Assumptions'!$K$28,IF('Model Inputs &amp; Assumptions'!$H$28="CPM",'Model Inputs &amp; Assumptions'!$I$28*'Model Inputs &amp; Assumptions'!$K$28*C224/1000,IF('Model Inputs &amp; Assumptions'!$H$28="CPC",'Model Inputs &amp; Assumptions'!$I$28*'Model Inputs &amp; Assumptions'!$K$28*G224,0)))</f>
        <v>2147.119</v>
      </c>
      <c r="J224" s="50" t="n">
        <f aca="false">H224*INDEX('Model Inputs &amp; Assumptions'!$D$40:$D$42,MATCH('Model Inputs &amp; Assumptions'!$L$28,'Model Inputs &amp; Assumptions'!$A$40:$A$42,0))*INDEX('Model Inputs &amp; Assumptions'!$H$40:$H$42,MATCH('Model Inputs &amp; Assumptions'!$L$28,'Model Inputs &amp; Assumptions'!$A$40:$A$42,0))</f>
        <v>258664.050151427</v>
      </c>
      <c r="K224" s="49" t="n">
        <f aca="false">H224*INDEX('Model Inputs &amp; Assumptions'!$G$40:$G$42,MATCH('Model Inputs &amp; Assumptions'!$L$28,'Model Inputs &amp; Assumptions'!$A$40:$A$42,0))*INDEX('Model Inputs &amp; Assumptions'!$H$40:$H$42,MATCH('Model Inputs &amp; Assumptions'!$L$28,'Model Inputs &amp; Assumptions'!$A$40:$A$42,0))</f>
        <v>5819.94112840711</v>
      </c>
      <c r="L224" s="51" t="n">
        <f aca="false">IFERROR(K224/I224,0)</f>
        <v>2.71058154131518</v>
      </c>
      <c r="M224" s="49" t="n">
        <f aca="false">IFERROR(I224/H224,0)</f>
        <v>70.5568148697734</v>
      </c>
      <c r="N224" s="52" t="str">
        <f aca="false">'Model Inputs &amp; Assumptions'!$L$28</f>
        <v>PRD-EUAI</v>
      </c>
      <c r="P224" s="53" t="n">
        <v>-1.749699</v>
      </c>
      <c r="Q224" s="53" t="n">
        <v>0.657358</v>
      </c>
      <c r="R224" s="53" t="n">
        <v>0.683082</v>
      </c>
      <c r="S224" s="53" t="n">
        <v>2.1184</v>
      </c>
    </row>
    <row r="225" customFormat="false" ht="15" hidden="false" customHeight="false" outlineLevel="0" collapsed="false">
      <c r="A225" s="43" t="n">
        <v>222</v>
      </c>
      <c r="B225" s="44" t="str">
        <f aca="false">'Model Inputs &amp; Assumptions'!$B$28</f>
        <v>finanzen.net — Q1 Awareness Burst</v>
      </c>
      <c r="C225" s="45" t="n">
        <f aca="false">ROUND(MAX(0,'Model Inputs &amp; Assumptions'!$S$28*EXP('Model Inputs &amp; Assumptions'!$T$28*P225-'Model Inputs &amp; Assumptions'!$T$28^2/2)),0)</f>
        <v>525413</v>
      </c>
      <c r="D225" s="46" t="n">
        <f aca="false">MIN(1,'Model Inputs &amp; Assumptions'!$U$28*EXP('Model Inputs &amp; Assumptions'!$V$28*Q225-'Model Inputs &amp; Assumptions'!$V$28^2/2))</f>
        <v>0</v>
      </c>
      <c r="E225" s="45" t="n">
        <f aca="false">ROUND(C225*D225,0)</f>
        <v>0</v>
      </c>
      <c r="F225" s="47" t="n">
        <f aca="false">MIN(1,'Model Inputs &amp; Assumptions'!$W$28*EXP('Model Inputs &amp; Assumptions'!$X$28*R225-'Model Inputs &amp; Assumptions'!$X$28^2/2))</f>
        <v>0.00107635645860357</v>
      </c>
      <c r="G225" s="45" t="n">
        <f aca="false">ROUND(C225*F225,0)</f>
        <v>566</v>
      </c>
      <c r="H225" s="48" t="n">
        <f aca="false">MAX(0,(C225*'Model Inputs &amp; Assumptions'!$N$28+E225*'Model Inputs &amp; Assumptions'!$O$28+G225*'Model Inputs &amp; Assumptions'!$P$28)*EXP('Model Inputs &amp; Assumptions'!$Q$28*S225-'Model Inputs &amp; Assumptions'!$Q$28^2/2))</f>
        <v>11.4788909706782</v>
      </c>
      <c r="I225" s="49" t="n">
        <f aca="false">IF('Model Inputs &amp; Assumptions'!$H$28="Fixed",'Model Inputs &amp; Assumptions'!$I$28*'Model Inputs &amp; Assumptions'!$K$28,IF('Model Inputs &amp; Assumptions'!$H$28="CPM",'Model Inputs &amp; Assumptions'!$I$28*'Model Inputs &amp; Assumptions'!$K$28*C225/1000,IF('Model Inputs &amp; Assumptions'!$H$28="CPC",'Model Inputs &amp; Assumptions'!$I$28*'Model Inputs &amp; Assumptions'!$K$28*G225,0)))</f>
        <v>3415.1845</v>
      </c>
      <c r="J225" s="50" t="n">
        <f aca="false">H225*INDEX('Model Inputs &amp; Assumptions'!$D$40:$D$42,MATCH('Model Inputs &amp; Assumptions'!$L$28,'Model Inputs &amp; Assumptions'!$A$40:$A$42,0))*INDEX('Model Inputs &amp; Assumptions'!$H$40:$H$42,MATCH('Model Inputs &amp; Assumptions'!$L$28,'Model Inputs &amp; Assumptions'!$A$40:$A$42,0))</f>
        <v>97570.5732507645</v>
      </c>
      <c r="K225" s="49" t="n">
        <f aca="false">H225*INDEX('Model Inputs &amp; Assumptions'!$G$40:$G$42,MATCH('Model Inputs &amp; Assumptions'!$L$28,'Model Inputs &amp; Assumptions'!$A$40:$A$42,0))*INDEX('Model Inputs &amp; Assumptions'!$H$40:$H$42,MATCH('Model Inputs &amp; Assumptions'!$L$28,'Model Inputs &amp; Assumptions'!$A$40:$A$42,0))</f>
        <v>2195.3378981422</v>
      </c>
      <c r="L225" s="51" t="n">
        <f aca="false">IFERROR(K225/I225,0)</f>
        <v>0.642816778461662</v>
      </c>
      <c r="M225" s="49" t="n">
        <f aca="false">IFERROR(I225/H225,0)</f>
        <v>297.518680918199</v>
      </c>
      <c r="N225" s="52" t="str">
        <f aca="false">'Model Inputs &amp; Assumptions'!$L$28</f>
        <v>PRD-EUAI</v>
      </c>
      <c r="P225" s="53" t="n">
        <v>0.828658</v>
      </c>
      <c r="Q225" s="53" t="n">
        <v>-1.459558</v>
      </c>
      <c r="R225" s="53" t="n">
        <v>-1.398561</v>
      </c>
      <c r="S225" s="53" t="n">
        <v>-1.155088</v>
      </c>
    </row>
    <row r="226" customFormat="false" ht="15" hidden="false" customHeight="false" outlineLevel="0" collapsed="false">
      <c r="A226" s="43" t="n">
        <v>223</v>
      </c>
      <c r="B226" s="44" t="str">
        <f aca="false">'Model Inputs &amp; Assumptions'!$B$28</f>
        <v>finanzen.net — Q1 Awareness Burst</v>
      </c>
      <c r="C226" s="45" t="n">
        <f aca="false">ROUND(MAX(0,'Model Inputs &amp; Assumptions'!$S$28*EXP('Model Inputs &amp; Assumptions'!$T$28*P226-'Model Inputs &amp; Assumptions'!$T$28^2/2)),0)</f>
        <v>486391</v>
      </c>
      <c r="D226" s="46" t="n">
        <f aca="false">MIN(1,'Model Inputs &amp; Assumptions'!$U$28*EXP('Model Inputs &amp; Assumptions'!$V$28*Q226-'Model Inputs &amp; Assumptions'!$V$28^2/2))</f>
        <v>0</v>
      </c>
      <c r="E226" s="45" t="n">
        <f aca="false">ROUND(C226*D226,0)</f>
        <v>0</v>
      </c>
      <c r="F226" s="47" t="n">
        <f aca="false">MIN(1,'Model Inputs &amp; Assumptions'!$W$28*EXP('Model Inputs &amp; Assumptions'!$X$28*R226-'Model Inputs &amp; Assumptions'!$X$28^2/2))</f>
        <v>0.00124706489732726</v>
      </c>
      <c r="G226" s="45" t="n">
        <f aca="false">ROUND(C226*F226,0)</f>
        <v>607</v>
      </c>
      <c r="H226" s="48" t="n">
        <f aca="false">MAX(0,(C226*'Model Inputs &amp; Assumptions'!$N$28+E226*'Model Inputs &amp; Assumptions'!$O$28+G226*'Model Inputs &amp; Assumptions'!$P$28)*EXP('Model Inputs &amp; Assumptions'!$Q$28*S226-'Model Inputs &amp; Assumptions'!$Q$28^2/2))</f>
        <v>20.3353000325374</v>
      </c>
      <c r="I226" s="49" t="n">
        <f aca="false">IF('Model Inputs &amp; Assumptions'!$H$28="Fixed",'Model Inputs &amp; Assumptions'!$I$28*'Model Inputs &amp; Assumptions'!$K$28,IF('Model Inputs &amp; Assumptions'!$H$28="CPM",'Model Inputs &amp; Assumptions'!$I$28*'Model Inputs &amp; Assumptions'!$K$28*C226/1000,IF('Model Inputs &amp; Assumptions'!$H$28="CPC",'Model Inputs &amp; Assumptions'!$I$28*'Model Inputs &amp; Assumptions'!$K$28*G226,0)))</f>
        <v>3161.5415</v>
      </c>
      <c r="J226" s="50" t="n">
        <f aca="false">H226*INDEX('Model Inputs &amp; Assumptions'!$D$40:$D$42,MATCH('Model Inputs &amp; Assumptions'!$L$28,'Model Inputs &amp; Assumptions'!$A$40:$A$42,0))*INDEX('Model Inputs &amp; Assumptions'!$H$40:$H$42,MATCH('Model Inputs &amp; Assumptions'!$L$28,'Model Inputs &amp; Assumptions'!$A$40:$A$42,0))</f>
        <v>172850.050276568</v>
      </c>
      <c r="K226" s="49" t="n">
        <f aca="false">H226*INDEX('Model Inputs &amp; Assumptions'!$G$40:$G$42,MATCH('Model Inputs &amp; Assumptions'!$L$28,'Model Inputs &amp; Assumptions'!$A$40:$A$42,0))*INDEX('Model Inputs &amp; Assumptions'!$H$40:$H$42,MATCH('Model Inputs &amp; Assumptions'!$L$28,'Model Inputs &amp; Assumptions'!$A$40:$A$42,0))</f>
        <v>3889.12613122277</v>
      </c>
      <c r="L226" s="51" t="n">
        <f aca="false">IFERROR(K226/I226,0)</f>
        <v>1.23013603687403</v>
      </c>
      <c r="M226" s="49" t="n">
        <f aca="false">IFERROR(I226/H226,0)</f>
        <v>155.470609970907</v>
      </c>
      <c r="N226" s="52" t="str">
        <f aca="false">'Model Inputs &amp; Assumptions'!$L$28</f>
        <v>PRD-EUAI</v>
      </c>
      <c r="P226" s="53" t="n">
        <v>0.399929</v>
      </c>
      <c r="Q226" s="53" t="n">
        <v>-0.183519</v>
      </c>
      <c r="R226" s="53" t="n">
        <v>-0.72942</v>
      </c>
      <c r="S226" s="53" t="n">
        <v>0.517958</v>
      </c>
    </row>
    <row r="227" customFormat="false" ht="15" hidden="false" customHeight="false" outlineLevel="0" collapsed="false">
      <c r="A227" s="43" t="n">
        <v>224</v>
      </c>
      <c r="B227" s="44" t="str">
        <f aca="false">'Model Inputs &amp; Assumptions'!$B$28</f>
        <v>finanzen.net — Q1 Awareness Burst</v>
      </c>
      <c r="C227" s="45" t="n">
        <f aca="false">ROUND(MAX(0,'Model Inputs &amp; Assumptions'!$S$28*EXP('Model Inputs &amp; Assumptions'!$T$28*P227-'Model Inputs &amp; Assumptions'!$T$28^2/2)),0)</f>
        <v>475749</v>
      </c>
      <c r="D227" s="46" t="n">
        <f aca="false">MIN(1,'Model Inputs &amp; Assumptions'!$U$28*EXP('Model Inputs &amp; Assumptions'!$V$28*Q227-'Model Inputs &amp; Assumptions'!$V$28^2/2))</f>
        <v>0</v>
      </c>
      <c r="E227" s="45" t="n">
        <f aca="false">ROUND(C227*D227,0)</f>
        <v>0</v>
      </c>
      <c r="F227" s="47" t="n">
        <f aca="false">MIN(1,'Model Inputs &amp; Assumptions'!$W$28*EXP('Model Inputs &amp; Assumptions'!$X$28*R227-'Model Inputs &amp; Assumptions'!$X$28^2/2))</f>
        <v>0.00112755680004759</v>
      </c>
      <c r="G227" s="45" t="n">
        <f aca="false">ROUND(C227*F227,0)</f>
        <v>536</v>
      </c>
      <c r="H227" s="48" t="n">
        <f aca="false">MAX(0,(C227*'Model Inputs &amp; Assumptions'!$N$28+E227*'Model Inputs &amp; Assumptions'!$O$28+G227*'Model Inputs &amp; Assumptions'!$P$28)*EXP('Model Inputs &amp; Assumptions'!$Q$28*S227-'Model Inputs &amp; Assumptions'!$Q$28^2/2))</f>
        <v>12.6853205628745</v>
      </c>
      <c r="I227" s="49" t="n">
        <f aca="false">IF('Model Inputs &amp; Assumptions'!$H$28="Fixed",'Model Inputs &amp; Assumptions'!$I$28*'Model Inputs &amp; Assumptions'!$K$28,IF('Model Inputs &amp; Assumptions'!$H$28="CPM",'Model Inputs &amp; Assumptions'!$I$28*'Model Inputs &amp; Assumptions'!$K$28*C227/1000,IF('Model Inputs &amp; Assumptions'!$H$28="CPC",'Model Inputs &amp; Assumptions'!$I$28*'Model Inputs &amp; Assumptions'!$K$28*G227,0)))</f>
        <v>3092.3685</v>
      </c>
      <c r="J227" s="50" t="n">
        <f aca="false">H227*INDEX('Model Inputs &amp; Assumptions'!$D$40:$D$42,MATCH('Model Inputs &amp; Assumptions'!$L$28,'Model Inputs &amp; Assumptions'!$A$40:$A$42,0))*INDEX('Model Inputs &amp; Assumptions'!$H$40:$H$42,MATCH('Model Inputs &amp; Assumptions'!$L$28,'Model Inputs &amp; Assumptions'!$A$40:$A$42,0))</f>
        <v>107825.224784433</v>
      </c>
      <c r="K227" s="49" t="n">
        <f aca="false">H227*INDEX('Model Inputs &amp; Assumptions'!$G$40:$G$42,MATCH('Model Inputs &amp; Assumptions'!$L$28,'Model Inputs &amp; Assumptions'!$A$40:$A$42,0))*INDEX('Model Inputs &amp; Assumptions'!$H$40:$H$42,MATCH('Model Inputs &amp; Assumptions'!$L$28,'Model Inputs &amp; Assumptions'!$A$40:$A$42,0))</f>
        <v>2426.06755764975</v>
      </c>
      <c r="L227" s="51" t="n">
        <f aca="false">IFERROR(K227/I227,0)</f>
        <v>0.784533782972421</v>
      </c>
      <c r="M227" s="49" t="n">
        <f aca="false">IFERROR(I227/H227,0)</f>
        <v>243.775353147186</v>
      </c>
      <c r="N227" s="52" t="str">
        <f aca="false">'Model Inputs &amp; Assumptions'!$L$28</f>
        <v>PRD-EUAI</v>
      </c>
      <c r="P227" s="53" t="n">
        <v>0.277024</v>
      </c>
      <c r="Q227" s="53" t="n">
        <v>-1.304563</v>
      </c>
      <c r="R227" s="53" t="n">
        <v>-1.187327</v>
      </c>
      <c r="S227" s="53" t="n">
        <v>-0.640436</v>
      </c>
    </row>
    <row r="228" customFormat="false" ht="15" hidden="false" customHeight="false" outlineLevel="0" collapsed="false">
      <c r="A228" s="43" t="n">
        <v>225</v>
      </c>
      <c r="B228" s="44" t="str">
        <f aca="false">'Model Inputs &amp; Assumptions'!$B$28</f>
        <v>finanzen.net — Q1 Awareness Burst</v>
      </c>
      <c r="C228" s="45" t="n">
        <f aca="false">ROUND(MAX(0,'Model Inputs &amp; Assumptions'!$S$28*EXP('Model Inputs &amp; Assumptions'!$T$28*P228-'Model Inputs &amp; Assumptions'!$T$28^2/2)),0)</f>
        <v>441130</v>
      </c>
      <c r="D228" s="46" t="n">
        <f aca="false">MIN(1,'Model Inputs &amp; Assumptions'!$U$28*EXP('Model Inputs &amp; Assumptions'!$V$28*Q228-'Model Inputs &amp; Assumptions'!$V$28^2/2))</f>
        <v>0</v>
      </c>
      <c r="E228" s="45" t="n">
        <f aca="false">ROUND(C228*D228,0)</f>
        <v>0</v>
      </c>
      <c r="F228" s="47" t="n">
        <f aca="false">MIN(1,'Model Inputs &amp; Assumptions'!$W$28*EXP('Model Inputs &amp; Assumptions'!$X$28*R228-'Model Inputs &amp; Assumptions'!$X$28^2/2))</f>
        <v>0.00155255836466839</v>
      </c>
      <c r="G228" s="45" t="n">
        <f aca="false">ROUND(C228*F228,0)</f>
        <v>685</v>
      </c>
      <c r="H228" s="48" t="n">
        <f aca="false">MAX(0,(C228*'Model Inputs &amp; Assumptions'!$N$28+E228*'Model Inputs &amp; Assumptions'!$O$28+G228*'Model Inputs &amp; Assumptions'!$P$28)*EXP('Model Inputs &amp; Assumptions'!$Q$28*S228-'Model Inputs &amp; Assumptions'!$Q$28^2/2))</f>
        <v>19.6597567330536</v>
      </c>
      <c r="I228" s="49" t="n">
        <f aca="false">IF('Model Inputs &amp; Assumptions'!$H$28="Fixed",'Model Inputs &amp; Assumptions'!$I$28*'Model Inputs &amp; Assumptions'!$K$28,IF('Model Inputs &amp; Assumptions'!$H$28="CPM",'Model Inputs &amp; Assumptions'!$I$28*'Model Inputs &amp; Assumptions'!$K$28*C228/1000,IF('Model Inputs &amp; Assumptions'!$H$28="CPC",'Model Inputs &amp; Assumptions'!$I$28*'Model Inputs &amp; Assumptions'!$K$28*G228,0)))</f>
        <v>2867.345</v>
      </c>
      <c r="J228" s="50" t="n">
        <f aca="false">H228*INDEX('Model Inputs &amp; Assumptions'!$D$40:$D$42,MATCH('Model Inputs &amp; Assumptions'!$L$28,'Model Inputs &amp; Assumptions'!$A$40:$A$42,0))*INDEX('Model Inputs &amp; Assumptions'!$H$40:$H$42,MATCH('Model Inputs &amp; Assumptions'!$L$28,'Model Inputs &amp; Assumptions'!$A$40:$A$42,0))</f>
        <v>167107.932230956</v>
      </c>
      <c r="K228" s="49" t="n">
        <f aca="false">H228*INDEX('Model Inputs &amp; Assumptions'!$G$40:$G$42,MATCH('Model Inputs &amp; Assumptions'!$L$28,'Model Inputs &amp; Assumptions'!$A$40:$A$42,0))*INDEX('Model Inputs &amp; Assumptions'!$H$40:$H$42,MATCH('Model Inputs &amp; Assumptions'!$L$28,'Model Inputs &amp; Assumptions'!$A$40:$A$42,0))</f>
        <v>3759.92847519651</v>
      </c>
      <c r="L228" s="51" t="n">
        <f aca="false">IFERROR(K228/I228,0)</f>
        <v>1.31129266802443</v>
      </c>
      <c r="M228" s="49" t="n">
        <f aca="false">IFERROR(I228/H228,0)</f>
        <v>145.848447614775</v>
      </c>
      <c r="N228" s="52" t="str">
        <f aca="false">'Model Inputs &amp; Assumptions'!$L$28</f>
        <v>PRD-EUAI</v>
      </c>
      <c r="P228" s="53" t="n">
        <v>-0.1427</v>
      </c>
      <c r="Q228" s="53" t="n">
        <v>-0.291572</v>
      </c>
      <c r="R228" s="53" t="n">
        <v>0.266541</v>
      </c>
      <c r="S228" s="53" t="n">
        <v>0.002376</v>
      </c>
    </row>
    <row r="229" customFormat="false" ht="15" hidden="false" customHeight="false" outlineLevel="0" collapsed="false">
      <c r="A229" s="43" t="n">
        <v>226</v>
      </c>
      <c r="B229" s="44" t="str">
        <f aca="false">'Model Inputs &amp; Assumptions'!$B$28</f>
        <v>finanzen.net — Q1 Awareness Burst</v>
      </c>
      <c r="C229" s="45" t="n">
        <f aca="false">ROUND(MAX(0,'Model Inputs &amp; Assumptions'!$S$28*EXP('Model Inputs &amp; Assumptions'!$T$28*P229-'Model Inputs &amp; Assumptions'!$T$28^2/2)),0)</f>
        <v>515788</v>
      </c>
      <c r="D229" s="46" t="n">
        <f aca="false">MIN(1,'Model Inputs &amp; Assumptions'!$U$28*EXP('Model Inputs &amp; Assumptions'!$V$28*Q229-'Model Inputs &amp; Assumptions'!$V$28^2/2))</f>
        <v>0</v>
      </c>
      <c r="E229" s="45" t="n">
        <f aca="false">ROUND(C229*D229,0)</f>
        <v>0</v>
      </c>
      <c r="F229" s="47" t="n">
        <f aca="false">MIN(1,'Model Inputs &amp; Assumptions'!$W$28*EXP('Model Inputs &amp; Assumptions'!$X$28*R229-'Model Inputs &amp; Assumptions'!$X$28^2/2))</f>
        <v>0.00112400098534004</v>
      </c>
      <c r="G229" s="45" t="n">
        <f aca="false">ROUND(C229*F229,0)</f>
        <v>580</v>
      </c>
      <c r="H229" s="48" t="n">
        <f aca="false">MAX(0,(C229*'Model Inputs &amp; Assumptions'!$N$28+E229*'Model Inputs &amp; Assumptions'!$O$28+G229*'Model Inputs &amp; Assumptions'!$P$28)*EXP('Model Inputs &amp; Assumptions'!$Q$28*S229-'Model Inputs &amp; Assumptions'!$Q$28^2/2))</f>
        <v>15.8934123572731</v>
      </c>
      <c r="I229" s="49" t="n">
        <f aca="false">IF('Model Inputs &amp; Assumptions'!$H$28="Fixed",'Model Inputs &amp; Assumptions'!$I$28*'Model Inputs &amp; Assumptions'!$K$28,IF('Model Inputs &amp; Assumptions'!$H$28="CPM",'Model Inputs &amp; Assumptions'!$I$28*'Model Inputs &amp; Assumptions'!$K$28*C229/1000,IF('Model Inputs &amp; Assumptions'!$H$28="CPC",'Model Inputs &amp; Assumptions'!$I$28*'Model Inputs &amp; Assumptions'!$K$28*G229,0)))</f>
        <v>3352.622</v>
      </c>
      <c r="J229" s="50" t="n">
        <f aca="false">H229*INDEX('Model Inputs &amp; Assumptions'!$D$40:$D$42,MATCH('Model Inputs &amp; Assumptions'!$L$28,'Model Inputs &amp; Assumptions'!$A$40:$A$42,0))*INDEX('Model Inputs &amp; Assumptions'!$H$40:$H$42,MATCH('Model Inputs &amp; Assumptions'!$L$28,'Model Inputs &amp; Assumptions'!$A$40:$A$42,0))</f>
        <v>135094.005036821</v>
      </c>
      <c r="K229" s="49" t="n">
        <f aca="false">H229*INDEX('Model Inputs &amp; Assumptions'!$G$40:$G$42,MATCH('Model Inputs &amp; Assumptions'!$L$28,'Model Inputs &amp; Assumptions'!$A$40:$A$42,0))*INDEX('Model Inputs &amp; Assumptions'!$H$40:$H$42,MATCH('Model Inputs &amp; Assumptions'!$L$28,'Model Inputs &amp; Assumptions'!$A$40:$A$42,0))</f>
        <v>3039.61511332848</v>
      </c>
      <c r="L229" s="51" t="n">
        <f aca="false">IFERROR(K229/I229,0)</f>
        <v>0.90663818149749</v>
      </c>
      <c r="M229" s="49" t="n">
        <f aca="false">IFERROR(I229/H229,0)</f>
        <v>210.944127329949</v>
      </c>
      <c r="N229" s="52" t="str">
        <f aca="false">'Model Inputs &amp; Assumptions'!$L$28</f>
        <v>PRD-EUAI</v>
      </c>
      <c r="P229" s="53" t="n">
        <v>0.725946</v>
      </c>
      <c r="Q229" s="53" t="n">
        <v>0.639427</v>
      </c>
      <c r="R229" s="53" t="n">
        <v>-1.201684</v>
      </c>
      <c r="S229" s="53" t="n">
        <v>-0.151885</v>
      </c>
    </row>
    <row r="230" customFormat="false" ht="15" hidden="false" customHeight="false" outlineLevel="0" collapsed="false">
      <c r="A230" s="43" t="n">
        <v>227</v>
      </c>
      <c r="B230" s="44" t="str">
        <f aca="false">'Model Inputs &amp; Assumptions'!$B$28</f>
        <v>finanzen.net — Q1 Awareness Burst</v>
      </c>
      <c r="C230" s="45" t="n">
        <f aca="false">ROUND(MAX(0,'Model Inputs &amp; Assumptions'!$S$28*EXP('Model Inputs &amp; Assumptions'!$T$28*P230-'Model Inputs &amp; Assumptions'!$T$28^2/2)),0)</f>
        <v>525657</v>
      </c>
      <c r="D230" s="46" t="n">
        <f aca="false">MIN(1,'Model Inputs &amp; Assumptions'!$U$28*EXP('Model Inputs &amp; Assumptions'!$V$28*Q230-'Model Inputs &amp; Assumptions'!$V$28^2/2))</f>
        <v>0</v>
      </c>
      <c r="E230" s="45" t="n">
        <f aca="false">ROUND(C230*D230,0)</f>
        <v>0</v>
      </c>
      <c r="F230" s="47" t="n">
        <f aca="false">MIN(1,'Model Inputs &amp; Assumptions'!$W$28*EXP('Model Inputs &amp; Assumptions'!$X$28*R230-'Model Inputs &amp; Assumptions'!$X$28^2/2))</f>
        <v>0.0016808852818535</v>
      </c>
      <c r="G230" s="45" t="n">
        <f aca="false">ROUND(C230*F230,0)</f>
        <v>884</v>
      </c>
      <c r="H230" s="48" t="n">
        <f aca="false">MAX(0,(C230*'Model Inputs &amp; Assumptions'!$N$28+E230*'Model Inputs &amp; Assumptions'!$O$28+G230*'Model Inputs &amp; Assumptions'!$P$28)*EXP('Model Inputs &amp; Assumptions'!$Q$28*S230-'Model Inputs &amp; Assumptions'!$Q$28^2/2))</f>
        <v>29.7453157352667</v>
      </c>
      <c r="I230" s="49" t="n">
        <f aca="false">IF('Model Inputs &amp; Assumptions'!$H$28="Fixed",'Model Inputs &amp; Assumptions'!$I$28*'Model Inputs &amp; Assumptions'!$K$28,IF('Model Inputs &amp; Assumptions'!$H$28="CPM",'Model Inputs &amp; Assumptions'!$I$28*'Model Inputs &amp; Assumptions'!$K$28*C230/1000,IF('Model Inputs &amp; Assumptions'!$H$28="CPC",'Model Inputs &amp; Assumptions'!$I$28*'Model Inputs &amp; Assumptions'!$K$28*G230,0)))</f>
        <v>3416.7705</v>
      </c>
      <c r="J230" s="50" t="n">
        <f aca="false">H230*INDEX('Model Inputs &amp; Assumptions'!$D$40:$D$42,MATCH('Model Inputs &amp; Assumptions'!$L$28,'Model Inputs &amp; Assumptions'!$A$40:$A$42,0))*INDEX('Model Inputs &amp; Assumptions'!$H$40:$H$42,MATCH('Model Inputs &amp; Assumptions'!$L$28,'Model Inputs &amp; Assumptions'!$A$40:$A$42,0))</f>
        <v>252835.183749767</v>
      </c>
      <c r="K230" s="49" t="n">
        <f aca="false">H230*INDEX('Model Inputs &amp; Assumptions'!$G$40:$G$42,MATCH('Model Inputs &amp; Assumptions'!$L$28,'Model Inputs &amp; Assumptions'!$A$40:$A$42,0))*INDEX('Model Inputs &amp; Assumptions'!$H$40:$H$42,MATCH('Model Inputs &amp; Assumptions'!$L$28,'Model Inputs &amp; Assumptions'!$A$40:$A$42,0))</f>
        <v>5688.79163436975</v>
      </c>
      <c r="L230" s="51" t="n">
        <f aca="false">IFERROR(K230/I230,0)</f>
        <v>1.66496158708047</v>
      </c>
      <c r="M230" s="49" t="n">
        <f aca="false">IFERROR(I230/H230,0)</f>
        <v>114.867514952918</v>
      </c>
      <c r="N230" s="52" t="str">
        <f aca="false">'Model Inputs &amp; Assumptions'!$L$28</f>
        <v>PRD-EUAI</v>
      </c>
      <c r="P230" s="53" t="n">
        <v>0.831233</v>
      </c>
      <c r="Q230" s="53" t="n">
        <v>1.044503</v>
      </c>
      <c r="R230" s="53" t="n">
        <v>0.627525</v>
      </c>
      <c r="S230" s="53" t="n">
        <v>0.532575</v>
      </c>
    </row>
    <row r="231" customFormat="false" ht="15" hidden="false" customHeight="false" outlineLevel="0" collapsed="false">
      <c r="A231" s="43" t="n">
        <v>228</v>
      </c>
      <c r="B231" s="44" t="str">
        <f aca="false">'Model Inputs &amp; Assumptions'!$B$28</f>
        <v>finanzen.net — Q1 Awareness Burst</v>
      </c>
      <c r="C231" s="45" t="n">
        <f aca="false">ROUND(MAX(0,'Model Inputs &amp; Assumptions'!$S$28*EXP('Model Inputs &amp; Assumptions'!$T$28*P231-'Model Inputs &amp; Assumptions'!$T$28^2/2)),0)</f>
        <v>469546</v>
      </c>
      <c r="D231" s="46" t="n">
        <f aca="false">MIN(1,'Model Inputs &amp; Assumptions'!$U$28*EXP('Model Inputs &amp; Assumptions'!$V$28*Q231-'Model Inputs &amp; Assumptions'!$V$28^2/2))</f>
        <v>0</v>
      </c>
      <c r="E231" s="45" t="n">
        <f aca="false">ROUND(C231*D231,0)</f>
        <v>0</v>
      </c>
      <c r="F231" s="47" t="n">
        <f aca="false">MIN(1,'Model Inputs &amp; Assumptions'!$W$28*EXP('Model Inputs &amp; Assumptions'!$X$28*R231-'Model Inputs &amp; Assumptions'!$X$28^2/2))</f>
        <v>0.00123052337634948</v>
      </c>
      <c r="G231" s="45" t="n">
        <f aca="false">ROUND(C231*F231,0)</f>
        <v>578</v>
      </c>
      <c r="H231" s="48" t="n">
        <f aca="false">MAX(0,(C231*'Model Inputs &amp; Assumptions'!$N$28+E231*'Model Inputs &amp; Assumptions'!$O$28+G231*'Model Inputs &amp; Assumptions'!$P$28)*EXP('Model Inputs &amp; Assumptions'!$Q$28*S231-'Model Inputs &amp; Assumptions'!$Q$28^2/2))</f>
        <v>21.6213958136914</v>
      </c>
      <c r="I231" s="49" t="n">
        <f aca="false">IF('Model Inputs &amp; Assumptions'!$H$28="Fixed",'Model Inputs &amp; Assumptions'!$I$28*'Model Inputs &amp; Assumptions'!$K$28,IF('Model Inputs &amp; Assumptions'!$H$28="CPM",'Model Inputs &amp; Assumptions'!$I$28*'Model Inputs &amp; Assumptions'!$K$28*C231/1000,IF('Model Inputs &amp; Assumptions'!$H$28="CPC",'Model Inputs &amp; Assumptions'!$I$28*'Model Inputs &amp; Assumptions'!$K$28*G231,0)))</f>
        <v>3052.049</v>
      </c>
      <c r="J231" s="50" t="n">
        <f aca="false">H231*INDEX('Model Inputs &amp; Assumptions'!$D$40:$D$42,MATCH('Model Inputs &amp; Assumptions'!$L$28,'Model Inputs &amp; Assumptions'!$A$40:$A$42,0))*INDEX('Model Inputs &amp; Assumptions'!$H$40:$H$42,MATCH('Model Inputs &amp; Assumptions'!$L$28,'Model Inputs &amp; Assumptions'!$A$40:$A$42,0))</f>
        <v>183781.864416377</v>
      </c>
      <c r="K231" s="49" t="n">
        <f aca="false">H231*INDEX('Model Inputs &amp; Assumptions'!$G$40:$G$42,MATCH('Model Inputs &amp; Assumptions'!$L$28,'Model Inputs &amp; Assumptions'!$A$40:$A$42,0))*INDEX('Model Inputs &amp; Assumptions'!$H$40:$H$42,MATCH('Model Inputs &amp; Assumptions'!$L$28,'Model Inputs &amp; Assumptions'!$A$40:$A$42,0))</f>
        <v>4135.09194936848</v>
      </c>
      <c r="L231" s="51" t="n">
        <f aca="false">IFERROR(K231/I231,0)</f>
        <v>1.35485765443755</v>
      </c>
      <c r="M231" s="49" t="n">
        <f aca="false">IFERROR(I231/H231,0)</f>
        <v>141.158740457789</v>
      </c>
      <c r="N231" s="52" t="str">
        <f aca="false">'Model Inputs &amp; Assumptions'!$L$28</f>
        <v>PRD-EUAI</v>
      </c>
      <c r="P231" s="53" t="n">
        <v>0.204113</v>
      </c>
      <c r="Q231" s="53" t="n">
        <v>-0.653697</v>
      </c>
      <c r="R231" s="53" t="n">
        <v>-0.790116</v>
      </c>
      <c r="S231" s="53" t="n">
        <v>0.885558</v>
      </c>
    </row>
    <row r="232" customFormat="false" ht="15" hidden="false" customHeight="false" outlineLevel="0" collapsed="false">
      <c r="A232" s="43" t="n">
        <v>229</v>
      </c>
      <c r="B232" s="44" t="str">
        <f aca="false">'Model Inputs &amp; Assumptions'!$B$28</f>
        <v>finanzen.net — Q1 Awareness Burst</v>
      </c>
      <c r="C232" s="45" t="n">
        <f aca="false">ROUND(MAX(0,'Model Inputs &amp; Assumptions'!$S$28*EXP('Model Inputs &amp; Assumptions'!$T$28*P232-'Model Inputs &amp; Assumptions'!$T$28^2/2)),0)</f>
        <v>398139</v>
      </c>
      <c r="D232" s="46" t="n">
        <f aca="false">MIN(1,'Model Inputs &amp; Assumptions'!$U$28*EXP('Model Inputs &amp; Assumptions'!$V$28*Q232-'Model Inputs &amp; Assumptions'!$V$28^2/2))</f>
        <v>0</v>
      </c>
      <c r="E232" s="45" t="n">
        <f aca="false">ROUND(C232*D232,0)</f>
        <v>0</v>
      </c>
      <c r="F232" s="47" t="n">
        <f aca="false">MIN(1,'Model Inputs &amp; Assumptions'!$W$28*EXP('Model Inputs &amp; Assumptions'!$X$28*R232-'Model Inputs &amp; Assumptions'!$X$28^2/2))</f>
        <v>0.0014182061921873</v>
      </c>
      <c r="G232" s="45" t="n">
        <f aca="false">ROUND(C232*F232,0)</f>
        <v>565</v>
      </c>
      <c r="H232" s="48" t="n">
        <f aca="false">MAX(0,(C232*'Model Inputs &amp; Assumptions'!$N$28+E232*'Model Inputs &amp; Assumptions'!$O$28+G232*'Model Inputs &amp; Assumptions'!$P$28)*EXP('Model Inputs &amp; Assumptions'!$Q$28*S232-'Model Inputs &amp; Assumptions'!$Q$28^2/2))</f>
        <v>28.9574245948288</v>
      </c>
      <c r="I232" s="49" t="n">
        <f aca="false">IF('Model Inputs &amp; Assumptions'!$H$28="Fixed",'Model Inputs &amp; Assumptions'!$I$28*'Model Inputs &amp; Assumptions'!$K$28,IF('Model Inputs &amp; Assumptions'!$H$28="CPM",'Model Inputs &amp; Assumptions'!$I$28*'Model Inputs &amp; Assumptions'!$K$28*C232/1000,IF('Model Inputs &amp; Assumptions'!$H$28="CPC",'Model Inputs &amp; Assumptions'!$I$28*'Model Inputs &amp; Assumptions'!$K$28*G232,0)))</f>
        <v>2587.9035</v>
      </c>
      <c r="J232" s="50" t="n">
        <f aca="false">H232*INDEX('Model Inputs &amp; Assumptions'!$D$40:$D$42,MATCH('Model Inputs &amp; Assumptions'!$L$28,'Model Inputs &amp; Assumptions'!$A$40:$A$42,0))*INDEX('Model Inputs &amp; Assumptions'!$H$40:$H$42,MATCH('Model Inputs &amp; Assumptions'!$L$28,'Model Inputs &amp; Assumptions'!$A$40:$A$42,0))</f>
        <v>246138.109056045</v>
      </c>
      <c r="K232" s="49" t="n">
        <f aca="false">H232*INDEX('Model Inputs &amp; Assumptions'!$G$40:$G$42,MATCH('Model Inputs &amp; Assumptions'!$L$28,'Model Inputs &amp; Assumptions'!$A$40:$A$42,0))*INDEX('Model Inputs &amp; Assumptions'!$H$40:$H$42,MATCH('Model Inputs &amp; Assumptions'!$L$28,'Model Inputs &amp; Assumptions'!$A$40:$A$42,0))</f>
        <v>5538.10745376102</v>
      </c>
      <c r="L232" s="51" t="n">
        <f aca="false">IFERROR(K232/I232,0)</f>
        <v>2.13999766751775</v>
      </c>
      <c r="M232" s="49" t="n">
        <f aca="false">IFERROR(I232/H232,0)</f>
        <v>89.3692562860767</v>
      </c>
      <c r="N232" s="52" t="str">
        <f aca="false">'Model Inputs &amp; Assumptions'!$L$28</f>
        <v>PRD-EUAI</v>
      </c>
      <c r="P232" s="53" t="n">
        <v>-0.712361</v>
      </c>
      <c r="Q232" s="53" t="n">
        <v>-0.236412</v>
      </c>
      <c r="R232" s="53" t="n">
        <v>-0.144874</v>
      </c>
      <c r="S232" s="53" t="n">
        <v>1.935196</v>
      </c>
    </row>
    <row r="233" customFormat="false" ht="15" hidden="false" customHeight="false" outlineLevel="0" collapsed="false">
      <c r="A233" s="43" t="n">
        <v>230</v>
      </c>
      <c r="B233" s="44" t="str">
        <f aca="false">'Model Inputs &amp; Assumptions'!$B$28</f>
        <v>finanzen.net — Q1 Awareness Burst</v>
      </c>
      <c r="C233" s="45" t="n">
        <f aca="false">ROUND(MAX(0,'Model Inputs &amp; Assumptions'!$S$28*EXP('Model Inputs &amp; Assumptions'!$T$28*P233-'Model Inputs &amp; Assumptions'!$T$28^2/2)),0)</f>
        <v>382643</v>
      </c>
      <c r="D233" s="46" t="n">
        <f aca="false">MIN(1,'Model Inputs &amp; Assumptions'!$U$28*EXP('Model Inputs &amp; Assumptions'!$V$28*Q233-'Model Inputs &amp; Assumptions'!$V$28^2/2))</f>
        <v>0</v>
      </c>
      <c r="E233" s="45" t="n">
        <f aca="false">ROUND(C233*D233,0)</f>
        <v>0</v>
      </c>
      <c r="F233" s="47" t="n">
        <f aca="false">MIN(1,'Model Inputs &amp; Assumptions'!$W$28*EXP('Model Inputs &amp; Assumptions'!$X$28*R233-'Model Inputs &amp; Assumptions'!$X$28^2/2))</f>
        <v>0.00164280651372789</v>
      </c>
      <c r="G233" s="45" t="n">
        <f aca="false">ROUND(C233*F233,0)</f>
        <v>629</v>
      </c>
      <c r="H233" s="48" t="n">
        <f aca="false">MAX(0,(C233*'Model Inputs &amp; Assumptions'!$N$28+E233*'Model Inputs &amp; Assumptions'!$O$28+G233*'Model Inputs &amp; Assumptions'!$P$28)*EXP('Model Inputs &amp; Assumptions'!$Q$28*S233-'Model Inputs &amp; Assumptions'!$Q$28^2/2))</f>
        <v>11.0035314191417</v>
      </c>
      <c r="I233" s="49" t="n">
        <f aca="false">IF('Model Inputs &amp; Assumptions'!$H$28="Fixed",'Model Inputs &amp; Assumptions'!$I$28*'Model Inputs &amp; Assumptions'!$K$28,IF('Model Inputs &amp; Assumptions'!$H$28="CPM",'Model Inputs &amp; Assumptions'!$I$28*'Model Inputs &amp; Assumptions'!$K$28*C233/1000,IF('Model Inputs &amp; Assumptions'!$H$28="CPC",'Model Inputs &amp; Assumptions'!$I$28*'Model Inputs &amp; Assumptions'!$K$28*G233,0)))</f>
        <v>2487.1795</v>
      </c>
      <c r="J233" s="50" t="n">
        <f aca="false">H233*INDEX('Model Inputs &amp; Assumptions'!$D$40:$D$42,MATCH('Model Inputs &amp; Assumptions'!$L$28,'Model Inputs &amp; Assumptions'!$A$40:$A$42,0))*INDEX('Model Inputs &amp; Assumptions'!$H$40:$H$42,MATCH('Model Inputs &amp; Assumptions'!$L$28,'Model Inputs &amp; Assumptions'!$A$40:$A$42,0))</f>
        <v>93530.0170627047</v>
      </c>
      <c r="K233" s="49" t="n">
        <f aca="false">H233*INDEX('Model Inputs &amp; Assumptions'!$G$40:$G$42,MATCH('Model Inputs &amp; Assumptions'!$L$28,'Model Inputs &amp; Assumptions'!$A$40:$A$42,0))*INDEX('Model Inputs &amp; Assumptions'!$H$40:$H$42,MATCH('Model Inputs &amp; Assumptions'!$L$28,'Model Inputs &amp; Assumptions'!$A$40:$A$42,0))</f>
        <v>2104.42538391086</v>
      </c>
      <c r="L233" s="51" t="n">
        <f aca="false">IFERROR(K233/I233,0)</f>
        <v>0.84610917061308</v>
      </c>
      <c r="M233" s="49" t="n">
        <f aca="false">IFERROR(I233/H233,0)</f>
        <v>226.034661533597</v>
      </c>
      <c r="N233" s="52" t="str">
        <f aca="false">'Model Inputs &amp; Assumptions'!$L$28</f>
        <v>PRD-EUAI</v>
      </c>
      <c r="P233" s="53" t="n">
        <v>-0.932906</v>
      </c>
      <c r="Q233" s="53" t="n">
        <v>-1.842717</v>
      </c>
      <c r="R233" s="53" t="n">
        <v>0.523368</v>
      </c>
      <c r="S233" s="53" t="n">
        <v>-1.647857</v>
      </c>
    </row>
    <row r="234" customFormat="false" ht="15" hidden="false" customHeight="false" outlineLevel="0" collapsed="false">
      <c r="A234" s="43" t="n">
        <v>231</v>
      </c>
      <c r="B234" s="44" t="str">
        <f aca="false">'Model Inputs &amp; Assumptions'!$B$28</f>
        <v>finanzen.net — Q1 Awareness Burst</v>
      </c>
      <c r="C234" s="45" t="n">
        <f aca="false">ROUND(MAX(0,'Model Inputs &amp; Assumptions'!$S$28*EXP('Model Inputs &amp; Assumptions'!$T$28*P234-'Model Inputs &amp; Assumptions'!$T$28^2/2)),0)</f>
        <v>422797</v>
      </c>
      <c r="D234" s="46" t="n">
        <f aca="false">MIN(1,'Model Inputs &amp; Assumptions'!$U$28*EXP('Model Inputs &amp; Assumptions'!$V$28*Q234-'Model Inputs &amp; Assumptions'!$V$28^2/2))</f>
        <v>0</v>
      </c>
      <c r="E234" s="45" t="n">
        <f aca="false">ROUND(C234*D234,0)</f>
        <v>0</v>
      </c>
      <c r="F234" s="47" t="n">
        <f aca="false">MIN(1,'Model Inputs &amp; Assumptions'!$W$28*EXP('Model Inputs &amp; Assumptions'!$X$28*R234-'Model Inputs &amp; Assumptions'!$X$28^2/2))</f>
        <v>0.00245997657639469</v>
      </c>
      <c r="G234" s="45" t="n">
        <f aca="false">ROUND(C234*F234,0)</f>
        <v>1040</v>
      </c>
      <c r="H234" s="48" t="n">
        <f aca="false">MAX(0,(C234*'Model Inputs &amp; Assumptions'!$N$28+E234*'Model Inputs &amp; Assumptions'!$O$28+G234*'Model Inputs &amp; Assumptions'!$P$28)*EXP('Model Inputs &amp; Assumptions'!$Q$28*S234-'Model Inputs &amp; Assumptions'!$Q$28^2/2))</f>
        <v>40.1740110319057</v>
      </c>
      <c r="I234" s="49" t="n">
        <f aca="false">IF('Model Inputs &amp; Assumptions'!$H$28="Fixed",'Model Inputs &amp; Assumptions'!$I$28*'Model Inputs &amp; Assumptions'!$K$28,IF('Model Inputs &amp; Assumptions'!$H$28="CPM",'Model Inputs &amp; Assumptions'!$I$28*'Model Inputs &amp; Assumptions'!$K$28*C234/1000,IF('Model Inputs &amp; Assumptions'!$H$28="CPC",'Model Inputs &amp; Assumptions'!$I$28*'Model Inputs &amp; Assumptions'!$K$28*G234,0)))</f>
        <v>2748.1805</v>
      </c>
      <c r="J234" s="50" t="n">
        <f aca="false">H234*INDEX('Model Inputs &amp; Assumptions'!$D$40:$D$42,MATCH('Model Inputs &amp; Assumptions'!$L$28,'Model Inputs &amp; Assumptions'!$A$40:$A$42,0))*INDEX('Model Inputs &amp; Assumptions'!$H$40:$H$42,MATCH('Model Inputs &amp; Assumptions'!$L$28,'Model Inputs &amp; Assumptions'!$A$40:$A$42,0))</f>
        <v>341479.093771198</v>
      </c>
      <c r="K234" s="49" t="n">
        <f aca="false">H234*INDEX('Model Inputs &amp; Assumptions'!$G$40:$G$42,MATCH('Model Inputs &amp; Assumptions'!$L$28,'Model Inputs &amp; Assumptions'!$A$40:$A$42,0))*INDEX('Model Inputs &amp; Assumptions'!$H$40:$H$42,MATCH('Model Inputs &amp; Assumptions'!$L$28,'Model Inputs &amp; Assumptions'!$A$40:$A$42,0))</f>
        <v>7683.27960985196</v>
      </c>
      <c r="L234" s="51" t="n">
        <f aca="false">IFERROR(K234/I234,0)</f>
        <v>2.79576964098681</v>
      </c>
      <c r="M234" s="49" t="n">
        <f aca="false">IFERROR(I234/H234,0)</f>
        <v>68.4069235162362</v>
      </c>
      <c r="N234" s="52" t="str">
        <f aca="false">'Model Inputs &amp; Assumptions'!$L$28</f>
        <v>PRD-EUAI</v>
      </c>
      <c r="P234" s="53" t="n">
        <v>-0.37852</v>
      </c>
      <c r="Q234" s="53" t="n">
        <v>1.426627</v>
      </c>
      <c r="R234" s="53" t="n">
        <v>2.358576</v>
      </c>
      <c r="S234" s="53" t="n">
        <v>0.992674</v>
      </c>
    </row>
    <row r="235" customFormat="false" ht="15" hidden="false" customHeight="false" outlineLevel="0" collapsed="false">
      <c r="A235" s="43" t="n">
        <v>232</v>
      </c>
      <c r="B235" s="44" t="str">
        <f aca="false">'Model Inputs &amp; Assumptions'!$B$28</f>
        <v>finanzen.net — Q1 Awareness Burst</v>
      </c>
      <c r="C235" s="45" t="n">
        <f aca="false">ROUND(MAX(0,'Model Inputs &amp; Assumptions'!$S$28*EXP('Model Inputs &amp; Assumptions'!$T$28*P235-'Model Inputs &amp; Assumptions'!$T$28^2/2)),0)</f>
        <v>428178</v>
      </c>
      <c r="D235" s="46" t="n">
        <f aca="false">MIN(1,'Model Inputs &amp; Assumptions'!$U$28*EXP('Model Inputs &amp; Assumptions'!$V$28*Q235-'Model Inputs &amp; Assumptions'!$V$28^2/2))</f>
        <v>0</v>
      </c>
      <c r="E235" s="45" t="n">
        <f aca="false">ROUND(C235*D235,0)</f>
        <v>0</v>
      </c>
      <c r="F235" s="47" t="n">
        <f aca="false">MIN(1,'Model Inputs &amp; Assumptions'!$W$28*EXP('Model Inputs &amp; Assumptions'!$X$28*R235-'Model Inputs &amp; Assumptions'!$X$28^2/2))</f>
        <v>0.00148522784001914</v>
      </c>
      <c r="G235" s="45" t="n">
        <f aca="false">ROUND(C235*F235,0)</f>
        <v>636</v>
      </c>
      <c r="H235" s="48" t="n">
        <f aca="false">MAX(0,(C235*'Model Inputs &amp; Assumptions'!$N$28+E235*'Model Inputs &amp; Assumptions'!$O$28+G235*'Model Inputs &amp; Assumptions'!$P$28)*EXP('Model Inputs &amp; Assumptions'!$Q$28*S235-'Model Inputs &amp; Assumptions'!$Q$28^2/2))</f>
        <v>21.0463882539074</v>
      </c>
      <c r="I235" s="49" t="n">
        <f aca="false">IF('Model Inputs &amp; Assumptions'!$H$28="Fixed",'Model Inputs &amp; Assumptions'!$I$28*'Model Inputs &amp; Assumptions'!$K$28,IF('Model Inputs &amp; Assumptions'!$H$28="CPM",'Model Inputs &amp; Assumptions'!$I$28*'Model Inputs &amp; Assumptions'!$K$28*C235/1000,IF('Model Inputs &amp; Assumptions'!$H$28="CPC",'Model Inputs &amp; Assumptions'!$I$28*'Model Inputs &amp; Assumptions'!$K$28*G235,0)))</f>
        <v>2783.157</v>
      </c>
      <c r="J235" s="50" t="n">
        <f aca="false">H235*INDEX('Model Inputs &amp; Assumptions'!$D$40:$D$42,MATCH('Model Inputs &amp; Assumptions'!$L$28,'Model Inputs &amp; Assumptions'!$A$40:$A$42,0))*INDEX('Model Inputs &amp; Assumptions'!$H$40:$H$42,MATCH('Model Inputs &amp; Assumptions'!$L$28,'Model Inputs &amp; Assumptions'!$A$40:$A$42,0))</f>
        <v>178894.300158213</v>
      </c>
      <c r="K235" s="49" t="n">
        <f aca="false">H235*INDEX('Model Inputs &amp; Assumptions'!$G$40:$G$42,MATCH('Model Inputs &amp; Assumptions'!$L$28,'Model Inputs &amp; Assumptions'!$A$40:$A$42,0))*INDEX('Model Inputs &amp; Assumptions'!$H$40:$H$42,MATCH('Model Inputs &amp; Assumptions'!$L$28,'Model Inputs &amp; Assumptions'!$A$40:$A$42,0))</f>
        <v>4025.12175355979</v>
      </c>
      <c r="L235" s="51" t="n">
        <f aca="false">IFERROR(K235/I235,0)</f>
        <v>1.44624315249186</v>
      </c>
      <c r="M235" s="49" t="n">
        <f aca="false">IFERROR(I235/H235,0)</f>
        <v>132.239174076972</v>
      </c>
      <c r="N235" s="52" t="str">
        <f aca="false">'Model Inputs &amp; Assumptions'!$L$28</f>
        <v>PRD-EUAI</v>
      </c>
      <c r="P235" s="53" t="n">
        <v>-0.30826</v>
      </c>
      <c r="Q235" s="53" t="n">
        <v>-0.751018</v>
      </c>
      <c r="R235" s="53" t="n">
        <v>0.065014</v>
      </c>
      <c r="S235" s="53" t="n">
        <v>0.476961</v>
      </c>
    </row>
    <row r="236" customFormat="false" ht="15" hidden="false" customHeight="false" outlineLevel="0" collapsed="false">
      <c r="A236" s="43" t="n">
        <v>233</v>
      </c>
      <c r="B236" s="44" t="str">
        <f aca="false">'Model Inputs &amp; Assumptions'!$B$28</f>
        <v>finanzen.net — Q1 Awareness Burst</v>
      </c>
      <c r="C236" s="45" t="n">
        <f aca="false">ROUND(MAX(0,'Model Inputs &amp; Assumptions'!$S$28*EXP('Model Inputs &amp; Assumptions'!$T$28*P236-'Model Inputs &amp; Assumptions'!$T$28^2/2)),0)</f>
        <v>747804</v>
      </c>
      <c r="D236" s="46" t="n">
        <f aca="false">MIN(1,'Model Inputs &amp; Assumptions'!$U$28*EXP('Model Inputs &amp; Assumptions'!$V$28*Q236-'Model Inputs &amp; Assumptions'!$V$28^2/2))</f>
        <v>0</v>
      </c>
      <c r="E236" s="45" t="n">
        <f aca="false">ROUND(C236*D236,0)</f>
        <v>0</v>
      </c>
      <c r="F236" s="47" t="n">
        <f aca="false">MIN(1,'Model Inputs &amp; Assumptions'!$W$28*EXP('Model Inputs &amp; Assumptions'!$X$28*R236-'Model Inputs &amp; Assumptions'!$X$28^2/2))</f>
        <v>0.00158263434898896</v>
      </c>
      <c r="G236" s="45" t="n">
        <f aca="false">ROUND(C236*F236,0)</f>
        <v>1184</v>
      </c>
      <c r="H236" s="48" t="n">
        <f aca="false">MAX(0,(C236*'Model Inputs &amp; Assumptions'!$N$28+E236*'Model Inputs &amp; Assumptions'!$O$28+G236*'Model Inputs &amp; Assumptions'!$P$28)*EXP('Model Inputs &amp; Assumptions'!$Q$28*S236-'Model Inputs &amp; Assumptions'!$Q$28^2/2))</f>
        <v>20.8198699781974</v>
      </c>
      <c r="I236" s="49" t="n">
        <f aca="false">IF('Model Inputs &amp; Assumptions'!$H$28="Fixed",'Model Inputs &amp; Assumptions'!$I$28*'Model Inputs &amp; Assumptions'!$K$28,IF('Model Inputs &amp; Assumptions'!$H$28="CPM",'Model Inputs &amp; Assumptions'!$I$28*'Model Inputs &amp; Assumptions'!$K$28*C236/1000,IF('Model Inputs &amp; Assumptions'!$H$28="CPC",'Model Inputs &amp; Assumptions'!$I$28*'Model Inputs &amp; Assumptions'!$K$28*G236,0)))</f>
        <v>4860.726</v>
      </c>
      <c r="J236" s="50" t="n">
        <f aca="false">H236*INDEX('Model Inputs &amp; Assumptions'!$D$40:$D$42,MATCH('Model Inputs &amp; Assumptions'!$L$28,'Model Inputs &amp; Assumptions'!$A$40:$A$42,0))*INDEX('Model Inputs &amp; Assumptions'!$H$40:$H$42,MATCH('Model Inputs &amp; Assumptions'!$L$28,'Model Inputs &amp; Assumptions'!$A$40:$A$42,0))</f>
        <v>176968.894814678</v>
      </c>
      <c r="K236" s="49" t="n">
        <f aca="false">H236*INDEX('Model Inputs &amp; Assumptions'!$G$40:$G$42,MATCH('Model Inputs &amp; Assumptions'!$L$28,'Model Inputs &amp; Assumptions'!$A$40:$A$42,0))*INDEX('Model Inputs &amp; Assumptions'!$H$40:$H$42,MATCH('Model Inputs &amp; Assumptions'!$L$28,'Model Inputs &amp; Assumptions'!$A$40:$A$42,0))</f>
        <v>3981.80013333025</v>
      </c>
      <c r="L236" s="51" t="n">
        <f aca="false">IFERROR(K236/I236,0)</f>
        <v>0.819178067912129</v>
      </c>
      <c r="M236" s="49" t="n">
        <f aca="false">IFERROR(I236/H236,0)</f>
        <v>233.465723133245</v>
      </c>
      <c r="N236" s="52" t="str">
        <f aca="false">'Model Inputs &amp; Assumptions'!$L$28</f>
        <v>PRD-EUAI</v>
      </c>
      <c r="P236" s="53" t="n">
        <v>2.789525</v>
      </c>
      <c r="Q236" s="53" t="n">
        <v>0.472363</v>
      </c>
      <c r="R236" s="53" t="n">
        <v>0.353753</v>
      </c>
      <c r="S236" s="53" t="n">
        <v>-1.630627</v>
      </c>
    </row>
    <row r="237" customFormat="false" ht="15" hidden="false" customHeight="false" outlineLevel="0" collapsed="false">
      <c r="A237" s="43" t="n">
        <v>234</v>
      </c>
      <c r="B237" s="44" t="str">
        <f aca="false">'Model Inputs &amp; Assumptions'!$B$28</f>
        <v>finanzen.net — Q1 Awareness Burst</v>
      </c>
      <c r="C237" s="45" t="n">
        <f aca="false">ROUND(MAX(0,'Model Inputs &amp; Assumptions'!$S$28*EXP('Model Inputs &amp; Assumptions'!$T$28*P237-'Model Inputs &amp; Assumptions'!$T$28^2/2)),0)</f>
        <v>573126</v>
      </c>
      <c r="D237" s="46" t="n">
        <f aca="false">MIN(1,'Model Inputs &amp; Assumptions'!$U$28*EXP('Model Inputs &amp; Assumptions'!$V$28*Q237-'Model Inputs &amp; Assumptions'!$V$28^2/2))</f>
        <v>0</v>
      </c>
      <c r="E237" s="45" t="n">
        <f aca="false">ROUND(C237*D237,0)</f>
        <v>0</v>
      </c>
      <c r="F237" s="47" t="n">
        <f aca="false">MIN(1,'Model Inputs &amp; Assumptions'!$W$28*EXP('Model Inputs &amp; Assumptions'!$X$28*R237-'Model Inputs &amp; Assumptions'!$X$28^2/2))</f>
        <v>0.000908107103544246</v>
      </c>
      <c r="G237" s="45" t="n">
        <f aca="false">ROUND(C237*F237,0)</f>
        <v>520</v>
      </c>
      <c r="H237" s="48" t="n">
        <f aca="false">MAX(0,(C237*'Model Inputs &amp; Assumptions'!$N$28+E237*'Model Inputs &amp; Assumptions'!$O$28+G237*'Model Inputs &amp; Assumptions'!$P$28)*EXP('Model Inputs &amp; Assumptions'!$Q$28*S237-'Model Inputs &amp; Assumptions'!$Q$28^2/2))</f>
        <v>16.6444214835922</v>
      </c>
      <c r="I237" s="49" t="n">
        <f aca="false">IF('Model Inputs &amp; Assumptions'!$H$28="Fixed",'Model Inputs &amp; Assumptions'!$I$28*'Model Inputs &amp; Assumptions'!$K$28,IF('Model Inputs &amp; Assumptions'!$H$28="CPM",'Model Inputs &amp; Assumptions'!$I$28*'Model Inputs &amp; Assumptions'!$K$28*C237/1000,IF('Model Inputs &amp; Assumptions'!$H$28="CPC",'Model Inputs &amp; Assumptions'!$I$28*'Model Inputs &amp; Assumptions'!$K$28*G237,0)))</f>
        <v>3725.319</v>
      </c>
      <c r="J237" s="50" t="n">
        <f aca="false">H237*INDEX('Model Inputs &amp; Assumptions'!$D$40:$D$42,MATCH('Model Inputs &amp; Assumptions'!$L$28,'Model Inputs &amp; Assumptions'!$A$40:$A$42,0))*INDEX('Model Inputs &amp; Assumptions'!$H$40:$H$42,MATCH('Model Inputs &amp; Assumptions'!$L$28,'Model Inputs &amp; Assumptions'!$A$40:$A$42,0))</f>
        <v>141477.582610533</v>
      </c>
      <c r="K237" s="49" t="n">
        <f aca="false">H237*INDEX('Model Inputs &amp; Assumptions'!$G$40:$G$42,MATCH('Model Inputs &amp; Assumptions'!$L$28,'Model Inputs &amp; Assumptions'!$A$40:$A$42,0))*INDEX('Model Inputs &amp; Assumptions'!$H$40:$H$42,MATCH('Model Inputs &amp; Assumptions'!$L$28,'Model Inputs &amp; Assumptions'!$A$40:$A$42,0))</f>
        <v>3183.245608737</v>
      </c>
      <c r="L237" s="51" t="n">
        <f aca="false">IFERROR(K237/I237,0)</f>
        <v>0.854489403118768</v>
      </c>
      <c r="M237" s="49" t="n">
        <f aca="false">IFERROR(I237/H237,0)</f>
        <v>223.817872172509</v>
      </c>
      <c r="N237" s="52" t="str">
        <f aca="false">'Model Inputs &amp; Assumptions'!$L$28</f>
        <v>PRD-EUAI</v>
      </c>
      <c r="P237" s="53" t="n">
        <v>1.311547</v>
      </c>
      <c r="Q237" s="53" t="n">
        <v>-0.397485</v>
      </c>
      <c r="R237" s="53" t="n">
        <v>-2.171173</v>
      </c>
      <c r="S237" s="53" t="n">
        <v>0.366014</v>
      </c>
    </row>
    <row r="238" customFormat="false" ht="15" hidden="false" customHeight="false" outlineLevel="0" collapsed="false">
      <c r="A238" s="43" t="n">
        <v>235</v>
      </c>
      <c r="B238" s="44" t="str">
        <f aca="false">'Model Inputs &amp; Assumptions'!$B$28</f>
        <v>finanzen.net — Q1 Awareness Burst</v>
      </c>
      <c r="C238" s="45" t="n">
        <f aca="false">ROUND(MAX(0,'Model Inputs &amp; Assumptions'!$S$28*EXP('Model Inputs &amp; Assumptions'!$T$28*P238-'Model Inputs &amp; Assumptions'!$T$28^2/2)),0)</f>
        <v>414307</v>
      </c>
      <c r="D238" s="46" t="n">
        <f aca="false">MIN(1,'Model Inputs &amp; Assumptions'!$U$28*EXP('Model Inputs &amp; Assumptions'!$V$28*Q238-'Model Inputs &amp; Assumptions'!$V$28^2/2))</f>
        <v>0</v>
      </c>
      <c r="E238" s="45" t="n">
        <f aca="false">ROUND(C238*D238,0)</f>
        <v>0</v>
      </c>
      <c r="F238" s="47" t="n">
        <f aca="false">MIN(1,'Model Inputs &amp; Assumptions'!$W$28*EXP('Model Inputs &amp; Assumptions'!$X$28*R238-'Model Inputs &amp; Assumptions'!$X$28^2/2))</f>
        <v>0.00125133676025445</v>
      </c>
      <c r="G238" s="45" t="n">
        <f aca="false">ROUND(C238*F238,0)</f>
        <v>518</v>
      </c>
      <c r="H238" s="48" t="n">
        <f aca="false">MAX(0,(C238*'Model Inputs &amp; Assumptions'!$N$28+E238*'Model Inputs &amp; Assumptions'!$O$28+G238*'Model Inputs &amp; Assumptions'!$P$28)*EXP('Model Inputs &amp; Assumptions'!$Q$28*S238-'Model Inputs &amp; Assumptions'!$Q$28^2/2))</f>
        <v>9.9931708523796</v>
      </c>
      <c r="I238" s="49" t="n">
        <f aca="false">IF('Model Inputs &amp; Assumptions'!$H$28="Fixed",'Model Inputs &amp; Assumptions'!$I$28*'Model Inputs &amp; Assumptions'!$K$28,IF('Model Inputs &amp; Assumptions'!$H$28="CPM",'Model Inputs &amp; Assumptions'!$I$28*'Model Inputs &amp; Assumptions'!$K$28*C238/1000,IF('Model Inputs &amp; Assumptions'!$H$28="CPC",'Model Inputs &amp; Assumptions'!$I$28*'Model Inputs &amp; Assumptions'!$K$28*G238,0)))</f>
        <v>2692.9955</v>
      </c>
      <c r="J238" s="50" t="n">
        <f aca="false">H238*INDEX('Model Inputs &amp; Assumptions'!$D$40:$D$42,MATCH('Model Inputs &amp; Assumptions'!$L$28,'Model Inputs &amp; Assumptions'!$A$40:$A$42,0))*INDEX('Model Inputs &amp; Assumptions'!$H$40:$H$42,MATCH('Model Inputs &amp; Assumptions'!$L$28,'Model Inputs &amp; Assumptions'!$A$40:$A$42,0))</f>
        <v>84941.9522452266</v>
      </c>
      <c r="K238" s="49" t="n">
        <f aca="false">H238*INDEX('Model Inputs &amp; Assumptions'!$G$40:$G$42,MATCH('Model Inputs &amp; Assumptions'!$L$28,'Model Inputs &amp; Assumptions'!$A$40:$A$42,0))*INDEX('Model Inputs &amp; Assumptions'!$H$40:$H$42,MATCH('Model Inputs &amp; Assumptions'!$L$28,'Model Inputs &amp; Assumptions'!$A$40:$A$42,0))</f>
        <v>1911.1939255176</v>
      </c>
      <c r="L238" s="51" t="n">
        <f aca="false">IFERROR(K238/I238,0)</f>
        <v>0.709690723774919</v>
      </c>
      <c r="M238" s="49" t="n">
        <f aca="false">IFERROR(I238/H238,0)</f>
        <v>269.483584317858</v>
      </c>
      <c r="N238" s="52" t="str">
        <f aca="false">'Model Inputs &amp; Assumptions'!$L$28</f>
        <v>PRD-EUAI</v>
      </c>
      <c r="P238" s="53" t="n">
        <v>-0.491222</v>
      </c>
      <c r="Q238" s="53" t="n">
        <v>-0.082736</v>
      </c>
      <c r="R238" s="53" t="n">
        <v>-0.713876</v>
      </c>
      <c r="S238" s="53" t="n">
        <v>-1.321718</v>
      </c>
    </row>
    <row r="239" customFormat="false" ht="15" hidden="false" customHeight="false" outlineLevel="0" collapsed="false">
      <c r="A239" s="43" t="n">
        <v>236</v>
      </c>
      <c r="B239" s="44" t="str">
        <f aca="false">'Model Inputs &amp; Assumptions'!$B$28</f>
        <v>finanzen.net — Q1 Awareness Burst</v>
      </c>
      <c r="C239" s="45" t="n">
        <f aca="false">ROUND(MAX(0,'Model Inputs &amp; Assumptions'!$S$28*EXP('Model Inputs &amp; Assumptions'!$T$28*P239-'Model Inputs &amp; Assumptions'!$T$28^2/2)),0)</f>
        <v>465673</v>
      </c>
      <c r="D239" s="46" t="n">
        <f aca="false">MIN(1,'Model Inputs &amp; Assumptions'!$U$28*EXP('Model Inputs &amp; Assumptions'!$V$28*Q239-'Model Inputs &amp; Assumptions'!$V$28^2/2))</f>
        <v>0</v>
      </c>
      <c r="E239" s="45" t="n">
        <f aca="false">ROUND(C239*D239,0)</f>
        <v>0</v>
      </c>
      <c r="F239" s="47" t="n">
        <f aca="false">MIN(1,'Model Inputs &amp; Assumptions'!$W$28*EXP('Model Inputs &amp; Assumptions'!$X$28*R239-'Model Inputs &amp; Assumptions'!$X$28^2/2))</f>
        <v>0.0015565036378695</v>
      </c>
      <c r="G239" s="45" t="n">
        <f aca="false">ROUND(C239*F239,0)</f>
        <v>725</v>
      </c>
      <c r="H239" s="48" t="n">
        <f aca="false">MAX(0,(C239*'Model Inputs &amp; Assumptions'!$N$28+E239*'Model Inputs &amp; Assumptions'!$O$28+G239*'Model Inputs &amp; Assumptions'!$P$28)*EXP('Model Inputs &amp; Assumptions'!$Q$28*S239-'Model Inputs &amp; Assumptions'!$Q$28^2/2))</f>
        <v>20.7083014795098</v>
      </c>
      <c r="I239" s="49" t="n">
        <f aca="false">IF('Model Inputs &amp; Assumptions'!$H$28="Fixed",'Model Inputs &amp; Assumptions'!$I$28*'Model Inputs &amp; Assumptions'!$K$28,IF('Model Inputs &amp; Assumptions'!$H$28="CPM",'Model Inputs &amp; Assumptions'!$I$28*'Model Inputs &amp; Assumptions'!$K$28*C239/1000,IF('Model Inputs &amp; Assumptions'!$H$28="CPC",'Model Inputs &amp; Assumptions'!$I$28*'Model Inputs &amp; Assumptions'!$K$28*G239,0)))</f>
        <v>3026.8745</v>
      </c>
      <c r="J239" s="50" t="n">
        <f aca="false">H239*INDEX('Model Inputs &amp; Assumptions'!$D$40:$D$42,MATCH('Model Inputs &amp; Assumptions'!$L$28,'Model Inputs &amp; Assumptions'!$A$40:$A$42,0))*INDEX('Model Inputs &amp; Assumptions'!$H$40:$H$42,MATCH('Model Inputs &amp; Assumptions'!$L$28,'Model Inputs &amp; Assumptions'!$A$40:$A$42,0))</f>
        <v>176020.562575833</v>
      </c>
      <c r="K239" s="49" t="n">
        <f aca="false">H239*INDEX('Model Inputs &amp; Assumptions'!$G$40:$G$42,MATCH('Model Inputs &amp; Assumptions'!$L$28,'Model Inputs &amp; Assumptions'!$A$40:$A$42,0))*INDEX('Model Inputs &amp; Assumptions'!$H$40:$H$42,MATCH('Model Inputs &amp; Assumptions'!$L$28,'Model Inputs &amp; Assumptions'!$A$40:$A$42,0))</f>
        <v>3960.46265795625</v>
      </c>
      <c r="L239" s="51" t="n">
        <f aca="false">IFERROR(K239/I239,0)</f>
        <v>1.30843305791378</v>
      </c>
      <c r="M239" s="49" t="n">
        <f aca="false">IFERROR(I239/H239,0)</f>
        <v>146.167202703466</v>
      </c>
      <c r="N239" s="52" t="str">
        <f aca="false">'Model Inputs &amp; Assumptions'!$L$28</f>
        <v>PRD-EUAI</v>
      </c>
      <c r="P239" s="53" t="n">
        <v>0.158097</v>
      </c>
      <c r="Q239" s="53" t="n">
        <v>-1.368828</v>
      </c>
      <c r="R239" s="53" t="n">
        <v>0.278077</v>
      </c>
      <c r="S239" s="53" t="n">
        <v>-0.013597</v>
      </c>
    </row>
    <row r="240" customFormat="false" ht="15" hidden="false" customHeight="false" outlineLevel="0" collapsed="false">
      <c r="A240" s="43" t="n">
        <v>237</v>
      </c>
      <c r="B240" s="44" t="str">
        <f aca="false">'Model Inputs &amp; Assumptions'!$B$28</f>
        <v>finanzen.net — Q1 Awareness Burst</v>
      </c>
      <c r="C240" s="45" t="n">
        <f aca="false">ROUND(MAX(0,'Model Inputs &amp; Assumptions'!$S$28*EXP('Model Inputs &amp; Assumptions'!$T$28*P240-'Model Inputs &amp; Assumptions'!$T$28^2/2)),0)</f>
        <v>502055</v>
      </c>
      <c r="D240" s="46" t="n">
        <f aca="false">MIN(1,'Model Inputs &amp; Assumptions'!$U$28*EXP('Model Inputs &amp; Assumptions'!$V$28*Q240-'Model Inputs &amp; Assumptions'!$V$28^2/2))</f>
        <v>0</v>
      </c>
      <c r="E240" s="45" t="n">
        <f aca="false">ROUND(C240*D240,0)</f>
        <v>0</v>
      </c>
      <c r="F240" s="47" t="n">
        <f aca="false">MIN(1,'Model Inputs &amp; Assumptions'!$W$28*EXP('Model Inputs &amp; Assumptions'!$X$28*R240-'Model Inputs &amp; Assumptions'!$X$28^2/2))</f>
        <v>0.00167410696538973</v>
      </c>
      <c r="G240" s="45" t="n">
        <f aca="false">ROUND(C240*F240,0)</f>
        <v>840</v>
      </c>
      <c r="H240" s="48" t="n">
        <f aca="false">MAX(0,(C240*'Model Inputs &amp; Assumptions'!$N$28+E240*'Model Inputs &amp; Assumptions'!$O$28+G240*'Model Inputs &amp; Assumptions'!$P$28)*EXP('Model Inputs &amp; Assumptions'!$Q$28*S240-'Model Inputs &amp; Assumptions'!$Q$28^2/2))</f>
        <v>23.9666000024811</v>
      </c>
      <c r="I240" s="49" t="n">
        <f aca="false">IF('Model Inputs &amp; Assumptions'!$H$28="Fixed",'Model Inputs &amp; Assumptions'!$I$28*'Model Inputs &amp; Assumptions'!$K$28,IF('Model Inputs &amp; Assumptions'!$H$28="CPM",'Model Inputs &amp; Assumptions'!$I$28*'Model Inputs &amp; Assumptions'!$K$28*C240/1000,IF('Model Inputs &amp; Assumptions'!$H$28="CPC",'Model Inputs &amp; Assumptions'!$I$28*'Model Inputs &amp; Assumptions'!$K$28*G240,0)))</f>
        <v>3263.3575</v>
      </c>
      <c r="J240" s="50" t="n">
        <f aca="false">H240*INDEX('Model Inputs &amp; Assumptions'!$D$40:$D$42,MATCH('Model Inputs &amp; Assumptions'!$L$28,'Model Inputs &amp; Assumptions'!$A$40:$A$42,0))*INDEX('Model Inputs &amp; Assumptions'!$H$40:$H$42,MATCH('Model Inputs &amp; Assumptions'!$L$28,'Model Inputs &amp; Assumptions'!$A$40:$A$42,0))</f>
        <v>203716.100021089</v>
      </c>
      <c r="K240" s="49" t="n">
        <f aca="false">H240*INDEX('Model Inputs &amp; Assumptions'!$G$40:$G$42,MATCH('Model Inputs &amp; Assumptions'!$L$28,'Model Inputs &amp; Assumptions'!$A$40:$A$42,0))*INDEX('Model Inputs &amp; Assumptions'!$H$40:$H$42,MATCH('Model Inputs &amp; Assumptions'!$L$28,'Model Inputs &amp; Assumptions'!$A$40:$A$42,0))</f>
        <v>4583.61225047451</v>
      </c>
      <c r="L240" s="51" t="n">
        <f aca="false">IFERROR(K240/I240,0)</f>
        <v>1.40456945047379</v>
      </c>
      <c r="M240" s="49" t="n">
        <f aca="false">IFERROR(I240/H240,0)</f>
        <v>136.162722274422</v>
      </c>
      <c r="N240" s="52" t="str">
        <f aca="false">'Model Inputs &amp; Assumptions'!$L$28</f>
        <v>PRD-EUAI</v>
      </c>
      <c r="P240" s="53" t="n">
        <v>0.576023</v>
      </c>
      <c r="Q240" s="53" t="n">
        <v>0.190599</v>
      </c>
      <c r="R240" s="53" t="n">
        <v>0.609158</v>
      </c>
      <c r="S240" s="53" t="n">
        <v>-0.017276</v>
      </c>
    </row>
    <row r="241" customFormat="false" ht="15" hidden="false" customHeight="false" outlineLevel="0" collapsed="false">
      <c r="A241" s="43" t="n">
        <v>238</v>
      </c>
      <c r="B241" s="44" t="str">
        <f aca="false">'Model Inputs &amp; Assumptions'!$B$28</f>
        <v>finanzen.net — Q1 Awareness Burst</v>
      </c>
      <c r="C241" s="45" t="n">
        <f aca="false">ROUND(MAX(0,'Model Inputs &amp; Assumptions'!$S$28*EXP('Model Inputs &amp; Assumptions'!$T$28*P241-'Model Inputs &amp; Assumptions'!$T$28^2/2)),0)</f>
        <v>345127</v>
      </c>
      <c r="D241" s="46" t="n">
        <f aca="false">MIN(1,'Model Inputs &amp; Assumptions'!$U$28*EXP('Model Inputs &amp; Assumptions'!$V$28*Q241-'Model Inputs &amp; Assumptions'!$V$28^2/2))</f>
        <v>0</v>
      </c>
      <c r="E241" s="45" t="n">
        <f aca="false">ROUND(C241*D241,0)</f>
        <v>0</v>
      </c>
      <c r="F241" s="47" t="n">
        <f aca="false">MIN(1,'Model Inputs &amp; Assumptions'!$W$28*EXP('Model Inputs &amp; Assumptions'!$X$28*R241-'Model Inputs &amp; Assumptions'!$X$28^2/2))</f>
        <v>0.00143171190996672</v>
      </c>
      <c r="G241" s="45" t="n">
        <f aca="false">ROUND(C241*F241,0)</f>
        <v>494</v>
      </c>
      <c r="H241" s="48" t="n">
        <f aca="false">MAX(0,(C241*'Model Inputs &amp; Assumptions'!$N$28+E241*'Model Inputs &amp; Assumptions'!$O$28+G241*'Model Inputs &amp; Assumptions'!$P$28)*EXP('Model Inputs &amp; Assumptions'!$Q$28*S241-'Model Inputs &amp; Assumptions'!$Q$28^2/2))</f>
        <v>16.2694972425919</v>
      </c>
      <c r="I241" s="49" t="n">
        <f aca="false">IF('Model Inputs &amp; Assumptions'!$H$28="Fixed",'Model Inputs &amp; Assumptions'!$I$28*'Model Inputs &amp; Assumptions'!$K$28,IF('Model Inputs &amp; Assumptions'!$H$28="CPM",'Model Inputs &amp; Assumptions'!$I$28*'Model Inputs &amp; Assumptions'!$K$28*C241/1000,IF('Model Inputs &amp; Assumptions'!$H$28="CPC",'Model Inputs &amp; Assumptions'!$I$28*'Model Inputs &amp; Assumptions'!$K$28*G241,0)))</f>
        <v>2243.3255</v>
      </c>
      <c r="J241" s="50" t="n">
        <f aca="false">H241*INDEX('Model Inputs &amp; Assumptions'!$D$40:$D$42,MATCH('Model Inputs &amp; Assumptions'!$L$28,'Model Inputs &amp; Assumptions'!$A$40:$A$42,0))*INDEX('Model Inputs &amp; Assumptions'!$H$40:$H$42,MATCH('Model Inputs &amp; Assumptions'!$L$28,'Model Inputs &amp; Assumptions'!$A$40:$A$42,0))</f>
        <v>138290.726562031</v>
      </c>
      <c r="K241" s="49" t="n">
        <f aca="false">H241*INDEX('Model Inputs &amp; Assumptions'!$G$40:$G$42,MATCH('Model Inputs &amp; Assumptions'!$L$28,'Model Inputs &amp; Assumptions'!$A$40:$A$42,0))*INDEX('Model Inputs &amp; Assumptions'!$H$40:$H$42,MATCH('Model Inputs &amp; Assumptions'!$L$28,'Model Inputs &amp; Assumptions'!$A$40:$A$42,0))</f>
        <v>3111.5413476457</v>
      </c>
      <c r="L241" s="51" t="n">
        <f aca="false">IFERROR(K241/I241,0)</f>
        <v>1.38702178869972</v>
      </c>
      <c r="M241" s="49" t="n">
        <f aca="false">IFERROR(I241/H241,0)</f>
        <v>137.885360964148</v>
      </c>
      <c r="N241" s="52" t="str">
        <f aca="false">'Model Inputs &amp; Assumptions'!$L$28</f>
        <v>PRD-EUAI</v>
      </c>
      <c r="P241" s="53" t="n">
        <v>-1.506191</v>
      </c>
      <c r="Q241" s="53" t="n">
        <v>0.714946</v>
      </c>
      <c r="R241" s="53" t="n">
        <v>-0.101792</v>
      </c>
      <c r="S241" s="53" t="n">
        <v>0.461048</v>
      </c>
    </row>
    <row r="242" customFormat="false" ht="15" hidden="false" customHeight="false" outlineLevel="0" collapsed="false">
      <c r="A242" s="43" t="n">
        <v>239</v>
      </c>
      <c r="B242" s="44" t="str">
        <f aca="false">'Model Inputs &amp; Assumptions'!$B$28</f>
        <v>finanzen.net — Q1 Awareness Burst</v>
      </c>
      <c r="C242" s="45" t="n">
        <f aca="false">ROUND(MAX(0,'Model Inputs &amp; Assumptions'!$S$28*EXP('Model Inputs &amp; Assumptions'!$T$28*P242-'Model Inputs &amp; Assumptions'!$T$28^2/2)),0)</f>
        <v>325525</v>
      </c>
      <c r="D242" s="46" t="n">
        <f aca="false">MIN(1,'Model Inputs &amp; Assumptions'!$U$28*EXP('Model Inputs &amp; Assumptions'!$V$28*Q242-'Model Inputs &amp; Assumptions'!$V$28^2/2))</f>
        <v>0</v>
      </c>
      <c r="E242" s="45" t="n">
        <f aca="false">ROUND(C242*D242,0)</f>
        <v>0</v>
      </c>
      <c r="F242" s="47" t="n">
        <f aca="false">MIN(1,'Model Inputs &amp; Assumptions'!$W$28*EXP('Model Inputs &amp; Assumptions'!$X$28*R242-'Model Inputs &amp; Assumptions'!$X$28^2/2))</f>
        <v>0.00154615160501269</v>
      </c>
      <c r="G242" s="45" t="n">
        <f aca="false">ROUND(C242*F242,0)</f>
        <v>503</v>
      </c>
      <c r="H242" s="48" t="n">
        <f aca="false">MAX(0,(C242*'Model Inputs &amp; Assumptions'!$N$28+E242*'Model Inputs &amp; Assumptions'!$O$28+G242*'Model Inputs &amp; Assumptions'!$P$28)*EXP('Model Inputs &amp; Assumptions'!$Q$28*S242-'Model Inputs &amp; Assumptions'!$Q$28^2/2))</f>
        <v>11.535401207589</v>
      </c>
      <c r="I242" s="49" t="n">
        <f aca="false">IF('Model Inputs &amp; Assumptions'!$H$28="Fixed",'Model Inputs &amp; Assumptions'!$I$28*'Model Inputs &amp; Assumptions'!$K$28,IF('Model Inputs &amp; Assumptions'!$H$28="CPM",'Model Inputs &amp; Assumptions'!$I$28*'Model Inputs &amp; Assumptions'!$K$28*C242/1000,IF('Model Inputs &amp; Assumptions'!$H$28="CPC",'Model Inputs &amp; Assumptions'!$I$28*'Model Inputs &amp; Assumptions'!$K$28*G242,0)))</f>
        <v>2115.9125</v>
      </c>
      <c r="J242" s="50" t="n">
        <f aca="false">H242*INDEX('Model Inputs &amp; Assumptions'!$D$40:$D$42,MATCH('Model Inputs &amp; Assumptions'!$L$28,'Model Inputs &amp; Assumptions'!$A$40:$A$42,0))*INDEX('Model Inputs &amp; Assumptions'!$H$40:$H$42,MATCH('Model Inputs &amp; Assumptions'!$L$28,'Model Inputs &amp; Assumptions'!$A$40:$A$42,0))</f>
        <v>98050.9102645069</v>
      </c>
      <c r="K242" s="49" t="n">
        <f aca="false">H242*INDEX('Model Inputs &amp; Assumptions'!$G$40:$G$42,MATCH('Model Inputs &amp; Assumptions'!$L$28,'Model Inputs &amp; Assumptions'!$A$40:$A$42,0))*INDEX('Model Inputs &amp; Assumptions'!$H$40:$H$42,MATCH('Model Inputs &amp; Assumptions'!$L$28,'Model Inputs &amp; Assumptions'!$A$40:$A$42,0))</f>
        <v>2206.14548095141</v>
      </c>
      <c r="L242" s="51" t="n">
        <f aca="false">IFERROR(K242/I242,0)</f>
        <v>1.04264494914199</v>
      </c>
      <c r="M242" s="49" t="n">
        <f aca="false">IFERROR(I242/H242,0)</f>
        <v>183.427733628195</v>
      </c>
      <c r="N242" s="52" t="str">
        <f aca="false">'Model Inputs &amp; Assumptions'!$L$28</f>
        <v>PRD-EUAI</v>
      </c>
      <c r="P242" s="53" t="n">
        <v>-1.831036</v>
      </c>
      <c r="Q242" s="53" t="n">
        <v>1.279208</v>
      </c>
      <c r="R242" s="53" t="n">
        <v>0.247745</v>
      </c>
      <c r="S242" s="53" t="n">
        <v>-0.745372</v>
      </c>
    </row>
    <row r="243" customFormat="false" ht="15" hidden="false" customHeight="false" outlineLevel="0" collapsed="false">
      <c r="A243" s="43" t="n">
        <v>240</v>
      </c>
      <c r="B243" s="44" t="str">
        <f aca="false">'Model Inputs &amp; Assumptions'!$B$28</f>
        <v>finanzen.net — Q1 Awareness Burst</v>
      </c>
      <c r="C243" s="45" t="n">
        <f aca="false">ROUND(MAX(0,'Model Inputs &amp; Assumptions'!$S$28*EXP('Model Inputs &amp; Assumptions'!$T$28*P243-'Model Inputs &amp; Assumptions'!$T$28^2/2)),0)</f>
        <v>489752</v>
      </c>
      <c r="D243" s="46" t="n">
        <f aca="false">MIN(1,'Model Inputs &amp; Assumptions'!$U$28*EXP('Model Inputs &amp; Assumptions'!$V$28*Q243-'Model Inputs &amp; Assumptions'!$V$28^2/2))</f>
        <v>0</v>
      </c>
      <c r="E243" s="45" t="n">
        <f aca="false">ROUND(C243*D243,0)</f>
        <v>0</v>
      </c>
      <c r="F243" s="47" t="n">
        <f aca="false">MIN(1,'Model Inputs &amp; Assumptions'!$W$28*EXP('Model Inputs &amp; Assumptions'!$X$28*R243-'Model Inputs &amp; Assumptions'!$X$28^2/2))</f>
        <v>0.00161225336831592</v>
      </c>
      <c r="G243" s="45" t="n">
        <f aca="false">ROUND(C243*F243,0)</f>
        <v>790</v>
      </c>
      <c r="H243" s="48" t="n">
        <f aca="false">MAX(0,(C243*'Model Inputs &amp; Assumptions'!$N$28+E243*'Model Inputs &amp; Assumptions'!$O$28+G243*'Model Inputs &amp; Assumptions'!$P$28)*EXP('Model Inputs &amp; Assumptions'!$Q$28*S243-'Model Inputs &amp; Assumptions'!$Q$28^2/2))</f>
        <v>37.2383650409589</v>
      </c>
      <c r="I243" s="49" t="n">
        <f aca="false">IF('Model Inputs &amp; Assumptions'!$H$28="Fixed",'Model Inputs &amp; Assumptions'!$I$28*'Model Inputs &amp; Assumptions'!$K$28,IF('Model Inputs &amp; Assumptions'!$H$28="CPM",'Model Inputs &amp; Assumptions'!$I$28*'Model Inputs &amp; Assumptions'!$K$28*C243/1000,IF('Model Inputs &amp; Assumptions'!$H$28="CPC",'Model Inputs &amp; Assumptions'!$I$28*'Model Inputs &amp; Assumptions'!$K$28*G243,0)))</f>
        <v>3183.388</v>
      </c>
      <c r="J243" s="50" t="n">
        <f aca="false">H243*INDEX('Model Inputs &amp; Assumptions'!$D$40:$D$42,MATCH('Model Inputs &amp; Assumptions'!$L$28,'Model Inputs &amp; Assumptions'!$A$40:$A$42,0))*INDEX('Model Inputs &amp; Assumptions'!$H$40:$H$42,MATCH('Model Inputs &amp; Assumptions'!$L$28,'Model Inputs &amp; Assumptions'!$A$40:$A$42,0))</f>
        <v>316526.102848151</v>
      </c>
      <c r="K243" s="49" t="n">
        <f aca="false">H243*INDEX('Model Inputs &amp; Assumptions'!$G$40:$G$42,MATCH('Model Inputs &amp; Assumptions'!$L$28,'Model Inputs &amp; Assumptions'!$A$40:$A$42,0))*INDEX('Model Inputs &amp; Assumptions'!$H$40:$H$42,MATCH('Model Inputs &amp; Assumptions'!$L$28,'Model Inputs &amp; Assumptions'!$A$40:$A$42,0))</f>
        <v>7121.8373140834</v>
      </c>
      <c r="L243" s="51" t="n">
        <f aca="false">IFERROR(K243/I243,0)</f>
        <v>2.23718796266223</v>
      </c>
      <c r="M243" s="49" t="n">
        <f aca="false">IFERROR(I243/H243,0)</f>
        <v>85.4867821532592</v>
      </c>
      <c r="N243" s="52" t="str">
        <f aca="false">'Model Inputs &amp; Assumptions'!$L$28</f>
        <v>PRD-EUAI</v>
      </c>
      <c r="P243" s="53" t="n">
        <v>0.438179</v>
      </c>
      <c r="Q243" s="53" t="n">
        <v>-0.217275</v>
      </c>
      <c r="R243" s="53" t="n">
        <v>0.438035</v>
      </c>
      <c r="S243" s="53" t="n">
        <v>1.656215</v>
      </c>
    </row>
    <row r="244" customFormat="false" ht="15" hidden="false" customHeight="false" outlineLevel="0" collapsed="false">
      <c r="A244" s="43" t="n">
        <v>241</v>
      </c>
      <c r="B244" s="44" t="str">
        <f aca="false">'Model Inputs &amp; Assumptions'!$B$28</f>
        <v>finanzen.net — Q1 Awareness Burst</v>
      </c>
      <c r="C244" s="45" t="n">
        <f aca="false">ROUND(MAX(0,'Model Inputs &amp; Assumptions'!$S$28*EXP('Model Inputs &amp; Assumptions'!$T$28*P244-'Model Inputs &amp; Assumptions'!$T$28^2/2)),0)</f>
        <v>369423</v>
      </c>
      <c r="D244" s="46" t="n">
        <f aca="false">MIN(1,'Model Inputs &amp; Assumptions'!$U$28*EXP('Model Inputs &amp; Assumptions'!$V$28*Q244-'Model Inputs &amp; Assumptions'!$V$28^2/2))</f>
        <v>0</v>
      </c>
      <c r="E244" s="45" t="n">
        <f aca="false">ROUND(C244*D244,0)</f>
        <v>0</v>
      </c>
      <c r="F244" s="47" t="n">
        <f aca="false">MIN(1,'Model Inputs &amp; Assumptions'!$W$28*EXP('Model Inputs &amp; Assumptions'!$X$28*R244-'Model Inputs &amp; Assumptions'!$X$28^2/2))</f>
        <v>0.00190346317004447</v>
      </c>
      <c r="G244" s="45" t="n">
        <f aca="false">ROUND(C244*F244,0)</f>
        <v>703</v>
      </c>
      <c r="H244" s="48" t="n">
        <f aca="false">MAX(0,(C244*'Model Inputs &amp; Assumptions'!$N$28+E244*'Model Inputs &amp; Assumptions'!$O$28+G244*'Model Inputs &amp; Assumptions'!$P$28)*EXP('Model Inputs &amp; Assumptions'!$Q$28*S244-'Model Inputs &amp; Assumptions'!$Q$28^2/2))</f>
        <v>13.6301015272801</v>
      </c>
      <c r="I244" s="49" t="n">
        <f aca="false">IF('Model Inputs &amp; Assumptions'!$H$28="Fixed",'Model Inputs &amp; Assumptions'!$I$28*'Model Inputs &amp; Assumptions'!$K$28,IF('Model Inputs &amp; Assumptions'!$H$28="CPM",'Model Inputs &amp; Assumptions'!$I$28*'Model Inputs &amp; Assumptions'!$K$28*C244/1000,IF('Model Inputs &amp; Assumptions'!$H$28="CPC",'Model Inputs &amp; Assumptions'!$I$28*'Model Inputs &amp; Assumptions'!$K$28*G244,0)))</f>
        <v>2401.2495</v>
      </c>
      <c r="J244" s="50" t="n">
        <f aca="false">H244*INDEX('Model Inputs &amp; Assumptions'!$D$40:$D$42,MATCH('Model Inputs &amp; Assumptions'!$L$28,'Model Inputs &amp; Assumptions'!$A$40:$A$42,0))*INDEX('Model Inputs &amp; Assumptions'!$H$40:$H$42,MATCH('Model Inputs &amp; Assumptions'!$L$28,'Model Inputs &amp; Assumptions'!$A$40:$A$42,0))</f>
        <v>115855.862981881</v>
      </c>
      <c r="K244" s="49" t="n">
        <f aca="false">H244*INDEX('Model Inputs &amp; Assumptions'!$G$40:$G$42,MATCH('Model Inputs &amp; Assumptions'!$L$28,'Model Inputs &amp; Assumptions'!$A$40:$A$42,0))*INDEX('Model Inputs &amp; Assumptions'!$H$40:$H$42,MATCH('Model Inputs &amp; Assumptions'!$L$28,'Model Inputs &amp; Assumptions'!$A$40:$A$42,0))</f>
        <v>2606.75691709232</v>
      </c>
      <c r="L244" s="51" t="n">
        <f aca="false">IFERROR(K244/I244,0)</f>
        <v>1.08558353352799</v>
      </c>
      <c r="M244" s="49" t="n">
        <f aca="false">IFERROR(I244/H244,0)</f>
        <v>176.172532185032</v>
      </c>
      <c r="N244" s="52" t="str">
        <f aca="false">'Model Inputs &amp; Assumptions'!$L$28</f>
        <v>PRD-EUAI</v>
      </c>
      <c r="P244" s="53" t="n">
        <v>-1.128238</v>
      </c>
      <c r="Q244" s="53" t="n">
        <v>0.858779</v>
      </c>
      <c r="R244" s="53" t="n">
        <v>1.192772</v>
      </c>
      <c r="S244" s="53" t="n">
        <v>-1.305061</v>
      </c>
    </row>
    <row r="245" customFormat="false" ht="15" hidden="false" customHeight="false" outlineLevel="0" collapsed="false">
      <c r="A245" s="43" t="n">
        <v>242</v>
      </c>
      <c r="B245" s="44" t="str">
        <f aca="false">'Model Inputs &amp; Assumptions'!$B$28</f>
        <v>finanzen.net — Q1 Awareness Burst</v>
      </c>
      <c r="C245" s="45" t="n">
        <f aca="false">ROUND(MAX(0,'Model Inputs &amp; Assumptions'!$S$28*EXP('Model Inputs &amp; Assumptions'!$T$28*P245-'Model Inputs &amp; Assumptions'!$T$28^2/2)),0)</f>
        <v>360566</v>
      </c>
      <c r="D245" s="46" t="n">
        <f aca="false">MIN(1,'Model Inputs &amp; Assumptions'!$U$28*EXP('Model Inputs &amp; Assumptions'!$V$28*Q245-'Model Inputs &amp; Assumptions'!$V$28^2/2))</f>
        <v>0</v>
      </c>
      <c r="E245" s="45" t="n">
        <f aca="false">ROUND(C245*D245,0)</f>
        <v>0</v>
      </c>
      <c r="F245" s="47" t="n">
        <f aca="false">MIN(1,'Model Inputs &amp; Assumptions'!$W$28*EXP('Model Inputs &amp; Assumptions'!$X$28*R245-'Model Inputs &amp; Assumptions'!$X$28^2/2))</f>
        <v>0.00185968167035585</v>
      </c>
      <c r="G245" s="45" t="n">
        <f aca="false">ROUND(C245*F245,0)</f>
        <v>671</v>
      </c>
      <c r="H245" s="48" t="n">
        <f aca="false">MAX(0,(C245*'Model Inputs &amp; Assumptions'!$N$28+E245*'Model Inputs &amp; Assumptions'!$O$28+G245*'Model Inputs &amp; Assumptions'!$P$28)*EXP('Model Inputs &amp; Assumptions'!$Q$28*S245-'Model Inputs &amp; Assumptions'!$Q$28^2/2))</f>
        <v>22.149241224003</v>
      </c>
      <c r="I245" s="49" t="n">
        <f aca="false">IF('Model Inputs &amp; Assumptions'!$H$28="Fixed",'Model Inputs &amp; Assumptions'!$I$28*'Model Inputs &amp; Assumptions'!$K$28,IF('Model Inputs &amp; Assumptions'!$H$28="CPM",'Model Inputs &amp; Assumptions'!$I$28*'Model Inputs &amp; Assumptions'!$K$28*C245/1000,IF('Model Inputs &amp; Assumptions'!$H$28="CPC",'Model Inputs &amp; Assumptions'!$I$28*'Model Inputs &amp; Assumptions'!$K$28*G245,0)))</f>
        <v>2343.679</v>
      </c>
      <c r="J245" s="50" t="n">
        <f aca="false">H245*INDEX('Model Inputs &amp; Assumptions'!$D$40:$D$42,MATCH('Model Inputs &amp; Assumptions'!$L$28,'Model Inputs &amp; Assumptions'!$A$40:$A$42,0))*INDEX('Model Inputs &amp; Assumptions'!$H$40:$H$42,MATCH('Model Inputs &amp; Assumptions'!$L$28,'Model Inputs &amp; Assumptions'!$A$40:$A$42,0))</f>
        <v>188268.550404026</v>
      </c>
      <c r="K245" s="49" t="n">
        <f aca="false">H245*INDEX('Model Inputs &amp; Assumptions'!$G$40:$G$42,MATCH('Model Inputs &amp; Assumptions'!$L$28,'Model Inputs &amp; Assumptions'!$A$40:$A$42,0))*INDEX('Model Inputs &amp; Assumptions'!$H$40:$H$42,MATCH('Model Inputs &amp; Assumptions'!$L$28,'Model Inputs &amp; Assumptions'!$A$40:$A$42,0))</f>
        <v>4236.04238409058</v>
      </c>
      <c r="L245" s="51" t="n">
        <f aca="false">IFERROR(K245/I245,0)</f>
        <v>1.80743283704406</v>
      </c>
      <c r="M245" s="49" t="n">
        <f aca="false">IFERROR(I245/H245,0)</f>
        <v>105.81306042485</v>
      </c>
      <c r="N245" s="52" t="str">
        <f aca="false">'Model Inputs &amp; Assumptions'!$L$28</f>
        <v>PRD-EUAI</v>
      </c>
      <c r="P245" s="53" t="n">
        <v>-1.263064</v>
      </c>
      <c r="Q245" s="53" t="n">
        <v>0.712643</v>
      </c>
      <c r="R245" s="53" t="n">
        <v>1.087001</v>
      </c>
      <c r="S245" s="53" t="n">
        <v>0.46864</v>
      </c>
    </row>
    <row r="246" customFormat="false" ht="15" hidden="false" customHeight="false" outlineLevel="0" collapsed="false">
      <c r="A246" s="43" t="n">
        <v>243</v>
      </c>
      <c r="B246" s="44" t="str">
        <f aca="false">'Model Inputs &amp; Assumptions'!$B$28</f>
        <v>finanzen.net — Q1 Awareness Burst</v>
      </c>
      <c r="C246" s="45" t="n">
        <f aca="false">ROUND(MAX(0,'Model Inputs &amp; Assumptions'!$S$28*EXP('Model Inputs &amp; Assumptions'!$T$28*P246-'Model Inputs &amp; Assumptions'!$T$28^2/2)),0)</f>
        <v>590212</v>
      </c>
      <c r="D246" s="46" t="n">
        <f aca="false">MIN(1,'Model Inputs &amp; Assumptions'!$U$28*EXP('Model Inputs &amp; Assumptions'!$V$28*Q246-'Model Inputs &amp; Assumptions'!$V$28^2/2))</f>
        <v>0</v>
      </c>
      <c r="E246" s="45" t="n">
        <f aca="false">ROUND(C246*D246,0)</f>
        <v>0</v>
      </c>
      <c r="F246" s="47" t="n">
        <f aca="false">MIN(1,'Model Inputs &amp; Assumptions'!$W$28*EXP('Model Inputs &amp; Assumptions'!$X$28*R246-'Model Inputs &amp; Assumptions'!$X$28^2/2))</f>
        <v>0.00144536913849762</v>
      </c>
      <c r="G246" s="45" t="n">
        <f aca="false">ROUND(C246*F246,0)</f>
        <v>853</v>
      </c>
      <c r="H246" s="48" t="n">
        <f aca="false">MAX(0,(C246*'Model Inputs &amp; Assumptions'!$N$28+E246*'Model Inputs &amp; Assumptions'!$O$28+G246*'Model Inputs &amp; Assumptions'!$P$28)*EXP('Model Inputs &amp; Assumptions'!$Q$28*S246-'Model Inputs &amp; Assumptions'!$Q$28^2/2))</f>
        <v>27.4294224735244</v>
      </c>
      <c r="I246" s="49" t="n">
        <f aca="false">IF('Model Inputs &amp; Assumptions'!$H$28="Fixed",'Model Inputs &amp; Assumptions'!$I$28*'Model Inputs &amp; Assumptions'!$K$28,IF('Model Inputs &amp; Assumptions'!$H$28="CPM",'Model Inputs &amp; Assumptions'!$I$28*'Model Inputs &amp; Assumptions'!$K$28*C246/1000,IF('Model Inputs &amp; Assumptions'!$H$28="CPC",'Model Inputs &amp; Assumptions'!$I$28*'Model Inputs &amp; Assumptions'!$K$28*G246,0)))</f>
        <v>3836.378</v>
      </c>
      <c r="J246" s="50" t="n">
        <f aca="false">H246*INDEX('Model Inputs &amp; Assumptions'!$D$40:$D$42,MATCH('Model Inputs &amp; Assumptions'!$L$28,'Model Inputs &amp; Assumptions'!$A$40:$A$42,0))*INDEX('Model Inputs &amp; Assumptions'!$H$40:$H$42,MATCH('Model Inputs &amp; Assumptions'!$L$28,'Model Inputs &amp; Assumptions'!$A$40:$A$42,0))</f>
        <v>233150.091024958</v>
      </c>
      <c r="K246" s="49" t="n">
        <f aca="false">H246*INDEX('Model Inputs &amp; Assumptions'!$G$40:$G$42,MATCH('Model Inputs &amp; Assumptions'!$L$28,'Model Inputs &amp; Assumptions'!$A$40:$A$42,0))*INDEX('Model Inputs &amp; Assumptions'!$H$40:$H$42,MATCH('Model Inputs &amp; Assumptions'!$L$28,'Model Inputs &amp; Assumptions'!$A$40:$A$42,0))</f>
        <v>5245.87704806155</v>
      </c>
      <c r="L246" s="51" t="n">
        <f aca="false">IFERROR(K246/I246,0)</f>
        <v>1.36740358954763</v>
      </c>
      <c r="M246" s="49" t="n">
        <f aca="false">IFERROR(I246/H246,0)</f>
        <v>139.863608273305</v>
      </c>
      <c r="N246" s="52" t="str">
        <f aca="false">'Model Inputs &amp; Assumptions'!$L$28</f>
        <v>PRD-EUAI</v>
      </c>
      <c r="P246" s="53" t="n">
        <v>1.474756</v>
      </c>
      <c r="Q246" s="53" t="n">
        <v>0.179075</v>
      </c>
      <c r="R246" s="53" t="n">
        <v>-0.058638</v>
      </c>
      <c r="S246" s="53" t="n">
        <v>0.381382</v>
      </c>
    </row>
    <row r="247" customFormat="false" ht="15" hidden="false" customHeight="false" outlineLevel="0" collapsed="false">
      <c r="A247" s="43" t="n">
        <v>244</v>
      </c>
      <c r="B247" s="44" t="str">
        <f aca="false">'Model Inputs &amp; Assumptions'!$B$28</f>
        <v>finanzen.net — Q1 Awareness Burst</v>
      </c>
      <c r="C247" s="45" t="n">
        <f aca="false">ROUND(MAX(0,'Model Inputs &amp; Assumptions'!$S$28*EXP('Model Inputs &amp; Assumptions'!$T$28*P247-'Model Inputs &amp; Assumptions'!$T$28^2/2)),0)</f>
        <v>333073</v>
      </c>
      <c r="D247" s="46" t="n">
        <f aca="false">MIN(1,'Model Inputs &amp; Assumptions'!$U$28*EXP('Model Inputs &amp; Assumptions'!$V$28*Q247-'Model Inputs &amp; Assumptions'!$V$28^2/2))</f>
        <v>0</v>
      </c>
      <c r="E247" s="45" t="n">
        <f aca="false">ROUND(C247*D247,0)</f>
        <v>0</v>
      </c>
      <c r="F247" s="47" t="n">
        <f aca="false">MIN(1,'Model Inputs &amp; Assumptions'!$W$28*EXP('Model Inputs &amp; Assumptions'!$X$28*R247-'Model Inputs &amp; Assumptions'!$X$28^2/2))</f>
        <v>0.00137300714143413</v>
      </c>
      <c r="G247" s="45" t="n">
        <f aca="false">ROUND(C247*F247,0)</f>
        <v>457</v>
      </c>
      <c r="H247" s="48" t="n">
        <f aca="false">MAX(0,(C247*'Model Inputs &amp; Assumptions'!$N$28+E247*'Model Inputs &amp; Assumptions'!$O$28+G247*'Model Inputs &amp; Assumptions'!$P$28)*EXP('Model Inputs &amp; Assumptions'!$Q$28*S247-'Model Inputs &amp; Assumptions'!$Q$28^2/2))</f>
        <v>12.0568515724802</v>
      </c>
      <c r="I247" s="49" t="n">
        <f aca="false">IF('Model Inputs &amp; Assumptions'!$H$28="Fixed",'Model Inputs &amp; Assumptions'!$I$28*'Model Inputs &amp; Assumptions'!$K$28,IF('Model Inputs &amp; Assumptions'!$H$28="CPM",'Model Inputs &amp; Assumptions'!$I$28*'Model Inputs &amp; Assumptions'!$K$28*C247/1000,IF('Model Inputs &amp; Assumptions'!$H$28="CPC",'Model Inputs &amp; Assumptions'!$I$28*'Model Inputs &amp; Assumptions'!$K$28*G247,0)))</f>
        <v>2164.9745</v>
      </c>
      <c r="J247" s="50" t="n">
        <f aca="false">H247*INDEX('Model Inputs &amp; Assumptions'!$D$40:$D$42,MATCH('Model Inputs &amp; Assumptions'!$L$28,'Model Inputs &amp; Assumptions'!$A$40:$A$42,0))*INDEX('Model Inputs &amp; Assumptions'!$H$40:$H$42,MATCH('Model Inputs &amp; Assumptions'!$L$28,'Model Inputs &amp; Assumptions'!$A$40:$A$42,0))</f>
        <v>102483.238366082</v>
      </c>
      <c r="K247" s="49" t="n">
        <f aca="false">H247*INDEX('Model Inputs &amp; Assumptions'!$G$40:$G$42,MATCH('Model Inputs &amp; Assumptions'!$L$28,'Model Inputs &amp; Assumptions'!$A$40:$A$42,0))*INDEX('Model Inputs &amp; Assumptions'!$H$40:$H$42,MATCH('Model Inputs &amp; Assumptions'!$L$28,'Model Inputs &amp; Assumptions'!$A$40:$A$42,0))</f>
        <v>2305.87286323684</v>
      </c>
      <c r="L247" s="51" t="n">
        <f aca="false">IFERROR(K247/I247,0)</f>
        <v>1.06508084193918</v>
      </c>
      <c r="M247" s="49" t="n">
        <f aca="false">IFERROR(I247/H247,0)</f>
        <v>179.563834470813</v>
      </c>
      <c r="N247" s="52" t="str">
        <f aca="false">'Model Inputs &amp; Assumptions'!$L$28</f>
        <v>PRD-EUAI</v>
      </c>
      <c r="P247" s="53" t="n">
        <v>-1.703689</v>
      </c>
      <c r="Q247" s="53" t="n">
        <v>0.127349</v>
      </c>
      <c r="R247" s="53" t="n">
        <v>-0.292099</v>
      </c>
      <c r="S247" s="53" t="n">
        <v>-0.278308</v>
      </c>
    </row>
    <row r="248" customFormat="false" ht="15" hidden="false" customHeight="false" outlineLevel="0" collapsed="false">
      <c r="A248" s="43" t="n">
        <v>245</v>
      </c>
      <c r="B248" s="44" t="str">
        <f aca="false">'Model Inputs &amp; Assumptions'!$B$28</f>
        <v>finanzen.net — Q1 Awareness Burst</v>
      </c>
      <c r="C248" s="45" t="n">
        <f aca="false">ROUND(MAX(0,'Model Inputs &amp; Assumptions'!$S$28*EXP('Model Inputs &amp; Assumptions'!$T$28*P248-'Model Inputs &amp; Assumptions'!$T$28^2/2)),0)</f>
        <v>458974</v>
      </c>
      <c r="D248" s="46" t="n">
        <f aca="false">MIN(1,'Model Inputs &amp; Assumptions'!$U$28*EXP('Model Inputs &amp; Assumptions'!$V$28*Q248-'Model Inputs &amp; Assumptions'!$V$28^2/2))</f>
        <v>0</v>
      </c>
      <c r="E248" s="45" t="n">
        <f aca="false">ROUND(C248*D248,0)</f>
        <v>0</v>
      </c>
      <c r="F248" s="47" t="n">
        <f aca="false">MIN(1,'Model Inputs &amp; Assumptions'!$W$28*EXP('Model Inputs &amp; Assumptions'!$X$28*R248-'Model Inputs &amp; Assumptions'!$X$28^2/2))</f>
        <v>0.000919337284089637</v>
      </c>
      <c r="G248" s="45" t="n">
        <f aca="false">ROUND(C248*F248,0)</f>
        <v>422</v>
      </c>
      <c r="H248" s="48" t="n">
        <f aca="false">MAX(0,(C248*'Model Inputs &amp; Assumptions'!$N$28+E248*'Model Inputs &amp; Assumptions'!$O$28+G248*'Model Inputs &amp; Assumptions'!$P$28)*EXP('Model Inputs &amp; Assumptions'!$Q$28*S248-'Model Inputs &amp; Assumptions'!$Q$28^2/2))</f>
        <v>18.9060280700017</v>
      </c>
      <c r="I248" s="49" t="n">
        <f aca="false">IF('Model Inputs &amp; Assumptions'!$H$28="Fixed",'Model Inputs &amp; Assumptions'!$I$28*'Model Inputs &amp; Assumptions'!$K$28,IF('Model Inputs &amp; Assumptions'!$H$28="CPM",'Model Inputs &amp; Assumptions'!$I$28*'Model Inputs &amp; Assumptions'!$K$28*C248/1000,IF('Model Inputs &amp; Assumptions'!$H$28="CPC",'Model Inputs &amp; Assumptions'!$I$28*'Model Inputs &amp; Assumptions'!$K$28*G248,0)))</f>
        <v>2983.331</v>
      </c>
      <c r="J248" s="50" t="n">
        <f aca="false">H248*INDEX('Model Inputs &amp; Assumptions'!$D$40:$D$42,MATCH('Model Inputs &amp; Assumptions'!$L$28,'Model Inputs &amp; Assumptions'!$A$40:$A$42,0))*INDEX('Model Inputs &amp; Assumptions'!$H$40:$H$42,MATCH('Model Inputs &amp; Assumptions'!$L$28,'Model Inputs &amp; Assumptions'!$A$40:$A$42,0))</f>
        <v>160701.238595015</v>
      </c>
      <c r="K248" s="49" t="n">
        <f aca="false">H248*INDEX('Model Inputs &amp; Assumptions'!$G$40:$G$42,MATCH('Model Inputs &amp; Assumptions'!$L$28,'Model Inputs &amp; Assumptions'!$A$40:$A$42,0))*INDEX('Model Inputs &amp; Assumptions'!$H$40:$H$42,MATCH('Model Inputs &amp; Assumptions'!$L$28,'Model Inputs &amp; Assumptions'!$A$40:$A$42,0))</f>
        <v>3615.77786838783</v>
      </c>
      <c r="L248" s="51" t="n">
        <f aca="false">IFERROR(K248/I248,0)</f>
        <v>1.21199352951041</v>
      </c>
      <c r="M248" s="49" t="n">
        <f aca="false">IFERROR(I248/H248,0)</f>
        <v>157.797872136542</v>
      </c>
      <c r="N248" s="52" t="str">
        <f aca="false">'Model Inputs &amp; Assumptions'!$L$28</f>
        <v>PRD-EUAI</v>
      </c>
      <c r="P248" s="53" t="n">
        <v>0.077589</v>
      </c>
      <c r="Q248" s="53" t="n">
        <v>-0.241225</v>
      </c>
      <c r="R248" s="53" t="n">
        <v>-2.115306</v>
      </c>
      <c r="S248" s="53" t="n">
        <v>1.486778</v>
      </c>
    </row>
    <row r="249" customFormat="false" ht="15" hidden="false" customHeight="false" outlineLevel="0" collapsed="false">
      <c r="A249" s="43" t="n">
        <v>246</v>
      </c>
      <c r="B249" s="44" t="str">
        <f aca="false">'Model Inputs &amp; Assumptions'!$B$28</f>
        <v>finanzen.net — Q1 Awareness Burst</v>
      </c>
      <c r="C249" s="45" t="n">
        <f aca="false">ROUND(MAX(0,'Model Inputs &amp; Assumptions'!$S$28*EXP('Model Inputs &amp; Assumptions'!$T$28*P249-'Model Inputs &amp; Assumptions'!$T$28^2/2)),0)</f>
        <v>395587</v>
      </c>
      <c r="D249" s="46" t="n">
        <f aca="false">MIN(1,'Model Inputs &amp; Assumptions'!$U$28*EXP('Model Inputs &amp; Assumptions'!$V$28*Q249-'Model Inputs &amp; Assumptions'!$V$28^2/2))</f>
        <v>0</v>
      </c>
      <c r="E249" s="45" t="n">
        <f aca="false">ROUND(C249*D249,0)</f>
        <v>0</v>
      </c>
      <c r="F249" s="47" t="n">
        <f aca="false">MIN(1,'Model Inputs &amp; Assumptions'!$W$28*EXP('Model Inputs &amp; Assumptions'!$X$28*R249-'Model Inputs &amp; Assumptions'!$X$28^2/2))</f>
        <v>0.00129104980289116</v>
      </c>
      <c r="G249" s="45" t="n">
        <f aca="false">ROUND(C249*F249,0)</f>
        <v>511</v>
      </c>
      <c r="H249" s="48" t="n">
        <f aca="false">MAX(0,(C249*'Model Inputs &amp; Assumptions'!$N$28+E249*'Model Inputs &amp; Assumptions'!$O$28+G249*'Model Inputs &amp; Assumptions'!$P$28)*EXP('Model Inputs &amp; Assumptions'!$Q$28*S249-'Model Inputs &amp; Assumptions'!$Q$28^2/2))</f>
        <v>20.0063673999741</v>
      </c>
      <c r="I249" s="49" t="n">
        <f aca="false">IF('Model Inputs &amp; Assumptions'!$H$28="Fixed",'Model Inputs &amp; Assumptions'!$I$28*'Model Inputs &amp; Assumptions'!$K$28,IF('Model Inputs &amp; Assumptions'!$H$28="CPM",'Model Inputs &amp; Assumptions'!$I$28*'Model Inputs &amp; Assumptions'!$K$28*C249/1000,IF('Model Inputs &amp; Assumptions'!$H$28="CPC",'Model Inputs &amp; Assumptions'!$I$28*'Model Inputs &amp; Assumptions'!$K$28*G249,0)))</f>
        <v>2571.3155</v>
      </c>
      <c r="J249" s="50" t="n">
        <f aca="false">H249*INDEX('Model Inputs &amp; Assumptions'!$D$40:$D$42,MATCH('Model Inputs &amp; Assumptions'!$L$28,'Model Inputs &amp; Assumptions'!$A$40:$A$42,0))*INDEX('Model Inputs &amp; Assumptions'!$H$40:$H$42,MATCH('Model Inputs &amp; Assumptions'!$L$28,'Model Inputs &amp; Assumptions'!$A$40:$A$42,0))</f>
        <v>170054.12289978</v>
      </c>
      <c r="K249" s="49" t="n">
        <f aca="false">H249*INDEX('Model Inputs &amp; Assumptions'!$G$40:$G$42,MATCH('Model Inputs &amp; Assumptions'!$L$28,'Model Inputs &amp; Assumptions'!$A$40:$A$42,0))*INDEX('Model Inputs &amp; Assumptions'!$H$40:$H$42,MATCH('Model Inputs &amp; Assumptions'!$L$28,'Model Inputs &amp; Assumptions'!$A$40:$A$42,0))</f>
        <v>3826.21776524505</v>
      </c>
      <c r="L249" s="51" t="n">
        <f aca="false">IFERROR(K249/I249,0)</f>
        <v>1.488039007755</v>
      </c>
      <c r="M249" s="49" t="n">
        <f aca="false">IFERROR(I249/H249,0)</f>
        <v>128.524856541589</v>
      </c>
      <c r="N249" s="52" t="str">
        <f aca="false">'Model Inputs &amp; Assumptions'!$L$28</f>
        <v>PRD-EUAI</v>
      </c>
      <c r="P249" s="53" t="n">
        <v>-0.748092</v>
      </c>
      <c r="Q249" s="53" t="n">
        <v>-1.792513</v>
      </c>
      <c r="R249" s="53" t="n">
        <v>-0.571861</v>
      </c>
      <c r="S249" s="53" t="n">
        <v>1.037463</v>
      </c>
    </row>
    <row r="250" customFormat="false" ht="15" hidden="false" customHeight="false" outlineLevel="0" collapsed="false">
      <c r="A250" s="43" t="n">
        <v>247</v>
      </c>
      <c r="B250" s="44" t="str">
        <f aca="false">'Model Inputs &amp; Assumptions'!$B$28</f>
        <v>finanzen.net — Q1 Awareness Burst</v>
      </c>
      <c r="C250" s="45" t="n">
        <f aca="false">ROUND(MAX(0,'Model Inputs &amp; Assumptions'!$S$28*EXP('Model Inputs &amp; Assumptions'!$T$28*P250-'Model Inputs &amp; Assumptions'!$T$28^2/2)),0)</f>
        <v>460504</v>
      </c>
      <c r="D250" s="46" t="n">
        <f aca="false">MIN(1,'Model Inputs &amp; Assumptions'!$U$28*EXP('Model Inputs &amp; Assumptions'!$V$28*Q250-'Model Inputs &amp; Assumptions'!$V$28^2/2))</f>
        <v>0</v>
      </c>
      <c r="E250" s="45" t="n">
        <f aca="false">ROUND(C250*D250,0)</f>
        <v>0</v>
      </c>
      <c r="F250" s="47" t="n">
        <f aca="false">MIN(1,'Model Inputs &amp; Assumptions'!$W$28*EXP('Model Inputs &amp; Assumptions'!$X$28*R250-'Model Inputs &amp; Assumptions'!$X$28^2/2))</f>
        <v>0.00168377252765775</v>
      </c>
      <c r="G250" s="45" t="n">
        <f aca="false">ROUND(C250*F250,0)</f>
        <v>775</v>
      </c>
      <c r="H250" s="48" t="n">
        <f aca="false">MAX(0,(C250*'Model Inputs &amp; Assumptions'!$N$28+E250*'Model Inputs &amp; Assumptions'!$O$28+G250*'Model Inputs &amp; Assumptions'!$P$28)*EXP('Model Inputs &amp; Assumptions'!$Q$28*S250-'Model Inputs &amp; Assumptions'!$Q$28^2/2))</f>
        <v>21.5109784853475</v>
      </c>
      <c r="I250" s="49" t="n">
        <f aca="false">IF('Model Inputs &amp; Assumptions'!$H$28="Fixed",'Model Inputs &amp; Assumptions'!$I$28*'Model Inputs &amp; Assumptions'!$K$28,IF('Model Inputs &amp; Assumptions'!$H$28="CPM",'Model Inputs &amp; Assumptions'!$I$28*'Model Inputs &amp; Assumptions'!$K$28*C250/1000,IF('Model Inputs &amp; Assumptions'!$H$28="CPC",'Model Inputs &amp; Assumptions'!$I$28*'Model Inputs &amp; Assumptions'!$K$28*G250,0)))</f>
        <v>2993.276</v>
      </c>
      <c r="J250" s="50" t="n">
        <f aca="false">H250*INDEX('Model Inputs &amp; Assumptions'!$D$40:$D$42,MATCH('Model Inputs &amp; Assumptions'!$L$28,'Model Inputs &amp; Assumptions'!$A$40:$A$42,0))*INDEX('Model Inputs &amp; Assumptions'!$H$40:$H$42,MATCH('Model Inputs &amp; Assumptions'!$L$28,'Model Inputs &amp; Assumptions'!$A$40:$A$42,0))</f>
        <v>182843.317125454</v>
      </c>
      <c r="K250" s="49" t="n">
        <f aca="false">H250*INDEX('Model Inputs &amp; Assumptions'!$G$40:$G$42,MATCH('Model Inputs &amp; Assumptions'!$L$28,'Model Inputs &amp; Assumptions'!$A$40:$A$42,0))*INDEX('Model Inputs &amp; Assumptions'!$H$40:$H$42,MATCH('Model Inputs &amp; Assumptions'!$L$28,'Model Inputs &amp; Assumptions'!$A$40:$A$42,0))</f>
        <v>4113.97463532272</v>
      </c>
      <c r="L250" s="51" t="n">
        <f aca="false">IFERROR(K250/I250,0)</f>
        <v>1.37440537903044</v>
      </c>
      <c r="M250" s="49" t="n">
        <f aca="false">IFERROR(I250/H250,0)</f>
        <v>139.151085202326</v>
      </c>
      <c r="N250" s="52" t="str">
        <f aca="false">'Model Inputs &amp; Assumptions'!$L$28</f>
        <v>PRD-EUAI</v>
      </c>
      <c r="P250" s="53" t="n">
        <v>0.096085</v>
      </c>
      <c r="Q250" s="53" t="n">
        <v>1.170782</v>
      </c>
      <c r="R250" s="53" t="n">
        <v>0.635326</v>
      </c>
      <c r="S250" s="53" t="n">
        <v>-0.109139</v>
      </c>
    </row>
    <row r="251" customFormat="false" ht="15" hidden="false" customHeight="false" outlineLevel="0" collapsed="false">
      <c r="A251" s="43" t="n">
        <v>248</v>
      </c>
      <c r="B251" s="44" t="str">
        <f aca="false">'Model Inputs &amp; Assumptions'!$B$28</f>
        <v>finanzen.net — Q1 Awareness Burst</v>
      </c>
      <c r="C251" s="45" t="n">
        <f aca="false">ROUND(MAX(0,'Model Inputs &amp; Assumptions'!$S$28*EXP('Model Inputs &amp; Assumptions'!$T$28*P251-'Model Inputs &amp; Assumptions'!$T$28^2/2)),0)</f>
        <v>460110</v>
      </c>
      <c r="D251" s="46" t="n">
        <f aca="false">MIN(1,'Model Inputs &amp; Assumptions'!$U$28*EXP('Model Inputs &amp; Assumptions'!$V$28*Q251-'Model Inputs &amp; Assumptions'!$V$28^2/2))</f>
        <v>0</v>
      </c>
      <c r="E251" s="45" t="n">
        <f aca="false">ROUND(C251*D251,0)</f>
        <v>0</v>
      </c>
      <c r="F251" s="47" t="n">
        <f aca="false">MIN(1,'Model Inputs &amp; Assumptions'!$W$28*EXP('Model Inputs &amp; Assumptions'!$X$28*R251-'Model Inputs &amp; Assumptions'!$X$28^2/2))</f>
        <v>0.00109418928286745</v>
      </c>
      <c r="G251" s="45" t="n">
        <f aca="false">ROUND(C251*F251,0)</f>
        <v>503</v>
      </c>
      <c r="H251" s="48" t="n">
        <f aca="false">MAX(0,(C251*'Model Inputs &amp; Assumptions'!$N$28+E251*'Model Inputs &amp; Assumptions'!$O$28+G251*'Model Inputs &amp; Assumptions'!$P$28)*EXP('Model Inputs &amp; Assumptions'!$Q$28*S251-'Model Inputs &amp; Assumptions'!$Q$28^2/2))</f>
        <v>8.71294606260713</v>
      </c>
      <c r="I251" s="49" t="n">
        <f aca="false">IF('Model Inputs &amp; Assumptions'!$H$28="Fixed",'Model Inputs &amp; Assumptions'!$I$28*'Model Inputs &amp; Assumptions'!$K$28,IF('Model Inputs &amp; Assumptions'!$H$28="CPM",'Model Inputs &amp; Assumptions'!$I$28*'Model Inputs &amp; Assumptions'!$K$28*C251/1000,IF('Model Inputs &amp; Assumptions'!$H$28="CPC",'Model Inputs &amp; Assumptions'!$I$28*'Model Inputs &amp; Assumptions'!$K$28*G251,0)))</f>
        <v>2990.715</v>
      </c>
      <c r="J251" s="50" t="n">
        <f aca="false">H251*INDEX('Model Inputs &amp; Assumptions'!$D$40:$D$42,MATCH('Model Inputs &amp; Assumptions'!$L$28,'Model Inputs &amp; Assumptions'!$A$40:$A$42,0))*INDEX('Model Inputs &amp; Assumptions'!$H$40:$H$42,MATCH('Model Inputs &amp; Assumptions'!$L$28,'Model Inputs &amp; Assumptions'!$A$40:$A$42,0))</f>
        <v>74060.0415321606</v>
      </c>
      <c r="K251" s="49" t="n">
        <f aca="false">H251*INDEX('Model Inputs &amp; Assumptions'!$G$40:$G$42,MATCH('Model Inputs &amp; Assumptions'!$L$28,'Model Inputs &amp; Assumptions'!$A$40:$A$42,0))*INDEX('Model Inputs &amp; Assumptions'!$H$40:$H$42,MATCH('Model Inputs &amp; Assumptions'!$L$28,'Model Inputs &amp; Assumptions'!$A$40:$A$42,0))</f>
        <v>1666.35093447361</v>
      </c>
      <c r="L251" s="51" t="n">
        <f aca="false">IFERROR(K251/I251,0)</f>
        <v>0.557174767396296</v>
      </c>
      <c r="M251" s="49" t="n">
        <f aca="false">IFERROR(I251/H251,0)</f>
        <v>343.24957121393</v>
      </c>
      <c r="N251" s="52" t="str">
        <f aca="false">'Model Inputs &amp; Assumptions'!$L$28</f>
        <v>PRD-EUAI</v>
      </c>
      <c r="P251" s="53" t="n">
        <v>0.091332</v>
      </c>
      <c r="Q251" s="53" t="n">
        <v>-0.491907</v>
      </c>
      <c r="R251" s="53" t="n">
        <v>-1.32387</v>
      </c>
      <c r="S251" s="53" t="n">
        <v>-1.680741</v>
      </c>
    </row>
    <row r="252" customFormat="false" ht="15" hidden="false" customHeight="false" outlineLevel="0" collapsed="false">
      <c r="A252" s="43" t="n">
        <v>249</v>
      </c>
      <c r="B252" s="44" t="str">
        <f aca="false">'Model Inputs &amp; Assumptions'!$B$28</f>
        <v>finanzen.net — Q1 Awareness Burst</v>
      </c>
      <c r="C252" s="45" t="n">
        <f aca="false">ROUND(MAX(0,'Model Inputs &amp; Assumptions'!$S$28*EXP('Model Inputs &amp; Assumptions'!$T$28*P252-'Model Inputs &amp; Assumptions'!$T$28^2/2)),0)</f>
        <v>382150</v>
      </c>
      <c r="D252" s="46" t="n">
        <f aca="false">MIN(1,'Model Inputs &amp; Assumptions'!$U$28*EXP('Model Inputs &amp; Assumptions'!$V$28*Q252-'Model Inputs &amp; Assumptions'!$V$28^2/2))</f>
        <v>0</v>
      </c>
      <c r="E252" s="45" t="n">
        <f aca="false">ROUND(C252*D252,0)</f>
        <v>0</v>
      </c>
      <c r="F252" s="47" t="n">
        <f aca="false">MIN(1,'Model Inputs &amp; Assumptions'!$W$28*EXP('Model Inputs &amp; Assumptions'!$X$28*R252-'Model Inputs &amp; Assumptions'!$X$28^2/2))</f>
        <v>0.00129435987523942</v>
      </c>
      <c r="G252" s="45" t="n">
        <f aca="false">ROUND(C252*F252,0)</f>
        <v>495</v>
      </c>
      <c r="H252" s="48" t="n">
        <f aca="false">MAX(0,(C252*'Model Inputs &amp; Assumptions'!$N$28+E252*'Model Inputs &amp; Assumptions'!$O$28+G252*'Model Inputs &amp; Assumptions'!$P$28)*EXP('Model Inputs &amp; Assumptions'!$Q$28*S252-'Model Inputs &amp; Assumptions'!$Q$28^2/2))</f>
        <v>14.5909513386121</v>
      </c>
      <c r="I252" s="49" t="n">
        <f aca="false">IF('Model Inputs &amp; Assumptions'!$H$28="Fixed",'Model Inputs &amp; Assumptions'!$I$28*'Model Inputs &amp; Assumptions'!$K$28,IF('Model Inputs &amp; Assumptions'!$H$28="CPM",'Model Inputs &amp; Assumptions'!$I$28*'Model Inputs &amp; Assumptions'!$K$28*C252/1000,IF('Model Inputs &amp; Assumptions'!$H$28="CPC",'Model Inputs &amp; Assumptions'!$I$28*'Model Inputs &amp; Assumptions'!$K$28*G252,0)))</f>
        <v>2483.975</v>
      </c>
      <c r="J252" s="50" t="n">
        <f aca="false">H252*INDEX('Model Inputs &amp; Assumptions'!$D$40:$D$42,MATCH('Model Inputs &amp; Assumptions'!$L$28,'Model Inputs &amp; Assumptions'!$A$40:$A$42,0))*INDEX('Model Inputs &amp; Assumptions'!$H$40:$H$42,MATCH('Model Inputs &amp; Assumptions'!$L$28,'Model Inputs &amp; Assumptions'!$A$40:$A$42,0))</f>
        <v>124023.086378203</v>
      </c>
      <c r="K252" s="49" t="n">
        <f aca="false">H252*INDEX('Model Inputs &amp; Assumptions'!$G$40:$G$42,MATCH('Model Inputs &amp; Assumptions'!$L$28,'Model Inputs &amp; Assumptions'!$A$40:$A$42,0))*INDEX('Model Inputs &amp; Assumptions'!$H$40:$H$42,MATCH('Model Inputs &amp; Assumptions'!$L$28,'Model Inputs &amp; Assumptions'!$A$40:$A$42,0))</f>
        <v>2790.51944350956</v>
      </c>
      <c r="L252" s="51" t="n">
        <f aca="false">IFERROR(K252/I252,0)</f>
        <v>1.12340882799125</v>
      </c>
      <c r="M252" s="49" t="n">
        <f aca="false">IFERROR(I252/H252,0)</f>
        <v>170.240784329576</v>
      </c>
      <c r="N252" s="52" t="str">
        <f aca="false">'Model Inputs &amp; Assumptions'!$L$28</f>
        <v>PRD-EUAI</v>
      </c>
      <c r="P252" s="53" t="n">
        <v>-0.940075</v>
      </c>
      <c r="Q252" s="53" t="n">
        <v>-0.00519</v>
      </c>
      <c r="R252" s="53" t="n">
        <v>-0.560222</v>
      </c>
      <c r="S252" s="53" t="n">
        <v>0.091339</v>
      </c>
    </row>
    <row r="253" customFormat="false" ht="15" hidden="false" customHeight="false" outlineLevel="0" collapsed="false">
      <c r="A253" s="43" t="n">
        <v>250</v>
      </c>
      <c r="B253" s="44" t="str">
        <f aca="false">'Model Inputs &amp; Assumptions'!$B$28</f>
        <v>finanzen.net — Q1 Awareness Burst</v>
      </c>
      <c r="C253" s="45" t="n">
        <f aca="false">ROUND(MAX(0,'Model Inputs &amp; Assumptions'!$S$28*EXP('Model Inputs &amp; Assumptions'!$T$28*P253-'Model Inputs &amp; Assumptions'!$T$28^2/2)),0)</f>
        <v>541698</v>
      </c>
      <c r="D253" s="46" t="n">
        <f aca="false">MIN(1,'Model Inputs &amp; Assumptions'!$U$28*EXP('Model Inputs &amp; Assumptions'!$V$28*Q253-'Model Inputs &amp; Assumptions'!$V$28^2/2))</f>
        <v>0</v>
      </c>
      <c r="E253" s="45" t="n">
        <f aca="false">ROUND(C253*D253,0)</f>
        <v>0</v>
      </c>
      <c r="F253" s="47" t="n">
        <f aca="false">MIN(1,'Model Inputs &amp; Assumptions'!$W$28*EXP('Model Inputs &amp; Assumptions'!$X$28*R253-'Model Inputs &amp; Assumptions'!$X$28^2/2))</f>
        <v>0.00146758505199655</v>
      </c>
      <c r="G253" s="45" t="n">
        <f aca="false">ROUND(C253*F253,0)</f>
        <v>795</v>
      </c>
      <c r="H253" s="48" t="n">
        <f aca="false">MAX(0,(C253*'Model Inputs &amp; Assumptions'!$N$28+E253*'Model Inputs &amp; Assumptions'!$O$28+G253*'Model Inputs &amp; Assumptions'!$P$28)*EXP('Model Inputs &amp; Assumptions'!$Q$28*S253-'Model Inputs &amp; Assumptions'!$Q$28^2/2))</f>
        <v>16.8799970994514</v>
      </c>
      <c r="I253" s="49" t="n">
        <f aca="false">IF('Model Inputs &amp; Assumptions'!$H$28="Fixed",'Model Inputs &amp; Assumptions'!$I$28*'Model Inputs &amp; Assumptions'!$K$28,IF('Model Inputs &amp; Assumptions'!$H$28="CPM",'Model Inputs &amp; Assumptions'!$I$28*'Model Inputs &amp; Assumptions'!$K$28*C253/1000,IF('Model Inputs &amp; Assumptions'!$H$28="CPC",'Model Inputs &amp; Assumptions'!$I$28*'Model Inputs &amp; Assumptions'!$K$28*G253,0)))</f>
        <v>3521.037</v>
      </c>
      <c r="J253" s="50" t="n">
        <f aca="false">H253*INDEX('Model Inputs &amp; Assumptions'!$D$40:$D$42,MATCH('Model Inputs &amp; Assumptions'!$L$28,'Model Inputs &amp; Assumptions'!$A$40:$A$42,0))*INDEX('Model Inputs &amp; Assumptions'!$H$40:$H$42,MATCH('Model Inputs &amp; Assumptions'!$L$28,'Model Inputs &amp; Assumptions'!$A$40:$A$42,0))</f>
        <v>143479.975345337</v>
      </c>
      <c r="K253" s="49" t="n">
        <f aca="false">H253*INDEX('Model Inputs &amp; Assumptions'!$G$40:$G$42,MATCH('Model Inputs &amp; Assumptions'!$L$28,'Model Inputs &amp; Assumptions'!$A$40:$A$42,0))*INDEX('Model Inputs &amp; Assumptions'!$H$40:$H$42,MATCH('Model Inputs &amp; Assumptions'!$L$28,'Model Inputs &amp; Assumptions'!$A$40:$A$42,0))</f>
        <v>3228.29944527009</v>
      </c>
      <c r="L253" s="51" t="n">
        <f aca="false">IFERROR(K253/I253,0)</f>
        <v>0.916860415062405</v>
      </c>
      <c r="M253" s="49" t="n">
        <f aca="false">IFERROR(I253/H253,0)</f>
        <v>208.592275179622</v>
      </c>
      <c r="N253" s="52" t="str">
        <f aca="false">'Model Inputs &amp; Assumptions'!$L$28</f>
        <v>PRD-EUAI</v>
      </c>
      <c r="P253" s="53" t="n">
        <v>0.998232</v>
      </c>
      <c r="Q253" s="53" t="n">
        <v>0.122622</v>
      </c>
      <c r="R253" s="53" t="n">
        <v>0.010696</v>
      </c>
      <c r="S253" s="53" t="n">
        <v>-1.002183</v>
      </c>
    </row>
    <row r="254" customFormat="false" ht="15" hidden="false" customHeight="false" outlineLevel="0" collapsed="false">
      <c r="A254" s="43" t="n">
        <v>251</v>
      </c>
      <c r="B254" s="44" t="str">
        <f aca="false">'Model Inputs &amp; Assumptions'!$B$28</f>
        <v>finanzen.net — Q1 Awareness Burst</v>
      </c>
      <c r="C254" s="45" t="n">
        <f aca="false">ROUND(MAX(0,'Model Inputs &amp; Assumptions'!$S$28*EXP('Model Inputs &amp; Assumptions'!$T$28*P254-'Model Inputs &amp; Assumptions'!$T$28^2/2)),0)</f>
        <v>491484</v>
      </c>
      <c r="D254" s="46" t="n">
        <f aca="false">MIN(1,'Model Inputs &amp; Assumptions'!$U$28*EXP('Model Inputs &amp; Assumptions'!$V$28*Q254-'Model Inputs &amp; Assumptions'!$V$28^2/2))</f>
        <v>0</v>
      </c>
      <c r="E254" s="45" t="n">
        <f aca="false">ROUND(C254*D254,0)</f>
        <v>0</v>
      </c>
      <c r="F254" s="47" t="n">
        <f aca="false">MIN(1,'Model Inputs &amp; Assumptions'!$W$28*EXP('Model Inputs &amp; Assumptions'!$X$28*R254-'Model Inputs &amp; Assumptions'!$X$28^2/2))</f>
        <v>0.00148134036227503</v>
      </c>
      <c r="G254" s="45" t="n">
        <f aca="false">ROUND(C254*F254,0)</f>
        <v>728</v>
      </c>
      <c r="H254" s="48" t="n">
        <f aca="false">MAX(0,(C254*'Model Inputs &amp; Assumptions'!$N$28+E254*'Model Inputs &amp; Assumptions'!$O$28+G254*'Model Inputs &amp; Assumptions'!$P$28)*EXP('Model Inputs &amp; Assumptions'!$Q$28*S254-'Model Inputs &amp; Assumptions'!$Q$28^2/2))</f>
        <v>24.7846832349565</v>
      </c>
      <c r="I254" s="49" t="n">
        <f aca="false">IF('Model Inputs &amp; Assumptions'!$H$28="Fixed",'Model Inputs &amp; Assumptions'!$I$28*'Model Inputs &amp; Assumptions'!$K$28,IF('Model Inputs &amp; Assumptions'!$H$28="CPM",'Model Inputs &amp; Assumptions'!$I$28*'Model Inputs &amp; Assumptions'!$K$28*C254/1000,IF('Model Inputs &amp; Assumptions'!$H$28="CPC",'Model Inputs &amp; Assumptions'!$I$28*'Model Inputs &amp; Assumptions'!$K$28*G254,0)))</f>
        <v>3194.646</v>
      </c>
      <c r="J254" s="50" t="n">
        <f aca="false">H254*INDEX('Model Inputs &amp; Assumptions'!$D$40:$D$42,MATCH('Model Inputs &amp; Assumptions'!$L$28,'Model Inputs &amp; Assumptions'!$A$40:$A$42,0))*INDEX('Model Inputs &amp; Assumptions'!$H$40:$H$42,MATCH('Model Inputs &amp; Assumptions'!$L$28,'Model Inputs &amp; Assumptions'!$A$40:$A$42,0))</f>
        <v>210669.80749713</v>
      </c>
      <c r="K254" s="49" t="n">
        <f aca="false">H254*INDEX('Model Inputs &amp; Assumptions'!$G$40:$G$42,MATCH('Model Inputs &amp; Assumptions'!$L$28,'Model Inputs &amp; Assumptions'!$A$40:$A$42,0))*INDEX('Model Inputs &amp; Assumptions'!$H$40:$H$42,MATCH('Model Inputs &amp; Assumptions'!$L$28,'Model Inputs &amp; Assumptions'!$A$40:$A$42,0))</f>
        <v>4740.07066868543</v>
      </c>
      <c r="L254" s="51" t="n">
        <f aca="false">IFERROR(K254/I254,0)</f>
        <v>1.48375459086404</v>
      </c>
      <c r="M254" s="49" t="n">
        <f aca="false">IFERROR(I254/H254,0)</f>
        <v>128.895978605619</v>
      </c>
      <c r="N254" s="52" t="str">
        <f aca="false">'Model Inputs &amp; Assumptions'!$L$28</f>
        <v>PRD-EUAI</v>
      </c>
      <c r="P254" s="53" t="n">
        <v>0.457799</v>
      </c>
      <c r="Q254" s="53" t="n">
        <v>-0.009369</v>
      </c>
      <c r="R254" s="53" t="n">
        <v>0.053101</v>
      </c>
      <c r="S254" s="53" t="n">
        <v>0.571609</v>
      </c>
    </row>
    <row r="255" customFormat="false" ht="15" hidden="false" customHeight="false" outlineLevel="0" collapsed="false">
      <c r="A255" s="43" t="n">
        <v>252</v>
      </c>
      <c r="B255" s="44" t="str">
        <f aca="false">'Model Inputs &amp; Assumptions'!$B$28</f>
        <v>finanzen.net — Q1 Awareness Burst</v>
      </c>
      <c r="C255" s="45" t="n">
        <f aca="false">ROUND(MAX(0,'Model Inputs &amp; Assumptions'!$S$28*EXP('Model Inputs &amp; Assumptions'!$T$28*P255-'Model Inputs &amp; Assumptions'!$T$28^2/2)),0)</f>
        <v>515224</v>
      </c>
      <c r="D255" s="46" t="n">
        <f aca="false">MIN(1,'Model Inputs &amp; Assumptions'!$U$28*EXP('Model Inputs &amp; Assumptions'!$V$28*Q255-'Model Inputs &amp; Assumptions'!$V$28^2/2))</f>
        <v>0</v>
      </c>
      <c r="E255" s="45" t="n">
        <f aca="false">ROUND(C255*D255,0)</f>
        <v>0</v>
      </c>
      <c r="F255" s="47" t="n">
        <f aca="false">MIN(1,'Model Inputs &amp; Assumptions'!$W$28*EXP('Model Inputs &amp; Assumptions'!$X$28*R255-'Model Inputs &amp; Assumptions'!$X$28^2/2))</f>
        <v>0.00131084560387348</v>
      </c>
      <c r="G255" s="45" t="n">
        <f aca="false">ROUND(C255*F255,0)</f>
        <v>675</v>
      </c>
      <c r="H255" s="48" t="n">
        <f aca="false">MAX(0,(C255*'Model Inputs &amp; Assumptions'!$N$28+E255*'Model Inputs &amp; Assumptions'!$O$28+G255*'Model Inputs &amp; Assumptions'!$P$28)*EXP('Model Inputs &amp; Assumptions'!$Q$28*S255-'Model Inputs &amp; Assumptions'!$Q$28^2/2))</f>
        <v>26.0798528177813</v>
      </c>
      <c r="I255" s="49" t="n">
        <f aca="false">IF('Model Inputs &amp; Assumptions'!$H$28="Fixed",'Model Inputs &amp; Assumptions'!$I$28*'Model Inputs &amp; Assumptions'!$K$28,IF('Model Inputs &amp; Assumptions'!$H$28="CPM",'Model Inputs &amp; Assumptions'!$I$28*'Model Inputs &amp; Assumptions'!$K$28*C255/1000,IF('Model Inputs &amp; Assumptions'!$H$28="CPC",'Model Inputs &amp; Assumptions'!$I$28*'Model Inputs &amp; Assumptions'!$K$28*G255,0)))</f>
        <v>3348.956</v>
      </c>
      <c r="J255" s="50" t="n">
        <f aca="false">H255*INDEX('Model Inputs &amp; Assumptions'!$D$40:$D$42,MATCH('Model Inputs &amp; Assumptions'!$L$28,'Model Inputs &amp; Assumptions'!$A$40:$A$42,0))*INDEX('Model Inputs &amp; Assumptions'!$H$40:$H$42,MATCH('Model Inputs &amp; Assumptions'!$L$28,'Model Inputs &amp; Assumptions'!$A$40:$A$42,0))</f>
        <v>221678.748951141</v>
      </c>
      <c r="K255" s="49" t="n">
        <f aca="false">H255*INDEX('Model Inputs &amp; Assumptions'!$G$40:$G$42,MATCH('Model Inputs &amp; Assumptions'!$L$28,'Model Inputs &amp; Assumptions'!$A$40:$A$42,0))*INDEX('Model Inputs &amp; Assumptions'!$H$40:$H$42,MATCH('Model Inputs &amp; Assumptions'!$L$28,'Model Inputs &amp; Assumptions'!$A$40:$A$42,0))</f>
        <v>4987.77185140068</v>
      </c>
      <c r="L255" s="51" t="n">
        <f aca="false">IFERROR(K255/I255,0)</f>
        <v>1.48935126391648</v>
      </c>
      <c r="M255" s="49" t="n">
        <f aca="false">IFERROR(I255/H255,0)</f>
        <v>128.41161426021</v>
      </c>
      <c r="N255" s="52" t="str">
        <f aca="false">'Model Inputs &amp; Assumptions'!$L$28</f>
        <v>PRD-EUAI</v>
      </c>
      <c r="P255" s="53" t="n">
        <v>0.719867</v>
      </c>
      <c r="Q255" s="53" t="n">
        <v>-0.013198</v>
      </c>
      <c r="R255" s="53" t="n">
        <v>-0.502694</v>
      </c>
      <c r="S255" s="53" t="n">
        <v>0.993361</v>
      </c>
    </row>
    <row r="256" customFormat="false" ht="15" hidden="false" customHeight="false" outlineLevel="0" collapsed="false">
      <c r="A256" s="43" t="n">
        <v>253</v>
      </c>
      <c r="B256" s="44" t="str">
        <f aca="false">'Model Inputs &amp; Assumptions'!$B$28</f>
        <v>finanzen.net — Q1 Awareness Burst</v>
      </c>
      <c r="C256" s="45" t="n">
        <f aca="false">ROUND(MAX(0,'Model Inputs &amp; Assumptions'!$S$28*EXP('Model Inputs &amp; Assumptions'!$T$28*P256-'Model Inputs &amp; Assumptions'!$T$28^2/2)),0)</f>
        <v>417603</v>
      </c>
      <c r="D256" s="46" t="n">
        <f aca="false">MIN(1,'Model Inputs &amp; Assumptions'!$U$28*EXP('Model Inputs &amp; Assumptions'!$V$28*Q256-'Model Inputs &amp; Assumptions'!$V$28^2/2))</f>
        <v>0</v>
      </c>
      <c r="E256" s="45" t="n">
        <f aca="false">ROUND(C256*D256,0)</f>
        <v>0</v>
      </c>
      <c r="F256" s="47" t="n">
        <f aca="false">MIN(1,'Model Inputs &amp; Assumptions'!$W$28*EXP('Model Inputs &amp; Assumptions'!$X$28*R256-'Model Inputs &amp; Assumptions'!$X$28^2/2))</f>
        <v>0.00162365796700582</v>
      </c>
      <c r="G256" s="45" t="n">
        <f aca="false">ROUND(C256*F256,0)</f>
        <v>678</v>
      </c>
      <c r="H256" s="48" t="n">
        <f aca="false">MAX(0,(C256*'Model Inputs &amp; Assumptions'!$N$28+E256*'Model Inputs &amp; Assumptions'!$O$28+G256*'Model Inputs &amp; Assumptions'!$P$28)*EXP('Model Inputs &amp; Assumptions'!$Q$28*S256-'Model Inputs &amp; Assumptions'!$Q$28^2/2))</f>
        <v>17.5386986447621</v>
      </c>
      <c r="I256" s="49" t="n">
        <f aca="false">IF('Model Inputs &amp; Assumptions'!$H$28="Fixed",'Model Inputs &amp; Assumptions'!$I$28*'Model Inputs &amp; Assumptions'!$K$28,IF('Model Inputs &amp; Assumptions'!$H$28="CPM",'Model Inputs &amp; Assumptions'!$I$28*'Model Inputs &amp; Assumptions'!$K$28*C256/1000,IF('Model Inputs &amp; Assumptions'!$H$28="CPC",'Model Inputs &amp; Assumptions'!$I$28*'Model Inputs &amp; Assumptions'!$K$28*G256,0)))</f>
        <v>2714.4195</v>
      </c>
      <c r="J256" s="50" t="n">
        <f aca="false">H256*INDEX('Model Inputs &amp; Assumptions'!$D$40:$D$42,MATCH('Model Inputs &amp; Assumptions'!$L$28,'Model Inputs &amp; Assumptions'!$A$40:$A$42,0))*INDEX('Model Inputs &amp; Assumptions'!$H$40:$H$42,MATCH('Model Inputs &amp; Assumptions'!$L$28,'Model Inputs &amp; Assumptions'!$A$40:$A$42,0))</f>
        <v>149078.938480478</v>
      </c>
      <c r="K256" s="49" t="n">
        <f aca="false">H256*INDEX('Model Inputs &amp; Assumptions'!$G$40:$G$42,MATCH('Model Inputs &amp; Assumptions'!$L$28,'Model Inputs &amp; Assumptions'!$A$40:$A$42,0))*INDEX('Model Inputs &amp; Assumptions'!$H$40:$H$42,MATCH('Model Inputs &amp; Assumptions'!$L$28,'Model Inputs &amp; Assumptions'!$A$40:$A$42,0))</f>
        <v>3354.27611581076</v>
      </c>
      <c r="L256" s="51" t="n">
        <f aca="false">IFERROR(K256/I256,0)</f>
        <v>1.23572502916766</v>
      </c>
      <c r="M256" s="49" t="n">
        <f aca="false">IFERROR(I256/H256,0)</f>
        <v>154.76744055983</v>
      </c>
      <c r="N256" s="52" t="str">
        <f aca="false">'Model Inputs &amp; Assumptions'!$L$28</f>
        <v>PRD-EUAI</v>
      </c>
      <c r="P256" s="53" t="n">
        <v>-0.447199</v>
      </c>
      <c r="Q256" s="53" t="n">
        <v>-0.226322</v>
      </c>
      <c r="R256" s="53" t="n">
        <v>0.470075</v>
      </c>
      <c r="S256" s="53" t="n">
        <v>-0.343932</v>
      </c>
    </row>
    <row r="257" customFormat="false" ht="15" hidden="false" customHeight="false" outlineLevel="0" collapsed="false">
      <c r="A257" s="43" t="n">
        <v>254</v>
      </c>
      <c r="B257" s="44" t="str">
        <f aca="false">'Model Inputs &amp; Assumptions'!$B$28</f>
        <v>finanzen.net — Q1 Awareness Burst</v>
      </c>
      <c r="C257" s="45" t="n">
        <f aca="false">ROUND(MAX(0,'Model Inputs &amp; Assumptions'!$S$28*EXP('Model Inputs &amp; Assumptions'!$T$28*P257-'Model Inputs &amp; Assumptions'!$T$28^2/2)),0)</f>
        <v>562887</v>
      </c>
      <c r="D257" s="46" t="n">
        <f aca="false">MIN(1,'Model Inputs &amp; Assumptions'!$U$28*EXP('Model Inputs &amp; Assumptions'!$V$28*Q257-'Model Inputs &amp; Assumptions'!$V$28^2/2))</f>
        <v>0</v>
      </c>
      <c r="E257" s="45" t="n">
        <f aca="false">ROUND(C257*D257,0)</f>
        <v>0</v>
      </c>
      <c r="F257" s="47" t="n">
        <f aca="false">MIN(1,'Model Inputs &amp; Assumptions'!$W$28*EXP('Model Inputs &amp; Assumptions'!$X$28*R257-'Model Inputs &amp; Assumptions'!$X$28^2/2))</f>
        <v>0.00175763270224481</v>
      </c>
      <c r="G257" s="45" t="n">
        <f aca="false">ROUND(C257*F257,0)</f>
        <v>989</v>
      </c>
      <c r="H257" s="48" t="n">
        <f aca="false">MAX(0,(C257*'Model Inputs &amp; Assumptions'!$N$28+E257*'Model Inputs &amp; Assumptions'!$O$28+G257*'Model Inputs &amp; Assumptions'!$P$28)*EXP('Model Inputs &amp; Assumptions'!$Q$28*S257-'Model Inputs &amp; Assumptions'!$Q$28^2/2))</f>
        <v>39.6223769952416</v>
      </c>
      <c r="I257" s="49" t="n">
        <f aca="false">IF('Model Inputs &amp; Assumptions'!$H$28="Fixed",'Model Inputs &amp; Assumptions'!$I$28*'Model Inputs &amp; Assumptions'!$K$28,IF('Model Inputs &amp; Assumptions'!$H$28="CPM",'Model Inputs &amp; Assumptions'!$I$28*'Model Inputs &amp; Assumptions'!$K$28*C257/1000,IF('Model Inputs &amp; Assumptions'!$H$28="CPC",'Model Inputs &amp; Assumptions'!$I$28*'Model Inputs &amp; Assumptions'!$K$28*G257,0)))</f>
        <v>3658.7655</v>
      </c>
      <c r="J257" s="50" t="n">
        <f aca="false">H257*INDEX('Model Inputs &amp; Assumptions'!$D$40:$D$42,MATCH('Model Inputs &amp; Assumptions'!$L$28,'Model Inputs &amp; Assumptions'!$A$40:$A$42,0))*INDEX('Model Inputs &amp; Assumptions'!$H$40:$H$42,MATCH('Model Inputs &amp; Assumptions'!$L$28,'Model Inputs &amp; Assumptions'!$A$40:$A$42,0))</f>
        <v>336790.204459554</v>
      </c>
      <c r="K257" s="49" t="n">
        <f aca="false">H257*INDEX('Model Inputs &amp; Assumptions'!$G$40:$G$42,MATCH('Model Inputs &amp; Assumptions'!$L$28,'Model Inputs &amp; Assumptions'!$A$40:$A$42,0))*INDEX('Model Inputs &amp; Assumptions'!$H$40:$H$42,MATCH('Model Inputs &amp; Assumptions'!$L$28,'Model Inputs &amp; Assumptions'!$A$40:$A$42,0))</f>
        <v>7577.77960033996</v>
      </c>
      <c r="L257" s="51" t="n">
        <f aca="false">IFERROR(K257/I257,0)</f>
        <v>2.07113016681172</v>
      </c>
      <c r="M257" s="49" t="n">
        <f aca="false">IFERROR(I257/H257,0)</f>
        <v>92.3408885953358</v>
      </c>
      <c r="N257" s="52" t="str">
        <f aca="false">'Model Inputs &amp; Assumptions'!$L$28</f>
        <v>PRD-EUAI</v>
      </c>
      <c r="P257" s="53" t="n">
        <v>1.211404</v>
      </c>
      <c r="Q257" s="53" t="n">
        <v>0.280596</v>
      </c>
      <c r="R257" s="53" t="n">
        <v>0.830467</v>
      </c>
      <c r="S257" s="53" t="n">
        <v>1.114192</v>
      </c>
    </row>
    <row r="258" customFormat="false" ht="15" hidden="false" customHeight="false" outlineLevel="0" collapsed="false">
      <c r="A258" s="43" t="n">
        <v>255</v>
      </c>
      <c r="B258" s="44" t="str">
        <f aca="false">'Model Inputs &amp; Assumptions'!$B$28</f>
        <v>finanzen.net — Q1 Awareness Burst</v>
      </c>
      <c r="C258" s="45" t="n">
        <f aca="false">ROUND(MAX(0,'Model Inputs &amp; Assumptions'!$S$28*EXP('Model Inputs &amp; Assumptions'!$T$28*P258-'Model Inputs &amp; Assumptions'!$T$28^2/2)),0)</f>
        <v>501122</v>
      </c>
      <c r="D258" s="46" t="n">
        <f aca="false">MIN(1,'Model Inputs &amp; Assumptions'!$U$28*EXP('Model Inputs &amp; Assumptions'!$V$28*Q258-'Model Inputs &amp; Assumptions'!$V$28^2/2))</f>
        <v>0</v>
      </c>
      <c r="E258" s="45" t="n">
        <f aca="false">ROUND(C258*D258,0)</f>
        <v>0</v>
      </c>
      <c r="F258" s="47" t="n">
        <f aca="false">MIN(1,'Model Inputs &amp; Assumptions'!$W$28*EXP('Model Inputs &amp; Assumptions'!$X$28*R258-'Model Inputs &amp; Assumptions'!$X$28^2/2))</f>
        <v>0.00122186403239728</v>
      </c>
      <c r="G258" s="45" t="n">
        <f aca="false">ROUND(C258*F258,0)</f>
        <v>612</v>
      </c>
      <c r="H258" s="48" t="n">
        <f aca="false">MAX(0,(C258*'Model Inputs &amp; Assumptions'!$N$28+E258*'Model Inputs &amp; Assumptions'!$O$28+G258*'Model Inputs &amp; Assumptions'!$P$28)*EXP('Model Inputs &amp; Assumptions'!$Q$28*S258-'Model Inputs &amp; Assumptions'!$Q$28^2/2))</f>
        <v>9.97155744778387</v>
      </c>
      <c r="I258" s="49" t="n">
        <f aca="false">IF('Model Inputs &amp; Assumptions'!$H$28="Fixed",'Model Inputs &amp; Assumptions'!$I$28*'Model Inputs &amp; Assumptions'!$K$28,IF('Model Inputs &amp; Assumptions'!$H$28="CPM",'Model Inputs &amp; Assumptions'!$I$28*'Model Inputs &amp; Assumptions'!$K$28*C258/1000,IF('Model Inputs &amp; Assumptions'!$H$28="CPC",'Model Inputs &amp; Assumptions'!$I$28*'Model Inputs &amp; Assumptions'!$K$28*G258,0)))</f>
        <v>3257.293</v>
      </c>
      <c r="J258" s="50" t="n">
        <f aca="false">H258*INDEX('Model Inputs &amp; Assumptions'!$D$40:$D$42,MATCH('Model Inputs &amp; Assumptions'!$L$28,'Model Inputs &amp; Assumptions'!$A$40:$A$42,0))*INDEX('Model Inputs &amp; Assumptions'!$H$40:$H$42,MATCH('Model Inputs &amp; Assumptions'!$L$28,'Model Inputs &amp; Assumptions'!$A$40:$A$42,0))</f>
        <v>84758.2383061629</v>
      </c>
      <c r="K258" s="49" t="n">
        <f aca="false">H258*INDEX('Model Inputs &amp; Assumptions'!$G$40:$G$42,MATCH('Model Inputs &amp; Assumptions'!$L$28,'Model Inputs &amp; Assumptions'!$A$40:$A$42,0))*INDEX('Model Inputs &amp; Assumptions'!$H$40:$H$42,MATCH('Model Inputs &amp; Assumptions'!$L$28,'Model Inputs &amp; Assumptions'!$A$40:$A$42,0))</f>
        <v>1907.06036188867</v>
      </c>
      <c r="L258" s="51" t="n">
        <f aca="false">IFERROR(K258/I258,0)</f>
        <v>0.585474000002046</v>
      </c>
      <c r="M258" s="49" t="n">
        <f aca="false">IFERROR(I258/H258,0)</f>
        <v>326.658399859484</v>
      </c>
      <c r="N258" s="52" t="str">
        <f aca="false">'Model Inputs &amp; Assumptions'!$L$28</f>
        <v>PRD-EUAI</v>
      </c>
      <c r="P258" s="53" t="n">
        <v>0.565687</v>
      </c>
      <c r="Q258" s="53" t="n">
        <v>-2.861607</v>
      </c>
      <c r="R258" s="53" t="n">
        <v>-0.822216</v>
      </c>
      <c r="S258" s="53" t="n">
        <v>-1.884792</v>
      </c>
    </row>
    <row r="259" customFormat="false" ht="15" hidden="false" customHeight="false" outlineLevel="0" collapsed="false">
      <c r="A259" s="43" t="n">
        <v>256</v>
      </c>
      <c r="B259" s="44" t="str">
        <f aca="false">'Model Inputs &amp; Assumptions'!$B$28</f>
        <v>finanzen.net — Q1 Awareness Burst</v>
      </c>
      <c r="C259" s="45" t="n">
        <f aca="false">ROUND(MAX(0,'Model Inputs &amp; Assumptions'!$S$28*EXP('Model Inputs &amp; Assumptions'!$T$28*P259-'Model Inputs &amp; Assumptions'!$T$28^2/2)),0)</f>
        <v>466572</v>
      </c>
      <c r="D259" s="46" t="n">
        <f aca="false">MIN(1,'Model Inputs &amp; Assumptions'!$U$28*EXP('Model Inputs &amp; Assumptions'!$V$28*Q259-'Model Inputs &amp; Assumptions'!$V$28^2/2))</f>
        <v>0</v>
      </c>
      <c r="E259" s="45" t="n">
        <f aca="false">ROUND(C259*D259,0)</f>
        <v>0</v>
      </c>
      <c r="F259" s="47" t="n">
        <f aca="false">MIN(1,'Model Inputs &amp; Assumptions'!$W$28*EXP('Model Inputs &amp; Assumptions'!$X$28*R259-'Model Inputs &amp; Assumptions'!$X$28^2/2))</f>
        <v>0.00142633530073558</v>
      </c>
      <c r="G259" s="45" t="n">
        <f aca="false">ROUND(C259*F259,0)</f>
        <v>665</v>
      </c>
      <c r="H259" s="48" t="n">
        <f aca="false">MAX(0,(C259*'Model Inputs &amp; Assumptions'!$N$28+E259*'Model Inputs &amp; Assumptions'!$O$28+G259*'Model Inputs &amp; Assumptions'!$P$28)*EXP('Model Inputs &amp; Assumptions'!$Q$28*S259-'Model Inputs &amp; Assumptions'!$Q$28^2/2))</f>
        <v>25.4060832488557</v>
      </c>
      <c r="I259" s="49" t="n">
        <f aca="false">IF('Model Inputs &amp; Assumptions'!$H$28="Fixed",'Model Inputs &amp; Assumptions'!$I$28*'Model Inputs &amp; Assumptions'!$K$28,IF('Model Inputs &amp; Assumptions'!$H$28="CPM",'Model Inputs &amp; Assumptions'!$I$28*'Model Inputs &amp; Assumptions'!$K$28*C259/1000,IF('Model Inputs &amp; Assumptions'!$H$28="CPC",'Model Inputs &amp; Assumptions'!$I$28*'Model Inputs &amp; Assumptions'!$K$28*G259,0)))</f>
        <v>3032.718</v>
      </c>
      <c r="J259" s="50" t="n">
        <f aca="false">H259*INDEX('Model Inputs &amp; Assumptions'!$D$40:$D$42,MATCH('Model Inputs &amp; Assumptions'!$L$28,'Model Inputs &amp; Assumptions'!$A$40:$A$42,0))*INDEX('Model Inputs &amp; Assumptions'!$H$40:$H$42,MATCH('Model Inputs &amp; Assumptions'!$L$28,'Model Inputs &amp; Assumptions'!$A$40:$A$42,0))</f>
        <v>215951.707615274</v>
      </c>
      <c r="K259" s="49" t="n">
        <f aca="false">H259*INDEX('Model Inputs &amp; Assumptions'!$G$40:$G$42,MATCH('Model Inputs &amp; Assumptions'!$L$28,'Model Inputs &amp; Assumptions'!$A$40:$A$42,0))*INDEX('Model Inputs &amp; Assumptions'!$H$40:$H$42,MATCH('Model Inputs &amp; Assumptions'!$L$28,'Model Inputs &amp; Assumptions'!$A$40:$A$42,0))</f>
        <v>4858.91342134366</v>
      </c>
      <c r="L259" s="51" t="n">
        <f aca="false">IFERROR(K259/I259,0)</f>
        <v>1.60216459998709</v>
      </c>
      <c r="M259" s="49" t="n">
        <f aca="false">IFERROR(I259/H259,0)</f>
        <v>119.369757640096</v>
      </c>
      <c r="N259" s="52" t="str">
        <f aca="false">'Model Inputs &amp; Assumptions'!$L$28</f>
        <v>PRD-EUAI</v>
      </c>
      <c r="P259" s="53" t="n">
        <v>0.16881</v>
      </c>
      <c r="Q259" s="53" t="n">
        <v>-0.678329</v>
      </c>
      <c r="R259" s="53" t="n">
        <v>-0.118894</v>
      </c>
      <c r="S259" s="53" t="n">
        <v>0.955865</v>
      </c>
    </row>
    <row r="260" customFormat="false" ht="15" hidden="false" customHeight="false" outlineLevel="0" collapsed="false">
      <c r="A260" s="43" t="n">
        <v>257</v>
      </c>
      <c r="B260" s="44" t="str">
        <f aca="false">'Model Inputs &amp; Assumptions'!$B$28</f>
        <v>finanzen.net — Q1 Awareness Burst</v>
      </c>
      <c r="C260" s="45" t="n">
        <f aca="false">ROUND(MAX(0,'Model Inputs &amp; Assumptions'!$S$28*EXP('Model Inputs &amp; Assumptions'!$T$28*P260-'Model Inputs &amp; Assumptions'!$T$28^2/2)),0)</f>
        <v>494882</v>
      </c>
      <c r="D260" s="46" t="n">
        <f aca="false">MIN(1,'Model Inputs &amp; Assumptions'!$U$28*EXP('Model Inputs &amp; Assumptions'!$V$28*Q260-'Model Inputs &amp; Assumptions'!$V$28^2/2))</f>
        <v>0</v>
      </c>
      <c r="E260" s="45" t="n">
        <f aca="false">ROUND(C260*D260,0)</f>
        <v>0</v>
      </c>
      <c r="F260" s="47" t="n">
        <f aca="false">MIN(1,'Model Inputs &amp; Assumptions'!$W$28*EXP('Model Inputs &amp; Assumptions'!$X$28*R260-'Model Inputs &amp; Assumptions'!$X$28^2/2))</f>
        <v>0.00156075008295144</v>
      </c>
      <c r="G260" s="45" t="n">
        <f aca="false">ROUND(C260*F260,0)</f>
        <v>772</v>
      </c>
      <c r="H260" s="48" t="n">
        <f aca="false">MAX(0,(C260*'Model Inputs &amp; Assumptions'!$N$28+E260*'Model Inputs &amp; Assumptions'!$O$28+G260*'Model Inputs &amp; Assumptions'!$P$28)*EXP('Model Inputs &amp; Assumptions'!$Q$28*S260-'Model Inputs &amp; Assumptions'!$Q$28^2/2))</f>
        <v>20.2164686652561</v>
      </c>
      <c r="I260" s="49" t="n">
        <f aca="false">IF('Model Inputs &amp; Assumptions'!$H$28="Fixed",'Model Inputs &amp; Assumptions'!$I$28*'Model Inputs &amp; Assumptions'!$K$28,IF('Model Inputs &amp; Assumptions'!$H$28="CPM",'Model Inputs &amp; Assumptions'!$I$28*'Model Inputs &amp; Assumptions'!$K$28*C260/1000,IF('Model Inputs &amp; Assumptions'!$H$28="CPC",'Model Inputs &amp; Assumptions'!$I$28*'Model Inputs &amp; Assumptions'!$K$28*G260,0)))</f>
        <v>3216.733</v>
      </c>
      <c r="J260" s="50" t="n">
        <f aca="false">H260*INDEX('Model Inputs &amp; Assumptions'!$D$40:$D$42,MATCH('Model Inputs &amp; Assumptions'!$L$28,'Model Inputs &amp; Assumptions'!$A$40:$A$42,0))*INDEX('Model Inputs &amp; Assumptions'!$H$40:$H$42,MATCH('Model Inputs &amp; Assumptions'!$L$28,'Model Inputs &amp; Assumptions'!$A$40:$A$42,0))</f>
        <v>171839.983654677</v>
      </c>
      <c r="K260" s="49" t="n">
        <f aca="false">H260*INDEX('Model Inputs &amp; Assumptions'!$G$40:$G$42,MATCH('Model Inputs &amp; Assumptions'!$L$28,'Model Inputs &amp; Assumptions'!$A$40:$A$42,0))*INDEX('Model Inputs &amp; Assumptions'!$H$40:$H$42,MATCH('Model Inputs &amp; Assumptions'!$L$28,'Model Inputs &amp; Assumptions'!$A$40:$A$42,0))</f>
        <v>3866.39963223024</v>
      </c>
      <c r="L260" s="51" t="n">
        <f aca="false">IFERROR(K260/I260,0)</f>
        <v>1.20196473634282</v>
      </c>
      <c r="M260" s="49" t="n">
        <f aca="false">IFERROR(I260/H260,0)</f>
        <v>159.114484990559</v>
      </c>
      <c r="N260" s="52" t="str">
        <f aca="false">'Model Inputs &amp; Assumptions'!$L$28</f>
        <v>PRD-EUAI</v>
      </c>
      <c r="P260" s="53" t="n">
        <v>0.496073</v>
      </c>
      <c r="Q260" s="53" t="n">
        <v>0.411393</v>
      </c>
      <c r="R260" s="53" t="n">
        <v>0.290461</v>
      </c>
      <c r="S260" s="53" t="n">
        <v>-0.303097</v>
      </c>
    </row>
    <row r="261" customFormat="false" ht="15" hidden="false" customHeight="false" outlineLevel="0" collapsed="false">
      <c r="A261" s="43" t="n">
        <v>258</v>
      </c>
      <c r="B261" s="44" t="str">
        <f aca="false">'Model Inputs &amp; Assumptions'!$B$28</f>
        <v>finanzen.net — Q1 Awareness Burst</v>
      </c>
      <c r="C261" s="45" t="n">
        <f aca="false">ROUND(MAX(0,'Model Inputs &amp; Assumptions'!$S$28*EXP('Model Inputs &amp; Assumptions'!$T$28*P261-'Model Inputs &amp; Assumptions'!$T$28^2/2)),0)</f>
        <v>540064</v>
      </c>
      <c r="D261" s="46" t="n">
        <f aca="false">MIN(1,'Model Inputs &amp; Assumptions'!$U$28*EXP('Model Inputs &amp; Assumptions'!$V$28*Q261-'Model Inputs &amp; Assumptions'!$V$28^2/2))</f>
        <v>0</v>
      </c>
      <c r="E261" s="45" t="n">
        <f aca="false">ROUND(C261*D261,0)</f>
        <v>0</v>
      </c>
      <c r="F261" s="47" t="n">
        <f aca="false">MIN(1,'Model Inputs &amp; Assumptions'!$W$28*EXP('Model Inputs &amp; Assumptions'!$X$28*R261-'Model Inputs &amp; Assumptions'!$X$28^2/2))</f>
        <v>0.00162092479602439</v>
      </c>
      <c r="G261" s="45" t="n">
        <f aca="false">ROUND(C261*F261,0)</f>
        <v>875</v>
      </c>
      <c r="H261" s="48" t="n">
        <f aca="false">MAX(0,(C261*'Model Inputs &amp; Assumptions'!$N$28+E261*'Model Inputs &amp; Assumptions'!$O$28+G261*'Model Inputs &amp; Assumptions'!$P$28)*EXP('Model Inputs &amp; Assumptions'!$Q$28*S261-'Model Inputs &amp; Assumptions'!$Q$28^2/2))</f>
        <v>20.6069683711185</v>
      </c>
      <c r="I261" s="49" t="n">
        <f aca="false">IF('Model Inputs &amp; Assumptions'!$H$28="Fixed",'Model Inputs &amp; Assumptions'!$I$28*'Model Inputs &amp; Assumptions'!$K$28,IF('Model Inputs &amp; Assumptions'!$H$28="CPM",'Model Inputs &amp; Assumptions'!$I$28*'Model Inputs &amp; Assumptions'!$K$28*C261/1000,IF('Model Inputs &amp; Assumptions'!$H$28="CPC",'Model Inputs &amp; Assumptions'!$I$28*'Model Inputs &amp; Assumptions'!$K$28*G261,0)))</f>
        <v>3510.416</v>
      </c>
      <c r="J261" s="50" t="n">
        <f aca="false">H261*INDEX('Model Inputs &amp; Assumptions'!$D$40:$D$42,MATCH('Model Inputs &amp; Assumptions'!$L$28,'Model Inputs &amp; Assumptions'!$A$40:$A$42,0))*INDEX('Model Inputs &amp; Assumptions'!$H$40:$H$42,MATCH('Model Inputs &amp; Assumptions'!$L$28,'Model Inputs &amp; Assumptions'!$A$40:$A$42,0))</f>
        <v>175159.231154507</v>
      </c>
      <c r="K261" s="49" t="n">
        <f aca="false">H261*INDEX('Model Inputs &amp; Assumptions'!$G$40:$G$42,MATCH('Model Inputs &amp; Assumptions'!$L$28,'Model Inputs &amp; Assumptions'!$A$40:$A$42,0))*INDEX('Model Inputs &amp; Assumptions'!$H$40:$H$42,MATCH('Model Inputs &amp; Assumptions'!$L$28,'Model Inputs &amp; Assumptions'!$A$40:$A$42,0))</f>
        <v>3941.08270097641</v>
      </c>
      <c r="L261" s="51" t="n">
        <f aca="false">IFERROR(K261/I261,0)</f>
        <v>1.12268252565406</v>
      </c>
      <c r="M261" s="49" t="n">
        <f aca="false">IFERROR(I261/H261,0)</f>
        <v>170.350919008543</v>
      </c>
      <c r="N261" s="52" t="str">
        <f aca="false">'Model Inputs &amp; Assumptions'!$L$28</f>
        <v>PRD-EUAI</v>
      </c>
      <c r="P261" s="53" t="n">
        <v>0.981451</v>
      </c>
      <c r="Q261" s="53" t="n">
        <v>0.299721</v>
      </c>
      <c r="R261" s="53" t="n">
        <v>0.462417</v>
      </c>
      <c r="S261" s="53" t="n">
        <v>-0.656789</v>
      </c>
    </row>
    <row r="262" customFormat="false" ht="15" hidden="false" customHeight="false" outlineLevel="0" collapsed="false">
      <c r="A262" s="43" t="n">
        <v>259</v>
      </c>
      <c r="B262" s="44" t="str">
        <f aca="false">'Model Inputs &amp; Assumptions'!$B$28</f>
        <v>finanzen.net — Q1 Awareness Burst</v>
      </c>
      <c r="C262" s="45" t="n">
        <f aca="false">ROUND(MAX(0,'Model Inputs &amp; Assumptions'!$S$28*EXP('Model Inputs &amp; Assumptions'!$T$28*P262-'Model Inputs &amp; Assumptions'!$T$28^2/2)),0)</f>
        <v>653240</v>
      </c>
      <c r="D262" s="46" t="n">
        <f aca="false">MIN(1,'Model Inputs &amp; Assumptions'!$U$28*EXP('Model Inputs &amp; Assumptions'!$V$28*Q262-'Model Inputs &amp; Assumptions'!$V$28^2/2))</f>
        <v>0</v>
      </c>
      <c r="E262" s="45" t="n">
        <f aca="false">ROUND(C262*D262,0)</f>
        <v>0</v>
      </c>
      <c r="F262" s="47" t="n">
        <f aca="false">MIN(1,'Model Inputs &amp; Assumptions'!$W$28*EXP('Model Inputs &amp; Assumptions'!$X$28*R262-'Model Inputs &amp; Assumptions'!$X$28^2/2))</f>
        <v>0.00234048952944601</v>
      </c>
      <c r="G262" s="45" t="n">
        <f aca="false">ROUND(C262*F262,0)</f>
        <v>1529</v>
      </c>
      <c r="H262" s="48" t="n">
        <f aca="false">MAX(0,(C262*'Model Inputs &amp; Assumptions'!$N$28+E262*'Model Inputs &amp; Assumptions'!$O$28+G262*'Model Inputs &amp; Assumptions'!$P$28)*EXP('Model Inputs &amp; Assumptions'!$Q$28*S262-'Model Inputs &amp; Assumptions'!$Q$28^2/2))</f>
        <v>52.39453063104</v>
      </c>
      <c r="I262" s="49" t="n">
        <f aca="false">IF('Model Inputs &amp; Assumptions'!$H$28="Fixed",'Model Inputs &amp; Assumptions'!$I$28*'Model Inputs &amp; Assumptions'!$K$28,IF('Model Inputs &amp; Assumptions'!$H$28="CPM",'Model Inputs &amp; Assumptions'!$I$28*'Model Inputs &amp; Assumptions'!$K$28*C262/1000,IF('Model Inputs &amp; Assumptions'!$H$28="CPC",'Model Inputs &amp; Assumptions'!$I$28*'Model Inputs &amp; Assumptions'!$K$28*G262,0)))</f>
        <v>4246.06</v>
      </c>
      <c r="J262" s="50" t="n">
        <f aca="false">H262*INDEX('Model Inputs &amp; Assumptions'!$D$40:$D$42,MATCH('Model Inputs &amp; Assumptions'!$L$28,'Model Inputs &amp; Assumptions'!$A$40:$A$42,0))*INDEX('Model Inputs &amp; Assumptions'!$H$40:$H$42,MATCH('Model Inputs &amp; Assumptions'!$L$28,'Model Inputs &amp; Assumptions'!$A$40:$A$42,0))</f>
        <v>445353.51036384</v>
      </c>
      <c r="K262" s="49" t="n">
        <f aca="false">H262*INDEX('Model Inputs &amp; Assumptions'!$G$40:$G$42,MATCH('Model Inputs &amp; Assumptions'!$L$28,'Model Inputs &amp; Assumptions'!$A$40:$A$42,0))*INDEX('Model Inputs &amp; Assumptions'!$H$40:$H$42,MATCH('Model Inputs &amp; Assumptions'!$L$28,'Model Inputs &amp; Assumptions'!$A$40:$A$42,0))</f>
        <v>10020.4539831864</v>
      </c>
      <c r="L262" s="51" t="n">
        <f aca="false">IFERROR(K262/I262,0)</f>
        <v>2.35994168315718</v>
      </c>
      <c r="M262" s="49" t="n">
        <f aca="false">IFERROR(I262/H262,0)</f>
        <v>81.0401381377108</v>
      </c>
      <c r="N262" s="52" t="str">
        <f aca="false">'Model Inputs &amp; Assumptions'!$L$28</f>
        <v>PRD-EUAI</v>
      </c>
      <c r="P262" s="53" t="n">
        <v>2.038431</v>
      </c>
      <c r="Q262" s="53" t="n">
        <v>-1.240241</v>
      </c>
      <c r="R262" s="53" t="n">
        <v>2.13225</v>
      </c>
      <c r="S262" s="53" t="n">
        <v>0.593303</v>
      </c>
    </row>
    <row r="263" customFormat="false" ht="15" hidden="false" customHeight="false" outlineLevel="0" collapsed="false">
      <c r="A263" s="43" t="n">
        <v>260</v>
      </c>
      <c r="B263" s="44" t="str">
        <f aca="false">'Model Inputs &amp; Assumptions'!$B$28</f>
        <v>finanzen.net — Q1 Awareness Burst</v>
      </c>
      <c r="C263" s="45" t="n">
        <f aca="false">ROUND(MAX(0,'Model Inputs &amp; Assumptions'!$S$28*EXP('Model Inputs &amp; Assumptions'!$T$28*P263-'Model Inputs &amp; Assumptions'!$T$28^2/2)),0)</f>
        <v>440140</v>
      </c>
      <c r="D263" s="46" t="n">
        <f aca="false">MIN(1,'Model Inputs &amp; Assumptions'!$U$28*EXP('Model Inputs &amp; Assumptions'!$V$28*Q263-'Model Inputs &amp; Assumptions'!$V$28^2/2))</f>
        <v>0</v>
      </c>
      <c r="E263" s="45" t="n">
        <f aca="false">ROUND(C263*D263,0)</f>
        <v>0</v>
      </c>
      <c r="F263" s="47" t="n">
        <f aca="false">MIN(1,'Model Inputs &amp; Assumptions'!$W$28*EXP('Model Inputs &amp; Assumptions'!$X$28*R263-'Model Inputs &amp; Assumptions'!$X$28^2/2))</f>
        <v>0.00169050704084972</v>
      </c>
      <c r="G263" s="45" t="n">
        <f aca="false">ROUND(C263*F263,0)</f>
        <v>744</v>
      </c>
      <c r="H263" s="48" t="n">
        <f aca="false">MAX(0,(C263*'Model Inputs &amp; Assumptions'!$N$28+E263*'Model Inputs &amp; Assumptions'!$O$28+G263*'Model Inputs &amp; Assumptions'!$P$28)*EXP('Model Inputs &amp; Assumptions'!$Q$28*S263-'Model Inputs &amp; Assumptions'!$Q$28^2/2))</f>
        <v>13.6061451167947</v>
      </c>
      <c r="I263" s="49" t="n">
        <f aca="false">IF('Model Inputs &amp; Assumptions'!$H$28="Fixed",'Model Inputs &amp; Assumptions'!$I$28*'Model Inputs &amp; Assumptions'!$K$28,IF('Model Inputs &amp; Assumptions'!$H$28="CPM",'Model Inputs &amp; Assumptions'!$I$28*'Model Inputs &amp; Assumptions'!$K$28*C263/1000,IF('Model Inputs &amp; Assumptions'!$H$28="CPC",'Model Inputs &amp; Assumptions'!$I$28*'Model Inputs &amp; Assumptions'!$K$28*G263,0)))</f>
        <v>2860.91</v>
      </c>
      <c r="J263" s="50" t="n">
        <f aca="false">H263*INDEX('Model Inputs &amp; Assumptions'!$D$40:$D$42,MATCH('Model Inputs &amp; Assumptions'!$L$28,'Model Inputs &amp; Assumptions'!$A$40:$A$42,0))*INDEX('Model Inputs &amp; Assumptions'!$H$40:$H$42,MATCH('Model Inputs &amp; Assumptions'!$L$28,'Model Inputs &amp; Assumptions'!$A$40:$A$42,0))</f>
        <v>115652.233492755</v>
      </c>
      <c r="K263" s="49" t="n">
        <f aca="false">H263*INDEX('Model Inputs &amp; Assumptions'!$G$40:$G$42,MATCH('Model Inputs &amp; Assumptions'!$L$28,'Model Inputs &amp; Assumptions'!$A$40:$A$42,0))*INDEX('Model Inputs &amp; Assumptions'!$H$40:$H$42,MATCH('Model Inputs &amp; Assumptions'!$L$28,'Model Inputs &amp; Assumptions'!$A$40:$A$42,0))</f>
        <v>2602.17525358699</v>
      </c>
      <c r="L263" s="51" t="n">
        <f aca="false">IFERROR(K263/I263,0)</f>
        <v>0.909562081151447</v>
      </c>
      <c r="M263" s="49" t="n">
        <f aca="false">IFERROR(I263/H263,0)</f>
        <v>210.266021377991</v>
      </c>
      <c r="N263" s="52" t="str">
        <f aca="false">'Model Inputs &amp; Assumptions'!$L$28</f>
        <v>PRD-EUAI</v>
      </c>
      <c r="P263" s="53" t="n">
        <v>-0.155182</v>
      </c>
      <c r="Q263" s="53" t="n">
        <v>-1.027768</v>
      </c>
      <c r="R263" s="53" t="n">
        <v>0.65347</v>
      </c>
      <c r="S263" s="53" t="n">
        <v>-1.499872</v>
      </c>
    </row>
    <row r="264" customFormat="false" ht="15" hidden="false" customHeight="false" outlineLevel="0" collapsed="false">
      <c r="A264" s="43" t="n">
        <v>261</v>
      </c>
      <c r="B264" s="44" t="str">
        <f aca="false">'Model Inputs &amp; Assumptions'!$B$28</f>
        <v>finanzen.net — Q1 Awareness Burst</v>
      </c>
      <c r="C264" s="45" t="n">
        <f aca="false">ROUND(MAX(0,'Model Inputs &amp; Assumptions'!$S$28*EXP('Model Inputs &amp; Assumptions'!$T$28*P264-'Model Inputs &amp; Assumptions'!$T$28^2/2)),0)</f>
        <v>651597</v>
      </c>
      <c r="D264" s="46" t="n">
        <f aca="false">MIN(1,'Model Inputs &amp; Assumptions'!$U$28*EXP('Model Inputs &amp; Assumptions'!$V$28*Q264-'Model Inputs &amp; Assumptions'!$V$28^2/2))</f>
        <v>0</v>
      </c>
      <c r="E264" s="45" t="n">
        <f aca="false">ROUND(C264*D264,0)</f>
        <v>0</v>
      </c>
      <c r="F264" s="47" t="n">
        <f aca="false">MIN(1,'Model Inputs &amp; Assumptions'!$W$28*EXP('Model Inputs &amp; Assumptions'!$X$28*R264-'Model Inputs &amp; Assumptions'!$X$28^2/2))</f>
        <v>0.00241659771509876</v>
      </c>
      <c r="G264" s="45" t="n">
        <f aca="false">ROUND(C264*F264,0)</f>
        <v>1575</v>
      </c>
      <c r="H264" s="48" t="n">
        <f aca="false">MAX(0,(C264*'Model Inputs &amp; Assumptions'!$N$28+E264*'Model Inputs &amp; Assumptions'!$O$28+G264*'Model Inputs &amp; Assumptions'!$P$28)*EXP('Model Inputs &amp; Assumptions'!$Q$28*S264-'Model Inputs &amp; Assumptions'!$Q$28^2/2))</f>
        <v>61.5377774643167</v>
      </c>
      <c r="I264" s="49" t="n">
        <f aca="false">IF('Model Inputs &amp; Assumptions'!$H$28="Fixed",'Model Inputs &amp; Assumptions'!$I$28*'Model Inputs &amp; Assumptions'!$K$28,IF('Model Inputs &amp; Assumptions'!$H$28="CPM",'Model Inputs &amp; Assumptions'!$I$28*'Model Inputs &amp; Assumptions'!$K$28*C264/1000,IF('Model Inputs &amp; Assumptions'!$H$28="CPC",'Model Inputs &amp; Assumptions'!$I$28*'Model Inputs &amp; Assumptions'!$K$28*G264,0)))</f>
        <v>4235.3805</v>
      </c>
      <c r="J264" s="50" t="n">
        <f aca="false">H264*INDEX('Model Inputs &amp; Assumptions'!$D$40:$D$42,MATCH('Model Inputs &amp; Assumptions'!$L$28,'Model Inputs &amp; Assumptions'!$A$40:$A$42,0))*INDEX('Model Inputs &amp; Assumptions'!$H$40:$H$42,MATCH('Model Inputs &amp; Assumptions'!$L$28,'Model Inputs &amp; Assumptions'!$A$40:$A$42,0))</f>
        <v>523071.108446692</v>
      </c>
      <c r="K264" s="49" t="n">
        <f aca="false">H264*INDEX('Model Inputs &amp; Assumptions'!$G$40:$G$42,MATCH('Model Inputs &amp; Assumptions'!$L$28,'Model Inputs &amp; Assumptions'!$A$40:$A$42,0))*INDEX('Model Inputs &amp; Assumptions'!$H$40:$H$42,MATCH('Model Inputs &amp; Assumptions'!$L$28,'Model Inputs &amp; Assumptions'!$A$40:$A$42,0))</f>
        <v>11769.0999400506</v>
      </c>
      <c r="L264" s="51" t="n">
        <f aca="false">IFERROR(K264/I264,0)</f>
        <v>2.77875858852601</v>
      </c>
      <c r="M264" s="49" t="n">
        <f aca="false">IFERROR(I264/H264,0)</f>
        <v>68.8256982055604</v>
      </c>
      <c r="N264" s="52" t="str">
        <f aca="false">'Model Inputs &amp; Assumptions'!$L$28</f>
        <v>PRD-EUAI</v>
      </c>
      <c r="P264" s="53" t="n">
        <v>2.024442</v>
      </c>
      <c r="Q264" s="53" t="n">
        <v>-1.786908</v>
      </c>
      <c r="R264" s="53" t="n">
        <v>2.277707</v>
      </c>
      <c r="S264" s="53" t="n">
        <v>1.030662</v>
      </c>
    </row>
    <row r="265" customFormat="false" ht="15" hidden="false" customHeight="false" outlineLevel="0" collapsed="false">
      <c r="A265" s="43" t="n">
        <v>262</v>
      </c>
      <c r="B265" s="44" t="str">
        <f aca="false">'Model Inputs &amp; Assumptions'!$B$28</f>
        <v>finanzen.net — Q1 Awareness Burst</v>
      </c>
      <c r="C265" s="45" t="n">
        <f aca="false">ROUND(MAX(0,'Model Inputs &amp; Assumptions'!$S$28*EXP('Model Inputs &amp; Assumptions'!$T$28*P265-'Model Inputs &amp; Assumptions'!$T$28^2/2)),0)</f>
        <v>300958</v>
      </c>
      <c r="D265" s="46" t="n">
        <f aca="false">MIN(1,'Model Inputs &amp; Assumptions'!$U$28*EXP('Model Inputs &amp; Assumptions'!$V$28*Q265-'Model Inputs &amp; Assumptions'!$V$28^2/2))</f>
        <v>0</v>
      </c>
      <c r="E265" s="45" t="n">
        <f aca="false">ROUND(C265*D265,0)</f>
        <v>0</v>
      </c>
      <c r="F265" s="47" t="n">
        <f aca="false">MIN(1,'Model Inputs &amp; Assumptions'!$W$28*EXP('Model Inputs &amp; Assumptions'!$X$28*R265-'Model Inputs &amp; Assumptions'!$X$28^2/2))</f>
        <v>0.00150889999935222</v>
      </c>
      <c r="G265" s="45" t="n">
        <f aca="false">ROUND(C265*F265,0)</f>
        <v>454</v>
      </c>
      <c r="H265" s="48" t="n">
        <f aca="false">MAX(0,(C265*'Model Inputs &amp; Assumptions'!$N$28+E265*'Model Inputs &amp; Assumptions'!$O$28+G265*'Model Inputs &amp; Assumptions'!$P$28)*EXP('Model Inputs &amp; Assumptions'!$Q$28*S265-'Model Inputs &amp; Assumptions'!$Q$28^2/2))</f>
        <v>9.14134747475024</v>
      </c>
      <c r="I265" s="49" t="n">
        <f aca="false">IF('Model Inputs &amp; Assumptions'!$H$28="Fixed",'Model Inputs &amp; Assumptions'!$I$28*'Model Inputs &amp; Assumptions'!$K$28,IF('Model Inputs &amp; Assumptions'!$H$28="CPM",'Model Inputs &amp; Assumptions'!$I$28*'Model Inputs &amp; Assumptions'!$K$28*C265/1000,IF('Model Inputs &amp; Assumptions'!$H$28="CPC",'Model Inputs &amp; Assumptions'!$I$28*'Model Inputs &amp; Assumptions'!$K$28*G265,0)))</f>
        <v>1956.227</v>
      </c>
      <c r="J265" s="50" t="n">
        <f aca="false">H265*INDEX('Model Inputs &amp; Assumptions'!$D$40:$D$42,MATCH('Model Inputs &amp; Assumptions'!$L$28,'Model Inputs &amp; Assumptions'!$A$40:$A$42,0))*INDEX('Model Inputs &amp; Assumptions'!$H$40:$H$42,MATCH('Model Inputs &amp; Assumptions'!$L$28,'Model Inputs &amp; Assumptions'!$A$40:$A$42,0))</f>
        <v>77701.453535377</v>
      </c>
      <c r="K265" s="49" t="n">
        <f aca="false">H265*INDEX('Model Inputs &amp; Assumptions'!$G$40:$G$42,MATCH('Model Inputs &amp; Assumptions'!$L$28,'Model Inputs &amp; Assumptions'!$A$40:$A$42,0))*INDEX('Model Inputs &amp; Assumptions'!$H$40:$H$42,MATCH('Model Inputs &amp; Assumptions'!$L$28,'Model Inputs &amp; Assumptions'!$A$40:$A$42,0))</f>
        <v>1748.28270454598</v>
      </c>
      <c r="L265" s="51" t="n">
        <f aca="false">IFERROR(K265/I265,0)</f>
        <v>0.893701346799724</v>
      </c>
      <c r="M265" s="49" t="n">
        <f aca="false">IFERROR(I265/H265,0)</f>
        <v>213.997663408309</v>
      </c>
      <c r="N265" s="52" t="str">
        <f aca="false">'Model Inputs &amp; Assumptions'!$L$28</f>
        <v>PRD-EUAI</v>
      </c>
      <c r="P265" s="53" t="n">
        <v>-2.266971</v>
      </c>
      <c r="Q265" s="53" t="n">
        <v>0.561147</v>
      </c>
      <c r="R265" s="53" t="n">
        <v>0.13689</v>
      </c>
      <c r="S265" s="53" t="n">
        <v>-1.179105</v>
      </c>
    </row>
    <row r="266" customFormat="false" ht="15" hidden="false" customHeight="false" outlineLevel="0" collapsed="false">
      <c r="A266" s="43" t="n">
        <v>263</v>
      </c>
      <c r="B266" s="44" t="str">
        <f aca="false">'Model Inputs &amp; Assumptions'!$B$28</f>
        <v>finanzen.net — Q1 Awareness Burst</v>
      </c>
      <c r="C266" s="45" t="n">
        <f aca="false">ROUND(MAX(0,'Model Inputs &amp; Assumptions'!$S$28*EXP('Model Inputs &amp; Assumptions'!$T$28*P266-'Model Inputs &amp; Assumptions'!$T$28^2/2)),0)</f>
        <v>413625</v>
      </c>
      <c r="D266" s="46" t="n">
        <f aca="false">MIN(1,'Model Inputs &amp; Assumptions'!$U$28*EXP('Model Inputs &amp; Assumptions'!$V$28*Q266-'Model Inputs &amp; Assumptions'!$V$28^2/2))</f>
        <v>0</v>
      </c>
      <c r="E266" s="45" t="n">
        <f aca="false">ROUND(C266*D266,0)</f>
        <v>0</v>
      </c>
      <c r="F266" s="47" t="n">
        <f aca="false">MIN(1,'Model Inputs &amp; Assumptions'!$W$28*EXP('Model Inputs &amp; Assumptions'!$X$28*R266-'Model Inputs &amp; Assumptions'!$X$28^2/2))</f>
        <v>0.00213618564144048</v>
      </c>
      <c r="G266" s="45" t="n">
        <f aca="false">ROUND(C266*F266,0)</f>
        <v>884</v>
      </c>
      <c r="H266" s="48" t="n">
        <f aca="false">MAX(0,(C266*'Model Inputs &amp; Assumptions'!$N$28+E266*'Model Inputs &amp; Assumptions'!$O$28+G266*'Model Inputs &amp; Assumptions'!$P$28)*EXP('Model Inputs &amp; Assumptions'!$Q$28*S266-'Model Inputs &amp; Assumptions'!$Q$28^2/2))</f>
        <v>16.6736122561282</v>
      </c>
      <c r="I266" s="49" t="n">
        <f aca="false">IF('Model Inputs &amp; Assumptions'!$H$28="Fixed",'Model Inputs &amp; Assumptions'!$I$28*'Model Inputs &amp; Assumptions'!$K$28,IF('Model Inputs &amp; Assumptions'!$H$28="CPM",'Model Inputs &amp; Assumptions'!$I$28*'Model Inputs &amp; Assumptions'!$K$28*C266/1000,IF('Model Inputs &amp; Assumptions'!$H$28="CPC",'Model Inputs &amp; Assumptions'!$I$28*'Model Inputs &amp; Assumptions'!$K$28*G266,0)))</f>
        <v>2688.5625</v>
      </c>
      <c r="J266" s="50" t="n">
        <f aca="false">H266*INDEX('Model Inputs &amp; Assumptions'!$D$40:$D$42,MATCH('Model Inputs &amp; Assumptions'!$L$28,'Model Inputs &amp; Assumptions'!$A$40:$A$42,0))*INDEX('Model Inputs &amp; Assumptions'!$H$40:$H$42,MATCH('Model Inputs &amp; Assumptions'!$L$28,'Model Inputs &amp; Assumptions'!$A$40:$A$42,0))</f>
        <v>141725.70417709</v>
      </c>
      <c r="K266" s="49" t="n">
        <f aca="false">H266*INDEX('Model Inputs &amp; Assumptions'!$G$40:$G$42,MATCH('Model Inputs &amp; Assumptions'!$L$28,'Model Inputs &amp; Assumptions'!$A$40:$A$42,0))*INDEX('Model Inputs &amp; Assumptions'!$H$40:$H$42,MATCH('Model Inputs &amp; Assumptions'!$L$28,'Model Inputs &amp; Assumptions'!$A$40:$A$42,0))</f>
        <v>3188.82834398452</v>
      </c>
      <c r="L266" s="51" t="n">
        <f aca="false">IFERROR(K266/I266,0)</f>
        <v>1.18607186702356</v>
      </c>
      <c r="M266" s="49" t="n">
        <f aca="false">IFERROR(I266/H266,0)</f>
        <v>161.246552858506</v>
      </c>
      <c r="N266" s="52" t="str">
        <f aca="false">'Model Inputs &amp; Assumptions'!$L$28</f>
        <v>PRD-EUAI</v>
      </c>
      <c r="P266" s="53" t="n">
        <v>-0.500364</v>
      </c>
      <c r="Q266" s="53" t="n">
        <v>1.184977</v>
      </c>
      <c r="R266" s="53" t="n">
        <v>1.717076</v>
      </c>
      <c r="S266" s="53" t="n">
        <v>-1.396906</v>
      </c>
    </row>
    <row r="267" customFormat="false" ht="15" hidden="false" customHeight="false" outlineLevel="0" collapsed="false">
      <c r="A267" s="43" t="n">
        <v>264</v>
      </c>
      <c r="B267" s="44" t="str">
        <f aca="false">'Model Inputs &amp; Assumptions'!$B$28</f>
        <v>finanzen.net — Q1 Awareness Burst</v>
      </c>
      <c r="C267" s="45" t="n">
        <f aca="false">ROUND(MAX(0,'Model Inputs &amp; Assumptions'!$S$28*EXP('Model Inputs &amp; Assumptions'!$T$28*P267-'Model Inputs &amp; Assumptions'!$T$28^2/2)),0)</f>
        <v>483108</v>
      </c>
      <c r="D267" s="46" t="n">
        <f aca="false">MIN(1,'Model Inputs &amp; Assumptions'!$U$28*EXP('Model Inputs &amp; Assumptions'!$V$28*Q267-'Model Inputs &amp; Assumptions'!$V$28^2/2))</f>
        <v>0</v>
      </c>
      <c r="E267" s="45" t="n">
        <f aca="false">ROUND(C267*D267,0)</f>
        <v>0</v>
      </c>
      <c r="F267" s="47" t="n">
        <f aca="false">MIN(1,'Model Inputs &amp; Assumptions'!$W$28*EXP('Model Inputs &amp; Assumptions'!$X$28*R267-'Model Inputs &amp; Assumptions'!$X$28^2/2))</f>
        <v>0.00202570633694755</v>
      </c>
      <c r="G267" s="45" t="n">
        <f aca="false">ROUND(C267*F267,0)</f>
        <v>979</v>
      </c>
      <c r="H267" s="48" t="n">
        <f aca="false">MAX(0,(C267*'Model Inputs &amp; Assumptions'!$N$28+E267*'Model Inputs &amp; Assumptions'!$O$28+G267*'Model Inputs &amp; Assumptions'!$P$28)*EXP('Model Inputs &amp; Assumptions'!$Q$28*S267-'Model Inputs &amp; Assumptions'!$Q$28^2/2))</f>
        <v>27.5714176906685</v>
      </c>
      <c r="I267" s="49" t="n">
        <f aca="false">IF('Model Inputs &amp; Assumptions'!$H$28="Fixed",'Model Inputs &amp; Assumptions'!$I$28*'Model Inputs &amp; Assumptions'!$K$28,IF('Model Inputs &amp; Assumptions'!$H$28="CPM",'Model Inputs &amp; Assumptions'!$I$28*'Model Inputs &amp; Assumptions'!$K$28*C267/1000,IF('Model Inputs &amp; Assumptions'!$H$28="CPC",'Model Inputs &amp; Assumptions'!$I$28*'Model Inputs &amp; Assumptions'!$K$28*G267,0)))</f>
        <v>3140.202</v>
      </c>
      <c r="J267" s="50" t="n">
        <f aca="false">H267*INDEX('Model Inputs &amp; Assumptions'!$D$40:$D$42,MATCH('Model Inputs &amp; Assumptions'!$L$28,'Model Inputs &amp; Assumptions'!$A$40:$A$42,0))*INDEX('Model Inputs &amp; Assumptions'!$H$40:$H$42,MATCH('Model Inputs &amp; Assumptions'!$L$28,'Model Inputs &amp; Assumptions'!$A$40:$A$42,0))</f>
        <v>234357.050370682</v>
      </c>
      <c r="K267" s="49" t="n">
        <f aca="false">H267*INDEX('Model Inputs &amp; Assumptions'!$G$40:$G$42,MATCH('Model Inputs &amp; Assumptions'!$L$28,'Model Inputs &amp; Assumptions'!$A$40:$A$42,0))*INDEX('Model Inputs &amp; Assumptions'!$H$40:$H$42,MATCH('Model Inputs &amp; Assumptions'!$L$28,'Model Inputs &amp; Assumptions'!$A$40:$A$42,0))</f>
        <v>5273.03363334035</v>
      </c>
      <c r="L267" s="51" t="n">
        <f aca="false">IFERROR(K267/I267,0)</f>
        <v>1.67920204921223</v>
      </c>
      <c r="M267" s="49" t="n">
        <f aca="false">IFERROR(I267/H267,0)</f>
        <v>113.893381734331</v>
      </c>
      <c r="N267" s="52" t="str">
        <f aca="false">'Model Inputs &amp; Assumptions'!$L$28</f>
        <v>PRD-EUAI</v>
      </c>
      <c r="P267" s="53" t="n">
        <v>0.362304</v>
      </c>
      <c r="Q267" s="53" t="n">
        <v>0.707432</v>
      </c>
      <c r="R267" s="53" t="n">
        <v>1.475697</v>
      </c>
      <c r="S267" s="53" t="n">
        <v>-0.060647</v>
      </c>
    </row>
    <row r="268" customFormat="false" ht="15" hidden="false" customHeight="false" outlineLevel="0" collapsed="false">
      <c r="A268" s="43" t="n">
        <v>265</v>
      </c>
      <c r="B268" s="44" t="str">
        <f aca="false">'Model Inputs &amp; Assumptions'!$B$28</f>
        <v>finanzen.net — Q1 Awareness Burst</v>
      </c>
      <c r="C268" s="45" t="n">
        <f aca="false">ROUND(MAX(0,'Model Inputs &amp; Assumptions'!$S$28*EXP('Model Inputs &amp; Assumptions'!$T$28*P268-'Model Inputs &amp; Assumptions'!$T$28^2/2)),0)</f>
        <v>468340</v>
      </c>
      <c r="D268" s="46" t="n">
        <f aca="false">MIN(1,'Model Inputs &amp; Assumptions'!$U$28*EXP('Model Inputs &amp; Assumptions'!$V$28*Q268-'Model Inputs &amp; Assumptions'!$V$28^2/2))</f>
        <v>0</v>
      </c>
      <c r="E268" s="45" t="n">
        <f aca="false">ROUND(C268*D268,0)</f>
        <v>0</v>
      </c>
      <c r="F268" s="47" t="n">
        <f aca="false">MIN(1,'Model Inputs &amp; Assumptions'!$W$28*EXP('Model Inputs &amp; Assumptions'!$X$28*R268-'Model Inputs &amp; Assumptions'!$X$28^2/2))</f>
        <v>0.00125131280989807</v>
      </c>
      <c r="G268" s="45" t="n">
        <f aca="false">ROUND(C268*F268,0)</f>
        <v>586</v>
      </c>
      <c r="H268" s="48" t="n">
        <f aca="false">MAX(0,(C268*'Model Inputs &amp; Assumptions'!$N$28+E268*'Model Inputs &amp; Assumptions'!$O$28+G268*'Model Inputs &amp; Assumptions'!$P$28)*EXP('Model Inputs &amp; Assumptions'!$Q$28*S268-'Model Inputs &amp; Assumptions'!$Q$28^2/2))</f>
        <v>19.4407327700991</v>
      </c>
      <c r="I268" s="49" t="n">
        <f aca="false">IF('Model Inputs &amp; Assumptions'!$H$28="Fixed",'Model Inputs &amp; Assumptions'!$I$28*'Model Inputs &amp; Assumptions'!$K$28,IF('Model Inputs &amp; Assumptions'!$H$28="CPM",'Model Inputs &amp; Assumptions'!$I$28*'Model Inputs &amp; Assumptions'!$K$28*C268/1000,IF('Model Inputs &amp; Assumptions'!$H$28="CPC",'Model Inputs &amp; Assumptions'!$I$28*'Model Inputs &amp; Assumptions'!$K$28*G268,0)))</f>
        <v>3044.21</v>
      </c>
      <c r="J268" s="50" t="n">
        <f aca="false">H268*INDEX('Model Inputs &amp; Assumptions'!$D$40:$D$42,MATCH('Model Inputs &amp; Assumptions'!$L$28,'Model Inputs &amp; Assumptions'!$A$40:$A$42,0))*INDEX('Model Inputs &amp; Assumptions'!$H$40:$H$42,MATCH('Model Inputs &amp; Assumptions'!$L$28,'Model Inputs &amp; Assumptions'!$A$40:$A$42,0))</f>
        <v>165246.228545842</v>
      </c>
      <c r="K268" s="49" t="n">
        <f aca="false">H268*INDEX('Model Inputs &amp; Assumptions'!$G$40:$G$42,MATCH('Model Inputs &amp; Assumptions'!$L$28,'Model Inputs &amp; Assumptions'!$A$40:$A$42,0))*INDEX('Model Inputs &amp; Assumptions'!$H$40:$H$42,MATCH('Model Inputs &amp; Assumptions'!$L$28,'Model Inputs &amp; Assumptions'!$A$40:$A$42,0))</f>
        <v>3718.04014228144</v>
      </c>
      <c r="L268" s="51" t="n">
        <f aca="false">IFERROR(K268/I268,0)</f>
        <v>1.22134811405305</v>
      </c>
      <c r="M268" s="49" t="n">
        <f aca="false">IFERROR(I268/H268,0)</f>
        <v>156.589262143563</v>
      </c>
      <c r="N268" s="52" t="str">
        <f aca="false">'Model Inputs &amp; Assumptions'!$L$28</f>
        <v>PRD-EUAI</v>
      </c>
      <c r="P268" s="53" t="n">
        <v>0.189819</v>
      </c>
      <c r="Q268" s="53" t="n">
        <v>-0.270152</v>
      </c>
      <c r="R268" s="53" t="n">
        <v>-0.713963</v>
      </c>
      <c r="S268" s="53" t="n">
        <v>0.485362</v>
      </c>
    </row>
    <row r="269" customFormat="false" ht="15" hidden="false" customHeight="false" outlineLevel="0" collapsed="false">
      <c r="A269" s="43" t="n">
        <v>266</v>
      </c>
      <c r="B269" s="44" t="str">
        <f aca="false">'Model Inputs &amp; Assumptions'!$B$28</f>
        <v>finanzen.net — Q1 Awareness Burst</v>
      </c>
      <c r="C269" s="45" t="n">
        <f aca="false">ROUND(MAX(0,'Model Inputs &amp; Assumptions'!$S$28*EXP('Model Inputs &amp; Assumptions'!$T$28*P269-'Model Inputs &amp; Assumptions'!$T$28^2/2)),0)</f>
        <v>483427</v>
      </c>
      <c r="D269" s="46" t="n">
        <f aca="false">MIN(1,'Model Inputs &amp; Assumptions'!$U$28*EXP('Model Inputs &amp; Assumptions'!$V$28*Q269-'Model Inputs &amp; Assumptions'!$V$28^2/2))</f>
        <v>0</v>
      </c>
      <c r="E269" s="45" t="n">
        <f aca="false">ROUND(C269*D269,0)</f>
        <v>0</v>
      </c>
      <c r="F269" s="47" t="n">
        <f aca="false">MIN(1,'Model Inputs &amp; Assumptions'!$W$28*EXP('Model Inputs &amp; Assumptions'!$X$28*R269-'Model Inputs &amp; Assumptions'!$X$28^2/2))</f>
        <v>0.00157132084483784</v>
      </c>
      <c r="G269" s="45" t="n">
        <f aca="false">ROUND(C269*F269,0)</f>
        <v>760</v>
      </c>
      <c r="H269" s="48" t="n">
        <f aca="false">MAX(0,(C269*'Model Inputs &amp; Assumptions'!$N$28+E269*'Model Inputs &amp; Assumptions'!$O$28+G269*'Model Inputs &amp; Assumptions'!$P$28)*EXP('Model Inputs &amp; Assumptions'!$Q$28*S269-'Model Inputs &amp; Assumptions'!$Q$28^2/2))</f>
        <v>29.7671648679766</v>
      </c>
      <c r="I269" s="49" t="n">
        <f aca="false">IF('Model Inputs &amp; Assumptions'!$H$28="Fixed",'Model Inputs &amp; Assumptions'!$I$28*'Model Inputs &amp; Assumptions'!$K$28,IF('Model Inputs &amp; Assumptions'!$H$28="CPM",'Model Inputs &amp; Assumptions'!$I$28*'Model Inputs &amp; Assumptions'!$K$28*C269/1000,IF('Model Inputs &amp; Assumptions'!$H$28="CPC",'Model Inputs &amp; Assumptions'!$I$28*'Model Inputs &amp; Assumptions'!$K$28*G269,0)))</f>
        <v>3142.2755</v>
      </c>
      <c r="J269" s="50" t="n">
        <f aca="false">H269*INDEX('Model Inputs &amp; Assumptions'!$D$40:$D$42,MATCH('Model Inputs &amp; Assumptions'!$L$28,'Model Inputs &amp; Assumptions'!$A$40:$A$42,0))*INDEX('Model Inputs &amp; Assumptions'!$H$40:$H$42,MATCH('Model Inputs &amp; Assumptions'!$L$28,'Model Inputs &amp; Assumptions'!$A$40:$A$42,0))</f>
        <v>253020.901377801</v>
      </c>
      <c r="K269" s="49" t="n">
        <f aca="false">H269*INDEX('Model Inputs &amp; Assumptions'!$G$40:$G$42,MATCH('Model Inputs &amp; Assumptions'!$L$28,'Model Inputs &amp; Assumptions'!$A$40:$A$42,0))*INDEX('Model Inputs &amp; Assumptions'!$H$40:$H$42,MATCH('Model Inputs &amp; Assumptions'!$L$28,'Model Inputs &amp; Assumptions'!$A$40:$A$42,0))</f>
        <v>5692.97028100052</v>
      </c>
      <c r="L269" s="51" t="n">
        <f aca="false">IFERROR(K269/I269,0)</f>
        <v>1.81173492935311</v>
      </c>
      <c r="M269" s="49" t="n">
        <f aca="false">IFERROR(I269/H269,0)</f>
        <v>105.561799853517</v>
      </c>
      <c r="N269" s="52" t="str">
        <f aca="false">'Model Inputs &amp; Assumptions'!$L$28</f>
        <v>PRD-EUAI</v>
      </c>
      <c r="P269" s="53" t="n">
        <v>0.365971</v>
      </c>
      <c r="Q269" s="53" t="n">
        <v>-0.525189</v>
      </c>
      <c r="R269" s="53" t="n">
        <v>0.321143</v>
      </c>
      <c r="S269" s="53" t="n">
        <v>1.038818</v>
      </c>
    </row>
    <row r="270" customFormat="false" ht="15" hidden="false" customHeight="false" outlineLevel="0" collapsed="false">
      <c r="A270" s="43" t="n">
        <v>267</v>
      </c>
      <c r="B270" s="44" t="str">
        <f aca="false">'Model Inputs &amp; Assumptions'!$B$28</f>
        <v>finanzen.net — Q1 Awareness Burst</v>
      </c>
      <c r="C270" s="45" t="n">
        <f aca="false">ROUND(MAX(0,'Model Inputs &amp; Assumptions'!$S$28*EXP('Model Inputs &amp; Assumptions'!$T$28*P270-'Model Inputs &amp; Assumptions'!$T$28^2/2)),0)</f>
        <v>587147</v>
      </c>
      <c r="D270" s="46" t="n">
        <f aca="false">MIN(1,'Model Inputs &amp; Assumptions'!$U$28*EXP('Model Inputs &amp; Assumptions'!$V$28*Q270-'Model Inputs &amp; Assumptions'!$V$28^2/2))</f>
        <v>0</v>
      </c>
      <c r="E270" s="45" t="n">
        <f aca="false">ROUND(C270*D270,0)</f>
        <v>0</v>
      </c>
      <c r="F270" s="47" t="n">
        <f aca="false">MIN(1,'Model Inputs &amp; Assumptions'!$W$28*EXP('Model Inputs &amp; Assumptions'!$X$28*R270-'Model Inputs &amp; Assumptions'!$X$28^2/2))</f>
        <v>0.0013196213087243</v>
      </c>
      <c r="G270" s="45" t="n">
        <f aca="false">ROUND(C270*F270,0)</f>
        <v>775</v>
      </c>
      <c r="H270" s="48" t="n">
        <f aca="false">MAX(0,(C270*'Model Inputs &amp; Assumptions'!$N$28+E270*'Model Inputs &amp; Assumptions'!$O$28+G270*'Model Inputs &amp; Assumptions'!$P$28)*EXP('Model Inputs &amp; Assumptions'!$Q$28*S270-'Model Inputs &amp; Assumptions'!$Q$28^2/2))</f>
        <v>24.3423159266688</v>
      </c>
      <c r="I270" s="49" t="n">
        <f aca="false">IF('Model Inputs &amp; Assumptions'!$H$28="Fixed",'Model Inputs &amp; Assumptions'!$I$28*'Model Inputs &amp; Assumptions'!$K$28,IF('Model Inputs &amp; Assumptions'!$H$28="CPM",'Model Inputs &amp; Assumptions'!$I$28*'Model Inputs &amp; Assumptions'!$K$28*C270/1000,IF('Model Inputs &amp; Assumptions'!$H$28="CPC",'Model Inputs &amp; Assumptions'!$I$28*'Model Inputs &amp; Assumptions'!$K$28*G270,0)))</f>
        <v>3816.4555</v>
      </c>
      <c r="J270" s="50" t="n">
        <f aca="false">H270*INDEX('Model Inputs &amp; Assumptions'!$D$40:$D$42,MATCH('Model Inputs &amp; Assumptions'!$L$28,'Model Inputs &amp; Assumptions'!$A$40:$A$42,0))*INDEX('Model Inputs &amp; Assumptions'!$H$40:$H$42,MATCH('Model Inputs &amp; Assumptions'!$L$28,'Model Inputs &amp; Assumptions'!$A$40:$A$42,0))</f>
        <v>206909.685376685</v>
      </c>
      <c r="K270" s="49" t="n">
        <f aca="false">H270*INDEX('Model Inputs &amp; Assumptions'!$G$40:$G$42,MATCH('Model Inputs &amp; Assumptions'!$L$28,'Model Inputs &amp; Assumptions'!$A$40:$A$42,0))*INDEX('Model Inputs &amp; Assumptions'!$H$40:$H$42,MATCH('Model Inputs &amp; Assumptions'!$L$28,'Model Inputs &amp; Assumptions'!$A$40:$A$42,0))</f>
        <v>4655.46792097542</v>
      </c>
      <c r="L270" s="51" t="n">
        <f aca="false">IFERROR(K270/I270,0)</f>
        <v>1.21984074515618</v>
      </c>
      <c r="M270" s="49" t="n">
        <f aca="false">IFERROR(I270/H270,0)</f>
        <v>156.782760995177</v>
      </c>
      <c r="N270" s="52" t="str">
        <f aca="false">'Model Inputs &amp; Assumptions'!$L$28</f>
        <v>PRD-EUAI</v>
      </c>
      <c r="P270" s="53" t="n">
        <v>1.44583</v>
      </c>
      <c r="Q270" s="53" t="n">
        <v>-0.450256</v>
      </c>
      <c r="R270" s="53" t="n">
        <v>-0.472365</v>
      </c>
      <c r="S270" s="53" t="n">
        <v>0.303037</v>
      </c>
    </row>
    <row r="271" customFormat="false" ht="15" hidden="false" customHeight="false" outlineLevel="0" collapsed="false">
      <c r="A271" s="43" t="n">
        <v>268</v>
      </c>
      <c r="B271" s="44" t="str">
        <f aca="false">'Model Inputs &amp; Assumptions'!$B$28</f>
        <v>finanzen.net — Q1 Awareness Burst</v>
      </c>
      <c r="C271" s="45" t="n">
        <f aca="false">ROUND(MAX(0,'Model Inputs &amp; Assumptions'!$S$28*EXP('Model Inputs &amp; Assumptions'!$T$28*P271-'Model Inputs &amp; Assumptions'!$T$28^2/2)),0)</f>
        <v>427143</v>
      </c>
      <c r="D271" s="46" t="n">
        <f aca="false">MIN(1,'Model Inputs &amp; Assumptions'!$U$28*EXP('Model Inputs &amp; Assumptions'!$V$28*Q271-'Model Inputs &amp; Assumptions'!$V$28^2/2))</f>
        <v>0</v>
      </c>
      <c r="E271" s="45" t="n">
        <f aca="false">ROUND(C271*D271,0)</f>
        <v>0</v>
      </c>
      <c r="F271" s="47" t="n">
        <f aca="false">MIN(1,'Model Inputs &amp; Assumptions'!$W$28*EXP('Model Inputs &amp; Assumptions'!$X$28*R271-'Model Inputs &amp; Assumptions'!$X$28^2/2))</f>
        <v>0.00128501494432976</v>
      </c>
      <c r="G271" s="45" t="n">
        <f aca="false">ROUND(C271*F271,0)</f>
        <v>549</v>
      </c>
      <c r="H271" s="48" t="n">
        <f aca="false">MAX(0,(C271*'Model Inputs &amp; Assumptions'!$N$28+E271*'Model Inputs &amp; Assumptions'!$O$28+G271*'Model Inputs &amp; Assumptions'!$P$28)*EXP('Model Inputs &amp; Assumptions'!$Q$28*S271-'Model Inputs &amp; Assumptions'!$Q$28^2/2))</f>
        <v>12.5122272248203</v>
      </c>
      <c r="I271" s="49" t="n">
        <f aca="false">IF('Model Inputs &amp; Assumptions'!$H$28="Fixed",'Model Inputs &amp; Assumptions'!$I$28*'Model Inputs &amp; Assumptions'!$K$28,IF('Model Inputs &amp; Assumptions'!$H$28="CPM",'Model Inputs &amp; Assumptions'!$I$28*'Model Inputs &amp; Assumptions'!$K$28*C271/1000,IF('Model Inputs &amp; Assumptions'!$H$28="CPC",'Model Inputs &amp; Assumptions'!$I$28*'Model Inputs &amp; Assumptions'!$K$28*G271,0)))</f>
        <v>2776.4295</v>
      </c>
      <c r="J271" s="50" t="n">
        <f aca="false">H271*INDEX('Model Inputs &amp; Assumptions'!$D$40:$D$42,MATCH('Model Inputs &amp; Assumptions'!$L$28,'Model Inputs &amp; Assumptions'!$A$40:$A$42,0))*INDEX('Model Inputs &amp; Assumptions'!$H$40:$H$42,MATCH('Model Inputs &amp; Assumptions'!$L$28,'Model Inputs &amp; Assumptions'!$A$40:$A$42,0))</f>
        <v>106353.931410973</v>
      </c>
      <c r="K271" s="49" t="n">
        <f aca="false">H271*INDEX('Model Inputs &amp; Assumptions'!$G$40:$G$42,MATCH('Model Inputs &amp; Assumptions'!$L$28,'Model Inputs &amp; Assumptions'!$A$40:$A$42,0))*INDEX('Model Inputs &amp; Assumptions'!$H$40:$H$42,MATCH('Model Inputs &amp; Assumptions'!$L$28,'Model Inputs &amp; Assumptions'!$A$40:$A$42,0))</f>
        <v>2392.96345674688</v>
      </c>
      <c r="L271" s="51" t="n">
        <f aca="false">IFERROR(K271/I271,0)</f>
        <v>0.861885186260585</v>
      </c>
      <c r="M271" s="49" t="n">
        <f aca="false">IFERROR(I271/H271,0)</f>
        <v>221.897304941237</v>
      </c>
      <c r="N271" s="52" t="str">
        <f aca="false">'Model Inputs &amp; Assumptions'!$L$28</f>
        <v>PRD-EUAI</v>
      </c>
      <c r="P271" s="53" t="n">
        <v>-0.321712</v>
      </c>
      <c r="Q271" s="53" t="n">
        <v>-0.125608</v>
      </c>
      <c r="R271" s="53" t="n">
        <v>-0.593158</v>
      </c>
      <c r="S271" s="53" t="n">
        <v>-0.766114</v>
      </c>
    </row>
    <row r="272" customFormat="false" ht="15" hidden="false" customHeight="false" outlineLevel="0" collapsed="false">
      <c r="A272" s="43" t="n">
        <v>269</v>
      </c>
      <c r="B272" s="44" t="str">
        <f aca="false">'Model Inputs &amp; Assumptions'!$B$28</f>
        <v>finanzen.net — Q1 Awareness Burst</v>
      </c>
      <c r="C272" s="45" t="n">
        <f aca="false">ROUND(MAX(0,'Model Inputs &amp; Assumptions'!$S$28*EXP('Model Inputs &amp; Assumptions'!$T$28*P272-'Model Inputs &amp; Assumptions'!$T$28^2/2)),0)</f>
        <v>358789</v>
      </c>
      <c r="D272" s="46" t="n">
        <f aca="false">MIN(1,'Model Inputs &amp; Assumptions'!$U$28*EXP('Model Inputs &amp; Assumptions'!$V$28*Q272-'Model Inputs &amp; Assumptions'!$V$28^2/2))</f>
        <v>0</v>
      </c>
      <c r="E272" s="45" t="n">
        <f aca="false">ROUND(C272*D272,0)</f>
        <v>0</v>
      </c>
      <c r="F272" s="47" t="n">
        <f aca="false">MIN(1,'Model Inputs &amp; Assumptions'!$W$28*EXP('Model Inputs &amp; Assumptions'!$X$28*R272-'Model Inputs &amp; Assumptions'!$X$28^2/2))</f>
        <v>0.00145100869761914</v>
      </c>
      <c r="G272" s="45" t="n">
        <f aca="false">ROUND(C272*F272,0)</f>
        <v>521</v>
      </c>
      <c r="H272" s="48" t="n">
        <f aca="false">MAX(0,(C272*'Model Inputs &amp; Assumptions'!$N$28+E272*'Model Inputs &amp; Assumptions'!$O$28+G272*'Model Inputs &amp; Assumptions'!$P$28)*EXP('Model Inputs &amp; Assumptions'!$Q$28*S272-'Model Inputs &amp; Assumptions'!$Q$28^2/2))</f>
        <v>27.0180765660376</v>
      </c>
      <c r="I272" s="49" t="n">
        <f aca="false">IF('Model Inputs &amp; Assumptions'!$H$28="Fixed",'Model Inputs &amp; Assumptions'!$I$28*'Model Inputs &amp; Assumptions'!$K$28,IF('Model Inputs &amp; Assumptions'!$H$28="CPM",'Model Inputs &amp; Assumptions'!$I$28*'Model Inputs &amp; Assumptions'!$K$28*C272/1000,IF('Model Inputs &amp; Assumptions'!$H$28="CPC",'Model Inputs &amp; Assumptions'!$I$28*'Model Inputs &amp; Assumptions'!$K$28*G272,0)))</f>
        <v>2332.1285</v>
      </c>
      <c r="J272" s="50" t="n">
        <f aca="false">H272*INDEX('Model Inputs &amp; Assumptions'!$D$40:$D$42,MATCH('Model Inputs &amp; Assumptions'!$L$28,'Model Inputs &amp; Assumptions'!$A$40:$A$42,0))*INDEX('Model Inputs &amp; Assumptions'!$H$40:$H$42,MATCH('Model Inputs &amp; Assumptions'!$L$28,'Model Inputs &amp; Assumptions'!$A$40:$A$42,0))</f>
        <v>229653.65081132</v>
      </c>
      <c r="K272" s="49" t="n">
        <f aca="false">H272*INDEX('Model Inputs &amp; Assumptions'!$G$40:$G$42,MATCH('Model Inputs &amp; Assumptions'!$L$28,'Model Inputs &amp; Assumptions'!$A$40:$A$42,0))*INDEX('Model Inputs &amp; Assumptions'!$H$40:$H$42,MATCH('Model Inputs &amp; Assumptions'!$L$28,'Model Inputs &amp; Assumptions'!$A$40:$A$42,0))</f>
        <v>5167.20714325469</v>
      </c>
      <c r="L272" s="51" t="n">
        <f aca="false">IFERROR(K272/I272,0)</f>
        <v>2.21566141970937</v>
      </c>
      <c r="M272" s="49" t="n">
        <f aca="false">IFERROR(I272/H272,0)</f>
        <v>86.3173399594086</v>
      </c>
      <c r="N272" s="52" t="str">
        <f aca="false">'Model Inputs &amp; Assumptions'!$L$28</f>
        <v>PRD-EUAI</v>
      </c>
      <c r="P272" s="53" t="n">
        <v>-1.290515</v>
      </c>
      <c r="Q272" s="53" t="n">
        <v>1.166899</v>
      </c>
      <c r="R272" s="53" t="n">
        <v>-0.040937</v>
      </c>
      <c r="S272" s="53" t="n">
        <v>1.97438</v>
      </c>
    </row>
    <row r="273" customFormat="false" ht="15" hidden="false" customHeight="false" outlineLevel="0" collapsed="false">
      <c r="A273" s="43" t="n">
        <v>270</v>
      </c>
      <c r="B273" s="44" t="str">
        <f aca="false">'Model Inputs &amp; Assumptions'!$B$28</f>
        <v>finanzen.net — Q1 Awareness Burst</v>
      </c>
      <c r="C273" s="45" t="n">
        <f aca="false">ROUND(MAX(0,'Model Inputs &amp; Assumptions'!$S$28*EXP('Model Inputs &amp; Assumptions'!$T$28*P273-'Model Inputs &amp; Assumptions'!$T$28^2/2)),0)</f>
        <v>573596</v>
      </c>
      <c r="D273" s="46" t="n">
        <f aca="false">MIN(1,'Model Inputs &amp; Assumptions'!$U$28*EXP('Model Inputs &amp; Assumptions'!$V$28*Q273-'Model Inputs &amp; Assumptions'!$V$28^2/2))</f>
        <v>0</v>
      </c>
      <c r="E273" s="45" t="n">
        <f aca="false">ROUND(C273*D273,0)</f>
        <v>0</v>
      </c>
      <c r="F273" s="47" t="n">
        <f aca="false">MIN(1,'Model Inputs &amp; Assumptions'!$W$28*EXP('Model Inputs &amp; Assumptions'!$X$28*R273-'Model Inputs &amp; Assumptions'!$X$28^2/2))</f>
        <v>0.00189510633062536</v>
      </c>
      <c r="G273" s="45" t="n">
        <f aca="false">ROUND(C273*F273,0)</f>
        <v>1087</v>
      </c>
      <c r="H273" s="48" t="n">
        <f aca="false">MAX(0,(C273*'Model Inputs &amp; Assumptions'!$N$28+E273*'Model Inputs &amp; Assumptions'!$O$28+G273*'Model Inputs &amp; Assumptions'!$P$28)*EXP('Model Inputs &amp; Assumptions'!$Q$28*S273-'Model Inputs &amp; Assumptions'!$Q$28^2/2))</f>
        <v>26.6078926994826</v>
      </c>
      <c r="I273" s="49" t="n">
        <f aca="false">IF('Model Inputs &amp; Assumptions'!$H$28="Fixed",'Model Inputs &amp; Assumptions'!$I$28*'Model Inputs &amp; Assumptions'!$K$28,IF('Model Inputs &amp; Assumptions'!$H$28="CPM",'Model Inputs &amp; Assumptions'!$I$28*'Model Inputs &amp; Assumptions'!$K$28*C273/1000,IF('Model Inputs &amp; Assumptions'!$H$28="CPC",'Model Inputs &amp; Assumptions'!$I$28*'Model Inputs &amp; Assumptions'!$K$28*G273,0)))</f>
        <v>3728.374</v>
      </c>
      <c r="J273" s="50" t="n">
        <f aca="false">H273*INDEX('Model Inputs &amp; Assumptions'!$D$40:$D$42,MATCH('Model Inputs &amp; Assumptions'!$L$28,'Model Inputs &amp; Assumptions'!$A$40:$A$42,0))*INDEX('Model Inputs &amp; Assumptions'!$H$40:$H$42,MATCH('Model Inputs &amp; Assumptions'!$L$28,'Model Inputs &amp; Assumptions'!$A$40:$A$42,0))</f>
        <v>226167.087945602</v>
      </c>
      <c r="K273" s="49" t="n">
        <f aca="false">H273*INDEX('Model Inputs &amp; Assumptions'!$G$40:$G$42,MATCH('Model Inputs &amp; Assumptions'!$L$28,'Model Inputs &amp; Assumptions'!$A$40:$A$42,0))*INDEX('Model Inputs &amp; Assumptions'!$H$40:$H$42,MATCH('Model Inputs &amp; Assumptions'!$L$28,'Model Inputs &amp; Assumptions'!$A$40:$A$42,0))</f>
        <v>5088.75947877605</v>
      </c>
      <c r="L273" s="51" t="n">
        <f aca="false">IFERROR(K273/I273,0)</f>
        <v>1.36487366309712</v>
      </c>
      <c r="M273" s="49" t="n">
        <f aca="false">IFERROR(I273/H273,0)</f>
        <v>140.12285911212</v>
      </c>
      <c r="N273" s="52" t="str">
        <f aca="false">'Model Inputs &amp; Assumptions'!$L$28</f>
        <v>PRD-EUAI</v>
      </c>
      <c r="P273" s="53" t="n">
        <v>1.316107</v>
      </c>
      <c r="Q273" s="53" t="n">
        <v>-0.796093</v>
      </c>
      <c r="R273" s="53" t="n">
        <v>1.172772</v>
      </c>
      <c r="S273" s="53" t="n">
        <v>-0.528037</v>
      </c>
    </row>
    <row r="274" customFormat="false" ht="15" hidden="false" customHeight="false" outlineLevel="0" collapsed="false">
      <c r="A274" s="43" t="n">
        <v>271</v>
      </c>
      <c r="B274" s="44" t="str">
        <f aca="false">'Model Inputs &amp; Assumptions'!$B$28</f>
        <v>finanzen.net — Q1 Awareness Burst</v>
      </c>
      <c r="C274" s="45" t="n">
        <f aca="false">ROUND(MAX(0,'Model Inputs &amp; Assumptions'!$S$28*EXP('Model Inputs &amp; Assumptions'!$T$28*P274-'Model Inputs &amp; Assumptions'!$T$28^2/2)),0)</f>
        <v>403529</v>
      </c>
      <c r="D274" s="46" t="n">
        <f aca="false">MIN(1,'Model Inputs &amp; Assumptions'!$U$28*EXP('Model Inputs &amp; Assumptions'!$V$28*Q274-'Model Inputs &amp; Assumptions'!$V$28^2/2))</f>
        <v>0</v>
      </c>
      <c r="E274" s="45" t="n">
        <f aca="false">ROUND(C274*D274,0)</f>
        <v>0</v>
      </c>
      <c r="F274" s="47" t="n">
        <f aca="false">MIN(1,'Model Inputs &amp; Assumptions'!$W$28*EXP('Model Inputs &amp; Assumptions'!$X$28*R274-'Model Inputs &amp; Assumptions'!$X$28^2/2))</f>
        <v>0.000985465272082213</v>
      </c>
      <c r="G274" s="45" t="n">
        <f aca="false">ROUND(C274*F274,0)</f>
        <v>398</v>
      </c>
      <c r="H274" s="48" t="n">
        <f aca="false">MAX(0,(C274*'Model Inputs &amp; Assumptions'!$N$28+E274*'Model Inputs &amp; Assumptions'!$O$28+G274*'Model Inputs &amp; Assumptions'!$P$28)*EXP('Model Inputs &amp; Assumptions'!$Q$28*S274-'Model Inputs &amp; Assumptions'!$Q$28^2/2))</f>
        <v>10.940078888303</v>
      </c>
      <c r="I274" s="49" t="n">
        <f aca="false">IF('Model Inputs &amp; Assumptions'!$H$28="Fixed",'Model Inputs &amp; Assumptions'!$I$28*'Model Inputs &amp; Assumptions'!$K$28,IF('Model Inputs &amp; Assumptions'!$H$28="CPM",'Model Inputs &amp; Assumptions'!$I$28*'Model Inputs &amp; Assumptions'!$K$28*C274/1000,IF('Model Inputs &amp; Assumptions'!$H$28="CPC",'Model Inputs &amp; Assumptions'!$I$28*'Model Inputs &amp; Assumptions'!$K$28*G274,0)))</f>
        <v>2622.9385</v>
      </c>
      <c r="J274" s="50" t="n">
        <f aca="false">H274*INDEX('Model Inputs &amp; Assumptions'!$D$40:$D$42,MATCH('Model Inputs &amp; Assumptions'!$L$28,'Model Inputs &amp; Assumptions'!$A$40:$A$42,0))*INDEX('Model Inputs &amp; Assumptions'!$H$40:$H$42,MATCH('Model Inputs &amp; Assumptions'!$L$28,'Model Inputs &amp; Assumptions'!$A$40:$A$42,0))</f>
        <v>92990.6705505757</v>
      </c>
      <c r="K274" s="49" t="n">
        <f aca="false">H274*INDEX('Model Inputs &amp; Assumptions'!$G$40:$G$42,MATCH('Model Inputs &amp; Assumptions'!$L$28,'Model Inputs &amp; Assumptions'!$A$40:$A$42,0))*INDEX('Model Inputs &amp; Assumptions'!$H$40:$H$42,MATCH('Model Inputs &amp; Assumptions'!$L$28,'Model Inputs &amp; Assumptions'!$A$40:$A$42,0))</f>
        <v>2092.29008738795</v>
      </c>
      <c r="L274" s="51" t="n">
        <f aca="false">IFERROR(K274/I274,0)</f>
        <v>0.797689342463787</v>
      </c>
      <c r="M274" s="49" t="n">
        <f aca="false">IFERROR(I274/H274,0)</f>
        <v>239.754989591931</v>
      </c>
      <c r="N274" s="52" t="str">
        <f aca="false">'Model Inputs &amp; Assumptions'!$L$28</f>
        <v>PRD-EUAI</v>
      </c>
      <c r="P274" s="53" t="n">
        <v>-0.637653</v>
      </c>
      <c r="Q274" s="53" t="n">
        <v>-0.357906</v>
      </c>
      <c r="R274" s="53" t="n">
        <v>-1.799575</v>
      </c>
      <c r="S274" s="53" t="n">
        <v>-0.141537</v>
      </c>
    </row>
    <row r="275" customFormat="false" ht="15" hidden="false" customHeight="false" outlineLevel="0" collapsed="false">
      <c r="A275" s="43" t="n">
        <v>272</v>
      </c>
      <c r="B275" s="44" t="str">
        <f aca="false">'Model Inputs &amp; Assumptions'!$B$28</f>
        <v>finanzen.net — Q1 Awareness Burst</v>
      </c>
      <c r="C275" s="45" t="n">
        <f aca="false">ROUND(MAX(0,'Model Inputs &amp; Assumptions'!$S$28*EXP('Model Inputs &amp; Assumptions'!$T$28*P275-'Model Inputs &amp; Assumptions'!$T$28^2/2)),0)</f>
        <v>431831</v>
      </c>
      <c r="D275" s="46" t="n">
        <f aca="false">MIN(1,'Model Inputs &amp; Assumptions'!$U$28*EXP('Model Inputs &amp; Assumptions'!$V$28*Q275-'Model Inputs &amp; Assumptions'!$V$28^2/2))</f>
        <v>0</v>
      </c>
      <c r="E275" s="45" t="n">
        <f aca="false">ROUND(C275*D275,0)</f>
        <v>0</v>
      </c>
      <c r="F275" s="47" t="n">
        <f aca="false">MIN(1,'Model Inputs &amp; Assumptions'!$W$28*EXP('Model Inputs &amp; Assumptions'!$X$28*R275-'Model Inputs &amp; Assumptions'!$X$28^2/2))</f>
        <v>0.00150428356468943</v>
      </c>
      <c r="G275" s="45" t="n">
        <f aca="false">ROUND(C275*F275,0)</f>
        <v>650</v>
      </c>
      <c r="H275" s="48" t="n">
        <f aca="false">MAX(0,(C275*'Model Inputs &amp; Assumptions'!$N$28+E275*'Model Inputs &amp; Assumptions'!$O$28+G275*'Model Inputs &amp; Assumptions'!$P$28)*EXP('Model Inputs &amp; Assumptions'!$Q$28*S275-'Model Inputs &amp; Assumptions'!$Q$28^2/2))</f>
        <v>22.5535248319116</v>
      </c>
      <c r="I275" s="49" t="n">
        <f aca="false">IF('Model Inputs &amp; Assumptions'!$H$28="Fixed",'Model Inputs &amp; Assumptions'!$I$28*'Model Inputs &amp; Assumptions'!$K$28,IF('Model Inputs &amp; Assumptions'!$H$28="CPM",'Model Inputs &amp; Assumptions'!$I$28*'Model Inputs &amp; Assumptions'!$K$28*C275/1000,IF('Model Inputs &amp; Assumptions'!$H$28="CPC",'Model Inputs &amp; Assumptions'!$I$28*'Model Inputs &amp; Assumptions'!$K$28*G275,0)))</f>
        <v>2806.9015</v>
      </c>
      <c r="J275" s="50" t="n">
        <f aca="false">H275*INDEX('Model Inputs &amp; Assumptions'!$D$40:$D$42,MATCH('Model Inputs &amp; Assumptions'!$L$28,'Model Inputs &amp; Assumptions'!$A$40:$A$42,0))*INDEX('Model Inputs &amp; Assumptions'!$H$40:$H$42,MATCH('Model Inputs &amp; Assumptions'!$L$28,'Model Inputs &amp; Assumptions'!$A$40:$A$42,0))</f>
        <v>191704.961071249</v>
      </c>
      <c r="K275" s="49" t="n">
        <f aca="false">H275*INDEX('Model Inputs &amp; Assumptions'!$G$40:$G$42,MATCH('Model Inputs &amp; Assumptions'!$L$28,'Model Inputs &amp; Assumptions'!$A$40:$A$42,0))*INDEX('Model Inputs &amp; Assumptions'!$H$40:$H$42,MATCH('Model Inputs &amp; Assumptions'!$L$28,'Model Inputs &amp; Assumptions'!$A$40:$A$42,0))</f>
        <v>4313.3616241031</v>
      </c>
      <c r="L275" s="51" t="n">
        <f aca="false">IFERROR(K275/I275,0)</f>
        <v>1.53669860666757</v>
      </c>
      <c r="M275" s="49" t="n">
        <f aca="false">IFERROR(I275/H275,0)</f>
        <v>124.455113820099</v>
      </c>
      <c r="N275" s="52" t="str">
        <f aca="false">'Model Inputs &amp; Assumptions'!$L$28</f>
        <v>PRD-EUAI</v>
      </c>
      <c r="P275" s="53" t="n">
        <v>-0.261067</v>
      </c>
      <c r="Q275" s="53" t="n">
        <v>0.090457</v>
      </c>
      <c r="R275" s="53" t="n">
        <v>0.122962</v>
      </c>
      <c r="S275" s="53" t="n">
        <v>0.634923</v>
      </c>
    </row>
    <row r="276" customFormat="false" ht="15" hidden="false" customHeight="false" outlineLevel="0" collapsed="false">
      <c r="A276" s="43" t="n">
        <v>273</v>
      </c>
      <c r="B276" s="44" t="str">
        <f aca="false">'Model Inputs &amp; Assumptions'!$B$28</f>
        <v>finanzen.net — Q1 Awareness Burst</v>
      </c>
      <c r="C276" s="45" t="n">
        <f aca="false">ROUND(MAX(0,'Model Inputs &amp; Assumptions'!$S$28*EXP('Model Inputs &amp; Assumptions'!$T$28*P276-'Model Inputs &amp; Assumptions'!$T$28^2/2)),0)</f>
        <v>459598</v>
      </c>
      <c r="D276" s="46" t="n">
        <f aca="false">MIN(1,'Model Inputs &amp; Assumptions'!$U$28*EXP('Model Inputs &amp; Assumptions'!$V$28*Q276-'Model Inputs &amp; Assumptions'!$V$28^2/2))</f>
        <v>0</v>
      </c>
      <c r="E276" s="45" t="n">
        <f aca="false">ROUND(C276*D276,0)</f>
        <v>0</v>
      </c>
      <c r="F276" s="47" t="n">
        <f aca="false">MIN(1,'Model Inputs &amp; Assumptions'!$W$28*EXP('Model Inputs &amp; Assumptions'!$X$28*R276-'Model Inputs &amp; Assumptions'!$X$28^2/2))</f>
        <v>0.00108906336439073</v>
      </c>
      <c r="G276" s="45" t="n">
        <f aca="false">ROUND(C276*F276,0)</f>
        <v>501</v>
      </c>
      <c r="H276" s="48" t="n">
        <f aca="false">MAX(0,(C276*'Model Inputs &amp; Assumptions'!$N$28+E276*'Model Inputs &amp; Assumptions'!$O$28+G276*'Model Inputs &amp; Assumptions'!$P$28)*EXP('Model Inputs &amp; Assumptions'!$Q$28*S276-'Model Inputs &amp; Assumptions'!$Q$28^2/2))</f>
        <v>12.5515241417906</v>
      </c>
      <c r="I276" s="49" t="n">
        <f aca="false">IF('Model Inputs &amp; Assumptions'!$H$28="Fixed",'Model Inputs &amp; Assumptions'!$I$28*'Model Inputs &amp; Assumptions'!$K$28,IF('Model Inputs &amp; Assumptions'!$H$28="CPM",'Model Inputs &amp; Assumptions'!$I$28*'Model Inputs &amp; Assumptions'!$K$28*C276/1000,IF('Model Inputs &amp; Assumptions'!$H$28="CPC",'Model Inputs &amp; Assumptions'!$I$28*'Model Inputs &amp; Assumptions'!$K$28*G276,0)))</f>
        <v>2987.387</v>
      </c>
      <c r="J276" s="50" t="n">
        <f aca="false">H276*INDEX('Model Inputs &amp; Assumptions'!$D$40:$D$42,MATCH('Model Inputs &amp; Assumptions'!$L$28,'Model Inputs &amp; Assumptions'!$A$40:$A$42,0))*INDEX('Model Inputs &amp; Assumptions'!$H$40:$H$42,MATCH('Model Inputs &amp; Assumptions'!$L$28,'Model Inputs &amp; Assumptions'!$A$40:$A$42,0))</f>
        <v>106687.95520522</v>
      </c>
      <c r="K276" s="49" t="n">
        <f aca="false">H276*INDEX('Model Inputs &amp; Assumptions'!$G$40:$G$42,MATCH('Model Inputs &amp; Assumptions'!$L$28,'Model Inputs &amp; Assumptions'!$A$40:$A$42,0))*INDEX('Model Inputs &amp; Assumptions'!$H$40:$H$42,MATCH('Model Inputs &amp; Assumptions'!$L$28,'Model Inputs &amp; Assumptions'!$A$40:$A$42,0))</f>
        <v>2400.47899211746</v>
      </c>
      <c r="L276" s="51" t="n">
        <f aca="false">IFERROR(K276/I276,0)</f>
        <v>0.803538005660952</v>
      </c>
      <c r="M276" s="49" t="n">
        <f aca="false">IFERROR(I276/H276,0)</f>
        <v>238.009899535103</v>
      </c>
      <c r="N276" s="52" t="str">
        <f aca="false">'Model Inputs &amp; Assumptions'!$L$28</f>
        <v>PRD-EUAI</v>
      </c>
      <c r="P276" s="53" t="n">
        <v>0.085146</v>
      </c>
      <c r="Q276" s="53" t="n">
        <v>-1.050016</v>
      </c>
      <c r="R276" s="53" t="n">
        <v>-1.345214</v>
      </c>
      <c r="S276" s="53" t="n">
        <v>-0.450687</v>
      </c>
    </row>
    <row r="277" customFormat="false" ht="15" hidden="false" customHeight="false" outlineLevel="0" collapsed="false">
      <c r="A277" s="43" t="n">
        <v>274</v>
      </c>
      <c r="B277" s="44" t="str">
        <f aca="false">'Model Inputs &amp; Assumptions'!$B$28</f>
        <v>finanzen.net — Q1 Awareness Burst</v>
      </c>
      <c r="C277" s="45" t="n">
        <f aca="false">ROUND(MAX(0,'Model Inputs &amp; Assumptions'!$S$28*EXP('Model Inputs &amp; Assumptions'!$T$28*P277-'Model Inputs &amp; Assumptions'!$T$28^2/2)),0)</f>
        <v>399251</v>
      </c>
      <c r="D277" s="46" t="n">
        <f aca="false">MIN(1,'Model Inputs &amp; Assumptions'!$U$28*EXP('Model Inputs &amp; Assumptions'!$V$28*Q277-'Model Inputs &amp; Assumptions'!$V$28^2/2))</f>
        <v>0</v>
      </c>
      <c r="E277" s="45" t="n">
        <f aca="false">ROUND(C277*D277,0)</f>
        <v>0</v>
      </c>
      <c r="F277" s="47" t="n">
        <f aca="false">MIN(1,'Model Inputs &amp; Assumptions'!$W$28*EXP('Model Inputs &amp; Assumptions'!$X$28*R277-'Model Inputs &amp; Assumptions'!$X$28^2/2))</f>
        <v>0.00246771319080299</v>
      </c>
      <c r="G277" s="45" t="n">
        <f aca="false">ROUND(C277*F277,0)</f>
        <v>985</v>
      </c>
      <c r="H277" s="48" t="n">
        <f aca="false">MAX(0,(C277*'Model Inputs &amp; Assumptions'!$N$28+E277*'Model Inputs &amp; Assumptions'!$O$28+G277*'Model Inputs &amp; Assumptions'!$P$28)*EXP('Model Inputs &amp; Assumptions'!$Q$28*S277-'Model Inputs &amp; Assumptions'!$Q$28^2/2))</f>
        <v>35.7602179058973</v>
      </c>
      <c r="I277" s="49" t="n">
        <f aca="false">IF('Model Inputs &amp; Assumptions'!$H$28="Fixed",'Model Inputs &amp; Assumptions'!$I$28*'Model Inputs &amp; Assumptions'!$K$28,IF('Model Inputs &amp; Assumptions'!$H$28="CPM",'Model Inputs &amp; Assumptions'!$I$28*'Model Inputs &amp; Assumptions'!$K$28*C277/1000,IF('Model Inputs &amp; Assumptions'!$H$28="CPC",'Model Inputs &amp; Assumptions'!$I$28*'Model Inputs &amp; Assumptions'!$K$28*G277,0)))</f>
        <v>2595.1315</v>
      </c>
      <c r="J277" s="50" t="n">
        <f aca="false">H277*INDEX('Model Inputs &amp; Assumptions'!$D$40:$D$42,MATCH('Model Inputs &amp; Assumptions'!$L$28,'Model Inputs &amp; Assumptions'!$A$40:$A$42,0))*INDEX('Model Inputs &amp; Assumptions'!$H$40:$H$42,MATCH('Model Inputs &amp; Assumptions'!$L$28,'Model Inputs &amp; Assumptions'!$A$40:$A$42,0))</f>
        <v>303961.852200127</v>
      </c>
      <c r="K277" s="49" t="n">
        <f aca="false">H277*INDEX('Model Inputs &amp; Assumptions'!$G$40:$G$42,MATCH('Model Inputs &amp; Assumptions'!$L$28,'Model Inputs &amp; Assumptions'!$A$40:$A$42,0))*INDEX('Model Inputs &amp; Assumptions'!$H$40:$H$42,MATCH('Model Inputs &amp; Assumptions'!$L$28,'Model Inputs &amp; Assumptions'!$A$40:$A$42,0))</f>
        <v>6839.14167450285</v>
      </c>
      <c r="L277" s="51" t="n">
        <f aca="false">IFERROR(K277/I277,0)</f>
        <v>2.63537384309922</v>
      </c>
      <c r="M277" s="49" t="n">
        <f aca="false">IFERROR(I277/H277,0)</f>
        <v>72.5703491748588</v>
      </c>
      <c r="N277" s="52" t="str">
        <f aca="false">'Model Inputs &amp; Assumptions'!$L$28</f>
        <v>PRD-EUAI</v>
      </c>
      <c r="P277" s="53" t="n">
        <v>-0.696866</v>
      </c>
      <c r="Q277" s="53" t="n">
        <v>1.262819</v>
      </c>
      <c r="R277" s="53" t="n">
        <v>2.372849</v>
      </c>
      <c r="S277" s="53" t="n">
        <v>0.785841</v>
      </c>
    </row>
    <row r="278" customFormat="false" ht="15" hidden="false" customHeight="false" outlineLevel="0" collapsed="false">
      <c r="A278" s="43" t="n">
        <v>275</v>
      </c>
      <c r="B278" s="44" t="str">
        <f aca="false">'Model Inputs &amp; Assumptions'!$B$28</f>
        <v>finanzen.net — Q1 Awareness Burst</v>
      </c>
      <c r="C278" s="45" t="n">
        <f aca="false">ROUND(MAX(0,'Model Inputs &amp; Assumptions'!$S$28*EXP('Model Inputs &amp; Assumptions'!$T$28*P278-'Model Inputs &amp; Assumptions'!$T$28^2/2)),0)</f>
        <v>581621</v>
      </c>
      <c r="D278" s="46" t="n">
        <f aca="false">MIN(1,'Model Inputs &amp; Assumptions'!$U$28*EXP('Model Inputs &amp; Assumptions'!$V$28*Q278-'Model Inputs &amp; Assumptions'!$V$28^2/2))</f>
        <v>0</v>
      </c>
      <c r="E278" s="45" t="n">
        <f aca="false">ROUND(C278*D278,0)</f>
        <v>0</v>
      </c>
      <c r="F278" s="47" t="n">
        <f aca="false">MIN(1,'Model Inputs &amp; Assumptions'!$W$28*EXP('Model Inputs &amp; Assumptions'!$X$28*R278-'Model Inputs &amp; Assumptions'!$X$28^2/2))</f>
        <v>0.00154390890129221</v>
      </c>
      <c r="G278" s="45" t="n">
        <f aca="false">ROUND(C278*F278,0)</f>
        <v>898</v>
      </c>
      <c r="H278" s="48" t="n">
        <f aca="false">MAX(0,(C278*'Model Inputs &amp; Assumptions'!$N$28+E278*'Model Inputs &amp; Assumptions'!$O$28+G278*'Model Inputs &amp; Assumptions'!$P$28)*EXP('Model Inputs &amp; Assumptions'!$Q$28*S278-'Model Inputs &amp; Assumptions'!$Q$28^2/2))</f>
        <v>21.3394115599309</v>
      </c>
      <c r="I278" s="49" t="n">
        <f aca="false">IF('Model Inputs &amp; Assumptions'!$H$28="Fixed",'Model Inputs &amp; Assumptions'!$I$28*'Model Inputs &amp; Assumptions'!$K$28,IF('Model Inputs &amp; Assumptions'!$H$28="CPM",'Model Inputs &amp; Assumptions'!$I$28*'Model Inputs &amp; Assumptions'!$K$28*C278/1000,IF('Model Inputs &amp; Assumptions'!$H$28="CPC",'Model Inputs &amp; Assumptions'!$I$28*'Model Inputs &amp; Assumptions'!$K$28*G278,0)))</f>
        <v>3780.5365</v>
      </c>
      <c r="J278" s="50" t="n">
        <f aca="false">H278*INDEX('Model Inputs &amp; Assumptions'!$D$40:$D$42,MATCH('Model Inputs &amp; Assumptions'!$L$28,'Model Inputs &amp; Assumptions'!$A$40:$A$42,0))*INDEX('Model Inputs &amp; Assumptions'!$H$40:$H$42,MATCH('Model Inputs &amp; Assumptions'!$L$28,'Model Inputs &amp; Assumptions'!$A$40:$A$42,0))</f>
        <v>181384.998259412</v>
      </c>
      <c r="K278" s="49" t="n">
        <f aca="false">H278*INDEX('Model Inputs &amp; Assumptions'!$G$40:$G$42,MATCH('Model Inputs &amp; Assumptions'!$L$28,'Model Inputs &amp; Assumptions'!$A$40:$A$42,0))*INDEX('Model Inputs &amp; Assumptions'!$H$40:$H$42,MATCH('Model Inputs &amp; Assumptions'!$L$28,'Model Inputs &amp; Assumptions'!$A$40:$A$42,0))</f>
        <v>4081.16246083678</v>
      </c>
      <c r="L278" s="51" t="n">
        <f aca="false">IFERROR(K278/I278,0)</f>
        <v>1.07951939118609</v>
      </c>
      <c r="M278" s="49" t="n">
        <f aca="false">IFERROR(I278/H278,0)</f>
        <v>177.162171945675</v>
      </c>
      <c r="N278" s="52" t="str">
        <f aca="false">'Model Inputs &amp; Assumptions'!$L$28</f>
        <v>PRD-EUAI</v>
      </c>
      <c r="P278" s="53" t="n">
        <v>1.393288</v>
      </c>
      <c r="Q278" s="53" t="n">
        <v>0.384877</v>
      </c>
      <c r="R278" s="53" t="n">
        <v>0.241147</v>
      </c>
      <c r="S278" s="53" t="n">
        <v>-0.626855</v>
      </c>
    </row>
    <row r="279" customFormat="false" ht="15" hidden="false" customHeight="false" outlineLevel="0" collapsed="false">
      <c r="A279" s="43" t="n">
        <v>276</v>
      </c>
      <c r="B279" s="44" t="str">
        <f aca="false">'Model Inputs &amp; Assumptions'!$B$28</f>
        <v>finanzen.net — Q1 Awareness Burst</v>
      </c>
      <c r="C279" s="45" t="n">
        <f aca="false">ROUND(MAX(0,'Model Inputs &amp; Assumptions'!$S$28*EXP('Model Inputs &amp; Assumptions'!$T$28*P279-'Model Inputs &amp; Assumptions'!$T$28^2/2)),0)</f>
        <v>420820</v>
      </c>
      <c r="D279" s="46" t="n">
        <f aca="false">MIN(1,'Model Inputs &amp; Assumptions'!$U$28*EXP('Model Inputs &amp; Assumptions'!$V$28*Q279-'Model Inputs &amp; Assumptions'!$V$28^2/2))</f>
        <v>0</v>
      </c>
      <c r="E279" s="45" t="n">
        <f aca="false">ROUND(C279*D279,0)</f>
        <v>0</v>
      </c>
      <c r="F279" s="47" t="n">
        <f aca="false">MIN(1,'Model Inputs &amp; Assumptions'!$W$28*EXP('Model Inputs &amp; Assumptions'!$X$28*R279-'Model Inputs &amp; Assumptions'!$X$28^2/2))</f>
        <v>0.00152212874939901</v>
      </c>
      <c r="G279" s="45" t="n">
        <f aca="false">ROUND(C279*F279,0)</f>
        <v>641</v>
      </c>
      <c r="H279" s="48" t="n">
        <f aca="false">MAX(0,(C279*'Model Inputs &amp; Assumptions'!$N$28+E279*'Model Inputs &amp; Assumptions'!$O$28+G279*'Model Inputs &amp; Assumptions'!$P$28)*EXP('Model Inputs &amp; Assumptions'!$Q$28*S279-'Model Inputs &amp; Assumptions'!$Q$28^2/2))</f>
        <v>14.8868408693273</v>
      </c>
      <c r="I279" s="49" t="n">
        <f aca="false">IF('Model Inputs &amp; Assumptions'!$H$28="Fixed",'Model Inputs &amp; Assumptions'!$I$28*'Model Inputs &amp; Assumptions'!$K$28,IF('Model Inputs &amp; Assumptions'!$H$28="CPM",'Model Inputs &amp; Assumptions'!$I$28*'Model Inputs &amp; Assumptions'!$K$28*C279/1000,IF('Model Inputs &amp; Assumptions'!$H$28="CPC",'Model Inputs &amp; Assumptions'!$I$28*'Model Inputs &amp; Assumptions'!$K$28*G279,0)))</f>
        <v>2735.33</v>
      </c>
      <c r="J279" s="50" t="n">
        <f aca="false">H279*INDEX('Model Inputs &amp; Assumptions'!$D$40:$D$42,MATCH('Model Inputs &amp; Assumptions'!$L$28,'Model Inputs &amp; Assumptions'!$A$40:$A$42,0))*INDEX('Model Inputs &amp; Assumptions'!$H$40:$H$42,MATCH('Model Inputs &amp; Assumptions'!$L$28,'Model Inputs &amp; Assumptions'!$A$40:$A$42,0))</f>
        <v>126538.147389282</v>
      </c>
      <c r="K279" s="49" t="n">
        <f aca="false">H279*INDEX('Model Inputs &amp; Assumptions'!$G$40:$G$42,MATCH('Model Inputs &amp; Assumptions'!$L$28,'Model Inputs &amp; Assumptions'!$A$40:$A$42,0))*INDEX('Model Inputs &amp; Assumptions'!$H$40:$H$42,MATCH('Model Inputs &amp; Assumptions'!$L$28,'Model Inputs &amp; Assumptions'!$A$40:$A$42,0))</f>
        <v>2847.10831625884</v>
      </c>
      <c r="L279" s="51" t="n">
        <f aca="false">IFERROR(K279/I279,0)</f>
        <v>1.04086465481636</v>
      </c>
      <c r="M279" s="49" t="n">
        <f aca="false">IFERROR(I279/H279,0)</f>
        <v>183.741468321587</v>
      </c>
      <c r="N279" s="52" t="str">
        <f aca="false">'Model Inputs &amp; Assumptions'!$L$28</f>
        <v>PRD-EUAI</v>
      </c>
      <c r="P279" s="53" t="n">
        <v>-0.404568</v>
      </c>
      <c r="Q279" s="53" t="n">
        <v>-0.398464</v>
      </c>
      <c r="R279" s="53" t="n">
        <v>0.176567</v>
      </c>
      <c r="S279" s="53" t="n">
        <v>-0.703313</v>
      </c>
    </row>
    <row r="280" customFormat="false" ht="15" hidden="false" customHeight="false" outlineLevel="0" collapsed="false">
      <c r="A280" s="43" t="n">
        <v>277</v>
      </c>
      <c r="B280" s="44" t="str">
        <f aca="false">'Model Inputs &amp; Assumptions'!$B$28</f>
        <v>finanzen.net — Q1 Awareness Burst</v>
      </c>
      <c r="C280" s="45" t="n">
        <f aca="false">ROUND(MAX(0,'Model Inputs &amp; Assumptions'!$S$28*EXP('Model Inputs &amp; Assumptions'!$T$28*P280-'Model Inputs &amp; Assumptions'!$T$28^2/2)),0)</f>
        <v>428605</v>
      </c>
      <c r="D280" s="46" t="n">
        <f aca="false">MIN(1,'Model Inputs &amp; Assumptions'!$U$28*EXP('Model Inputs &amp; Assumptions'!$V$28*Q280-'Model Inputs &amp; Assumptions'!$V$28^2/2))</f>
        <v>0</v>
      </c>
      <c r="E280" s="45" t="n">
        <f aca="false">ROUND(C280*D280,0)</f>
        <v>0</v>
      </c>
      <c r="F280" s="47" t="n">
        <f aca="false">MIN(1,'Model Inputs &amp; Assumptions'!$W$28*EXP('Model Inputs &amp; Assumptions'!$X$28*R280-'Model Inputs &amp; Assumptions'!$X$28^2/2))</f>
        <v>0.00181530821387698</v>
      </c>
      <c r="G280" s="45" t="n">
        <f aca="false">ROUND(C280*F280,0)</f>
        <v>778</v>
      </c>
      <c r="H280" s="48" t="n">
        <f aca="false">MAX(0,(C280*'Model Inputs &amp; Assumptions'!$N$28+E280*'Model Inputs &amp; Assumptions'!$O$28+G280*'Model Inputs &amp; Assumptions'!$P$28)*EXP('Model Inputs &amp; Assumptions'!$Q$28*S280-'Model Inputs &amp; Assumptions'!$Q$28^2/2))</f>
        <v>17.2632320857464</v>
      </c>
      <c r="I280" s="49" t="n">
        <f aca="false">IF('Model Inputs &amp; Assumptions'!$H$28="Fixed",'Model Inputs &amp; Assumptions'!$I$28*'Model Inputs &amp; Assumptions'!$K$28,IF('Model Inputs &amp; Assumptions'!$H$28="CPM",'Model Inputs &amp; Assumptions'!$I$28*'Model Inputs &amp; Assumptions'!$K$28*C280/1000,IF('Model Inputs &amp; Assumptions'!$H$28="CPC",'Model Inputs &amp; Assumptions'!$I$28*'Model Inputs &amp; Assumptions'!$K$28*G280,0)))</f>
        <v>2785.9325</v>
      </c>
      <c r="J280" s="50" t="n">
        <f aca="false">H280*INDEX('Model Inputs &amp; Assumptions'!$D$40:$D$42,MATCH('Model Inputs &amp; Assumptions'!$L$28,'Model Inputs &amp; Assumptions'!$A$40:$A$42,0))*INDEX('Model Inputs &amp; Assumptions'!$H$40:$H$42,MATCH('Model Inputs &amp; Assumptions'!$L$28,'Model Inputs &amp; Assumptions'!$A$40:$A$42,0))</f>
        <v>146737.472728844</v>
      </c>
      <c r="K280" s="49" t="n">
        <f aca="false">H280*INDEX('Model Inputs &amp; Assumptions'!$G$40:$G$42,MATCH('Model Inputs &amp; Assumptions'!$L$28,'Model Inputs &amp; Assumptions'!$A$40:$A$42,0))*INDEX('Model Inputs &amp; Assumptions'!$H$40:$H$42,MATCH('Model Inputs &amp; Assumptions'!$L$28,'Model Inputs &amp; Assumptions'!$A$40:$A$42,0))</f>
        <v>3301.59313639899</v>
      </c>
      <c r="L280" s="51" t="n">
        <f aca="false">IFERROR(K280/I280,0)</f>
        <v>1.1850944473346</v>
      </c>
      <c r="M280" s="49" t="n">
        <f aca="false">IFERROR(I280/H280,0)</f>
        <v>161.379542727705</v>
      </c>
      <c r="N280" s="52" t="str">
        <f aca="false">'Model Inputs &amp; Assumptions'!$L$28</f>
        <v>PRD-EUAI</v>
      </c>
      <c r="P280" s="53" t="n">
        <v>-0.302732</v>
      </c>
      <c r="Q280" s="53" t="n">
        <v>1.396131</v>
      </c>
      <c r="R280" s="53" t="n">
        <v>0.977228</v>
      </c>
      <c r="S280" s="53" t="n">
        <v>-0.855299</v>
      </c>
    </row>
    <row r="281" customFormat="false" ht="15" hidden="false" customHeight="false" outlineLevel="0" collapsed="false">
      <c r="A281" s="43" t="n">
        <v>278</v>
      </c>
      <c r="B281" s="44" t="str">
        <f aca="false">'Model Inputs &amp; Assumptions'!$B$28</f>
        <v>finanzen.net — Q1 Awareness Burst</v>
      </c>
      <c r="C281" s="45" t="n">
        <f aca="false">ROUND(MAX(0,'Model Inputs &amp; Assumptions'!$S$28*EXP('Model Inputs &amp; Assumptions'!$T$28*P281-'Model Inputs &amp; Assumptions'!$T$28^2/2)),0)</f>
        <v>444700</v>
      </c>
      <c r="D281" s="46" t="n">
        <f aca="false">MIN(1,'Model Inputs &amp; Assumptions'!$U$28*EXP('Model Inputs &amp; Assumptions'!$V$28*Q281-'Model Inputs &amp; Assumptions'!$V$28^2/2))</f>
        <v>0</v>
      </c>
      <c r="E281" s="45" t="n">
        <f aca="false">ROUND(C281*D281,0)</f>
        <v>0</v>
      </c>
      <c r="F281" s="47" t="n">
        <f aca="false">MIN(1,'Model Inputs &amp; Assumptions'!$W$28*EXP('Model Inputs &amp; Assumptions'!$X$28*R281-'Model Inputs &amp; Assumptions'!$X$28^2/2))</f>
        <v>0.00129232857508382</v>
      </c>
      <c r="G281" s="45" t="n">
        <f aca="false">ROUND(C281*F281,0)</f>
        <v>575</v>
      </c>
      <c r="H281" s="48" t="n">
        <f aca="false">MAX(0,(C281*'Model Inputs &amp; Assumptions'!$N$28+E281*'Model Inputs &amp; Assumptions'!$O$28+G281*'Model Inputs &amp; Assumptions'!$P$28)*EXP('Model Inputs &amp; Assumptions'!$Q$28*S281-'Model Inputs &amp; Assumptions'!$Q$28^2/2))</f>
        <v>12.6169688679917</v>
      </c>
      <c r="I281" s="49" t="n">
        <f aca="false">IF('Model Inputs &amp; Assumptions'!$H$28="Fixed",'Model Inputs &amp; Assumptions'!$I$28*'Model Inputs &amp; Assumptions'!$K$28,IF('Model Inputs &amp; Assumptions'!$H$28="CPM",'Model Inputs &amp; Assumptions'!$I$28*'Model Inputs &amp; Assumptions'!$K$28*C281/1000,IF('Model Inputs &amp; Assumptions'!$H$28="CPC",'Model Inputs &amp; Assumptions'!$I$28*'Model Inputs &amp; Assumptions'!$K$28*G281,0)))</f>
        <v>2890.55</v>
      </c>
      <c r="J281" s="50" t="n">
        <f aca="false">H281*INDEX('Model Inputs &amp; Assumptions'!$D$40:$D$42,MATCH('Model Inputs &amp; Assumptions'!$L$28,'Model Inputs &amp; Assumptions'!$A$40:$A$42,0))*INDEX('Model Inputs &amp; Assumptions'!$H$40:$H$42,MATCH('Model Inputs &amp; Assumptions'!$L$28,'Model Inputs &amp; Assumptions'!$A$40:$A$42,0))</f>
        <v>107244.235377929</v>
      </c>
      <c r="K281" s="49" t="n">
        <f aca="false">H281*INDEX('Model Inputs &amp; Assumptions'!$G$40:$G$42,MATCH('Model Inputs &amp; Assumptions'!$L$28,'Model Inputs &amp; Assumptions'!$A$40:$A$42,0))*INDEX('Model Inputs &amp; Assumptions'!$H$40:$H$42,MATCH('Model Inputs &amp; Assumptions'!$L$28,'Model Inputs &amp; Assumptions'!$A$40:$A$42,0))</f>
        <v>2412.99529600341</v>
      </c>
      <c r="L281" s="51" t="n">
        <f aca="false">IFERROR(K281/I281,0)</f>
        <v>0.834787599592953</v>
      </c>
      <c r="M281" s="49" t="n">
        <f aca="false">IFERROR(I281/H281,0)</f>
        <v>229.100192783475</v>
      </c>
      <c r="N281" s="52" t="str">
        <f aca="false">'Model Inputs &amp; Assumptions'!$L$28</f>
        <v>PRD-EUAI</v>
      </c>
      <c r="P281" s="53" t="n">
        <v>-0.09792</v>
      </c>
      <c r="Q281" s="53" t="n">
        <v>1.481669</v>
      </c>
      <c r="R281" s="53" t="n">
        <v>-0.567361</v>
      </c>
      <c r="S281" s="53" t="n">
        <v>-0.892565</v>
      </c>
    </row>
    <row r="282" customFormat="false" ht="15" hidden="false" customHeight="false" outlineLevel="0" collapsed="false">
      <c r="A282" s="43" t="n">
        <v>279</v>
      </c>
      <c r="B282" s="44" t="str">
        <f aca="false">'Model Inputs &amp; Assumptions'!$B$28</f>
        <v>finanzen.net — Q1 Awareness Burst</v>
      </c>
      <c r="C282" s="45" t="n">
        <f aca="false">ROUND(MAX(0,'Model Inputs &amp; Assumptions'!$S$28*EXP('Model Inputs &amp; Assumptions'!$T$28*P282-'Model Inputs &amp; Assumptions'!$T$28^2/2)),0)</f>
        <v>376997</v>
      </c>
      <c r="D282" s="46" t="n">
        <f aca="false">MIN(1,'Model Inputs &amp; Assumptions'!$U$28*EXP('Model Inputs &amp; Assumptions'!$V$28*Q282-'Model Inputs &amp; Assumptions'!$V$28^2/2))</f>
        <v>0</v>
      </c>
      <c r="E282" s="45" t="n">
        <f aca="false">ROUND(C282*D282,0)</f>
        <v>0</v>
      </c>
      <c r="F282" s="47" t="n">
        <f aca="false">MIN(1,'Model Inputs &amp; Assumptions'!$W$28*EXP('Model Inputs &amp; Assumptions'!$X$28*R282-'Model Inputs &amp; Assumptions'!$X$28^2/2))</f>
        <v>0.0020931683355496</v>
      </c>
      <c r="G282" s="45" t="n">
        <f aca="false">ROUND(C282*F282,0)</f>
        <v>789</v>
      </c>
      <c r="H282" s="48" t="n">
        <f aca="false">MAX(0,(C282*'Model Inputs &amp; Assumptions'!$N$28+E282*'Model Inputs &amp; Assumptions'!$O$28+G282*'Model Inputs &amp; Assumptions'!$P$28)*EXP('Model Inputs &amp; Assumptions'!$Q$28*S282-'Model Inputs &amp; Assumptions'!$Q$28^2/2))</f>
        <v>16.0558589010035</v>
      </c>
      <c r="I282" s="49" t="n">
        <f aca="false">IF('Model Inputs &amp; Assumptions'!$H$28="Fixed",'Model Inputs &amp; Assumptions'!$I$28*'Model Inputs &amp; Assumptions'!$K$28,IF('Model Inputs &amp; Assumptions'!$H$28="CPM",'Model Inputs &amp; Assumptions'!$I$28*'Model Inputs &amp; Assumptions'!$K$28*C282/1000,IF('Model Inputs &amp; Assumptions'!$H$28="CPC",'Model Inputs &amp; Assumptions'!$I$28*'Model Inputs &amp; Assumptions'!$K$28*G282,0)))</f>
        <v>2450.4805</v>
      </c>
      <c r="J282" s="50" t="n">
        <f aca="false">H282*INDEX('Model Inputs &amp; Assumptions'!$D$40:$D$42,MATCH('Model Inputs &amp; Assumptions'!$L$28,'Model Inputs &amp; Assumptions'!$A$40:$A$42,0))*INDEX('Model Inputs &amp; Assumptions'!$H$40:$H$42,MATCH('Model Inputs &amp; Assumptions'!$L$28,'Model Inputs &amp; Assumptions'!$A$40:$A$42,0))</f>
        <v>136474.800658529</v>
      </c>
      <c r="K282" s="49" t="n">
        <f aca="false">H282*INDEX('Model Inputs &amp; Assumptions'!$G$40:$G$42,MATCH('Model Inputs &amp; Assumptions'!$L$28,'Model Inputs &amp; Assumptions'!$A$40:$A$42,0))*INDEX('Model Inputs &amp; Assumptions'!$H$40:$H$42,MATCH('Model Inputs &amp; Assumptions'!$L$28,'Model Inputs &amp; Assumptions'!$A$40:$A$42,0))</f>
        <v>3070.68301481691</v>
      </c>
      <c r="L282" s="51" t="n">
        <f aca="false">IFERROR(K282/I282,0)</f>
        <v>1.25309424613536</v>
      </c>
      <c r="M282" s="49" t="n">
        <f aca="false">IFERROR(I282/H282,0)</f>
        <v>152.622199479272</v>
      </c>
      <c r="N282" s="52" t="str">
        <f aca="false">'Model Inputs &amp; Assumptions'!$L$28</f>
        <v>PRD-EUAI</v>
      </c>
      <c r="P282" s="53" t="n">
        <v>-1.015499</v>
      </c>
      <c r="Q282" s="53" t="n">
        <v>-0.868258</v>
      </c>
      <c r="R282" s="53" t="n">
        <v>1.624608</v>
      </c>
      <c r="S282" s="53" t="n">
        <v>-1.143782</v>
      </c>
    </row>
    <row r="283" customFormat="false" ht="15" hidden="false" customHeight="false" outlineLevel="0" collapsed="false">
      <c r="A283" s="43" t="n">
        <v>280</v>
      </c>
      <c r="B283" s="44" t="str">
        <f aca="false">'Model Inputs &amp; Assumptions'!$B$28</f>
        <v>finanzen.net — Q1 Awareness Burst</v>
      </c>
      <c r="C283" s="45" t="n">
        <f aca="false">ROUND(MAX(0,'Model Inputs &amp; Assumptions'!$S$28*EXP('Model Inputs &amp; Assumptions'!$T$28*P283-'Model Inputs &amp; Assumptions'!$T$28^2/2)),0)</f>
        <v>399144</v>
      </c>
      <c r="D283" s="46" t="n">
        <f aca="false">MIN(1,'Model Inputs &amp; Assumptions'!$U$28*EXP('Model Inputs &amp; Assumptions'!$V$28*Q283-'Model Inputs &amp; Assumptions'!$V$28^2/2))</f>
        <v>0</v>
      </c>
      <c r="E283" s="45" t="n">
        <f aca="false">ROUND(C283*D283,0)</f>
        <v>0</v>
      </c>
      <c r="F283" s="47" t="n">
        <f aca="false">MIN(1,'Model Inputs &amp; Assumptions'!$W$28*EXP('Model Inputs &amp; Assumptions'!$X$28*R283-'Model Inputs &amp; Assumptions'!$X$28^2/2))</f>
        <v>0.0014831312586528</v>
      </c>
      <c r="G283" s="45" t="n">
        <f aca="false">ROUND(C283*F283,0)</f>
        <v>592</v>
      </c>
      <c r="H283" s="48" t="n">
        <f aca="false">MAX(0,(C283*'Model Inputs &amp; Assumptions'!$N$28+E283*'Model Inputs &amp; Assumptions'!$O$28+G283*'Model Inputs &amp; Assumptions'!$P$28)*EXP('Model Inputs &amp; Assumptions'!$Q$28*S283-'Model Inputs &amp; Assumptions'!$Q$28^2/2))</f>
        <v>25.3400319961041</v>
      </c>
      <c r="I283" s="49" t="n">
        <f aca="false">IF('Model Inputs &amp; Assumptions'!$H$28="Fixed",'Model Inputs &amp; Assumptions'!$I$28*'Model Inputs &amp; Assumptions'!$K$28,IF('Model Inputs &amp; Assumptions'!$H$28="CPM",'Model Inputs &amp; Assumptions'!$I$28*'Model Inputs &amp; Assumptions'!$K$28*C283/1000,IF('Model Inputs &amp; Assumptions'!$H$28="CPC",'Model Inputs &amp; Assumptions'!$I$28*'Model Inputs &amp; Assumptions'!$K$28*G283,0)))</f>
        <v>2594.436</v>
      </c>
      <c r="J283" s="50" t="n">
        <f aca="false">H283*INDEX('Model Inputs &amp; Assumptions'!$D$40:$D$42,MATCH('Model Inputs &amp; Assumptions'!$L$28,'Model Inputs &amp; Assumptions'!$A$40:$A$42,0))*INDEX('Model Inputs &amp; Assumptions'!$H$40:$H$42,MATCH('Model Inputs &amp; Assumptions'!$L$28,'Model Inputs &amp; Assumptions'!$A$40:$A$42,0))</f>
        <v>215390.271966885</v>
      </c>
      <c r="K283" s="49" t="n">
        <f aca="false">H283*INDEX('Model Inputs &amp; Assumptions'!$G$40:$G$42,MATCH('Model Inputs &amp; Assumptions'!$L$28,'Model Inputs &amp; Assumptions'!$A$40:$A$42,0))*INDEX('Model Inputs &amp; Assumptions'!$H$40:$H$42,MATCH('Model Inputs &amp; Assumptions'!$L$28,'Model Inputs &amp; Assumptions'!$A$40:$A$42,0))</f>
        <v>4846.28111925491</v>
      </c>
      <c r="L283" s="51" t="n">
        <f aca="false">IFERROR(K283/I283,0)</f>
        <v>1.86795169326008</v>
      </c>
      <c r="M283" s="49" t="n">
        <f aca="false">IFERROR(I283/H283,0)</f>
        <v>102.384874667833</v>
      </c>
      <c r="N283" s="52" t="str">
        <f aca="false">'Model Inputs &amp; Assumptions'!$L$28</f>
        <v>PRD-EUAI</v>
      </c>
      <c r="P283" s="53" t="n">
        <v>-0.698358</v>
      </c>
      <c r="Q283" s="53" t="n">
        <v>0.105486</v>
      </c>
      <c r="R283" s="53" t="n">
        <v>0.058593</v>
      </c>
      <c r="S283" s="53" t="n">
        <v>1.334789</v>
      </c>
    </row>
    <row r="284" customFormat="false" ht="15" hidden="false" customHeight="false" outlineLevel="0" collapsed="false">
      <c r="A284" s="43" t="n">
        <v>281</v>
      </c>
      <c r="B284" s="44" t="str">
        <f aca="false">'Model Inputs &amp; Assumptions'!$B$28</f>
        <v>finanzen.net — Q1 Awareness Burst</v>
      </c>
      <c r="C284" s="45" t="n">
        <f aca="false">ROUND(MAX(0,'Model Inputs &amp; Assumptions'!$S$28*EXP('Model Inputs &amp; Assumptions'!$T$28*P284-'Model Inputs &amp; Assumptions'!$T$28^2/2)),0)</f>
        <v>402856</v>
      </c>
      <c r="D284" s="46" t="n">
        <f aca="false">MIN(1,'Model Inputs &amp; Assumptions'!$U$28*EXP('Model Inputs &amp; Assumptions'!$V$28*Q284-'Model Inputs &amp; Assumptions'!$V$28^2/2))</f>
        <v>0</v>
      </c>
      <c r="E284" s="45" t="n">
        <f aca="false">ROUND(C284*D284,0)</f>
        <v>0</v>
      </c>
      <c r="F284" s="47" t="n">
        <f aca="false">MIN(1,'Model Inputs &amp; Assumptions'!$W$28*EXP('Model Inputs &amp; Assumptions'!$X$28*R284-'Model Inputs &amp; Assumptions'!$X$28^2/2))</f>
        <v>0.0013304048150078</v>
      </c>
      <c r="G284" s="45" t="n">
        <f aca="false">ROUND(C284*F284,0)</f>
        <v>536</v>
      </c>
      <c r="H284" s="48" t="n">
        <f aca="false">MAX(0,(C284*'Model Inputs &amp; Assumptions'!$N$28+E284*'Model Inputs &amp; Assumptions'!$O$28+G284*'Model Inputs &amp; Assumptions'!$P$28)*EXP('Model Inputs &amp; Assumptions'!$Q$28*S284-'Model Inputs &amp; Assumptions'!$Q$28^2/2))</f>
        <v>15.3516132119299</v>
      </c>
      <c r="I284" s="49" t="n">
        <f aca="false">IF('Model Inputs &amp; Assumptions'!$H$28="Fixed",'Model Inputs &amp; Assumptions'!$I$28*'Model Inputs &amp; Assumptions'!$K$28,IF('Model Inputs &amp; Assumptions'!$H$28="CPM",'Model Inputs &amp; Assumptions'!$I$28*'Model Inputs &amp; Assumptions'!$K$28*C284/1000,IF('Model Inputs &amp; Assumptions'!$H$28="CPC",'Model Inputs &amp; Assumptions'!$I$28*'Model Inputs &amp; Assumptions'!$K$28*G284,0)))</f>
        <v>2618.564</v>
      </c>
      <c r="J284" s="50" t="n">
        <f aca="false">H284*INDEX('Model Inputs &amp; Assumptions'!$D$40:$D$42,MATCH('Model Inputs &amp; Assumptions'!$L$28,'Model Inputs &amp; Assumptions'!$A$40:$A$42,0))*INDEX('Model Inputs &amp; Assumptions'!$H$40:$H$42,MATCH('Model Inputs &amp; Assumptions'!$L$28,'Model Inputs &amp; Assumptions'!$A$40:$A$42,0))</f>
        <v>130488.712301404</v>
      </c>
      <c r="K284" s="49" t="n">
        <f aca="false">H284*INDEX('Model Inputs &amp; Assumptions'!$G$40:$G$42,MATCH('Model Inputs &amp; Assumptions'!$L$28,'Model Inputs &amp; Assumptions'!$A$40:$A$42,0))*INDEX('Model Inputs &amp; Assumptions'!$H$40:$H$42,MATCH('Model Inputs &amp; Assumptions'!$L$28,'Model Inputs &amp; Assumptions'!$A$40:$A$42,0))</f>
        <v>2935.99602678159</v>
      </c>
      <c r="L284" s="51" t="n">
        <f aca="false">IFERROR(K284/I284,0)</f>
        <v>1.12122370382454</v>
      </c>
      <c r="M284" s="49" t="n">
        <f aca="false">IFERROR(I284/H284,0)</f>
        <v>170.572562235029</v>
      </c>
      <c r="N284" s="52" t="str">
        <f aca="false">'Model Inputs &amp; Assumptions'!$L$28</f>
        <v>PRD-EUAI</v>
      </c>
      <c r="P284" s="53" t="n">
        <v>-0.646934</v>
      </c>
      <c r="Q284" s="53" t="n">
        <v>-0.434181</v>
      </c>
      <c r="R284" s="53" t="n">
        <v>-0.435372</v>
      </c>
      <c r="S284" s="53" t="n">
        <v>-0.004519</v>
      </c>
    </row>
    <row r="285" customFormat="false" ht="15" hidden="false" customHeight="false" outlineLevel="0" collapsed="false">
      <c r="A285" s="43" t="n">
        <v>282</v>
      </c>
      <c r="B285" s="44" t="str">
        <f aca="false">'Model Inputs &amp; Assumptions'!$B$28</f>
        <v>finanzen.net — Q1 Awareness Burst</v>
      </c>
      <c r="C285" s="45" t="n">
        <f aca="false">ROUND(MAX(0,'Model Inputs &amp; Assumptions'!$S$28*EXP('Model Inputs &amp; Assumptions'!$T$28*P285-'Model Inputs &amp; Assumptions'!$T$28^2/2)),0)</f>
        <v>407117</v>
      </c>
      <c r="D285" s="46" t="n">
        <f aca="false">MIN(1,'Model Inputs &amp; Assumptions'!$U$28*EXP('Model Inputs &amp; Assumptions'!$V$28*Q285-'Model Inputs &amp; Assumptions'!$V$28^2/2))</f>
        <v>0</v>
      </c>
      <c r="E285" s="45" t="n">
        <f aca="false">ROUND(C285*D285,0)</f>
        <v>0</v>
      </c>
      <c r="F285" s="47" t="n">
        <f aca="false">MIN(1,'Model Inputs &amp; Assumptions'!$W$28*EXP('Model Inputs &amp; Assumptions'!$X$28*R285-'Model Inputs &amp; Assumptions'!$X$28^2/2))</f>
        <v>0.00162165778180363</v>
      </c>
      <c r="G285" s="45" t="n">
        <f aca="false">ROUND(C285*F285,0)</f>
        <v>660</v>
      </c>
      <c r="H285" s="48" t="n">
        <f aca="false">MAX(0,(C285*'Model Inputs &amp; Assumptions'!$N$28+E285*'Model Inputs &amp; Assumptions'!$O$28+G285*'Model Inputs &amp; Assumptions'!$P$28)*EXP('Model Inputs &amp; Assumptions'!$Q$28*S285-'Model Inputs &amp; Assumptions'!$Q$28^2/2))</f>
        <v>37.1356133482349</v>
      </c>
      <c r="I285" s="49" t="n">
        <f aca="false">IF('Model Inputs &amp; Assumptions'!$H$28="Fixed",'Model Inputs &amp; Assumptions'!$I$28*'Model Inputs &amp; Assumptions'!$K$28,IF('Model Inputs &amp; Assumptions'!$H$28="CPM",'Model Inputs &amp; Assumptions'!$I$28*'Model Inputs &amp; Assumptions'!$K$28*C285/1000,IF('Model Inputs &amp; Assumptions'!$H$28="CPC",'Model Inputs &amp; Assumptions'!$I$28*'Model Inputs &amp; Assumptions'!$K$28*G285,0)))</f>
        <v>2646.2605</v>
      </c>
      <c r="J285" s="50" t="n">
        <f aca="false">H285*INDEX('Model Inputs &amp; Assumptions'!$D$40:$D$42,MATCH('Model Inputs &amp; Assumptions'!$L$28,'Model Inputs &amp; Assumptions'!$A$40:$A$42,0))*INDEX('Model Inputs &amp; Assumptions'!$H$40:$H$42,MATCH('Model Inputs &amp; Assumptions'!$L$28,'Model Inputs &amp; Assumptions'!$A$40:$A$42,0))</f>
        <v>315652.713459997</v>
      </c>
      <c r="K285" s="49" t="n">
        <f aca="false">H285*INDEX('Model Inputs &amp; Assumptions'!$G$40:$G$42,MATCH('Model Inputs &amp; Assumptions'!$L$28,'Model Inputs &amp; Assumptions'!$A$40:$A$42,0))*INDEX('Model Inputs &amp; Assumptions'!$H$40:$H$42,MATCH('Model Inputs &amp; Assumptions'!$L$28,'Model Inputs &amp; Assumptions'!$A$40:$A$42,0))</f>
        <v>7102.18605284992</v>
      </c>
      <c r="L285" s="51" t="n">
        <f aca="false">IFERROR(K285/I285,0)</f>
        <v>2.68385748600711</v>
      </c>
      <c r="M285" s="49" t="n">
        <f aca="false">IFERROR(I285/H285,0)</f>
        <v>71.2593723761878</v>
      </c>
      <c r="N285" s="52" t="str">
        <f aca="false">'Model Inputs &amp; Assumptions'!$L$28</f>
        <v>PRD-EUAI</v>
      </c>
      <c r="P285" s="53" t="n">
        <v>-0.588482</v>
      </c>
      <c r="Q285" s="53" t="n">
        <v>-1.185567</v>
      </c>
      <c r="R285" s="53" t="n">
        <v>0.464472</v>
      </c>
      <c r="S285" s="53" t="n">
        <v>2.246315</v>
      </c>
    </row>
    <row r="286" customFormat="false" ht="15" hidden="false" customHeight="false" outlineLevel="0" collapsed="false">
      <c r="A286" s="43" t="n">
        <v>283</v>
      </c>
      <c r="B286" s="44" t="str">
        <f aca="false">'Model Inputs &amp; Assumptions'!$B$28</f>
        <v>finanzen.net — Q1 Awareness Burst</v>
      </c>
      <c r="C286" s="45" t="n">
        <f aca="false">ROUND(MAX(0,'Model Inputs &amp; Assumptions'!$S$28*EXP('Model Inputs &amp; Assumptions'!$T$28*P286-'Model Inputs &amp; Assumptions'!$T$28^2/2)),0)</f>
        <v>540554</v>
      </c>
      <c r="D286" s="46" t="n">
        <f aca="false">MIN(1,'Model Inputs &amp; Assumptions'!$U$28*EXP('Model Inputs &amp; Assumptions'!$V$28*Q286-'Model Inputs &amp; Assumptions'!$V$28^2/2))</f>
        <v>0</v>
      </c>
      <c r="E286" s="45" t="n">
        <f aca="false">ROUND(C286*D286,0)</f>
        <v>0</v>
      </c>
      <c r="F286" s="47" t="n">
        <f aca="false">MIN(1,'Model Inputs &amp; Assumptions'!$W$28*EXP('Model Inputs &amp; Assumptions'!$X$28*R286-'Model Inputs &amp; Assumptions'!$X$28^2/2))</f>
        <v>0.00119102705712972</v>
      </c>
      <c r="G286" s="45" t="n">
        <f aca="false">ROUND(C286*F286,0)</f>
        <v>644</v>
      </c>
      <c r="H286" s="48" t="n">
        <f aca="false">MAX(0,(C286*'Model Inputs &amp; Assumptions'!$N$28+E286*'Model Inputs &amp; Assumptions'!$O$28+G286*'Model Inputs &amp; Assumptions'!$P$28)*EXP('Model Inputs &amp; Assumptions'!$Q$28*S286-'Model Inputs &amp; Assumptions'!$Q$28^2/2))</f>
        <v>17.0219132515063</v>
      </c>
      <c r="I286" s="49" t="n">
        <f aca="false">IF('Model Inputs &amp; Assumptions'!$H$28="Fixed",'Model Inputs &amp; Assumptions'!$I$28*'Model Inputs &amp; Assumptions'!$K$28,IF('Model Inputs &amp; Assumptions'!$H$28="CPM",'Model Inputs &amp; Assumptions'!$I$28*'Model Inputs &amp; Assumptions'!$K$28*C286/1000,IF('Model Inputs &amp; Assumptions'!$H$28="CPC",'Model Inputs &amp; Assumptions'!$I$28*'Model Inputs &amp; Assumptions'!$K$28*G286,0)))</f>
        <v>3513.601</v>
      </c>
      <c r="J286" s="50" t="n">
        <f aca="false">H286*INDEX('Model Inputs &amp; Assumptions'!$D$40:$D$42,MATCH('Model Inputs &amp; Assumptions'!$L$28,'Model Inputs &amp; Assumptions'!$A$40:$A$42,0))*INDEX('Model Inputs &amp; Assumptions'!$H$40:$H$42,MATCH('Model Inputs &amp; Assumptions'!$L$28,'Model Inputs &amp; Assumptions'!$A$40:$A$42,0))</f>
        <v>144686.262637804</v>
      </c>
      <c r="K286" s="49" t="n">
        <f aca="false">H286*INDEX('Model Inputs &amp; Assumptions'!$G$40:$G$42,MATCH('Model Inputs &amp; Assumptions'!$L$28,'Model Inputs &amp; Assumptions'!$A$40:$A$42,0))*INDEX('Model Inputs &amp; Assumptions'!$H$40:$H$42,MATCH('Model Inputs &amp; Assumptions'!$L$28,'Model Inputs &amp; Assumptions'!$A$40:$A$42,0))</f>
        <v>3255.44090935059</v>
      </c>
      <c r="L286" s="51" t="n">
        <f aca="false">IFERROR(K286/I286,0)</f>
        <v>0.926525496022624</v>
      </c>
      <c r="M286" s="49" t="n">
        <f aca="false">IFERROR(I286/H286,0)</f>
        <v>206.416338051133</v>
      </c>
      <c r="N286" s="52" t="str">
        <f aca="false">'Model Inputs &amp; Assumptions'!$L$28</f>
        <v>PRD-EUAI</v>
      </c>
      <c r="P286" s="53" t="n">
        <v>0.986493</v>
      </c>
      <c r="Q286" s="53" t="n">
        <v>-0.25087</v>
      </c>
      <c r="R286" s="53" t="n">
        <v>-0.938405</v>
      </c>
      <c r="S286" s="53" t="n">
        <v>-0.272131</v>
      </c>
    </row>
    <row r="287" customFormat="false" ht="15" hidden="false" customHeight="false" outlineLevel="0" collapsed="false">
      <c r="A287" s="43" t="n">
        <v>284</v>
      </c>
      <c r="B287" s="44" t="str">
        <f aca="false">'Model Inputs &amp; Assumptions'!$B$28</f>
        <v>finanzen.net — Q1 Awareness Burst</v>
      </c>
      <c r="C287" s="45" t="n">
        <f aca="false">ROUND(MAX(0,'Model Inputs &amp; Assumptions'!$S$28*EXP('Model Inputs &amp; Assumptions'!$T$28*P287-'Model Inputs &amp; Assumptions'!$T$28^2/2)),0)</f>
        <v>544385</v>
      </c>
      <c r="D287" s="46" t="n">
        <f aca="false">MIN(1,'Model Inputs &amp; Assumptions'!$U$28*EXP('Model Inputs &amp; Assumptions'!$V$28*Q287-'Model Inputs &amp; Assumptions'!$V$28^2/2))</f>
        <v>0</v>
      </c>
      <c r="E287" s="45" t="n">
        <f aca="false">ROUND(C287*D287,0)</f>
        <v>0</v>
      </c>
      <c r="F287" s="47" t="n">
        <f aca="false">MIN(1,'Model Inputs &amp; Assumptions'!$W$28*EXP('Model Inputs &amp; Assumptions'!$X$28*R287-'Model Inputs &amp; Assumptions'!$X$28^2/2))</f>
        <v>0.0017816032980068</v>
      </c>
      <c r="G287" s="45" t="n">
        <f aca="false">ROUND(C287*F287,0)</f>
        <v>970</v>
      </c>
      <c r="H287" s="48" t="n">
        <f aca="false">MAX(0,(C287*'Model Inputs &amp; Assumptions'!$N$28+E287*'Model Inputs &amp; Assumptions'!$O$28+G287*'Model Inputs &amp; Assumptions'!$P$28)*EXP('Model Inputs &amp; Assumptions'!$Q$28*S287-'Model Inputs &amp; Assumptions'!$Q$28^2/2))</f>
        <v>29.1562055696942</v>
      </c>
      <c r="I287" s="49" t="n">
        <f aca="false">IF('Model Inputs &amp; Assumptions'!$H$28="Fixed",'Model Inputs &amp; Assumptions'!$I$28*'Model Inputs &amp; Assumptions'!$K$28,IF('Model Inputs &amp; Assumptions'!$H$28="CPM",'Model Inputs &amp; Assumptions'!$I$28*'Model Inputs &amp; Assumptions'!$K$28*C287/1000,IF('Model Inputs &amp; Assumptions'!$H$28="CPC",'Model Inputs &amp; Assumptions'!$I$28*'Model Inputs &amp; Assumptions'!$K$28*G287,0)))</f>
        <v>3538.5025</v>
      </c>
      <c r="J287" s="50" t="n">
        <f aca="false">H287*INDEX('Model Inputs &amp; Assumptions'!$D$40:$D$42,MATCH('Model Inputs &amp; Assumptions'!$L$28,'Model Inputs &amp; Assumptions'!$A$40:$A$42,0))*INDEX('Model Inputs &amp; Assumptions'!$H$40:$H$42,MATCH('Model Inputs &amp; Assumptions'!$L$28,'Model Inputs &amp; Assumptions'!$A$40:$A$42,0))</f>
        <v>247827.747342401</v>
      </c>
      <c r="K287" s="49" t="n">
        <f aca="false">H287*INDEX('Model Inputs &amp; Assumptions'!$G$40:$G$42,MATCH('Model Inputs &amp; Assumptions'!$L$28,'Model Inputs &amp; Assumptions'!$A$40:$A$42,0))*INDEX('Model Inputs &amp; Assumptions'!$H$40:$H$42,MATCH('Model Inputs &amp; Assumptions'!$L$28,'Model Inputs &amp; Assumptions'!$A$40:$A$42,0))</f>
        <v>5576.12431520401</v>
      </c>
      <c r="L287" s="51" t="n">
        <f aca="false">IFERROR(K287/I287,0)</f>
        <v>1.57584297741884</v>
      </c>
      <c r="M287" s="49" t="n">
        <f aca="false">IFERROR(I287/H287,0)</f>
        <v>121.363614738607</v>
      </c>
      <c r="N287" s="52" t="str">
        <f aca="false">'Model Inputs &amp; Assumptions'!$L$28</f>
        <v>PRD-EUAI</v>
      </c>
      <c r="P287" s="53" t="n">
        <v>1.025721</v>
      </c>
      <c r="Q287" s="53" t="n">
        <v>1.41588</v>
      </c>
      <c r="R287" s="53" t="n">
        <v>0.892039</v>
      </c>
      <c r="S287" s="53" t="n">
        <v>0.156432</v>
      </c>
    </row>
    <row r="288" customFormat="false" ht="15" hidden="false" customHeight="false" outlineLevel="0" collapsed="false">
      <c r="A288" s="43" t="n">
        <v>285</v>
      </c>
      <c r="B288" s="44" t="str">
        <f aca="false">'Model Inputs &amp; Assumptions'!$B$28</f>
        <v>finanzen.net — Q1 Awareness Burst</v>
      </c>
      <c r="C288" s="45" t="n">
        <f aca="false">ROUND(MAX(0,'Model Inputs &amp; Assumptions'!$S$28*EXP('Model Inputs &amp; Assumptions'!$T$28*P288-'Model Inputs &amp; Assumptions'!$T$28^2/2)),0)</f>
        <v>350902</v>
      </c>
      <c r="D288" s="46" t="n">
        <f aca="false">MIN(1,'Model Inputs &amp; Assumptions'!$U$28*EXP('Model Inputs &amp; Assumptions'!$V$28*Q288-'Model Inputs &amp; Assumptions'!$V$28^2/2))</f>
        <v>0</v>
      </c>
      <c r="E288" s="45" t="n">
        <f aca="false">ROUND(C288*D288,0)</f>
        <v>0</v>
      </c>
      <c r="F288" s="47" t="n">
        <f aca="false">MIN(1,'Model Inputs &amp; Assumptions'!$W$28*EXP('Model Inputs &amp; Assumptions'!$X$28*R288-'Model Inputs &amp; Assumptions'!$X$28^2/2))</f>
        <v>0.00112573823361962</v>
      </c>
      <c r="G288" s="45" t="n">
        <f aca="false">ROUND(C288*F288,0)</f>
        <v>395</v>
      </c>
      <c r="H288" s="48" t="n">
        <f aca="false">MAX(0,(C288*'Model Inputs &amp; Assumptions'!$N$28+E288*'Model Inputs &amp; Assumptions'!$O$28+G288*'Model Inputs &amp; Assumptions'!$P$28)*EXP('Model Inputs &amp; Assumptions'!$Q$28*S288-'Model Inputs &amp; Assumptions'!$Q$28^2/2))</f>
        <v>6.53225339734805</v>
      </c>
      <c r="I288" s="49" t="n">
        <f aca="false">IF('Model Inputs &amp; Assumptions'!$H$28="Fixed",'Model Inputs &amp; Assumptions'!$I$28*'Model Inputs &amp; Assumptions'!$K$28,IF('Model Inputs &amp; Assumptions'!$H$28="CPM",'Model Inputs &amp; Assumptions'!$I$28*'Model Inputs &amp; Assumptions'!$K$28*C288/1000,IF('Model Inputs &amp; Assumptions'!$H$28="CPC",'Model Inputs &amp; Assumptions'!$I$28*'Model Inputs &amp; Assumptions'!$K$28*G288,0)))</f>
        <v>2280.863</v>
      </c>
      <c r="J288" s="50" t="n">
        <f aca="false">H288*INDEX('Model Inputs &amp; Assumptions'!$D$40:$D$42,MATCH('Model Inputs &amp; Assumptions'!$L$28,'Model Inputs &amp; Assumptions'!$A$40:$A$42,0))*INDEX('Model Inputs &amp; Assumptions'!$H$40:$H$42,MATCH('Model Inputs &amp; Assumptions'!$L$28,'Model Inputs &amp; Assumptions'!$A$40:$A$42,0))</f>
        <v>55524.1538774584</v>
      </c>
      <c r="K288" s="49" t="n">
        <f aca="false">H288*INDEX('Model Inputs &amp; Assumptions'!$G$40:$G$42,MATCH('Model Inputs &amp; Assumptions'!$L$28,'Model Inputs &amp; Assumptions'!$A$40:$A$42,0))*INDEX('Model Inputs &amp; Assumptions'!$H$40:$H$42,MATCH('Model Inputs &amp; Assumptions'!$L$28,'Model Inputs &amp; Assumptions'!$A$40:$A$42,0))</f>
        <v>1249.29346224281</v>
      </c>
      <c r="L288" s="51" t="n">
        <f aca="false">IFERROR(K288/I288,0)</f>
        <v>0.547728409046407</v>
      </c>
      <c r="M288" s="49" t="n">
        <f aca="false">IFERROR(I288/H288,0)</f>
        <v>349.169400091855</v>
      </c>
      <c r="N288" s="52" t="str">
        <f aca="false">'Model Inputs &amp; Assumptions'!$L$28</f>
        <v>PRD-EUAI</v>
      </c>
      <c r="P288" s="53" t="n">
        <v>-1.413998</v>
      </c>
      <c r="Q288" s="53" t="n">
        <v>-0.054205</v>
      </c>
      <c r="R288" s="53" t="n">
        <v>-1.194664</v>
      </c>
      <c r="S288" s="53" t="n">
        <v>-1.835253</v>
      </c>
    </row>
    <row r="289" customFormat="false" ht="15" hidden="false" customHeight="false" outlineLevel="0" collapsed="false">
      <c r="A289" s="43" t="n">
        <v>286</v>
      </c>
      <c r="B289" s="44" t="str">
        <f aca="false">'Model Inputs &amp; Assumptions'!$B$28</f>
        <v>finanzen.net — Q1 Awareness Burst</v>
      </c>
      <c r="C289" s="45" t="n">
        <f aca="false">ROUND(MAX(0,'Model Inputs &amp; Assumptions'!$S$28*EXP('Model Inputs &amp; Assumptions'!$T$28*P289-'Model Inputs &amp; Assumptions'!$T$28^2/2)),0)</f>
        <v>417946</v>
      </c>
      <c r="D289" s="46" t="n">
        <f aca="false">MIN(1,'Model Inputs &amp; Assumptions'!$U$28*EXP('Model Inputs &amp; Assumptions'!$V$28*Q289-'Model Inputs &amp; Assumptions'!$V$28^2/2))</f>
        <v>0</v>
      </c>
      <c r="E289" s="45" t="n">
        <f aca="false">ROUND(C289*D289,0)</f>
        <v>0</v>
      </c>
      <c r="F289" s="47" t="n">
        <f aca="false">MIN(1,'Model Inputs &amp; Assumptions'!$W$28*EXP('Model Inputs &amp; Assumptions'!$X$28*R289-'Model Inputs &amp; Assumptions'!$X$28^2/2))</f>
        <v>0.00116393567773922</v>
      </c>
      <c r="G289" s="45" t="n">
        <f aca="false">ROUND(C289*F289,0)</f>
        <v>486</v>
      </c>
      <c r="H289" s="48" t="n">
        <f aca="false">MAX(0,(C289*'Model Inputs &amp; Assumptions'!$N$28+E289*'Model Inputs &amp; Assumptions'!$O$28+G289*'Model Inputs &amp; Assumptions'!$P$28)*EXP('Model Inputs &amp; Assumptions'!$Q$28*S289-'Model Inputs &amp; Assumptions'!$Q$28^2/2))</f>
        <v>12.6465155492836</v>
      </c>
      <c r="I289" s="49" t="n">
        <f aca="false">IF('Model Inputs &amp; Assumptions'!$H$28="Fixed",'Model Inputs &amp; Assumptions'!$I$28*'Model Inputs &amp; Assumptions'!$K$28,IF('Model Inputs &amp; Assumptions'!$H$28="CPM",'Model Inputs &amp; Assumptions'!$I$28*'Model Inputs &amp; Assumptions'!$K$28*C289/1000,IF('Model Inputs &amp; Assumptions'!$H$28="CPC",'Model Inputs &amp; Assumptions'!$I$28*'Model Inputs &amp; Assumptions'!$K$28*G289,0)))</f>
        <v>2716.649</v>
      </c>
      <c r="J289" s="50" t="n">
        <f aca="false">H289*INDEX('Model Inputs &amp; Assumptions'!$D$40:$D$42,MATCH('Model Inputs &amp; Assumptions'!$L$28,'Model Inputs &amp; Assumptions'!$A$40:$A$42,0))*INDEX('Model Inputs &amp; Assumptions'!$H$40:$H$42,MATCH('Model Inputs &amp; Assumptions'!$L$28,'Model Inputs &amp; Assumptions'!$A$40:$A$42,0))</f>
        <v>107495.38216891</v>
      </c>
      <c r="K289" s="49" t="n">
        <f aca="false">H289*INDEX('Model Inputs &amp; Assumptions'!$G$40:$G$42,MATCH('Model Inputs &amp; Assumptions'!$L$28,'Model Inputs &amp; Assumptions'!$A$40:$A$42,0))*INDEX('Model Inputs &amp; Assumptions'!$H$40:$H$42,MATCH('Model Inputs &amp; Assumptions'!$L$28,'Model Inputs &amp; Assumptions'!$A$40:$A$42,0))</f>
        <v>2418.64609880049</v>
      </c>
      <c r="L289" s="51" t="n">
        <f aca="false">IFERROR(K289/I289,0)</f>
        <v>0.890304967185855</v>
      </c>
      <c r="M289" s="49" t="n">
        <f aca="false">IFERROR(I289/H289,0)</f>
        <v>214.814032324809</v>
      </c>
      <c r="N289" s="52" t="str">
        <f aca="false">'Model Inputs &amp; Assumptions'!$L$28</f>
        <v>PRD-EUAI</v>
      </c>
      <c r="P289" s="53" t="n">
        <v>-0.442637</v>
      </c>
      <c r="Q289" s="53" t="n">
        <v>-0.001232</v>
      </c>
      <c r="R289" s="53" t="n">
        <v>-1.042991</v>
      </c>
      <c r="S289" s="53" t="n">
        <v>-0.32423</v>
      </c>
    </row>
    <row r="290" customFormat="false" ht="15" hidden="false" customHeight="false" outlineLevel="0" collapsed="false">
      <c r="A290" s="43" t="n">
        <v>287</v>
      </c>
      <c r="B290" s="44" t="str">
        <f aca="false">'Model Inputs &amp; Assumptions'!$B$28</f>
        <v>finanzen.net — Q1 Awareness Burst</v>
      </c>
      <c r="C290" s="45" t="n">
        <f aca="false">ROUND(MAX(0,'Model Inputs &amp; Assumptions'!$S$28*EXP('Model Inputs &amp; Assumptions'!$T$28*P290-'Model Inputs &amp; Assumptions'!$T$28^2/2)),0)</f>
        <v>400797</v>
      </c>
      <c r="D290" s="46" t="n">
        <f aca="false">MIN(1,'Model Inputs &amp; Assumptions'!$U$28*EXP('Model Inputs &amp; Assumptions'!$V$28*Q290-'Model Inputs &amp; Assumptions'!$V$28^2/2))</f>
        <v>0</v>
      </c>
      <c r="E290" s="45" t="n">
        <f aca="false">ROUND(C290*D290,0)</f>
        <v>0</v>
      </c>
      <c r="F290" s="47" t="n">
        <f aca="false">MIN(1,'Model Inputs &amp; Assumptions'!$W$28*EXP('Model Inputs &amp; Assumptions'!$X$28*R290-'Model Inputs &amp; Assumptions'!$X$28^2/2))</f>
        <v>0.00182724324600276</v>
      </c>
      <c r="G290" s="45" t="n">
        <f aca="false">ROUND(C290*F290,0)</f>
        <v>732</v>
      </c>
      <c r="H290" s="48" t="n">
        <f aca="false">MAX(0,(C290*'Model Inputs &amp; Assumptions'!$N$28+E290*'Model Inputs &amp; Assumptions'!$O$28+G290*'Model Inputs &amp; Assumptions'!$P$28)*EXP('Model Inputs &amp; Assumptions'!$Q$28*S290-'Model Inputs &amp; Assumptions'!$Q$28^2/2))</f>
        <v>23.0841149538188</v>
      </c>
      <c r="I290" s="49" t="n">
        <f aca="false">IF('Model Inputs &amp; Assumptions'!$H$28="Fixed",'Model Inputs &amp; Assumptions'!$I$28*'Model Inputs &amp; Assumptions'!$K$28,IF('Model Inputs &amp; Assumptions'!$H$28="CPM",'Model Inputs &amp; Assumptions'!$I$28*'Model Inputs &amp; Assumptions'!$K$28*C290/1000,IF('Model Inputs &amp; Assumptions'!$H$28="CPC",'Model Inputs &amp; Assumptions'!$I$28*'Model Inputs &amp; Assumptions'!$K$28*G290,0)))</f>
        <v>2605.1805</v>
      </c>
      <c r="J290" s="50" t="n">
        <f aca="false">H290*INDEX('Model Inputs &amp; Assumptions'!$D$40:$D$42,MATCH('Model Inputs &amp; Assumptions'!$L$28,'Model Inputs &amp; Assumptions'!$A$40:$A$42,0))*INDEX('Model Inputs &amp; Assumptions'!$H$40:$H$42,MATCH('Model Inputs &amp; Assumptions'!$L$28,'Model Inputs &amp; Assumptions'!$A$40:$A$42,0))</f>
        <v>196214.97710746</v>
      </c>
      <c r="K290" s="49" t="n">
        <f aca="false">H290*INDEX('Model Inputs &amp; Assumptions'!$G$40:$G$42,MATCH('Model Inputs &amp; Assumptions'!$L$28,'Model Inputs &amp; Assumptions'!$A$40:$A$42,0))*INDEX('Model Inputs &amp; Assumptions'!$H$40:$H$42,MATCH('Model Inputs &amp; Assumptions'!$L$28,'Model Inputs &amp; Assumptions'!$A$40:$A$42,0))</f>
        <v>4414.83698491785</v>
      </c>
      <c r="L290" s="51" t="n">
        <f aca="false">IFERROR(K290/I290,0)</f>
        <v>1.69463765943199</v>
      </c>
      <c r="M290" s="49" t="n">
        <f aca="false">IFERROR(I290/H290,0)</f>
        <v>112.855983658538</v>
      </c>
      <c r="N290" s="52" t="str">
        <f aca="false">'Model Inputs &amp; Assumptions'!$L$28</f>
        <v>PRD-EUAI</v>
      </c>
      <c r="P290" s="53" t="n">
        <v>-0.6754</v>
      </c>
      <c r="Q290" s="53" t="n">
        <v>-0.550788</v>
      </c>
      <c r="R290" s="53" t="n">
        <v>1.007015</v>
      </c>
      <c r="S290" s="53" t="n">
        <v>0.316407</v>
      </c>
    </row>
    <row r="291" customFormat="false" ht="15" hidden="false" customHeight="false" outlineLevel="0" collapsed="false">
      <c r="A291" s="43" t="n">
        <v>288</v>
      </c>
      <c r="B291" s="44" t="str">
        <f aca="false">'Model Inputs &amp; Assumptions'!$B$28</f>
        <v>finanzen.net — Q1 Awareness Burst</v>
      </c>
      <c r="C291" s="45" t="n">
        <f aca="false">ROUND(MAX(0,'Model Inputs &amp; Assumptions'!$S$28*EXP('Model Inputs &amp; Assumptions'!$T$28*P291-'Model Inputs &amp; Assumptions'!$T$28^2/2)),0)</f>
        <v>382541</v>
      </c>
      <c r="D291" s="46" t="n">
        <f aca="false">MIN(1,'Model Inputs &amp; Assumptions'!$U$28*EXP('Model Inputs &amp; Assumptions'!$V$28*Q291-'Model Inputs &amp; Assumptions'!$V$28^2/2))</f>
        <v>0</v>
      </c>
      <c r="E291" s="45" t="n">
        <f aca="false">ROUND(C291*D291,0)</f>
        <v>0</v>
      </c>
      <c r="F291" s="47" t="n">
        <f aca="false">MIN(1,'Model Inputs &amp; Assumptions'!$W$28*EXP('Model Inputs &amp; Assumptions'!$X$28*R291-'Model Inputs &amp; Assumptions'!$X$28^2/2))</f>
        <v>0.00112818730306544</v>
      </c>
      <c r="G291" s="45" t="n">
        <f aca="false">ROUND(C291*F291,0)</f>
        <v>432</v>
      </c>
      <c r="H291" s="48" t="n">
        <f aca="false">MAX(0,(C291*'Model Inputs &amp; Assumptions'!$N$28+E291*'Model Inputs &amp; Assumptions'!$O$28+G291*'Model Inputs &amp; Assumptions'!$P$28)*EXP('Model Inputs &amp; Assumptions'!$Q$28*S291-'Model Inputs &amp; Assumptions'!$Q$28^2/2))</f>
        <v>12.6399229241115</v>
      </c>
      <c r="I291" s="49" t="n">
        <f aca="false">IF('Model Inputs &amp; Assumptions'!$H$28="Fixed",'Model Inputs &amp; Assumptions'!$I$28*'Model Inputs &amp; Assumptions'!$K$28,IF('Model Inputs &amp; Assumptions'!$H$28="CPM",'Model Inputs &amp; Assumptions'!$I$28*'Model Inputs &amp; Assumptions'!$K$28*C291/1000,IF('Model Inputs &amp; Assumptions'!$H$28="CPC",'Model Inputs &amp; Assumptions'!$I$28*'Model Inputs &amp; Assumptions'!$K$28*G291,0)))</f>
        <v>2486.5165</v>
      </c>
      <c r="J291" s="50" t="n">
        <f aca="false">H291*INDEX('Model Inputs &amp; Assumptions'!$D$40:$D$42,MATCH('Model Inputs &amp; Assumptions'!$L$28,'Model Inputs &amp; Assumptions'!$A$40:$A$42,0))*INDEX('Model Inputs &amp; Assumptions'!$H$40:$H$42,MATCH('Model Inputs &amp; Assumptions'!$L$28,'Model Inputs &amp; Assumptions'!$A$40:$A$42,0))</f>
        <v>107439.344854948</v>
      </c>
      <c r="K291" s="49" t="n">
        <f aca="false">H291*INDEX('Model Inputs &amp; Assumptions'!$G$40:$G$42,MATCH('Model Inputs &amp; Assumptions'!$L$28,'Model Inputs &amp; Assumptions'!$A$40:$A$42,0))*INDEX('Model Inputs &amp; Assumptions'!$H$40:$H$42,MATCH('Model Inputs &amp; Assumptions'!$L$28,'Model Inputs &amp; Assumptions'!$A$40:$A$42,0))</f>
        <v>2417.38525923632</v>
      </c>
      <c r="L291" s="51" t="n">
        <f aca="false">IFERROR(K291/I291,0)</f>
        <v>0.972197553982175</v>
      </c>
      <c r="M291" s="49" t="n">
        <f aca="false">IFERROR(I291/H291,0)</f>
        <v>196.71927708173</v>
      </c>
      <c r="N291" s="52" t="str">
        <f aca="false">'Model Inputs &amp; Assumptions'!$L$28</f>
        <v>PRD-EUAI</v>
      </c>
      <c r="P291" s="53" t="n">
        <v>-0.934398</v>
      </c>
      <c r="Q291" s="53" t="n">
        <v>1.548169</v>
      </c>
      <c r="R291" s="53" t="n">
        <v>-1.184786</v>
      </c>
      <c r="S291" s="53" t="n">
        <v>0.066642</v>
      </c>
    </row>
    <row r="292" customFormat="false" ht="15" hidden="false" customHeight="false" outlineLevel="0" collapsed="false">
      <c r="A292" s="43" t="n">
        <v>289</v>
      </c>
      <c r="B292" s="44" t="str">
        <f aca="false">'Model Inputs &amp; Assumptions'!$B$28</f>
        <v>finanzen.net — Q1 Awareness Burst</v>
      </c>
      <c r="C292" s="45" t="n">
        <f aca="false">ROUND(MAX(0,'Model Inputs &amp; Assumptions'!$S$28*EXP('Model Inputs &amp; Assumptions'!$T$28*P292-'Model Inputs &amp; Assumptions'!$T$28^2/2)),0)</f>
        <v>513840</v>
      </c>
      <c r="D292" s="46" t="n">
        <f aca="false">MIN(1,'Model Inputs &amp; Assumptions'!$U$28*EXP('Model Inputs &amp; Assumptions'!$V$28*Q292-'Model Inputs &amp; Assumptions'!$V$28^2/2))</f>
        <v>0</v>
      </c>
      <c r="E292" s="45" t="n">
        <f aca="false">ROUND(C292*D292,0)</f>
        <v>0</v>
      </c>
      <c r="F292" s="47" t="n">
        <f aca="false">MIN(1,'Model Inputs &amp; Assumptions'!$W$28*EXP('Model Inputs &amp; Assumptions'!$X$28*R292-'Model Inputs &amp; Assumptions'!$X$28^2/2))</f>
        <v>0.00172109990846221</v>
      </c>
      <c r="G292" s="45" t="n">
        <f aca="false">ROUND(C292*F292,0)</f>
        <v>884</v>
      </c>
      <c r="H292" s="48" t="n">
        <f aca="false">MAX(0,(C292*'Model Inputs &amp; Assumptions'!$N$28+E292*'Model Inputs &amp; Assumptions'!$O$28+G292*'Model Inputs &amp; Assumptions'!$P$28)*EXP('Model Inputs &amp; Assumptions'!$Q$28*S292-'Model Inputs &amp; Assumptions'!$Q$28^2/2))</f>
        <v>25.0066643993631</v>
      </c>
      <c r="I292" s="49" t="n">
        <f aca="false">IF('Model Inputs &amp; Assumptions'!$H$28="Fixed",'Model Inputs &amp; Assumptions'!$I$28*'Model Inputs &amp; Assumptions'!$K$28,IF('Model Inputs &amp; Assumptions'!$H$28="CPM",'Model Inputs &amp; Assumptions'!$I$28*'Model Inputs &amp; Assumptions'!$K$28*C292/1000,IF('Model Inputs &amp; Assumptions'!$H$28="CPC",'Model Inputs &amp; Assumptions'!$I$28*'Model Inputs &amp; Assumptions'!$K$28*G292,0)))</f>
        <v>3339.96</v>
      </c>
      <c r="J292" s="50" t="n">
        <f aca="false">H292*INDEX('Model Inputs &amp; Assumptions'!$D$40:$D$42,MATCH('Model Inputs &amp; Assumptions'!$L$28,'Model Inputs &amp; Assumptions'!$A$40:$A$42,0))*INDEX('Model Inputs &amp; Assumptions'!$H$40:$H$42,MATCH('Model Inputs &amp; Assumptions'!$L$28,'Model Inputs &amp; Assumptions'!$A$40:$A$42,0))</f>
        <v>212556.647394586</v>
      </c>
      <c r="K292" s="49" t="n">
        <f aca="false">H292*INDEX('Model Inputs &amp; Assumptions'!$G$40:$G$42,MATCH('Model Inputs &amp; Assumptions'!$L$28,'Model Inputs &amp; Assumptions'!$A$40:$A$42,0))*INDEX('Model Inputs &amp; Assumptions'!$H$40:$H$42,MATCH('Model Inputs &amp; Assumptions'!$L$28,'Model Inputs &amp; Assumptions'!$A$40:$A$42,0))</f>
        <v>4782.52456637819</v>
      </c>
      <c r="L292" s="51" t="n">
        <f aca="false">IFERROR(K292/I292,0)</f>
        <v>1.43191073137947</v>
      </c>
      <c r="M292" s="49" t="n">
        <f aca="false">IFERROR(I292/H292,0)</f>
        <v>133.562795367665</v>
      </c>
      <c r="N292" s="52" t="str">
        <f aca="false">'Model Inputs &amp; Assumptions'!$L$28</f>
        <v>PRD-EUAI</v>
      </c>
      <c r="P292" s="53" t="n">
        <v>0.704924</v>
      </c>
      <c r="Q292" s="53" t="n">
        <v>-0.134979</v>
      </c>
      <c r="R292" s="53" t="n">
        <v>0.734993</v>
      </c>
      <c r="S292" s="53" t="n">
        <v>-0.045856</v>
      </c>
    </row>
    <row r="293" customFormat="false" ht="15" hidden="false" customHeight="false" outlineLevel="0" collapsed="false">
      <c r="A293" s="43" t="n">
        <v>290</v>
      </c>
      <c r="B293" s="44" t="str">
        <f aca="false">'Model Inputs &amp; Assumptions'!$B$28</f>
        <v>finanzen.net — Q1 Awareness Burst</v>
      </c>
      <c r="C293" s="45" t="n">
        <f aca="false">ROUND(MAX(0,'Model Inputs &amp; Assumptions'!$S$28*EXP('Model Inputs &amp; Assumptions'!$T$28*P293-'Model Inputs &amp; Assumptions'!$T$28^2/2)),0)</f>
        <v>360603</v>
      </c>
      <c r="D293" s="46" t="n">
        <f aca="false">MIN(1,'Model Inputs &amp; Assumptions'!$U$28*EXP('Model Inputs &amp; Assumptions'!$V$28*Q293-'Model Inputs &amp; Assumptions'!$V$28^2/2))</f>
        <v>0</v>
      </c>
      <c r="E293" s="45" t="n">
        <f aca="false">ROUND(C293*D293,0)</f>
        <v>0</v>
      </c>
      <c r="F293" s="47" t="n">
        <f aca="false">MIN(1,'Model Inputs &amp; Assumptions'!$W$28*EXP('Model Inputs &amp; Assumptions'!$X$28*R293-'Model Inputs &amp; Assumptions'!$X$28^2/2))</f>
        <v>0.0014512047131126</v>
      </c>
      <c r="G293" s="45" t="n">
        <f aca="false">ROUND(C293*F293,0)</f>
        <v>523</v>
      </c>
      <c r="H293" s="48" t="n">
        <f aca="false">MAX(0,(C293*'Model Inputs &amp; Assumptions'!$N$28+E293*'Model Inputs &amp; Assumptions'!$O$28+G293*'Model Inputs &amp; Assumptions'!$P$28)*EXP('Model Inputs &amp; Assumptions'!$Q$28*S293-'Model Inputs &amp; Assumptions'!$Q$28^2/2))</f>
        <v>25.3399035017121</v>
      </c>
      <c r="I293" s="49" t="n">
        <f aca="false">IF('Model Inputs &amp; Assumptions'!$H$28="Fixed",'Model Inputs &amp; Assumptions'!$I$28*'Model Inputs &amp; Assumptions'!$K$28,IF('Model Inputs &amp; Assumptions'!$H$28="CPM",'Model Inputs &amp; Assumptions'!$I$28*'Model Inputs &amp; Assumptions'!$K$28*C293/1000,IF('Model Inputs &amp; Assumptions'!$H$28="CPC",'Model Inputs &amp; Assumptions'!$I$28*'Model Inputs &amp; Assumptions'!$K$28*G293,0)))</f>
        <v>2343.9195</v>
      </c>
      <c r="J293" s="50" t="n">
        <f aca="false">H293*INDEX('Model Inputs &amp; Assumptions'!$D$40:$D$42,MATCH('Model Inputs &amp; Assumptions'!$L$28,'Model Inputs &amp; Assumptions'!$A$40:$A$42,0))*INDEX('Model Inputs &amp; Assumptions'!$H$40:$H$42,MATCH('Model Inputs &amp; Assumptions'!$L$28,'Model Inputs &amp; Assumptions'!$A$40:$A$42,0))</f>
        <v>215389.179764553</v>
      </c>
      <c r="K293" s="49" t="n">
        <f aca="false">H293*INDEX('Model Inputs &amp; Assumptions'!$G$40:$G$42,MATCH('Model Inputs &amp; Assumptions'!$L$28,'Model Inputs &amp; Assumptions'!$A$40:$A$42,0))*INDEX('Model Inputs &amp; Assumptions'!$H$40:$H$42,MATCH('Model Inputs &amp; Assumptions'!$L$28,'Model Inputs &amp; Assumptions'!$A$40:$A$42,0))</f>
        <v>4846.25654470244</v>
      </c>
      <c r="L293" s="51" t="n">
        <f aca="false">IFERROR(K293/I293,0)</f>
        <v>2.06758659787695</v>
      </c>
      <c r="M293" s="49" t="n">
        <f aca="false">IFERROR(I293/H293,0)</f>
        <v>92.4991486191584</v>
      </c>
      <c r="N293" s="52" t="str">
        <f aca="false">'Model Inputs &amp; Assumptions'!$L$28</f>
        <v>PRD-EUAI</v>
      </c>
      <c r="P293" s="53" t="n">
        <v>-1.262495</v>
      </c>
      <c r="Q293" s="53" t="n">
        <v>-1.829435</v>
      </c>
      <c r="R293" s="53" t="n">
        <v>-0.040323</v>
      </c>
      <c r="S293" s="53" t="n">
        <v>1.747856</v>
      </c>
    </row>
    <row r="294" customFormat="false" ht="15" hidden="false" customHeight="false" outlineLevel="0" collapsed="false">
      <c r="A294" s="43" t="n">
        <v>291</v>
      </c>
      <c r="B294" s="44" t="str">
        <f aca="false">'Model Inputs &amp; Assumptions'!$B$28</f>
        <v>finanzen.net — Q1 Awareness Burst</v>
      </c>
      <c r="C294" s="45" t="n">
        <f aca="false">ROUND(MAX(0,'Model Inputs &amp; Assumptions'!$S$28*EXP('Model Inputs &amp; Assumptions'!$T$28*P294-'Model Inputs &amp; Assumptions'!$T$28^2/2)),0)</f>
        <v>467490</v>
      </c>
      <c r="D294" s="46" t="n">
        <f aca="false">MIN(1,'Model Inputs &amp; Assumptions'!$U$28*EXP('Model Inputs &amp; Assumptions'!$V$28*Q294-'Model Inputs &amp; Assumptions'!$V$28^2/2))</f>
        <v>0</v>
      </c>
      <c r="E294" s="45" t="n">
        <f aca="false">ROUND(C294*D294,0)</f>
        <v>0</v>
      </c>
      <c r="F294" s="47" t="n">
        <f aca="false">MIN(1,'Model Inputs &amp; Assumptions'!$W$28*EXP('Model Inputs &amp; Assumptions'!$X$28*R294-'Model Inputs &amp; Assumptions'!$X$28^2/2))</f>
        <v>0.00135709174614694</v>
      </c>
      <c r="G294" s="45" t="n">
        <f aca="false">ROUND(C294*F294,0)</f>
        <v>634</v>
      </c>
      <c r="H294" s="48" t="n">
        <f aca="false">MAX(0,(C294*'Model Inputs &amp; Assumptions'!$N$28+E294*'Model Inputs &amp; Assumptions'!$O$28+G294*'Model Inputs &amp; Assumptions'!$P$28)*EXP('Model Inputs &amp; Assumptions'!$Q$28*S294-'Model Inputs &amp; Assumptions'!$Q$28^2/2))</f>
        <v>15.6592947921239</v>
      </c>
      <c r="I294" s="49" t="n">
        <f aca="false">IF('Model Inputs &amp; Assumptions'!$H$28="Fixed",'Model Inputs &amp; Assumptions'!$I$28*'Model Inputs &amp; Assumptions'!$K$28,IF('Model Inputs &amp; Assumptions'!$H$28="CPM",'Model Inputs &amp; Assumptions'!$I$28*'Model Inputs &amp; Assumptions'!$K$28*C294/1000,IF('Model Inputs &amp; Assumptions'!$H$28="CPC",'Model Inputs &amp; Assumptions'!$I$28*'Model Inputs &amp; Assumptions'!$K$28*G294,0)))</f>
        <v>3038.685</v>
      </c>
      <c r="J294" s="50" t="n">
        <f aca="false">H294*INDEX('Model Inputs &amp; Assumptions'!$D$40:$D$42,MATCH('Model Inputs &amp; Assumptions'!$L$28,'Model Inputs &amp; Assumptions'!$A$40:$A$42,0))*INDEX('Model Inputs &amp; Assumptions'!$H$40:$H$42,MATCH('Model Inputs &amp; Assumptions'!$L$28,'Model Inputs &amp; Assumptions'!$A$40:$A$42,0))</f>
        <v>133104.005733053</v>
      </c>
      <c r="K294" s="49" t="n">
        <f aca="false">H294*INDEX('Model Inputs &amp; Assumptions'!$G$40:$G$42,MATCH('Model Inputs &amp; Assumptions'!$L$28,'Model Inputs &amp; Assumptions'!$A$40:$A$42,0))*INDEX('Model Inputs &amp; Assumptions'!$H$40:$H$42,MATCH('Model Inputs &amp; Assumptions'!$L$28,'Model Inputs &amp; Assumptions'!$A$40:$A$42,0))</f>
        <v>2994.8401289937</v>
      </c>
      <c r="L294" s="51" t="n">
        <f aca="false">IFERROR(K294/I294,0)</f>
        <v>0.985571103616762</v>
      </c>
      <c r="M294" s="49" t="n">
        <f aca="false">IFERROR(I294/H294,0)</f>
        <v>194.049926279461</v>
      </c>
      <c r="N294" s="52" t="str">
        <f aca="false">'Model Inputs &amp; Assumptions'!$L$28</f>
        <v>PRD-EUAI</v>
      </c>
      <c r="P294" s="53" t="n">
        <v>0.179726</v>
      </c>
      <c r="Q294" s="53" t="n">
        <v>0.796816</v>
      </c>
      <c r="R294" s="53" t="n">
        <v>-0.345096</v>
      </c>
      <c r="S294" s="53" t="n">
        <v>-0.498088</v>
      </c>
    </row>
    <row r="295" customFormat="false" ht="15" hidden="false" customHeight="false" outlineLevel="0" collapsed="false">
      <c r="A295" s="43" t="n">
        <v>292</v>
      </c>
      <c r="B295" s="44" t="str">
        <f aca="false">'Model Inputs &amp; Assumptions'!$B$28</f>
        <v>finanzen.net — Q1 Awareness Burst</v>
      </c>
      <c r="C295" s="45" t="n">
        <f aca="false">ROUND(MAX(0,'Model Inputs &amp; Assumptions'!$S$28*EXP('Model Inputs &amp; Assumptions'!$T$28*P295-'Model Inputs &amp; Assumptions'!$T$28^2/2)),0)</f>
        <v>383134</v>
      </c>
      <c r="D295" s="46" t="n">
        <f aca="false">MIN(1,'Model Inputs &amp; Assumptions'!$U$28*EXP('Model Inputs &amp; Assumptions'!$V$28*Q295-'Model Inputs &amp; Assumptions'!$V$28^2/2))</f>
        <v>0</v>
      </c>
      <c r="E295" s="45" t="n">
        <f aca="false">ROUND(C295*D295,0)</f>
        <v>0</v>
      </c>
      <c r="F295" s="47" t="n">
        <f aca="false">MIN(1,'Model Inputs &amp; Assumptions'!$W$28*EXP('Model Inputs &amp; Assumptions'!$X$28*R295-'Model Inputs &amp; Assumptions'!$X$28^2/2))</f>
        <v>0.00172156683735008</v>
      </c>
      <c r="G295" s="45" t="n">
        <f aca="false">ROUND(C295*F295,0)</f>
        <v>660</v>
      </c>
      <c r="H295" s="48" t="n">
        <f aca="false">MAX(0,(C295*'Model Inputs &amp; Assumptions'!$N$28+E295*'Model Inputs &amp; Assumptions'!$O$28+G295*'Model Inputs &amp; Assumptions'!$P$28)*EXP('Model Inputs &amp; Assumptions'!$Q$28*S295-'Model Inputs &amp; Assumptions'!$Q$28^2/2))</f>
        <v>16.0089531514035</v>
      </c>
      <c r="I295" s="49" t="n">
        <f aca="false">IF('Model Inputs &amp; Assumptions'!$H$28="Fixed",'Model Inputs &amp; Assumptions'!$I$28*'Model Inputs &amp; Assumptions'!$K$28,IF('Model Inputs &amp; Assumptions'!$H$28="CPM",'Model Inputs &amp; Assumptions'!$I$28*'Model Inputs &amp; Assumptions'!$K$28*C295/1000,IF('Model Inputs &amp; Assumptions'!$H$28="CPC",'Model Inputs &amp; Assumptions'!$I$28*'Model Inputs &amp; Assumptions'!$K$28*G295,0)))</f>
        <v>2490.371</v>
      </c>
      <c r="J295" s="50" t="n">
        <f aca="false">H295*INDEX('Model Inputs &amp; Assumptions'!$D$40:$D$42,MATCH('Model Inputs &amp; Assumptions'!$L$28,'Model Inputs &amp; Assumptions'!$A$40:$A$42,0))*INDEX('Model Inputs &amp; Assumptions'!$H$40:$H$42,MATCH('Model Inputs &amp; Assumptions'!$L$28,'Model Inputs &amp; Assumptions'!$A$40:$A$42,0))</f>
        <v>136076.10178693</v>
      </c>
      <c r="K295" s="49" t="n">
        <f aca="false">H295*INDEX('Model Inputs &amp; Assumptions'!$G$40:$G$42,MATCH('Model Inputs &amp; Assumptions'!$L$28,'Model Inputs &amp; Assumptions'!$A$40:$A$42,0))*INDEX('Model Inputs &amp; Assumptions'!$H$40:$H$42,MATCH('Model Inputs &amp; Assumptions'!$L$28,'Model Inputs &amp; Assumptions'!$A$40:$A$42,0))</f>
        <v>3061.71229020592</v>
      </c>
      <c r="L295" s="51" t="n">
        <f aca="false">IFERROR(K295/I295,0)</f>
        <v>1.22942015073494</v>
      </c>
      <c r="M295" s="49" t="n">
        <f aca="false">IFERROR(I295/H295,0)</f>
        <v>155.561139847653</v>
      </c>
      <c r="N295" s="52" t="str">
        <f aca="false">'Model Inputs &amp; Assumptions'!$L$28</f>
        <v>PRD-EUAI</v>
      </c>
      <c r="P295" s="53" t="n">
        <v>-0.925789</v>
      </c>
      <c r="Q295" s="53" t="n">
        <v>-0.120075</v>
      </c>
      <c r="R295" s="53" t="n">
        <v>0.736226</v>
      </c>
      <c r="S295" s="53" t="n">
        <v>-0.558446</v>
      </c>
    </row>
    <row r="296" customFormat="false" ht="15" hidden="false" customHeight="false" outlineLevel="0" collapsed="false">
      <c r="A296" s="43" t="n">
        <v>293</v>
      </c>
      <c r="B296" s="44" t="str">
        <f aca="false">'Model Inputs &amp; Assumptions'!$B$28</f>
        <v>finanzen.net — Q1 Awareness Burst</v>
      </c>
      <c r="C296" s="45" t="n">
        <f aca="false">ROUND(MAX(0,'Model Inputs &amp; Assumptions'!$S$28*EXP('Model Inputs &amp; Assumptions'!$T$28*P296-'Model Inputs &amp; Assumptions'!$T$28^2/2)),0)</f>
        <v>460291</v>
      </c>
      <c r="D296" s="46" t="n">
        <f aca="false">MIN(1,'Model Inputs &amp; Assumptions'!$U$28*EXP('Model Inputs &amp; Assumptions'!$V$28*Q296-'Model Inputs &amp; Assumptions'!$V$28^2/2))</f>
        <v>0</v>
      </c>
      <c r="E296" s="45" t="n">
        <f aca="false">ROUND(C296*D296,0)</f>
        <v>0</v>
      </c>
      <c r="F296" s="47" t="n">
        <f aca="false">MIN(1,'Model Inputs &amp; Assumptions'!$W$28*EXP('Model Inputs &amp; Assumptions'!$X$28*R296-'Model Inputs &amp; Assumptions'!$X$28^2/2))</f>
        <v>0.00164414466434807</v>
      </c>
      <c r="G296" s="45" t="n">
        <f aca="false">ROUND(C296*F296,0)</f>
        <v>757</v>
      </c>
      <c r="H296" s="48" t="n">
        <f aca="false">MAX(0,(C296*'Model Inputs &amp; Assumptions'!$N$28+E296*'Model Inputs &amp; Assumptions'!$O$28+G296*'Model Inputs &amp; Assumptions'!$P$28)*EXP('Model Inputs &amp; Assumptions'!$Q$28*S296-'Model Inputs &amp; Assumptions'!$Q$28^2/2))</f>
        <v>24.6520819191628</v>
      </c>
      <c r="I296" s="49" t="n">
        <f aca="false">IF('Model Inputs &amp; Assumptions'!$H$28="Fixed",'Model Inputs &amp; Assumptions'!$I$28*'Model Inputs &amp; Assumptions'!$K$28,IF('Model Inputs &amp; Assumptions'!$H$28="CPM",'Model Inputs &amp; Assumptions'!$I$28*'Model Inputs &amp; Assumptions'!$K$28*C296/1000,IF('Model Inputs &amp; Assumptions'!$H$28="CPC",'Model Inputs &amp; Assumptions'!$I$28*'Model Inputs &amp; Assumptions'!$K$28*G296,0)))</f>
        <v>2991.8915</v>
      </c>
      <c r="J296" s="50" t="n">
        <f aca="false">H296*INDEX('Model Inputs &amp; Assumptions'!$D$40:$D$42,MATCH('Model Inputs &amp; Assumptions'!$L$28,'Model Inputs &amp; Assumptions'!$A$40:$A$42,0))*INDEX('Model Inputs &amp; Assumptions'!$H$40:$H$42,MATCH('Model Inputs &amp; Assumptions'!$L$28,'Model Inputs &amp; Assumptions'!$A$40:$A$42,0))</f>
        <v>209542.696312884</v>
      </c>
      <c r="K296" s="49" t="n">
        <f aca="false">H296*INDEX('Model Inputs &amp; Assumptions'!$G$40:$G$42,MATCH('Model Inputs &amp; Assumptions'!$L$28,'Model Inputs &amp; Assumptions'!$A$40:$A$42,0))*INDEX('Model Inputs &amp; Assumptions'!$H$40:$H$42,MATCH('Model Inputs &amp; Assumptions'!$L$28,'Model Inputs &amp; Assumptions'!$A$40:$A$42,0))</f>
        <v>4714.71066703988</v>
      </c>
      <c r="L296" s="51" t="n">
        <f aca="false">IFERROR(K296/I296,0)</f>
        <v>1.57582942664862</v>
      </c>
      <c r="M296" s="49" t="n">
        <f aca="false">IFERROR(I296/H296,0)</f>
        <v>121.364658360733</v>
      </c>
      <c r="N296" s="52" t="str">
        <f aca="false">'Model Inputs &amp; Assumptions'!$L$28</f>
        <v>PRD-EUAI</v>
      </c>
      <c r="P296" s="53" t="n">
        <v>0.093514</v>
      </c>
      <c r="Q296" s="53" t="n">
        <v>-0.804431</v>
      </c>
      <c r="R296" s="53" t="n">
        <v>0.527069</v>
      </c>
      <c r="S296" s="53" t="n">
        <v>0.42352</v>
      </c>
    </row>
    <row r="297" customFormat="false" ht="15" hidden="false" customHeight="false" outlineLevel="0" collapsed="false">
      <c r="A297" s="43" t="n">
        <v>294</v>
      </c>
      <c r="B297" s="44" t="str">
        <f aca="false">'Model Inputs &amp; Assumptions'!$B$28</f>
        <v>finanzen.net — Q1 Awareness Burst</v>
      </c>
      <c r="C297" s="45" t="n">
        <f aca="false">ROUND(MAX(0,'Model Inputs &amp; Assumptions'!$S$28*EXP('Model Inputs &amp; Assumptions'!$T$28*P297-'Model Inputs &amp; Assumptions'!$T$28^2/2)),0)</f>
        <v>541926</v>
      </c>
      <c r="D297" s="46" t="n">
        <f aca="false">MIN(1,'Model Inputs &amp; Assumptions'!$U$28*EXP('Model Inputs &amp; Assumptions'!$V$28*Q297-'Model Inputs &amp; Assumptions'!$V$28^2/2))</f>
        <v>0</v>
      </c>
      <c r="E297" s="45" t="n">
        <f aca="false">ROUND(C297*D297,0)</f>
        <v>0</v>
      </c>
      <c r="F297" s="47" t="n">
        <f aca="false">MIN(1,'Model Inputs &amp; Assumptions'!$W$28*EXP('Model Inputs &amp; Assumptions'!$X$28*R297-'Model Inputs &amp; Assumptions'!$X$28^2/2))</f>
        <v>0.00158101788102271</v>
      </c>
      <c r="G297" s="45" t="n">
        <f aca="false">ROUND(C297*F297,0)</f>
        <v>857</v>
      </c>
      <c r="H297" s="48" t="n">
        <f aca="false">MAX(0,(C297*'Model Inputs &amp; Assumptions'!$N$28+E297*'Model Inputs &amp; Assumptions'!$O$28+G297*'Model Inputs &amp; Assumptions'!$P$28)*EXP('Model Inputs &amp; Assumptions'!$Q$28*S297-'Model Inputs &amp; Assumptions'!$Q$28^2/2))</f>
        <v>24.1507255053755</v>
      </c>
      <c r="I297" s="49" t="n">
        <f aca="false">IF('Model Inputs &amp; Assumptions'!$H$28="Fixed",'Model Inputs &amp; Assumptions'!$I$28*'Model Inputs &amp; Assumptions'!$K$28,IF('Model Inputs &amp; Assumptions'!$H$28="CPM",'Model Inputs &amp; Assumptions'!$I$28*'Model Inputs &amp; Assumptions'!$K$28*C297/1000,IF('Model Inputs &amp; Assumptions'!$H$28="CPC",'Model Inputs &amp; Assumptions'!$I$28*'Model Inputs &amp; Assumptions'!$K$28*G297,0)))</f>
        <v>3522.519</v>
      </c>
      <c r="J297" s="50" t="n">
        <f aca="false">H297*INDEX('Model Inputs &amp; Assumptions'!$D$40:$D$42,MATCH('Model Inputs &amp; Assumptions'!$L$28,'Model Inputs &amp; Assumptions'!$A$40:$A$42,0))*INDEX('Model Inputs &amp; Assumptions'!$H$40:$H$42,MATCH('Model Inputs &amp; Assumptions'!$L$28,'Model Inputs &amp; Assumptions'!$A$40:$A$42,0))</f>
        <v>205281.166795692</v>
      </c>
      <c r="K297" s="49" t="n">
        <f aca="false">H297*INDEX('Model Inputs &amp; Assumptions'!$G$40:$G$42,MATCH('Model Inputs &amp; Assumptions'!$L$28,'Model Inputs &amp; Assumptions'!$A$40:$A$42,0))*INDEX('Model Inputs &amp; Assumptions'!$H$40:$H$42,MATCH('Model Inputs &amp; Assumptions'!$L$28,'Model Inputs &amp; Assumptions'!$A$40:$A$42,0))</f>
        <v>4618.82625290307</v>
      </c>
      <c r="L297" s="51" t="n">
        <f aca="false">IFERROR(K297/I297,0)</f>
        <v>1.31122820143854</v>
      </c>
      <c r="M297" s="49" t="n">
        <f aca="false">IFERROR(I297/H297,0)</f>
        <v>145.855618259416</v>
      </c>
      <c r="N297" s="52" t="str">
        <f aca="false">'Model Inputs &amp; Assumptions'!$L$28</f>
        <v>PRD-EUAI</v>
      </c>
      <c r="P297" s="53" t="n">
        <v>1.000568</v>
      </c>
      <c r="Q297" s="53" t="n">
        <v>0.604443</v>
      </c>
      <c r="R297" s="53" t="n">
        <v>0.349108</v>
      </c>
      <c r="S297" s="53" t="n">
        <v>-0.058552</v>
      </c>
    </row>
    <row r="298" customFormat="false" ht="15" hidden="false" customHeight="false" outlineLevel="0" collapsed="false">
      <c r="A298" s="43" t="n">
        <v>295</v>
      </c>
      <c r="B298" s="44" t="str">
        <f aca="false">'Model Inputs &amp; Assumptions'!$B$28</f>
        <v>finanzen.net — Q1 Awareness Burst</v>
      </c>
      <c r="C298" s="45" t="n">
        <f aca="false">ROUND(MAX(0,'Model Inputs &amp; Assumptions'!$S$28*EXP('Model Inputs &amp; Assumptions'!$T$28*P298-'Model Inputs &amp; Assumptions'!$T$28^2/2)),0)</f>
        <v>610983</v>
      </c>
      <c r="D298" s="46" t="n">
        <f aca="false">MIN(1,'Model Inputs &amp; Assumptions'!$U$28*EXP('Model Inputs &amp; Assumptions'!$V$28*Q298-'Model Inputs &amp; Assumptions'!$V$28^2/2))</f>
        <v>0</v>
      </c>
      <c r="E298" s="45" t="n">
        <f aca="false">ROUND(C298*D298,0)</f>
        <v>0</v>
      </c>
      <c r="F298" s="47" t="n">
        <f aca="false">MIN(1,'Model Inputs &amp; Assumptions'!$W$28*EXP('Model Inputs &amp; Assumptions'!$X$28*R298-'Model Inputs &amp; Assumptions'!$X$28^2/2))</f>
        <v>0.00120487059135378</v>
      </c>
      <c r="G298" s="45" t="n">
        <f aca="false">ROUND(C298*F298,0)</f>
        <v>736</v>
      </c>
      <c r="H298" s="48" t="n">
        <f aca="false">MAX(0,(C298*'Model Inputs &amp; Assumptions'!$N$28+E298*'Model Inputs &amp; Assumptions'!$O$28+G298*'Model Inputs &amp; Assumptions'!$P$28)*EXP('Model Inputs &amp; Assumptions'!$Q$28*S298-'Model Inputs &amp; Assumptions'!$Q$28^2/2))</f>
        <v>18.2804872668934</v>
      </c>
      <c r="I298" s="49" t="n">
        <f aca="false">IF('Model Inputs &amp; Assumptions'!$H$28="Fixed",'Model Inputs &amp; Assumptions'!$I$28*'Model Inputs &amp; Assumptions'!$K$28,IF('Model Inputs &amp; Assumptions'!$H$28="CPM",'Model Inputs &amp; Assumptions'!$I$28*'Model Inputs &amp; Assumptions'!$K$28*C298/1000,IF('Model Inputs &amp; Assumptions'!$H$28="CPC",'Model Inputs &amp; Assumptions'!$I$28*'Model Inputs &amp; Assumptions'!$K$28*G298,0)))</f>
        <v>3971.3895</v>
      </c>
      <c r="J298" s="50" t="n">
        <f aca="false">H298*INDEX('Model Inputs &amp; Assumptions'!$D$40:$D$42,MATCH('Model Inputs &amp; Assumptions'!$L$28,'Model Inputs &amp; Assumptions'!$A$40:$A$42,0))*INDEX('Model Inputs &amp; Assumptions'!$H$40:$H$42,MATCH('Model Inputs &amp; Assumptions'!$L$28,'Model Inputs &amp; Assumptions'!$A$40:$A$42,0))</f>
        <v>155384.141768594</v>
      </c>
      <c r="K298" s="49" t="n">
        <f aca="false">H298*INDEX('Model Inputs &amp; Assumptions'!$G$40:$G$42,MATCH('Model Inputs &amp; Assumptions'!$L$28,'Model Inputs &amp; Assumptions'!$A$40:$A$42,0))*INDEX('Model Inputs &amp; Assumptions'!$H$40:$H$42,MATCH('Model Inputs &amp; Assumptions'!$L$28,'Model Inputs &amp; Assumptions'!$A$40:$A$42,0))</f>
        <v>3496.14318979335</v>
      </c>
      <c r="L298" s="51" t="n">
        <f aca="false">IFERROR(K298/I298,0)</f>
        <v>0.880332485593104</v>
      </c>
      <c r="M298" s="49" t="n">
        <f aca="false">IFERROR(I298/H298,0)</f>
        <v>217.247464031899</v>
      </c>
      <c r="N298" s="52" t="str">
        <f aca="false">'Model Inputs &amp; Assumptions'!$L$28</f>
        <v>PRD-EUAI</v>
      </c>
      <c r="P298" s="53" t="n">
        <v>1.666907</v>
      </c>
      <c r="Q298" s="53" t="n">
        <v>0.407541</v>
      </c>
      <c r="R298" s="53" t="n">
        <v>-0.885877</v>
      </c>
      <c r="S298" s="53" t="n">
        <v>-0.47946</v>
      </c>
    </row>
    <row r="299" customFormat="false" ht="15" hidden="false" customHeight="false" outlineLevel="0" collapsed="false">
      <c r="A299" s="43" t="n">
        <v>296</v>
      </c>
      <c r="B299" s="44" t="str">
        <f aca="false">'Model Inputs &amp; Assumptions'!$B$28</f>
        <v>finanzen.net — Q1 Awareness Burst</v>
      </c>
      <c r="C299" s="45" t="n">
        <f aca="false">ROUND(MAX(0,'Model Inputs &amp; Assumptions'!$S$28*EXP('Model Inputs &amp; Assumptions'!$T$28*P299-'Model Inputs &amp; Assumptions'!$T$28^2/2)),0)</f>
        <v>455651</v>
      </c>
      <c r="D299" s="46" t="n">
        <f aca="false">MIN(1,'Model Inputs &amp; Assumptions'!$U$28*EXP('Model Inputs &amp; Assumptions'!$V$28*Q299-'Model Inputs &amp; Assumptions'!$V$28^2/2))</f>
        <v>0</v>
      </c>
      <c r="E299" s="45" t="n">
        <f aca="false">ROUND(C299*D299,0)</f>
        <v>0</v>
      </c>
      <c r="F299" s="47" t="n">
        <f aca="false">MIN(1,'Model Inputs &amp; Assumptions'!$W$28*EXP('Model Inputs &amp; Assumptions'!$X$28*R299-'Model Inputs &amp; Assumptions'!$X$28^2/2))</f>
        <v>0.00143045948108936</v>
      </c>
      <c r="G299" s="45" t="n">
        <f aca="false">ROUND(C299*F299,0)</f>
        <v>652</v>
      </c>
      <c r="H299" s="48" t="n">
        <f aca="false">MAX(0,(C299*'Model Inputs &amp; Assumptions'!$N$28+E299*'Model Inputs &amp; Assumptions'!$O$28+G299*'Model Inputs &amp; Assumptions'!$P$28)*EXP('Model Inputs &amp; Assumptions'!$Q$28*S299-'Model Inputs &amp; Assumptions'!$Q$28^2/2))</f>
        <v>8.29032991092342</v>
      </c>
      <c r="I299" s="49" t="n">
        <f aca="false">IF('Model Inputs &amp; Assumptions'!$H$28="Fixed",'Model Inputs &amp; Assumptions'!$I$28*'Model Inputs &amp; Assumptions'!$K$28,IF('Model Inputs &amp; Assumptions'!$H$28="CPM",'Model Inputs &amp; Assumptions'!$I$28*'Model Inputs &amp; Assumptions'!$K$28*C299/1000,IF('Model Inputs &amp; Assumptions'!$H$28="CPC",'Model Inputs &amp; Assumptions'!$I$28*'Model Inputs &amp; Assumptions'!$K$28*G299,0)))</f>
        <v>2961.7315</v>
      </c>
      <c r="J299" s="50" t="n">
        <f aca="false">H299*INDEX('Model Inputs &amp; Assumptions'!$D$40:$D$42,MATCH('Model Inputs &amp; Assumptions'!$L$28,'Model Inputs &amp; Assumptions'!$A$40:$A$42,0))*INDEX('Model Inputs &amp; Assumptions'!$H$40:$H$42,MATCH('Model Inputs &amp; Assumptions'!$L$28,'Model Inputs &amp; Assumptions'!$A$40:$A$42,0))</f>
        <v>70467.8042428491</v>
      </c>
      <c r="K299" s="49" t="n">
        <f aca="false">H299*INDEX('Model Inputs &amp; Assumptions'!$G$40:$G$42,MATCH('Model Inputs &amp; Assumptions'!$L$28,'Model Inputs &amp; Assumptions'!$A$40:$A$42,0))*INDEX('Model Inputs &amp; Assumptions'!$H$40:$H$42,MATCH('Model Inputs &amp; Assumptions'!$L$28,'Model Inputs &amp; Assumptions'!$A$40:$A$42,0))</f>
        <v>1585.5255954641</v>
      </c>
      <c r="L299" s="51" t="n">
        <f aca="false">IFERROR(K299/I299,0)</f>
        <v>0.535337384723802</v>
      </c>
      <c r="M299" s="49" t="n">
        <f aca="false">IFERROR(I299/H299,0)</f>
        <v>357.251343652512</v>
      </c>
      <c r="N299" s="52" t="str">
        <f aca="false">'Model Inputs &amp; Assumptions'!$L$28</f>
        <v>PRD-EUAI</v>
      </c>
      <c r="P299" s="53" t="n">
        <v>0.037227</v>
      </c>
      <c r="Q299" s="53" t="n">
        <v>1.852893</v>
      </c>
      <c r="R299" s="53" t="n">
        <v>-0.10577</v>
      </c>
      <c r="S299" s="53" t="n">
        <v>-2.711323</v>
      </c>
    </row>
    <row r="300" customFormat="false" ht="15" hidden="false" customHeight="false" outlineLevel="0" collapsed="false">
      <c r="A300" s="43" t="n">
        <v>297</v>
      </c>
      <c r="B300" s="44" t="str">
        <f aca="false">'Model Inputs &amp; Assumptions'!$B$28</f>
        <v>finanzen.net — Q1 Awareness Burst</v>
      </c>
      <c r="C300" s="45" t="n">
        <f aca="false">ROUND(MAX(0,'Model Inputs &amp; Assumptions'!$S$28*EXP('Model Inputs &amp; Assumptions'!$T$28*P300-'Model Inputs &amp; Assumptions'!$T$28^2/2)),0)</f>
        <v>518036</v>
      </c>
      <c r="D300" s="46" t="n">
        <f aca="false">MIN(1,'Model Inputs &amp; Assumptions'!$U$28*EXP('Model Inputs &amp; Assumptions'!$V$28*Q300-'Model Inputs &amp; Assumptions'!$V$28^2/2))</f>
        <v>0</v>
      </c>
      <c r="E300" s="45" t="n">
        <f aca="false">ROUND(C300*D300,0)</f>
        <v>0</v>
      </c>
      <c r="F300" s="47" t="n">
        <f aca="false">MIN(1,'Model Inputs &amp; Assumptions'!$W$28*EXP('Model Inputs &amp; Assumptions'!$X$28*R300-'Model Inputs &amp; Assumptions'!$X$28^2/2))</f>
        <v>0.00148719716046657</v>
      </c>
      <c r="G300" s="45" t="n">
        <f aca="false">ROUND(C300*F300,0)</f>
        <v>770</v>
      </c>
      <c r="H300" s="48" t="n">
        <f aca="false">MAX(0,(C300*'Model Inputs &amp; Assumptions'!$N$28+E300*'Model Inputs &amp; Assumptions'!$O$28+G300*'Model Inputs &amp; Assumptions'!$P$28)*EXP('Model Inputs &amp; Assumptions'!$Q$28*S300-'Model Inputs &amp; Assumptions'!$Q$28^2/2))</f>
        <v>22.9764302218605</v>
      </c>
      <c r="I300" s="49" t="n">
        <f aca="false">IF('Model Inputs &amp; Assumptions'!$H$28="Fixed",'Model Inputs &amp; Assumptions'!$I$28*'Model Inputs &amp; Assumptions'!$K$28,IF('Model Inputs &amp; Assumptions'!$H$28="CPM",'Model Inputs &amp; Assumptions'!$I$28*'Model Inputs &amp; Assumptions'!$K$28*C300/1000,IF('Model Inputs &amp; Assumptions'!$H$28="CPC",'Model Inputs &amp; Assumptions'!$I$28*'Model Inputs &amp; Assumptions'!$K$28*G300,0)))</f>
        <v>3367.234</v>
      </c>
      <c r="J300" s="50" t="n">
        <f aca="false">H300*INDEX('Model Inputs &amp; Assumptions'!$D$40:$D$42,MATCH('Model Inputs &amp; Assumptions'!$L$28,'Model Inputs &amp; Assumptions'!$A$40:$A$42,0))*INDEX('Model Inputs &amp; Assumptions'!$H$40:$H$42,MATCH('Model Inputs &amp; Assumptions'!$L$28,'Model Inputs &amp; Assumptions'!$A$40:$A$42,0))</f>
        <v>195299.656885814</v>
      </c>
      <c r="K300" s="49" t="n">
        <f aca="false">H300*INDEX('Model Inputs &amp; Assumptions'!$G$40:$G$42,MATCH('Model Inputs &amp; Assumptions'!$L$28,'Model Inputs &amp; Assumptions'!$A$40:$A$42,0))*INDEX('Model Inputs &amp; Assumptions'!$H$40:$H$42,MATCH('Model Inputs &amp; Assumptions'!$L$28,'Model Inputs &amp; Assumptions'!$A$40:$A$42,0))</f>
        <v>4394.24227993081</v>
      </c>
      <c r="L300" s="51" t="n">
        <f aca="false">IFERROR(K300/I300,0)</f>
        <v>1.3050005672106</v>
      </c>
      <c r="M300" s="49" t="n">
        <f aca="false">IFERROR(I300/H300,0)</f>
        <v>146.551660440111</v>
      </c>
      <c r="N300" s="52" t="str">
        <f aca="false">'Model Inputs &amp; Assumptions'!$L$28</f>
        <v>PRD-EUAI</v>
      </c>
      <c r="P300" s="53" t="n">
        <v>0.750103</v>
      </c>
      <c r="Q300" s="53" t="n">
        <v>0.461863</v>
      </c>
      <c r="R300" s="53" t="n">
        <v>0.071037</v>
      </c>
      <c r="S300" s="53" t="n">
        <v>0.132121</v>
      </c>
    </row>
    <row r="301" customFormat="false" ht="15" hidden="false" customHeight="false" outlineLevel="0" collapsed="false">
      <c r="A301" s="43" t="n">
        <v>298</v>
      </c>
      <c r="B301" s="44" t="str">
        <f aca="false">'Model Inputs &amp; Assumptions'!$B$28</f>
        <v>finanzen.net — Q1 Awareness Burst</v>
      </c>
      <c r="C301" s="45" t="n">
        <f aca="false">ROUND(MAX(0,'Model Inputs &amp; Assumptions'!$S$28*EXP('Model Inputs &amp; Assumptions'!$T$28*P301-'Model Inputs &amp; Assumptions'!$T$28^2/2)),0)</f>
        <v>323990</v>
      </c>
      <c r="D301" s="46" t="n">
        <f aca="false">MIN(1,'Model Inputs &amp; Assumptions'!$U$28*EXP('Model Inputs &amp; Assumptions'!$V$28*Q301-'Model Inputs &amp; Assumptions'!$V$28^2/2))</f>
        <v>0</v>
      </c>
      <c r="E301" s="45" t="n">
        <f aca="false">ROUND(C301*D301,0)</f>
        <v>0</v>
      </c>
      <c r="F301" s="47" t="n">
        <f aca="false">MIN(1,'Model Inputs &amp; Assumptions'!$W$28*EXP('Model Inputs &amp; Assumptions'!$X$28*R301-'Model Inputs &amp; Assumptions'!$X$28^2/2))</f>
        <v>0.00174463559908528</v>
      </c>
      <c r="G301" s="45" t="n">
        <f aca="false">ROUND(C301*F301,0)</f>
        <v>565</v>
      </c>
      <c r="H301" s="48" t="n">
        <f aca="false">MAX(0,(C301*'Model Inputs &amp; Assumptions'!$N$28+E301*'Model Inputs &amp; Assumptions'!$O$28+G301*'Model Inputs &amp; Assumptions'!$P$28)*EXP('Model Inputs &amp; Assumptions'!$Q$28*S301-'Model Inputs &amp; Assumptions'!$Q$28^2/2))</f>
        <v>22.5245209058247</v>
      </c>
      <c r="I301" s="49" t="n">
        <f aca="false">IF('Model Inputs &amp; Assumptions'!$H$28="Fixed",'Model Inputs &amp; Assumptions'!$I$28*'Model Inputs &amp; Assumptions'!$K$28,IF('Model Inputs &amp; Assumptions'!$H$28="CPM",'Model Inputs &amp; Assumptions'!$I$28*'Model Inputs &amp; Assumptions'!$K$28*C301/1000,IF('Model Inputs &amp; Assumptions'!$H$28="CPC",'Model Inputs &amp; Assumptions'!$I$28*'Model Inputs &amp; Assumptions'!$K$28*G301,0)))</f>
        <v>2105.935</v>
      </c>
      <c r="J301" s="50" t="n">
        <f aca="false">H301*INDEX('Model Inputs &amp; Assumptions'!$D$40:$D$42,MATCH('Model Inputs &amp; Assumptions'!$L$28,'Model Inputs &amp; Assumptions'!$A$40:$A$42,0))*INDEX('Model Inputs &amp; Assumptions'!$H$40:$H$42,MATCH('Model Inputs &amp; Assumptions'!$L$28,'Model Inputs &amp; Assumptions'!$A$40:$A$42,0))</f>
        <v>191458.42769951</v>
      </c>
      <c r="K301" s="49" t="n">
        <f aca="false">H301*INDEX('Model Inputs &amp; Assumptions'!$G$40:$G$42,MATCH('Model Inputs &amp; Assumptions'!$L$28,'Model Inputs &amp; Assumptions'!$A$40:$A$42,0))*INDEX('Model Inputs &amp; Assumptions'!$H$40:$H$42,MATCH('Model Inputs &amp; Assumptions'!$L$28,'Model Inputs &amp; Assumptions'!$A$40:$A$42,0))</f>
        <v>4307.81462323897</v>
      </c>
      <c r="L301" s="51" t="n">
        <f aca="false">IFERROR(K301/I301,0)</f>
        <v>2.04555915697254</v>
      </c>
      <c r="M301" s="49" t="n">
        <f aca="false">IFERROR(I301/H301,0)</f>
        <v>93.4952183358279</v>
      </c>
      <c r="N301" s="52" t="str">
        <f aca="false">'Model Inputs &amp; Assumptions'!$L$28</f>
        <v>PRD-EUAI</v>
      </c>
      <c r="P301" s="53" t="n">
        <v>-1.857301</v>
      </c>
      <c r="Q301" s="53" t="n">
        <v>2.661364</v>
      </c>
      <c r="R301" s="53" t="n">
        <v>0.79673</v>
      </c>
      <c r="S301" s="53" t="n">
        <v>1.097789</v>
      </c>
    </row>
    <row r="302" customFormat="false" ht="15" hidden="false" customHeight="false" outlineLevel="0" collapsed="false">
      <c r="A302" s="43" t="n">
        <v>299</v>
      </c>
      <c r="B302" s="44" t="str">
        <f aca="false">'Model Inputs &amp; Assumptions'!$B$28</f>
        <v>finanzen.net — Q1 Awareness Burst</v>
      </c>
      <c r="C302" s="45" t="n">
        <f aca="false">ROUND(MAX(0,'Model Inputs &amp; Assumptions'!$S$28*EXP('Model Inputs &amp; Assumptions'!$T$28*P302-'Model Inputs &amp; Assumptions'!$T$28^2/2)),0)</f>
        <v>569179</v>
      </c>
      <c r="D302" s="46" t="n">
        <f aca="false">MIN(1,'Model Inputs &amp; Assumptions'!$U$28*EXP('Model Inputs &amp; Assumptions'!$V$28*Q302-'Model Inputs &amp; Assumptions'!$V$28^2/2))</f>
        <v>0</v>
      </c>
      <c r="E302" s="45" t="n">
        <f aca="false">ROUND(C302*D302,0)</f>
        <v>0</v>
      </c>
      <c r="F302" s="47" t="n">
        <f aca="false">MIN(1,'Model Inputs &amp; Assumptions'!$W$28*EXP('Model Inputs &amp; Assumptions'!$X$28*R302-'Model Inputs &amp; Assumptions'!$X$28^2/2))</f>
        <v>0.00178790722551303</v>
      </c>
      <c r="G302" s="45" t="n">
        <f aca="false">ROUND(C302*F302,0)</f>
        <v>1018</v>
      </c>
      <c r="H302" s="48" t="n">
        <f aca="false">MAX(0,(C302*'Model Inputs &amp; Assumptions'!$N$28+E302*'Model Inputs &amp; Assumptions'!$O$28+G302*'Model Inputs &amp; Assumptions'!$P$28)*EXP('Model Inputs &amp; Assumptions'!$Q$28*S302-'Model Inputs &amp; Assumptions'!$Q$28^2/2))</f>
        <v>11.7957830598415</v>
      </c>
      <c r="I302" s="49" t="n">
        <f aca="false">IF('Model Inputs &amp; Assumptions'!$H$28="Fixed",'Model Inputs &amp; Assumptions'!$I$28*'Model Inputs &amp; Assumptions'!$K$28,IF('Model Inputs &amp; Assumptions'!$H$28="CPM",'Model Inputs &amp; Assumptions'!$I$28*'Model Inputs &amp; Assumptions'!$K$28*C302/1000,IF('Model Inputs &amp; Assumptions'!$H$28="CPC",'Model Inputs &amp; Assumptions'!$I$28*'Model Inputs &amp; Assumptions'!$K$28*G302,0)))</f>
        <v>3699.6635</v>
      </c>
      <c r="J302" s="50" t="n">
        <f aca="false">H302*INDEX('Model Inputs &amp; Assumptions'!$D$40:$D$42,MATCH('Model Inputs &amp; Assumptions'!$L$28,'Model Inputs &amp; Assumptions'!$A$40:$A$42,0))*INDEX('Model Inputs &amp; Assumptions'!$H$40:$H$42,MATCH('Model Inputs &amp; Assumptions'!$L$28,'Model Inputs &amp; Assumptions'!$A$40:$A$42,0))</f>
        <v>100264.156008653</v>
      </c>
      <c r="K302" s="49" t="n">
        <f aca="false">H302*INDEX('Model Inputs &amp; Assumptions'!$G$40:$G$42,MATCH('Model Inputs &amp; Assumptions'!$L$28,'Model Inputs &amp; Assumptions'!$A$40:$A$42,0))*INDEX('Model Inputs &amp; Assumptions'!$H$40:$H$42,MATCH('Model Inputs &amp; Assumptions'!$L$28,'Model Inputs &amp; Assumptions'!$A$40:$A$42,0))</f>
        <v>2255.94351019469</v>
      </c>
      <c r="L302" s="51" t="n">
        <f aca="false">IFERROR(K302/I302,0)</f>
        <v>0.609769918316813</v>
      </c>
      <c r="M302" s="49" t="n">
        <f aca="false">IFERROR(I302/H302,0)</f>
        <v>313.642890957822</v>
      </c>
      <c r="N302" s="52" t="str">
        <f aca="false">'Model Inputs &amp; Assumptions'!$L$28</f>
        <v>PRD-EUAI</v>
      </c>
      <c r="P302" s="53" t="n">
        <v>1.273157</v>
      </c>
      <c r="Q302" s="53" t="n">
        <v>1.142382</v>
      </c>
      <c r="R302" s="53" t="n">
        <v>0.908094</v>
      </c>
      <c r="S302" s="53" t="n">
        <v>-3.020984</v>
      </c>
    </row>
    <row r="303" customFormat="false" ht="15" hidden="false" customHeight="false" outlineLevel="0" collapsed="false">
      <c r="A303" s="43" t="n">
        <v>300</v>
      </c>
      <c r="B303" s="44" t="str">
        <f aca="false">'Model Inputs &amp; Assumptions'!$B$28</f>
        <v>finanzen.net — Q1 Awareness Burst</v>
      </c>
      <c r="C303" s="45" t="n">
        <f aca="false">ROUND(MAX(0,'Model Inputs &amp; Assumptions'!$S$28*EXP('Model Inputs &amp; Assumptions'!$T$28*P303-'Model Inputs &amp; Assumptions'!$T$28^2/2)),0)</f>
        <v>430383</v>
      </c>
      <c r="D303" s="46" t="n">
        <f aca="false">MIN(1,'Model Inputs &amp; Assumptions'!$U$28*EXP('Model Inputs &amp; Assumptions'!$V$28*Q303-'Model Inputs &amp; Assumptions'!$V$28^2/2))</f>
        <v>0</v>
      </c>
      <c r="E303" s="45" t="n">
        <f aca="false">ROUND(C303*D303,0)</f>
        <v>0</v>
      </c>
      <c r="F303" s="47" t="n">
        <f aca="false">MIN(1,'Model Inputs &amp; Assumptions'!$W$28*EXP('Model Inputs &amp; Assumptions'!$X$28*R303-'Model Inputs &amp; Assumptions'!$X$28^2/2))</f>
        <v>0.00135670486730435</v>
      </c>
      <c r="G303" s="45" t="n">
        <f aca="false">ROUND(C303*F303,0)</f>
        <v>584</v>
      </c>
      <c r="H303" s="48" t="n">
        <f aca="false">MAX(0,(C303*'Model Inputs &amp; Assumptions'!$N$28+E303*'Model Inputs &amp; Assumptions'!$O$28+G303*'Model Inputs &amp; Assumptions'!$P$28)*EXP('Model Inputs &amp; Assumptions'!$Q$28*S303-'Model Inputs &amp; Assumptions'!$Q$28^2/2))</f>
        <v>17.4065345663274</v>
      </c>
      <c r="I303" s="49" t="n">
        <f aca="false">IF('Model Inputs &amp; Assumptions'!$H$28="Fixed",'Model Inputs &amp; Assumptions'!$I$28*'Model Inputs &amp; Assumptions'!$K$28,IF('Model Inputs &amp; Assumptions'!$H$28="CPM",'Model Inputs &amp; Assumptions'!$I$28*'Model Inputs &amp; Assumptions'!$K$28*C303/1000,IF('Model Inputs &amp; Assumptions'!$H$28="CPC",'Model Inputs &amp; Assumptions'!$I$28*'Model Inputs &amp; Assumptions'!$K$28*G303,0)))</f>
        <v>2797.4895</v>
      </c>
      <c r="J303" s="50" t="n">
        <f aca="false">H303*INDEX('Model Inputs &amp; Assumptions'!$D$40:$D$42,MATCH('Model Inputs &amp; Assumptions'!$L$28,'Model Inputs &amp; Assumptions'!$A$40:$A$42,0))*INDEX('Model Inputs &amp; Assumptions'!$H$40:$H$42,MATCH('Model Inputs &amp; Assumptions'!$L$28,'Model Inputs &amp; Assumptions'!$A$40:$A$42,0))</f>
        <v>147955.543813783</v>
      </c>
      <c r="K303" s="49" t="n">
        <f aca="false">H303*INDEX('Model Inputs &amp; Assumptions'!$G$40:$G$42,MATCH('Model Inputs &amp; Assumptions'!$L$28,'Model Inputs &amp; Assumptions'!$A$40:$A$42,0))*INDEX('Model Inputs &amp; Assumptions'!$H$40:$H$42,MATCH('Model Inputs &amp; Assumptions'!$L$28,'Model Inputs &amp; Assumptions'!$A$40:$A$42,0))</f>
        <v>3328.99973581012</v>
      </c>
      <c r="L303" s="51" t="n">
        <f aca="false">IFERROR(K303/I303,0)</f>
        <v>1.18999543548247</v>
      </c>
      <c r="M303" s="49" t="n">
        <f aca="false">IFERROR(I303/H303,0)</f>
        <v>160.7149021731</v>
      </c>
      <c r="N303" s="52" t="str">
        <f aca="false">'Model Inputs &amp; Assumptions'!$L$28</f>
        <v>PRD-EUAI</v>
      </c>
      <c r="P303" s="53" t="n">
        <v>-0.279726</v>
      </c>
      <c r="Q303" s="53" t="n">
        <v>-0.619425</v>
      </c>
      <c r="R303" s="53" t="n">
        <v>-0.346392</v>
      </c>
      <c r="S303" s="53" t="n">
        <v>0.128342</v>
      </c>
    </row>
    <row r="304" customFormat="false" ht="15" hidden="false" customHeight="false" outlineLevel="0" collapsed="false">
      <c r="A304" s="43" t="n">
        <v>301</v>
      </c>
      <c r="B304" s="44" t="str">
        <f aca="false">'Model Inputs &amp; Assumptions'!$B$28</f>
        <v>finanzen.net — Q1 Awareness Burst</v>
      </c>
      <c r="C304" s="45" t="n">
        <f aca="false">ROUND(MAX(0,'Model Inputs &amp; Assumptions'!$S$28*EXP('Model Inputs &amp; Assumptions'!$T$28*P304-'Model Inputs &amp; Assumptions'!$T$28^2/2)),0)</f>
        <v>406642</v>
      </c>
      <c r="D304" s="46" t="n">
        <f aca="false">MIN(1,'Model Inputs &amp; Assumptions'!$U$28*EXP('Model Inputs &amp; Assumptions'!$V$28*Q304-'Model Inputs &amp; Assumptions'!$V$28^2/2))</f>
        <v>0</v>
      </c>
      <c r="E304" s="45" t="n">
        <f aca="false">ROUND(C304*D304,0)</f>
        <v>0</v>
      </c>
      <c r="F304" s="47" t="n">
        <f aca="false">MIN(1,'Model Inputs &amp; Assumptions'!$W$28*EXP('Model Inputs &amp; Assumptions'!$X$28*R304-'Model Inputs &amp; Assumptions'!$X$28^2/2))</f>
        <v>0.00073916526341528</v>
      </c>
      <c r="G304" s="45" t="n">
        <f aca="false">ROUND(C304*F304,0)</f>
        <v>301</v>
      </c>
      <c r="H304" s="48" t="n">
        <f aca="false">MAX(0,(C304*'Model Inputs &amp; Assumptions'!$N$28+E304*'Model Inputs &amp; Assumptions'!$O$28+G304*'Model Inputs &amp; Assumptions'!$P$28)*EXP('Model Inputs &amp; Assumptions'!$Q$28*S304-'Model Inputs &amp; Assumptions'!$Q$28^2/2))</f>
        <v>11.3992546014946</v>
      </c>
      <c r="I304" s="49" t="n">
        <f aca="false">IF('Model Inputs &amp; Assumptions'!$H$28="Fixed",'Model Inputs &amp; Assumptions'!$I$28*'Model Inputs &amp; Assumptions'!$K$28,IF('Model Inputs &amp; Assumptions'!$H$28="CPM",'Model Inputs &amp; Assumptions'!$I$28*'Model Inputs &amp; Assumptions'!$K$28*C304/1000,IF('Model Inputs &amp; Assumptions'!$H$28="CPC",'Model Inputs &amp; Assumptions'!$I$28*'Model Inputs &amp; Assumptions'!$K$28*G304,0)))</f>
        <v>2643.173</v>
      </c>
      <c r="J304" s="50" t="n">
        <f aca="false">H304*INDEX('Model Inputs &amp; Assumptions'!$D$40:$D$42,MATCH('Model Inputs &amp; Assumptions'!$L$28,'Model Inputs &amp; Assumptions'!$A$40:$A$42,0))*INDEX('Model Inputs &amp; Assumptions'!$H$40:$H$42,MATCH('Model Inputs &amp; Assumptions'!$L$28,'Model Inputs &amp; Assumptions'!$A$40:$A$42,0))</f>
        <v>96893.6641127039</v>
      </c>
      <c r="K304" s="49" t="n">
        <f aca="false">H304*INDEX('Model Inputs &amp; Assumptions'!$G$40:$G$42,MATCH('Model Inputs &amp; Assumptions'!$L$28,'Model Inputs &amp; Assumptions'!$A$40:$A$42,0))*INDEX('Model Inputs &amp; Assumptions'!$H$40:$H$42,MATCH('Model Inputs &amp; Assumptions'!$L$28,'Model Inputs &amp; Assumptions'!$A$40:$A$42,0))</f>
        <v>2180.10744253584</v>
      </c>
      <c r="L304" s="51" t="n">
        <f aca="false">IFERROR(K304/I304,0)</f>
        <v>0.82480694322159</v>
      </c>
      <c r="M304" s="49" t="n">
        <f aca="false">IFERROR(I304/H304,0)</f>
        <v>231.872441874704</v>
      </c>
      <c r="N304" s="52" t="str">
        <f aca="false">'Model Inputs &amp; Assumptions'!$L$28</f>
        <v>PRD-EUAI</v>
      </c>
      <c r="P304" s="53" t="n">
        <v>-0.594969</v>
      </c>
      <c r="Q304" s="53" t="n">
        <v>0.082764</v>
      </c>
      <c r="R304" s="53" t="n">
        <v>-3.106813</v>
      </c>
      <c r="S304" s="53" t="n">
        <v>0.926652</v>
      </c>
    </row>
    <row r="305" customFormat="false" ht="15" hidden="false" customHeight="false" outlineLevel="0" collapsed="false">
      <c r="A305" s="43" t="n">
        <v>302</v>
      </c>
      <c r="B305" s="44" t="str">
        <f aca="false">'Model Inputs &amp; Assumptions'!$B$28</f>
        <v>finanzen.net — Q1 Awareness Burst</v>
      </c>
      <c r="C305" s="45" t="n">
        <f aca="false">ROUND(MAX(0,'Model Inputs &amp; Assumptions'!$S$28*EXP('Model Inputs &amp; Assumptions'!$T$28*P305-'Model Inputs &amp; Assumptions'!$T$28^2/2)),0)</f>
        <v>452033</v>
      </c>
      <c r="D305" s="46" t="n">
        <f aca="false">MIN(1,'Model Inputs &amp; Assumptions'!$U$28*EXP('Model Inputs &amp; Assumptions'!$V$28*Q305-'Model Inputs &amp; Assumptions'!$V$28^2/2))</f>
        <v>0</v>
      </c>
      <c r="E305" s="45" t="n">
        <f aca="false">ROUND(C305*D305,0)</f>
        <v>0</v>
      </c>
      <c r="F305" s="47" t="n">
        <f aca="false">MIN(1,'Model Inputs &amp; Assumptions'!$W$28*EXP('Model Inputs &amp; Assumptions'!$X$28*R305-'Model Inputs &amp; Assumptions'!$X$28^2/2))</f>
        <v>0.00170195138809701</v>
      </c>
      <c r="G305" s="45" t="n">
        <f aca="false">ROUND(C305*F305,0)</f>
        <v>769</v>
      </c>
      <c r="H305" s="48" t="n">
        <f aca="false">MAX(0,(C305*'Model Inputs &amp; Assumptions'!$N$28+E305*'Model Inputs &amp; Assumptions'!$O$28+G305*'Model Inputs &amp; Assumptions'!$P$28)*EXP('Model Inputs &amp; Assumptions'!$Q$28*S305-'Model Inputs &amp; Assumptions'!$Q$28^2/2))</f>
        <v>19.7266038152733</v>
      </c>
      <c r="I305" s="49" t="n">
        <f aca="false">IF('Model Inputs &amp; Assumptions'!$H$28="Fixed",'Model Inputs &amp; Assumptions'!$I$28*'Model Inputs &amp; Assumptions'!$K$28,IF('Model Inputs &amp; Assumptions'!$H$28="CPM",'Model Inputs &amp; Assumptions'!$I$28*'Model Inputs &amp; Assumptions'!$K$28*C305/1000,IF('Model Inputs &amp; Assumptions'!$H$28="CPC",'Model Inputs &amp; Assumptions'!$I$28*'Model Inputs &amp; Assumptions'!$K$28*G305,0)))</f>
        <v>2938.2145</v>
      </c>
      <c r="J305" s="50" t="n">
        <f aca="false">H305*INDEX('Model Inputs &amp; Assumptions'!$D$40:$D$42,MATCH('Model Inputs &amp; Assumptions'!$L$28,'Model Inputs &amp; Assumptions'!$A$40:$A$42,0))*INDEX('Model Inputs &amp; Assumptions'!$H$40:$H$42,MATCH('Model Inputs &amp; Assumptions'!$L$28,'Model Inputs &amp; Assumptions'!$A$40:$A$42,0))</f>
        <v>167676.132429823</v>
      </c>
      <c r="K305" s="49" t="n">
        <f aca="false">H305*INDEX('Model Inputs &amp; Assumptions'!$G$40:$G$42,MATCH('Model Inputs &amp; Assumptions'!$L$28,'Model Inputs &amp; Assumptions'!$A$40:$A$42,0))*INDEX('Model Inputs &amp; Assumptions'!$H$40:$H$42,MATCH('Model Inputs &amp; Assumptions'!$L$28,'Model Inputs &amp; Assumptions'!$A$40:$A$42,0))</f>
        <v>3772.71297967102</v>
      </c>
      <c r="L305" s="51" t="n">
        <f aca="false">IFERROR(K305/I305,0)</f>
        <v>1.28401550658436</v>
      </c>
      <c r="M305" s="49" t="n">
        <f aca="false">IFERROR(I305/H305,0)</f>
        <v>148.946799333248</v>
      </c>
      <c r="N305" s="52" t="str">
        <f aca="false">'Model Inputs &amp; Assumptions'!$L$28</f>
        <v>PRD-EUAI</v>
      </c>
      <c r="P305" s="53" t="n">
        <v>-0.007057</v>
      </c>
      <c r="Q305" s="53" t="n">
        <v>-0.237682</v>
      </c>
      <c r="R305" s="53" t="n">
        <v>0.684138</v>
      </c>
      <c r="S305" s="53" t="n">
        <v>-0.371883</v>
      </c>
    </row>
    <row r="306" customFormat="false" ht="15" hidden="false" customHeight="false" outlineLevel="0" collapsed="false">
      <c r="A306" s="43" t="n">
        <v>303</v>
      </c>
      <c r="B306" s="44" t="str">
        <f aca="false">'Model Inputs &amp; Assumptions'!$B$28</f>
        <v>finanzen.net — Q1 Awareness Burst</v>
      </c>
      <c r="C306" s="45" t="n">
        <f aca="false">ROUND(MAX(0,'Model Inputs &amp; Assumptions'!$S$28*EXP('Model Inputs &amp; Assumptions'!$T$28*P306-'Model Inputs &amp; Assumptions'!$T$28^2/2)),0)</f>
        <v>306432</v>
      </c>
      <c r="D306" s="46" t="n">
        <f aca="false">MIN(1,'Model Inputs &amp; Assumptions'!$U$28*EXP('Model Inputs &amp; Assumptions'!$V$28*Q306-'Model Inputs &amp; Assumptions'!$V$28^2/2))</f>
        <v>0</v>
      </c>
      <c r="E306" s="45" t="n">
        <f aca="false">ROUND(C306*D306,0)</f>
        <v>0</v>
      </c>
      <c r="F306" s="47" t="n">
        <f aca="false">MIN(1,'Model Inputs &amp; Assumptions'!$W$28*EXP('Model Inputs &amp; Assumptions'!$X$28*R306-'Model Inputs &amp; Assumptions'!$X$28^2/2))</f>
        <v>0.00139870975499448</v>
      </c>
      <c r="G306" s="45" t="n">
        <f aca="false">ROUND(C306*F306,0)</f>
        <v>429</v>
      </c>
      <c r="H306" s="48" t="n">
        <f aca="false">MAX(0,(C306*'Model Inputs &amp; Assumptions'!$N$28+E306*'Model Inputs &amp; Assumptions'!$O$28+G306*'Model Inputs &amp; Assumptions'!$P$28)*EXP('Model Inputs &amp; Assumptions'!$Q$28*S306-'Model Inputs &amp; Assumptions'!$Q$28^2/2))</f>
        <v>8.55514128069405</v>
      </c>
      <c r="I306" s="49" t="n">
        <f aca="false">IF('Model Inputs &amp; Assumptions'!$H$28="Fixed",'Model Inputs &amp; Assumptions'!$I$28*'Model Inputs &amp; Assumptions'!$K$28,IF('Model Inputs &amp; Assumptions'!$H$28="CPM",'Model Inputs &amp; Assumptions'!$I$28*'Model Inputs &amp; Assumptions'!$K$28*C306/1000,IF('Model Inputs &amp; Assumptions'!$H$28="CPC",'Model Inputs &amp; Assumptions'!$I$28*'Model Inputs &amp; Assumptions'!$K$28*G306,0)))</f>
        <v>1991.808</v>
      </c>
      <c r="J306" s="50" t="n">
        <f aca="false">H306*INDEX('Model Inputs &amp; Assumptions'!$D$40:$D$42,MATCH('Model Inputs &amp; Assumptions'!$L$28,'Model Inputs &amp; Assumptions'!$A$40:$A$42,0))*INDEX('Model Inputs &amp; Assumptions'!$H$40:$H$42,MATCH('Model Inputs &amp; Assumptions'!$L$28,'Model Inputs &amp; Assumptions'!$A$40:$A$42,0))</f>
        <v>72718.7008858994</v>
      </c>
      <c r="K306" s="49" t="n">
        <f aca="false">H306*INDEX('Model Inputs &amp; Assumptions'!$G$40:$G$42,MATCH('Model Inputs &amp; Assumptions'!$L$28,'Model Inputs &amp; Assumptions'!$A$40:$A$42,0))*INDEX('Model Inputs &amp; Assumptions'!$H$40:$H$42,MATCH('Model Inputs &amp; Assumptions'!$L$28,'Model Inputs &amp; Assumptions'!$A$40:$A$42,0))</f>
        <v>1636.17076993274</v>
      </c>
      <c r="L306" s="51" t="n">
        <f aca="false">IFERROR(K306/I306,0)</f>
        <v>0.821450044348018</v>
      </c>
      <c r="M306" s="49" t="n">
        <f aca="false">IFERROR(I306/H306,0)</f>
        <v>232.820000821589</v>
      </c>
      <c r="N306" s="52" t="str">
        <f aca="false">'Model Inputs &amp; Assumptions'!$L$28</f>
        <v>PRD-EUAI</v>
      </c>
      <c r="P306" s="53" t="n">
        <v>-2.166839</v>
      </c>
      <c r="Q306" s="53" t="n">
        <v>-0.151172</v>
      </c>
      <c r="R306" s="53" t="n">
        <v>-0.207795</v>
      </c>
      <c r="S306" s="53" t="n">
        <v>-1.211222</v>
      </c>
    </row>
    <row r="307" customFormat="false" ht="15" hidden="false" customHeight="false" outlineLevel="0" collapsed="false">
      <c r="A307" s="43" t="n">
        <v>304</v>
      </c>
      <c r="B307" s="44" t="str">
        <f aca="false">'Model Inputs &amp; Assumptions'!$B$28</f>
        <v>finanzen.net — Q1 Awareness Burst</v>
      </c>
      <c r="C307" s="45" t="n">
        <f aca="false">ROUND(MAX(0,'Model Inputs &amp; Assumptions'!$S$28*EXP('Model Inputs &amp; Assumptions'!$T$28*P307-'Model Inputs &amp; Assumptions'!$T$28^2/2)),0)</f>
        <v>379298</v>
      </c>
      <c r="D307" s="46" t="n">
        <f aca="false">MIN(1,'Model Inputs &amp; Assumptions'!$U$28*EXP('Model Inputs &amp; Assumptions'!$V$28*Q307-'Model Inputs &amp; Assumptions'!$V$28^2/2))</f>
        <v>0</v>
      </c>
      <c r="E307" s="45" t="n">
        <f aca="false">ROUND(C307*D307,0)</f>
        <v>0</v>
      </c>
      <c r="F307" s="47" t="n">
        <f aca="false">MIN(1,'Model Inputs &amp; Assumptions'!$W$28*EXP('Model Inputs &amp; Assumptions'!$X$28*R307-'Model Inputs &amp; Assumptions'!$X$28^2/2))</f>
        <v>0.00142379332868758</v>
      </c>
      <c r="G307" s="45" t="n">
        <f aca="false">ROUND(C307*F307,0)</f>
        <v>540</v>
      </c>
      <c r="H307" s="48" t="n">
        <f aca="false">MAX(0,(C307*'Model Inputs &amp; Assumptions'!$N$28+E307*'Model Inputs &amp; Assumptions'!$O$28+G307*'Model Inputs &amp; Assumptions'!$P$28)*EXP('Model Inputs &amp; Assumptions'!$Q$28*S307-'Model Inputs &amp; Assumptions'!$Q$28^2/2))</f>
        <v>20.1863865135542</v>
      </c>
      <c r="I307" s="49" t="n">
        <f aca="false">IF('Model Inputs &amp; Assumptions'!$H$28="Fixed",'Model Inputs &amp; Assumptions'!$I$28*'Model Inputs &amp; Assumptions'!$K$28,IF('Model Inputs &amp; Assumptions'!$H$28="CPM",'Model Inputs &amp; Assumptions'!$I$28*'Model Inputs &amp; Assumptions'!$K$28*C307/1000,IF('Model Inputs &amp; Assumptions'!$H$28="CPC",'Model Inputs &amp; Assumptions'!$I$28*'Model Inputs &amp; Assumptions'!$K$28*G307,0)))</f>
        <v>2465.437</v>
      </c>
      <c r="J307" s="50" t="n">
        <f aca="false">H307*INDEX('Model Inputs &amp; Assumptions'!$D$40:$D$42,MATCH('Model Inputs &amp; Assumptions'!$L$28,'Model Inputs &amp; Assumptions'!$A$40:$A$42,0))*INDEX('Model Inputs &amp; Assumptions'!$H$40:$H$42,MATCH('Model Inputs &amp; Assumptions'!$L$28,'Model Inputs &amp; Assumptions'!$A$40:$A$42,0))</f>
        <v>171584.285365211</v>
      </c>
      <c r="K307" s="49" t="n">
        <f aca="false">H307*INDEX('Model Inputs &amp; Assumptions'!$G$40:$G$42,MATCH('Model Inputs &amp; Assumptions'!$L$28,'Model Inputs &amp; Assumptions'!$A$40:$A$42,0))*INDEX('Model Inputs &amp; Assumptions'!$H$40:$H$42,MATCH('Model Inputs &amp; Assumptions'!$L$28,'Model Inputs &amp; Assumptions'!$A$40:$A$42,0))</f>
        <v>3860.64642071724</v>
      </c>
      <c r="L307" s="51" t="n">
        <f aca="false">IFERROR(K307/I307,0)</f>
        <v>1.56590755339408</v>
      </c>
      <c r="M307" s="49" t="n">
        <f aca="false">IFERROR(I307/H307,0)</f>
        <v>122.133646769548</v>
      </c>
      <c r="N307" s="52" t="str">
        <f aca="false">'Model Inputs &amp; Assumptions'!$L$28</f>
        <v>PRD-EUAI</v>
      </c>
      <c r="P307" s="53" t="n">
        <v>-0.981695</v>
      </c>
      <c r="Q307" s="53" t="n">
        <v>1.182386</v>
      </c>
      <c r="R307" s="53" t="n">
        <v>-0.127002</v>
      </c>
      <c r="S307" s="53" t="n">
        <v>0.883324</v>
      </c>
    </row>
    <row r="308" customFormat="false" ht="15" hidden="false" customHeight="false" outlineLevel="0" collapsed="false">
      <c r="A308" s="43" t="n">
        <v>305</v>
      </c>
      <c r="B308" s="44" t="str">
        <f aca="false">'Model Inputs &amp; Assumptions'!$B$28</f>
        <v>finanzen.net — Q1 Awareness Burst</v>
      </c>
      <c r="C308" s="45" t="n">
        <f aca="false">ROUND(MAX(0,'Model Inputs &amp; Assumptions'!$S$28*EXP('Model Inputs &amp; Assumptions'!$T$28*P308-'Model Inputs &amp; Assumptions'!$T$28^2/2)),0)</f>
        <v>479745</v>
      </c>
      <c r="D308" s="46" t="n">
        <f aca="false">MIN(1,'Model Inputs &amp; Assumptions'!$U$28*EXP('Model Inputs &amp; Assumptions'!$V$28*Q308-'Model Inputs &amp; Assumptions'!$V$28^2/2))</f>
        <v>0</v>
      </c>
      <c r="E308" s="45" t="n">
        <f aca="false">ROUND(C308*D308,0)</f>
        <v>0</v>
      </c>
      <c r="F308" s="47" t="n">
        <f aca="false">MIN(1,'Model Inputs &amp; Assumptions'!$W$28*EXP('Model Inputs &amp; Assumptions'!$X$28*R308-'Model Inputs &amp; Assumptions'!$X$28^2/2))</f>
        <v>0.00188869532809574</v>
      </c>
      <c r="G308" s="45" t="n">
        <f aca="false">ROUND(C308*F308,0)</f>
        <v>906</v>
      </c>
      <c r="H308" s="48" t="n">
        <f aca="false">MAX(0,(C308*'Model Inputs &amp; Assumptions'!$N$28+E308*'Model Inputs &amp; Assumptions'!$O$28+G308*'Model Inputs &amp; Assumptions'!$P$28)*EXP('Model Inputs &amp; Assumptions'!$Q$28*S308-'Model Inputs &amp; Assumptions'!$Q$28^2/2))</f>
        <v>25.8379672422139</v>
      </c>
      <c r="I308" s="49" t="n">
        <f aca="false">IF('Model Inputs &amp; Assumptions'!$H$28="Fixed",'Model Inputs &amp; Assumptions'!$I$28*'Model Inputs &amp; Assumptions'!$K$28,IF('Model Inputs &amp; Assumptions'!$H$28="CPM",'Model Inputs &amp; Assumptions'!$I$28*'Model Inputs &amp; Assumptions'!$K$28*C308/1000,IF('Model Inputs &amp; Assumptions'!$H$28="CPC",'Model Inputs &amp; Assumptions'!$I$28*'Model Inputs &amp; Assumptions'!$K$28*G308,0)))</f>
        <v>3118.3425</v>
      </c>
      <c r="J308" s="50" t="n">
        <f aca="false">H308*INDEX('Model Inputs &amp; Assumptions'!$D$40:$D$42,MATCH('Model Inputs &amp; Assumptions'!$L$28,'Model Inputs &amp; Assumptions'!$A$40:$A$42,0))*INDEX('Model Inputs &amp; Assumptions'!$H$40:$H$42,MATCH('Model Inputs &amp; Assumptions'!$L$28,'Model Inputs &amp; Assumptions'!$A$40:$A$42,0))</f>
        <v>219622.721558818</v>
      </c>
      <c r="K308" s="49" t="n">
        <f aca="false">H308*INDEX('Model Inputs &amp; Assumptions'!$G$40:$G$42,MATCH('Model Inputs &amp; Assumptions'!$L$28,'Model Inputs &amp; Assumptions'!$A$40:$A$42,0))*INDEX('Model Inputs &amp; Assumptions'!$H$40:$H$42,MATCH('Model Inputs &amp; Assumptions'!$L$28,'Model Inputs &amp; Assumptions'!$A$40:$A$42,0))</f>
        <v>4941.51123507341</v>
      </c>
      <c r="L308" s="51" t="n">
        <f aca="false">IFERROR(K308/I308,0)</f>
        <v>1.5846595539372</v>
      </c>
      <c r="M308" s="49" t="n">
        <f aca="false">IFERROR(I308/H308,0)</f>
        <v>120.688383523657</v>
      </c>
      <c r="N308" s="52" t="str">
        <f aca="false">'Model Inputs &amp; Assumptions'!$L$28</f>
        <v>PRD-EUAI</v>
      </c>
      <c r="P308" s="53" t="n">
        <v>0.32349</v>
      </c>
      <c r="Q308" s="53" t="n">
        <v>0.185771</v>
      </c>
      <c r="R308" s="53" t="n">
        <v>1.157369</v>
      </c>
      <c r="S308" s="53" t="n">
        <v>-0.018788</v>
      </c>
    </row>
    <row r="309" customFormat="false" ht="15" hidden="false" customHeight="false" outlineLevel="0" collapsed="false">
      <c r="A309" s="43" t="n">
        <v>306</v>
      </c>
      <c r="B309" s="44" t="str">
        <f aca="false">'Model Inputs &amp; Assumptions'!$B$28</f>
        <v>finanzen.net — Q1 Awareness Burst</v>
      </c>
      <c r="C309" s="45" t="n">
        <f aca="false">ROUND(MAX(0,'Model Inputs &amp; Assumptions'!$S$28*EXP('Model Inputs &amp; Assumptions'!$T$28*P309-'Model Inputs &amp; Assumptions'!$T$28^2/2)),0)</f>
        <v>582110</v>
      </c>
      <c r="D309" s="46" t="n">
        <f aca="false">MIN(1,'Model Inputs &amp; Assumptions'!$U$28*EXP('Model Inputs &amp; Assumptions'!$V$28*Q309-'Model Inputs &amp; Assumptions'!$V$28^2/2))</f>
        <v>0</v>
      </c>
      <c r="E309" s="45" t="n">
        <f aca="false">ROUND(C309*D309,0)</f>
        <v>0</v>
      </c>
      <c r="F309" s="47" t="n">
        <f aca="false">MIN(1,'Model Inputs &amp; Assumptions'!$W$28*EXP('Model Inputs &amp; Assumptions'!$X$28*R309-'Model Inputs &amp; Assumptions'!$X$28^2/2))</f>
        <v>0.000922704698867058</v>
      </c>
      <c r="G309" s="45" t="n">
        <f aca="false">ROUND(C309*F309,0)</f>
        <v>537</v>
      </c>
      <c r="H309" s="48" t="n">
        <f aca="false">MAX(0,(C309*'Model Inputs &amp; Assumptions'!$N$28+E309*'Model Inputs &amp; Assumptions'!$O$28+G309*'Model Inputs &amp; Assumptions'!$P$28)*EXP('Model Inputs &amp; Assumptions'!$Q$28*S309-'Model Inputs &amp; Assumptions'!$Q$28^2/2))</f>
        <v>25.4345680897487</v>
      </c>
      <c r="I309" s="49" t="n">
        <f aca="false">IF('Model Inputs &amp; Assumptions'!$H$28="Fixed",'Model Inputs &amp; Assumptions'!$I$28*'Model Inputs &amp; Assumptions'!$K$28,IF('Model Inputs &amp; Assumptions'!$H$28="CPM",'Model Inputs &amp; Assumptions'!$I$28*'Model Inputs &amp; Assumptions'!$K$28*C309/1000,IF('Model Inputs &amp; Assumptions'!$H$28="CPC",'Model Inputs &amp; Assumptions'!$I$28*'Model Inputs &amp; Assumptions'!$K$28*G309,0)))</f>
        <v>3783.715</v>
      </c>
      <c r="J309" s="50" t="n">
        <f aca="false">H309*INDEX('Model Inputs &amp; Assumptions'!$D$40:$D$42,MATCH('Model Inputs &amp; Assumptions'!$L$28,'Model Inputs &amp; Assumptions'!$A$40:$A$42,0))*INDEX('Model Inputs &amp; Assumptions'!$H$40:$H$42,MATCH('Model Inputs &amp; Assumptions'!$L$28,'Model Inputs &amp; Assumptions'!$A$40:$A$42,0))</f>
        <v>216193.828762864</v>
      </c>
      <c r="K309" s="49" t="n">
        <f aca="false">H309*INDEX('Model Inputs &amp; Assumptions'!$G$40:$G$42,MATCH('Model Inputs &amp; Assumptions'!$L$28,'Model Inputs &amp; Assumptions'!$A$40:$A$42,0))*INDEX('Model Inputs &amp; Assumptions'!$H$40:$H$42,MATCH('Model Inputs &amp; Assumptions'!$L$28,'Model Inputs &amp; Assumptions'!$A$40:$A$42,0))</f>
        <v>4864.36114716444</v>
      </c>
      <c r="L309" s="51" t="n">
        <f aca="false">IFERROR(K309/I309,0)</f>
        <v>1.28560453077582</v>
      </c>
      <c r="M309" s="49" t="n">
        <f aca="false">IFERROR(I309/H309,0)</f>
        <v>148.762699120691</v>
      </c>
      <c r="N309" s="52" t="str">
        <f aca="false">'Model Inputs &amp; Assumptions'!$L$28</f>
        <v>PRD-EUAI</v>
      </c>
      <c r="P309" s="53" t="n">
        <v>1.39796</v>
      </c>
      <c r="Q309" s="53" t="n">
        <v>-1.905413</v>
      </c>
      <c r="R309" s="53" t="n">
        <v>-2.098687</v>
      </c>
      <c r="S309" s="53" t="n">
        <v>1.67223</v>
      </c>
    </row>
    <row r="310" customFormat="false" ht="15" hidden="false" customHeight="false" outlineLevel="0" collapsed="false">
      <c r="A310" s="43" t="n">
        <v>307</v>
      </c>
      <c r="B310" s="44" t="str">
        <f aca="false">'Model Inputs &amp; Assumptions'!$B$28</f>
        <v>finanzen.net — Q1 Awareness Burst</v>
      </c>
      <c r="C310" s="45" t="n">
        <f aca="false">ROUND(MAX(0,'Model Inputs &amp; Assumptions'!$S$28*EXP('Model Inputs &amp; Assumptions'!$T$28*P310-'Model Inputs &amp; Assumptions'!$T$28^2/2)),0)</f>
        <v>423277</v>
      </c>
      <c r="D310" s="46" t="n">
        <f aca="false">MIN(1,'Model Inputs &amp; Assumptions'!$U$28*EXP('Model Inputs &amp; Assumptions'!$V$28*Q310-'Model Inputs &amp; Assumptions'!$V$28^2/2))</f>
        <v>0</v>
      </c>
      <c r="E310" s="45" t="n">
        <f aca="false">ROUND(C310*D310,0)</f>
        <v>0</v>
      </c>
      <c r="F310" s="47" t="n">
        <f aca="false">MIN(1,'Model Inputs &amp; Assumptions'!$W$28*EXP('Model Inputs &amp; Assumptions'!$X$28*R310-'Model Inputs &amp; Assumptions'!$X$28^2/2))</f>
        <v>0.00186880096141636</v>
      </c>
      <c r="G310" s="45" t="n">
        <f aca="false">ROUND(C310*F310,0)</f>
        <v>791</v>
      </c>
      <c r="H310" s="48" t="n">
        <f aca="false">MAX(0,(C310*'Model Inputs &amp; Assumptions'!$N$28+E310*'Model Inputs &amp; Assumptions'!$O$28+G310*'Model Inputs &amp; Assumptions'!$P$28)*EXP('Model Inputs &amp; Assumptions'!$Q$28*S310-'Model Inputs &amp; Assumptions'!$Q$28^2/2))</f>
        <v>29.6377732310361</v>
      </c>
      <c r="I310" s="49" t="n">
        <f aca="false">IF('Model Inputs &amp; Assumptions'!$H$28="Fixed",'Model Inputs &amp; Assumptions'!$I$28*'Model Inputs &amp; Assumptions'!$K$28,IF('Model Inputs &amp; Assumptions'!$H$28="CPM",'Model Inputs &amp; Assumptions'!$I$28*'Model Inputs &amp; Assumptions'!$K$28*C310/1000,IF('Model Inputs &amp; Assumptions'!$H$28="CPC",'Model Inputs &amp; Assumptions'!$I$28*'Model Inputs &amp; Assumptions'!$K$28*G310,0)))</f>
        <v>2751.3005</v>
      </c>
      <c r="J310" s="50" t="n">
        <f aca="false">H310*INDEX('Model Inputs &amp; Assumptions'!$D$40:$D$42,MATCH('Model Inputs &amp; Assumptions'!$L$28,'Model Inputs &amp; Assumptions'!$A$40:$A$42,0))*INDEX('Model Inputs &amp; Assumptions'!$H$40:$H$42,MATCH('Model Inputs &amp; Assumptions'!$L$28,'Model Inputs &amp; Assumptions'!$A$40:$A$42,0))</f>
        <v>251921.072463807</v>
      </c>
      <c r="K310" s="49" t="n">
        <f aca="false">H310*INDEX('Model Inputs &amp; Assumptions'!$G$40:$G$42,MATCH('Model Inputs &amp; Assumptions'!$L$28,'Model Inputs &amp; Assumptions'!$A$40:$A$42,0))*INDEX('Model Inputs &amp; Assumptions'!$H$40:$H$42,MATCH('Model Inputs &amp; Assumptions'!$L$28,'Model Inputs &amp; Assumptions'!$A$40:$A$42,0))</f>
        <v>5668.22413043565</v>
      </c>
      <c r="L310" s="51" t="n">
        <f aca="false">IFERROR(K310/I310,0)</f>
        <v>2.06019812464529</v>
      </c>
      <c r="M310" s="49" t="n">
        <f aca="false">IFERROR(I310/H310,0)</f>
        <v>92.8308776287854</v>
      </c>
      <c r="N310" s="52" t="str">
        <f aca="false">'Model Inputs &amp; Assumptions'!$L$28</f>
        <v>PRD-EUAI</v>
      </c>
      <c r="P310" s="53" t="n">
        <v>-0.372217</v>
      </c>
      <c r="Q310" s="53" t="n">
        <v>0.664927</v>
      </c>
      <c r="R310" s="53" t="n">
        <v>1.109236</v>
      </c>
      <c r="S310" s="53" t="n">
        <v>0.891032</v>
      </c>
    </row>
    <row r="311" customFormat="false" ht="15" hidden="false" customHeight="false" outlineLevel="0" collapsed="false">
      <c r="A311" s="43" t="n">
        <v>308</v>
      </c>
      <c r="B311" s="44" t="str">
        <f aca="false">'Model Inputs &amp; Assumptions'!$B$28</f>
        <v>finanzen.net — Q1 Awareness Burst</v>
      </c>
      <c r="C311" s="45" t="n">
        <f aca="false">ROUND(MAX(0,'Model Inputs &amp; Assumptions'!$S$28*EXP('Model Inputs &amp; Assumptions'!$T$28*P311-'Model Inputs &amp; Assumptions'!$T$28^2/2)),0)</f>
        <v>378868</v>
      </c>
      <c r="D311" s="46" t="n">
        <f aca="false">MIN(1,'Model Inputs &amp; Assumptions'!$U$28*EXP('Model Inputs &amp; Assumptions'!$V$28*Q311-'Model Inputs &amp; Assumptions'!$V$28^2/2))</f>
        <v>0</v>
      </c>
      <c r="E311" s="45" t="n">
        <f aca="false">ROUND(C311*D311,0)</f>
        <v>0</v>
      </c>
      <c r="F311" s="47" t="n">
        <f aca="false">MIN(1,'Model Inputs &amp; Assumptions'!$W$28*EXP('Model Inputs &amp; Assumptions'!$X$28*R311-'Model Inputs &amp; Assumptions'!$X$28^2/2))</f>
        <v>0.00166194686949295</v>
      </c>
      <c r="G311" s="45" t="n">
        <f aca="false">ROUND(C311*F311,0)</f>
        <v>630</v>
      </c>
      <c r="H311" s="48" t="n">
        <f aca="false">MAX(0,(C311*'Model Inputs &amp; Assumptions'!$N$28+E311*'Model Inputs &amp; Assumptions'!$O$28+G311*'Model Inputs &amp; Assumptions'!$P$28)*EXP('Model Inputs &amp; Assumptions'!$Q$28*S311-'Model Inputs &amp; Assumptions'!$Q$28^2/2))</f>
        <v>22.3858043158418</v>
      </c>
      <c r="I311" s="49" t="n">
        <f aca="false">IF('Model Inputs &amp; Assumptions'!$H$28="Fixed",'Model Inputs &amp; Assumptions'!$I$28*'Model Inputs &amp; Assumptions'!$K$28,IF('Model Inputs &amp; Assumptions'!$H$28="CPM",'Model Inputs &amp; Assumptions'!$I$28*'Model Inputs &amp; Assumptions'!$K$28*C311/1000,IF('Model Inputs &amp; Assumptions'!$H$28="CPC",'Model Inputs &amp; Assumptions'!$I$28*'Model Inputs &amp; Assumptions'!$K$28*G311,0)))</f>
        <v>2462.642</v>
      </c>
      <c r="J311" s="50" t="n">
        <f aca="false">H311*INDEX('Model Inputs &amp; Assumptions'!$D$40:$D$42,MATCH('Model Inputs &amp; Assumptions'!$L$28,'Model Inputs &amp; Assumptions'!$A$40:$A$42,0))*INDEX('Model Inputs &amp; Assumptions'!$H$40:$H$42,MATCH('Model Inputs &amp; Assumptions'!$L$28,'Model Inputs &amp; Assumptions'!$A$40:$A$42,0))</f>
        <v>190279.336684655</v>
      </c>
      <c r="K311" s="49" t="n">
        <f aca="false">H311*INDEX('Model Inputs &amp; Assumptions'!$G$40:$G$42,MATCH('Model Inputs &amp; Assumptions'!$L$28,'Model Inputs &amp; Assumptions'!$A$40:$A$42,0))*INDEX('Model Inputs &amp; Assumptions'!$H$40:$H$42,MATCH('Model Inputs &amp; Assumptions'!$L$28,'Model Inputs &amp; Assumptions'!$A$40:$A$42,0))</f>
        <v>4281.28507540474</v>
      </c>
      <c r="L311" s="51" t="n">
        <f aca="false">IFERROR(K311/I311,0)</f>
        <v>1.73849267388631</v>
      </c>
      <c r="M311" s="49" t="n">
        <f aca="false">IFERROR(I311/H311,0)</f>
        <v>110.009091710735</v>
      </c>
      <c r="N311" s="52" t="str">
        <f aca="false">'Model Inputs &amp; Assumptions'!$L$28</f>
        <v>PRD-EUAI</v>
      </c>
      <c r="P311" s="53" t="n">
        <v>-0.987998</v>
      </c>
      <c r="Q311" s="53" t="n">
        <v>-0.983162</v>
      </c>
      <c r="R311" s="53" t="n">
        <v>0.576021</v>
      </c>
      <c r="S311" s="53" t="n">
        <v>0.714217</v>
      </c>
    </row>
    <row r="312" customFormat="false" ht="15" hidden="false" customHeight="false" outlineLevel="0" collapsed="false">
      <c r="A312" s="43" t="n">
        <v>309</v>
      </c>
      <c r="B312" s="44" t="str">
        <f aca="false">'Model Inputs &amp; Assumptions'!$B$28</f>
        <v>finanzen.net — Q1 Awareness Burst</v>
      </c>
      <c r="C312" s="45" t="n">
        <f aca="false">ROUND(MAX(0,'Model Inputs &amp; Assumptions'!$S$28*EXP('Model Inputs &amp; Assumptions'!$T$28*P312-'Model Inputs &amp; Assumptions'!$T$28^2/2)),0)</f>
        <v>608053</v>
      </c>
      <c r="D312" s="46" t="n">
        <f aca="false">MIN(1,'Model Inputs &amp; Assumptions'!$U$28*EXP('Model Inputs &amp; Assumptions'!$V$28*Q312-'Model Inputs &amp; Assumptions'!$V$28^2/2))</f>
        <v>0</v>
      </c>
      <c r="E312" s="45" t="n">
        <f aca="false">ROUND(C312*D312,0)</f>
        <v>0</v>
      </c>
      <c r="F312" s="47" t="n">
        <f aca="false">MIN(1,'Model Inputs &amp; Assumptions'!$W$28*EXP('Model Inputs &amp; Assumptions'!$X$28*R312-'Model Inputs &amp; Assumptions'!$X$28^2/2))</f>
        <v>0.00140017155459194</v>
      </c>
      <c r="G312" s="45" t="n">
        <f aca="false">ROUND(C312*F312,0)</f>
        <v>851</v>
      </c>
      <c r="H312" s="48" t="n">
        <f aca="false">MAX(0,(C312*'Model Inputs &amp; Assumptions'!$N$28+E312*'Model Inputs &amp; Assumptions'!$O$28+G312*'Model Inputs &amp; Assumptions'!$P$28)*EXP('Model Inputs &amp; Assumptions'!$Q$28*S312-'Model Inputs &amp; Assumptions'!$Q$28^2/2))</f>
        <v>25.7790444495873</v>
      </c>
      <c r="I312" s="49" t="n">
        <f aca="false">IF('Model Inputs &amp; Assumptions'!$H$28="Fixed",'Model Inputs &amp; Assumptions'!$I$28*'Model Inputs &amp; Assumptions'!$K$28,IF('Model Inputs &amp; Assumptions'!$H$28="CPM",'Model Inputs &amp; Assumptions'!$I$28*'Model Inputs &amp; Assumptions'!$K$28*C312/1000,IF('Model Inputs &amp; Assumptions'!$H$28="CPC",'Model Inputs &amp; Assumptions'!$I$28*'Model Inputs &amp; Assumptions'!$K$28*G312,0)))</f>
        <v>3952.3445</v>
      </c>
      <c r="J312" s="50" t="n">
        <f aca="false">H312*INDEX('Model Inputs &amp; Assumptions'!$D$40:$D$42,MATCH('Model Inputs &amp; Assumptions'!$L$28,'Model Inputs &amp; Assumptions'!$A$40:$A$42,0))*INDEX('Model Inputs &amp; Assumptions'!$H$40:$H$42,MATCH('Model Inputs &amp; Assumptions'!$L$28,'Model Inputs &amp; Assumptions'!$A$40:$A$42,0))</f>
        <v>219121.877821492</v>
      </c>
      <c r="K312" s="49" t="n">
        <f aca="false">H312*INDEX('Model Inputs &amp; Assumptions'!$G$40:$G$42,MATCH('Model Inputs &amp; Assumptions'!$L$28,'Model Inputs &amp; Assumptions'!$A$40:$A$42,0))*INDEX('Model Inputs &amp; Assumptions'!$H$40:$H$42,MATCH('Model Inputs &amp; Assumptions'!$L$28,'Model Inputs &amp; Assumptions'!$A$40:$A$42,0))</f>
        <v>4930.24225098356</v>
      </c>
      <c r="L312" s="51" t="n">
        <f aca="false">IFERROR(K312/I312,0)</f>
        <v>1.24742219484753</v>
      </c>
      <c r="M312" s="49" t="n">
        <f aca="false">IFERROR(I312/H312,0)</f>
        <v>153.316175381484</v>
      </c>
      <c r="N312" s="52" t="str">
        <f aca="false">'Model Inputs &amp; Assumptions'!$L$28</f>
        <v>PRD-EUAI</v>
      </c>
      <c r="P312" s="53" t="n">
        <v>1.640193</v>
      </c>
      <c r="Q312" s="53" t="n">
        <v>2.924663</v>
      </c>
      <c r="R312" s="53" t="n">
        <v>-0.203047</v>
      </c>
      <c r="S312" s="53" t="n">
        <v>0.182359</v>
      </c>
    </row>
    <row r="313" customFormat="false" ht="15" hidden="false" customHeight="false" outlineLevel="0" collapsed="false">
      <c r="A313" s="43" t="n">
        <v>310</v>
      </c>
      <c r="B313" s="44" t="str">
        <f aca="false">'Model Inputs &amp; Assumptions'!$B$28</f>
        <v>finanzen.net — Q1 Awareness Burst</v>
      </c>
      <c r="C313" s="45" t="n">
        <f aca="false">ROUND(MAX(0,'Model Inputs &amp; Assumptions'!$S$28*EXP('Model Inputs &amp; Assumptions'!$T$28*P313-'Model Inputs &amp; Assumptions'!$T$28^2/2)),0)</f>
        <v>476710</v>
      </c>
      <c r="D313" s="46" t="n">
        <f aca="false">MIN(1,'Model Inputs &amp; Assumptions'!$U$28*EXP('Model Inputs &amp; Assumptions'!$V$28*Q313-'Model Inputs &amp; Assumptions'!$V$28^2/2))</f>
        <v>0</v>
      </c>
      <c r="E313" s="45" t="n">
        <f aca="false">ROUND(C313*D313,0)</f>
        <v>0</v>
      </c>
      <c r="F313" s="47" t="n">
        <f aca="false">MIN(1,'Model Inputs &amp; Assumptions'!$W$28*EXP('Model Inputs &amp; Assumptions'!$X$28*R313-'Model Inputs &amp; Assumptions'!$X$28^2/2))</f>
        <v>0.00160829451182827</v>
      </c>
      <c r="G313" s="45" t="n">
        <f aca="false">ROUND(C313*F313,0)</f>
        <v>767</v>
      </c>
      <c r="H313" s="48" t="n">
        <f aca="false">MAX(0,(C313*'Model Inputs &amp; Assumptions'!$N$28+E313*'Model Inputs &amp; Assumptions'!$O$28+G313*'Model Inputs &amp; Assumptions'!$P$28)*EXP('Model Inputs &amp; Assumptions'!$Q$28*S313-'Model Inputs &amp; Assumptions'!$Q$28^2/2))</f>
        <v>13.2272236572784</v>
      </c>
      <c r="I313" s="49" t="n">
        <f aca="false">IF('Model Inputs &amp; Assumptions'!$H$28="Fixed",'Model Inputs &amp; Assumptions'!$I$28*'Model Inputs &amp; Assumptions'!$K$28,IF('Model Inputs &amp; Assumptions'!$H$28="CPM",'Model Inputs &amp; Assumptions'!$I$28*'Model Inputs &amp; Assumptions'!$K$28*C313/1000,IF('Model Inputs &amp; Assumptions'!$H$28="CPC",'Model Inputs &amp; Assumptions'!$I$28*'Model Inputs &amp; Assumptions'!$K$28*G313,0)))</f>
        <v>3098.615</v>
      </c>
      <c r="J313" s="50" t="n">
        <f aca="false">H313*INDEX('Model Inputs &amp; Assumptions'!$D$40:$D$42,MATCH('Model Inputs &amp; Assumptions'!$L$28,'Model Inputs &amp; Assumptions'!$A$40:$A$42,0))*INDEX('Model Inputs &amp; Assumptions'!$H$40:$H$42,MATCH('Model Inputs &amp; Assumptions'!$L$28,'Model Inputs &amp; Assumptions'!$A$40:$A$42,0))</f>
        <v>112431.401086866</v>
      </c>
      <c r="K313" s="49" t="n">
        <f aca="false">H313*INDEX('Model Inputs &amp; Assumptions'!$G$40:$G$42,MATCH('Model Inputs &amp; Assumptions'!$L$28,'Model Inputs &amp; Assumptions'!$A$40:$A$42,0))*INDEX('Model Inputs &amp; Assumptions'!$H$40:$H$42,MATCH('Model Inputs &amp; Assumptions'!$L$28,'Model Inputs &amp; Assumptions'!$A$40:$A$42,0))</f>
        <v>2529.70652445449</v>
      </c>
      <c r="L313" s="51" t="n">
        <f aca="false">IFERROR(K313/I313,0)</f>
        <v>0.816399108780696</v>
      </c>
      <c r="M313" s="49" t="n">
        <f aca="false">IFERROR(I313/H313,0)</f>
        <v>234.26042231432</v>
      </c>
      <c r="N313" s="52" t="str">
        <f aca="false">'Model Inputs &amp; Assumptions'!$L$28</f>
        <v>PRD-EUAI</v>
      </c>
      <c r="P313" s="53" t="n">
        <v>0.288235</v>
      </c>
      <c r="Q313" s="53" t="n">
        <v>0.889295</v>
      </c>
      <c r="R313" s="53" t="n">
        <v>0.42686</v>
      </c>
      <c r="S313" s="53" t="n">
        <v>-1.695506</v>
      </c>
    </row>
    <row r="314" customFormat="false" ht="15" hidden="false" customHeight="false" outlineLevel="0" collapsed="false">
      <c r="A314" s="43" t="n">
        <v>311</v>
      </c>
      <c r="B314" s="44" t="str">
        <f aca="false">'Model Inputs &amp; Assumptions'!$B$28</f>
        <v>finanzen.net — Q1 Awareness Burst</v>
      </c>
      <c r="C314" s="45" t="n">
        <f aca="false">ROUND(MAX(0,'Model Inputs &amp; Assumptions'!$S$28*EXP('Model Inputs &amp; Assumptions'!$T$28*P314-'Model Inputs &amp; Assumptions'!$T$28^2/2)),0)</f>
        <v>419419</v>
      </c>
      <c r="D314" s="46" t="n">
        <f aca="false">MIN(1,'Model Inputs &amp; Assumptions'!$U$28*EXP('Model Inputs &amp; Assumptions'!$V$28*Q314-'Model Inputs &amp; Assumptions'!$V$28^2/2))</f>
        <v>0</v>
      </c>
      <c r="E314" s="45" t="n">
        <f aca="false">ROUND(C314*D314,0)</f>
        <v>0</v>
      </c>
      <c r="F314" s="47" t="n">
        <f aca="false">MIN(1,'Model Inputs &amp; Assumptions'!$W$28*EXP('Model Inputs &amp; Assumptions'!$X$28*R314-'Model Inputs &amp; Assumptions'!$X$28^2/2))</f>
        <v>0.00143227204794206</v>
      </c>
      <c r="G314" s="45" t="n">
        <f aca="false">ROUND(C314*F314,0)</f>
        <v>601</v>
      </c>
      <c r="H314" s="48" t="n">
        <f aca="false">MAX(0,(C314*'Model Inputs &amp; Assumptions'!$N$28+E314*'Model Inputs &amp; Assumptions'!$O$28+G314*'Model Inputs &amp; Assumptions'!$P$28)*EXP('Model Inputs &amp; Assumptions'!$Q$28*S314-'Model Inputs &amp; Assumptions'!$Q$28^2/2))</f>
        <v>17.0500380809737</v>
      </c>
      <c r="I314" s="49" t="n">
        <f aca="false">IF('Model Inputs &amp; Assumptions'!$H$28="Fixed",'Model Inputs &amp; Assumptions'!$I$28*'Model Inputs &amp; Assumptions'!$K$28,IF('Model Inputs &amp; Assumptions'!$H$28="CPM",'Model Inputs &amp; Assumptions'!$I$28*'Model Inputs &amp; Assumptions'!$K$28*C314/1000,IF('Model Inputs &amp; Assumptions'!$H$28="CPC",'Model Inputs &amp; Assumptions'!$I$28*'Model Inputs &amp; Assumptions'!$K$28*G314,0)))</f>
        <v>2726.2235</v>
      </c>
      <c r="J314" s="50" t="n">
        <f aca="false">H314*INDEX('Model Inputs &amp; Assumptions'!$D$40:$D$42,MATCH('Model Inputs &amp; Assumptions'!$L$28,'Model Inputs &amp; Assumptions'!$A$40:$A$42,0))*INDEX('Model Inputs &amp; Assumptions'!$H$40:$H$42,MATCH('Model Inputs &amp; Assumptions'!$L$28,'Model Inputs &amp; Assumptions'!$A$40:$A$42,0))</f>
        <v>144925.323688277</v>
      </c>
      <c r="K314" s="49" t="n">
        <f aca="false">H314*INDEX('Model Inputs &amp; Assumptions'!$G$40:$G$42,MATCH('Model Inputs &amp; Assumptions'!$L$28,'Model Inputs &amp; Assumptions'!$A$40:$A$42,0))*INDEX('Model Inputs &amp; Assumptions'!$H$40:$H$42,MATCH('Model Inputs &amp; Assumptions'!$L$28,'Model Inputs &amp; Assumptions'!$A$40:$A$42,0))</f>
        <v>3260.81978298622</v>
      </c>
      <c r="L314" s="51" t="n">
        <f aca="false">IFERROR(K314/I314,0)</f>
        <v>1.1960940777549</v>
      </c>
      <c r="M314" s="49" t="n">
        <f aca="false">IFERROR(I314/H314,0)</f>
        <v>159.895449327015</v>
      </c>
      <c r="N314" s="52" t="str">
        <f aca="false">'Model Inputs &amp; Assumptions'!$L$28</f>
        <v>PRD-EUAI</v>
      </c>
      <c r="P314" s="53" t="n">
        <v>-0.423092</v>
      </c>
      <c r="Q314" s="53" t="n">
        <v>-1.173388</v>
      </c>
      <c r="R314" s="53" t="n">
        <v>-0.100014</v>
      </c>
      <c r="S314" s="53" t="n">
        <v>-0.036282</v>
      </c>
    </row>
    <row r="315" customFormat="false" ht="15" hidden="false" customHeight="false" outlineLevel="0" collapsed="false">
      <c r="A315" s="43" t="n">
        <v>312</v>
      </c>
      <c r="B315" s="44" t="str">
        <f aca="false">'Model Inputs &amp; Assumptions'!$B$28</f>
        <v>finanzen.net — Q1 Awareness Burst</v>
      </c>
      <c r="C315" s="45" t="n">
        <f aca="false">ROUND(MAX(0,'Model Inputs &amp; Assumptions'!$S$28*EXP('Model Inputs &amp; Assumptions'!$T$28*P315-'Model Inputs &amp; Assumptions'!$T$28^2/2)),0)</f>
        <v>470950</v>
      </c>
      <c r="D315" s="46" t="n">
        <f aca="false">MIN(1,'Model Inputs &amp; Assumptions'!$U$28*EXP('Model Inputs &amp; Assumptions'!$V$28*Q315-'Model Inputs &amp; Assumptions'!$V$28^2/2))</f>
        <v>0</v>
      </c>
      <c r="E315" s="45" t="n">
        <f aca="false">ROUND(C315*D315,0)</f>
        <v>0</v>
      </c>
      <c r="F315" s="47" t="n">
        <f aca="false">MIN(1,'Model Inputs &amp; Assumptions'!$W$28*EXP('Model Inputs &amp; Assumptions'!$X$28*R315-'Model Inputs &amp; Assumptions'!$X$28^2/2))</f>
        <v>0.00154352954773189</v>
      </c>
      <c r="G315" s="45" t="n">
        <f aca="false">ROUND(C315*F315,0)</f>
        <v>727</v>
      </c>
      <c r="H315" s="48" t="n">
        <f aca="false">MAX(0,(C315*'Model Inputs &amp; Assumptions'!$N$28+E315*'Model Inputs &amp; Assumptions'!$O$28+G315*'Model Inputs &amp; Assumptions'!$P$28)*EXP('Model Inputs &amp; Assumptions'!$Q$28*S315-'Model Inputs &amp; Assumptions'!$Q$28^2/2))</f>
        <v>21.3049700294608</v>
      </c>
      <c r="I315" s="49" t="n">
        <f aca="false">IF('Model Inputs &amp; Assumptions'!$H$28="Fixed",'Model Inputs &amp; Assumptions'!$I$28*'Model Inputs &amp; Assumptions'!$K$28,IF('Model Inputs &amp; Assumptions'!$H$28="CPM",'Model Inputs &amp; Assumptions'!$I$28*'Model Inputs &amp; Assumptions'!$K$28*C315/1000,IF('Model Inputs &amp; Assumptions'!$H$28="CPC",'Model Inputs &amp; Assumptions'!$I$28*'Model Inputs &amp; Assumptions'!$K$28*G315,0)))</f>
        <v>3061.175</v>
      </c>
      <c r="J315" s="50" t="n">
        <f aca="false">H315*INDEX('Model Inputs &amp; Assumptions'!$D$40:$D$42,MATCH('Model Inputs &amp; Assumptions'!$L$28,'Model Inputs &amp; Assumptions'!$A$40:$A$42,0))*INDEX('Model Inputs &amp; Assumptions'!$H$40:$H$42,MATCH('Model Inputs &amp; Assumptions'!$L$28,'Model Inputs &amp; Assumptions'!$A$40:$A$42,0))</f>
        <v>181092.245250417</v>
      </c>
      <c r="K315" s="49" t="n">
        <f aca="false">H315*INDEX('Model Inputs &amp; Assumptions'!$G$40:$G$42,MATCH('Model Inputs &amp; Assumptions'!$L$28,'Model Inputs &amp; Assumptions'!$A$40:$A$42,0))*INDEX('Model Inputs &amp; Assumptions'!$H$40:$H$42,MATCH('Model Inputs &amp; Assumptions'!$L$28,'Model Inputs &amp; Assumptions'!$A$40:$A$42,0))</f>
        <v>4074.57551813438</v>
      </c>
      <c r="L315" s="51" t="n">
        <f aca="false">IFERROR(K315/I315,0)</f>
        <v>1.33104952122449</v>
      </c>
      <c r="M315" s="49" t="n">
        <f aca="false">IFERROR(I315/H315,0)</f>
        <v>143.683609775886</v>
      </c>
      <c r="N315" s="52" t="str">
        <f aca="false">'Model Inputs &amp; Assumptions'!$L$28</f>
        <v>PRD-EUAI</v>
      </c>
      <c r="P315" s="53" t="n">
        <v>0.2207</v>
      </c>
      <c r="Q315" s="53" t="n">
        <v>0.413126</v>
      </c>
      <c r="R315" s="53" t="n">
        <v>0.24003</v>
      </c>
      <c r="S315" s="53" t="n">
        <v>0.071906</v>
      </c>
    </row>
    <row r="316" customFormat="false" ht="15" hidden="false" customHeight="false" outlineLevel="0" collapsed="false">
      <c r="A316" s="43" t="n">
        <v>313</v>
      </c>
      <c r="B316" s="44" t="str">
        <f aca="false">'Model Inputs &amp; Assumptions'!$B$28</f>
        <v>finanzen.net — Q1 Awareness Burst</v>
      </c>
      <c r="C316" s="45" t="n">
        <f aca="false">ROUND(MAX(0,'Model Inputs &amp; Assumptions'!$S$28*EXP('Model Inputs &amp; Assumptions'!$T$28*P316-'Model Inputs &amp; Assumptions'!$T$28^2/2)),0)</f>
        <v>402276</v>
      </c>
      <c r="D316" s="46" t="n">
        <f aca="false">MIN(1,'Model Inputs &amp; Assumptions'!$U$28*EXP('Model Inputs &amp; Assumptions'!$V$28*Q316-'Model Inputs &amp; Assumptions'!$V$28^2/2))</f>
        <v>0</v>
      </c>
      <c r="E316" s="45" t="n">
        <f aca="false">ROUND(C316*D316,0)</f>
        <v>0</v>
      </c>
      <c r="F316" s="47" t="n">
        <f aca="false">MIN(1,'Model Inputs &amp; Assumptions'!$W$28*EXP('Model Inputs &amp; Assumptions'!$X$28*R316-'Model Inputs &amp; Assumptions'!$X$28^2/2))</f>
        <v>0.00159406753560844</v>
      </c>
      <c r="G316" s="45" t="n">
        <f aca="false">ROUND(C316*F316,0)</f>
        <v>641</v>
      </c>
      <c r="H316" s="48" t="n">
        <f aca="false">MAX(0,(C316*'Model Inputs &amp; Assumptions'!$N$28+E316*'Model Inputs &amp; Assumptions'!$O$28+G316*'Model Inputs &amp; Assumptions'!$P$28)*EXP('Model Inputs &amp; Assumptions'!$Q$28*S316-'Model Inputs &amp; Assumptions'!$Q$28^2/2))</f>
        <v>17.5407853299782</v>
      </c>
      <c r="I316" s="49" t="n">
        <f aca="false">IF('Model Inputs &amp; Assumptions'!$H$28="Fixed",'Model Inputs &amp; Assumptions'!$I$28*'Model Inputs &amp; Assumptions'!$K$28,IF('Model Inputs &amp; Assumptions'!$H$28="CPM",'Model Inputs &amp; Assumptions'!$I$28*'Model Inputs &amp; Assumptions'!$K$28*C316/1000,IF('Model Inputs &amp; Assumptions'!$H$28="CPC",'Model Inputs &amp; Assumptions'!$I$28*'Model Inputs &amp; Assumptions'!$K$28*G316,0)))</f>
        <v>2614.794</v>
      </c>
      <c r="J316" s="50" t="n">
        <f aca="false">H316*INDEX('Model Inputs &amp; Assumptions'!$D$40:$D$42,MATCH('Model Inputs &amp; Assumptions'!$L$28,'Model Inputs &amp; Assumptions'!$A$40:$A$42,0))*INDEX('Model Inputs &amp; Assumptions'!$H$40:$H$42,MATCH('Model Inputs &amp; Assumptions'!$L$28,'Model Inputs &amp; Assumptions'!$A$40:$A$42,0))</f>
        <v>149096.675304815</v>
      </c>
      <c r="K316" s="49" t="n">
        <f aca="false">H316*INDEX('Model Inputs &amp; Assumptions'!$G$40:$G$42,MATCH('Model Inputs &amp; Assumptions'!$L$28,'Model Inputs &amp; Assumptions'!$A$40:$A$42,0))*INDEX('Model Inputs &amp; Assumptions'!$H$40:$H$42,MATCH('Model Inputs &amp; Assumptions'!$L$28,'Model Inputs &amp; Assumptions'!$A$40:$A$42,0))</f>
        <v>3354.67519435833</v>
      </c>
      <c r="L316" s="51" t="n">
        <f aca="false">IFERROR(K316/I316,0)</f>
        <v>1.28295964973085</v>
      </c>
      <c r="M316" s="49" t="n">
        <f aca="false">IFERROR(I316/H316,0)</f>
        <v>149.069380350444</v>
      </c>
      <c r="N316" s="52" t="str">
        <f aca="false">'Model Inputs &amp; Assumptions'!$L$28</f>
        <v>PRD-EUAI</v>
      </c>
      <c r="P316" s="53" t="n">
        <v>-0.654935</v>
      </c>
      <c r="Q316" s="53" t="n">
        <v>1.69465</v>
      </c>
      <c r="R316" s="53" t="n">
        <v>0.386472</v>
      </c>
      <c r="S316" s="53" t="n">
        <v>-0.156476</v>
      </c>
    </row>
    <row r="317" customFormat="false" ht="15" hidden="false" customHeight="false" outlineLevel="0" collapsed="false">
      <c r="A317" s="43" t="n">
        <v>314</v>
      </c>
      <c r="B317" s="44" t="str">
        <f aca="false">'Model Inputs &amp; Assumptions'!$B$28</f>
        <v>finanzen.net — Q1 Awareness Burst</v>
      </c>
      <c r="C317" s="45" t="n">
        <f aca="false">ROUND(MAX(0,'Model Inputs &amp; Assumptions'!$S$28*EXP('Model Inputs &amp; Assumptions'!$T$28*P317-'Model Inputs &amp; Assumptions'!$T$28^2/2)),0)</f>
        <v>389712</v>
      </c>
      <c r="D317" s="46" t="n">
        <f aca="false">MIN(1,'Model Inputs &amp; Assumptions'!$U$28*EXP('Model Inputs &amp; Assumptions'!$V$28*Q317-'Model Inputs &amp; Assumptions'!$V$28^2/2))</f>
        <v>0</v>
      </c>
      <c r="E317" s="45" t="n">
        <f aca="false">ROUND(C317*D317,0)</f>
        <v>0</v>
      </c>
      <c r="F317" s="47" t="n">
        <f aca="false">MIN(1,'Model Inputs &amp; Assumptions'!$W$28*EXP('Model Inputs &amp; Assumptions'!$X$28*R317-'Model Inputs &amp; Assumptions'!$X$28^2/2))</f>
        <v>0.0019144221889744</v>
      </c>
      <c r="G317" s="45" t="n">
        <f aca="false">ROUND(C317*F317,0)</f>
        <v>746</v>
      </c>
      <c r="H317" s="48" t="n">
        <f aca="false">MAX(0,(C317*'Model Inputs &amp; Assumptions'!$N$28+E317*'Model Inputs &amp; Assumptions'!$O$28+G317*'Model Inputs &amp; Assumptions'!$P$28)*EXP('Model Inputs &amp; Assumptions'!$Q$28*S317-'Model Inputs &amp; Assumptions'!$Q$28^2/2))</f>
        <v>27.5308750199722</v>
      </c>
      <c r="I317" s="49" t="n">
        <f aca="false">IF('Model Inputs &amp; Assumptions'!$H$28="Fixed",'Model Inputs &amp; Assumptions'!$I$28*'Model Inputs &amp; Assumptions'!$K$28,IF('Model Inputs &amp; Assumptions'!$H$28="CPM",'Model Inputs &amp; Assumptions'!$I$28*'Model Inputs &amp; Assumptions'!$K$28*C317/1000,IF('Model Inputs &amp; Assumptions'!$H$28="CPC",'Model Inputs &amp; Assumptions'!$I$28*'Model Inputs &amp; Assumptions'!$K$28*G317,0)))</f>
        <v>2533.128</v>
      </c>
      <c r="J317" s="50" t="n">
        <f aca="false">H317*INDEX('Model Inputs &amp; Assumptions'!$D$40:$D$42,MATCH('Model Inputs &amp; Assumptions'!$L$28,'Model Inputs &amp; Assumptions'!$A$40:$A$42,0))*INDEX('Model Inputs &amp; Assumptions'!$H$40:$H$42,MATCH('Model Inputs &amp; Assumptions'!$L$28,'Model Inputs &amp; Assumptions'!$A$40:$A$42,0))</f>
        <v>234012.437669764</v>
      </c>
      <c r="K317" s="49" t="n">
        <f aca="false">H317*INDEX('Model Inputs &amp; Assumptions'!$G$40:$G$42,MATCH('Model Inputs &amp; Assumptions'!$L$28,'Model Inputs &amp; Assumptions'!$A$40:$A$42,0))*INDEX('Model Inputs &amp; Assumptions'!$H$40:$H$42,MATCH('Model Inputs &amp; Assumptions'!$L$28,'Model Inputs &amp; Assumptions'!$A$40:$A$42,0))</f>
        <v>5265.27984756969</v>
      </c>
      <c r="L317" s="51" t="n">
        <f aca="false">IFERROR(K317/I317,0)</f>
        <v>2.07856841326995</v>
      </c>
      <c r="M317" s="49" t="n">
        <f aca="false">IFERROR(I317/H317,0)</f>
        <v>92.0104427542657</v>
      </c>
      <c r="N317" s="52" t="str">
        <f aca="false">'Model Inputs &amp; Assumptions'!$L$28</f>
        <v>PRD-EUAI</v>
      </c>
      <c r="P317" s="53" t="n">
        <v>-0.831218</v>
      </c>
      <c r="Q317" s="53" t="n">
        <v>0.468526</v>
      </c>
      <c r="R317" s="53" t="n">
        <v>1.218867</v>
      </c>
      <c r="S317" s="53" t="n">
        <v>0.840468</v>
      </c>
    </row>
    <row r="318" customFormat="false" ht="15" hidden="false" customHeight="false" outlineLevel="0" collapsed="false">
      <c r="A318" s="43" t="n">
        <v>315</v>
      </c>
      <c r="B318" s="44" t="str">
        <f aca="false">'Model Inputs &amp; Assumptions'!$B$28</f>
        <v>finanzen.net — Q1 Awareness Burst</v>
      </c>
      <c r="C318" s="45" t="n">
        <f aca="false">ROUND(MAX(0,'Model Inputs &amp; Assumptions'!$S$28*EXP('Model Inputs &amp; Assumptions'!$T$28*P318-'Model Inputs &amp; Assumptions'!$T$28^2/2)),0)</f>
        <v>580112</v>
      </c>
      <c r="D318" s="46" t="n">
        <f aca="false">MIN(1,'Model Inputs &amp; Assumptions'!$U$28*EXP('Model Inputs &amp; Assumptions'!$V$28*Q318-'Model Inputs &amp; Assumptions'!$V$28^2/2))</f>
        <v>0</v>
      </c>
      <c r="E318" s="45" t="n">
        <f aca="false">ROUND(C318*D318,0)</f>
        <v>0</v>
      </c>
      <c r="F318" s="47" t="n">
        <f aca="false">MIN(1,'Model Inputs &amp; Assumptions'!$W$28*EXP('Model Inputs &amp; Assumptions'!$X$28*R318-'Model Inputs &amp; Assumptions'!$X$28^2/2))</f>
        <v>0.00109628508429294</v>
      </c>
      <c r="G318" s="45" t="n">
        <f aca="false">ROUND(C318*F318,0)</f>
        <v>636</v>
      </c>
      <c r="H318" s="48" t="n">
        <f aca="false">MAX(0,(C318*'Model Inputs &amp; Assumptions'!$N$28+E318*'Model Inputs &amp; Assumptions'!$O$28+G318*'Model Inputs &amp; Assumptions'!$P$28)*EXP('Model Inputs &amp; Assumptions'!$Q$28*S318-'Model Inputs &amp; Assumptions'!$Q$28^2/2))</f>
        <v>16.4233970253176</v>
      </c>
      <c r="I318" s="49" t="n">
        <f aca="false">IF('Model Inputs &amp; Assumptions'!$H$28="Fixed",'Model Inputs &amp; Assumptions'!$I$28*'Model Inputs &amp; Assumptions'!$K$28,IF('Model Inputs &amp; Assumptions'!$H$28="CPM",'Model Inputs &amp; Assumptions'!$I$28*'Model Inputs &amp; Assumptions'!$K$28*C318/1000,IF('Model Inputs &amp; Assumptions'!$H$28="CPC",'Model Inputs &amp; Assumptions'!$I$28*'Model Inputs &amp; Assumptions'!$K$28*G318,0)))</f>
        <v>3770.728</v>
      </c>
      <c r="J318" s="50" t="n">
        <f aca="false">H318*INDEX('Model Inputs &amp; Assumptions'!$D$40:$D$42,MATCH('Model Inputs &amp; Assumptions'!$L$28,'Model Inputs &amp; Assumptions'!$A$40:$A$42,0))*INDEX('Model Inputs &amp; Assumptions'!$H$40:$H$42,MATCH('Model Inputs &amp; Assumptions'!$L$28,'Model Inputs &amp; Assumptions'!$A$40:$A$42,0))</f>
        <v>139598.8747152</v>
      </c>
      <c r="K318" s="49" t="n">
        <f aca="false">H318*INDEX('Model Inputs &amp; Assumptions'!$G$40:$G$42,MATCH('Model Inputs &amp; Assumptions'!$L$28,'Model Inputs &amp; Assumptions'!$A$40:$A$42,0))*INDEX('Model Inputs &amp; Assumptions'!$H$40:$H$42,MATCH('Model Inputs &amp; Assumptions'!$L$28,'Model Inputs &amp; Assumptions'!$A$40:$A$42,0))</f>
        <v>3140.97468109199</v>
      </c>
      <c r="L318" s="51" t="n">
        <f aca="false">IFERROR(K318/I318,0)</f>
        <v>0.832988929748311</v>
      </c>
      <c r="M318" s="49" t="n">
        <f aca="false">IFERROR(I318/H318,0)</f>
        <v>229.594887963021</v>
      </c>
      <c r="N318" s="52" t="str">
        <f aca="false">'Model Inputs &amp; Assumptions'!$L$28</f>
        <v>PRD-EUAI</v>
      </c>
      <c r="P318" s="53" t="n">
        <v>1.378863</v>
      </c>
      <c r="Q318" s="53" t="n">
        <v>0.554373</v>
      </c>
      <c r="R318" s="53" t="n">
        <v>-1.315172</v>
      </c>
      <c r="S318" s="53" t="n">
        <v>-0.349779</v>
      </c>
    </row>
    <row r="319" customFormat="false" ht="15" hidden="false" customHeight="false" outlineLevel="0" collapsed="false">
      <c r="A319" s="43" t="n">
        <v>316</v>
      </c>
      <c r="B319" s="44" t="str">
        <f aca="false">'Model Inputs &amp; Assumptions'!$B$28</f>
        <v>finanzen.net — Q1 Awareness Burst</v>
      </c>
      <c r="C319" s="45" t="n">
        <f aca="false">ROUND(MAX(0,'Model Inputs &amp; Assumptions'!$S$28*EXP('Model Inputs &amp; Assumptions'!$T$28*P319-'Model Inputs &amp; Assumptions'!$T$28^2/2)),0)</f>
        <v>416024</v>
      </c>
      <c r="D319" s="46" t="n">
        <f aca="false">MIN(1,'Model Inputs &amp; Assumptions'!$U$28*EXP('Model Inputs &amp; Assumptions'!$V$28*Q319-'Model Inputs &amp; Assumptions'!$V$28^2/2))</f>
        <v>0</v>
      </c>
      <c r="E319" s="45" t="n">
        <f aca="false">ROUND(C319*D319,0)</f>
        <v>0</v>
      </c>
      <c r="F319" s="47" t="n">
        <f aca="false">MIN(1,'Model Inputs &amp; Assumptions'!$W$28*EXP('Model Inputs &amp; Assumptions'!$X$28*R319-'Model Inputs &amp; Assumptions'!$X$28^2/2))</f>
        <v>0.00131391126600833</v>
      </c>
      <c r="G319" s="45" t="n">
        <f aca="false">ROUND(C319*F319,0)</f>
        <v>547</v>
      </c>
      <c r="H319" s="48" t="n">
        <f aca="false">MAX(0,(C319*'Model Inputs &amp; Assumptions'!$N$28+E319*'Model Inputs &amp; Assumptions'!$O$28+G319*'Model Inputs &amp; Assumptions'!$P$28)*EXP('Model Inputs &amp; Assumptions'!$Q$28*S319-'Model Inputs &amp; Assumptions'!$Q$28^2/2))</f>
        <v>16.8174460862822</v>
      </c>
      <c r="I319" s="49" t="n">
        <f aca="false">IF('Model Inputs &amp; Assumptions'!$H$28="Fixed",'Model Inputs &amp; Assumptions'!$I$28*'Model Inputs &amp; Assumptions'!$K$28,IF('Model Inputs &amp; Assumptions'!$H$28="CPM",'Model Inputs &amp; Assumptions'!$I$28*'Model Inputs &amp; Assumptions'!$K$28*C319/1000,IF('Model Inputs &amp; Assumptions'!$H$28="CPC",'Model Inputs &amp; Assumptions'!$I$28*'Model Inputs &amp; Assumptions'!$K$28*G319,0)))</f>
        <v>2704.156</v>
      </c>
      <c r="J319" s="50" t="n">
        <f aca="false">H319*INDEX('Model Inputs &amp; Assumptions'!$D$40:$D$42,MATCH('Model Inputs &amp; Assumptions'!$L$28,'Model Inputs &amp; Assumptions'!$A$40:$A$42,0))*INDEX('Model Inputs &amp; Assumptions'!$H$40:$H$42,MATCH('Model Inputs &amp; Assumptions'!$L$28,'Model Inputs &amp; Assumptions'!$A$40:$A$42,0))</f>
        <v>142948.291733398</v>
      </c>
      <c r="K319" s="49" t="n">
        <f aca="false">H319*INDEX('Model Inputs &amp; Assumptions'!$G$40:$G$42,MATCH('Model Inputs &amp; Assumptions'!$L$28,'Model Inputs &amp; Assumptions'!$A$40:$A$42,0))*INDEX('Model Inputs &amp; Assumptions'!$H$40:$H$42,MATCH('Model Inputs &amp; Assumptions'!$L$28,'Model Inputs &amp; Assumptions'!$A$40:$A$42,0))</f>
        <v>3216.33656400146</v>
      </c>
      <c r="L319" s="51" t="n">
        <f aca="false">IFERROR(K319/I319,0)</f>
        <v>1.18940496184446</v>
      </c>
      <c r="M319" s="49" t="n">
        <f aca="false">IFERROR(I319/H319,0)</f>
        <v>160.79468821403</v>
      </c>
      <c r="N319" s="52" t="str">
        <f aca="false">'Model Inputs &amp; Assumptions'!$L$28</f>
        <v>PRD-EUAI</v>
      </c>
      <c r="P319" s="53" t="n">
        <v>-0.468241</v>
      </c>
      <c r="Q319" s="53" t="n">
        <v>-1.305345</v>
      </c>
      <c r="R319" s="53" t="n">
        <v>-0.492076</v>
      </c>
      <c r="S319" s="53" t="n">
        <v>0.231753</v>
      </c>
    </row>
    <row r="320" customFormat="false" ht="15" hidden="false" customHeight="false" outlineLevel="0" collapsed="false">
      <c r="A320" s="43" t="n">
        <v>317</v>
      </c>
      <c r="B320" s="44" t="str">
        <f aca="false">'Model Inputs &amp; Assumptions'!$B$28</f>
        <v>finanzen.net — Q1 Awareness Burst</v>
      </c>
      <c r="C320" s="45" t="n">
        <f aca="false">ROUND(MAX(0,'Model Inputs &amp; Assumptions'!$S$28*EXP('Model Inputs &amp; Assumptions'!$T$28*P320-'Model Inputs &amp; Assumptions'!$T$28^2/2)),0)</f>
        <v>518501</v>
      </c>
      <c r="D320" s="46" t="n">
        <f aca="false">MIN(1,'Model Inputs &amp; Assumptions'!$U$28*EXP('Model Inputs &amp; Assumptions'!$V$28*Q320-'Model Inputs &amp; Assumptions'!$V$28^2/2))</f>
        <v>0</v>
      </c>
      <c r="E320" s="45" t="n">
        <f aca="false">ROUND(C320*D320,0)</f>
        <v>0</v>
      </c>
      <c r="F320" s="47" t="n">
        <f aca="false">MIN(1,'Model Inputs &amp; Assumptions'!$W$28*EXP('Model Inputs &amp; Assumptions'!$X$28*R320-'Model Inputs &amp; Assumptions'!$X$28^2/2))</f>
        <v>0.00155898892807202</v>
      </c>
      <c r="G320" s="45" t="n">
        <f aca="false">ROUND(C320*F320,0)</f>
        <v>808</v>
      </c>
      <c r="H320" s="48" t="n">
        <f aca="false">MAX(0,(C320*'Model Inputs &amp; Assumptions'!$N$28+E320*'Model Inputs &amp; Assumptions'!$O$28+G320*'Model Inputs &amp; Assumptions'!$P$28)*EXP('Model Inputs &amp; Assumptions'!$Q$28*S320-'Model Inputs &amp; Assumptions'!$Q$28^2/2))</f>
        <v>17.5033704792873</v>
      </c>
      <c r="I320" s="49" t="n">
        <f aca="false">IF('Model Inputs &amp; Assumptions'!$H$28="Fixed",'Model Inputs &amp; Assumptions'!$I$28*'Model Inputs &amp; Assumptions'!$K$28,IF('Model Inputs &amp; Assumptions'!$H$28="CPM",'Model Inputs &amp; Assumptions'!$I$28*'Model Inputs &amp; Assumptions'!$K$28*C320/1000,IF('Model Inputs &amp; Assumptions'!$H$28="CPC",'Model Inputs &amp; Assumptions'!$I$28*'Model Inputs &amp; Assumptions'!$K$28*G320,0)))</f>
        <v>3370.2565</v>
      </c>
      <c r="J320" s="50" t="n">
        <f aca="false">H320*INDEX('Model Inputs &amp; Assumptions'!$D$40:$D$42,MATCH('Model Inputs &amp; Assumptions'!$L$28,'Model Inputs &amp; Assumptions'!$A$40:$A$42,0))*INDEX('Model Inputs &amp; Assumptions'!$H$40:$H$42,MATCH('Model Inputs &amp; Assumptions'!$L$28,'Model Inputs &amp; Assumptions'!$A$40:$A$42,0))</f>
        <v>148778.649073942</v>
      </c>
      <c r="K320" s="49" t="n">
        <f aca="false">H320*INDEX('Model Inputs &amp; Assumptions'!$G$40:$G$42,MATCH('Model Inputs &amp; Assumptions'!$L$28,'Model Inputs &amp; Assumptions'!$A$40:$A$42,0))*INDEX('Model Inputs &amp; Assumptions'!$H$40:$H$42,MATCH('Model Inputs &amp; Assumptions'!$L$28,'Model Inputs &amp; Assumptions'!$A$40:$A$42,0))</f>
        <v>3347.51960416369</v>
      </c>
      <c r="L320" s="51" t="n">
        <f aca="false">IFERROR(K320/I320,0)</f>
        <v>0.993253660118657</v>
      </c>
      <c r="M320" s="49" t="n">
        <f aca="false">IFERROR(I320/H320,0)</f>
        <v>192.54900100459</v>
      </c>
      <c r="N320" s="52" t="str">
        <f aca="false">'Model Inputs &amp; Assumptions'!$L$28</f>
        <v>PRD-EUAI</v>
      </c>
      <c r="P320" s="53" t="n">
        <v>0.755083</v>
      </c>
      <c r="Q320" s="53" t="n">
        <v>-0.049638</v>
      </c>
      <c r="R320" s="53" t="n">
        <v>0.285329</v>
      </c>
      <c r="S320" s="53" t="n">
        <v>-0.935369</v>
      </c>
    </row>
    <row r="321" customFormat="false" ht="15" hidden="false" customHeight="false" outlineLevel="0" collapsed="false">
      <c r="A321" s="43" t="n">
        <v>318</v>
      </c>
      <c r="B321" s="44" t="str">
        <f aca="false">'Model Inputs &amp; Assumptions'!$B$28</f>
        <v>finanzen.net — Q1 Awareness Burst</v>
      </c>
      <c r="C321" s="45" t="n">
        <f aca="false">ROUND(MAX(0,'Model Inputs &amp; Assumptions'!$S$28*EXP('Model Inputs &amp; Assumptions'!$T$28*P321-'Model Inputs &amp; Assumptions'!$T$28^2/2)),0)</f>
        <v>587954</v>
      </c>
      <c r="D321" s="46" t="n">
        <f aca="false">MIN(1,'Model Inputs &amp; Assumptions'!$U$28*EXP('Model Inputs &amp; Assumptions'!$V$28*Q321-'Model Inputs &amp; Assumptions'!$V$28^2/2))</f>
        <v>0</v>
      </c>
      <c r="E321" s="45" t="n">
        <f aca="false">ROUND(C321*D321,0)</f>
        <v>0</v>
      </c>
      <c r="F321" s="47" t="n">
        <f aca="false">MIN(1,'Model Inputs &amp; Assumptions'!$W$28*EXP('Model Inputs &amp; Assumptions'!$X$28*R321-'Model Inputs &amp; Assumptions'!$X$28^2/2))</f>
        <v>0.0012015006871546</v>
      </c>
      <c r="G321" s="45" t="n">
        <f aca="false">ROUND(C321*F321,0)</f>
        <v>706</v>
      </c>
      <c r="H321" s="48" t="n">
        <f aca="false">MAX(0,(C321*'Model Inputs &amp; Assumptions'!$N$28+E321*'Model Inputs &amp; Assumptions'!$O$28+G321*'Model Inputs &amp; Assumptions'!$P$28)*EXP('Model Inputs &amp; Assumptions'!$Q$28*S321-'Model Inputs &amp; Assumptions'!$Q$28^2/2))</f>
        <v>17.3570218166261</v>
      </c>
      <c r="I321" s="49" t="n">
        <f aca="false">IF('Model Inputs &amp; Assumptions'!$H$28="Fixed",'Model Inputs &amp; Assumptions'!$I$28*'Model Inputs &amp; Assumptions'!$K$28,IF('Model Inputs &amp; Assumptions'!$H$28="CPM",'Model Inputs &amp; Assumptions'!$I$28*'Model Inputs &amp; Assumptions'!$K$28*C321/1000,IF('Model Inputs &amp; Assumptions'!$H$28="CPC",'Model Inputs &amp; Assumptions'!$I$28*'Model Inputs &amp; Assumptions'!$K$28*G321,0)))</f>
        <v>3821.701</v>
      </c>
      <c r="J321" s="50" t="n">
        <f aca="false">H321*INDEX('Model Inputs &amp; Assumptions'!$D$40:$D$42,MATCH('Model Inputs &amp; Assumptions'!$L$28,'Model Inputs &amp; Assumptions'!$A$40:$A$42,0))*INDEX('Model Inputs &amp; Assumptions'!$H$40:$H$42,MATCH('Model Inputs &amp; Assumptions'!$L$28,'Model Inputs &amp; Assumptions'!$A$40:$A$42,0))</f>
        <v>147534.685441322</v>
      </c>
      <c r="K321" s="49" t="n">
        <f aca="false">H321*INDEX('Model Inputs &amp; Assumptions'!$G$40:$G$42,MATCH('Model Inputs &amp; Assumptions'!$L$28,'Model Inputs &amp; Assumptions'!$A$40:$A$42,0))*INDEX('Model Inputs &amp; Assumptions'!$H$40:$H$42,MATCH('Model Inputs &amp; Assumptions'!$L$28,'Model Inputs &amp; Assumptions'!$A$40:$A$42,0))</f>
        <v>3319.53042242974</v>
      </c>
      <c r="L321" s="51" t="n">
        <f aca="false">IFERROR(K321/I321,0)</f>
        <v>0.868600244349242</v>
      </c>
      <c r="M321" s="49" t="n">
        <f aca="false">IFERROR(I321/H321,0)</f>
        <v>220.181839970912</v>
      </c>
      <c r="N321" s="52" t="str">
        <f aca="false">'Model Inputs &amp; Assumptions'!$L$28</f>
        <v>PRD-EUAI</v>
      </c>
      <c r="P321" s="53" t="n">
        <v>1.453456</v>
      </c>
      <c r="Q321" s="53" t="n">
        <v>0.699817</v>
      </c>
      <c r="R321" s="53" t="n">
        <v>-0.898608</v>
      </c>
      <c r="S321" s="53" t="n">
        <v>-0.513534</v>
      </c>
    </row>
    <row r="322" customFormat="false" ht="15" hidden="false" customHeight="false" outlineLevel="0" collapsed="false">
      <c r="A322" s="43" t="n">
        <v>319</v>
      </c>
      <c r="B322" s="44" t="str">
        <f aca="false">'Model Inputs &amp; Assumptions'!$B$28</f>
        <v>finanzen.net — Q1 Awareness Burst</v>
      </c>
      <c r="C322" s="45" t="n">
        <f aca="false">ROUND(MAX(0,'Model Inputs &amp; Assumptions'!$S$28*EXP('Model Inputs &amp; Assumptions'!$T$28*P322-'Model Inputs &amp; Assumptions'!$T$28^2/2)),0)</f>
        <v>480828</v>
      </c>
      <c r="D322" s="46" t="n">
        <f aca="false">MIN(1,'Model Inputs &amp; Assumptions'!$U$28*EXP('Model Inputs &amp; Assumptions'!$V$28*Q322-'Model Inputs &amp; Assumptions'!$V$28^2/2))</f>
        <v>0</v>
      </c>
      <c r="E322" s="45" t="n">
        <f aca="false">ROUND(C322*D322,0)</f>
        <v>0</v>
      </c>
      <c r="F322" s="47" t="n">
        <f aca="false">MIN(1,'Model Inputs &amp; Assumptions'!$W$28*EXP('Model Inputs &amp; Assumptions'!$X$28*R322-'Model Inputs &amp; Assumptions'!$X$28^2/2))</f>
        <v>0.00167405614027379</v>
      </c>
      <c r="G322" s="45" t="n">
        <f aca="false">ROUND(C322*F322,0)</f>
        <v>805</v>
      </c>
      <c r="H322" s="48" t="n">
        <f aca="false">MAX(0,(C322*'Model Inputs &amp; Assumptions'!$N$28+E322*'Model Inputs &amp; Assumptions'!$O$28+G322*'Model Inputs &amp; Assumptions'!$P$28)*EXP('Model Inputs &amp; Assumptions'!$Q$28*S322-'Model Inputs &amp; Assumptions'!$Q$28^2/2))</f>
        <v>28.8541023907648</v>
      </c>
      <c r="I322" s="49" t="n">
        <f aca="false">IF('Model Inputs &amp; Assumptions'!$H$28="Fixed",'Model Inputs &amp; Assumptions'!$I$28*'Model Inputs &amp; Assumptions'!$K$28,IF('Model Inputs &amp; Assumptions'!$H$28="CPM",'Model Inputs &amp; Assumptions'!$I$28*'Model Inputs &amp; Assumptions'!$K$28*C322/1000,IF('Model Inputs &amp; Assumptions'!$H$28="CPC",'Model Inputs &amp; Assumptions'!$I$28*'Model Inputs &amp; Assumptions'!$K$28*G322,0)))</f>
        <v>3125.382</v>
      </c>
      <c r="J322" s="50" t="n">
        <f aca="false">H322*INDEX('Model Inputs &amp; Assumptions'!$D$40:$D$42,MATCH('Model Inputs &amp; Assumptions'!$L$28,'Model Inputs &amp; Assumptions'!$A$40:$A$42,0))*INDEX('Model Inputs &amp; Assumptions'!$H$40:$H$42,MATCH('Model Inputs &amp; Assumptions'!$L$28,'Model Inputs &amp; Assumptions'!$A$40:$A$42,0))</f>
        <v>245259.8703215</v>
      </c>
      <c r="K322" s="49" t="n">
        <f aca="false">H322*INDEX('Model Inputs &amp; Assumptions'!$G$40:$G$42,MATCH('Model Inputs &amp; Assumptions'!$L$28,'Model Inputs &amp; Assumptions'!$A$40:$A$42,0))*INDEX('Model Inputs &amp; Assumptions'!$H$40:$H$42,MATCH('Model Inputs &amp; Assumptions'!$L$28,'Model Inputs &amp; Assumptions'!$A$40:$A$42,0))</f>
        <v>5518.34708223376</v>
      </c>
      <c r="L322" s="51" t="n">
        <f aca="false">IFERROR(K322/I322,0)</f>
        <v>1.76565523261917</v>
      </c>
      <c r="M322" s="49" t="n">
        <f aca="false">IFERROR(I322/H322,0)</f>
        <v>108.316729374341</v>
      </c>
      <c r="N322" s="52" t="str">
        <f aca="false">'Model Inputs &amp; Assumptions'!$L$28</f>
        <v>PRD-EUAI</v>
      </c>
      <c r="P322" s="53" t="n">
        <v>0.336021</v>
      </c>
      <c r="Q322" s="53" t="n">
        <v>-0.694326</v>
      </c>
      <c r="R322" s="53" t="n">
        <v>0.60902</v>
      </c>
      <c r="S322" s="53" t="n">
        <v>0.743226</v>
      </c>
    </row>
    <row r="323" customFormat="false" ht="15" hidden="false" customHeight="false" outlineLevel="0" collapsed="false">
      <c r="A323" s="43" t="n">
        <v>320</v>
      </c>
      <c r="B323" s="44" t="str">
        <f aca="false">'Model Inputs &amp; Assumptions'!$B$28</f>
        <v>finanzen.net — Q1 Awareness Burst</v>
      </c>
      <c r="C323" s="45" t="n">
        <f aca="false">ROUND(MAX(0,'Model Inputs &amp; Assumptions'!$S$28*EXP('Model Inputs &amp; Assumptions'!$T$28*P323-'Model Inputs &amp; Assumptions'!$T$28^2/2)),0)</f>
        <v>573032</v>
      </c>
      <c r="D323" s="46" t="n">
        <f aca="false">MIN(1,'Model Inputs &amp; Assumptions'!$U$28*EXP('Model Inputs &amp; Assumptions'!$V$28*Q323-'Model Inputs &amp; Assumptions'!$V$28^2/2))</f>
        <v>0</v>
      </c>
      <c r="E323" s="45" t="n">
        <f aca="false">ROUND(C323*D323,0)</f>
        <v>0</v>
      </c>
      <c r="F323" s="47" t="n">
        <f aca="false">MIN(1,'Model Inputs &amp; Assumptions'!$W$28*EXP('Model Inputs &amp; Assumptions'!$X$28*R323-'Model Inputs &amp; Assumptions'!$X$28^2/2))</f>
        <v>0.00132478333870366</v>
      </c>
      <c r="G323" s="45" t="n">
        <f aca="false">ROUND(C323*F323,0)</f>
        <v>759</v>
      </c>
      <c r="H323" s="48" t="n">
        <f aca="false">MAX(0,(C323*'Model Inputs &amp; Assumptions'!$N$28+E323*'Model Inputs &amp; Assumptions'!$O$28+G323*'Model Inputs &amp; Assumptions'!$P$28)*EXP('Model Inputs &amp; Assumptions'!$Q$28*S323-'Model Inputs &amp; Assumptions'!$Q$28^2/2))</f>
        <v>22.7028343987958</v>
      </c>
      <c r="I323" s="49" t="n">
        <f aca="false">IF('Model Inputs &amp; Assumptions'!$H$28="Fixed",'Model Inputs &amp; Assumptions'!$I$28*'Model Inputs &amp; Assumptions'!$K$28,IF('Model Inputs &amp; Assumptions'!$H$28="CPM",'Model Inputs &amp; Assumptions'!$I$28*'Model Inputs &amp; Assumptions'!$K$28*C323/1000,IF('Model Inputs &amp; Assumptions'!$H$28="CPC",'Model Inputs &amp; Assumptions'!$I$28*'Model Inputs &amp; Assumptions'!$K$28*G323,0)))</f>
        <v>3724.708</v>
      </c>
      <c r="J323" s="50" t="n">
        <f aca="false">H323*INDEX('Model Inputs &amp; Assumptions'!$D$40:$D$42,MATCH('Model Inputs &amp; Assumptions'!$L$28,'Model Inputs &amp; Assumptions'!$A$40:$A$42,0))*INDEX('Model Inputs &amp; Assumptions'!$H$40:$H$42,MATCH('Model Inputs &amp; Assumptions'!$L$28,'Model Inputs &amp; Assumptions'!$A$40:$A$42,0))</f>
        <v>192974.092389764</v>
      </c>
      <c r="K323" s="49" t="n">
        <f aca="false">H323*INDEX('Model Inputs &amp; Assumptions'!$G$40:$G$42,MATCH('Model Inputs &amp; Assumptions'!$L$28,'Model Inputs &amp; Assumptions'!$A$40:$A$42,0))*INDEX('Model Inputs &amp; Assumptions'!$H$40:$H$42,MATCH('Model Inputs &amp; Assumptions'!$L$28,'Model Inputs &amp; Assumptions'!$A$40:$A$42,0))</f>
        <v>4341.9170787697</v>
      </c>
      <c r="L323" s="51" t="n">
        <f aca="false">IFERROR(K323/I323,0)</f>
        <v>1.16570670204743</v>
      </c>
      <c r="M323" s="49" t="n">
        <f aca="false">IFERROR(I323/H323,0)</f>
        <v>164.06356733138</v>
      </c>
      <c r="N323" s="52" t="str">
        <f aca="false">'Model Inputs &amp; Assumptions'!$L$28</f>
        <v>PRD-EUAI</v>
      </c>
      <c r="P323" s="53" t="n">
        <v>1.310639</v>
      </c>
      <c r="Q323" s="53" t="n">
        <v>-0.313412</v>
      </c>
      <c r="R323" s="53" t="n">
        <v>-0.454619</v>
      </c>
      <c r="S323" s="53" t="n">
        <v>0.140153</v>
      </c>
    </row>
    <row r="324" customFormat="false" ht="15" hidden="false" customHeight="false" outlineLevel="0" collapsed="false">
      <c r="A324" s="43" t="n">
        <v>321</v>
      </c>
      <c r="B324" s="44" t="str">
        <f aca="false">'Model Inputs &amp; Assumptions'!$B$28</f>
        <v>finanzen.net — Q1 Awareness Burst</v>
      </c>
      <c r="C324" s="45" t="n">
        <f aca="false">ROUND(MAX(0,'Model Inputs &amp; Assumptions'!$S$28*EXP('Model Inputs &amp; Assumptions'!$T$28*P324-'Model Inputs &amp; Assumptions'!$T$28^2/2)),0)</f>
        <v>434666</v>
      </c>
      <c r="D324" s="46" t="n">
        <f aca="false">MIN(1,'Model Inputs &amp; Assumptions'!$U$28*EXP('Model Inputs &amp; Assumptions'!$V$28*Q324-'Model Inputs &amp; Assumptions'!$V$28^2/2))</f>
        <v>0</v>
      </c>
      <c r="E324" s="45" t="n">
        <f aca="false">ROUND(C324*D324,0)</f>
        <v>0</v>
      </c>
      <c r="F324" s="47" t="n">
        <f aca="false">MIN(1,'Model Inputs &amp; Assumptions'!$W$28*EXP('Model Inputs &amp; Assumptions'!$X$28*R324-'Model Inputs &amp; Assumptions'!$X$28^2/2))</f>
        <v>0.00102351076931236</v>
      </c>
      <c r="G324" s="45" t="n">
        <f aca="false">ROUND(C324*F324,0)</f>
        <v>445</v>
      </c>
      <c r="H324" s="48" t="n">
        <f aca="false">MAX(0,(C324*'Model Inputs &amp; Assumptions'!$N$28+E324*'Model Inputs &amp; Assumptions'!$O$28+G324*'Model Inputs &amp; Assumptions'!$P$28)*EXP('Model Inputs &amp; Assumptions'!$Q$28*S324-'Model Inputs &amp; Assumptions'!$Q$28^2/2))</f>
        <v>10.4713220252788</v>
      </c>
      <c r="I324" s="49" t="n">
        <f aca="false">IF('Model Inputs &amp; Assumptions'!$H$28="Fixed",'Model Inputs &amp; Assumptions'!$I$28*'Model Inputs &amp; Assumptions'!$K$28,IF('Model Inputs &amp; Assumptions'!$H$28="CPM",'Model Inputs &amp; Assumptions'!$I$28*'Model Inputs &amp; Assumptions'!$K$28*C324/1000,IF('Model Inputs &amp; Assumptions'!$H$28="CPC",'Model Inputs &amp; Assumptions'!$I$28*'Model Inputs &amp; Assumptions'!$K$28*G324,0)))</f>
        <v>2825.329</v>
      </c>
      <c r="J324" s="50" t="n">
        <f aca="false">H324*INDEX('Model Inputs &amp; Assumptions'!$D$40:$D$42,MATCH('Model Inputs &amp; Assumptions'!$L$28,'Model Inputs &amp; Assumptions'!$A$40:$A$42,0))*INDEX('Model Inputs &amp; Assumptions'!$H$40:$H$42,MATCH('Model Inputs &amp; Assumptions'!$L$28,'Model Inputs &amp; Assumptions'!$A$40:$A$42,0))</f>
        <v>89006.2372148698</v>
      </c>
      <c r="K324" s="49" t="n">
        <f aca="false">H324*INDEX('Model Inputs &amp; Assumptions'!$G$40:$G$42,MATCH('Model Inputs &amp; Assumptions'!$L$28,'Model Inputs &amp; Assumptions'!$A$40:$A$42,0))*INDEX('Model Inputs &amp; Assumptions'!$H$40:$H$42,MATCH('Model Inputs &amp; Assumptions'!$L$28,'Model Inputs &amp; Assumptions'!$A$40:$A$42,0))</f>
        <v>2002.64033733457</v>
      </c>
      <c r="L324" s="51" t="n">
        <f aca="false">IFERROR(K324/I324,0)</f>
        <v>0.708816685538063</v>
      </c>
      <c r="M324" s="49" t="n">
        <f aca="false">IFERROR(I324/H324,0)</f>
        <v>269.815883150129</v>
      </c>
      <c r="N324" s="52" t="str">
        <f aca="false">'Model Inputs &amp; Assumptions'!$L$28</f>
        <v>PRD-EUAI</v>
      </c>
      <c r="P324" s="53" t="n">
        <v>-0.224715</v>
      </c>
      <c r="Q324" s="53" t="n">
        <v>0.209614</v>
      </c>
      <c r="R324" s="53" t="n">
        <v>-1.627393</v>
      </c>
      <c r="S324" s="53" t="n">
        <v>-0.659587</v>
      </c>
    </row>
    <row r="325" customFormat="false" ht="15" hidden="false" customHeight="false" outlineLevel="0" collapsed="false">
      <c r="A325" s="43" t="n">
        <v>322</v>
      </c>
      <c r="B325" s="44" t="str">
        <f aca="false">'Model Inputs &amp; Assumptions'!$B$28</f>
        <v>finanzen.net — Q1 Awareness Burst</v>
      </c>
      <c r="C325" s="45" t="n">
        <f aca="false">ROUND(MAX(0,'Model Inputs &amp; Assumptions'!$S$28*EXP('Model Inputs &amp; Assumptions'!$T$28*P325-'Model Inputs &amp; Assumptions'!$T$28^2/2)),0)</f>
        <v>465941</v>
      </c>
      <c r="D325" s="46" t="n">
        <f aca="false">MIN(1,'Model Inputs &amp; Assumptions'!$U$28*EXP('Model Inputs &amp; Assumptions'!$V$28*Q325-'Model Inputs &amp; Assumptions'!$V$28^2/2))</f>
        <v>0</v>
      </c>
      <c r="E325" s="45" t="n">
        <f aca="false">ROUND(C325*D325,0)</f>
        <v>0</v>
      </c>
      <c r="F325" s="47" t="n">
        <f aca="false">MIN(1,'Model Inputs &amp; Assumptions'!$W$28*EXP('Model Inputs &amp; Assumptions'!$X$28*R325-'Model Inputs &amp; Assumptions'!$X$28^2/2))</f>
        <v>0.00130809440840262</v>
      </c>
      <c r="G325" s="45" t="n">
        <f aca="false">ROUND(C325*F325,0)</f>
        <v>609</v>
      </c>
      <c r="H325" s="48" t="n">
        <f aca="false">MAX(0,(C325*'Model Inputs &amp; Assumptions'!$N$28+E325*'Model Inputs &amp; Assumptions'!$O$28+G325*'Model Inputs &amp; Assumptions'!$P$28)*EXP('Model Inputs &amp; Assumptions'!$Q$28*S325-'Model Inputs &amp; Assumptions'!$Q$28^2/2))</f>
        <v>18.0037572169629</v>
      </c>
      <c r="I325" s="49" t="n">
        <f aca="false">IF('Model Inputs &amp; Assumptions'!$H$28="Fixed",'Model Inputs &amp; Assumptions'!$I$28*'Model Inputs &amp; Assumptions'!$K$28,IF('Model Inputs &amp; Assumptions'!$H$28="CPM",'Model Inputs &amp; Assumptions'!$I$28*'Model Inputs &amp; Assumptions'!$K$28*C325/1000,IF('Model Inputs &amp; Assumptions'!$H$28="CPC",'Model Inputs &amp; Assumptions'!$I$28*'Model Inputs &amp; Assumptions'!$K$28*G325,0)))</f>
        <v>3028.6165</v>
      </c>
      <c r="J325" s="50" t="n">
        <f aca="false">H325*INDEX('Model Inputs &amp; Assumptions'!$D$40:$D$42,MATCH('Model Inputs &amp; Assumptions'!$L$28,'Model Inputs &amp; Assumptions'!$A$40:$A$42,0))*INDEX('Model Inputs &amp; Assumptions'!$H$40:$H$42,MATCH('Model Inputs &amp; Assumptions'!$L$28,'Model Inputs &amp; Assumptions'!$A$40:$A$42,0))</f>
        <v>153031.936344185</v>
      </c>
      <c r="K325" s="49" t="n">
        <f aca="false">H325*INDEX('Model Inputs &amp; Assumptions'!$G$40:$G$42,MATCH('Model Inputs &amp; Assumptions'!$L$28,'Model Inputs &amp; Assumptions'!$A$40:$A$42,0))*INDEX('Model Inputs &amp; Assumptions'!$H$40:$H$42,MATCH('Model Inputs &amp; Assumptions'!$L$28,'Model Inputs &amp; Assumptions'!$A$40:$A$42,0))</f>
        <v>3443.21856774416</v>
      </c>
      <c r="L325" s="51" t="n">
        <f aca="false">IFERROR(K325/I325,0)</f>
        <v>1.13689487188099</v>
      </c>
      <c r="M325" s="49" t="n">
        <f aca="false">IFERROR(I325/H325,0)</f>
        <v>168.221358658762</v>
      </c>
      <c r="N325" s="52" t="str">
        <f aca="false">'Model Inputs &amp; Assumptions'!$L$28</f>
        <v>PRD-EUAI</v>
      </c>
      <c r="P325" s="53" t="n">
        <v>0.161294</v>
      </c>
      <c r="Q325" s="53" t="n">
        <v>-0.007039</v>
      </c>
      <c r="R325" s="53" t="n">
        <v>-0.512244</v>
      </c>
      <c r="S325" s="53" t="n">
        <v>0.101067</v>
      </c>
    </row>
    <row r="326" customFormat="false" ht="15" hidden="false" customHeight="false" outlineLevel="0" collapsed="false">
      <c r="A326" s="43" t="n">
        <v>323</v>
      </c>
      <c r="B326" s="44" t="str">
        <f aca="false">'Model Inputs &amp; Assumptions'!$B$28</f>
        <v>finanzen.net — Q1 Awareness Burst</v>
      </c>
      <c r="C326" s="45" t="n">
        <f aca="false">ROUND(MAX(0,'Model Inputs &amp; Assumptions'!$S$28*EXP('Model Inputs &amp; Assumptions'!$T$28*P326-'Model Inputs &amp; Assumptions'!$T$28^2/2)),0)</f>
        <v>542746</v>
      </c>
      <c r="D326" s="46" t="n">
        <f aca="false">MIN(1,'Model Inputs &amp; Assumptions'!$U$28*EXP('Model Inputs &amp; Assumptions'!$V$28*Q326-'Model Inputs &amp; Assumptions'!$V$28^2/2))</f>
        <v>0</v>
      </c>
      <c r="E326" s="45" t="n">
        <f aca="false">ROUND(C326*D326,0)</f>
        <v>0</v>
      </c>
      <c r="F326" s="47" t="n">
        <f aca="false">MIN(1,'Model Inputs &amp; Assumptions'!$W$28*EXP('Model Inputs &amp; Assumptions'!$X$28*R326-'Model Inputs &amp; Assumptions'!$X$28^2/2))</f>
        <v>0.00165699998287281</v>
      </c>
      <c r="G326" s="45" t="n">
        <f aca="false">ROUND(C326*F326,0)</f>
        <v>899</v>
      </c>
      <c r="H326" s="48" t="n">
        <f aca="false">MAX(0,(C326*'Model Inputs &amp; Assumptions'!$N$28+E326*'Model Inputs &amp; Assumptions'!$O$28+G326*'Model Inputs &amp; Assumptions'!$P$28)*EXP('Model Inputs &amp; Assumptions'!$Q$28*S326-'Model Inputs &amp; Assumptions'!$Q$28^2/2))</f>
        <v>32.7212802086915</v>
      </c>
      <c r="I326" s="49" t="n">
        <f aca="false">IF('Model Inputs &amp; Assumptions'!$H$28="Fixed",'Model Inputs &amp; Assumptions'!$I$28*'Model Inputs &amp; Assumptions'!$K$28,IF('Model Inputs &amp; Assumptions'!$H$28="CPM",'Model Inputs &amp; Assumptions'!$I$28*'Model Inputs &amp; Assumptions'!$K$28*C326/1000,IF('Model Inputs &amp; Assumptions'!$H$28="CPC",'Model Inputs &amp; Assumptions'!$I$28*'Model Inputs &amp; Assumptions'!$K$28*G326,0)))</f>
        <v>3527.849</v>
      </c>
      <c r="J326" s="50" t="n">
        <f aca="false">H326*INDEX('Model Inputs &amp; Assumptions'!$D$40:$D$42,MATCH('Model Inputs &amp; Assumptions'!$L$28,'Model Inputs &amp; Assumptions'!$A$40:$A$42,0))*INDEX('Model Inputs &amp; Assumptions'!$H$40:$H$42,MATCH('Model Inputs &amp; Assumptions'!$L$28,'Model Inputs &amp; Assumptions'!$A$40:$A$42,0))</f>
        <v>278130.881773877</v>
      </c>
      <c r="K326" s="49" t="n">
        <f aca="false">H326*INDEX('Model Inputs &amp; Assumptions'!$G$40:$G$42,MATCH('Model Inputs &amp; Assumptions'!$L$28,'Model Inputs &amp; Assumptions'!$A$40:$A$42,0))*INDEX('Model Inputs &amp; Assumptions'!$H$40:$H$42,MATCH('Model Inputs &amp; Assumptions'!$L$28,'Model Inputs &amp; Assumptions'!$A$40:$A$42,0))</f>
        <v>6257.94483991224</v>
      </c>
      <c r="L326" s="51" t="n">
        <f aca="false">IFERROR(K326/I326,0)</f>
        <v>1.77386981129641</v>
      </c>
      <c r="M326" s="49" t="n">
        <f aca="false">IFERROR(I326/H326,0)</f>
        <v>107.815127571412</v>
      </c>
      <c r="N326" s="52" t="str">
        <f aca="false">'Model Inputs &amp; Assumptions'!$L$28</f>
        <v>PRD-EUAI</v>
      </c>
      <c r="P326" s="53" t="n">
        <v>1.008975</v>
      </c>
      <c r="Q326" s="53" t="n">
        <v>1.824031</v>
      </c>
      <c r="R326" s="53" t="n">
        <v>0.562471</v>
      </c>
      <c r="S326" s="53" t="n">
        <v>0.794335</v>
      </c>
    </row>
    <row r="327" customFormat="false" ht="15" hidden="false" customHeight="false" outlineLevel="0" collapsed="false">
      <c r="A327" s="43" t="n">
        <v>324</v>
      </c>
      <c r="B327" s="44" t="str">
        <f aca="false">'Model Inputs &amp; Assumptions'!$B$28</f>
        <v>finanzen.net — Q1 Awareness Burst</v>
      </c>
      <c r="C327" s="45" t="n">
        <f aca="false">ROUND(MAX(0,'Model Inputs &amp; Assumptions'!$S$28*EXP('Model Inputs &amp; Assumptions'!$T$28*P327-'Model Inputs &amp; Assumptions'!$T$28^2/2)),0)</f>
        <v>601001</v>
      </c>
      <c r="D327" s="46" t="n">
        <f aca="false">MIN(1,'Model Inputs &amp; Assumptions'!$U$28*EXP('Model Inputs &amp; Assumptions'!$V$28*Q327-'Model Inputs &amp; Assumptions'!$V$28^2/2))</f>
        <v>0</v>
      </c>
      <c r="E327" s="45" t="n">
        <f aca="false">ROUND(C327*D327,0)</f>
        <v>0</v>
      </c>
      <c r="F327" s="47" t="n">
        <f aca="false">MIN(1,'Model Inputs &amp; Assumptions'!$W$28*EXP('Model Inputs &amp; Assumptions'!$X$28*R327-'Model Inputs &amp; Assumptions'!$X$28^2/2))</f>
        <v>0.00128060106290561</v>
      </c>
      <c r="G327" s="45" t="n">
        <f aca="false">ROUND(C327*F327,0)</f>
        <v>770</v>
      </c>
      <c r="H327" s="48" t="n">
        <f aca="false">MAX(0,(C327*'Model Inputs &amp; Assumptions'!$N$28+E327*'Model Inputs &amp; Assumptions'!$O$28+G327*'Model Inputs &amp; Assumptions'!$P$28)*EXP('Model Inputs &amp; Assumptions'!$Q$28*S327-'Model Inputs &amp; Assumptions'!$Q$28^2/2))</f>
        <v>21.8436686997598</v>
      </c>
      <c r="I327" s="49" t="n">
        <f aca="false">IF('Model Inputs &amp; Assumptions'!$H$28="Fixed",'Model Inputs &amp; Assumptions'!$I$28*'Model Inputs &amp; Assumptions'!$K$28,IF('Model Inputs &amp; Assumptions'!$H$28="CPM",'Model Inputs &amp; Assumptions'!$I$28*'Model Inputs &amp; Assumptions'!$K$28*C327/1000,IF('Model Inputs &amp; Assumptions'!$H$28="CPC",'Model Inputs &amp; Assumptions'!$I$28*'Model Inputs &amp; Assumptions'!$K$28*G327,0)))</f>
        <v>3906.5065</v>
      </c>
      <c r="J327" s="50" t="n">
        <f aca="false">H327*INDEX('Model Inputs &amp; Assumptions'!$D$40:$D$42,MATCH('Model Inputs &amp; Assumptions'!$L$28,'Model Inputs &amp; Assumptions'!$A$40:$A$42,0))*INDEX('Model Inputs &amp; Assumptions'!$H$40:$H$42,MATCH('Model Inputs &amp; Assumptions'!$L$28,'Model Inputs &amp; Assumptions'!$A$40:$A$42,0))</f>
        <v>185671.183947958</v>
      </c>
      <c r="K327" s="49" t="n">
        <f aca="false">H327*INDEX('Model Inputs &amp; Assumptions'!$G$40:$G$42,MATCH('Model Inputs &amp; Assumptions'!$L$28,'Model Inputs &amp; Assumptions'!$A$40:$A$42,0))*INDEX('Model Inputs &amp; Assumptions'!$H$40:$H$42,MATCH('Model Inputs &amp; Assumptions'!$L$28,'Model Inputs &amp; Assumptions'!$A$40:$A$42,0))</f>
        <v>4177.60163882906</v>
      </c>
      <c r="L327" s="51" t="n">
        <f aca="false">IFERROR(K327/I327,0)</f>
        <v>1.06939579873451</v>
      </c>
      <c r="M327" s="49" t="n">
        <f aca="false">IFERROR(I327/H327,0)</f>
        <v>178.839303676262</v>
      </c>
      <c r="N327" s="52" t="str">
        <f aca="false">'Model Inputs &amp; Assumptions'!$L$28</f>
        <v>PRD-EUAI</v>
      </c>
      <c r="P327" s="53" t="n">
        <v>1.575393</v>
      </c>
      <c r="Q327" s="53" t="n">
        <v>-0.105325</v>
      </c>
      <c r="R327" s="53" t="n">
        <v>-0.608798</v>
      </c>
      <c r="S327" s="53" t="n">
        <v>-0.036405</v>
      </c>
    </row>
    <row r="328" customFormat="false" ht="15" hidden="false" customHeight="false" outlineLevel="0" collapsed="false">
      <c r="A328" s="43" t="n">
        <v>325</v>
      </c>
      <c r="B328" s="44" t="str">
        <f aca="false">'Model Inputs &amp; Assumptions'!$B$28</f>
        <v>finanzen.net — Q1 Awareness Burst</v>
      </c>
      <c r="C328" s="45" t="n">
        <f aca="false">ROUND(MAX(0,'Model Inputs &amp; Assumptions'!$S$28*EXP('Model Inputs &amp; Assumptions'!$T$28*P328-'Model Inputs &amp; Assumptions'!$T$28^2/2)),0)</f>
        <v>403756</v>
      </c>
      <c r="D328" s="46" t="n">
        <f aca="false">MIN(1,'Model Inputs &amp; Assumptions'!$U$28*EXP('Model Inputs &amp; Assumptions'!$V$28*Q328-'Model Inputs &amp; Assumptions'!$V$28^2/2))</f>
        <v>0</v>
      </c>
      <c r="E328" s="45" t="n">
        <f aca="false">ROUND(C328*D328,0)</f>
        <v>0</v>
      </c>
      <c r="F328" s="47" t="n">
        <f aca="false">MIN(1,'Model Inputs &amp; Assumptions'!$W$28*EXP('Model Inputs &amp; Assumptions'!$X$28*R328-'Model Inputs &amp; Assumptions'!$X$28^2/2))</f>
        <v>0.00172063537745349</v>
      </c>
      <c r="G328" s="45" t="n">
        <f aca="false">ROUND(C328*F328,0)</f>
        <v>695</v>
      </c>
      <c r="H328" s="48" t="n">
        <f aca="false">MAX(0,(C328*'Model Inputs &amp; Assumptions'!$N$28+E328*'Model Inputs &amp; Assumptions'!$O$28+G328*'Model Inputs &amp; Assumptions'!$P$28)*EXP('Model Inputs &amp; Assumptions'!$Q$28*S328-'Model Inputs &amp; Assumptions'!$Q$28^2/2))</f>
        <v>22.280834026988</v>
      </c>
      <c r="I328" s="49" t="n">
        <f aca="false">IF('Model Inputs &amp; Assumptions'!$H$28="Fixed",'Model Inputs &amp; Assumptions'!$I$28*'Model Inputs &amp; Assumptions'!$K$28,IF('Model Inputs &amp; Assumptions'!$H$28="CPM",'Model Inputs &amp; Assumptions'!$I$28*'Model Inputs &amp; Assumptions'!$K$28*C328/1000,IF('Model Inputs &amp; Assumptions'!$H$28="CPC",'Model Inputs &amp; Assumptions'!$I$28*'Model Inputs &amp; Assumptions'!$K$28*G328,0)))</f>
        <v>2624.414</v>
      </c>
      <c r="J328" s="50" t="n">
        <f aca="false">H328*INDEX('Model Inputs &amp; Assumptions'!$D$40:$D$42,MATCH('Model Inputs &amp; Assumptions'!$L$28,'Model Inputs &amp; Assumptions'!$A$40:$A$42,0))*INDEX('Model Inputs &amp; Assumptions'!$H$40:$H$42,MATCH('Model Inputs &amp; Assumptions'!$L$28,'Model Inputs &amp; Assumptions'!$A$40:$A$42,0))</f>
        <v>189387.089229398</v>
      </c>
      <c r="K328" s="49" t="n">
        <f aca="false">H328*INDEX('Model Inputs &amp; Assumptions'!$G$40:$G$42,MATCH('Model Inputs &amp; Assumptions'!$L$28,'Model Inputs &amp; Assumptions'!$A$40:$A$42,0))*INDEX('Model Inputs &amp; Assumptions'!$H$40:$H$42,MATCH('Model Inputs &amp; Assumptions'!$L$28,'Model Inputs &amp; Assumptions'!$A$40:$A$42,0))</f>
        <v>4261.20950766146</v>
      </c>
      <c r="L328" s="51" t="n">
        <f aca="false">IFERROR(K328/I328,0)</f>
        <v>1.62368037499475</v>
      </c>
      <c r="M328" s="49" t="n">
        <f aca="false">IFERROR(I328/H328,0)</f>
        <v>117.78796057729</v>
      </c>
      <c r="N328" s="52" t="str">
        <f aca="false">'Model Inputs &amp; Assumptions'!$L$28</f>
        <v>PRD-EUAI</v>
      </c>
      <c r="P328" s="53" t="n">
        <v>-0.634534</v>
      </c>
      <c r="Q328" s="53" t="n">
        <v>-1.095271</v>
      </c>
      <c r="R328" s="53" t="n">
        <v>0.733766</v>
      </c>
      <c r="S328" s="53" t="n">
        <v>0.371243</v>
      </c>
    </row>
    <row r="329" customFormat="false" ht="15" hidden="false" customHeight="false" outlineLevel="0" collapsed="false">
      <c r="A329" s="43" t="n">
        <v>326</v>
      </c>
      <c r="B329" s="44" t="str">
        <f aca="false">'Model Inputs &amp; Assumptions'!$B$28</f>
        <v>finanzen.net — Q1 Awareness Burst</v>
      </c>
      <c r="C329" s="45" t="n">
        <f aca="false">ROUND(MAX(0,'Model Inputs &amp; Assumptions'!$S$28*EXP('Model Inputs &amp; Assumptions'!$T$28*P329-'Model Inputs &amp; Assumptions'!$T$28^2/2)),0)</f>
        <v>333557</v>
      </c>
      <c r="D329" s="46" t="n">
        <f aca="false">MIN(1,'Model Inputs &amp; Assumptions'!$U$28*EXP('Model Inputs &amp; Assumptions'!$V$28*Q329-'Model Inputs &amp; Assumptions'!$V$28^2/2))</f>
        <v>0</v>
      </c>
      <c r="E329" s="45" t="n">
        <f aca="false">ROUND(C329*D329,0)</f>
        <v>0</v>
      </c>
      <c r="F329" s="47" t="n">
        <f aca="false">MIN(1,'Model Inputs &amp; Assumptions'!$W$28*EXP('Model Inputs &amp; Assumptions'!$X$28*R329-'Model Inputs &amp; Assumptions'!$X$28^2/2))</f>
        <v>0.00132260652288055</v>
      </c>
      <c r="G329" s="45" t="n">
        <f aca="false">ROUND(C329*F329,0)</f>
        <v>441</v>
      </c>
      <c r="H329" s="48" t="n">
        <f aca="false">MAX(0,(C329*'Model Inputs &amp; Assumptions'!$N$28+E329*'Model Inputs &amp; Assumptions'!$O$28+G329*'Model Inputs &amp; Assumptions'!$P$28)*EXP('Model Inputs &amp; Assumptions'!$Q$28*S329-'Model Inputs &amp; Assumptions'!$Q$28^2/2))</f>
        <v>11.0771018157333</v>
      </c>
      <c r="I329" s="49" t="n">
        <f aca="false">IF('Model Inputs &amp; Assumptions'!$H$28="Fixed",'Model Inputs &amp; Assumptions'!$I$28*'Model Inputs &amp; Assumptions'!$K$28,IF('Model Inputs &amp; Assumptions'!$H$28="CPM",'Model Inputs &amp; Assumptions'!$I$28*'Model Inputs &amp; Assumptions'!$K$28*C329/1000,IF('Model Inputs &amp; Assumptions'!$H$28="CPC",'Model Inputs &amp; Assumptions'!$I$28*'Model Inputs &amp; Assumptions'!$K$28*G329,0)))</f>
        <v>2168.1205</v>
      </c>
      <c r="J329" s="50" t="n">
        <f aca="false">H329*INDEX('Model Inputs &amp; Assumptions'!$D$40:$D$42,MATCH('Model Inputs &amp; Assumptions'!$L$28,'Model Inputs &amp; Assumptions'!$A$40:$A$42,0))*INDEX('Model Inputs &amp; Assumptions'!$H$40:$H$42,MATCH('Model Inputs &amp; Assumptions'!$L$28,'Model Inputs &amp; Assumptions'!$A$40:$A$42,0))</f>
        <v>94155.3654337328</v>
      </c>
      <c r="K329" s="49" t="n">
        <f aca="false">H329*INDEX('Model Inputs &amp; Assumptions'!$G$40:$G$42,MATCH('Model Inputs &amp; Assumptions'!$L$28,'Model Inputs &amp; Assumptions'!$A$40:$A$42,0))*INDEX('Model Inputs &amp; Assumptions'!$H$40:$H$42,MATCH('Model Inputs &amp; Assumptions'!$L$28,'Model Inputs &amp; Assumptions'!$A$40:$A$42,0))</f>
        <v>2118.49572225899</v>
      </c>
      <c r="L329" s="51" t="n">
        <f aca="false">IFERROR(K329/I329,0)</f>
        <v>0.977111614533873</v>
      </c>
      <c r="M329" s="49" t="n">
        <f aca="false">IFERROR(I329/H329,0)</f>
        <v>195.729942368186</v>
      </c>
      <c r="N329" s="52" t="str">
        <f aca="false">'Model Inputs &amp; Assumptions'!$L$28</f>
        <v>PRD-EUAI</v>
      </c>
      <c r="P329" s="53" t="n">
        <v>-1.695626</v>
      </c>
      <c r="Q329" s="53" t="n">
        <v>0.278577</v>
      </c>
      <c r="R329" s="53" t="n">
        <v>-0.462094</v>
      </c>
      <c r="S329" s="53" t="n">
        <v>-0.442023</v>
      </c>
    </row>
    <row r="330" customFormat="false" ht="15" hidden="false" customHeight="false" outlineLevel="0" collapsed="false">
      <c r="A330" s="43" t="n">
        <v>327</v>
      </c>
      <c r="B330" s="44" t="str">
        <f aca="false">'Model Inputs &amp; Assumptions'!$B$28</f>
        <v>finanzen.net — Q1 Awareness Burst</v>
      </c>
      <c r="C330" s="45" t="n">
        <f aca="false">ROUND(MAX(0,'Model Inputs &amp; Assumptions'!$S$28*EXP('Model Inputs &amp; Assumptions'!$T$28*P330-'Model Inputs &amp; Assumptions'!$T$28^2/2)),0)</f>
        <v>429727</v>
      </c>
      <c r="D330" s="46" t="n">
        <f aca="false">MIN(1,'Model Inputs &amp; Assumptions'!$U$28*EXP('Model Inputs &amp; Assumptions'!$V$28*Q330-'Model Inputs &amp; Assumptions'!$V$28^2/2))</f>
        <v>0</v>
      </c>
      <c r="E330" s="45" t="n">
        <f aca="false">ROUND(C330*D330,0)</f>
        <v>0</v>
      </c>
      <c r="F330" s="47" t="n">
        <f aca="false">MIN(1,'Model Inputs &amp; Assumptions'!$W$28*EXP('Model Inputs &amp; Assumptions'!$X$28*R330-'Model Inputs &amp; Assumptions'!$X$28^2/2))</f>
        <v>0.00133921452685673</v>
      </c>
      <c r="G330" s="45" t="n">
        <f aca="false">ROUND(C330*F330,0)</f>
        <v>575</v>
      </c>
      <c r="H330" s="48" t="n">
        <f aca="false">MAX(0,(C330*'Model Inputs &amp; Assumptions'!$N$28+E330*'Model Inputs &amp; Assumptions'!$O$28+G330*'Model Inputs &amp; Assumptions'!$P$28)*EXP('Model Inputs &amp; Assumptions'!$Q$28*S330-'Model Inputs &amp; Assumptions'!$Q$28^2/2))</f>
        <v>11.4467808669227</v>
      </c>
      <c r="I330" s="49" t="n">
        <f aca="false">IF('Model Inputs &amp; Assumptions'!$H$28="Fixed",'Model Inputs &amp; Assumptions'!$I$28*'Model Inputs &amp; Assumptions'!$K$28,IF('Model Inputs &amp; Assumptions'!$H$28="CPM",'Model Inputs &amp; Assumptions'!$I$28*'Model Inputs &amp; Assumptions'!$K$28*C330/1000,IF('Model Inputs &amp; Assumptions'!$H$28="CPC",'Model Inputs &amp; Assumptions'!$I$28*'Model Inputs &amp; Assumptions'!$K$28*G330,0)))</f>
        <v>2793.2255</v>
      </c>
      <c r="J330" s="50" t="n">
        <f aca="false">H330*INDEX('Model Inputs &amp; Assumptions'!$D$40:$D$42,MATCH('Model Inputs &amp; Assumptions'!$L$28,'Model Inputs &amp; Assumptions'!$A$40:$A$42,0))*INDEX('Model Inputs &amp; Assumptions'!$H$40:$H$42,MATCH('Model Inputs &amp; Assumptions'!$L$28,'Model Inputs &amp; Assumptions'!$A$40:$A$42,0))</f>
        <v>97297.6373688426</v>
      </c>
      <c r="K330" s="49" t="n">
        <f aca="false">H330*INDEX('Model Inputs &amp; Assumptions'!$G$40:$G$42,MATCH('Model Inputs &amp; Assumptions'!$L$28,'Model Inputs &amp; Assumptions'!$A$40:$A$42,0))*INDEX('Model Inputs &amp; Assumptions'!$H$40:$H$42,MATCH('Model Inputs &amp; Assumptions'!$L$28,'Model Inputs &amp; Assumptions'!$A$40:$A$42,0))</f>
        <v>2189.19684079896</v>
      </c>
      <c r="L330" s="51" t="n">
        <f aca="false">IFERROR(K330/I330,0)</f>
        <v>0.783752275209774</v>
      </c>
      <c r="M330" s="49" t="n">
        <f aca="false">IFERROR(I330/H330,0)</f>
        <v>244.018430375607</v>
      </c>
      <c r="N330" s="52" t="str">
        <f aca="false">'Model Inputs &amp; Assumptions'!$L$28</f>
        <v>PRD-EUAI</v>
      </c>
      <c r="P330" s="53" t="n">
        <v>-0.288199</v>
      </c>
      <c r="Q330" s="53" t="n">
        <v>-0.371149</v>
      </c>
      <c r="R330" s="53" t="n">
        <v>-0.405372</v>
      </c>
      <c r="S330" s="53" t="n">
        <v>-1.217012</v>
      </c>
    </row>
    <row r="331" customFormat="false" ht="15" hidden="false" customHeight="false" outlineLevel="0" collapsed="false">
      <c r="A331" s="43" t="n">
        <v>328</v>
      </c>
      <c r="B331" s="44" t="str">
        <f aca="false">'Model Inputs &amp; Assumptions'!$B$28</f>
        <v>finanzen.net — Q1 Awareness Burst</v>
      </c>
      <c r="C331" s="45" t="n">
        <f aca="false">ROUND(MAX(0,'Model Inputs &amp; Assumptions'!$S$28*EXP('Model Inputs &amp; Assumptions'!$T$28*P331-'Model Inputs &amp; Assumptions'!$T$28^2/2)),0)</f>
        <v>399926</v>
      </c>
      <c r="D331" s="46" t="n">
        <f aca="false">MIN(1,'Model Inputs &amp; Assumptions'!$U$28*EXP('Model Inputs &amp; Assumptions'!$V$28*Q331-'Model Inputs &amp; Assumptions'!$V$28^2/2))</f>
        <v>0</v>
      </c>
      <c r="E331" s="45" t="n">
        <f aca="false">ROUND(C331*D331,0)</f>
        <v>0</v>
      </c>
      <c r="F331" s="47" t="n">
        <f aca="false">MIN(1,'Model Inputs &amp; Assumptions'!$W$28*EXP('Model Inputs &amp; Assumptions'!$X$28*R331-'Model Inputs &amp; Assumptions'!$X$28^2/2))</f>
        <v>0.00119403366308101</v>
      </c>
      <c r="G331" s="45" t="n">
        <f aca="false">ROUND(C331*F331,0)</f>
        <v>478</v>
      </c>
      <c r="H331" s="48" t="n">
        <f aca="false">MAX(0,(C331*'Model Inputs &amp; Assumptions'!$N$28+E331*'Model Inputs &amp; Assumptions'!$O$28+G331*'Model Inputs &amp; Assumptions'!$P$28)*EXP('Model Inputs &amp; Assumptions'!$Q$28*S331-'Model Inputs &amp; Assumptions'!$Q$28^2/2))</f>
        <v>10.9381429632948</v>
      </c>
      <c r="I331" s="49" t="n">
        <f aca="false">IF('Model Inputs &amp; Assumptions'!$H$28="Fixed",'Model Inputs &amp; Assumptions'!$I$28*'Model Inputs &amp; Assumptions'!$K$28,IF('Model Inputs &amp; Assumptions'!$H$28="CPM",'Model Inputs &amp; Assumptions'!$I$28*'Model Inputs &amp; Assumptions'!$K$28*C331/1000,IF('Model Inputs &amp; Assumptions'!$H$28="CPC",'Model Inputs &amp; Assumptions'!$I$28*'Model Inputs &amp; Assumptions'!$K$28*G331,0)))</f>
        <v>2599.519</v>
      </c>
      <c r="J331" s="50" t="n">
        <f aca="false">H331*INDEX('Model Inputs &amp; Assumptions'!$D$40:$D$42,MATCH('Model Inputs &amp; Assumptions'!$L$28,'Model Inputs &amp; Assumptions'!$A$40:$A$42,0))*INDEX('Model Inputs &amp; Assumptions'!$H$40:$H$42,MATCH('Model Inputs &amp; Assumptions'!$L$28,'Model Inputs &amp; Assumptions'!$A$40:$A$42,0))</f>
        <v>92974.2151880058</v>
      </c>
      <c r="K331" s="49" t="n">
        <f aca="false">H331*INDEX('Model Inputs &amp; Assumptions'!$G$40:$G$42,MATCH('Model Inputs &amp; Assumptions'!$L$28,'Model Inputs &amp; Assumptions'!$A$40:$A$42,0))*INDEX('Model Inputs &amp; Assumptions'!$H$40:$H$42,MATCH('Model Inputs &amp; Assumptions'!$L$28,'Model Inputs &amp; Assumptions'!$A$40:$A$42,0))</f>
        <v>2091.91984173013</v>
      </c>
      <c r="L331" s="51" t="n">
        <f aca="false">IFERROR(K331/I331,0)</f>
        <v>0.804733430196175</v>
      </c>
      <c r="M331" s="49" t="n">
        <f aca="false">IFERROR(I331/H331,0)</f>
        <v>237.656337892385</v>
      </c>
      <c r="N331" s="52" t="str">
        <f aca="false">'Model Inputs &amp; Assumptions'!$L$28</f>
        <v>PRD-EUAI</v>
      </c>
      <c r="P331" s="53" t="n">
        <v>-0.68748</v>
      </c>
      <c r="Q331" s="53" t="n">
        <v>-0.560201</v>
      </c>
      <c r="R331" s="53" t="n">
        <v>-0.926945</v>
      </c>
      <c r="S331" s="53" t="n">
        <v>-0.752656</v>
      </c>
    </row>
    <row r="332" customFormat="false" ht="15" hidden="false" customHeight="false" outlineLevel="0" collapsed="false">
      <c r="A332" s="43" t="n">
        <v>329</v>
      </c>
      <c r="B332" s="44" t="str">
        <f aca="false">'Model Inputs &amp; Assumptions'!$B$28</f>
        <v>finanzen.net — Q1 Awareness Burst</v>
      </c>
      <c r="C332" s="45" t="n">
        <f aca="false">ROUND(MAX(0,'Model Inputs &amp; Assumptions'!$S$28*EXP('Model Inputs &amp; Assumptions'!$T$28*P332-'Model Inputs &amp; Assumptions'!$T$28^2/2)),0)</f>
        <v>411039</v>
      </c>
      <c r="D332" s="46" t="n">
        <f aca="false">MIN(1,'Model Inputs &amp; Assumptions'!$U$28*EXP('Model Inputs &amp; Assumptions'!$V$28*Q332-'Model Inputs &amp; Assumptions'!$V$28^2/2))</f>
        <v>0</v>
      </c>
      <c r="E332" s="45" t="n">
        <f aca="false">ROUND(C332*D332,0)</f>
        <v>0</v>
      </c>
      <c r="F332" s="47" t="n">
        <f aca="false">MIN(1,'Model Inputs &amp; Assumptions'!$W$28*EXP('Model Inputs &amp; Assumptions'!$X$28*R332-'Model Inputs &amp; Assumptions'!$X$28^2/2))</f>
        <v>0.0015385353433329</v>
      </c>
      <c r="G332" s="45" t="n">
        <f aca="false">ROUND(C332*F332,0)</f>
        <v>632</v>
      </c>
      <c r="H332" s="48" t="n">
        <f aca="false">MAX(0,(C332*'Model Inputs &amp; Assumptions'!$N$28+E332*'Model Inputs &amp; Assumptions'!$O$28+G332*'Model Inputs &amp; Assumptions'!$P$28)*EXP('Model Inputs &amp; Assumptions'!$Q$28*S332-'Model Inputs &amp; Assumptions'!$Q$28^2/2))</f>
        <v>19.2805881963577</v>
      </c>
      <c r="I332" s="49" t="n">
        <f aca="false">IF('Model Inputs &amp; Assumptions'!$H$28="Fixed",'Model Inputs &amp; Assumptions'!$I$28*'Model Inputs &amp; Assumptions'!$K$28,IF('Model Inputs &amp; Assumptions'!$H$28="CPM",'Model Inputs &amp; Assumptions'!$I$28*'Model Inputs &amp; Assumptions'!$K$28*C332/1000,IF('Model Inputs &amp; Assumptions'!$H$28="CPC",'Model Inputs &amp; Assumptions'!$I$28*'Model Inputs &amp; Assumptions'!$K$28*G332,0)))</f>
        <v>2671.7535</v>
      </c>
      <c r="J332" s="50" t="n">
        <f aca="false">H332*INDEX('Model Inputs &amp; Assumptions'!$D$40:$D$42,MATCH('Model Inputs &amp; Assumptions'!$L$28,'Model Inputs &amp; Assumptions'!$A$40:$A$42,0))*INDEX('Model Inputs &amp; Assumptions'!$H$40:$H$42,MATCH('Model Inputs &amp; Assumptions'!$L$28,'Model Inputs &amp; Assumptions'!$A$40:$A$42,0))</f>
        <v>163884.99966904</v>
      </c>
      <c r="K332" s="49" t="n">
        <f aca="false">H332*INDEX('Model Inputs &amp; Assumptions'!$G$40:$G$42,MATCH('Model Inputs &amp; Assumptions'!$L$28,'Model Inputs &amp; Assumptions'!$A$40:$A$42,0))*INDEX('Model Inputs &amp; Assumptions'!$H$40:$H$42,MATCH('Model Inputs &amp; Assumptions'!$L$28,'Model Inputs &amp; Assumptions'!$A$40:$A$42,0))</f>
        <v>3687.41249255341</v>
      </c>
      <c r="L332" s="51" t="n">
        <f aca="false">IFERROR(K332/I332,0)</f>
        <v>1.38014696810668</v>
      </c>
      <c r="M332" s="49" t="n">
        <f aca="false">IFERROR(I332/H332,0)</f>
        <v>138.572198772687</v>
      </c>
      <c r="N332" s="52" t="str">
        <f aca="false">'Model Inputs &amp; Assumptions'!$L$28</f>
        <v>PRD-EUAI</v>
      </c>
      <c r="P332" s="53" t="n">
        <v>-0.535213</v>
      </c>
      <c r="Q332" s="53" t="n">
        <v>0.03029</v>
      </c>
      <c r="R332" s="53" t="n">
        <v>0.225299</v>
      </c>
      <c r="S332" s="53" t="n">
        <v>0.205891</v>
      </c>
    </row>
    <row r="333" customFormat="false" ht="15" hidden="false" customHeight="false" outlineLevel="0" collapsed="false">
      <c r="A333" s="43" t="n">
        <v>330</v>
      </c>
      <c r="B333" s="44" t="str">
        <f aca="false">'Model Inputs &amp; Assumptions'!$B$28</f>
        <v>finanzen.net — Q1 Awareness Burst</v>
      </c>
      <c r="C333" s="45" t="n">
        <f aca="false">ROUND(MAX(0,'Model Inputs &amp; Assumptions'!$S$28*EXP('Model Inputs &amp; Assumptions'!$T$28*P333-'Model Inputs &amp; Assumptions'!$T$28^2/2)),0)</f>
        <v>508315</v>
      </c>
      <c r="D333" s="46" t="n">
        <f aca="false">MIN(1,'Model Inputs &amp; Assumptions'!$U$28*EXP('Model Inputs &amp; Assumptions'!$V$28*Q333-'Model Inputs &amp; Assumptions'!$V$28^2/2))</f>
        <v>0</v>
      </c>
      <c r="E333" s="45" t="n">
        <f aca="false">ROUND(C333*D333,0)</f>
        <v>0</v>
      </c>
      <c r="F333" s="47" t="n">
        <f aca="false">MIN(1,'Model Inputs &amp; Assumptions'!$W$28*EXP('Model Inputs &amp; Assumptions'!$X$28*R333-'Model Inputs &amp; Assumptions'!$X$28^2/2))</f>
        <v>0.00203573470494464</v>
      </c>
      <c r="G333" s="45" t="n">
        <f aca="false">ROUND(C333*F333,0)</f>
        <v>1035</v>
      </c>
      <c r="H333" s="48" t="n">
        <f aca="false">MAX(0,(C333*'Model Inputs &amp; Assumptions'!$N$28+E333*'Model Inputs &amp; Assumptions'!$O$28+G333*'Model Inputs &amp; Assumptions'!$P$28)*EXP('Model Inputs &amp; Assumptions'!$Q$28*S333-'Model Inputs &amp; Assumptions'!$Q$28^2/2))</f>
        <v>28.0803742870448</v>
      </c>
      <c r="I333" s="49" t="n">
        <f aca="false">IF('Model Inputs &amp; Assumptions'!$H$28="Fixed",'Model Inputs &amp; Assumptions'!$I$28*'Model Inputs &amp; Assumptions'!$K$28,IF('Model Inputs &amp; Assumptions'!$H$28="CPM",'Model Inputs &amp; Assumptions'!$I$28*'Model Inputs &amp; Assumptions'!$K$28*C333/1000,IF('Model Inputs &amp; Assumptions'!$H$28="CPC",'Model Inputs &amp; Assumptions'!$I$28*'Model Inputs &amp; Assumptions'!$K$28*G333,0)))</f>
        <v>3304.0475</v>
      </c>
      <c r="J333" s="50" t="n">
        <f aca="false">H333*INDEX('Model Inputs &amp; Assumptions'!$D$40:$D$42,MATCH('Model Inputs &amp; Assumptions'!$L$28,'Model Inputs &amp; Assumptions'!$A$40:$A$42,0))*INDEX('Model Inputs &amp; Assumptions'!$H$40:$H$42,MATCH('Model Inputs &amp; Assumptions'!$L$28,'Model Inputs &amp; Assumptions'!$A$40:$A$42,0))</f>
        <v>238683.181439881</v>
      </c>
      <c r="K333" s="49" t="n">
        <f aca="false">H333*INDEX('Model Inputs &amp; Assumptions'!$G$40:$G$42,MATCH('Model Inputs &amp; Assumptions'!$L$28,'Model Inputs &amp; Assumptions'!$A$40:$A$42,0))*INDEX('Model Inputs &amp; Assumptions'!$H$40:$H$42,MATCH('Model Inputs &amp; Assumptions'!$L$28,'Model Inputs &amp; Assumptions'!$A$40:$A$42,0))</f>
        <v>5370.37158239732</v>
      </c>
      <c r="L333" s="51" t="n">
        <f aca="false">IFERROR(K333/I333,0)</f>
        <v>1.62539176037793</v>
      </c>
      <c r="M333" s="49" t="n">
        <f aca="false">IFERROR(I333/H333,0)</f>
        <v>117.663940880032</v>
      </c>
      <c r="N333" s="52" t="str">
        <f aca="false">'Model Inputs &amp; Assumptions'!$L$28</f>
        <v>PRD-EUAI</v>
      </c>
      <c r="P333" s="53" t="n">
        <v>0.644864</v>
      </c>
      <c r="Q333" s="53" t="n">
        <v>-0.658562</v>
      </c>
      <c r="R333" s="53" t="n">
        <v>1.498144</v>
      </c>
      <c r="S333" s="53" t="n">
        <v>-0.185093</v>
      </c>
    </row>
    <row r="334" customFormat="false" ht="15" hidden="false" customHeight="false" outlineLevel="0" collapsed="false">
      <c r="A334" s="43" t="n">
        <v>331</v>
      </c>
      <c r="B334" s="44" t="str">
        <f aca="false">'Model Inputs &amp; Assumptions'!$B$28</f>
        <v>finanzen.net — Q1 Awareness Burst</v>
      </c>
      <c r="C334" s="45" t="n">
        <f aca="false">ROUND(MAX(0,'Model Inputs &amp; Assumptions'!$S$28*EXP('Model Inputs &amp; Assumptions'!$T$28*P334-'Model Inputs &amp; Assumptions'!$T$28^2/2)),0)</f>
        <v>376576</v>
      </c>
      <c r="D334" s="46" t="n">
        <f aca="false">MIN(1,'Model Inputs &amp; Assumptions'!$U$28*EXP('Model Inputs &amp; Assumptions'!$V$28*Q334-'Model Inputs &amp; Assumptions'!$V$28^2/2))</f>
        <v>0</v>
      </c>
      <c r="E334" s="45" t="n">
        <f aca="false">ROUND(C334*D334,0)</f>
        <v>0</v>
      </c>
      <c r="F334" s="47" t="n">
        <f aca="false">MIN(1,'Model Inputs &amp; Assumptions'!$W$28*EXP('Model Inputs &amp; Assumptions'!$X$28*R334-'Model Inputs &amp; Assumptions'!$X$28^2/2))</f>
        <v>0.00160372499959344</v>
      </c>
      <c r="G334" s="45" t="n">
        <f aca="false">ROUND(C334*F334,0)</f>
        <v>604</v>
      </c>
      <c r="H334" s="48" t="n">
        <f aca="false">MAX(0,(C334*'Model Inputs &amp; Assumptions'!$N$28+E334*'Model Inputs &amp; Assumptions'!$O$28+G334*'Model Inputs &amp; Assumptions'!$P$28)*EXP('Model Inputs &amp; Assumptions'!$Q$28*S334-'Model Inputs &amp; Assumptions'!$Q$28^2/2))</f>
        <v>10.8371798488112</v>
      </c>
      <c r="I334" s="49" t="n">
        <f aca="false">IF('Model Inputs &amp; Assumptions'!$H$28="Fixed",'Model Inputs &amp; Assumptions'!$I$28*'Model Inputs &amp; Assumptions'!$K$28,IF('Model Inputs &amp; Assumptions'!$H$28="CPM",'Model Inputs &amp; Assumptions'!$I$28*'Model Inputs &amp; Assumptions'!$K$28*C334/1000,IF('Model Inputs &amp; Assumptions'!$H$28="CPC",'Model Inputs &amp; Assumptions'!$I$28*'Model Inputs &amp; Assumptions'!$K$28*G334,0)))</f>
        <v>2447.744</v>
      </c>
      <c r="J334" s="50" t="n">
        <f aca="false">H334*INDEX('Model Inputs &amp; Assumptions'!$D$40:$D$42,MATCH('Model Inputs &amp; Assumptions'!$L$28,'Model Inputs &amp; Assumptions'!$A$40:$A$42,0))*INDEX('Model Inputs &amp; Assumptions'!$H$40:$H$42,MATCH('Model Inputs &amp; Assumptions'!$L$28,'Model Inputs &amp; Assumptions'!$A$40:$A$42,0))</f>
        <v>92116.0287148954</v>
      </c>
      <c r="K334" s="49" t="n">
        <f aca="false">H334*INDEX('Model Inputs &amp; Assumptions'!$G$40:$G$42,MATCH('Model Inputs &amp; Assumptions'!$L$28,'Model Inputs &amp; Assumptions'!$A$40:$A$42,0))*INDEX('Model Inputs &amp; Assumptions'!$H$40:$H$42,MATCH('Model Inputs &amp; Assumptions'!$L$28,'Model Inputs &amp; Assumptions'!$A$40:$A$42,0))</f>
        <v>2072.61064608515</v>
      </c>
      <c r="L334" s="51" t="n">
        <f aca="false">IFERROR(K334/I334,0)</f>
        <v>0.846743223999383</v>
      </c>
      <c r="M334" s="49" t="n">
        <f aca="false">IFERROR(I334/H334,0)</f>
        <v>225.865403559627</v>
      </c>
      <c r="N334" s="52" t="str">
        <f aca="false">'Model Inputs &amp; Assumptions'!$L$28</f>
        <v>PRD-EUAI</v>
      </c>
      <c r="P334" s="53" t="n">
        <v>-1.021705</v>
      </c>
      <c r="Q334" s="53" t="n">
        <v>-1.759481</v>
      </c>
      <c r="R334" s="53" t="n">
        <v>0.413927</v>
      </c>
      <c r="S334" s="53" t="n">
        <v>-1.563445</v>
      </c>
    </row>
    <row r="335" customFormat="false" ht="15" hidden="false" customHeight="false" outlineLevel="0" collapsed="false">
      <c r="A335" s="43" t="n">
        <v>332</v>
      </c>
      <c r="B335" s="44" t="str">
        <f aca="false">'Model Inputs &amp; Assumptions'!$B$28</f>
        <v>finanzen.net — Q1 Awareness Burst</v>
      </c>
      <c r="C335" s="45" t="n">
        <f aca="false">ROUND(MAX(0,'Model Inputs &amp; Assumptions'!$S$28*EXP('Model Inputs &amp; Assumptions'!$T$28*P335-'Model Inputs &amp; Assumptions'!$T$28^2/2)),0)</f>
        <v>449725</v>
      </c>
      <c r="D335" s="46" t="n">
        <f aca="false">MIN(1,'Model Inputs &amp; Assumptions'!$U$28*EXP('Model Inputs &amp; Assumptions'!$V$28*Q335-'Model Inputs &amp; Assumptions'!$V$28^2/2))</f>
        <v>0</v>
      </c>
      <c r="E335" s="45" t="n">
        <f aca="false">ROUND(C335*D335,0)</f>
        <v>0</v>
      </c>
      <c r="F335" s="47" t="n">
        <f aca="false">MIN(1,'Model Inputs &amp; Assumptions'!$W$28*EXP('Model Inputs &amp; Assumptions'!$X$28*R335-'Model Inputs &amp; Assumptions'!$X$28^2/2))</f>
        <v>0.00138283924309727</v>
      </c>
      <c r="G335" s="45" t="n">
        <f aca="false">ROUND(C335*F335,0)</f>
        <v>622</v>
      </c>
      <c r="H335" s="48" t="n">
        <f aca="false">MAX(0,(C335*'Model Inputs &amp; Assumptions'!$N$28+E335*'Model Inputs &amp; Assumptions'!$O$28+G335*'Model Inputs &amp; Assumptions'!$P$28)*EXP('Model Inputs &amp; Assumptions'!$Q$28*S335-'Model Inputs &amp; Assumptions'!$Q$28^2/2))</f>
        <v>16.4130097110727</v>
      </c>
      <c r="I335" s="49" t="n">
        <f aca="false">IF('Model Inputs &amp; Assumptions'!$H$28="Fixed",'Model Inputs &amp; Assumptions'!$I$28*'Model Inputs &amp; Assumptions'!$K$28,IF('Model Inputs &amp; Assumptions'!$H$28="CPM",'Model Inputs &amp; Assumptions'!$I$28*'Model Inputs &amp; Assumptions'!$K$28*C335/1000,IF('Model Inputs &amp; Assumptions'!$H$28="CPC",'Model Inputs &amp; Assumptions'!$I$28*'Model Inputs &amp; Assumptions'!$K$28*G335,0)))</f>
        <v>2923.2125</v>
      </c>
      <c r="J335" s="50" t="n">
        <f aca="false">H335*INDEX('Model Inputs &amp; Assumptions'!$D$40:$D$42,MATCH('Model Inputs &amp; Assumptions'!$L$28,'Model Inputs &amp; Assumptions'!$A$40:$A$42,0))*INDEX('Model Inputs &amp; Assumptions'!$H$40:$H$42,MATCH('Model Inputs &amp; Assumptions'!$L$28,'Model Inputs &amp; Assumptions'!$A$40:$A$42,0))</f>
        <v>139510.582544118</v>
      </c>
      <c r="K335" s="49" t="n">
        <f aca="false">H335*INDEX('Model Inputs &amp; Assumptions'!$G$40:$G$42,MATCH('Model Inputs &amp; Assumptions'!$L$28,'Model Inputs &amp; Assumptions'!$A$40:$A$42,0))*INDEX('Model Inputs &amp; Assumptions'!$H$40:$H$42,MATCH('Model Inputs &amp; Assumptions'!$L$28,'Model Inputs &amp; Assumptions'!$A$40:$A$42,0))</f>
        <v>3138.98810724266</v>
      </c>
      <c r="L335" s="51" t="n">
        <f aca="false">IFERROR(K335/I335,0)</f>
        <v>1.07381454726355</v>
      </c>
      <c r="M335" s="49" t="n">
        <f aca="false">IFERROR(I335/H335,0)</f>
        <v>178.103379663994</v>
      </c>
      <c r="N335" s="52" t="str">
        <f aca="false">'Model Inputs &amp; Assumptions'!$L$28</f>
        <v>PRD-EUAI</v>
      </c>
      <c r="P335" s="53" t="n">
        <v>-0.035506</v>
      </c>
      <c r="Q335" s="53" t="n">
        <v>-1.002717</v>
      </c>
      <c r="R335" s="53" t="n">
        <v>-0.259665</v>
      </c>
      <c r="S335" s="53" t="n">
        <v>-0.277693</v>
      </c>
    </row>
    <row r="336" customFormat="false" ht="15" hidden="false" customHeight="false" outlineLevel="0" collapsed="false">
      <c r="A336" s="43" t="n">
        <v>333</v>
      </c>
      <c r="B336" s="44" t="str">
        <f aca="false">'Model Inputs &amp; Assumptions'!$B$28</f>
        <v>finanzen.net — Q1 Awareness Burst</v>
      </c>
      <c r="C336" s="45" t="n">
        <f aca="false">ROUND(MAX(0,'Model Inputs &amp; Assumptions'!$S$28*EXP('Model Inputs &amp; Assumptions'!$T$28*P336-'Model Inputs &amp; Assumptions'!$T$28^2/2)),0)</f>
        <v>360825</v>
      </c>
      <c r="D336" s="46" t="n">
        <f aca="false">MIN(1,'Model Inputs &amp; Assumptions'!$U$28*EXP('Model Inputs &amp; Assumptions'!$V$28*Q336-'Model Inputs &amp; Assumptions'!$V$28^2/2))</f>
        <v>0</v>
      </c>
      <c r="E336" s="45" t="n">
        <f aca="false">ROUND(C336*D336,0)</f>
        <v>0</v>
      </c>
      <c r="F336" s="47" t="n">
        <f aca="false">MIN(1,'Model Inputs &amp; Assumptions'!$W$28*EXP('Model Inputs &amp; Assumptions'!$X$28*R336-'Model Inputs &amp; Assumptions'!$X$28^2/2))</f>
        <v>0.00140408292620527</v>
      </c>
      <c r="G336" s="45" t="n">
        <f aca="false">ROUND(C336*F336,0)</f>
        <v>507</v>
      </c>
      <c r="H336" s="48" t="n">
        <f aca="false">MAX(0,(C336*'Model Inputs &amp; Assumptions'!$N$28+E336*'Model Inputs &amp; Assumptions'!$O$28+G336*'Model Inputs &amp; Assumptions'!$P$28)*EXP('Model Inputs &amp; Assumptions'!$Q$28*S336-'Model Inputs &amp; Assumptions'!$Q$28^2/2))</f>
        <v>17.8257297699185</v>
      </c>
      <c r="I336" s="49" t="n">
        <f aca="false">IF('Model Inputs &amp; Assumptions'!$H$28="Fixed",'Model Inputs &amp; Assumptions'!$I$28*'Model Inputs &amp; Assumptions'!$K$28,IF('Model Inputs &amp; Assumptions'!$H$28="CPM",'Model Inputs &amp; Assumptions'!$I$28*'Model Inputs &amp; Assumptions'!$K$28*C336/1000,IF('Model Inputs &amp; Assumptions'!$H$28="CPC",'Model Inputs &amp; Assumptions'!$I$28*'Model Inputs &amp; Assumptions'!$K$28*G336,0)))</f>
        <v>2345.3625</v>
      </c>
      <c r="J336" s="50" t="n">
        <f aca="false">H336*INDEX('Model Inputs &amp; Assumptions'!$D$40:$D$42,MATCH('Model Inputs &amp; Assumptions'!$L$28,'Model Inputs &amp; Assumptions'!$A$40:$A$42,0))*INDEX('Model Inputs &amp; Assumptions'!$H$40:$H$42,MATCH('Model Inputs &amp; Assumptions'!$L$28,'Model Inputs &amp; Assumptions'!$A$40:$A$42,0))</f>
        <v>151518.703044308</v>
      </c>
      <c r="K336" s="49" t="n">
        <f aca="false">H336*INDEX('Model Inputs &amp; Assumptions'!$G$40:$G$42,MATCH('Model Inputs &amp; Assumptions'!$L$28,'Model Inputs &amp; Assumptions'!$A$40:$A$42,0))*INDEX('Model Inputs &amp; Assumptions'!$H$40:$H$42,MATCH('Model Inputs &amp; Assumptions'!$L$28,'Model Inputs &amp; Assumptions'!$A$40:$A$42,0))</f>
        <v>3409.17081849692</v>
      </c>
      <c r="L336" s="51" t="n">
        <f aca="false">IFERROR(K336/I336,0)</f>
        <v>1.45357948653861</v>
      </c>
      <c r="M336" s="49" t="n">
        <f aca="false">IFERROR(I336/H336,0)</f>
        <v>131.571752195967</v>
      </c>
      <c r="N336" s="52" t="str">
        <f aca="false">'Model Inputs &amp; Assumptions'!$L$28</f>
        <v>PRD-EUAI</v>
      </c>
      <c r="P336" s="53" t="n">
        <v>-1.259069</v>
      </c>
      <c r="Q336" s="53" t="n">
        <v>-0.454263</v>
      </c>
      <c r="R336" s="53" t="n">
        <v>-0.190367</v>
      </c>
      <c r="S336" s="53" t="n">
        <v>0.678966</v>
      </c>
    </row>
    <row r="337" customFormat="false" ht="15" hidden="false" customHeight="false" outlineLevel="0" collapsed="false">
      <c r="A337" s="43" t="n">
        <v>334</v>
      </c>
      <c r="B337" s="44" t="str">
        <f aca="false">'Model Inputs &amp; Assumptions'!$B$28</f>
        <v>finanzen.net — Q1 Awareness Burst</v>
      </c>
      <c r="C337" s="45" t="n">
        <f aca="false">ROUND(MAX(0,'Model Inputs &amp; Assumptions'!$S$28*EXP('Model Inputs &amp; Assumptions'!$T$28*P337-'Model Inputs &amp; Assumptions'!$T$28^2/2)),0)</f>
        <v>457108</v>
      </c>
      <c r="D337" s="46" t="n">
        <f aca="false">MIN(1,'Model Inputs &amp; Assumptions'!$U$28*EXP('Model Inputs &amp; Assumptions'!$V$28*Q337-'Model Inputs &amp; Assumptions'!$V$28^2/2))</f>
        <v>0</v>
      </c>
      <c r="E337" s="45" t="n">
        <f aca="false">ROUND(C337*D337,0)</f>
        <v>0</v>
      </c>
      <c r="F337" s="47" t="n">
        <f aca="false">MIN(1,'Model Inputs &amp; Assumptions'!$W$28*EXP('Model Inputs &amp; Assumptions'!$X$28*R337-'Model Inputs &amp; Assumptions'!$X$28^2/2))</f>
        <v>0.0016647975560935</v>
      </c>
      <c r="G337" s="45" t="n">
        <f aca="false">ROUND(C337*F337,0)</f>
        <v>761</v>
      </c>
      <c r="H337" s="48" t="n">
        <f aca="false">MAX(0,(C337*'Model Inputs &amp; Assumptions'!$N$28+E337*'Model Inputs &amp; Assumptions'!$O$28+G337*'Model Inputs &amp; Assumptions'!$P$28)*EXP('Model Inputs &amp; Assumptions'!$Q$28*S337-'Model Inputs &amp; Assumptions'!$Q$28^2/2))</f>
        <v>13.5852936791315</v>
      </c>
      <c r="I337" s="49" t="n">
        <f aca="false">IF('Model Inputs &amp; Assumptions'!$H$28="Fixed",'Model Inputs &amp; Assumptions'!$I$28*'Model Inputs &amp; Assumptions'!$K$28,IF('Model Inputs &amp; Assumptions'!$H$28="CPM",'Model Inputs &amp; Assumptions'!$I$28*'Model Inputs &amp; Assumptions'!$K$28*C337/1000,IF('Model Inputs &amp; Assumptions'!$H$28="CPC",'Model Inputs &amp; Assumptions'!$I$28*'Model Inputs &amp; Assumptions'!$K$28*G337,0)))</f>
        <v>2971.202</v>
      </c>
      <c r="J337" s="50" t="n">
        <f aca="false">H337*INDEX('Model Inputs &amp; Assumptions'!$D$40:$D$42,MATCH('Model Inputs &amp; Assumptions'!$L$28,'Model Inputs &amp; Assumptions'!$A$40:$A$42,0))*INDEX('Model Inputs &amp; Assumptions'!$H$40:$H$42,MATCH('Model Inputs &amp; Assumptions'!$L$28,'Model Inputs &amp; Assumptions'!$A$40:$A$42,0))</f>
        <v>115474.996272618</v>
      </c>
      <c r="K337" s="49" t="n">
        <f aca="false">H337*INDEX('Model Inputs &amp; Assumptions'!$G$40:$G$42,MATCH('Model Inputs &amp; Assumptions'!$L$28,'Model Inputs &amp; Assumptions'!$A$40:$A$42,0))*INDEX('Model Inputs &amp; Assumptions'!$H$40:$H$42,MATCH('Model Inputs &amp; Assumptions'!$L$28,'Model Inputs &amp; Assumptions'!$A$40:$A$42,0))</f>
        <v>2598.1874161339</v>
      </c>
      <c r="L337" s="51" t="n">
        <f aca="false">IFERROR(K337/I337,0)</f>
        <v>0.87445667313562</v>
      </c>
      <c r="M337" s="49" t="n">
        <f aca="false">IFERROR(I337/H337,0)</f>
        <v>218.707233732024</v>
      </c>
      <c r="N337" s="52" t="str">
        <f aca="false">'Model Inputs &amp; Assumptions'!$L$28</f>
        <v>PRD-EUAI</v>
      </c>
      <c r="P337" s="53" t="n">
        <v>0.054964</v>
      </c>
      <c r="Q337" s="53" t="n">
        <v>1.098899</v>
      </c>
      <c r="R337" s="53" t="n">
        <v>0.583811</v>
      </c>
      <c r="S337" s="53" t="n">
        <v>-1.580292</v>
      </c>
    </row>
    <row r="338" customFormat="false" ht="15" hidden="false" customHeight="false" outlineLevel="0" collapsed="false">
      <c r="A338" s="43" t="n">
        <v>335</v>
      </c>
      <c r="B338" s="44" t="str">
        <f aca="false">'Model Inputs &amp; Assumptions'!$B$28</f>
        <v>finanzen.net — Q1 Awareness Burst</v>
      </c>
      <c r="C338" s="45" t="n">
        <f aca="false">ROUND(MAX(0,'Model Inputs &amp; Assumptions'!$S$28*EXP('Model Inputs &amp; Assumptions'!$T$28*P338-'Model Inputs &amp; Assumptions'!$T$28^2/2)),0)</f>
        <v>520527</v>
      </c>
      <c r="D338" s="46" t="n">
        <f aca="false">MIN(1,'Model Inputs &amp; Assumptions'!$U$28*EXP('Model Inputs &amp; Assumptions'!$V$28*Q338-'Model Inputs &amp; Assumptions'!$V$28^2/2))</f>
        <v>0</v>
      </c>
      <c r="E338" s="45" t="n">
        <f aca="false">ROUND(C338*D338,0)</f>
        <v>0</v>
      </c>
      <c r="F338" s="47" t="n">
        <f aca="false">MIN(1,'Model Inputs &amp; Assumptions'!$W$28*EXP('Model Inputs &amp; Assumptions'!$X$28*R338-'Model Inputs &amp; Assumptions'!$X$28^2/2))</f>
        <v>0.00190340412553272</v>
      </c>
      <c r="G338" s="45" t="n">
        <f aca="false">ROUND(C338*F338,0)</f>
        <v>991</v>
      </c>
      <c r="H338" s="48" t="n">
        <f aca="false">MAX(0,(C338*'Model Inputs &amp; Assumptions'!$N$28+E338*'Model Inputs &amp; Assumptions'!$O$28+G338*'Model Inputs &amp; Assumptions'!$P$28)*EXP('Model Inputs &amp; Assumptions'!$Q$28*S338-'Model Inputs &amp; Assumptions'!$Q$28^2/2))</f>
        <v>21.9245263977476</v>
      </c>
      <c r="I338" s="49" t="n">
        <f aca="false">IF('Model Inputs &amp; Assumptions'!$H$28="Fixed",'Model Inputs &amp; Assumptions'!$I$28*'Model Inputs &amp; Assumptions'!$K$28,IF('Model Inputs &amp; Assumptions'!$H$28="CPM",'Model Inputs &amp; Assumptions'!$I$28*'Model Inputs &amp; Assumptions'!$K$28*C338/1000,IF('Model Inputs &amp; Assumptions'!$H$28="CPC",'Model Inputs &amp; Assumptions'!$I$28*'Model Inputs &amp; Assumptions'!$K$28*G338,0)))</f>
        <v>3383.4255</v>
      </c>
      <c r="J338" s="50" t="n">
        <f aca="false">H338*INDEX('Model Inputs &amp; Assumptions'!$D$40:$D$42,MATCH('Model Inputs &amp; Assumptions'!$L$28,'Model Inputs &amp; Assumptions'!$A$40:$A$42,0))*INDEX('Model Inputs &amp; Assumptions'!$H$40:$H$42,MATCH('Model Inputs &amp; Assumptions'!$L$28,'Model Inputs &amp; Assumptions'!$A$40:$A$42,0))</f>
        <v>186358.474380854</v>
      </c>
      <c r="K338" s="49" t="n">
        <f aca="false">H338*INDEX('Model Inputs &amp; Assumptions'!$G$40:$G$42,MATCH('Model Inputs &amp; Assumptions'!$L$28,'Model Inputs &amp; Assumptions'!$A$40:$A$42,0))*INDEX('Model Inputs &amp; Assumptions'!$H$40:$H$42,MATCH('Model Inputs &amp; Assumptions'!$L$28,'Model Inputs &amp; Assumptions'!$A$40:$A$42,0))</f>
        <v>4193.06567356922</v>
      </c>
      <c r="L338" s="51" t="n">
        <f aca="false">IFERROR(K338/I338,0)</f>
        <v>1.23929599560245</v>
      </c>
      <c r="M338" s="49" t="n">
        <f aca="false">IFERROR(I338/H338,0)</f>
        <v>154.321486294345</v>
      </c>
      <c r="N338" s="52" t="str">
        <f aca="false">'Model Inputs &amp; Assumptions'!$L$28</f>
        <v>PRD-EUAI</v>
      </c>
      <c r="P338" s="53" t="n">
        <v>0.776755</v>
      </c>
      <c r="Q338" s="53" t="n">
        <v>3.58234</v>
      </c>
      <c r="R338" s="53" t="n">
        <v>1.192631</v>
      </c>
      <c r="S338" s="53" t="n">
        <v>-0.865169</v>
      </c>
    </row>
    <row r="339" customFormat="false" ht="15" hidden="false" customHeight="false" outlineLevel="0" collapsed="false">
      <c r="A339" s="43" t="n">
        <v>336</v>
      </c>
      <c r="B339" s="44" t="str">
        <f aca="false">'Model Inputs &amp; Assumptions'!$B$28</f>
        <v>finanzen.net — Q1 Awareness Burst</v>
      </c>
      <c r="C339" s="45" t="n">
        <f aca="false">ROUND(MAX(0,'Model Inputs &amp; Assumptions'!$S$28*EXP('Model Inputs &amp; Assumptions'!$T$28*P339-'Model Inputs &amp; Assumptions'!$T$28^2/2)),0)</f>
        <v>646696</v>
      </c>
      <c r="D339" s="46" t="n">
        <f aca="false">MIN(1,'Model Inputs &amp; Assumptions'!$U$28*EXP('Model Inputs &amp; Assumptions'!$V$28*Q339-'Model Inputs &amp; Assumptions'!$V$28^2/2))</f>
        <v>0</v>
      </c>
      <c r="E339" s="45" t="n">
        <f aca="false">ROUND(C339*D339,0)</f>
        <v>0</v>
      </c>
      <c r="F339" s="47" t="n">
        <f aca="false">MIN(1,'Model Inputs &amp; Assumptions'!$W$28*EXP('Model Inputs &amp; Assumptions'!$X$28*R339-'Model Inputs &amp; Assumptions'!$X$28^2/2))</f>
        <v>0.00108284288985376</v>
      </c>
      <c r="G339" s="45" t="n">
        <f aca="false">ROUND(C339*F339,0)</f>
        <v>700</v>
      </c>
      <c r="H339" s="48" t="n">
        <f aca="false">MAX(0,(C339*'Model Inputs &amp; Assumptions'!$N$28+E339*'Model Inputs &amp; Assumptions'!$O$28+G339*'Model Inputs &amp; Assumptions'!$P$28)*EXP('Model Inputs &amp; Assumptions'!$Q$28*S339-'Model Inputs &amp; Assumptions'!$Q$28^2/2))</f>
        <v>19.4437841444141</v>
      </c>
      <c r="I339" s="49" t="n">
        <f aca="false">IF('Model Inputs &amp; Assumptions'!$H$28="Fixed",'Model Inputs &amp; Assumptions'!$I$28*'Model Inputs &amp; Assumptions'!$K$28,IF('Model Inputs &amp; Assumptions'!$H$28="CPM",'Model Inputs &amp; Assumptions'!$I$28*'Model Inputs &amp; Assumptions'!$K$28*C339/1000,IF('Model Inputs &amp; Assumptions'!$H$28="CPC",'Model Inputs &amp; Assumptions'!$I$28*'Model Inputs &amp; Assumptions'!$K$28*G339,0)))</f>
        <v>4203.524</v>
      </c>
      <c r="J339" s="50" t="n">
        <f aca="false">H339*INDEX('Model Inputs &amp; Assumptions'!$D$40:$D$42,MATCH('Model Inputs &amp; Assumptions'!$L$28,'Model Inputs &amp; Assumptions'!$A$40:$A$42,0))*INDEX('Model Inputs &amp; Assumptions'!$H$40:$H$42,MATCH('Model Inputs &amp; Assumptions'!$L$28,'Model Inputs &amp; Assumptions'!$A$40:$A$42,0))</f>
        <v>165272.16522752</v>
      </c>
      <c r="K339" s="49" t="n">
        <f aca="false">H339*INDEX('Model Inputs &amp; Assumptions'!$G$40:$G$42,MATCH('Model Inputs &amp; Assumptions'!$L$28,'Model Inputs &amp; Assumptions'!$A$40:$A$42,0))*INDEX('Model Inputs &amp; Assumptions'!$H$40:$H$42,MATCH('Model Inputs &amp; Assumptions'!$L$28,'Model Inputs &amp; Assumptions'!$A$40:$A$42,0))</f>
        <v>3718.62371761919</v>
      </c>
      <c r="L339" s="51" t="n">
        <f aca="false">IFERROR(K339/I339,0)</f>
        <v>0.884644340705368</v>
      </c>
      <c r="M339" s="49" t="n">
        <f aca="false">IFERROR(I339/H339,0)</f>
        <v>216.188575679473</v>
      </c>
      <c r="N339" s="52" t="str">
        <f aca="false">'Model Inputs &amp; Assumptions'!$L$28</f>
        <v>PRD-EUAI</v>
      </c>
      <c r="P339" s="53" t="n">
        <v>1.982499</v>
      </c>
      <c r="Q339" s="53" t="n">
        <v>0.066695</v>
      </c>
      <c r="R339" s="53" t="n">
        <v>-1.371251</v>
      </c>
      <c r="S339" s="53" t="n">
        <v>-0.10665</v>
      </c>
    </row>
    <row r="340" customFormat="false" ht="15" hidden="false" customHeight="false" outlineLevel="0" collapsed="false">
      <c r="A340" s="43" t="n">
        <v>337</v>
      </c>
      <c r="B340" s="44" t="str">
        <f aca="false">'Model Inputs &amp; Assumptions'!$B$28</f>
        <v>finanzen.net — Q1 Awareness Burst</v>
      </c>
      <c r="C340" s="45" t="n">
        <f aca="false">ROUND(MAX(0,'Model Inputs &amp; Assumptions'!$S$28*EXP('Model Inputs &amp; Assumptions'!$T$28*P340-'Model Inputs &amp; Assumptions'!$T$28^2/2)),0)</f>
        <v>418746</v>
      </c>
      <c r="D340" s="46" t="n">
        <f aca="false">MIN(1,'Model Inputs &amp; Assumptions'!$U$28*EXP('Model Inputs &amp; Assumptions'!$V$28*Q340-'Model Inputs &amp; Assumptions'!$V$28^2/2))</f>
        <v>0</v>
      </c>
      <c r="E340" s="45" t="n">
        <f aca="false">ROUND(C340*D340,0)</f>
        <v>0</v>
      </c>
      <c r="F340" s="47" t="n">
        <f aca="false">MIN(1,'Model Inputs &amp; Assumptions'!$W$28*EXP('Model Inputs &amp; Assumptions'!$X$28*R340-'Model Inputs &amp; Assumptions'!$X$28^2/2))</f>
        <v>0.00156902644470941</v>
      </c>
      <c r="G340" s="45" t="n">
        <f aca="false">ROUND(C340*F340,0)</f>
        <v>657</v>
      </c>
      <c r="H340" s="48" t="n">
        <f aca="false">MAX(0,(C340*'Model Inputs &amp; Assumptions'!$N$28+E340*'Model Inputs &amp; Assumptions'!$O$28+G340*'Model Inputs &amp; Assumptions'!$P$28)*EXP('Model Inputs &amp; Assumptions'!$Q$28*S340-'Model Inputs &amp; Assumptions'!$Q$28^2/2))</f>
        <v>18.100213271617</v>
      </c>
      <c r="I340" s="49" t="n">
        <f aca="false">IF('Model Inputs &amp; Assumptions'!$H$28="Fixed",'Model Inputs &amp; Assumptions'!$I$28*'Model Inputs &amp; Assumptions'!$K$28,IF('Model Inputs &amp; Assumptions'!$H$28="CPM",'Model Inputs &amp; Assumptions'!$I$28*'Model Inputs &amp; Assumptions'!$K$28*C340/1000,IF('Model Inputs &amp; Assumptions'!$H$28="CPC",'Model Inputs &amp; Assumptions'!$I$28*'Model Inputs &amp; Assumptions'!$K$28*G340,0)))</f>
        <v>2721.849</v>
      </c>
      <c r="J340" s="50" t="n">
        <f aca="false">H340*INDEX('Model Inputs &amp; Assumptions'!$D$40:$D$42,MATCH('Model Inputs &amp; Assumptions'!$L$28,'Model Inputs &amp; Assumptions'!$A$40:$A$42,0))*INDEX('Model Inputs &amp; Assumptions'!$H$40:$H$42,MATCH('Model Inputs &amp; Assumptions'!$L$28,'Model Inputs &amp; Assumptions'!$A$40:$A$42,0))</f>
        <v>153851.812808745</v>
      </c>
      <c r="K340" s="49" t="n">
        <f aca="false">H340*INDEX('Model Inputs &amp; Assumptions'!$G$40:$G$42,MATCH('Model Inputs &amp; Assumptions'!$L$28,'Model Inputs &amp; Assumptions'!$A$40:$A$42,0))*INDEX('Model Inputs &amp; Assumptions'!$H$40:$H$42,MATCH('Model Inputs &amp; Assumptions'!$L$28,'Model Inputs &amp; Assumptions'!$A$40:$A$42,0))</f>
        <v>3461.66578819676</v>
      </c>
      <c r="L340" s="51" t="n">
        <f aca="false">IFERROR(K340/I340,0)</f>
        <v>1.27180669765177</v>
      </c>
      <c r="M340" s="49" t="n">
        <f aca="false">IFERROR(I340/H340,0)</f>
        <v>150.376625907946</v>
      </c>
      <c r="N340" s="52" t="str">
        <f aca="false">'Model Inputs &amp; Assumptions'!$L$28</f>
        <v>PRD-EUAI</v>
      </c>
      <c r="P340" s="53" t="n">
        <v>-0.432006</v>
      </c>
      <c r="Q340" s="53" t="n">
        <v>-1.961418</v>
      </c>
      <c r="R340" s="53" t="n">
        <v>0.314501</v>
      </c>
      <c r="S340" s="53" t="n">
        <v>-0.134008</v>
      </c>
    </row>
    <row r="341" customFormat="false" ht="15" hidden="false" customHeight="false" outlineLevel="0" collapsed="false">
      <c r="A341" s="43" t="n">
        <v>338</v>
      </c>
      <c r="B341" s="44" t="str">
        <f aca="false">'Model Inputs &amp; Assumptions'!$B$28</f>
        <v>finanzen.net — Q1 Awareness Burst</v>
      </c>
      <c r="C341" s="45" t="n">
        <f aca="false">ROUND(MAX(0,'Model Inputs &amp; Assumptions'!$S$28*EXP('Model Inputs &amp; Assumptions'!$T$28*P341-'Model Inputs &amp; Assumptions'!$T$28^2/2)),0)</f>
        <v>413687</v>
      </c>
      <c r="D341" s="46" t="n">
        <f aca="false">MIN(1,'Model Inputs &amp; Assumptions'!$U$28*EXP('Model Inputs &amp; Assumptions'!$V$28*Q341-'Model Inputs &amp; Assumptions'!$V$28^2/2))</f>
        <v>0</v>
      </c>
      <c r="E341" s="45" t="n">
        <f aca="false">ROUND(C341*D341,0)</f>
        <v>0</v>
      </c>
      <c r="F341" s="47" t="n">
        <f aca="false">MIN(1,'Model Inputs &amp; Assumptions'!$W$28*EXP('Model Inputs &amp; Assumptions'!$X$28*R341-'Model Inputs &amp; Assumptions'!$X$28^2/2))</f>
        <v>0.00172860272388122</v>
      </c>
      <c r="G341" s="45" t="n">
        <f aca="false">ROUND(C341*F341,0)</f>
        <v>715</v>
      </c>
      <c r="H341" s="48" t="n">
        <f aca="false">MAX(0,(C341*'Model Inputs &amp; Assumptions'!$N$28+E341*'Model Inputs &amp; Assumptions'!$O$28+G341*'Model Inputs &amp; Assumptions'!$P$28)*EXP('Model Inputs &amp; Assumptions'!$Q$28*S341-'Model Inputs &amp; Assumptions'!$Q$28^2/2))</f>
        <v>19.3915604947469</v>
      </c>
      <c r="I341" s="49" t="n">
        <f aca="false">IF('Model Inputs &amp; Assumptions'!$H$28="Fixed",'Model Inputs &amp; Assumptions'!$I$28*'Model Inputs &amp; Assumptions'!$K$28,IF('Model Inputs &amp; Assumptions'!$H$28="CPM",'Model Inputs &amp; Assumptions'!$I$28*'Model Inputs &amp; Assumptions'!$K$28*C341/1000,IF('Model Inputs &amp; Assumptions'!$H$28="CPC",'Model Inputs &amp; Assumptions'!$I$28*'Model Inputs &amp; Assumptions'!$K$28*G341,0)))</f>
        <v>2688.9655</v>
      </c>
      <c r="J341" s="50" t="n">
        <f aca="false">H341*INDEX('Model Inputs &amp; Assumptions'!$D$40:$D$42,MATCH('Model Inputs &amp; Assumptions'!$L$28,'Model Inputs &amp; Assumptions'!$A$40:$A$42,0))*INDEX('Model Inputs &amp; Assumptions'!$H$40:$H$42,MATCH('Model Inputs &amp; Assumptions'!$L$28,'Model Inputs &amp; Assumptions'!$A$40:$A$42,0))</f>
        <v>164828.264205348</v>
      </c>
      <c r="K341" s="49" t="n">
        <f aca="false">H341*INDEX('Model Inputs &amp; Assumptions'!$G$40:$G$42,MATCH('Model Inputs &amp; Assumptions'!$L$28,'Model Inputs &amp; Assumptions'!$A$40:$A$42,0))*INDEX('Model Inputs &amp; Assumptions'!$H$40:$H$42,MATCH('Model Inputs &amp; Assumptions'!$L$28,'Model Inputs &amp; Assumptions'!$A$40:$A$42,0))</f>
        <v>3708.63594462034</v>
      </c>
      <c r="L341" s="51" t="n">
        <f aca="false">IFERROR(K341/I341,0)</f>
        <v>1.37920547683499</v>
      </c>
      <c r="M341" s="49" t="n">
        <f aca="false">IFERROR(I341/H341,0)</f>
        <v>138.666792738441</v>
      </c>
      <c r="N341" s="52" t="str">
        <f aca="false">'Model Inputs &amp; Assumptions'!$L$28</f>
        <v>PRD-EUAI</v>
      </c>
      <c r="P341" s="53" t="n">
        <v>-0.49954</v>
      </c>
      <c r="Q341" s="53" t="n">
        <v>1.063884</v>
      </c>
      <c r="R341" s="53" t="n">
        <v>0.754765</v>
      </c>
      <c r="S341" s="53" t="n">
        <v>-0.186289</v>
      </c>
    </row>
    <row r="342" customFormat="false" ht="15" hidden="false" customHeight="false" outlineLevel="0" collapsed="false">
      <c r="A342" s="43" t="n">
        <v>339</v>
      </c>
      <c r="B342" s="44" t="str">
        <f aca="false">'Model Inputs &amp; Assumptions'!$B$28</f>
        <v>finanzen.net — Q1 Awareness Burst</v>
      </c>
      <c r="C342" s="45" t="n">
        <f aca="false">ROUND(MAX(0,'Model Inputs &amp; Assumptions'!$S$28*EXP('Model Inputs &amp; Assumptions'!$T$28*P342-'Model Inputs &amp; Assumptions'!$T$28^2/2)),0)</f>
        <v>427130</v>
      </c>
      <c r="D342" s="46" t="n">
        <f aca="false">MIN(1,'Model Inputs &amp; Assumptions'!$U$28*EXP('Model Inputs &amp; Assumptions'!$V$28*Q342-'Model Inputs &amp; Assumptions'!$V$28^2/2))</f>
        <v>0</v>
      </c>
      <c r="E342" s="45" t="n">
        <f aca="false">ROUND(C342*D342,0)</f>
        <v>0</v>
      </c>
      <c r="F342" s="47" t="n">
        <f aca="false">MIN(1,'Model Inputs &amp; Assumptions'!$W$28*EXP('Model Inputs &amp; Assumptions'!$X$28*R342-'Model Inputs &amp; Assumptions'!$X$28^2/2))</f>
        <v>0.00149716105992147</v>
      </c>
      <c r="G342" s="45" t="n">
        <f aca="false">ROUND(C342*F342,0)</f>
        <v>639</v>
      </c>
      <c r="H342" s="48" t="n">
        <f aca="false">MAX(0,(C342*'Model Inputs &amp; Assumptions'!$N$28+E342*'Model Inputs &amp; Assumptions'!$O$28+G342*'Model Inputs &amp; Assumptions'!$P$28)*EXP('Model Inputs &amp; Assumptions'!$Q$28*S342-'Model Inputs &amp; Assumptions'!$Q$28^2/2))</f>
        <v>26.4779697500167</v>
      </c>
      <c r="I342" s="49" t="n">
        <f aca="false">IF('Model Inputs &amp; Assumptions'!$H$28="Fixed",'Model Inputs &amp; Assumptions'!$I$28*'Model Inputs &amp; Assumptions'!$K$28,IF('Model Inputs &amp; Assumptions'!$H$28="CPM",'Model Inputs &amp; Assumptions'!$I$28*'Model Inputs &amp; Assumptions'!$K$28*C342/1000,IF('Model Inputs &amp; Assumptions'!$H$28="CPC",'Model Inputs &amp; Assumptions'!$I$28*'Model Inputs &amp; Assumptions'!$K$28*G342,0)))</f>
        <v>2776.345</v>
      </c>
      <c r="J342" s="50" t="n">
        <f aca="false">H342*INDEX('Model Inputs &amp; Assumptions'!$D$40:$D$42,MATCH('Model Inputs &amp; Assumptions'!$L$28,'Model Inputs &amp; Assumptions'!$A$40:$A$42,0))*INDEX('Model Inputs &amp; Assumptions'!$H$40:$H$42,MATCH('Model Inputs &amp; Assumptions'!$L$28,'Model Inputs &amp; Assumptions'!$A$40:$A$42,0))</f>
        <v>225062.742875142</v>
      </c>
      <c r="K342" s="49" t="n">
        <f aca="false">H342*INDEX('Model Inputs &amp; Assumptions'!$G$40:$G$42,MATCH('Model Inputs &amp; Assumptions'!$L$28,'Model Inputs &amp; Assumptions'!$A$40:$A$42,0))*INDEX('Model Inputs &amp; Assumptions'!$H$40:$H$42,MATCH('Model Inputs &amp; Assumptions'!$L$28,'Model Inputs &amp; Assumptions'!$A$40:$A$42,0))</f>
        <v>5063.91171469069</v>
      </c>
      <c r="L342" s="51" t="n">
        <f aca="false">IFERROR(K342/I342,0)</f>
        <v>1.8239490101881</v>
      </c>
      <c r="M342" s="49" t="n">
        <f aca="false">IFERROR(I342/H342,0)</f>
        <v>104.854904896862</v>
      </c>
      <c r="N342" s="52" t="str">
        <f aca="false">'Model Inputs &amp; Assumptions'!$L$28</f>
        <v>PRD-EUAI</v>
      </c>
      <c r="P342" s="53" t="n">
        <v>-0.321874</v>
      </c>
      <c r="Q342" s="53" t="n">
        <v>0.930379</v>
      </c>
      <c r="R342" s="53" t="n">
        <v>0.101389</v>
      </c>
      <c r="S342" s="53" t="n">
        <v>1.226555</v>
      </c>
    </row>
    <row r="343" customFormat="false" ht="15" hidden="false" customHeight="false" outlineLevel="0" collapsed="false">
      <c r="A343" s="43" t="n">
        <v>340</v>
      </c>
      <c r="B343" s="44" t="str">
        <f aca="false">'Model Inputs &amp; Assumptions'!$B$28</f>
        <v>finanzen.net — Q1 Awareness Burst</v>
      </c>
      <c r="C343" s="45" t="n">
        <f aca="false">ROUND(MAX(0,'Model Inputs &amp; Assumptions'!$S$28*EXP('Model Inputs &amp; Assumptions'!$T$28*P343-'Model Inputs &amp; Assumptions'!$T$28^2/2)),0)</f>
        <v>381651</v>
      </c>
      <c r="D343" s="46" t="n">
        <f aca="false">MIN(1,'Model Inputs &amp; Assumptions'!$U$28*EXP('Model Inputs &amp; Assumptions'!$V$28*Q343-'Model Inputs &amp; Assumptions'!$V$28^2/2))</f>
        <v>0</v>
      </c>
      <c r="E343" s="45" t="n">
        <f aca="false">ROUND(C343*D343,0)</f>
        <v>0</v>
      </c>
      <c r="F343" s="47" t="n">
        <f aca="false">MIN(1,'Model Inputs &amp; Assumptions'!$W$28*EXP('Model Inputs &amp; Assumptions'!$X$28*R343-'Model Inputs &amp; Assumptions'!$X$28^2/2))</f>
        <v>0.00149713602759782</v>
      </c>
      <c r="G343" s="45" t="n">
        <f aca="false">ROUND(C343*F343,0)</f>
        <v>571</v>
      </c>
      <c r="H343" s="48" t="n">
        <f aca="false">MAX(0,(C343*'Model Inputs &amp; Assumptions'!$N$28+E343*'Model Inputs &amp; Assumptions'!$O$28+G343*'Model Inputs &amp; Assumptions'!$P$28)*EXP('Model Inputs &amp; Assumptions'!$Q$28*S343-'Model Inputs &amp; Assumptions'!$Q$28^2/2))</f>
        <v>15.0405398526562</v>
      </c>
      <c r="I343" s="49" t="n">
        <f aca="false">IF('Model Inputs &amp; Assumptions'!$H$28="Fixed",'Model Inputs &amp; Assumptions'!$I$28*'Model Inputs &amp; Assumptions'!$K$28,IF('Model Inputs &amp; Assumptions'!$H$28="CPM",'Model Inputs &amp; Assumptions'!$I$28*'Model Inputs &amp; Assumptions'!$K$28*C343/1000,IF('Model Inputs &amp; Assumptions'!$H$28="CPC",'Model Inputs &amp; Assumptions'!$I$28*'Model Inputs &amp; Assumptions'!$K$28*G343,0)))</f>
        <v>2480.7315</v>
      </c>
      <c r="J343" s="50" t="n">
        <f aca="false">H343*INDEX('Model Inputs &amp; Assumptions'!$D$40:$D$42,MATCH('Model Inputs &amp; Assumptions'!$L$28,'Model Inputs &amp; Assumptions'!$A$40:$A$42,0))*INDEX('Model Inputs &amp; Assumptions'!$H$40:$H$42,MATCH('Model Inputs &amp; Assumptions'!$L$28,'Model Inputs &amp; Assumptions'!$A$40:$A$42,0))</f>
        <v>127844.588747578</v>
      </c>
      <c r="K343" s="49" t="n">
        <f aca="false">H343*INDEX('Model Inputs &amp; Assumptions'!$G$40:$G$42,MATCH('Model Inputs &amp; Assumptions'!$L$28,'Model Inputs &amp; Assumptions'!$A$40:$A$42,0))*INDEX('Model Inputs &amp; Assumptions'!$H$40:$H$42,MATCH('Model Inputs &amp; Assumptions'!$L$28,'Model Inputs &amp; Assumptions'!$A$40:$A$42,0))</f>
        <v>2876.5032468205</v>
      </c>
      <c r="L343" s="51" t="n">
        <f aca="false">IFERROR(K343/I343,0)</f>
        <v>1.15953832440976</v>
      </c>
      <c r="M343" s="49" t="n">
        <f aca="false">IFERROR(I343/H343,0)</f>
        <v>164.936333688973</v>
      </c>
      <c r="N343" s="52" t="str">
        <f aca="false">'Model Inputs &amp; Assumptions'!$L$28</f>
        <v>PRD-EUAI</v>
      </c>
      <c r="P343" s="53" t="n">
        <v>-0.947339</v>
      </c>
      <c r="Q343" s="53" t="n">
        <v>0.448753</v>
      </c>
      <c r="R343" s="53" t="n">
        <v>0.101313</v>
      </c>
      <c r="S343" s="53" t="n">
        <v>-0.283607</v>
      </c>
    </row>
    <row r="344" customFormat="false" ht="15" hidden="false" customHeight="false" outlineLevel="0" collapsed="false">
      <c r="A344" s="43" t="n">
        <v>341</v>
      </c>
      <c r="B344" s="44" t="str">
        <f aca="false">'Model Inputs &amp; Assumptions'!$B$28</f>
        <v>finanzen.net — Q1 Awareness Burst</v>
      </c>
      <c r="C344" s="45" t="n">
        <f aca="false">ROUND(MAX(0,'Model Inputs &amp; Assumptions'!$S$28*EXP('Model Inputs &amp; Assumptions'!$T$28*P344-'Model Inputs &amp; Assumptions'!$T$28^2/2)),0)</f>
        <v>442801</v>
      </c>
      <c r="D344" s="46" t="n">
        <f aca="false">MIN(1,'Model Inputs &amp; Assumptions'!$U$28*EXP('Model Inputs &amp; Assumptions'!$V$28*Q344-'Model Inputs &amp; Assumptions'!$V$28^2/2))</f>
        <v>0</v>
      </c>
      <c r="E344" s="45" t="n">
        <f aca="false">ROUND(C344*D344,0)</f>
        <v>0</v>
      </c>
      <c r="F344" s="47" t="n">
        <f aca="false">MIN(1,'Model Inputs &amp; Assumptions'!$W$28*EXP('Model Inputs &amp; Assumptions'!$X$28*R344-'Model Inputs &amp; Assumptions'!$X$28^2/2))</f>
        <v>0.00144998435701412</v>
      </c>
      <c r="G344" s="45" t="n">
        <f aca="false">ROUND(C344*F344,0)</f>
        <v>642</v>
      </c>
      <c r="H344" s="48" t="n">
        <f aca="false">MAX(0,(C344*'Model Inputs &amp; Assumptions'!$N$28+E344*'Model Inputs &amp; Assumptions'!$O$28+G344*'Model Inputs &amp; Assumptions'!$P$28)*EXP('Model Inputs &amp; Assumptions'!$Q$28*S344-'Model Inputs &amp; Assumptions'!$Q$28^2/2))</f>
        <v>27.3976572077052</v>
      </c>
      <c r="I344" s="49" t="n">
        <f aca="false">IF('Model Inputs &amp; Assumptions'!$H$28="Fixed",'Model Inputs &amp; Assumptions'!$I$28*'Model Inputs &amp; Assumptions'!$K$28,IF('Model Inputs &amp; Assumptions'!$H$28="CPM",'Model Inputs &amp; Assumptions'!$I$28*'Model Inputs &amp; Assumptions'!$K$28*C344/1000,IF('Model Inputs &amp; Assumptions'!$H$28="CPC",'Model Inputs &amp; Assumptions'!$I$28*'Model Inputs &amp; Assumptions'!$K$28*G344,0)))</f>
        <v>2878.2065</v>
      </c>
      <c r="J344" s="50" t="n">
        <f aca="false">H344*INDEX('Model Inputs &amp; Assumptions'!$D$40:$D$42,MATCH('Model Inputs &amp; Assumptions'!$L$28,'Model Inputs &amp; Assumptions'!$A$40:$A$42,0))*INDEX('Model Inputs &amp; Assumptions'!$H$40:$H$42,MATCH('Model Inputs &amp; Assumptions'!$L$28,'Model Inputs &amp; Assumptions'!$A$40:$A$42,0))</f>
        <v>232880.086265494</v>
      </c>
      <c r="K344" s="49" t="n">
        <f aca="false">H344*INDEX('Model Inputs &amp; Assumptions'!$G$40:$G$42,MATCH('Model Inputs &amp; Assumptions'!$L$28,'Model Inputs &amp; Assumptions'!$A$40:$A$42,0))*INDEX('Model Inputs &amp; Assumptions'!$H$40:$H$42,MATCH('Model Inputs &amp; Assumptions'!$L$28,'Model Inputs &amp; Assumptions'!$A$40:$A$42,0))</f>
        <v>5239.80194097362</v>
      </c>
      <c r="L344" s="51" t="n">
        <f aca="false">IFERROR(K344/I344,0)</f>
        <v>1.82050938352534</v>
      </c>
      <c r="M344" s="49" t="n">
        <f aca="false">IFERROR(I344/H344,0)</f>
        <v>105.053015233381</v>
      </c>
      <c r="N344" s="52" t="str">
        <f aca="false">'Model Inputs &amp; Assumptions'!$L$28</f>
        <v>PRD-EUAI</v>
      </c>
      <c r="P344" s="53" t="n">
        <v>-0.121701</v>
      </c>
      <c r="Q344" s="53" t="n">
        <v>-0.760186</v>
      </c>
      <c r="R344" s="53" t="n">
        <v>-0.044147</v>
      </c>
      <c r="S344" s="53" t="n">
        <v>1.324757</v>
      </c>
    </row>
    <row r="345" customFormat="false" ht="15" hidden="false" customHeight="false" outlineLevel="0" collapsed="false">
      <c r="A345" s="43" t="n">
        <v>342</v>
      </c>
      <c r="B345" s="44" t="str">
        <f aca="false">'Model Inputs &amp; Assumptions'!$B$28</f>
        <v>finanzen.net — Q1 Awareness Burst</v>
      </c>
      <c r="C345" s="45" t="n">
        <f aca="false">ROUND(MAX(0,'Model Inputs &amp; Assumptions'!$S$28*EXP('Model Inputs &amp; Assumptions'!$T$28*P345-'Model Inputs &amp; Assumptions'!$T$28^2/2)),0)</f>
        <v>432920</v>
      </c>
      <c r="D345" s="46" t="n">
        <f aca="false">MIN(1,'Model Inputs &amp; Assumptions'!$U$28*EXP('Model Inputs &amp; Assumptions'!$V$28*Q345-'Model Inputs &amp; Assumptions'!$V$28^2/2))</f>
        <v>0</v>
      </c>
      <c r="E345" s="45" t="n">
        <f aca="false">ROUND(C345*D345,0)</f>
        <v>0</v>
      </c>
      <c r="F345" s="47" t="n">
        <f aca="false">MIN(1,'Model Inputs &amp; Assumptions'!$W$28*EXP('Model Inputs &amp; Assumptions'!$X$28*R345-'Model Inputs &amp; Assumptions'!$X$28^2/2))</f>
        <v>0.00191296716870627</v>
      </c>
      <c r="G345" s="45" t="n">
        <f aca="false">ROUND(C345*F345,0)</f>
        <v>828</v>
      </c>
      <c r="H345" s="48" t="n">
        <f aca="false">MAX(0,(C345*'Model Inputs &amp; Assumptions'!$N$28+E345*'Model Inputs &amp; Assumptions'!$O$28+G345*'Model Inputs &amp; Assumptions'!$P$28)*EXP('Model Inputs &amp; Assumptions'!$Q$28*S345-'Model Inputs &amp; Assumptions'!$Q$28^2/2))</f>
        <v>20.0709612607579</v>
      </c>
      <c r="I345" s="49" t="n">
        <f aca="false">IF('Model Inputs &amp; Assumptions'!$H$28="Fixed",'Model Inputs &amp; Assumptions'!$I$28*'Model Inputs &amp; Assumptions'!$K$28,IF('Model Inputs &amp; Assumptions'!$H$28="CPM",'Model Inputs &amp; Assumptions'!$I$28*'Model Inputs &amp; Assumptions'!$K$28*C345/1000,IF('Model Inputs &amp; Assumptions'!$H$28="CPC",'Model Inputs &amp; Assumptions'!$I$28*'Model Inputs &amp; Assumptions'!$K$28*G345,0)))</f>
        <v>2813.98</v>
      </c>
      <c r="J345" s="50" t="n">
        <f aca="false">H345*INDEX('Model Inputs &amp; Assumptions'!$D$40:$D$42,MATCH('Model Inputs &amp; Assumptions'!$L$28,'Model Inputs &amp; Assumptions'!$A$40:$A$42,0))*INDEX('Model Inputs &amp; Assumptions'!$H$40:$H$42,MATCH('Model Inputs &amp; Assumptions'!$L$28,'Model Inputs &amp; Assumptions'!$A$40:$A$42,0))</f>
        <v>170603.170716442</v>
      </c>
      <c r="K345" s="49" t="n">
        <f aca="false">H345*INDEX('Model Inputs &amp; Assumptions'!$G$40:$G$42,MATCH('Model Inputs &amp; Assumptions'!$L$28,'Model Inputs &amp; Assumptions'!$A$40:$A$42,0))*INDEX('Model Inputs &amp; Assumptions'!$H$40:$H$42,MATCH('Model Inputs &amp; Assumptions'!$L$28,'Model Inputs &amp; Assumptions'!$A$40:$A$42,0))</f>
        <v>3838.57134111994</v>
      </c>
      <c r="L345" s="51" t="n">
        <f aca="false">IFERROR(K345/I345,0)</f>
        <v>1.36410754202942</v>
      </c>
      <c r="M345" s="49" t="n">
        <f aca="false">IFERROR(I345/H345,0)</f>
        <v>140.201556041155</v>
      </c>
      <c r="N345" s="52" t="str">
        <f aca="false">'Model Inputs &amp; Assumptions'!$L$28</f>
        <v>PRD-EUAI</v>
      </c>
      <c r="P345" s="53" t="n">
        <v>-0.247078</v>
      </c>
      <c r="Q345" s="53" t="n">
        <v>-0.136452</v>
      </c>
      <c r="R345" s="53" t="n">
        <v>1.215411</v>
      </c>
      <c r="S345" s="53" t="n">
        <v>-0.560604</v>
      </c>
    </row>
    <row r="346" customFormat="false" ht="15" hidden="false" customHeight="false" outlineLevel="0" collapsed="false">
      <c r="A346" s="43" t="n">
        <v>343</v>
      </c>
      <c r="B346" s="44" t="str">
        <f aca="false">'Model Inputs &amp; Assumptions'!$B$28</f>
        <v>finanzen.net — Q1 Awareness Burst</v>
      </c>
      <c r="C346" s="45" t="n">
        <f aca="false">ROUND(MAX(0,'Model Inputs &amp; Assumptions'!$S$28*EXP('Model Inputs &amp; Assumptions'!$T$28*P346-'Model Inputs &amp; Assumptions'!$T$28^2/2)),0)</f>
        <v>463461</v>
      </c>
      <c r="D346" s="46" t="n">
        <f aca="false">MIN(1,'Model Inputs &amp; Assumptions'!$U$28*EXP('Model Inputs &amp; Assumptions'!$V$28*Q346-'Model Inputs &amp; Assumptions'!$V$28^2/2))</f>
        <v>0</v>
      </c>
      <c r="E346" s="45" t="n">
        <f aca="false">ROUND(C346*D346,0)</f>
        <v>0</v>
      </c>
      <c r="F346" s="47" t="n">
        <f aca="false">MIN(1,'Model Inputs &amp; Assumptions'!$W$28*EXP('Model Inputs &amp; Assumptions'!$X$28*R346-'Model Inputs &amp; Assumptions'!$X$28^2/2))</f>
        <v>0.00168886919249271</v>
      </c>
      <c r="G346" s="45" t="n">
        <f aca="false">ROUND(C346*F346,0)</f>
        <v>783</v>
      </c>
      <c r="H346" s="48" t="n">
        <f aca="false">MAX(0,(C346*'Model Inputs &amp; Assumptions'!$N$28+E346*'Model Inputs &amp; Assumptions'!$O$28+G346*'Model Inputs &amp; Assumptions'!$P$28)*EXP('Model Inputs &amp; Assumptions'!$Q$28*S346-'Model Inputs &amp; Assumptions'!$Q$28^2/2))</f>
        <v>28.291768558158</v>
      </c>
      <c r="I346" s="49" t="n">
        <f aca="false">IF('Model Inputs &amp; Assumptions'!$H$28="Fixed",'Model Inputs &amp; Assumptions'!$I$28*'Model Inputs &amp; Assumptions'!$K$28,IF('Model Inputs &amp; Assumptions'!$H$28="CPM",'Model Inputs &amp; Assumptions'!$I$28*'Model Inputs &amp; Assumptions'!$K$28*C346/1000,IF('Model Inputs &amp; Assumptions'!$H$28="CPC",'Model Inputs &amp; Assumptions'!$I$28*'Model Inputs &amp; Assumptions'!$K$28*G346,0)))</f>
        <v>3012.4965</v>
      </c>
      <c r="J346" s="50" t="n">
        <f aca="false">H346*INDEX('Model Inputs &amp; Assumptions'!$D$40:$D$42,MATCH('Model Inputs &amp; Assumptions'!$L$28,'Model Inputs &amp; Assumptions'!$A$40:$A$42,0))*INDEX('Model Inputs &amp; Assumptions'!$H$40:$H$42,MATCH('Model Inputs &amp; Assumptions'!$L$28,'Model Inputs &amp; Assumptions'!$A$40:$A$42,0))</f>
        <v>240480.032744343</v>
      </c>
      <c r="K346" s="49" t="n">
        <f aca="false">H346*INDEX('Model Inputs &amp; Assumptions'!$G$40:$G$42,MATCH('Model Inputs &amp; Assumptions'!$L$28,'Model Inputs &amp; Assumptions'!$A$40:$A$42,0))*INDEX('Model Inputs &amp; Assumptions'!$H$40:$H$42,MATCH('Model Inputs &amp; Assumptions'!$L$28,'Model Inputs &amp; Assumptions'!$A$40:$A$42,0))</f>
        <v>5410.80073674771</v>
      </c>
      <c r="L346" s="51" t="n">
        <f aca="false">IFERROR(K346/I346,0)</f>
        <v>1.79611851391287</v>
      </c>
      <c r="M346" s="49" t="n">
        <f aca="false">IFERROR(I346/H346,0)</f>
        <v>106.479610626227</v>
      </c>
      <c r="N346" s="52" t="str">
        <f aca="false">'Model Inputs &amp; Assumptions'!$L$28</f>
        <v>PRD-EUAI</v>
      </c>
      <c r="P346" s="53" t="n">
        <v>0.131642</v>
      </c>
      <c r="Q346" s="53" t="n">
        <v>-1.151382</v>
      </c>
      <c r="R346" s="53" t="n">
        <v>0.649064</v>
      </c>
      <c r="S346" s="53" t="n">
        <v>0.769987</v>
      </c>
    </row>
    <row r="347" customFormat="false" ht="15" hidden="false" customHeight="false" outlineLevel="0" collapsed="false">
      <c r="A347" s="43" t="n">
        <v>344</v>
      </c>
      <c r="B347" s="44" t="str">
        <f aca="false">'Model Inputs &amp; Assumptions'!$B$28</f>
        <v>finanzen.net — Q1 Awareness Burst</v>
      </c>
      <c r="C347" s="45" t="n">
        <f aca="false">ROUND(MAX(0,'Model Inputs &amp; Assumptions'!$S$28*EXP('Model Inputs &amp; Assumptions'!$T$28*P347-'Model Inputs &amp; Assumptions'!$T$28^2/2)),0)</f>
        <v>398731</v>
      </c>
      <c r="D347" s="46" t="n">
        <f aca="false">MIN(1,'Model Inputs &amp; Assumptions'!$U$28*EXP('Model Inputs &amp; Assumptions'!$V$28*Q347-'Model Inputs &amp; Assumptions'!$V$28^2/2))</f>
        <v>0</v>
      </c>
      <c r="E347" s="45" t="n">
        <f aca="false">ROUND(C347*D347,0)</f>
        <v>0</v>
      </c>
      <c r="F347" s="47" t="n">
        <f aca="false">MIN(1,'Model Inputs &amp; Assumptions'!$W$28*EXP('Model Inputs &amp; Assumptions'!$X$28*R347-'Model Inputs &amp; Assumptions'!$X$28^2/2))</f>
        <v>0.000993919986651688</v>
      </c>
      <c r="G347" s="45" t="n">
        <f aca="false">ROUND(C347*F347,0)</f>
        <v>396</v>
      </c>
      <c r="H347" s="48" t="n">
        <f aca="false">MAX(0,(C347*'Model Inputs &amp; Assumptions'!$N$28+E347*'Model Inputs &amp; Assumptions'!$O$28+G347*'Model Inputs &amp; Assumptions'!$P$28)*EXP('Model Inputs &amp; Assumptions'!$Q$28*S347-'Model Inputs &amp; Assumptions'!$Q$28^2/2))</f>
        <v>13.8045288234066</v>
      </c>
      <c r="I347" s="49" t="n">
        <f aca="false">IF('Model Inputs &amp; Assumptions'!$H$28="Fixed",'Model Inputs &amp; Assumptions'!$I$28*'Model Inputs &amp; Assumptions'!$K$28,IF('Model Inputs &amp; Assumptions'!$H$28="CPM",'Model Inputs &amp; Assumptions'!$I$28*'Model Inputs &amp; Assumptions'!$K$28*C347/1000,IF('Model Inputs &amp; Assumptions'!$H$28="CPC",'Model Inputs &amp; Assumptions'!$I$28*'Model Inputs &amp; Assumptions'!$K$28*G347,0)))</f>
        <v>2591.7515</v>
      </c>
      <c r="J347" s="50" t="n">
        <f aca="false">H347*INDEX('Model Inputs &amp; Assumptions'!$D$40:$D$42,MATCH('Model Inputs &amp; Assumptions'!$L$28,'Model Inputs &amp; Assumptions'!$A$40:$A$42,0))*INDEX('Model Inputs &amp; Assumptions'!$H$40:$H$42,MATCH('Model Inputs &amp; Assumptions'!$L$28,'Model Inputs &amp; Assumptions'!$A$40:$A$42,0))</f>
        <v>117338.494998956</v>
      </c>
      <c r="K347" s="49" t="n">
        <f aca="false">H347*INDEX('Model Inputs &amp; Assumptions'!$G$40:$G$42,MATCH('Model Inputs &amp; Assumptions'!$L$28,'Model Inputs &amp; Assumptions'!$A$40:$A$42,0))*INDEX('Model Inputs &amp; Assumptions'!$H$40:$H$42,MATCH('Model Inputs &amp; Assumptions'!$L$28,'Model Inputs &amp; Assumptions'!$A$40:$A$42,0))</f>
        <v>2640.11613747652</v>
      </c>
      <c r="L347" s="51" t="n">
        <f aca="false">IFERROR(K347/I347,0)</f>
        <v>1.0186609856217</v>
      </c>
      <c r="M347" s="49" t="n">
        <f aca="false">IFERROR(I347/H347,0)</f>
        <v>187.746465899328</v>
      </c>
      <c r="N347" s="52" t="str">
        <f aca="false">'Model Inputs &amp; Assumptions'!$L$28</f>
        <v>PRD-EUAI</v>
      </c>
      <c r="P347" s="53" t="n">
        <v>-0.704105</v>
      </c>
      <c r="Q347" s="53" t="n">
        <v>0.360971</v>
      </c>
      <c r="R347" s="53" t="n">
        <v>-1.760744</v>
      </c>
      <c r="S347" s="53" t="n">
        <v>0.650468</v>
      </c>
    </row>
    <row r="348" customFormat="false" ht="15" hidden="false" customHeight="false" outlineLevel="0" collapsed="false">
      <c r="A348" s="43" t="n">
        <v>345</v>
      </c>
      <c r="B348" s="44" t="str">
        <f aca="false">'Model Inputs &amp; Assumptions'!$B$28</f>
        <v>finanzen.net — Q1 Awareness Burst</v>
      </c>
      <c r="C348" s="45" t="n">
        <f aca="false">ROUND(MAX(0,'Model Inputs &amp; Assumptions'!$S$28*EXP('Model Inputs &amp; Assumptions'!$T$28*P348-'Model Inputs &amp; Assumptions'!$T$28^2/2)),0)</f>
        <v>553136</v>
      </c>
      <c r="D348" s="46" t="n">
        <f aca="false">MIN(1,'Model Inputs &amp; Assumptions'!$U$28*EXP('Model Inputs &amp; Assumptions'!$V$28*Q348-'Model Inputs &amp; Assumptions'!$V$28^2/2))</f>
        <v>0</v>
      </c>
      <c r="E348" s="45" t="n">
        <f aca="false">ROUND(C348*D348,0)</f>
        <v>0</v>
      </c>
      <c r="F348" s="47" t="n">
        <f aca="false">MIN(1,'Model Inputs &amp; Assumptions'!$W$28*EXP('Model Inputs &amp; Assumptions'!$X$28*R348-'Model Inputs &amp; Assumptions'!$X$28^2/2))</f>
        <v>0.0015069102283689</v>
      </c>
      <c r="G348" s="45" t="n">
        <f aca="false">ROUND(C348*F348,0)</f>
        <v>834</v>
      </c>
      <c r="H348" s="48" t="n">
        <f aca="false">MAX(0,(C348*'Model Inputs &amp; Assumptions'!$N$28+E348*'Model Inputs &amp; Assumptions'!$O$28+G348*'Model Inputs &amp; Assumptions'!$P$28)*EXP('Model Inputs &amp; Assumptions'!$Q$28*S348-'Model Inputs &amp; Assumptions'!$Q$28^2/2))</f>
        <v>19.6856216747751</v>
      </c>
      <c r="I348" s="49" t="n">
        <f aca="false">IF('Model Inputs &amp; Assumptions'!$H$28="Fixed",'Model Inputs &amp; Assumptions'!$I$28*'Model Inputs &amp; Assumptions'!$K$28,IF('Model Inputs &amp; Assumptions'!$H$28="CPM",'Model Inputs &amp; Assumptions'!$I$28*'Model Inputs &amp; Assumptions'!$K$28*C348/1000,IF('Model Inputs &amp; Assumptions'!$H$28="CPC",'Model Inputs &amp; Assumptions'!$I$28*'Model Inputs &amp; Assumptions'!$K$28*G348,0)))</f>
        <v>3595.384</v>
      </c>
      <c r="J348" s="50" t="n">
        <f aca="false">H348*INDEX('Model Inputs &amp; Assumptions'!$D$40:$D$42,MATCH('Model Inputs &amp; Assumptions'!$L$28,'Model Inputs &amp; Assumptions'!$A$40:$A$42,0))*INDEX('Model Inputs &amp; Assumptions'!$H$40:$H$42,MATCH('Model Inputs &amp; Assumptions'!$L$28,'Model Inputs &amp; Assumptions'!$A$40:$A$42,0))</f>
        <v>167327.784235588</v>
      </c>
      <c r="K348" s="49" t="n">
        <f aca="false">H348*INDEX('Model Inputs &amp; Assumptions'!$G$40:$G$42,MATCH('Model Inputs &amp; Assumptions'!$L$28,'Model Inputs &amp; Assumptions'!$A$40:$A$42,0))*INDEX('Model Inputs &amp; Assumptions'!$H$40:$H$42,MATCH('Model Inputs &amp; Assumptions'!$L$28,'Model Inputs &amp; Assumptions'!$A$40:$A$42,0))</f>
        <v>3764.87514530074</v>
      </c>
      <c r="L348" s="51" t="n">
        <f aca="false">IFERROR(K348/I348,0)</f>
        <v>1.0471413193419</v>
      </c>
      <c r="M348" s="49" t="n">
        <f aca="false">IFERROR(I348/H348,0)</f>
        <v>182.640104508717</v>
      </c>
      <c r="N348" s="52" t="str">
        <f aca="false">'Model Inputs &amp; Assumptions'!$L$28</f>
        <v>PRD-EUAI</v>
      </c>
      <c r="P348" s="53" t="n">
        <v>1.114319</v>
      </c>
      <c r="Q348" s="53" t="n">
        <v>-0.006785</v>
      </c>
      <c r="R348" s="53" t="n">
        <v>0.130892</v>
      </c>
      <c r="S348" s="53" t="n">
        <v>-0.64929</v>
      </c>
    </row>
    <row r="349" customFormat="false" ht="15" hidden="false" customHeight="false" outlineLevel="0" collapsed="false">
      <c r="A349" s="43" t="n">
        <v>346</v>
      </c>
      <c r="B349" s="44" t="str">
        <f aca="false">'Model Inputs &amp; Assumptions'!$B$28</f>
        <v>finanzen.net — Q1 Awareness Burst</v>
      </c>
      <c r="C349" s="45" t="n">
        <f aca="false">ROUND(MAX(0,'Model Inputs &amp; Assumptions'!$S$28*EXP('Model Inputs &amp; Assumptions'!$T$28*P349-'Model Inputs &amp; Assumptions'!$T$28^2/2)),0)</f>
        <v>393981</v>
      </c>
      <c r="D349" s="46" t="n">
        <f aca="false">MIN(1,'Model Inputs &amp; Assumptions'!$U$28*EXP('Model Inputs &amp; Assumptions'!$V$28*Q349-'Model Inputs &amp; Assumptions'!$V$28^2/2))</f>
        <v>0</v>
      </c>
      <c r="E349" s="45" t="n">
        <f aca="false">ROUND(C349*D349,0)</f>
        <v>0</v>
      </c>
      <c r="F349" s="47" t="n">
        <f aca="false">MIN(1,'Model Inputs &amp; Assumptions'!$W$28*EXP('Model Inputs &amp; Assumptions'!$X$28*R349-'Model Inputs &amp; Assumptions'!$X$28^2/2))</f>
        <v>0.00138583392188486</v>
      </c>
      <c r="G349" s="45" t="n">
        <f aca="false">ROUND(C349*F349,0)</f>
        <v>546</v>
      </c>
      <c r="H349" s="48" t="n">
        <f aca="false">MAX(0,(C349*'Model Inputs &amp; Assumptions'!$N$28+E349*'Model Inputs &amp; Assumptions'!$O$28+G349*'Model Inputs &amp; Assumptions'!$P$28)*EXP('Model Inputs &amp; Assumptions'!$Q$28*S349-'Model Inputs &amp; Assumptions'!$Q$28^2/2))</f>
        <v>22.984902294805</v>
      </c>
      <c r="I349" s="49" t="n">
        <f aca="false">IF('Model Inputs &amp; Assumptions'!$H$28="Fixed",'Model Inputs &amp; Assumptions'!$I$28*'Model Inputs &amp; Assumptions'!$K$28,IF('Model Inputs &amp; Assumptions'!$H$28="CPM",'Model Inputs &amp; Assumptions'!$I$28*'Model Inputs &amp; Assumptions'!$K$28*C349/1000,IF('Model Inputs &amp; Assumptions'!$H$28="CPC",'Model Inputs &amp; Assumptions'!$I$28*'Model Inputs &amp; Assumptions'!$K$28*G349,0)))</f>
        <v>2560.8765</v>
      </c>
      <c r="J349" s="50" t="n">
        <f aca="false">H349*INDEX('Model Inputs &amp; Assumptions'!$D$40:$D$42,MATCH('Model Inputs &amp; Assumptions'!$L$28,'Model Inputs &amp; Assumptions'!$A$40:$A$42,0))*INDEX('Model Inputs &amp; Assumptions'!$H$40:$H$42,MATCH('Model Inputs &amp; Assumptions'!$L$28,'Model Inputs &amp; Assumptions'!$A$40:$A$42,0))</f>
        <v>195371.669505843</v>
      </c>
      <c r="K349" s="49" t="n">
        <f aca="false">H349*INDEX('Model Inputs &amp; Assumptions'!$G$40:$G$42,MATCH('Model Inputs &amp; Assumptions'!$L$28,'Model Inputs &amp; Assumptions'!$A$40:$A$42,0))*INDEX('Model Inputs &amp; Assumptions'!$H$40:$H$42,MATCH('Model Inputs &amp; Assumptions'!$L$28,'Model Inputs &amp; Assumptions'!$A$40:$A$42,0))</f>
        <v>4395.86256388146</v>
      </c>
      <c r="L349" s="51" t="n">
        <f aca="false">IFERROR(K349/I349,0)</f>
        <v>1.71654609813533</v>
      </c>
      <c r="M349" s="49" t="n">
        <f aca="false">IFERROR(I349/H349,0)</f>
        <v>111.415592163679</v>
      </c>
      <c r="N349" s="52" t="str">
        <f aca="false">'Model Inputs &amp; Assumptions'!$L$28</f>
        <v>PRD-EUAI</v>
      </c>
      <c r="P349" s="53" t="n">
        <v>-0.770683</v>
      </c>
      <c r="Q349" s="53" t="n">
        <v>-0.550094</v>
      </c>
      <c r="R349" s="53" t="n">
        <v>-0.249832</v>
      </c>
      <c r="S349" s="53" t="n">
        <v>1.279255</v>
      </c>
    </row>
    <row r="350" customFormat="false" ht="15" hidden="false" customHeight="false" outlineLevel="0" collapsed="false">
      <c r="A350" s="43" t="n">
        <v>347</v>
      </c>
      <c r="B350" s="44" t="str">
        <f aca="false">'Model Inputs &amp; Assumptions'!$B$28</f>
        <v>finanzen.net — Q1 Awareness Burst</v>
      </c>
      <c r="C350" s="45" t="n">
        <f aca="false">ROUND(MAX(0,'Model Inputs &amp; Assumptions'!$S$28*EXP('Model Inputs &amp; Assumptions'!$T$28*P350-'Model Inputs &amp; Assumptions'!$T$28^2/2)),0)</f>
        <v>448923</v>
      </c>
      <c r="D350" s="46" t="n">
        <f aca="false">MIN(1,'Model Inputs &amp; Assumptions'!$U$28*EXP('Model Inputs &amp; Assumptions'!$V$28*Q350-'Model Inputs &amp; Assumptions'!$V$28^2/2))</f>
        <v>0</v>
      </c>
      <c r="E350" s="45" t="n">
        <f aca="false">ROUND(C350*D350,0)</f>
        <v>0</v>
      </c>
      <c r="F350" s="47" t="n">
        <f aca="false">MIN(1,'Model Inputs &amp; Assumptions'!$W$28*EXP('Model Inputs &amp; Assumptions'!$X$28*R350-'Model Inputs &amp; Assumptions'!$X$28^2/2))</f>
        <v>0.00165464709113911</v>
      </c>
      <c r="G350" s="45" t="n">
        <f aca="false">ROUND(C350*F350,0)</f>
        <v>743</v>
      </c>
      <c r="H350" s="48" t="n">
        <f aca="false">MAX(0,(C350*'Model Inputs &amp; Assumptions'!$N$28+E350*'Model Inputs &amp; Assumptions'!$O$28+G350*'Model Inputs &amp; Assumptions'!$P$28)*EXP('Model Inputs &amp; Assumptions'!$Q$28*S350-'Model Inputs &amp; Assumptions'!$Q$28^2/2))</f>
        <v>20.3700655336355</v>
      </c>
      <c r="I350" s="49" t="n">
        <f aca="false">IF('Model Inputs &amp; Assumptions'!$H$28="Fixed",'Model Inputs &amp; Assumptions'!$I$28*'Model Inputs &amp; Assumptions'!$K$28,IF('Model Inputs &amp; Assumptions'!$H$28="CPM",'Model Inputs &amp; Assumptions'!$I$28*'Model Inputs &amp; Assumptions'!$K$28*C350/1000,IF('Model Inputs &amp; Assumptions'!$H$28="CPC",'Model Inputs &amp; Assumptions'!$I$28*'Model Inputs &amp; Assumptions'!$K$28*G350,0)))</f>
        <v>2917.9995</v>
      </c>
      <c r="J350" s="50" t="n">
        <f aca="false">H350*INDEX('Model Inputs &amp; Assumptions'!$D$40:$D$42,MATCH('Model Inputs &amp; Assumptions'!$L$28,'Model Inputs &amp; Assumptions'!$A$40:$A$42,0))*INDEX('Model Inputs &amp; Assumptions'!$H$40:$H$42,MATCH('Model Inputs &amp; Assumptions'!$L$28,'Model Inputs &amp; Assumptions'!$A$40:$A$42,0))</f>
        <v>173145.557035902</v>
      </c>
      <c r="K350" s="49" t="n">
        <f aca="false">H350*INDEX('Model Inputs &amp; Assumptions'!$G$40:$G$42,MATCH('Model Inputs &amp; Assumptions'!$L$28,'Model Inputs &amp; Assumptions'!$A$40:$A$42,0))*INDEX('Model Inputs &amp; Assumptions'!$H$40:$H$42,MATCH('Model Inputs &amp; Assumptions'!$L$28,'Model Inputs &amp; Assumptions'!$A$40:$A$42,0))</f>
        <v>3895.77503330779</v>
      </c>
      <c r="L350" s="51" t="n">
        <f aca="false">IFERROR(K350/I350,0)</f>
        <v>1.33508420179914</v>
      </c>
      <c r="M350" s="49" t="n">
        <f aca="false">IFERROR(I350/H350,0)</f>
        <v>143.249391867774</v>
      </c>
      <c r="N350" s="52" t="str">
        <f aca="false">'Model Inputs &amp; Assumptions'!$L$28</f>
        <v>PRD-EUAI</v>
      </c>
      <c r="P350" s="53" t="n">
        <v>-0.045418</v>
      </c>
      <c r="Q350" s="53" t="n">
        <v>-1.069733</v>
      </c>
      <c r="R350" s="53" t="n">
        <v>0.556012</v>
      </c>
      <c r="S350" s="53" t="n">
        <v>-0.150239</v>
      </c>
    </row>
    <row r="351" customFormat="false" ht="15" hidden="false" customHeight="false" outlineLevel="0" collapsed="false">
      <c r="A351" s="43" t="n">
        <v>348</v>
      </c>
      <c r="B351" s="44" t="str">
        <f aca="false">'Model Inputs &amp; Assumptions'!$B$28</f>
        <v>finanzen.net — Q1 Awareness Burst</v>
      </c>
      <c r="C351" s="45" t="n">
        <f aca="false">ROUND(MAX(0,'Model Inputs &amp; Assumptions'!$S$28*EXP('Model Inputs &amp; Assumptions'!$T$28*P351-'Model Inputs &amp; Assumptions'!$T$28^2/2)),0)</f>
        <v>388866</v>
      </c>
      <c r="D351" s="46" t="n">
        <f aca="false">MIN(1,'Model Inputs &amp; Assumptions'!$U$28*EXP('Model Inputs &amp; Assumptions'!$V$28*Q351-'Model Inputs &amp; Assumptions'!$V$28^2/2))</f>
        <v>0</v>
      </c>
      <c r="E351" s="45" t="n">
        <f aca="false">ROUND(C351*D351,0)</f>
        <v>0</v>
      </c>
      <c r="F351" s="47" t="n">
        <f aca="false">MIN(1,'Model Inputs &amp; Assumptions'!$W$28*EXP('Model Inputs &amp; Assumptions'!$X$28*R351-'Model Inputs &amp; Assumptions'!$X$28^2/2))</f>
        <v>0.00146339794047137</v>
      </c>
      <c r="G351" s="45" t="n">
        <f aca="false">ROUND(C351*F351,0)</f>
        <v>569</v>
      </c>
      <c r="H351" s="48" t="n">
        <f aca="false">MAX(0,(C351*'Model Inputs &amp; Assumptions'!$N$28+E351*'Model Inputs &amp; Assumptions'!$O$28+G351*'Model Inputs &amp; Assumptions'!$P$28)*EXP('Model Inputs &amp; Assumptions'!$Q$28*S351-'Model Inputs &amp; Assumptions'!$Q$28^2/2))</f>
        <v>11.0944017784079</v>
      </c>
      <c r="I351" s="49" t="n">
        <f aca="false">IF('Model Inputs &amp; Assumptions'!$H$28="Fixed",'Model Inputs &amp; Assumptions'!$I$28*'Model Inputs &amp; Assumptions'!$K$28,IF('Model Inputs &amp; Assumptions'!$H$28="CPM",'Model Inputs &amp; Assumptions'!$I$28*'Model Inputs &amp; Assumptions'!$K$28*C351/1000,IF('Model Inputs &amp; Assumptions'!$H$28="CPC",'Model Inputs &amp; Assumptions'!$I$28*'Model Inputs &amp; Assumptions'!$K$28*G351,0)))</f>
        <v>2527.629</v>
      </c>
      <c r="J351" s="50" t="n">
        <f aca="false">H351*INDEX('Model Inputs &amp; Assumptions'!$D$40:$D$42,MATCH('Model Inputs &amp; Assumptions'!$L$28,'Model Inputs &amp; Assumptions'!$A$40:$A$42,0))*INDEX('Model Inputs &amp; Assumptions'!$H$40:$H$42,MATCH('Model Inputs &amp; Assumptions'!$L$28,'Model Inputs &amp; Assumptions'!$A$40:$A$42,0))</f>
        <v>94302.4151164668</v>
      </c>
      <c r="K351" s="49" t="n">
        <f aca="false">H351*INDEX('Model Inputs &amp; Assumptions'!$G$40:$G$42,MATCH('Model Inputs &amp; Assumptions'!$L$28,'Model Inputs &amp; Assumptions'!$A$40:$A$42,0))*INDEX('Model Inputs &amp; Assumptions'!$H$40:$H$42,MATCH('Model Inputs &amp; Assumptions'!$L$28,'Model Inputs &amp; Assumptions'!$A$40:$A$42,0))</f>
        <v>2121.8043401205</v>
      </c>
      <c r="L351" s="51" t="n">
        <f aca="false">IFERROR(K351/I351,0)</f>
        <v>0.839444530870829</v>
      </c>
      <c r="M351" s="49" t="n">
        <f aca="false">IFERROR(I351/H351,0)</f>
        <v>227.82922869436</v>
      </c>
      <c r="N351" s="52" t="str">
        <f aca="false">'Model Inputs &amp; Assumptions'!$L$28</f>
        <v>PRD-EUAI</v>
      </c>
      <c r="P351" s="53" t="n">
        <v>-0.843293</v>
      </c>
      <c r="Q351" s="53" t="n">
        <v>-0.570951</v>
      </c>
      <c r="R351" s="53" t="n">
        <v>-0.002291</v>
      </c>
      <c r="S351" s="53" t="n">
        <v>-1.286273</v>
      </c>
    </row>
    <row r="352" customFormat="false" ht="15" hidden="false" customHeight="false" outlineLevel="0" collapsed="false">
      <c r="A352" s="43" t="n">
        <v>349</v>
      </c>
      <c r="B352" s="44" t="str">
        <f aca="false">'Model Inputs &amp; Assumptions'!$B$28</f>
        <v>finanzen.net — Q1 Awareness Burst</v>
      </c>
      <c r="C352" s="45" t="n">
        <f aca="false">ROUND(MAX(0,'Model Inputs &amp; Assumptions'!$S$28*EXP('Model Inputs &amp; Assumptions'!$T$28*P352-'Model Inputs &amp; Assumptions'!$T$28^2/2)),0)</f>
        <v>371841</v>
      </c>
      <c r="D352" s="46" t="n">
        <f aca="false">MIN(1,'Model Inputs &amp; Assumptions'!$U$28*EXP('Model Inputs &amp; Assumptions'!$V$28*Q352-'Model Inputs &amp; Assumptions'!$V$28^2/2))</f>
        <v>0</v>
      </c>
      <c r="E352" s="45" t="n">
        <f aca="false">ROUND(C352*D352,0)</f>
        <v>0</v>
      </c>
      <c r="F352" s="47" t="n">
        <f aca="false">MIN(1,'Model Inputs &amp; Assumptions'!$W$28*EXP('Model Inputs &amp; Assumptions'!$X$28*R352-'Model Inputs &amp; Assumptions'!$X$28^2/2))</f>
        <v>0.00143052556984402</v>
      </c>
      <c r="G352" s="45" t="n">
        <f aca="false">ROUND(C352*F352,0)</f>
        <v>532</v>
      </c>
      <c r="H352" s="48" t="n">
        <f aca="false">MAX(0,(C352*'Model Inputs &amp; Assumptions'!$N$28+E352*'Model Inputs &amp; Assumptions'!$O$28+G352*'Model Inputs &amp; Assumptions'!$P$28)*EXP('Model Inputs &amp; Assumptions'!$Q$28*S352-'Model Inputs &amp; Assumptions'!$Q$28^2/2))</f>
        <v>9.0515461825707</v>
      </c>
      <c r="I352" s="49" t="n">
        <f aca="false">IF('Model Inputs &amp; Assumptions'!$H$28="Fixed",'Model Inputs &amp; Assumptions'!$I$28*'Model Inputs &amp; Assumptions'!$K$28,IF('Model Inputs &amp; Assumptions'!$H$28="CPM",'Model Inputs &amp; Assumptions'!$I$28*'Model Inputs &amp; Assumptions'!$K$28*C352/1000,IF('Model Inputs &amp; Assumptions'!$H$28="CPC",'Model Inputs &amp; Assumptions'!$I$28*'Model Inputs &amp; Assumptions'!$K$28*G352,0)))</f>
        <v>2416.9665</v>
      </c>
      <c r="J352" s="50" t="n">
        <f aca="false">H352*INDEX('Model Inputs &amp; Assumptions'!$D$40:$D$42,MATCH('Model Inputs &amp; Assumptions'!$L$28,'Model Inputs &amp; Assumptions'!$A$40:$A$42,0))*INDEX('Model Inputs &amp; Assumptions'!$H$40:$H$42,MATCH('Model Inputs &amp; Assumptions'!$L$28,'Model Inputs &amp; Assumptions'!$A$40:$A$42,0))</f>
        <v>76938.1425518509</v>
      </c>
      <c r="K352" s="49" t="n">
        <f aca="false">H352*INDEX('Model Inputs &amp; Assumptions'!$G$40:$G$42,MATCH('Model Inputs &amp; Assumptions'!$L$28,'Model Inputs &amp; Assumptions'!$A$40:$A$42,0))*INDEX('Model Inputs &amp; Assumptions'!$H$40:$H$42,MATCH('Model Inputs &amp; Assumptions'!$L$28,'Model Inputs &amp; Assumptions'!$A$40:$A$42,0))</f>
        <v>1731.10820741665</v>
      </c>
      <c r="L352" s="51" t="n">
        <f aca="false">IFERROR(K352/I352,0)</f>
        <v>0.716231775416269</v>
      </c>
      <c r="M352" s="49" t="n">
        <f aca="false">IFERROR(I352/H352,0)</f>
        <v>267.022501045624</v>
      </c>
      <c r="N352" s="52" t="str">
        <f aca="false">'Model Inputs &amp; Assumptions'!$L$28</f>
        <v>PRD-EUAI</v>
      </c>
      <c r="P352" s="53" t="n">
        <v>-1.092008</v>
      </c>
      <c r="Q352" s="53" t="n">
        <v>0.866381</v>
      </c>
      <c r="R352" s="53" t="n">
        <v>-0.10556</v>
      </c>
      <c r="S352" s="53" t="n">
        <v>-1.7405</v>
      </c>
    </row>
    <row r="353" customFormat="false" ht="15" hidden="false" customHeight="false" outlineLevel="0" collapsed="false">
      <c r="A353" s="43" t="n">
        <v>350</v>
      </c>
      <c r="B353" s="44" t="str">
        <f aca="false">'Model Inputs &amp; Assumptions'!$B$28</f>
        <v>finanzen.net — Q1 Awareness Burst</v>
      </c>
      <c r="C353" s="45" t="n">
        <f aca="false">ROUND(MAX(0,'Model Inputs &amp; Assumptions'!$S$28*EXP('Model Inputs &amp; Assumptions'!$T$28*P353-'Model Inputs &amp; Assumptions'!$T$28^2/2)),0)</f>
        <v>472717</v>
      </c>
      <c r="D353" s="46" t="n">
        <f aca="false">MIN(1,'Model Inputs &amp; Assumptions'!$U$28*EXP('Model Inputs &amp; Assumptions'!$V$28*Q353-'Model Inputs &amp; Assumptions'!$V$28^2/2))</f>
        <v>0</v>
      </c>
      <c r="E353" s="45" t="n">
        <f aca="false">ROUND(C353*D353,0)</f>
        <v>0</v>
      </c>
      <c r="F353" s="47" t="n">
        <f aca="false">MIN(1,'Model Inputs &amp; Assumptions'!$W$28*EXP('Model Inputs &amp; Assumptions'!$X$28*R353-'Model Inputs &amp; Assumptions'!$X$28^2/2))</f>
        <v>0.00114901995743186</v>
      </c>
      <c r="G353" s="45" t="n">
        <f aca="false">ROUND(C353*F353,0)</f>
        <v>543</v>
      </c>
      <c r="H353" s="48" t="n">
        <f aca="false">MAX(0,(C353*'Model Inputs &amp; Assumptions'!$N$28+E353*'Model Inputs &amp; Assumptions'!$O$28+G353*'Model Inputs &amp; Assumptions'!$P$28)*EXP('Model Inputs &amp; Assumptions'!$Q$28*S353-'Model Inputs &amp; Assumptions'!$Q$28^2/2))</f>
        <v>17.2256167644694</v>
      </c>
      <c r="I353" s="49" t="n">
        <f aca="false">IF('Model Inputs &amp; Assumptions'!$H$28="Fixed",'Model Inputs &amp; Assumptions'!$I$28*'Model Inputs &amp; Assumptions'!$K$28,IF('Model Inputs &amp; Assumptions'!$H$28="CPM",'Model Inputs &amp; Assumptions'!$I$28*'Model Inputs &amp; Assumptions'!$K$28*C353/1000,IF('Model Inputs &amp; Assumptions'!$H$28="CPC",'Model Inputs &amp; Assumptions'!$I$28*'Model Inputs &amp; Assumptions'!$K$28*G353,0)))</f>
        <v>3072.6605</v>
      </c>
      <c r="J353" s="50" t="n">
        <f aca="false">H353*INDEX('Model Inputs &amp; Assumptions'!$D$40:$D$42,MATCH('Model Inputs &amp; Assumptions'!$L$28,'Model Inputs &amp; Assumptions'!$A$40:$A$42,0))*INDEX('Model Inputs &amp; Assumptions'!$H$40:$H$42,MATCH('Model Inputs &amp; Assumptions'!$L$28,'Model Inputs &amp; Assumptions'!$A$40:$A$42,0))</f>
        <v>146417.74249799</v>
      </c>
      <c r="K353" s="49" t="n">
        <f aca="false">H353*INDEX('Model Inputs &amp; Assumptions'!$G$40:$G$42,MATCH('Model Inputs &amp; Assumptions'!$L$28,'Model Inputs &amp; Assumptions'!$A$40:$A$42,0))*INDEX('Model Inputs &amp; Assumptions'!$H$40:$H$42,MATCH('Model Inputs &amp; Assumptions'!$L$28,'Model Inputs &amp; Assumptions'!$A$40:$A$42,0))</f>
        <v>3294.39920620478</v>
      </c>
      <c r="L353" s="51" t="n">
        <f aca="false">IFERROR(K353/I353,0)</f>
        <v>1.07216505246993</v>
      </c>
      <c r="M353" s="49" t="n">
        <f aca="false">IFERROR(I353/H353,0)</f>
        <v>178.377386540832</v>
      </c>
      <c r="N353" s="52" t="str">
        <f aca="false">'Model Inputs &amp; Assumptions'!$L$28</f>
        <v>PRD-EUAI</v>
      </c>
      <c r="P353" s="53" t="n">
        <v>0.241499</v>
      </c>
      <c r="Q353" s="53" t="n">
        <v>-0.282469</v>
      </c>
      <c r="R353" s="53" t="n">
        <v>-1.101617</v>
      </c>
      <c r="S353" s="53" t="n">
        <v>0.336154</v>
      </c>
    </row>
    <row r="354" customFormat="false" ht="15" hidden="false" customHeight="false" outlineLevel="0" collapsed="false">
      <c r="A354" s="43" t="n">
        <v>351</v>
      </c>
      <c r="B354" s="44" t="str">
        <f aca="false">'Model Inputs &amp; Assumptions'!$B$28</f>
        <v>finanzen.net — Q1 Awareness Burst</v>
      </c>
      <c r="C354" s="45" t="n">
        <f aca="false">ROUND(MAX(0,'Model Inputs &amp; Assumptions'!$S$28*EXP('Model Inputs &amp; Assumptions'!$T$28*P354-'Model Inputs &amp; Assumptions'!$T$28^2/2)),0)</f>
        <v>387573</v>
      </c>
      <c r="D354" s="46" t="n">
        <f aca="false">MIN(1,'Model Inputs &amp; Assumptions'!$U$28*EXP('Model Inputs &amp; Assumptions'!$V$28*Q354-'Model Inputs &amp; Assumptions'!$V$28^2/2))</f>
        <v>0</v>
      </c>
      <c r="E354" s="45" t="n">
        <f aca="false">ROUND(C354*D354,0)</f>
        <v>0</v>
      </c>
      <c r="F354" s="47" t="n">
        <f aca="false">MIN(1,'Model Inputs &amp; Assumptions'!$W$28*EXP('Model Inputs &amp; Assumptions'!$X$28*R354-'Model Inputs &amp; Assumptions'!$X$28^2/2))</f>
        <v>0.00120148403447048</v>
      </c>
      <c r="G354" s="45" t="n">
        <f aca="false">ROUND(C354*F354,0)</f>
        <v>466</v>
      </c>
      <c r="H354" s="48" t="n">
        <f aca="false">MAX(0,(C354*'Model Inputs &amp; Assumptions'!$N$28+E354*'Model Inputs &amp; Assumptions'!$O$28+G354*'Model Inputs &amp; Assumptions'!$P$28)*EXP('Model Inputs &amp; Assumptions'!$Q$28*S354-'Model Inputs &amp; Assumptions'!$Q$28^2/2))</f>
        <v>13.7983488548527</v>
      </c>
      <c r="I354" s="49" t="n">
        <f aca="false">IF('Model Inputs &amp; Assumptions'!$H$28="Fixed",'Model Inputs &amp; Assumptions'!$I$28*'Model Inputs &amp; Assumptions'!$K$28,IF('Model Inputs &amp; Assumptions'!$H$28="CPM",'Model Inputs &amp; Assumptions'!$I$28*'Model Inputs &amp; Assumptions'!$K$28*C354/1000,IF('Model Inputs &amp; Assumptions'!$H$28="CPC",'Model Inputs &amp; Assumptions'!$I$28*'Model Inputs &amp; Assumptions'!$K$28*G354,0)))</f>
        <v>2519.2245</v>
      </c>
      <c r="J354" s="50" t="n">
        <f aca="false">H354*INDEX('Model Inputs &amp; Assumptions'!$D$40:$D$42,MATCH('Model Inputs &amp; Assumptions'!$L$28,'Model Inputs &amp; Assumptions'!$A$40:$A$42,0))*INDEX('Model Inputs &amp; Assumptions'!$H$40:$H$42,MATCH('Model Inputs &amp; Assumptions'!$L$28,'Model Inputs &amp; Assumptions'!$A$40:$A$42,0))</f>
        <v>117285.965266248</v>
      </c>
      <c r="K354" s="49" t="n">
        <f aca="false">H354*INDEX('Model Inputs &amp; Assumptions'!$G$40:$G$42,MATCH('Model Inputs &amp; Assumptions'!$L$28,'Model Inputs &amp; Assumptions'!$A$40:$A$42,0))*INDEX('Model Inputs &amp; Assumptions'!$H$40:$H$42,MATCH('Model Inputs &amp; Assumptions'!$L$28,'Model Inputs &amp; Assumptions'!$A$40:$A$42,0))</f>
        <v>2638.93421849058</v>
      </c>
      <c r="L354" s="51" t="n">
        <f aca="false">IFERROR(K354/I354,0)</f>
        <v>1.04751847979034</v>
      </c>
      <c r="M354" s="49" t="n">
        <f aca="false">IFERROR(I354/H354,0)</f>
        <v>182.57434469154</v>
      </c>
      <c r="N354" s="52" t="str">
        <f aca="false">'Model Inputs &amp; Assumptions'!$L$28</f>
        <v>PRD-EUAI</v>
      </c>
      <c r="P354" s="53" t="n">
        <v>-0.861792</v>
      </c>
      <c r="Q354" s="53" t="n">
        <v>-1.464451</v>
      </c>
      <c r="R354" s="53" t="n">
        <v>-0.898671</v>
      </c>
      <c r="S354" s="53" t="n">
        <v>0.106404</v>
      </c>
    </row>
    <row r="355" customFormat="false" ht="15" hidden="false" customHeight="false" outlineLevel="0" collapsed="false">
      <c r="A355" s="43" t="n">
        <v>352</v>
      </c>
      <c r="B355" s="44" t="str">
        <f aca="false">'Model Inputs &amp; Assumptions'!$B$28</f>
        <v>finanzen.net — Q1 Awareness Burst</v>
      </c>
      <c r="C355" s="45" t="n">
        <f aca="false">ROUND(MAX(0,'Model Inputs &amp; Assumptions'!$S$28*EXP('Model Inputs &amp; Assumptions'!$T$28*P355-'Model Inputs &amp; Assumptions'!$T$28^2/2)),0)</f>
        <v>495352</v>
      </c>
      <c r="D355" s="46" t="n">
        <f aca="false">MIN(1,'Model Inputs &amp; Assumptions'!$U$28*EXP('Model Inputs &amp; Assumptions'!$V$28*Q355-'Model Inputs &amp; Assumptions'!$V$28^2/2))</f>
        <v>0</v>
      </c>
      <c r="E355" s="45" t="n">
        <f aca="false">ROUND(C355*D355,0)</f>
        <v>0</v>
      </c>
      <c r="F355" s="47" t="n">
        <f aca="false">MIN(1,'Model Inputs &amp; Assumptions'!$W$28*EXP('Model Inputs &amp; Assumptions'!$X$28*R355-'Model Inputs &amp; Assumptions'!$X$28^2/2))</f>
        <v>0.00206942222116982</v>
      </c>
      <c r="G355" s="45" t="n">
        <f aca="false">ROUND(C355*F355,0)</f>
        <v>1025</v>
      </c>
      <c r="H355" s="48" t="n">
        <f aca="false">MAX(0,(C355*'Model Inputs &amp; Assumptions'!$N$28+E355*'Model Inputs &amp; Assumptions'!$O$28+G355*'Model Inputs &amp; Assumptions'!$P$28)*EXP('Model Inputs &amp; Assumptions'!$Q$28*S355-'Model Inputs &amp; Assumptions'!$Q$28^2/2))</f>
        <v>24.6429953117136</v>
      </c>
      <c r="I355" s="49" t="n">
        <f aca="false">IF('Model Inputs &amp; Assumptions'!$H$28="Fixed",'Model Inputs &amp; Assumptions'!$I$28*'Model Inputs &amp; Assumptions'!$K$28,IF('Model Inputs &amp; Assumptions'!$H$28="CPM",'Model Inputs &amp; Assumptions'!$I$28*'Model Inputs &amp; Assumptions'!$K$28*C355/1000,IF('Model Inputs &amp; Assumptions'!$H$28="CPC",'Model Inputs &amp; Assumptions'!$I$28*'Model Inputs &amp; Assumptions'!$K$28*G355,0)))</f>
        <v>3219.788</v>
      </c>
      <c r="J355" s="50" t="n">
        <f aca="false">H355*INDEX('Model Inputs &amp; Assumptions'!$D$40:$D$42,MATCH('Model Inputs &amp; Assumptions'!$L$28,'Model Inputs &amp; Assumptions'!$A$40:$A$42,0))*INDEX('Model Inputs &amp; Assumptions'!$H$40:$H$42,MATCH('Model Inputs &amp; Assumptions'!$L$28,'Model Inputs &amp; Assumptions'!$A$40:$A$42,0))</f>
        <v>209465.460149565</v>
      </c>
      <c r="K355" s="49" t="n">
        <f aca="false">H355*INDEX('Model Inputs &amp; Assumptions'!$G$40:$G$42,MATCH('Model Inputs &amp; Assumptions'!$L$28,'Model Inputs &amp; Assumptions'!$A$40:$A$42,0))*INDEX('Model Inputs &amp; Assumptions'!$H$40:$H$42,MATCH('Model Inputs &amp; Assumptions'!$L$28,'Model Inputs &amp; Assumptions'!$A$40:$A$42,0))</f>
        <v>4712.97285336522</v>
      </c>
      <c r="L355" s="51" t="n">
        <f aca="false">IFERROR(K355/I355,0)</f>
        <v>1.46375253692641</v>
      </c>
      <c r="M355" s="49" t="n">
        <f aca="false">IFERROR(I355/H355,0)</f>
        <v>130.657331191778</v>
      </c>
      <c r="N355" s="52" t="str">
        <f aca="false">'Model Inputs &amp; Assumptions'!$L$28</f>
        <v>PRD-EUAI</v>
      </c>
      <c r="P355" s="53" t="n">
        <v>0.501343</v>
      </c>
      <c r="Q355" s="53" t="n">
        <v>0.465885</v>
      </c>
      <c r="R355" s="53" t="n">
        <v>1.572747</v>
      </c>
      <c r="S355" s="53" t="n">
        <v>-0.587991</v>
      </c>
    </row>
    <row r="356" customFormat="false" ht="15" hidden="false" customHeight="false" outlineLevel="0" collapsed="false">
      <c r="A356" s="43" t="n">
        <v>353</v>
      </c>
      <c r="B356" s="44" t="str">
        <f aca="false">'Model Inputs &amp; Assumptions'!$B$28</f>
        <v>finanzen.net — Q1 Awareness Burst</v>
      </c>
      <c r="C356" s="45" t="n">
        <f aca="false">ROUND(MAX(0,'Model Inputs &amp; Assumptions'!$S$28*EXP('Model Inputs &amp; Assumptions'!$T$28*P356-'Model Inputs &amp; Assumptions'!$T$28^2/2)),0)</f>
        <v>483318</v>
      </c>
      <c r="D356" s="46" t="n">
        <f aca="false">MIN(1,'Model Inputs &amp; Assumptions'!$U$28*EXP('Model Inputs &amp; Assumptions'!$V$28*Q356-'Model Inputs &amp; Assumptions'!$V$28^2/2))</f>
        <v>0</v>
      </c>
      <c r="E356" s="45" t="n">
        <f aca="false">ROUND(C356*D356,0)</f>
        <v>0</v>
      </c>
      <c r="F356" s="47" t="n">
        <f aca="false">MIN(1,'Model Inputs &amp; Assumptions'!$W$28*EXP('Model Inputs &amp; Assumptions'!$X$28*R356-'Model Inputs &amp; Assumptions'!$X$28^2/2))</f>
        <v>0.00140752703421974</v>
      </c>
      <c r="G356" s="45" t="n">
        <f aca="false">ROUND(C356*F356,0)</f>
        <v>680</v>
      </c>
      <c r="H356" s="48" t="n">
        <f aca="false">MAX(0,(C356*'Model Inputs &amp; Assumptions'!$N$28+E356*'Model Inputs &amp; Assumptions'!$O$28+G356*'Model Inputs &amp; Assumptions'!$P$28)*EXP('Model Inputs &amp; Assumptions'!$Q$28*S356-'Model Inputs &amp; Assumptions'!$Q$28^2/2))</f>
        <v>31.5788692043219</v>
      </c>
      <c r="I356" s="49" t="n">
        <f aca="false">IF('Model Inputs &amp; Assumptions'!$H$28="Fixed",'Model Inputs &amp; Assumptions'!$I$28*'Model Inputs &amp; Assumptions'!$K$28,IF('Model Inputs &amp; Assumptions'!$H$28="CPM",'Model Inputs &amp; Assumptions'!$I$28*'Model Inputs &amp; Assumptions'!$K$28*C356/1000,IF('Model Inputs &amp; Assumptions'!$H$28="CPC",'Model Inputs &amp; Assumptions'!$I$28*'Model Inputs &amp; Assumptions'!$K$28*G356,0)))</f>
        <v>3141.567</v>
      </c>
      <c r="J356" s="50" t="n">
        <f aca="false">H356*INDEX('Model Inputs &amp; Assumptions'!$D$40:$D$42,MATCH('Model Inputs &amp; Assumptions'!$L$28,'Model Inputs &amp; Assumptions'!$A$40:$A$42,0))*INDEX('Model Inputs &amp; Assumptions'!$H$40:$H$42,MATCH('Model Inputs &amp; Assumptions'!$L$28,'Model Inputs &amp; Assumptions'!$A$40:$A$42,0))</f>
        <v>268420.388236737</v>
      </c>
      <c r="K356" s="49" t="n">
        <f aca="false">H356*INDEX('Model Inputs &amp; Assumptions'!$G$40:$G$42,MATCH('Model Inputs &amp; Assumptions'!$L$28,'Model Inputs &amp; Assumptions'!$A$40:$A$42,0))*INDEX('Model Inputs &amp; Assumptions'!$H$40:$H$42,MATCH('Model Inputs &amp; Assumptions'!$L$28,'Model Inputs &amp; Assumptions'!$A$40:$A$42,0))</f>
        <v>6039.45873532657</v>
      </c>
      <c r="L356" s="51" t="n">
        <f aca="false">IFERROR(K356/I356,0)</f>
        <v>1.92243512085738</v>
      </c>
      <c r="M356" s="49" t="n">
        <f aca="false">IFERROR(I356/H356,0)</f>
        <v>99.4832012404687</v>
      </c>
      <c r="N356" s="52" t="str">
        <f aca="false">'Model Inputs &amp; Assumptions'!$L$28</f>
        <v>PRD-EUAI</v>
      </c>
      <c r="P356" s="53" t="n">
        <v>0.364714</v>
      </c>
      <c r="Q356" s="53" t="n">
        <v>0.391231</v>
      </c>
      <c r="R356" s="53" t="n">
        <v>-0.179231</v>
      </c>
      <c r="S356" s="53" t="n">
        <v>1.606511</v>
      </c>
    </row>
    <row r="357" customFormat="false" ht="15" hidden="false" customHeight="false" outlineLevel="0" collapsed="false">
      <c r="A357" s="43" t="n">
        <v>354</v>
      </c>
      <c r="B357" s="44" t="str">
        <f aca="false">'Model Inputs &amp; Assumptions'!$B$28</f>
        <v>finanzen.net — Q1 Awareness Burst</v>
      </c>
      <c r="C357" s="45" t="n">
        <f aca="false">ROUND(MAX(0,'Model Inputs &amp; Assumptions'!$S$28*EXP('Model Inputs &amp; Assumptions'!$T$28*P357-'Model Inputs &amp; Assumptions'!$T$28^2/2)),0)</f>
        <v>538450</v>
      </c>
      <c r="D357" s="46" t="n">
        <f aca="false">MIN(1,'Model Inputs &amp; Assumptions'!$U$28*EXP('Model Inputs &amp; Assumptions'!$V$28*Q357-'Model Inputs &amp; Assumptions'!$V$28^2/2))</f>
        <v>0</v>
      </c>
      <c r="E357" s="45" t="n">
        <f aca="false">ROUND(C357*D357,0)</f>
        <v>0</v>
      </c>
      <c r="F357" s="47" t="n">
        <f aca="false">MIN(1,'Model Inputs &amp; Assumptions'!$W$28*EXP('Model Inputs &amp; Assumptions'!$X$28*R357-'Model Inputs &amp; Assumptions'!$X$28^2/2))</f>
        <v>0.00118265319892438</v>
      </c>
      <c r="G357" s="45" t="n">
        <f aca="false">ROUND(C357*F357,0)</f>
        <v>637</v>
      </c>
      <c r="H357" s="48" t="n">
        <f aca="false">MAX(0,(C357*'Model Inputs &amp; Assumptions'!$N$28+E357*'Model Inputs &amp; Assumptions'!$O$28+G357*'Model Inputs &amp; Assumptions'!$P$28)*EXP('Model Inputs &amp; Assumptions'!$Q$28*S357-'Model Inputs &amp; Assumptions'!$Q$28^2/2))</f>
        <v>28.6607920544673</v>
      </c>
      <c r="I357" s="49" t="n">
        <f aca="false">IF('Model Inputs &amp; Assumptions'!$H$28="Fixed",'Model Inputs &amp; Assumptions'!$I$28*'Model Inputs &amp; Assumptions'!$K$28,IF('Model Inputs &amp; Assumptions'!$H$28="CPM",'Model Inputs &amp; Assumptions'!$I$28*'Model Inputs &amp; Assumptions'!$K$28*C357/1000,IF('Model Inputs &amp; Assumptions'!$H$28="CPC",'Model Inputs &amp; Assumptions'!$I$28*'Model Inputs &amp; Assumptions'!$K$28*G357,0)))</f>
        <v>3499.925</v>
      </c>
      <c r="J357" s="50" t="n">
        <f aca="false">H357*INDEX('Model Inputs &amp; Assumptions'!$D$40:$D$42,MATCH('Model Inputs &amp; Assumptions'!$L$28,'Model Inputs &amp; Assumptions'!$A$40:$A$42,0))*INDEX('Model Inputs &amp; Assumptions'!$H$40:$H$42,MATCH('Model Inputs &amp; Assumptions'!$L$28,'Model Inputs &amp; Assumptions'!$A$40:$A$42,0))</f>
        <v>243616.732462972</v>
      </c>
      <c r="K357" s="49" t="n">
        <f aca="false">H357*INDEX('Model Inputs &amp; Assumptions'!$G$40:$G$42,MATCH('Model Inputs &amp; Assumptions'!$L$28,'Model Inputs &amp; Assumptions'!$A$40:$A$42,0))*INDEX('Model Inputs &amp; Assumptions'!$H$40:$H$42,MATCH('Model Inputs &amp; Assumptions'!$L$28,'Model Inputs &amp; Assumptions'!$A$40:$A$42,0))</f>
        <v>5481.37648041687</v>
      </c>
      <c r="L357" s="51" t="n">
        <f aca="false">IFERROR(K357/I357,0)</f>
        <v>1.56614112600038</v>
      </c>
      <c r="M357" s="49" t="n">
        <f aca="false">IFERROR(I357/H357,0)</f>
        <v>122.115431888578</v>
      </c>
      <c r="N357" s="52" t="str">
        <f aca="false">'Model Inputs &amp; Assumptions'!$L$28</f>
        <v>PRD-EUAI</v>
      </c>
      <c r="P357" s="53" t="n">
        <v>0.96482</v>
      </c>
      <c r="Q357" s="53" t="n">
        <v>0.627767</v>
      </c>
      <c r="R357" s="53" t="n">
        <v>-0.970476</v>
      </c>
      <c r="S357" s="53" t="n">
        <v>1.501061</v>
      </c>
    </row>
    <row r="358" customFormat="false" ht="15" hidden="false" customHeight="false" outlineLevel="0" collapsed="false">
      <c r="A358" s="43" t="n">
        <v>355</v>
      </c>
      <c r="B358" s="44" t="str">
        <f aca="false">'Model Inputs &amp; Assumptions'!$B$28</f>
        <v>finanzen.net — Q1 Awareness Burst</v>
      </c>
      <c r="C358" s="45" t="n">
        <f aca="false">ROUND(MAX(0,'Model Inputs &amp; Assumptions'!$S$28*EXP('Model Inputs &amp; Assumptions'!$T$28*P358-'Model Inputs &amp; Assumptions'!$T$28^2/2)),0)</f>
        <v>466258</v>
      </c>
      <c r="D358" s="46" t="n">
        <f aca="false">MIN(1,'Model Inputs &amp; Assumptions'!$U$28*EXP('Model Inputs &amp; Assumptions'!$V$28*Q358-'Model Inputs &amp; Assumptions'!$V$28^2/2))</f>
        <v>0</v>
      </c>
      <c r="E358" s="45" t="n">
        <f aca="false">ROUND(C358*D358,0)</f>
        <v>0</v>
      </c>
      <c r="F358" s="47" t="n">
        <f aca="false">MIN(1,'Model Inputs &amp; Assumptions'!$W$28*EXP('Model Inputs &amp; Assumptions'!$X$28*R358-'Model Inputs &amp; Assumptions'!$X$28^2/2))</f>
        <v>0.00118877524127097</v>
      </c>
      <c r="G358" s="45" t="n">
        <f aca="false">ROUND(C358*F358,0)</f>
        <v>554</v>
      </c>
      <c r="H358" s="48" t="n">
        <f aca="false">MAX(0,(C358*'Model Inputs &amp; Assumptions'!$N$28+E358*'Model Inputs &amp; Assumptions'!$O$28+G358*'Model Inputs &amp; Assumptions'!$P$28)*EXP('Model Inputs &amp; Assumptions'!$Q$28*S358-'Model Inputs &amp; Assumptions'!$Q$28^2/2))</f>
        <v>19.1117664413924</v>
      </c>
      <c r="I358" s="49" t="n">
        <f aca="false">IF('Model Inputs &amp; Assumptions'!$H$28="Fixed",'Model Inputs &amp; Assumptions'!$I$28*'Model Inputs &amp; Assumptions'!$K$28,IF('Model Inputs &amp; Assumptions'!$H$28="CPM",'Model Inputs &amp; Assumptions'!$I$28*'Model Inputs &amp; Assumptions'!$K$28*C358/1000,IF('Model Inputs &amp; Assumptions'!$H$28="CPC",'Model Inputs &amp; Assumptions'!$I$28*'Model Inputs &amp; Assumptions'!$K$28*G358,0)))</f>
        <v>3030.677</v>
      </c>
      <c r="J358" s="50" t="n">
        <f aca="false">H358*INDEX('Model Inputs &amp; Assumptions'!$D$40:$D$42,MATCH('Model Inputs &amp; Assumptions'!$L$28,'Model Inputs &amp; Assumptions'!$A$40:$A$42,0))*INDEX('Model Inputs &amp; Assumptions'!$H$40:$H$42,MATCH('Model Inputs &amp; Assumptions'!$L$28,'Model Inputs &amp; Assumptions'!$A$40:$A$42,0))</f>
        <v>162450.014751836</v>
      </c>
      <c r="K358" s="49" t="n">
        <f aca="false">H358*INDEX('Model Inputs &amp; Assumptions'!$G$40:$G$42,MATCH('Model Inputs &amp; Assumptions'!$L$28,'Model Inputs &amp; Assumptions'!$A$40:$A$42,0))*INDEX('Model Inputs &amp; Assumptions'!$H$40:$H$42,MATCH('Model Inputs &amp; Assumptions'!$L$28,'Model Inputs &amp; Assumptions'!$A$40:$A$42,0))</f>
        <v>3655.1253319163</v>
      </c>
      <c r="L358" s="51" t="n">
        <f aca="false">IFERROR(K358/I358,0)</f>
        <v>1.20604252182476</v>
      </c>
      <c r="M358" s="49" t="n">
        <f aca="false">IFERROR(I358/H358,0)</f>
        <v>158.576498373072</v>
      </c>
      <c r="N358" s="52" t="str">
        <f aca="false">'Model Inputs &amp; Assumptions'!$L$28</f>
        <v>PRD-EUAI</v>
      </c>
      <c r="P358" s="53" t="n">
        <v>0.165075</v>
      </c>
      <c r="Q358" s="53" t="n">
        <v>1.161271</v>
      </c>
      <c r="R358" s="53" t="n">
        <v>-0.947007</v>
      </c>
      <c r="S358" s="53" t="n">
        <v>0.615658</v>
      </c>
    </row>
    <row r="359" customFormat="false" ht="15" hidden="false" customHeight="false" outlineLevel="0" collapsed="false">
      <c r="A359" s="43" t="n">
        <v>356</v>
      </c>
      <c r="B359" s="44" t="str">
        <f aca="false">'Model Inputs &amp; Assumptions'!$B$28</f>
        <v>finanzen.net — Q1 Awareness Burst</v>
      </c>
      <c r="C359" s="45" t="n">
        <f aca="false">ROUND(MAX(0,'Model Inputs &amp; Assumptions'!$S$28*EXP('Model Inputs &amp; Assumptions'!$T$28*P359-'Model Inputs &amp; Assumptions'!$T$28^2/2)),0)</f>
        <v>550983</v>
      </c>
      <c r="D359" s="46" t="n">
        <f aca="false">MIN(1,'Model Inputs &amp; Assumptions'!$U$28*EXP('Model Inputs &amp; Assumptions'!$V$28*Q359-'Model Inputs &amp; Assumptions'!$V$28^2/2))</f>
        <v>0</v>
      </c>
      <c r="E359" s="45" t="n">
        <f aca="false">ROUND(C359*D359,0)</f>
        <v>0</v>
      </c>
      <c r="F359" s="47" t="n">
        <f aca="false">MIN(1,'Model Inputs &amp; Assumptions'!$W$28*EXP('Model Inputs &amp; Assumptions'!$X$28*R359-'Model Inputs &amp; Assumptions'!$X$28^2/2))</f>
        <v>0.0021414580485006</v>
      </c>
      <c r="G359" s="45" t="n">
        <f aca="false">ROUND(C359*F359,0)</f>
        <v>1180</v>
      </c>
      <c r="H359" s="48" t="n">
        <f aca="false">MAX(0,(C359*'Model Inputs &amp; Assumptions'!$N$28+E359*'Model Inputs &amp; Assumptions'!$O$28+G359*'Model Inputs &amp; Assumptions'!$P$28)*EXP('Model Inputs &amp; Assumptions'!$Q$28*S359-'Model Inputs &amp; Assumptions'!$Q$28^2/2))</f>
        <v>28.8780306277545</v>
      </c>
      <c r="I359" s="49" t="n">
        <f aca="false">IF('Model Inputs &amp; Assumptions'!$H$28="Fixed",'Model Inputs &amp; Assumptions'!$I$28*'Model Inputs &amp; Assumptions'!$K$28,IF('Model Inputs &amp; Assumptions'!$H$28="CPM",'Model Inputs &amp; Assumptions'!$I$28*'Model Inputs &amp; Assumptions'!$K$28*C359/1000,IF('Model Inputs &amp; Assumptions'!$H$28="CPC",'Model Inputs &amp; Assumptions'!$I$28*'Model Inputs &amp; Assumptions'!$K$28*G359,0)))</f>
        <v>3581.3895</v>
      </c>
      <c r="J359" s="50" t="n">
        <f aca="false">H359*INDEX('Model Inputs &amp; Assumptions'!$D$40:$D$42,MATCH('Model Inputs &amp; Assumptions'!$L$28,'Model Inputs &amp; Assumptions'!$A$40:$A$42,0))*INDEX('Model Inputs &amp; Assumptions'!$H$40:$H$42,MATCH('Model Inputs &amp; Assumptions'!$L$28,'Model Inputs &amp; Assumptions'!$A$40:$A$42,0))</f>
        <v>245463.260335913</v>
      </c>
      <c r="K359" s="49" t="n">
        <f aca="false">H359*INDEX('Model Inputs &amp; Assumptions'!$G$40:$G$42,MATCH('Model Inputs &amp; Assumptions'!$L$28,'Model Inputs &amp; Assumptions'!$A$40:$A$42,0))*INDEX('Model Inputs &amp; Assumptions'!$H$40:$H$42,MATCH('Model Inputs &amp; Assumptions'!$L$28,'Model Inputs &amp; Assumptions'!$A$40:$A$42,0))</f>
        <v>5522.92335755805</v>
      </c>
      <c r="L359" s="51" t="n">
        <f aca="false">IFERROR(K359/I359,0)</f>
        <v>1.5421174819321</v>
      </c>
      <c r="M359" s="49" t="n">
        <f aca="false">IFERROR(I359/H359,0)</f>
        <v>124.017788683898</v>
      </c>
      <c r="N359" s="52" t="str">
        <f aca="false">'Model Inputs &amp; Assumptions'!$L$28</f>
        <v>PRD-EUAI</v>
      </c>
      <c r="P359" s="53" t="n">
        <v>1.092654</v>
      </c>
      <c r="Q359" s="53" t="n">
        <v>-0.414416</v>
      </c>
      <c r="R359" s="53" t="n">
        <v>1.728281</v>
      </c>
      <c r="S359" s="53" t="n">
        <v>-0.528769</v>
      </c>
    </row>
    <row r="360" customFormat="false" ht="15" hidden="false" customHeight="false" outlineLevel="0" collapsed="false">
      <c r="A360" s="43" t="n">
        <v>357</v>
      </c>
      <c r="B360" s="44" t="str">
        <f aca="false">'Model Inputs &amp; Assumptions'!$B$28</f>
        <v>finanzen.net — Q1 Awareness Burst</v>
      </c>
      <c r="C360" s="45" t="n">
        <f aca="false">ROUND(MAX(0,'Model Inputs &amp; Assumptions'!$S$28*EXP('Model Inputs &amp; Assumptions'!$T$28*P360-'Model Inputs &amp; Assumptions'!$T$28^2/2)),0)</f>
        <v>742097</v>
      </c>
      <c r="D360" s="46" t="n">
        <f aca="false">MIN(1,'Model Inputs &amp; Assumptions'!$U$28*EXP('Model Inputs &amp; Assumptions'!$V$28*Q360-'Model Inputs &amp; Assumptions'!$V$28^2/2))</f>
        <v>0</v>
      </c>
      <c r="E360" s="45" t="n">
        <f aca="false">ROUND(C360*D360,0)</f>
        <v>0</v>
      </c>
      <c r="F360" s="47" t="n">
        <f aca="false">MIN(1,'Model Inputs &amp; Assumptions'!$W$28*EXP('Model Inputs &amp; Assumptions'!$X$28*R360-'Model Inputs &amp; Assumptions'!$X$28^2/2))</f>
        <v>0.00174421575071587</v>
      </c>
      <c r="G360" s="45" t="n">
        <f aca="false">ROUND(C360*F360,0)</f>
        <v>1294</v>
      </c>
      <c r="H360" s="48" t="n">
        <f aca="false">MAX(0,(C360*'Model Inputs &amp; Assumptions'!$N$28+E360*'Model Inputs &amp; Assumptions'!$O$28+G360*'Model Inputs &amp; Assumptions'!$P$28)*EXP('Model Inputs &amp; Assumptions'!$Q$28*S360-'Model Inputs &amp; Assumptions'!$Q$28^2/2))</f>
        <v>28.8865958972281</v>
      </c>
      <c r="I360" s="49" t="n">
        <f aca="false">IF('Model Inputs &amp; Assumptions'!$H$28="Fixed",'Model Inputs &amp; Assumptions'!$I$28*'Model Inputs &amp; Assumptions'!$K$28,IF('Model Inputs &amp; Assumptions'!$H$28="CPM",'Model Inputs &amp; Assumptions'!$I$28*'Model Inputs &amp; Assumptions'!$K$28*C360/1000,IF('Model Inputs &amp; Assumptions'!$H$28="CPC",'Model Inputs &amp; Assumptions'!$I$28*'Model Inputs &amp; Assumptions'!$K$28*G360,0)))</f>
        <v>4823.6305</v>
      </c>
      <c r="J360" s="50" t="n">
        <f aca="false">H360*INDEX('Model Inputs &amp; Assumptions'!$D$40:$D$42,MATCH('Model Inputs &amp; Assumptions'!$L$28,'Model Inputs &amp; Assumptions'!$A$40:$A$42,0))*INDEX('Model Inputs &amp; Assumptions'!$H$40:$H$42,MATCH('Model Inputs &amp; Assumptions'!$L$28,'Model Inputs &amp; Assumptions'!$A$40:$A$42,0))</f>
        <v>245536.065126439</v>
      </c>
      <c r="K360" s="49" t="n">
        <f aca="false">H360*INDEX('Model Inputs &amp; Assumptions'!$G$40:$G$42,MATCH('Model Inputs &amp; Assumptions'!$L$28,'Model Inputs &amp; Assumptions'!$A$40:$A$42,0))*INDEX('Model Inputs &amp; Assumptions'!$H$40:$H$42,MATCH('Model Inputs &amp; Assumptions'!$L$28,'Model Inputs &amp; Assumptions'!$A$40:$A$42,0))</f>
        <v>5524.56146534488</v>
      </c>
      <c r="L360" s="51" t="n">
        <f aca="false">IFERROR(K360/I360,0)</f>
        <v>1.14531191088224</v>
      </c>
      <c r="M360" s="49" t="n">
        <f aca="false">IFERROR(I360/H360,0)</f>
        <v>166.985079071323</v>
      </c>
      <c r="N360" s="52" t="str">
        <f aca="false">'Model Inputs &amp; Assumptions'!$L$28</f>
        <v>PRD-EUAI</v>
      </c>
      <c r="P360" s="53" t="n">
        <v>2.746963</v>
      </c>
      <c r="Q360" s="53" t="n">
        <v>-0.237303</v>
      </c>
      <c r="R360" s="53" t="n">
        <v>0.795636</v>
      </c>
      <c r="S360" s="53" t="n">
        <v>-0.835193</v>
      </c>
    </row>
    <row r="361" customFormat="false" ht="15" hidden="false" customHeight="false" outlineLevel="0" collapsed="false">
      <c r="A361" s="43" t="n">
        <v>358</v>
      </c>
      <c r="B361" s="44" t="str">
        <f aca="false">'Model Inputs &amp; Assumptions'!$B$28</f>
        <v>finanzen.net — Q1 Awareness Burst</v>
      </c>
      <c r="C361" s="45" t="n">
        <f aca="false">ROUND(MAX(0,'Model Inputs &amp; Assumptions'!$S$28*EXP('Model Inputs &amp; Assumptions'!$T$28*P361-'Model Inputs &amp; Assumptions'!$T$28^2/2)),0)</f>
        <v>428584</v>
      </c>
      <c r="D361" s="46" t="n">
        <f aca="false">MIN(1,'Model Inputs &amp; Assumptions'!$U$28*EXP('Model Inputs &amp; Assumptions'!$V$28*Q361-'Model Inputs &amp; Assumptions'!$V$28^2/2))</f>
        <v>0</v>
      </c>
      <c r="E361" s="45" t="n">
        <f aca="false">ROUND(C361*D361,0)</f>
        <v>0</v>
      </c>
      <c r="F361" s="47" t="n">
        <f aca="false">MIN(1,'Model Inputs &amp; Assumptions'!$W$28*EXP('Model Inputs &amp; Assumptions'!$X$28*R361-'Model Inputs &amp; Assumptions'!$X$28^2/2))</f>
        <v>0.000820416999595982</v>
      </c>
      <c r="G361" s="45" t="n">
        <f aca="false">ROUND(C361*F361,0)</f>
        <v>352</v>
      </c>
      <c r="H361" s="48" t="n">
        <f aca="false">MAX(0,(C361*'Model Inputs &amp; Assumptions'!$N$28+E361*'Model Inputs &amp; Assumptions'!$O$28+G361*'Model Inputs &amp; Assumptions'!$P$28)*EXP('Model Inputs &amp; Assumptions'!$Q$28*S361-'Model Inputs &amp; Assumptions'!$Q$28^2/2))</f>
        <v>18.9218564203305</v>
      </c>
      <c r="I361" s="49" t="n">
        <f aca="false">IF('Model Inputs &amp; Assumptions'!$H$28="Fixed",'Model Inputs &amp; Assumptions'!$I$28*'Model Inputs &amp; Assumptions'!$K$28,IF('Model Inputs &amp; Assumptions'!$H$28="CPM",'Model Inputs &amp; Assumptions'!$I$28*'Model Inputs &amp; Assumptions'!$K$28*C361/1000,IF('Model Inputs &amp; Assumptions'!$H$28="CPC",'Model Inputs &amp; Assumptions'!$I$28*'Model Inputs &amp; Assumptions'!$K$28*G361,0)))</f>
        <v>2785.796</v>
      </c>
      <c r="J361" s="50" t="n">
        <f aca="false">H361*INDEX('Model Inputs &amp; Assumptions'!$D$40:$D$42,MATCH('Model Inputs &amp; Assumptions'!$L$28,'Model Inputs &amp; Assumptions'!$A$40:$A$42,0))*INDEX('Model Inputs &amp; Assumptions'!$H$40:$H$42,MATCH('Model Inputs &amp; Assumptions'!$L$28,'Model Inputs &amp; Assumptions'!$A$40:$A$42,0))</f>
        <v>160835.779572809</v>
      </c>
      <c r="K361" s="49" t="n">
        <f aca="false">H361*INDEX('Model Inputs &amp; Assumptions'!$G$40:$G$42,MATCH('Model Inputs &amp; Assumptions'!$L$28,'Model Inputs &amp; Assumptions'!$A$40:$A$42,0))*INDEX('Model Inputs &amp; Assumptions'!$H$40:$H$42,MATCH('Model Inputs &amp; Assumptions'!$L$28,'Model Inputs &amp; Assumptions'!$A$40:$A$42,0))</f>
        <v>3618.8050403882</v>
      </c>
      <c r="L361" s="51" t="n">
        <f aca="false">IFERROR(K361/I361,0)</f>
        <v>1.29902011503649</v>
      </c>
      <c r="M361" s="49" t="n">
        <f aca="false">IFERROR(I361/H361,0)</f>
        <v>147.226357610811</v>
      </c>
      <c r="N361" s="52" t="str">
        <f aca="false">'Model Inputs &amp; Assumptions'!$L$28</f>
        <v>PRD-EUAI</v>
      </c>
      <c r="P361" s="53" t="n">
        <v>-0.302997</v>
      </c>
      <c r="Q361" s="53" t="n">
        <v>-2.483678</v>
      </c>
      <c r="R361" s="53" t="n">
        <v>-2.632762</v>
      </c>
      <c r="S361" s="53" t="n">
        <v>2.094148</v>
      </c>
    </row>
    <row r="362" customFormat="false" ht="15" hidden="false" customHeight="false" outlineLevel="0" collapsed="false">
      <c r="A362" s="43" t="n">
        <v>359</v>
      </c>
      <c r="B362" s="44" t="str">
        <f aca="false">'Model Inputs &amp; Assumptions'!$B$28</f>
        <v>finanzen.net — Q1 Awareness Burst</v>
      </c>
      <c r="C362" s="45" t="n">
        <f aca="false">ROUND(MAX(0,'Model Inputs &amp; Assumptions'!$S$28*EXP('Model Inputs &amp; Assumptions'!$T$28*P362-'Model Inputs &amp; Assumptions'!$T$28^2/2)),0)</f>
        <v>659579</v>
      </c>
      <c r="D362" s="46" t="n">
        <f aca="false">MIN(1,'Model Inputs &amp; Assumptions'!$U$28*EXP('Model Inputs &amp; Assumptions'!$V$28*Q362-'Model Inputs &amp; Assumptions'!$V$28^2/2))</f>
        <v>0</v>
      </c>
      <c r="E362" s="45" t="n">
        <f aca="false">ROUND(C362*D362,0)</f>
        <v>0</v>
      </c>
      <c r="F362" s="47" t="n">
        <f aca="false">MIN(1,'Model Inputs &amp; Assumptions'!$W$28*EXP('Model Inputs &amp; Assumptions'!$X$28*R362-'Model Inputs &amp; Assumptions'!$X$28^2/2))</f>
        <v>0.00147571407030714</v>
      </c>
      <c r="G362" s="45" t="n">
        <f aca="false">ROUND(C362*F362,0)</f>
        <v>973</v>
      </c>
      <c r="H362" s="48" t="n">
        <f aca="false">MAX(0,(C362*'Model Inputs &amp; Assumptions'!$N$28+E362*'Model Inputs &amp; Assumptions'!$O$28+G362*'Model Inputs &amp; Assumptions'!$P$28)*EXP('Model Inputs &amp; Assumptions'!$Q$28*S362-'Model Inputs &amp; Assumptions'!$Q$28^2/2))</f>
        <v>33.4688877984237</v>
      </c>
      <c r="I362" s="49" t="n">
        <f aca="false">IF('Model Inputs &amp; Assumptions'!$H$28="Fixed",'Model Inputs &amp; Assumptions'!$I$28*'Model Inputs &amp; Assumptions'!$K$28,IF('Model Inputs &amp; Assumptions'!$H$28="CPM",'Model Inputs &amp; Assumptions'!$I$28*'Model Inputs &amp; Assumptions'!$K$28*C362/1000,IF('Model Inputs &amp; Assumptions'!$H$28="CPC",'Model Inputs &amp; Assumptions'!$I$28*'Model Inputs &amp; Assumptions'!$K$28*G362,0)))</f>
        <v>4287.2635</v>
      </c>
      <c r="J362" s="50" t="n">
        <f aca="false">H362*INDEX('Model Inputs &amp; Assumptions'!$D$40:$D$42,MATCH('Model Inputs &amp; Assumptions'!$L$28,'Model Inputs &amp; Assumptions'!$A$40:$A$42,0))*INDEX('Model Inputs &amp; Assumptions'!$H$40:$H$42,MATCH('Model Inputs &amp; Assumptions'!$L$28,'Model Inputs &amp; Assumptions'!$A$40:$A$42,0))</f>
        <v>284485.546286601</v>
      </c>
      <c r="K362" s="49" t="n">
        <f aca="false">H362*INDEX('Model Inputs &amp; Assumptions'!$G$40:$G$42,MATCH('Model Inputs &amp; Assumptions'!$L$28,'Model Inputs &amp; Assumptions'!$A$40:$A$42,0))*INDEX('Model Inputs &amp; Assumptions'!$H$40:$H$42,MATCH('Model Inputs &amp; Assumptions'!$L$28,'Model Inputs &amp; Assumptions'!$A$40:$A$42,0))</f>
        <v>6400.92479144852</v>
      </c>
      <c r="L362" s="51" t="n">
        <f aca="false">IFERROR(K362/I362,0)</f>
        <v>1.49300941998282</v>
      </c>
      <c r="M362" s="49" t="n">
        <f aca="false">IFERROR(I362/H362,0)</f>
        <v>128.096981465931</v>
      </c>
      <c r="N362" s="52" t="str">
        <f aca="false">'Model Inputs &amp; Assumptions'!$L$28</f>
        <v>PRD-EUAI</v>
      </c>
      <c r="P362" s="53" t="n">
        <v>2.092082</v>
      </c>
      <c r="Q362" s="53" t="n">
        <v>0.741772</v>
      </c>
      <c r="R362" s="53" t="n">
        <v>0.035804</v>
      </c>
      <c r="S362" s="53" t="n">
        <v>0.605967</v>
      </c>
    </row>
    <row r="363" customFormat="false" ht="15" hidden="false" customHeight="false" outlineLevel="0" collapsed="false">
      <c r="A363" s="43" t="n">
        <v>360</v>
      </c>
      <c r="B363" s="44" t="str">
        <f aca="false">'Model Inputs &amp; Assumptions'!$B$28</f>
        <v>finanzen.net — Q1 Awareness Burst</v>
      </c>
      <c r="C363" s="45" t="n">
        <f aca="false">ROUND(MAX(0,'Model Inputs &amp; Assumptions'!$S$28*EXP('Model Inputs &amp; Assumptions'!$T$28*P363-'Model Inputs &amp; Assumptions'!$T$28^2/2)),0)</f>
        <v>528890</v>
      </c>
      <c r="D363" s="46" t="n">
        <f aca="false">MIN(1,'Model Inputs &amp; Assumptions'!$U$28*EXP('Model Inputs &amp; Assumptions'!$V$28*Q363-'Model Inputs &amp; Assumptions'!$V$28^2/2))</f>
        <v>0</v>
      </c>
      <c r="E363" s="45" t="n">
        <f aca="false">ROUND(C363*D363,0)</f>
        <v>0</v>
      </c>
      <c r="F363" s="47" t="n">
        <f aca="false">MIN(1,'Model Inputs &amp; Assumptions'!$W$28*EXP('Model Inputs &amp; Assumptions'!$X$28*R363-'Model Inputs &amp; Assumptions'!$X$28^2/2))</f>
        <v>0.00114529743073608</v>
      </c>
      <c r="G363" s="45" t="n">
        <f aca="false">ROUND(C363*F363,0)</f>
        <v>606</v>
      </c>
      <c r="H363" s="48" t="n">
        <f aca="false">MAX(0,(C363*'Model Inputs &amp; Assumptions'!$N$28+E363*'Model Inputs &amp; Assumptions'!$O$28+G363*'Model Inputs &amp; Assumptions'!$P$28)*EXP('Model Inputs &amp; Assumptions'!$Q$28*S363-'Model Inputs &amp; Assumptions'!$Q$28^2/2))</f>
        <v>14.0296772384412</v>
      </c>
      <c r="I363" s="49" t="n">
        <f aca="false">IF('Model Inputs &amp; Assumptions'!$H$28="Fixed",'Model Inputs &amp; Assumptions'!$I$28*'Model Inputs &amp; Assumptions'!$K$28,IF('Model Inputs &amp; Assumptions'!$H$28="CPM",'Model Inputs &amp; Assumptions'!$I$28*'Model Inputs &amp; Assumptions'!$K$28*C363/1000,IF('Model Inputs &amp; Assumptions'!$H$28="CPC",'Model Inputs &amp; Assumptions'!$I$28*'Model Inputs &amp; Assumptions'!$K$28*G363,0)))</f>
        <v>3437.785</v>
      </c>
      <c r="J363" s="50" t="n">
        <f aca="false">H363*INDEX('Model Inputs &amp; Assumptions'!$D$40:$D$42,MATCH('Model Inputs &amp; Assumptions'!$L$28,'Model Inputs &amp; Assumptions'!$A$40:$A$42,0))*INDEX('Model Inputs &amp; Assumptions'!$H$40:$H$42,MATCH('Model Inputs &amp; Assumptions'!$L$28,'Model Inputs &amp; Assumptions'!$A$40:$A$42,0))</f>
        <v>119252.25652675</v>
      </c>
      <c r="K363" s="49" t="n">
        <f aca="false">H363*INDEX('Model Inputs &amp; Assumptions'!$G$40:$G$42,MATCH('Model Inputs &amp; Assumptions'!$L$28,'Model Inputs &amp; Assumptions'!$A$40:$A$42,0))*INDEX('Model Inputs &amp; Assumptions'!$H$40:$H$42,MATCH('Model Inputs &amp; Assumptions'!$L$28,'Model Inputs &amp; Assumptions'!$A$40:$A$42,0))</f>
        <v>2683.17577185187</v>
      </c>
      <c r="L363" s="51" t="n">
        <f aca="false">IFERROR(K363/I363,0)</f>
        <v>0.780495514365173</v>
      </c>
      <c r="M363" s="49" t="n">
        <f aca="false">IFERROR(I363/H363,0)</f>
        <v>245.036642081865</v>
      </c>
      <c r="N363" s="52" t="str">
        <f aca="false">'Model Inputs &amp; Assumptions'!$L$28</f>
        <v>PRD-EUAI</v>
      </c>
      <c r="P363" s="53" t="n">
        <v>0.865302</v>
      </c>
      <c r="Q363" s="53" t="n">
        <v>-0.990089</v>
      </c>
      <c r="R363" s="53" t="n">
        <v>-1.116367</v>
      </c>
      <c r="S363" s="53" t="n">
        <v>-0.713824</v>
      </c>
    </row>
    <row r="364" customFormat="false" ht="15" hidden="false" customHeight="false" outlineLevel="0" collapsed="false">
      <c r="A364" s="43" t="n">
        <v>361</v>
      </c>
      <c r="B364" s="44" t="str">
        <f aca="false">'Model Inputs &amp; Assumptions'!$B$28</f>
        <v>finanzen.net — Q1 Awareness Burst</v>
      </c>
      <c r="C364" s="45" t="n">
        <f aca="false">ROUND(MAX(0,'Model Inputs &amp; Assumptions'!$S$28*EXP('Model Inputs &amp; Assumptions'!$T$28*P364-'Model Inputs &amp; Assumptions'!$T$28^2/2)),0)</f>
        <v>567449</v>
      </c>
      <c r="D364" s="46" t="n">
        <f aca="false">MIN(1,'Model Inputs &amp; Assumptions'!$U$28*EXP('Model Inputs &amp; Assumptions'!$V$28*Q364-'Model Inputs &amp; Assumptions'!$V$28^2/2))</f>
        <v>0</v>
      </c>
      <c r="E364" s="45" t="n">
        <f aca="false">ROUND(C364*D364,0)</f>
        <v>0</v>
      </c>
      <c r="F364" s="47" t="n">
        <f aca="false">MIN(1,'Model Inputs &amp; Assumptions'!$W$28*EXP('Model Inputs &amp; Assumptions'!$X$28*R364-'Model Inputs &amp; Assumptions'!$X$28^2/2))</f>
        <v>0.00140489741812309</v>
      </c>
      <c r="G364" s="45" t="n">
        <f aca="false">ROUND(C364*F364,0)</f>
        <v>797</v>
      </c>
      <c r="H364" s="48" t="n">
        <f aca="false">MAX(0,(C364*'Model Inputs &amp; Assumptions'!$N$28+E364*'Model Inputs &amp; Assumptions'!$O$28+G364*'Model Inputs &amp; Assumptions'!$P$28)*EXP('Model Inputs &amp; Assumptions'!$Q$28*S364-'Model Inputs &amp; Assumptions'!$Q$28^2/2))</f>
        <v>18.2493485129403</v>
      </c>
      <c r="I364" s="49" t="n">
        <f aca="false">IF('Model Inputs &amp; Assumptions'!$H$28="Fixed",'Model Inputs &amp; Assumptions'!$I$28*'Model Inputs &amp; Assumptions'!$K$28,IF('Model Inputs &amp; Assumptions'!$H$28="CPM",'Model Inputs &amp; Assumptions'!$I$28*'Model Inputs &amp; Assumptions'!$K$28*C364/1000,IF('Model Inputs &amp; Assumptions'!$H$28="CPC",'Model Inputs &amp; Assumptions'!$I$28*'Model Inputs &amp; Assumptions'!$K$28*G364,0)))</f>
        <v>3688.4185</v>
      </c>
      <c r="J364" s="50" t="n">
        <f aca="false">H364*INDEX('Model Inputs &amp; Assumptions'!$D$40:$D$42,MATCH('Model Inputs &amp; Assumptions'!$L$28,'Model Inputs &amp; Assumptions'!$A$40:$A$42,0))*INDEX('Model Inputs &amp; Assumptions'!$H$40:$H$42,MATCH('Model Inputs &amp; Assumptions'!$L$28,'Model Inputs &amp; Assumptions'!$A$40:$A$42,0))</f>
        <v>155119.462359992</v>
      </c>
      <c r="K364" s="49" t="n">
        <f aca="false">H364*INDEX('Model Inputs &amp; Assumptions'!$G$40:$G$42,MATCH('Model Inputs &amp; Assumptions'!$L$28,'Model Inputs &amp; Assumptions'!$A$40:$A$42,0))*INDEX('Model Inputs &amp; Assumptions'!$H$40:$H$42,MATCH('Model Inputs &amp; Assumptions'!$L$28,'Model Inputs &amp; Assumptions'!$A$40:$A$42,0))</f>
        <v>3490.18790309983</v>
      </c>
      <c r="L364" s="51" t="n">
        <f aca="false">IFERROR(K364/I364,0)</f>
        <v>0.946255936819487</v>
      </c>
      <c r="M364" s="49" t="n">
        <f aca="false">IFERROR(I364/H364,0)</f>
        <v>202.112338277973</v>
      </c>
      <c r="N364" s="52" t="str">
        <f aca="false">'Model Inputs &amp; Assumptions'!$L$28</f>
        <v>PRD-EUAI</v>
      </c>
      <c r="P364" s="53" t="n">
        <v>1.256251</v>
      </c>
      <c r="Q364" s="53" t="n">
        <v>-0.346507</v>
      </c>
      <c r="R364" s="53" t="n">
        <v>-0.187731</v>
      </c>
      <c r="S364" s="53" t="n">
        <v>-0.750558</v>
      </c>
    </row>
    <row r="365" customFormat="false" ht="15" hidden="false" customHeight="false" outlineLevel="0" collapsed="false">
      <c r="A365" s="43" t="n">
        <v>362</v>
      </c>
      <c r="B365" s="44" t="str">
        <f aca="false">'Model Inputs &amp; Assumptions'!$B$28</f>
        <v>finanzen.net — Q1 Awareness Burst</v>
      </c>
      <c r="C365" s="45" t="n">
        <f aca="false">ROUND(MAX(0,'Model Inputs &amp; Assumptions'!$S$28*EXP('Model Inputs &amp; Assumptions'!$T$28*P365-'Model Inputs &amp; Assumptions'!$T$28^2/2)),0)</f>
        <v>602701</v>
      </c>
      <c r="D365" s="46" t="n">
        <f aca="false">MIN(1,'Model Inputs &amp; Assumptions'!$U$28*EXP('Model Inputs &amp; Assumptions'!$V$28*Q365-'Model Inputs &amp; Assumptions'!$V$28^2/2))</f>
        <v>0</v>
      </c>
      <c r="E365" s="45" t="n">
        <f aca="false">ROUND(C365*D365,0)</f>
        <v>0</v>
      </c>
      <c r="F365" s="47" t="n">
        <f aca="false">MIN(1,'Model Inputs &amp; Assumptions'!$W$28*EXP('Model Inputs &amp; Assumptions'!$X$28*R365-'Model Inputs &amp; Assumptions'!$X$28^2/2))</f>
        <v>0.0015369808238186</v>
      </c>
      <c r="G365" s="45" t="n">
        <f aca="false">ROUND(C365*F365,0)</f>
        <v>926</v>
      </c>
      <c r="H365" s="48" t="n">
        <f aca="false">MAX(0,(C365*'Model Inputs &amp; Assumptions'!$N$28+E365*'Model Inputs &amp; Assumptions'!$O$28+G365*'Model Inputs &amp; Assumptions'!$P$28)*EXP('Model Inputs &amp; Assumptions'!$Q$28*S365-'Model Inputs &amp; Assumptions'!$Q$28^2/2))</f>
        <v>30.9609965752397</v>
      </c>
      <c r="I365" s="49" t="n">
        <f aca="false">IF('Model Inputs &amp; Assumptions'!$H$28="Fixed",'Model Inputs &amp; Assumptions'!$I$28*'Model Inputs &amp; Assumptions'!$K$28,IF('Model Inputs &amp; Assumptions'!$H$28="CPM",'Model Inputs &amp; Assumptions'!$I$28*'Model Inputs &amp; Assumptions'!$K$28*C365/1000,IF('Model Inputs &amp; Assumptions'!$H$28="CPC",'Model Inputs &amp; Assumptions'!$I$28*'Model Inputs &amp; Assumptions'!$K$28*G365,0)))</f>
        <v>3917.5565</v>
      </c>
      <c r="J365" s="50" t="n">
        <f aca="false">H365*INDEX('Model Inputs &amp; Assumptions'!$D$40:$D$42,MATCH('Model Inputs &amp; Assumptions'!$L$28,'Model Inputs &amp; Assumptions'!$A$40:$A$42,0))*INDEX('Model Inputs &amp; Assumptions'!$H$40:$H$42,MATCH('Model Inputs &amp; Assumptions'!$L$28,'Model Inputs &amp; Assumptions'!$A$40:$A$42,0))</f>
        <v>263168.470889538</v>
      </c>
      <c r="K365" s="49" t="n">
        <f aca="false">H365*INDEX('Model Inputs &amp; Assumptions'!$G$40:$G$42,MATCH('Model Inputs &amp; Assumptions'!$L$28,'Model Inputs &amp; Assumptions'!$A$40:$A$42,0))*INDEX('Model Inputs &amp; Assumptions'!$H$40:$H$42,MATCH('Model Inputs &amp; Assumptions'!$L$28,'Model Inputs &amp; Assumptions'!$A$40:$A$42,0))</f>
        <v>5921.2905950146</v>
      </c>
      <c r="L365" s="51" t="n">
        <f aca="false">IFERROR(K365/I365,0)</f>
        <v>1.51147548095722</v>
      </c>
      <c r="M365" s="49" t="n">
        <f aca="false">IFERROR(I365/H365,0)</f>
        <v>126.531989707753</v>
      </c>
      <c r="N365" s="52" t="str">
        <f aca="false">'Model Inputs &amp; Assumptions'!$L$28</f>
        <v>PRD-EUAI</v>
      </c>
      <c r="P365" s="53" t="n">
        <v>1.591079</v>
      </c>
      <c r="Q365" s="53" t="n">
        <v>-1.002459</v>
      </c>
      <c r="R365" s="53" t="n">
        <v>0.220704</v>
      </c>
      <c r="S365" s="53" t="n">
        <v>0.511373</v>
      </c>
    </row>
    <row r="366" customFormat="false" ht="15" hidden="false" customHeight="false" outlineLevel="0" collapsed="false">
      <c r="A366" s="43" t="n">
        <v>363</v>
      </c>
      <c r="B366" s="44" t="str">
        <f aca="false">'Model Inputs &amp; Assumptions'!$B$28</f>
        <v>finanzen.net — Q1 Awareness Burst</v>
      </c>
      <c r="C366" s="45" t="n">
        <f aca="false">ROUND(MAX(0,'Model Inputs &amp; Assumptions'!$S$28*EXP('Model Inputs &amp; Assumptions'!$T$28*P366-'Model Inputs &amp; Assumptions'!$T$28^2/2)),0)</f>
        <v>591622</v>
      </c>
      <c r="D366" s="46" t="n">
        <f aca="false">MIN(1,'Model Inputs &amp; Assumptions'!$U$28*EXP('Model Inputs &amp; Assumptions'!$V$28*Q366-'Model Inputs &amp; Assumptions'!$V$28^2/2))</f>
        <v>0</v>
      </c>
      <c r="E366" s="45" t="n">
        <f aca="false">ROUND(C366*D366,0)</f>
        <v>0</v>
      </c>
      <c r="F366" s="47" t="n">
        <f aca="false">MIN(1,'Model Inputs &amp; Assumptions'!$W$28*EXP('Model Inputs &amp; Assumptions'!$X$28*R366-'Model Inputs &amp; Assumptions'!$X$28^2/2))</f>
        <v>0.0013735023096177</v>
      </c>
      <c r="G366" s="45" t="n">
        <f aca="false">ROUND(C366*F366,0)</f>
        <v>813</v>
      </c>
      <c r="H366" s="48" t="n">
        <f aca="false">MAX(0,(C366*'Model Inputs &amp; Assumptions'!$N$28+E366*'Model Inputs &amp; Assumptions'!$O$28+G366*'Model Inputs &amp; Assumptions'!$P$28)*EXP('Model Inputs &amp; Assumptions'!$Q$28*S366-'Model Inputs &amp; Assumptions'!$Q$28^2/2))</f>
        <v>14.7900375001683</v>
      </c>
      <c r="I366" s="49" t="n">
        <f aca="false">IF('Model Inputs &amp; Assumptions'!$H$28="Fixed",'Model Inputs &amp; Assumptions'!$I$28*'Model Inputs &amp; Assumptions'!$K$28,IF('Model Inputs &amp; Assumptions'!$H$28="CPM",'Model Inputs &amp; Assumptions'!$I$28*'Model Inputs &amp; Assumptions'!$K$28*C366/1000,IF('Model Inputs &amp; Assumptions'!$H$28="CPC",'Model Inputs &amp; Assumptions'!$I$28*'Model Inputs &amp; Assumptions'!$K$28*G366,0)))</f>
        <v>3845.543</v>
      </c>
      <c r="J366" s="50" t="n">
        <f aca="false">H366*INDEX('Model Inputs &amp; Assumptions'!$D$40:$D$42,MATCH('Model Inputs &amp; Assumptions'!$L$28,'Model Inputs &amp; Assumptions'!$A$40:$A$42,0))*INDEX('Model Inputs &amp; Assumptions'!$H$40:$H$42,MATCH('Model Inputs &amp; Assumptions'!$L$28,'Model Inputs &amp; Assumptions'!$A$40:$A$42,0))</f>
        <v>125715.31875143</v>
      </c>
      <c r="K366" s="49" t="n">
        <f aca="false">H366*INDEX('Model Inputs &amp; Assumptions'!$G$40:$G$42,MATCH('Model Inputs &amp; Assumptions'!$L$28,'Model Inputs &amp; Assumptions'!$A$40:$A$42,0))*INDEX('Model Inputs &amp; Assumptions'!$H$40:$H$42,MATCH('Model Inputs &amp; Assumptions'!$L$28,'Model Inputs &amp; Assumptions'!$A$40:$A$42,0))</f>
        <v>2828.59467190718</v>
      </c>
      <c r="L366" s="51" t="n">
        <f aca="false">IFERROR(K366/I366,0)</f>
        <v>0.73555143497477</v>
      </c>
      <c r="M366" s="49" t="n">
        <f aca="false">IFERROR(I366/H366,0)</f>
        <v>260.009009440054</v>
      </c>
      <c r="N366" s="52" t="str">
        <f aca="false">'Model Inputs &amp; Assumptions'!$L$28</f>
        <v>PRD-EUAI</v>
      </c>
      <c r="P366" s="53" t="n">
        <v>1.488009</v>
      </c>
      <c r="Q366" s="53" t="n">
        <v>-0.452012</v>
      </c>
      <c r="R366" s="53" t="n">
        <v>-0.29046</v>
      </c>
      <c r="S366" s="53" t="n">
        <v>-1.517398</v>
      </c>
    </row>
    <row r="367" customFormat="false" ht="15" hidden="false" customHeight="false" outlineLevel="0" collapsed="false">
      <c r="A367" s="43" t="n">
        <v>364</v>
      </c>
      <c r="B367" s="44" t="str">
        <f aca="false">'Model Inputs &amp; Assumptions'!$B$28</f>
        <v>finanzen.net — Q1 Awareness Burst</v>
      </c>
      <c r="C367" s="45" t="n">
        <f aca="false">ROUND(MAX(0,'Model Inputs &amp; Assumptions'!$S$28*EXP('Model Inputs &amp; Assumptions'!$T$28*P367-'Model Inputs &amp; Assumptions'!$T$28^2/2)),0)</f>
        <v>484519</v>
      </c>
      <c r="D367" s="46" t="n">
        <f aca="false">MIN(1,'Model Inputs &amp; Assumptions'!$U$28*EXP('Model Inputs &amp; Assumptions'!$V$28*Q367-'Model Inputs &amp; Assumptions'!$V$28^2/2))</f>
        <v>0</v>
      </c>
      <c r="E367" s="45" t="n">
        <f aca="false">ROUND(C367*D367,0)</f>
        <v>0</v>
      </c>
      <c r="F367" s="47" t="n">
        <f aca="false">MIN(1,'Model Inputs &amp; Assumptions'!$W$28*EXP('Model Inputs &amp; Assumptions'!$X$28*R367-'Model Inputs &amp; Assumptions'!$X$28^2/2))</f>
        <v>0.00122497273683994</v>
      </c>
      <c r="G367" s="45" t="n">
        <f aca="false">ROUND(C367*F367,0)</f>
        <v>594</v>
      </c>
      <c r="H367" s="48" t="n">
        <f aca="false">MAX(0,(C367*'Model Inputs &amp; Assumptions'!$N$28+E367*'Model Inputs &amp; Assumptions'!$O$28+G367*'Model Inputs &amp; Assumptions'!$P$28)*EXP('Model Inputs &amp; Assumptions'!$Q$28*S367-'Model Inputs &amp; Assumptions'!$Q$28^2/2))</f>
        <v>17.8098080936728</v>
      </c>
      <c r="I367" s="49" t="n">
        <f aca="false">IF('Model Inputs &amp; Assumptions'!$H$28="Fixed",'Model Inputs &amp; Assumptions'!$I$28*'Model Inputs &amp; Assumptions'!$K$28,IF('Model Inputs &amp; Assumptions'!$H$28="CPM",'Model Inputs &amp; Assumptions'!$I$28*'Model Inputs &amp; Assumptions'!$K$28*C367/1000,IF('Model Inputs &amp; Assumptions'!$H$28="CPC",'Model Inputs &amp; Assumptions'!$I$28*'Model Inputs &amp; Assumptions'!$K$28*G367,0)))</f>
        <v>3149.3735</v>
      </c>
      <c r="J367" s="50" t="n">
        <f aca="false">H367*INDEX('Model Inputs &amp; Assumptions'!$D$40:$D$42,MATCH('Model Inputs &amp; Assumptions'!$L$28,'Model Inputs &amp; Assumptions'!$A$40:$A$42,0))*INDEX('Model Inputs &amp; Assumptions'!$H$40:$H$42,MATCH('Model Inputs &amp; Assumptions'!$L$28,'Model Inputs &amp; Assumptions'!$A$40:$A$42,0))</f>
        <v>151383.368796219</v>
      </c>
      <c r="K367" s="49" t="n">
        <f aca="false">H367*INDEX('Model Inputs &amp; Assumptions'!$G$40:$G$42,MATCH('Model Inputs &amp; Assumptions'!$L$28,'Model Inputs &amp; Assumptions'!$A$40:$A$42,0))*INDEX('Model Inputs &amp; Assumptions'!$H$40:$H$42,MATCH('Model Inputs &amp; Assumptions'!$L$28,'Model Inputs &amp; Assumptions'!$A$40:$A$42,0))</f>
        <v>3406.12579791492</v>
      </c>
      <c r="L367" s="51" t="n">
        <f aca="false">IFERROR(K367/I367,0)</f>
        <v>1.08152488039762</v>
      </c>
      <c r="M367" s="49" t="n">
        <f aca="false">IFERROR(I367/H367,0)</f>
        <v>176.833657242992</v>
      </c>
      <c r="N367" s="52" t="str">
        <f aca="false">'Model Inputs &amp; Assumptions'!$L$28</f>
        <v>PRD-EUAI</v>
      </c>
      <c r="P367" s="53" t="n">
        <v>0.378497</v>
      </c>
      <c r="Q367" s="53" t="n">
        <v>0.862447</v>
      </c>
      <c r="R367" s="53" t="n">
        <v>-0.810666</v>
      </c>
      <c r="S367" s="53" t="n">
        <v>0.148093</v>
      </c>
    </row>
    <row r="368" customFormat="false" ht="15" hidden="false" customHeight="false" outlineLevel="0" collapsed="false">
      <c r="A368" s="43" t="n">
        <v>365</v>
      </c>
      <c r="B368" s="44" t="str">
        <f aca="false">'Model Inputs &amp; Assumptions'!$B$28</f>
        <v>finanzen.net — Q1 Awareness Burst</v>
      </c>
      <c r="C368" s="45" t="n">
        <f aca="false">ROUND(MAX(0,'Model Inputs &amp; Assumptions'!$S$28*EXP('Model Inputs &amp; Assumptions'!$T$28*P368-'Model Inputs &amp; Assumptions'!$T$28^2/2)),0)</f>
        <v>479955</v>
      </c>
      <c r="D368" s="46" t="n">
        <f aca="false">MIN(1,'Model Inputs &amp; Assumptions'!$U$28*EXP('Model Inputs &amp; Assumptions'!$V$28*Q368-'Model Inputs &amp; Assumptions'!$V$28^2/2))</f>
        <v>0</v>
      </c>
      <c r="E368" s="45" t="n">
        <f aca="false">ROUND(C368*D368,0)</f>
        <v>0</v>
      </c>
      <c r="F368" s="47" t="n">
        <f aca="false">MIN(1,'Model Inputs &amp; Assumptions'!$W$28*EXP('Model Inputs &amp; Assumptions'!$X$28*R368-'Model Inputs &amp; Assumptions'!$X$28^2/2))</f>
        <v>0.00160269862342677</v>
      </c>
      <c r="G368" s="45" t="n">
        <f aca="false">ROUND(C368*F368,0)</f>
        <v>769</v>
      </c>
      <c r="H368" s="48" t="n">
        <f aca="false">MAX(0,(C368*'Model Inputs &amp; Assumptions'!$N$28+E368*'Model Inputs &amp; Assumptions'!$O$28+G368*'Model Inputs &amp; Assumptions'!$P$28)*EXP('Model Inputs &amp; Assumptions'!$Q$28*S368-'Model Inputs &amp; Assumptions'!$Q$28^2/2))</f>
        <v>16.5884666237107</v>
      </c>
      <c r="I368" s="49" t="n">
        <f aca="false">IF('Model Inputs &amp; Assumptions'!$H$28="Fixed",'Model Inputs &amp; Assumptions'!$I$28*'Model Inputs &amp; Assumptions'!$K$28,IF('Model Inputs &amp; Assumptions'!$H$28="CPM",'Model Inputs &amp; Assumptions'!$I$28*'Model Inputs &amp; Assumptions'!$K$28*C368/1000,IF('Model Inputs &amp; Assumptions'!$H$28="CPC",'Model Inputs &amp; Assumptions'!$I$28*'Model Inputs &amp; Assumptions'!$K$28*G368,0)))</f>
        <v>3119.7075</v>
      </c>
      <c r="J368" s="50" t="n">
        <f aca="false">H368*INDEX('Model Inputs &amp; Assumptions'!$D$40:$D$42,MATCH('Model Inputs &amp; Assumptions'!$L$28,'Model Inputs &amp; Assumptions'!$A$40:$A$42,0))*INDEX('Model Inputs &amp; Assumptions'!$H$40:$H$42,MATCH('Model Inputs &amp; Assumptions'!$L$28,'Model Inputs &amp; Assumptions'!$A$40:$A$42,0))</f>
        <v>141001.966301541</v>
      </c>
      <c r="K368" s="49" t="n">
        <f aca="false">H368*INDEX('Model Inputs &amp; Assumptions'!$G$40:$G$42,MATCH('Model Inputs &amp; Assumptions'!$L$28,'Model Inputs &amp; Assumptions'!$A$40:$A$42,0))*INDEX('Model Inputs &amp; Assumptions'!$H$40:$H$42,MATCH('Model Inputs &amp; Assumptions'!$L$28,'Model Inputs &amp; Assumptions'!$A$40:$A$42,0))</f>
        <v>3172.54424178468</v>
      </c>
      <c r="L368" s="51" t="n">
        <f aca="false">IFERROR(K368/I368,0)</f>
        <v>1.01693644092745</v>
      </c>
      <c r="M368" s="49" t="n">
        <f aca="false">IFERROR(I368/H368,0)</f>
        <v>188.064850764497</v>
      </c>
      <c r="N368" s="52" t="str">
        <f aca="false">'Model Inputs &amp; Assumptions'!$L$28</f>
        <v>PRD-EUAI</v>
      </c>
      <c r="P368" s="53" t="n">
        <v>0.325921</v>
      </c>
      <c r="Q368" s="53" t="n">
        <v>-0.366922</v>
      </c>
      <c r="R368" s="53" t="n">
        <v>0.411017</v>
      </c>
      <c r="S368" s="53" t="n">
        <v>-0.949418</v>
      </c>
    </row>
    <row r="369" customFormat="false" ht="15" hidden="false" customHeight="false" outlineLevel="0" collapsed="false">
      <c r="A369" s="43" t="n">
        <v>366</v>
      </c>
      <c r="B369" s="44" t="str">
        <f aca="false">'Model Inputs &amp; Assumptions'!$B$28</f>
        <v>finanzen.net — Q1 Awareness Burst</v>
      </c>
      <c r="C369" s="45" t="n">
        <f aca="false">ROUND(MAX(0,'Model Inputs &amp; Assumptions'!$S$28*EXP('Model Inputs &amp; Assumptions'!$T$28*P369-'Model Inputs &amp; Assumptions'!$T$28^2/2)),0)</f>
        <v>414853</v>
      </c>
      <c r="D369" s="46" t="n">
        <f aca="false">MIN(1,'Model Inputs &amp; Assumptions'!$U$28*EXP('Model Inputs &amp; Assumptions'!$V$28*Q369-'Model Inputs &amp; Assumptions'!$V$28^2/2))</f>
        <v>0</v>
      </c>
      <c r="E369" s="45" t="n">
        <f aca="false">ROUND(C369*D369,0)</f>
        <v>0</v>
      </c>
      <c r="F369" s="47" t="n">
        <f aca="false">MIN(1,'Model Inputs &amp; Assumptions'!$W$28*EXP('Model Inputs &amp; Assumptions'!$X$28*R369-'Model Inputs &amp; Assumptions'!$X$28^2/2))</f>
        <v>0.00128946503151514</v>
      </c>
      <c r="G369" s="45" t="n">
        <f aca="false">ROUND(C369*F369,0)</f>
        <v>535</v>
      </c>
      <c r="H369" s="48" t="n">
        <f aca="false">MAX(0,(C369*'Model Inputs &amp; Assumptions'!$N$28+E369*'Model Inputs &amp; Assumptions'!$O$28+G369*'Model Inputs &amp; Assumptions'!$P$28)*EXP('Model Inputs &amp; Assumptions'!$Q$28*S369-'Model Inputs &amp; Assumptions'!$Q$28^2/2))</f>
        <v>20.7650409588639</v>
      </c>
      <c r="I369" s="49" t="n">
        <f aca="false">IF('Model Inputs &amp; Assumptions'!$H$28="Fixed",'Model Inputs &amp; Assumptions'!$I$28*'Model Inputs &amp; Assumptions'!$K$28,IF('Model Inputs &amp; Assumptions'!$H$28="CPM",'Model Inputs &amp; Assumptions'!$I$28*'Model Inputs &amp; Assumptions'!$K$28*C369/1000,IF('Model Inputs &amp; Assumptions'!$H$28="CPC",'Model Inputs &amp; Assumptions'!$I$28*'Model Inputs &amp; Assumptions'!$K$28*G369,0)))</f>
        <v>2696.5445</v>
      </c>
      <c r="J369" s="50" t="n">
        <f aca="false">H369*INDEX('Model Inputs &amp; Assumptions'!$D$40:$D$42,MATCH('Model Inputs &amp; Assumptions'!$L$28,'Model Inputs &amp; Assumptions'!$A$40:$A$42,0))*INDEX('Model Inputs &amp; Assumptions'!$H$40:$H$42,MATCH('Model Inputs &amp; Assumptions'!$L$28,'Model Inputs &amp; Assumptions'!$A$40:$A$42,0))</f>
        <v>176502.848150344</v>
      </c>
      <c r="K369" s="49" t="n">
        <f aca="false">H369*INDEX('Model Inputs &amp; Assumptions'!$G$40:$G$42,MATCH('Model Inputs &amp; Assumptions'!$L$28,'Model Inputs &amp; Assumptions'!$A$40:$A$42,0))*INDEX('Model Inputs &amp; Assumptions'!$H$40:$H$42,MATCH('Model Inputs &amp; Assumptions'!$L$28,'Model Inputs &amp; Assumptions'!$A$40:$A$42,0))</f>
        <v>3971.31408338273</v>
      </c>
      <c r="L369" s="51" t="n">
        <f aca="false">IFERROR(K369/I369,0)</f>
        <v>1.47274190482773</v>
      </c>
      <c r="M369" s="49" t="n">
        <f aca="false">IFERROR(I369/H369,0)</f>
        <v>129.859820904853</v>
      </c>
      <c r="N369" s="52" t="str">
        <f aca="false">'Model Inputs &amp; Assumptions'!$L$28</f>
        <v>PRD-EUAI</v>
      </c>
      <c r="P369" s="53" t="n">
        <v>-0.483899</v>
      </c>
      <c r="Q369" s="53" t="n">
        <v>0.810718</v>
      </c>
      <c r="R369" s="53" t="n">
        <v>-0.577444</v>
      </c>
      <c r="S369" s="53" t="n">
        <v>1.00854</v>
      </c>
    </row>
    <row r="370" customFormat="false" ht="15" hidden="false" customHeight="false" outlineLevel="0" collapsed="false">
      <c r="A370" s="43" t="n">
        <v>367</v>
      </c>
      <c r="B370" s="44" t="str">
        <f aca="false">'Model Inputs &amp; Assumptions'!$B$28</f>
        <v>finanzen.net — Q1 Awareness Burst</v>
      </c>
      <c r="C370" s="45" t="n">
        <f aca="false">ROUND(MAX(0,'Model Inputs &amp; Assumptions'!$S$28*EXP('Model Inputs &amp; Assumptions'!$T$28*P370-'Model Inputs &amp; Assumptions'!$T$28^2/2)),0)</f>
        <v>326061</v>
      </c>
      <c r="D370" s="46" t="n">
        <f aca="false">MIN(1,'Model Inputs &amp; Assumptions'!$U$28*EXP('Model Inputs &amp; Assumptions'!$V$28*Q370-'Model Inputs &amp; Assumptions'!$V$28^2/2))</f>
        <v>0</v>
      </c>
      <c r="E370" s="45" t="n">
        <f aca="false">ROUND(C370*D370,0)</f>
        <v>0</v>
      </c>
      <c r="F370" s="47" t="n">
        <f aca="false">MIN(1,'Model Inputs &amp; Assumptions'!$W$28*EXP('Model Inputs &amp; Assumptions'!$X$28*R370-'Model Inputs &amp; Assumptions'!$X$28^2/2))</f>
        <v>0.00146313589863212</v>
      </c>
      <c r="G370" s="45" t="n">
        <f aca="false">ROUND(C370*F370,0)</f>
        <v>477</v>
      </c>
      <c r="H370" s="48" t="n">
        <f aca="false">MAX(0,(C370*'Model Inputs &amp; Assumptions'!$N$28+E370*'Model Inputs &amp; Assumptions'!$O$28+G370*'Model Inputs &amp; Assumptions'!$P$28)*EXP('Model Inputs &amp; Assumptions'!$Q$28*S370-'Model Inputs &amp; Assumptions'!$Q$28^2/2))</f>
        <v>11.8593180695912</v>
      </c>
      <c r="I370" s="49" t="n">
        <f aca="false">IF('Model Inputs &amp; Assumptions'!$H$28="Fixed",'Model Inputs &amp; Assumptions'!$I$28*'Model Inputs &amp; Assumptions'!$K$28,IF('Model Inputs &amp; Assumptions'!$H$28="CPM",'Model Inputs &amp; Assumptions'!$I$28*'Model Inputs &amp; Assumptions'!$K$28*C370/1000,IF('Model Inputs &amp; Assumptions'!$H$28="CPC",'Model Inputs &amp; Assumptions'!$I$28*'Model Inputs &amp; Assumptions'!$K$28*G370,0)))</f>
        <v>2119.3965</v>
      </c>
      <c r="J370" s="50" t="n">
        <f aca="false">H370*INDEX('Model Inputs &amp; Assumptions'!$D$40:$D$42,MATCH('Model Inputs &amp; Assumptions'!$L$28,'Model Inputs &amp; Assumptions'!$A$40:$A$42,0))*INDEX('Model Inputs &amp; Assumptions'!$H$40:$H$42,MATCH('Model Inputs &amp; Assumptions'!$L$28,'Model Inputs &amp; Assumptions'!$A$40:$A$42,0))</f>
        <v>100804.203591525</v>
      </c>
      <c r="K370" s="49" t="n">
        <f aca="false">H370*INDEX('Model Inputs &amp; Assumptions'!$G$40:$G$42,MATCH('Model Inputs &amp; Assumptions'!$L$28,'Model Inputs &amp; Assumptions'!$A$40:$A$42,0))*INDEX('Model Inputs &amp; Assumptions'!$H$40:$H$42,MATCH('Model Inputs &amp; Assumptions'!$L$28,'Model Inputs &amp; Assumptions'!$A$40:$A$42,0))</f>
        <v>2268.09458080932</v>
      </c>
      <c r="L370" s="51" t="n">
        <f aca="false">IFERROR(K370/I370,0)</f>
        <v>1.07016057675349</v>
      </c>
      <c r="M370" s="49" t="n">
        <f aca="false">IFERROR(I370/H370,0)</f>
        <v>178.711498212903</v>
      </c>
      <c r="N370" s="52" t="str">
        <f aca="false">'Model Inputs &amp; Assumptions'!$L$28</f>
        <v>PRD-EUAI</v>
      </c>
      <c r="P370" s="53" t="n">
        <v>-1.821896</v>
      </c>
      <c r="Q370" s="53" t="n">
        <v>-1.164327</v>
      </c>
      <c r="R370" s="53" t="n">
        <v>-0.003105</v>
      </c>
      <c r="S370" s="53" t="n">
        <v>-0.476149</v>
      </c>
    </row>
    <row r="371" customFormat="false" ht="15" hidden="false" customHeight="false" outlineLevel="0" collapsed="false">
      <c r="A371" s="43" t="n">
        <v>368</v>
      </c>
      <c r="B371" s="44" t="str">
        <f aca="false">'Model Inputs &amp; Assumptions'!$B$28</f>
        <v>finanzen.net — Q1 Awareness Burst</v>
      </c>
      <c r="C371" s="45" t="n">
        <f aca="false">ROUND(MAX(0,'Model Inputs &amp; Assumptions'!$S$28*EXP('Model Inputs &amp; Assumptions'!$T$28*P371-'Model Inputs &amp; Assumptions'!$T$28^2/2)),0)</f>
        <v>454010</v>
      </c>
      <c r="D371" s="46" t="n">
        <f aca="false">MIN(1,'Model Inputs &amp; Assumptions'!$U$28*EXP('Model Inputs &amp; Assumptions'!$V$28*Q371-'Model Inputs &amp; Assumptions'!$V$28^2/2))</f>
        <v>0</v>
      </c>
      <c r="E371" s="45" t="n">
        <f aca="false">ROUND(C371*D371,0)</f>
        <v>0</v>
      </c>
      <c r="F371" s="47" t="n">
        <f aca="false">MIN(1,'Model Inputs &amp; Assumptions'!$W$28*EXP('Model Inputs &amp; Assumptions'!$X$28*R371-'Model Inputs &amp; Assumptions'!$X$28^2/2))</f>
        <v>0.000922233464771549</v>
      </c>
      <c r="G371" s="45" t="n">
        <f aca="false">ROUND(C371*F371,0)</f>
        <v>419</v>
      </c>
      <c r="H371" s="48" t="n">
        <f aca="false">MAX(0,(C371*'Model Inputs &amp; Assumptions'!$N$28+E371*'Model Inputs &amp; Assumptions'!$O$28+G371*'Model Inputs &amp; Assumptions'!$P$28)*EXP('Model Inputs &amp; Assumptions'!$Q$28*S371-'Model Inputs &amp; Assumptions'!$Q$28^2/2))</f>
        <v>10.578603491674</v>
      </c>
      <c r="I371" s="49" t="n">
        <f aca="false">IF('Model Inputs &amp; Assumptions'!$H$28="Fixed",'Model Inputs &amp; Assumptions'!$I$28*'Model Inputs &amp; Assumptions'!$K$28,IF('Model Inputs &amp; Assumptions'!$H$28="CPM",'Model Inputs &amp; Assumptions'!$I$28*'Model Inputs &amp; Assumptions'!$K$28*C371/1000,IF('Model Inputs &amp; Assumptions'!$H$28="CPC",'Model Inputs &amp; Assumptions'!$I$28*'Model Inputs &amp; Assumptions'!$K$28*G371,0)))</f>
        <v>2951.065</v>
      </c>
      <c r="J371" s="50" t="n">
        <f aca="false">H371*INDEX('Model Inputs &amp; Assumptions'!$D$40:$D$42,MATCH('Model Inputs &amp; Assumptions'!$L$28,'Model Inputs &amp; Assumptions'!$A$40:$A$42,0))*INDEX('Model Inputs &amp; Assumptions'!$H$40:$H$42,MATCH('Model Inputs &amp; Assumptions'!$L$28,'Model Inputs &amp; Assumptions'!$A$40:$A$42,0))</f>
        <v>89918.1296792293</v>
      </c>
      <c r="K371" s="49" t="n">
        <f aca="false">H371*INDEX('Model Inputs &amp; Assumptions'!$G$40:$G$42,MATCH('Model Inputs &amp; Assumptions'!$L$28,'Model Inputs &amp; Assumptions'!$A$40:$A$42,0))*INDEX('Model Inputs &amp; Assumptions'!$H$40:$H$42,MATCH('Model Inputs &amp; Assumptions'!$L$28,'Model Inputs &amp; Assumptions'!$A$40:$A$42,0))</f>
        <v>2023.15791778266</v>
      </c>
      <c r="L371" s="51" t="n">
        <f aca="false">IFERROR(K371/I371,0)</f>
        <v>0.685568741380708</v>
      </c>
      <c r="M371" s="49" t="n">
        <f aca="false">IFERROR(I371/H371,0)</f>
        <v>278.965461019751</v>
      </c>
      <c r="N371" s="52" t="str">
        <f aca="false">'Model Inputs &amp; Assumptions'!$L$28</f>
        <v>PRD-EUAI</v>
      </c>
      <c r="P371" s="53" t="n">
        <v>0.017177</v>
      </c>
      <c r="Q371" s="53" t="n">
        <v>1.049771</v>
      </c>
      <c r="R371" s="53" t="n">
        <v>-2.101009</v>
      </c>
      <c r="S371" s="53" t="n">
        <v>-0.424932</v>
      </c>
    </row>
    <row r="372" customFormat="false" ht="15" hidden="false" customHeight="false" outlineLevel="0" collapsed="false">
      <c r="A372" s="43" t="n">
        <v>369</v>
      </c>
      <c r="B372" s="44" t="str">
        <f aca="false">'Model Inputs &amp; Assumptions'!$B$28</f>
        <v>finanzen.net — Q1 Awareness Burst</v>
      </c>
      <c r="C372" s="45" t="n">
        <f aca="false">ROUND(MAX(0,'Model Inputs &amp; Assumptions'!$S$28*EXP('Model Inputs &amp; Assumptions'!$T$28*P372-'Model Inputs &amp; Assumptions'!$T$28^2/2)),0)</f>
        <v>516348</v>
      </c>
      <c r="D372" s="46" t="n">
        <f aca="false">MIN(1,'Model Inputs &amp; Assumptions'!$U$28*EXP('Model Inputs &amp; Assumptions'!$V$28*Q372-'Model Inputs &amp; Assumptions'!$V$28^2/2))</f>
        <v>0</v>
      </c>
      <c r="E372" s="45" t="n">
        <f aca="false">ROUND(C372*D372,0)</f>
        <v>0</v>
      </c>
      <c r="F372" s="47" t="n">
        <f aca="false">MIN(1,'Model Inputs &amp; Assumptions'!$W$28*EXP('Model Inputs &amp; Assumptions'!$X$28*R372-'Model Inputs &amp; Assumptions'!$X$28^2/2))</f>
        <v>0.00138370564193059</v>
      </c>
      <c r="G372" s="45" t="n">
        <f aca="false">ROUND(C372*F372,0)</f>
        <v>714</v>
      </c>
      <c r="H372" s="48" t="n">
        <f aca="false">MAX(0,(C372*'Model Inputs &amp; Assumptions'!$N$28+E372*'Model Inputs &amp; Assumptions'!$O$28+G372*'Model Inputs &amp; Assumptions'!$P$28)*EXP('Model Inputs &amp; Assumptions'!$Q$28*S372-'Model Inputs &amp; Assumptions'!$Q$28^2/2))</f>
        <v>23.2593840351865</v>
      </c>
      <c r="I372" s="49" t="n">
        <f aca="false">IF('Model Inputs &amp; Assumptions'!$H$28="Fixed",'Model Inputs &amp; Assumptions'!$I$28*'Model Inputs &amp; Assumptions'!$K$28,IF('Model Inputs &amp; Assumptions'!$H$28="CPM",'Model Inputs &amp; Assumptions'!$I$28*'Model Inputs &amp; Assumptions'!$K$28*C372/1000,IF('Model Inputs &amp; Assumptions'!$H$28="CPC",'Model Inputs &amp; Assumptions'!$I$28*'Model Inputs &amp; Assumptions'!$K$28*G372,0)))</f>
        <v>3356.262</v>
      </c>
      <c r="J372" s="50" t="n">
        <f aca="false">H372*INDEX('Model Inputs &amp; Assumptions'!$D$40:$D$42,MATCH('Model Inputs &amp; Assumptions'!$L$28,'Model Inputs &amp; Assumptions'!$A$40:$A$42,0))*INDEX('Model Inputs &amp; Assumptions'!$H$40:$H$42,MATCH('Model Inputs &amp; Assumptions'!$L$28,'Model Inputs &amp; Assumptions'!$A$40:$A$42,0))</f>
        <v>197704.764299086</v>
      </c>
      <c r="K372" s="49" t="n">
        <f aca="false">H372*INDEX('Model Inputs &amp; Assumptions'!$G$40:$G$42,MATCH('Model Inputs &amp; Assumptions'!$L$28,'Model Inputs &amp; Assumptions'!$A$40:$A$42,0))*INDEX('Model Inputs &amp; Assumptions'!$H$40:$H$42,MATCH('Model Inputs &amp; Assumptions'!$L$28,'Model Inputs &amp; Assumptions'!$A$40:$A$42,0))</f>
        <v>4448.35719672943</v>
      </c>
      <c r="L372" s="51" t="n">
        <f aca="false">IFERROR(K372/I372,0)</f>
        <v>1.32539032910107</v>
      </c>
      <c r="M372" s="49" t="n">
        <f aca="false">IFERROR(I372/H372,0)</f>
        <v>144.297114443043</v>
      </c>
      <c r="N372" s="52" t="str">
        <f aca="false">'Model Inputs &amp; Assumptions'!$L$28</f>
        <v>PRD-EUAI</v>
      </c>
      <c r="P372" s="53" t="n">
        <v>0.731968</v>
      </c>
      <c r="Q372" s="53" t="n">
        <v>0.287065</v>
      </c>
      <c r="R372" s="53" t="n">
        <v>-0.256818</v>
      </c>
      <c r="S372" s="53" t="n">
        <v>0.424612</v>
      </c>
    </row>
    <row r="373" customFormat="false" ht="15" hidden="false" customHeight="false" outlineLevel="0" collapsed="false">
      <c r="A373" s="43" t="n">
        <v>370</v>
      </c>
      <c r="B373" s="44" t="str">
        <f aca="false">'Model Inputs &amp; Assumptions'!$B$28</f>
        <v>finanzen.net — Q1 Awareness Burst</v>
      </c>
      <c r="C373" s="45" t="n">
        <f aca="false">ROUND(MAX(0,'Model Inputs &amp; Assumptions'!$S$28*EXP('Model Inputs &amp; Assumptions'!$T$28*P373-'Model Inputs &amp; Assumptions'!$T$28^2/2)),0)</f>
        <v>386452</v>
      </c>
      <c r="D373" s="46" t="n">
        <f aca="false">MIN(1,'Model Inputs &amp; Assumptions'!$U$28*EXP('Model Inputs &amp; Assumptions'!$V$28*Q373-'Model Inputs &amp; Assumptions'!$V$28^2/2))</f>
        <v>0</v>
      </c>
      <c r="E373" s="45" t="n">
        <f aca="false">ROUND(C373*D373,0)</f>
        <v>0</v>
      </c>
      <c r="F373" s="47" t="n">
        <f aca="false">MIN(1,'Model Inputs &amp; Assumptions'!$W$28*EXP('Model Inputs &amp; Assumptions'!$X$28*R373-'Model Inputs &amp; Assumptions'!$X$28^2/2))</f>
        <v>0.00151787317508475</v>
      </c>
      <c r="G373" s="45" t="n">
        <f aca="false">ROUND(C373*F373,0)</f>
        <v>587</v>
      </c>
      <c r="H373" s="48" t="n">
        <f aca="false">MAX(0,(C373*'Model Inputs &amp; Assumptions'!$N$28+E373*'Model Inputs &amp; Assumptions'!$O$28+G373*'Model Inputs &amp; Assumptions'!$P$28)*EXP('Model Inputs &amp; Assumptions'!$Q$28*S373-'Model Inputs &amp; Assumptions'!$Q$28^2/2))</f>
        <v>16.8362571146173</v>
      </c>
      <c r="I373" s="49" t="n">
        <f aca="false">IF('Model Inputs &amp; Assumptions'!$H$28="Fixed",'Model Inputs &amp; Assumptions'!$I$28*'Model Inputs &amp; Assumptions'!$K$28,IF('Model Inputs &amp; Assumptions'!$H$28="CPM",'Model Inputs &amp; Assumptions'!$I$28*'Model Inputs &amp; Assumptions'!$K$28*C373/1000,IF('Model Inputs &amp; Assumptions'!$H$28="CPC",'Model Inputs &amp; Assumptions'!$I$28*'Model Inputs &amp; Assumptions'!$K$28*G373,0)))</f>
        <v>2511.938</v>
      </c>
      <c r="J373" s="50" t="n">
        <f aca="false">H373*INDEX('Model Inputs &amp; Assumptions'!$D$40:$D$42,MATCH('Model Inputs &amp; Assumptions'!$L$28,'Model Inputs &amp; Assumptions'!$A$40:$A$42,0))*INDEX('Model Inputs &amp; Assumptions'!$H$40:$H$42,MATCH('Model Inputs &amp; Assumptions'!$L$28,'Model Inputs &amp; Assumptions'!$A$40:$A$42,0))</f>
        <v>143108.185474247</v>
      </c>
      <c r="K373" s="49" t="n">
        <f aca="false">H373*INDEX('Model Inputs &amp; Assumptions'!$G$40:$G$42,MATCH('Model Inputs &amp; Assumptions'!$L$28,'Model Inputs &amp; Assumptions'!$A$40:$A$42,0))*INDEX('Model Inputs &amp; Assumptions'!$H$40:$H$42,MATCH('Model Inputs &amp; Assumptions'!$L$28,'Model Inputs &amp; Assumptions'!$A$40:$A$42,0))</f>
        <v>3219.93417317057</v>
      </c>
      <c r="L373" s="51" t="n">
        <f aca="false">IFERROR(K373/I373,0)</f>
        <v>1.28185256689081</v>
      </c>
      <c r="M373" s="49" t="n">
        <f aca="false">IFERROR(I373/H373,0)</f>
        <v>149.198125384954</v>
      </c>
      <c r="N373" s="52" t="str">
        <f aca="false">'Model Inputs &amp; Assumptions'!$L$28</f>
        <v>PRD-EUAI</v>
      </c>
      <c r="P373" s="53" t="n">
        <v>-0.877887</v>
      </c>
      <c r="Q373" s="53" t="n">
        <v>-1.619205</v>
      </c>
      <c r="R373" s="53" t="n">
        <v>0.163841</v>
      </c>
      <c r="S373" s="53" t="n">
        <v>0.000226</v>
      </c>
    </row>
    <row r="374" customFormat="false" ht="15" hidden="false" customHeight="false" outlineLevel="0" collapsed="false">
      <c r="A374" s="43" t="n">
        <v>371</v>
      </c>
      <c r="B374" s="44" t="str">
        <f aca="false">'Model Inputs &amp; Assumptions'!$B$28</f>
        <v>finanzen.net — Q1 Awareness Burst</v>
      </c>
      <c r="C374" s="45" t="n">
        <f aca="false">ROUND(MAX(0,'Model Inputs &amp; Assumptions'!$S$28*EXP('Model Inputs &amp; Assumptions'!$T$28*P374-'Model Inputs &amp; Assumptions'!$T$28^2/2)),0)</f>
        <v>553817</v>
      </c>
      <c r="D374" s="46" t="n">
        <f aca="false">MIN(1,'Model Inputs &amp; Assumptions'!$U$28*EXP('Model Inputs &amp; Assumptions'!$V$28*Q374-'Model Inputs &amp; Assumptions'!$V$28^2/2))</f>
        <v>0</v>
      </c>
      <c r="E374" s="45" t="n">
        <f aca="false">ROUND(C374*D374,0)</f>
        <v>0</v>
      </c>
      <c r="F374" s="47" t="n">
        <f aca="false">MIN(1,'Model Inputs &amp; Assumptions'!$W$28*EXP('Model Inputs &amp; Assumptions'!$X$28*R374-'Model Inputs &amp; Assumptions'!$X$28^2/2))</f>
        <v>0.0012201268736195</v>
      </c>
      <c r="G374" s="45" t="n">
        <f aca="false">ROUND(C374*F374,0)</f>
        <v>676</v>
      </c>
      <c r="H374" s="48" t="n">
        <f aca="false">MAX(0,(C374*'Model Inputs &amp; Assumptions'!$N$28+E374*'Model Inputs &amp; Assumptions'!$O$28+G374*'Model Inputs &amp; Assumptions'!$P$28)*EXP('Model Inputs &amp; Assumptions'!$Q$28*S374-'Model Inputs &amp; Assumptions'!$Q$28^2/2))</f>
        <v>21.2317240098524</v>
      </c>
      <c r="I374" s="49" t="n">
        <f aca="false">IF('Model Inputs &amp; Assumptions'!$H$28="Fixed",'Model Inputs &amp; Assumptions'!$I$28*'Model Inputs &amp; Assumptions'!$K$28,IF('Model Inputs &amp; Assumptions'!$H$28="CPM",'Model Inputs &amp; Assumptions'!$I$28*'Model Inputs &amp; Assumptions'!$K$28*C374/1000,IF('Model Inputs &amp; Assumptions'!$H$28="CPC",'Model Inputs &amp; Assumptions'!$I$28*'Model Inputs &amp; Assumptions'!$K$28*G374,0)))</f>
        <v>3599.8105</v>
      </c>
      <c r="J374" s="50" t="n">
        <f aca="false">H374*INDEX('Model Inputs &amp; Assumptions'!$D$40:$D$42,MATCH('Model Inputs &amp; Assumptions'!$L$28,'Model Inputs &amp; Assumptions'!$A$40:$A$42,0))*INDEX('Model Inputs &amp; Assumptions'!$H$40:$H$42,MATCH('Model Inputs &amp; Assumptions'!$L$28,'Model Inputs &amp; Assumptions'!$A$40:$A$42,0))</f>
        <v>180469.654083746</v>
      </c>
      <c r="K374" s="49" t="n">
        <f aca="false">H374*INDEX('Model Inputs &amp; Assumptions'!$G$40:$G$42,MATCH('Model Inputs &amp; Assumptions'!$L$28,'Model Inputs &amp; Assumptions'!$A$40:$A$42,0))*INDEX('Model Inputs &amp; Assumptions'!$H$40:$H$42,MATCH('Model Inputs &amp; Assumptions'!$L$28,'Model Inputs &amp; Assumptions'!$A$40:$A$42,0))</f>
        <v>4060.56721688427</v>
      </c>
      <c r="L374" s="51" t="n">
        <f aca="false">IFERROR(K374/I374,0)</f>
        <v>1.12799471441185</v>
      </c>
      <c r="M374" s="49" t="n">
        <f aca="false">IFERROR(I374/H374,0)</f>
        <v>169.548666812433</v>
      </c>
      <c r="N374" s="52" t="str">
        <f aca="false">'Model Inputs &amp; Assumptions'!$L$28</f>
        <v>PRD-EUAI</v>
      </c>
      <c r="P374" s="53" t="n">
        <v>1.121152</v>
      </c>
      <c r="Q374" s="53" t="n">
        <v>0.425527</v>
      </c>
      <c r="R374" s="53" t="n">
        <v>-0.828683</v>
      </c>
      <c r="S374" s="53" t="n">
        <v>0.302871</v>
      </c>
    </row>
    <row r="375" customFormat="false" ht="15" hidden="false" customHeight="false" outlineLevel="0" collapsed="false">
      <c r="A375" s="43" t="n">
        <v>372</v>
      </c>
      <c r="B375" s="44" t="str">
        <f aca="false">'Model Inputs &amp; Assumptions'!$B$28</f>
        <v>finanzen.net — Q1 Awareness Burst</v>
      </c>
      <c r="C375" s="45" t="n">
        <f aca="false">ROUND(MAX(0,'Model Inputs &amp; Assumptions'!$S$28*EXP('Model Inputs &amp; Assumptions'!$T$28*P375-'Model Inputs &amp; Assumptions'!$T$28^2/2)),0)</f>
        <v>462915</v>
      </c>
      <c r="D375" s="46" t="n">
        <f aca="false">MIN(1,'Model Inputs &amp; Assumptions'!$U$28*EXP('Model Inputs &amp; Assumptions'!$V$28*Q375-'Model Inputs &amp; Assumptions'!$V$28^2/2))</f>
        <v>0</v>
      </c>
      <c r="E375" s="45" t="n">
        <f aca="false">ROUND(C375*D375,0)</f>
        <v>0</v>
      </c>
      <c r="F375" s="47" t="n">
        <f aca="false">MIN(1,'Model Inputs &amp; Assumptions'!$W$28*EXP('Model Inputs &amp; Assumptions'!$X$28*R375-'Model Inputs &amp; Assumptions'!$X$28^2/2))</f>
        <v>0.00121896593870129</v>
      </c>
      <c r="G375" s="45" t="n">
        <f aca="false">ROUND(C375*F375,0)</f>
        <v>564</v>
      </c>
      <c r="H375" s="48" t="n">
        <f aca="false">MAX(0,(C375*'Model Inputs &amp; Assumptions'!$N$28+E375*'Model Inputs &amp; Assumptions'!$O$28+G375*'Model Inputs &amp; Assumptions'!$P$28)*EXP('Model Inputs &amp; Assumptions'!$Q$28*S375-'Model Inputs &amp; Assumptions'!$Q$28^2/2))</f>
        <v>19.3455235993511</v>
      </c>
      <c r="I375" s="49" t="n">
        <f aca="false">IF('Model Inputs &amp; Assumptions'!$H$28="Fixed",'Model Inputs &amp; Assumptions'!$I$28*'Model Inputs &amp; Assumptions'!$K$28,IF('Model Inputs &amp; Assumptions'!$H$28="CPM",'Model Inputs &amp; Assumptions'!$I$28*'Model Inputs &amp; Assumptions'!$K$28*C375/1000,IF('Model Inputs &amp; Assumptions'!$H$28="CPC",'Model Inputs &amp; Assumptions'!$I$28*'Model Inputs &amp; Assumptions'!$K$28*G375,0)))</f>
        <v>3008.9475</v>
      </c>
      <c r="J375" s="50" t="n">
        <f aca="false">H375*INDEX('Model Inputs &amp; Assumptions'!$D$40:$D$42,MATCH('Model Inputs &amp; Assumptions'!$L$28,'Model Inputs &amp; Assumptions'!$A$40:$A$42,0))*INDEX('Model Inputs &amp; Assumptions'!$H$40:$H$42,MATCH('Model Inputs &amp; Assumptions'!$L$28,'Model Inputs &amp; Assumptions'!$A$40:$A$42,0))</f>
        <v>164436.950594484</v>
      </c>
      <c r="K375" s="49" t="n">
        <f aca="false">H375*INDEX('Model Inputs &amp; Assumptions'!$G$40:$G$42,MATCH('Model Inputs &amp; Assumptions'!$L$28,'Model Inputs &amp; Assumptions'!$A$40:$A$42,0))*INDEX('Model Inputs &amp; Assumptions'!$H$40:$H$42,MATCH('Model Inputs &amp; Assumptions'!$L$28,'Model Inputs &amp; Assumptions'!$A$40:$A$42,0))</f>
        <v>3699.8313883759</v>
      </c>
      <c r="L375" s="51" t="n">
        <f aca="false">IFERROR(K375/I375,0)</f>
        <v>1.22960981817592</v>
      </c>
      <c r="M375" s="49" t="n">
        <f aca="false">IFERROR(I375/H375,0)</f>
        <v>155.537144525824</v>
      </c>
      <c r="N375" s="52" t="str">
        <f aca="false">'Model Inputs &amp; Assumptions'!$L$28</f>
        <v>PRD-EUAI</v>
      </c>
      <c r="P375" s="53" t="n">
        <v>0.125097</v>
      </c>
      <c r="Q375" s="53" t="n">
        <v>-0.135948</v>
      </c>
      <c r="R375" s="53" t="n">
        <v>-0.83301</v>
      </c>
      <c r="S375" s="53" t="n">
        <v>0.596549</v>
      </c>
    </row>
    <row r="376" customFormat="false" ht="15" hidden="false" customHeight="false" outlineLevel="0" collapsed="false">
      <c r="A376" s="43" t="n">
        <v>373</v>
      </c>
      <c r="B376" s="44" t="str">
        <f aca="false">'Model Inputs &amp; Assumptions'!$B$28</f>
        <v>finanzen.net — Q1 Awareness Burst</v>
      </c>
      <c r="C376" s="45" t="n">
        <f aca="false">ROUND(MAX(0,'Model Inputs &amp; Assumptions'!$S$28*EXP('Model Inputs &amp; Assumptions'!$T$28*P376-'Model Inputs &amp; Assumptions'!$T$28^2/2)),0)</f>
        <v>437238</v>
      </c>
      <c r="D376" s="46" t="n">
        <f aca="false">MIN(1,'Model Inputs &amp; Assumptions'!$U$28*EXP('Model Inputs &amp; Assumptions'!$V$28*Q376-'Model Inputs &amp; Assumptions'!$V$28^2/2))</f>
        <v>0</v>
      </c>
      <c r="E376" s="45" t="n">
        <f aca="false">ROUND(C376*D376,0)</f>
        <v>0</v>
      </c>
      <c r="F376" s="47" t="n">
        <f aca="false">MIN(1,'Model Inputs &amp; Assumptions'!$W$28*EXP('Model Inputs &amp; Assumptions'!$X$28*R376-'Model Inputs &amp; Assumptions'!$X$28^2/2))</f>
        <v>0.00230794608450876</v>
      </c>
      <c r="G376" s="45" t="n">
        <f aca="false">ROUND(C376*F376,0)</f>
        <v>1009</v>
      </c>
      <c r="H376" s="48" t="n">
        <f aca="false">MAX(0,(C376*'Model Inputs &amp; Assumptions'!$N$28+E376*'Model Inputs &amp; Assumptions'!$O$28+G376*'Model Inputs &amp; Assumptions'!$P$28)*EXP('Model Inputs &amp; Assumptions'!$Q$28*S376-'Model Inputs &amp; Assumptions'!$Q$28^2/2))</f>
        <v>50.0419985091506</v>
      </c>
      <c r="I376" s="49" t="n">
        <f aca="false">IF('Model Inputs &amp; Assumptions'!$H$28="Fixed",'Model Inputs &amp; Assumptions'!$I$28*'Model Inputs &amp; Assumptions'!$K$28,IF('Model Inputs &amp; Assumptions'!$H$28="CPM",'Model Inputs &amp; Assumptions'!$I$28*'Model Inputs &amp; Assumptions'!$K$28*C376/1000,IF('Model Inputs &amp; Assumptions'!$H$28="CPC",'Model Inputs &amp; Assumptions'!$I$28*'Model Inputs &amp; Assumptions'!$K$28*G376,0)))</f>
        <v>2842.047</v>
      </c>
      <c r="J376" s="50" t="n">
        <f aca="false">H376*INDEX('Model Inputs &amp; Assumptions'!$D$40:$D$42,MATCH('Model Inputs &amp; Assumptions'!$L$28,'Model Inputs &amp; Assumptions'!$A$40:$A$42,0))*INDEX('Model Inputs &amp; Assumptions'!$H$40:$H$42,MATCH('Model Inputs &amp; Assumptions'!$L$28,'Model Inputs &amp; Assumptions'!$A$40:$A$42,0))</f>
        <v>425356.98732778</v>
      </c>
      <c r="K376" s="49" t="n">
        <f aca="false">H376*INDEX('Model Inputs &amp; Assumptions'!$G$40:$G$42,MATCH('Model Inputs &amp; Assumptions'!$L$28,'Model Inputs &amp; Assumptions'!$A$40:$A$42,0))*INDEX('Model Inputs &amp; Assumptions'!$H$40:$H$42,MATCH('Model Inputs &amp; Assumptions'!$L$28,'Model Inputs &amp; Assumptions'!$A$40:$A$42,0))</f>
        <v>9570.53221487506</v>
      </c>
      <c r="L376" s="51" t="n">
        <f aca="false">IFERROR(K376/I376,0)</f>
        <v>3.36747851632118</v>
      </c>
      <c r="M376" s="49" t="n">
        <f aca="false">IFERROR(I376/H376,0)</f>
        <v>56.7932353756876</v>
      </c>
      <c r="N376" s="52" t="str">
        <f aca="false">'Model Inputs &amp; Assumptions'!$L$28</f>
        <v>PRD-EUAI</v>
      </c>
      <c r="P376" s="53" t="n">
        <v>-0.191933</v>
      </c>
      <c r="Q376" s="53" t="n">
        <v>-0.217094</v>
      </c>
      <c r="R376" s="53" t="n">
        <v>2.068604</v>
      </c>
      <c r="S376" s="53" t="n">
        <v>1.825685</v>
      </c>
    </row>
    <row r="377" customFormat="false" ht="15" hidden="false" customHeight="false" outlineLevel="0" collapsed="false">
      <c r="A377" s="43" t="n">
        <v>374</v>
      </c>
      <c r="B377" s="44" t="str">
        <f aca="false">'Model Inputs &amp; Assumptions'!$B$28</f>
        <v>finanzen.net — Q1 Awareness Burst</v>
      </c>
      <c r="C377" s="45" t="n">
        <f aca="false">ROUND(MAX(0,'Model Inputs &amp; Assumptions'!$S$28*EXP('Model Inputs &amp; Assumptions'!$T$28*P377-'Model Inputs &amp; Assumptions'!$T$28^2/2)),0)</f>
        <v>424670</v>
      </c>
      <c r="D377" s="46" t="n">
        <f aca="false">MIN(1,'Model Inputs &amp; Assumptions'!$U$28*EXP('Model Inputs &amp; Assumptions'!$V$28*Q377-'Model Inputs &amp; Assumptions'!$V$28^2/2))</f>
        <v>0</v>
      </c>
      <c r="E377" s="45" t="n">
        <f aca="false">ROUND(C377*D377,0)</f>
        <v>0</v>
      </c>
      <c r="F377" s="47" t="n">
        <f aca="false">MIN(1,'Model Inputs &amp; Assumptions'!$W$28*EXP('Model Inputs &amp; Assumptions'!$X$28*R377-'Model Inputs &amp; Assumptions'!$X$28^2/2))</f>
        <v>0.0010459162004158</v>
      </c>
      <c r="G377" s="45" t="n">
        <f aca="false">ROUND(C377*F377,0)</f>
        <v>444</v>
      </c>
      <c r="H377" s="48" t="n">
        <f aca="false">MAX(0,(C377*'Model Inputs &amp; Assumptions'!$N$28+E377*'Model Inputs &amp; Assumptions'!$O$28+G377*'Model Inputs &amp; Assumptions'!$P$28)*EXP('Model Inputs &amp; Assumptions'!$Q$28*S377-'Model Inputs &amp; Assumptions'!$Q$28^2/2))</f>
        <v>15.065341866843</v>
      </c>
      <c r="I377" s="49" t="n">
        <f aca="false">IF('Model Inputs &amp; Assumptions'!$H$28="Fixed",'Model Inputs &amp; Assumptions'!$I$28*'Model Inputs &amp; Assumptions'!$K$28,IF('Model Inputs &amp; Assumptions'!$H$28="CPM",'Model Inputs &amp; Assumptions'!$I$28*'Model Inputs &amp; Assumptions'!$K$28*C377/1000,IF('Model Inputs &amp; Assumptions'!$H$28="CPC",'Model Inputs &amp; Assumptions'!$I$28*'Model Inputs &amp; Assumptions'!$K$28*G377,0)))</f>
        <v>2760.355</v>
      </c>
      <c r="J377" s="50" t="n">
        <f aca="false">H377*INDEX('Model Inputs &amp; Assumptions'!$D$40:$D$42,MATCH('Model Inputs &amp; Assumptions'!$L$28,'Model Inputs &amp; Assumptions'!$A$40:$A$42,0))*INDEX('Model Inputs &amp; Assumptions'!$H$40:$H$42,MATCH('Model Inputs &amp; Assumptions'!$L$28,'Model Inputs &amp; Assumptions'!$A$40:$A$42,0))</f>
        <v>128055.405868166</v>
      </c>
      <c r="K377" s="49" t="n">
        <f aca="false">H377*INDEX('Model Inputs &amp; Assumptions'!$G$40:$G$42,MATCH('Model Inputs &amp; Assumptions'!$L$28,'Model Inputs &amp; Assumptions'!$A$40:$A$42,0))*INDEX('Model Inputs &amp; Assumptions'!$H$40:$H$42,MATCH('Model Inputs &amp; Assumptions'!$L$28,'Model Inputs &amp; Assumptions'!$A$40:$A$42,0))</f>
        <v>2881.24663203373</v>
      </c>
      <c r="L377" s="51" t="n">
        <f aca="false">IFERROR(K377/I377,0)</f>
        <v>1.04379568281389</v>
      </c>
      <c r="M377" s="49" t="n">
        <f aca="false">IFERROR(I377/H377,0)</f>
        <v>183.225513526195</v>
      </c>
      <c r="N377" s="52" t="str">
        <f aca="false">'Model Inputs &amp; Assumptions'!$L$28</f>
        <v>PRD-EUAI</v>
      </c>
      <c r="P377" s="53" t="n">
        <v>-0.353969</v>
      </c>
      <c r="Q377" s="53" t="n">
        <v>-0.569491</v>
      </c>
      <c r="R377" s="53" t="n">
        <v>-1.528963</v>
      </c>
      <c r="S377" s="53" t="n">
        <v>0.560434</v>
      </c>
    </row>
    <row r="378" customFormat="false" ht="15" hidden="false" customHeight="false" outlineLevel="0" collapsed="false">
      <c r="A378" s="43" t="n">
        <v>375</v>
      </c>
      <c r="B378" s="44" t="str">
        <f aca="false">'Model Inputs &amp; Assumptions'!$B$28</f>
        <v>finanzen.net — Q1 Awareness Burst</v>
      </c>
      <c r="C378" s="45" t="n">
        <f aca="false">ROUND(MAX(0,'Model Inputs &amp; Assumptions'!$S$28*EXP('Model Inputs &amp; Assumptions'!$T$28*P378-'Model Inputs &amp; Assumptions'!$T$28^2/2)),0)</f>
        <v>679891</v>
      </c>
      <c r="D378" s="46" t="n">
        <f aca="false">MIN(1,'Model Inputs &amp; Assumptions'!$U$28*EXP('Model Inputs &amp; Assumptions'!$V$28*Q378-'Model Inputs &amp; Assumptions'!$V$28^2/2))</f>
        <v>0</v>
      </c>
      <c r="E378" s="45" t="n">
        <f aca="false">ROUND(C378*D378,0)</f>
        <v>0</v>
      </c>
      <c r="F378" s="47" t="n">
        <f aca="false">MIN(1,'Model Inputs &amp; Assumptions'!$W$28*EXP('Model Inputs &amp; Assumptions'!$X$28*R378-'Model Inputs &amp; Assumptions'!$X$28^2/2))</f>
        <v>0.00121130962389855</v>
      </c>
      <c r="G378" s="45" t="n">
        <f aca="false">ROUND(C378*F378,0)</f>
        <v>824</v>
      </c>
      <c r="H378" s="48" t="n">
        <f aca="false">MAX(0,(C378*'Model Inputs &amp; Assumptions'!$N$28+E378*'Model Inputs &amp; Assumptions'!$O$28+G378*'Model Inputs &amp; Assumptions'!$P$28)*EXP('Model Inputs &amp; Assumptions'!$Q$28*S378-'Model Inputs &amp; Assumptions'!$Q$28^2/2))</f>
        <v>17.581978570377</v>
      </c>
      <c r="I378" s="49" t="n">
        <f aca="false">IF('Model Inputs &amp; Assumptions'!$H$28="Fixed",'Model Inputs &amp; Assumptions'!$I$28*'Model Inputs &amp; Assumptions'!$K$28,IF('Model Inputs &amp; Assumptions'!$H$28="CPM",'Model Inputs &amp; Assumptions'!$I$28*'Model Inputs &amp; Assumptions'!$K$28*C378/1000,IF('Model Inputs &amp; Assumptions'!$H$28="CPC",'Model Inputs &amp; Assumptions'!$I$28*'Model Inputs &amp; Assumptions'!$K$28*G378,0)))</f>
        <v>4419.2915</v>
      </c>
      <c r="J378" s="50" t="n">
        <f aca="false">H378*INDEX('Model Inputs &amp; Assumptions'!$D$40:$D$42,MATCH('Model Inputs &amp; Assumptions'!$L$28,'Model Inputs &amp; Assumptions'!$A$40:$A$42,0))*INDEX('Model Inputs &amp; Assumptions'!$H$40:$H$42,MATCH('Model Inputs &amp; Assumptions'!$L$28,'Model Inputs &amp; Assumptions'!$A$40:$A$42,0))</f>
        <v>149446.817848205</v>
      </c>
      <c r="K378" s="49" t="n">
        <f aca="false">H378*INDEX('Model Inputs &amp; Assumptions'!$G$40:$G$42,MATCH('Model Inputs &amp; Assumptions'!$L$28,'Model Inputs &amp; Assumptions'!$A$40:$A$42,0))*INDEX('Model Inputs &amp; Assumptions'!$H$40:$H$42,MATCH('Model Inputs &amp; Assumptions'!$L$28,'Model Inputs &amp; Assumptions'!$A$40:$A$42,0))</f>
        <v>3362.55340158461</v>
      </c>
      <c r="L378" s="51" t="n">
        <f aca="false">IFERROR(K378/I378,0)</f>
        <v>0.760880652834194</v>
      </c>
      <c r="M378" s="49" t="n">
        <f aca="false">IFERROR(I378/H378,0)</f>
        <v>251.353480059738</v>
      </c>
      <c r="N378" s="52" t="str">
        <f aca="false">'Model Inputs &amp; Assumptions'!$L$28</f>
        <v>PRD-EUAI</v>
      </c>
      <c r="P378" s="53" t="n">
        <v>2.260588</v>
      </c>
      <c r="Q378" s="53" t="n">
        <v>-0.102746</v>
      </c>
      <c r="R378" s="53" t="n">
        <v>-0.86165</v>
      </c>
      <c r="S378" s="53" t="n">
        <v>-0.985794</v>
      </c>
    </row>
    <row r="379" customFormat="false" ht="15" hidden="false" customHeight="false" outlineLevel="0" collapsed="false">
      <c r="A379" s="43" t="n">
        <v>376</v>
      </c>
      <c r="B379" s="44" t="str">
        <f aca="false">'Model Inputs &amp; Assumptions'!$B$28</f>
        <v>finanzen.net — Q1 Awareness Burst</v>
      </c>
      <c r="C379" s="45" t="n">
        <f aca="false">ROUND(MAX(0,'Model Inputs &amp; Assumptions'!$S$28*EXP('Model Inputs &amp; Assumptions'!$T$28*P379-'Model Inputs &amp; Assumptions'!$T$28^2/2)),0)</f>
        <v>461098</v>
      </c>
      <c r="D379" s="46" t="n">
        <f aca="false">MIN(1,'Model Inputs &amp; Assumptions'!$U$28*EXP('Model Inputs &amp; Assumptions'!$V$28*Q379-'Model Inputs &amp; Assumptions'!$V$28^2/2))</f>
        <v>0</v>
      </c>
      <c r="E379" s="45" t="n">
        <f aca="false">ROUND(C379*D379,0)</f>
        <v>0</v>
      </c>
      <c r="F379" s="47" t="n">
        <f aca="false">MIN(1,'Model Inputs &amp; Assumptions'!$W$28*EXP('Model Inputs &amp; Assumptions'!$X$28*R379-'Model Inputs &amp; Assumptions'!$X$28^2/2))</f>
        <v>0.00151091865722891</v>
      </c>
      <c r="G379" s="45" t="n">
        <f aca="false">ROUND(C379*F379,0)</f>
        <v>697</v>
      </c>
      <c r="H379" s="48" t="n">
        <f aca="false">MAX(0,(C379*'Model Inputs &amp; Assumptions'!$N$28+E379*'Model Inputs &amp; Assumptions'!$O$28+G379*'Model Inputs &amp; Assumptions'!$P$28)*EXP('Model Inputs &amp; Assumptions'!$Q$28*S379-'Model Inputs &amp; Assumptions'!$Q$28^2/2))</f>
        <v>24.3924196375916</v>
      </c>
      <c r="I379" s="49" t="n">
        <f aca="false">IF('Model Inputs &amp; Assumptions'!$H$28="Fixed",'Model Inputs &amp; Assumptions'!$I$28*'Model Inputs &amp; Assumptions'!$K$28,IF('Model Inputs &amp; Assumptions'!$H$28="CPM",'Model Inputs &amp; Assumptions'!$I$28*'Model Inputs &amp; Assumptions'!$K$28*C379/1000,IF('Model Inputs &amp; Assumptions'!$H$28="CPC",'Model Inputs &amp; Assumptions'!$I$28*'Model Inputs &amp; Assumptions'!$K$28*G379,0)))</f>
        <v>2997.137</v>
      </c>
      <c r="J379" s="50" t="n">
        <f aca="false">H379*INDEX('Model Inputs &amp; Assumptions'!$D$40:$D$42,MATCH('Model Inputs &amp; Assumptions'!$L$28,'Model Inputs &amp; Assumptions'!$A$40:$A$42,0))*INDEX('Model Inputs &amp; Assumptions'!$H$40:$H$42,MATCH('Model Inputs &amp; Assumptions'!$L$28,'Model Inputs &amp; Assumptions'!$A$40:$A$42,0))</f>
        <v>207335.566919528</v>
      </c>
      <c r="K379" s="49" t="n">
        <f aca="false">H379*INDEX('Model Inputs &amp; Assumptions'!$G$40:$G$42,MATCH('Model Inputs &amp; Assumptions'!$L$28,'Model Inputs &amp; Assumptions'!$A$40:$A$42,0))*INDEX('Model Inputs &amp; Assumptions'!$H$40:$H$42,MATCH('Model Inputs &amp; Assumptions'!$L$28,'Model Inputs &amp; Assumptions'!$A$40:$A$42,0))</f>
        <v>4665.05025568939</v>
      </c>
      <c r="L379" s="51" t="n">
        <f aca="false">IFERROR(K379/I379,0)</f>
        <v>1.55650217380433</v>
      </c>
      <c r="M379" s="49" t="n">
        <f aca="false">IFERROR(I379/H379,0)</f>
        <v>122.871656216551</v>
      </c>
      <c r="N379" s="52" t="str">
        <f aca="false">'Model Inputs &amp; Assumptions'!$L$28</f>
        <v>PRD-EUAI</v>
      </c>
      <c r="P379" s="53" t="n">
        <v>0.103244</v>
      </c>
      <c r="Q379" s="53" t="n">
        <v>-0.328087</v>
      </c>
      <c r="R379" s="53" t="n">
        <v>0.142967</v>
      </c>
      <c r="S379" s="53" t="n">
        <v>0.663483</v>
      </c>
    </row>
    <row r="380" customFormat="false" ht="15" hidden="false" customHeight="false" outlineLevel="0" collapsed="false">
      <c r="A380" s="43" t="n">
        <v>377</v>
      </c>
      <c r="B380" s="44" t="str">
        <f aca="false">'Model Inputs &amp; Assumptions'!$B$28</f>
        <v>finanzen.net — Q1 Awareness Burst</v>
      </c>
      <c r="C380" s="45" t="n">
        <f aca="false">ROUND(MAX(0,'Model Inputs &amp; Assumptions'!$S$28*EXP('Model Inputs &amp; Assumptions'!$T$28*P380-'Model Inputs &amp; Assumptions'!$T$28^2/2)),0)</f>
        <v>424654</v>
      </c>
      <c r="D380" s="46" t="n">
        <f aca="false">MIN(1,'Model Inputs &amp; Assumptions'!$U$28*EXP('Model Inputs &amp; Assumptions'!$V$28*Q380-'Model Inputs &amp; Assumptions'!$V$28^2/2))</f>
        <v>0</v>
      </c>
      <c r="E380" s="45" t="n">
        <f aca="false">ROUND(C380*D380,0)</f>
        <v>0</v>
      </c>
      <c r="F380" s="47" t="n">
        <f aca="false">MIN(1,'Model Inputs &amp; Assumptions'!$W$28*EXP('Model Inputs &amp; Assumptions'!$X$28*R380-'Model Inputs &amp; Assumptions'!$X$28^2/2))</f>
        <v>0.0012394548527971</v>
      </c>
      <c r="G380" s="45" t="n">
        <f aca="false">ROUND(C380*F380,0)</f>
        <v>526</v>
      </c>
      <c r="H380" s="48" t="n">
        <f aca="false">MAX(0,(C380*'Model Inputs &amp; Assumptions'!$N$28+E380*'Model Inputs &amp; Assumptions'!$O$28+G380*'Model Inputs &amp; Assumptions'!$P$28)*EXP('Model Inputs &amp; Assumptions'!$Q$28*S380-'Model Inputs &amp; Assumptions'!$Q$28^2/2))</f>
        <v>13.9722080232953</v>
      </c>
      <c r="I380" s="49" t="n">
        <f aca="false">IF('Model Inputs &amp; Assumptions'!$H$28="Fixed",'Model Inputs &amp; Assumptions'!$I$28*'Model Inputs &amp; Assumptions'!$K$28,IF('Model Inputs &amp; Assumptions'!$H$28="CPM",'Model Inputs &amp; Assumptions'!$I$28*'Model Inputs &amp; Assumptions'!$K$28*C380/1000,IF('Model Inputs &amp; Assumptions'!$H$28="CPC",'Model Inputs &amp; Assumptions'!$I$28*'Model Inputs &amp; Assumptions'!$K$28*G380,0)))</f>
        <v>2760.251</v>
      </c>
      <c r="J380" s="50" t="n">
        <f aca="false">H380*INDEX('Model Inputs &amp; Assumptions'!$D$40:$D$42,MATCH('Model Inputs &amp; Assumptions'!$L$28,'Model Inputs &amp; Assumptions'!$A$40:$A$42,0))*INDEX('Model Inputs &amp; Assumptions'!$H$40:$H$42,MATCH('Model Inputs &amp; Assumptions'!$L$28,'Model Inputs &amp; Assumptions'!$A$40:$A$42,0))</f>
        <v>118763.76819801</v>
      </c>
      <c r="K380" s="49" t="n">
        <f aca="false">H380*INDEX('Model Inputs &amp; Assumptions'!$G$40:$G$42,MATCH('Model Inputs &amp; Assumptions'!$L$28,'Model Inputs &amp; Assumptions'!$A$40:$A$42,0))*INDEX('Model Inputs &amp; Assumptions'!$H$40:$H$42,MATCH('Model Inputs &amp; Assumptions'!$L$28,'Model Inputs &amp; Assumptions'!$A$40:$A$42,0))</f>
        <v>2672.18478445523</v>
      </c>
      <c r="L380" s="51" t="n">
        <f aca="false">IFERROR(K380/I380,0)</f>
        <v>0.968094852408433</v>
      </c>
      <c r="M380" s="49" t="n">
        <f aca="false">IFERROR(I380/H380,0)</f>
        <v>197.552956225526</v>
      </c>
      <c r="N380" s="52" t="str">
        <f aca="false">'Model Inputs &amp; Assumptions'!$L$28</f>
        <v>PRD-EUAI</v>
      </c>
      <c r="P380" s="53" t="n">
        <v>-0.35417</v>
      </c>
      <c r="Q380" s="53" t="n">
        <v>0.358897</v>
      </c>
      <c r="R380" s="53" t="n">
        <v>-0.757243</v>
      </c>
      <c r="S380" s="53" t="n">
        <v>-0.255577</v>
      </c>
    </row>
    <row r="381" customFormat="false" ht="15" hidden="false" customHeight="false" outlineLevel="0" collapsed="false">
      <c r="A381" s="43" t="n">
        <v>378</v>
      </c>
      <c r="B381" s="44" t="str">
        <f aca="false">'Model Inputs &amp; Assumptions'!$B$28</f>
        <v>finanzen.net — Q1 Awareness Burst</v>
      </c>
      <c r="C381" s="45" t="n">
        <f aca="false">ROUND(MAX(0,'Model Inputs &amp; Assumptions'!$S$28*EXP('Model Inputs &amp; Assumptions'!$T$28*P381-'Model Inputs &amp; Assumptions'!$T$28^2/2)),0)</f>
        <v>415948</v>
      </c>
      <c r="D381" s="46" t="n">
        <f aca="false">MIN(1,'Model Inputs &amp; Assumptions'!$U$28*EXP('Model Inputs &amp; Assumptions'!$V$28*Q381-'Model Inputs &amp; Assumptions'!$V$28^2/2))</f>
        <v>0</v>
      </c>
      <c r="E381" s="45" t="n">
        <f aca="false">ROUND(C381*D381,0)</f>
        <v>0</v>
      </c>
      <c r="F381" s="47" t="n">
        <f aca="false">MIN(1,'Model Inputs &amp; Assumptions'!$W$28*EXP('Model Inputs &amp; Assumptions'!$X$28*R381-'Model Inputs &amp; Assumptions'!$X$28^2/2))</f>
        <v>0.00140598269888233</v>
      </c>
      <c r="G381" s="45" t="n">
        <f aca="false">ROUND(C381*F381,0)</f>
        <v>585</v>
      </c>
      <c r="H381" s="48" t="n">
        <f aca="false">MAX(0,(C381*'Model Inputs &amp; Assumptions'!$N$28+E381*'Model Inputs &amp; Assumptions'!$O$28+G381*'Model Inputs &amp; Assumptions'!$P$28)*EXP('Model Inputs &amp; Assumptions'!$Q$28*S381-'Model Inputs &amp; Assumptions'!$Q$28^2/2))</f>
        <v>22.9340028505992</v>
      </c>
      <c r="I381" s="49" t="n">
        <f aca="false">IF('Model Inputs &amp; Assumptions'!$H$28="Fixed",'Model Inputs &amp; Assumptions'!$I$28*'Model Inputs &amp; Assumptions'!$K$28,IF('Model Inputs &amp; Assumptions'!$H$28="CPM",'Model Inputs &amp; Assumptions'!$I$28*'Model Inputs &amp; Assumptions'!$K$28*C381/1000,IF('Model Inputs &amp; Assumptions'!$H$28="CPC",'Model Inputs &amp; Assumptions'!$I$28*'Model Inputs &amp; Assumptions'!$K$28*G381,0)))</f>
        <v>2703.662</v>
      </c>
      <c r="J381" s="50" t="n">
        <f aca="false">H381*INDEX('Model Inputs &amp; Assumptions'!$D$40:$D$42,MATCH('Model Inputs &amp; Assumptions'!$L$28,'Model Inputs &amp; Assumptions'!$A$40:$A$42,0))*INDEX('Model Inputs &amp; Assumptions'!$H$40:$H$42,MATCH('Model Inputs &amp; Assumptions'!$L$28,'Model Inputs &amp; Assumptions'!$A$40:$A$42,0))</f>
        <v>194939.024230093</v>
      </c>
      <c r="K381" s="49" t="n">
        <f aca="false">H381*INDEX('Model Inputs &amp; Assumptions'!$G$40:$G$42,MATCH('Model Inputs &amp; Assumptions'!$L$28,'Model Inputs &amp; Assumptions'!$A$40:$A$42,0))*INDEX('Model Inputs &amp; Assumptions'!$H$40:$H$42,MATCH('Model Inputs &amp; Assumptions'!$L$28,'Model Inputs &amp; Assumptions'!$A$40:$A$42,0))</f>
        <v>4386.12804517709</v>
      </c>
      <c r="L381" s="51" t="n">
        <f aca="false">IFERROR(K381/I381,0)</f>
        <v>1.62229156054902</v>
      </c>
      <c r="M381" s="49" t="n">
        <f aca="false">IFERROR(I381/H381,0)</f>
        <v>117.888796718684</v>
      </c>
      <c r="N381" s="52" t="str">
        <f aca="false">'Model Inputs &amp; Assumptions'!$L$28</f>
        <v>PRD-EUAI</v>
      </c>
      <c r="P381" s="53" t="n">
        <v>-0.469254</v>
      </c>
      <c r="Q381" s="53" t="n">
        <v>-1.065362</v>
      </c>
      <c r="R381" s="53" t="n">
        <v>-0.184221</v>
      </c>
      <c r="S381" s="53" t="n">
        <v>1.041889</v>
      </c>
    </row>
    <row r="382" customFormat="false" ht="15" hidden="false" customHeight="false" outlineLevel="0" collapsed="false">
      <c r="A382" s="43" t="n">
        <v>379</v>
      </c>
      <c r="B382" s="44" t="str">
        <f aca="false">'Model Inputs &amp; Assumptions'!$B$28</f>
        <v>finanzen.net — Q1 Awareness Burst</v>
      </c>
      <c r="C382" s="45" t="n">
        <f aca="false">ROUND(MAX(0,'Model Inputs &amp; Assumptions'!$S$28*EXP('Model Inputs &amp; Assumptions'!$T$28*P382-'Model Inputs &amp; Assumptions'!$T$28^2/2)),0)</f>
        <v>422836</v>
      </c>
      <c r="D382" s="46" t="n">
        <f aca="false">MIN(1,'Model Inputs &amp; Assumptions'!$U$28*EXP('Model Inputs &amp; Assumptions'!$V$28*Q382-'Model Inputs &amp; Assumptions'!$V$28^2/2))</f>
        <v>0</v>
      </c>
      <c r="E382" s="45" t="n">
        <f aca="false">ROUND(C382*D382,0)</f>
        <v>0</v>
      </c>
      <c r="F382" s="47" t="n">
        <f aca="false">MIN(1,'Model Inputs &amp; Assumptions'!$W$28*EXP('Model Inputs &amp; Assumptions'!$X$28*R382-'Model Inputs &amp; Assumptions'!$X$28^2/2))</f>
        <v>0.00145761722978596</v>
      </c>
      <c r="G382" s="45" t="n">
        <f aca="false">ROUND(C382*F382,0)</f>
        <v>616</v>
      </c>
      <c r="H382" s="48" t="n">
        <f aca="false">MAX(0,(C382*'Model Inputs &amp; Assumptions'!$N$28+E382*'Model Inputs &amp; Assumptions'!$O$28+G382*'Model Inputs &amp; Assumptions'!$P$28)*EXP('Model Inputs &amp; Assumptions'!$Q$28*S382-'Model Inputs &amp; Assumptions'!$Q$28^2/2))</f>
        <v>17.1694727397881</v>
      </c>
      <c r="I382" s="49" t="n">
        <f aca="false">IF('Model Inputs &amp; Assumptions'!$H$28="Fixed",'Model Inputs &amp; Assumptions'!$I$28*'Model Inputs &amp; Assumptions'!$K$28,IF('Model Inputs &amp; Assumptions'!$H$28="CPM",'Model Inputs &amp; Assumptions'!$I$28*'Model Inputs &amp; Assumptions'!$K$28*C382/1000,IF('Model Inputs &amp; Assumptions'!$H$28="CPC",'Model Inputs &amp; Assumptions'!$I$28*'Model Inputs &amp; Assumptions'!$K$28*G382,0)))</f>
        <v>2748.434</v>
      </c>
      <c r="J382" s="50" t="n">
        <f aca="false">H382*INDEX('Model Inputs &amp; Assumptions'!$D$40:$D$42,MATCH('Model Inputs &amp; Assumptions'!$L$28,'Model Inputs &amp; Assumptions'!$A$40:$A$42,0))*INDEX('Model Inputs &amp; Assumptions'!$H$40:$H$42,MATCH('Model Inputs &amp; Assumptions'!$L$28,'Model Inputs &amp; Assumptions'!$A$40:$A$42,0))</f>
        <v>145940.518288199</v>
      </c>
      <c r="K382" s="49" t="n">
        <f aca="false">H382*INDEX('Model Inputs &amp; Assumptions'!$G$40:$G$42,MATCH('Model Inputs &amp; Assumptions'!$L$28,'Model Inputs &amp; Assumptions'!$A$40:$A$42,0))*INDEX('Model Inputs &amp; Assumptions'!$H$40:$H$42,MATCH('Model Inputs &amp; Assumptions'!$L$28,'Model Inputs &amp; Assumptions'!$A$40:$A$42,0))</f>
        <v>3283.66166148447</v>
      </c>
      <c r="L382" s="51" t="n">
        <f aca="false">IFERROR(K382/I382,0)</f>
        <v>1.19473913562577</v>
      </c>
      <c r="M382" s="49" t="n">
        <f aca="false">IFERROR(I382/H382,0)</f>
        <v>160.076785213727</v>
      </c>
      <c r="N382" s="52" t="str">
        <f aca="false">'Model Inputs &amp; Assumptions'!$L$28</f>
        <v>PRD-EUAI</v>
      </c>
      <c r="P382" s="53" t="n">
        <v>-0.378015</v>
      </c>
      <c r="Q382" s="53" t="n">
        <v>0.743221</v>
      </c>
      <c r="R382" s="53" t="n">
        <v>-0.020282</v>
      </c>
      <c r="S382" s="53" t="n">
        <v>-0.095187</v>
      </c>
    </row>
    <row r="383" customFormat="false" ht="15" hidden="false" customHeight="false" outlineLevel="0" collapsed="false">
      <c r="A383" s="43" t="n">
        <v>380</v>
      </c>
      <c r="B383" s="44" t="str">
        <f aca="false">'Model Inputs &amp; Assumptions'!$B$28</f>
        <v>finanzen.net — Q1 Awareness Burst</v>
      </c>
      <c r="C383" s="45" t="n">
        <f aca="false">ROUND(MAX(0,'Model Inputs &amp; Assumptions'!$S$28*EXP('Model Inputs &amp; Assumptions'!$T$28*P383-'Model Inputs &amp; Assumptions'!$T$28^2/2)),0)</f>
        <v>587035</v>
      </c>
      <c r="D383" s="46" t="n">
        <f aca="false">MIN(1,'Model Inputs &amp; Assumptions'!$U$28*EXP('Model Inputs &amp; Assumptions'!$V$28*Q383-'Model Inputs &amp; Assumptions'!$V$28^2/2))</f>
        <v>0</v>
      </c>
      <c r="E383" s="45" t="n">
        <f aca="false">ROUND(C383*D383,0)</f>
        <v>0</v>
      </c>
      <c r="F383" s="47" t="n">
        <f aca="false">MIN(1,'Model Inputs &amp; Assumptions'!$W$28*EXP('Model Inputs &amp; Assumptions'!$X$28*R383-'Model Inputs &amp; Assumptions'!$X$28^2/2))</f>
        <v>0.00179558710796602</v>
      </c>
      <c r="G383" s="45" t="n">
        <f aca="false">ROUND(C383*F383,0)</f>
        <v>1054</v>
      </c>
      <c r="H383" s="48" t="n">
        <f aca="false">MAX(0,(C383*'Model Inputs &amp; Assumptions'!$N$28+E383*'Model Inputs &amp; Assumptions'!$O$28+G383*'Model Inputs &amp; Assumptions'!$P$28)*EXP('Model Inputs &amp; Assumptions'!$Q$28*S383-'Model Inputs &amp; Assumptions'!$Q$28^2/2))</f>
        <v>33.4709711982896</v>
      </c>
      <c r="I383" s="49" t="n">
        <f aca="false">IF('Model Inputs &amp; Assumptions'!$H$28="Fixed",'Model Inputs &amp; Assumptions'!$I$28*'Model Inputs &amp; Assumptions'!$K$28,IF('Model Inputs &amp; Assumptions'!$H$28="CPM",'Model Inputs &amp; Assumptions'!$I$28*'Model Inputs &amp; Assumptions'!$K$28*C383/1000,IF('Model Inputs &amp; Assumptions'!$H$28="CPC",'Model Inputs &amp; Assumptions'!$I$28*'Model Inputs &amp; Assumptions'!$K$28*G383,0)))</f>
        <v>3815.7275</v>
      </c>
      <c r="J383" s="50" t="n">
        <f aca="false">H383*INDEX('Model Inputs &amp; Assumptions'!$D$40:$D$42,MATCH('Model Inputs &amp; Assumptions'!$L$28,'Model Inputs &amp; Assumptions'!$A$40:$A$42,0))*INDEX('Model Inputs &amp; Assumptions'!$H$40:$H$42,MATCH('Model Inputs &amp; Assumptions'!$L$28,'Model Inputs &amp; Assumptions'!$A$40:$A$42,0))</f>
        <v>284503.255185462</v>
      </c>
      <c r="K383" s="49" t="n">
        <f aca="false">H383*INDEX('Model Inputs &amp; Assumptions'!$G$40:$G$42,MATCH('Model Inputs &amp; Assumptions'!$L$28,'Model Inputs &amp; Assumptions'!$A$40:$A$42,0))*INDEX('Model Inputs &amp; Assumptions'!$H$40:$H$42,MATCH('Model Inputs &amp; Assumptions'!$L$28,'Model Inputs &amp; Assumptions'!$A$40:$A$42,0))</f>
        <v>6401.32324167289</v>
      </c>
      <c r="L383" s="51" t="n">
        <f aca="false">IFERROR(K383/I383,0)</f>
        <v>1.67761540667485</v>
      </c>
      <c r="M383" s="49" t="n">
        <f aca="false">IFERROR(I383/H383,0)</f>
        <v>114.001098964077</v>
      </c>
      <c r="N383" s="52" t="str">
        <f aca="false">'Model Inputs &amp; Assumptions'!$L$28</f>
        <v>PRD-EUAI</v>
      </c>
      <c r="P383" s="53" t="n">
        <v>1.444764</v>
      </c>
      <c r="Q383" s="53" t="n">
        <v>0.6448</v>
      </c>
      <c r="R383" s="53" t="n">
        <v>0.927577</v>
      </c>
      <c r="S383" s="53" t="n">
        <v>0.339629</v>
      </c>
    </row>
    <row r="384" customFormat="false" ht="15" hidden="false" customHeight="false" outlineLevel="0" collapsed="false">
      <c r="A384" s="43" t="n">
        <v>381</v>
      </c>
      <c r="B384" s="44" t="str">
        <f aca="false">'Model Inputs &amp; Assumptions'!$B$28</f>
        <v>finanzen.net — Q1 Awareness Burst</v>
      </c>
      <c r="C384" s="45" t="n">
        <f aca="false">ROUND(MAX(0,'Model Inputs &amp; Assumptions'!$S$28*EXP('Model Inputs &amp; Assumptions'!$T$28*P384-'Model Inputs &amp; Assumptions'!$T$28^2/2)),0)</f>
        <v>345686</v>
      </c>
      <c r="D384" s="46" t="n">
        <f aca="false">MIN(1,'Model Inputs &amp; Assumptions'!$U$28*EXP('Model Inputs &amp; Assumptions'!$V$28*Q384-'Model Inputs &amp; Assumptions'!$V$28^2/2))</f>
        <v>0</v>
      </c>
      <c r="E384" s="45" t="n">
        <f aca="false">ROUND(C384*D384,0)</f>
        <v>0</v>
      </c>
      <c r="F384" s="47" t="n">
        <f aca="false">MIN(1,'Model Inputs &amp; Assumptions'!$W$28*EXP('Model Inputs &amp; Assumptions'!$X$28*R384-'Model Inputs &amp; Assumptions'!$X$28^2/2))</f>
        <v>0.000992522405472884</v>
      </c>
      <c r="G384" s="45" t="n">
        <f aca="false">ROUND(C384*F384,0)</f>
        <v>343</v>
      </c>
      <c r="H384" s="48" t="n">
        <f aca="false">MAX(0,(C384*'Model Inputs &amp; Assumptions'!$N$28+E384*'Model Inputs &amp; Assumptions'!$O$28+G384*'Model Inputs &amp; Assumptions'!$P$28)*EXP('Model Inputs &amp; Assumptions'!$Q$28*S384-'Model Inputs &amp; Assumptions'!$Q$28^2/2))</f>
        <v>8.61705130222334</v>
      </c>
      <c r="I384" s="49" t="n">
        <f aca="false">IF('Model Inputs &amp; Assumptions'!$H$28="Fixed",'Model Inputs &amp; Assumptions'!$I$28*'Model Inputs &amp; Assumptions'!$K$28,IF('Model Inputs &amp; Assumptions'!$H$28="CPM",'Model Inputs &amp; Assumptions'!$I$28*'Model Inputs &amp; Assumptions'!$K$28*C384/1000,IF('Model Inputs &amp; Assumptions'!$H$28="CPC",'Model Inputs &amp; Assumptions'!$I$28*'Model Inputs &amp; Assumptions'!$K$28*G384,0)))</f>
        <v>2246.959</v>
      </c>
      <c r="J384" s="50" t="n">
        <f aca="false">H384*INDEX('Model Inputs &amp; Assumptions'!$D$40:$D$42,MATCH('Model Inputs &amp; Assumptions'!$L$28,'Model Inputs &amp; Assumptions'!$A$40:$A$42,0))*INDEX('Model Inputs &amp; Assumptions'!$H$40:$H$42,MATCH('Model Inputs &amp; Assumptions'!$L$28,'Model Inputs &amp; Assumptions'!$A$40:$A$42,0))</f>
        <v>73244.9360688984</v>
      </c>
      <c r="K384" s="49" t="n">
        <f aca="false">H384*INDEX('Model Inputs &amp; Assumptions'!$G$40:$G$42,MATCH('Model Inputs &amp; Assumptions'!$L$28,'Model Inputs &amp; Assumptions'!$A$40:$A$42,0))*INDEX('Model Inputs &amp; Assumptions'!$H$40:$H$42,MATCH('Model Inputs &amp; Assumptions'!$L$28,'Model Inputs &amp; Assumptions'!$A$40:$A$42,0))</f>
        <v>1648.01106155021</v>
      </c>
      <c r="L384" s="51" t="n">
        <f aca="false">IFERROR(K384/I384,0)</f>
        <v>0.73344064646939</v>
      </c>
      <c r="M384" s="49" t="n">
        <f aca="false">IFERROR(I384/H384,0)</f>
        <v>260.757296341064</v>
      </c>
      <c r="N384" s="52" t="str">
        <f aca="false">'Model Inputs &amp; Assumptions'!$L$28</f>
        <v>PRD-EUAI</v>
      </c>
      <c r="P384" s="53" t="n">
        <v>-1.497205</v>
      </c>
      <c r="Q384" s="53" t="n">
        <v>0.487176</v>
      </c>
      <c r="R384" s="53" t="n">
        <v>-1.76714</v>
      </c>
      <c r="S384" s="53" t="n">
        <v>-0.441432</v>
      </c>
    </row>
    <row r="385" customFormat="false" ht="15" hidden="false" customHeight="false" outlineLevel="0" collapsed="false">
      <c r="A385" s="43" t="n">
        <v>382</v>
      </c>
      <c r="B385" s="44" t="str">
        <f aca="false">'Model Inputs &amp; Assumptions'!$B$28</f>
        <v>finanzen.net — Q1 Awareness Burst</v>
      </c>
      <c r="C385" s="45" t="n">
        <f aca="false">ROUND(MAX(0,'Model Inputs &amp; Assumptions'!$S$28*EXP('Model Inputs &amp; Assumptions'!$T$28*P385-'Model Inputs &amp; Assumptions'!$T$28^2/2)),0)</f>
        <v>477804</v>
      </c>
      <c r="D385" s="46" t="n">
        <f aca="false">MIN(1,'Model Inputs &amp; Assumptions'!$U$28*EXP('Model Inputs &amp; Assumptions'!$V$28*Q385-'Model Inputs &amp; Assumptions'!$V$28^2/2))</f>
        <v>0</v>
      </c>
      <c r="E385" s="45" t="n">
        <f aca="false">ROUND(C385*D385,0)</f>
        <v>0</v>
      </c>
      <c r="F385" s="47" t="n">
        <f aca="false">MIN(1,'Model Inputs &amp; Assumptions'!$W$28*EXP('Model Inputs &amp; Assumptions'!$X$28*R385-'Model Inputs &amp; Assumptions'!$X$28^2/2))</f>
        <v>0.00129114268435489</v>
      </c>
      <c r="G385" s="45" t="n">
        <f aca="false">ROUND(C385*F385,0)</f>
        <v>617</v>
      </c>
      <c r="H385" s="48" t="n">
        <f aca="false">MAX(0,(C385*'Model Inputs &amp; Assumptions'!$N$28+E385*'Model Inputs &amp; Assumptions'!$O$28+G385*'Model Inputs &amp; Assumptions'!$P$28)*EXP('Model Inputs &amp; Assumptions'!$Q$28*S385-'Model Inputs &amp; Assumptions'!$Q$28^2/2))</f>
        <v>27.932054232869</v>
      </c>
      <c r="I385" s="49" t="n">
        <f aca="false">IF('Model Inputs &amp; Assumptions'!$H$28="Fixed",'Model Inputs &amp; Assumptions'!$I$28*'Model Inputs &amp; Assumptions'!$K$28,IF('Model Inputs &amp; Assumptions'!$H$28="CPM",'Model Inputs &amp; Assumptions'!$I$28*'Model Inputs &amp; Assumptions'!$K$28*C385/1000,IF('Model Inputs &amp; Assumptions'!$H$28="CPC",'Model Inputs &amp; Assumptions'!$I$28*'Model Inputs &amp; Assumptions'!$K$28*G385,0)))</f>
        <v>3105.726</v>
      </c>
      <c r="J385" s="50" t="n">
        <f aca="false">H385*INDEX('Model Inputs &amp; Assumptions'!$D$40:$D$42,MATCH('Model Inputs &amp; Assumptions'!$L$28,'Model Inputs &amp; Assumptions'!$A$40:$A$42,0))*INDEX('Model Inputs &amp; Assumptions'!$H$40:$H$42,MATCH('Model Inputs &amp; Assumptions'!$L$28,'Model Inputs &amp; Assumptions'!$A$40:$A$42,0))</f>
        <v>237422.460979387</v>
      </c>
      <c r="K385" s="49" t="n">
        <f aca="false">H385*INDEX('Model Inputs &amp; Assumptions'!$G$40:$G$42,MATCH('Model Inputs &amp; Assumptions'!$L$28,'Model Inputs &amp; Assumptions'!$A$40:$A$42,0))*INDEX('Model Inputs &amp; Assumptions'!$H$40:$H$42,MATCH('Model Inputs &amp; Assumptions'!$L$28,'Model Inputs &amp; Assumptions'!$A$40:$A$42,0))</f>
        <v>5342.0053720362</v>
      </c>
      <c r="L385" s="51" t="n">
        <f aca="false">IFERROR(K385/I385,0)</f>
        <v>1.72005043974781</v>
      </c>
      <c r="M385" s="49" t="n">
        <f aca="false">IFERROR(I385/H385,0)</f>
        <v>111.188599811085</v>
      </c>
      <c r="N385" s="52" t="str">
        <f aca="false">'Model Inputs &amp; Assumptions'!$L$28</f>
        <v>PRD-EUAI</v>
      </c>
      <c r="P385" s="53" t="n">
        <v>0.300973</v>
      </c>
      <c r="Q385" s="53" t="n">
        <v>-0.627424</v>
      </c>
      <c r="R385" s="53" t="n">
        <v>-0.571534</v>
      </c>
      <c r="S385" s="53" t="n">
        <v>1.521546</v>
      </c>
    </row>
    <row r="386" customFormat="false" ht="15" hidden="false" customHeight="false" outlineLevel="0" collapsed="false">
      <c r="A386" s="43" t="n">
        <v>383</v>
      </c>
      <c r="B386" s="44" t="str">
        <f aca="false">'Model Inputs &amp; Assumptions'!$B$28</f>
        <v>finanzen.net — Q1 Awareness Burst</v>
      </c>
      <c r="C386" s="45" t="n">
        <f aca="false">ROUND(MAX(0,'Model Inputs &amp; Assumptions'!$S$28*EXP('Model Inputs &amp; Assumptions'!$T$28*P386-'Model Inputs &amp; Assumptions'!$T$28^2/2)),0)</f>
        <v>489429</v>
      </c>
      <c r="D386" s="46" t="n">
        <f aca="false">MIN(1,'Model Inputs &amp; Assumptions'!$U$28*EXP('Model Inputs &amp; Assumptions'!$V$28*Q386-'Model Inputs &amp; Assumptions'!$V$28^2/2))</f>
        <v>0</v>
      </c>
      <c r="E386" s="45" t="n">
        <f aca="false">ROUND(C386*D386,0)</f>
        <v>0</v>
      </c>
      <c r="F386" s="47" t="n">
        <f aca="false">MIN(1,'Model Inputs &amp; Assumptions'!$W$28*EXP('Model Inputs &amp; Assumptions'!$X$28*R386-'Model Inputs &amp; Assumptions'!$X$28^2/2))</f>
        <v>0.00128179080698923</v>
      </c>
      <c r="G386" s="45" t="n">
        <f aca="false">ROUND(C386*F386,0)</f>
        <v>627</v>
      </c>
      <c r="H386" s="48" t="n">
        <f aca="false">MAX(0,(C386*'Model Inputs &amp; Assumptions'!$N$28+E386*'Model Inputs &amp; Assumptions'!$O$28+G386*'Model Inputs &amp; Assumptions'!$P$28)*EXP('Model Inputs &amp; Assumptions'!$Q$28*S386-'Model Inputs &amp; Assumptions'!$Q$28^2/2))</f>
        <v>16.8873588215397</v>
      </c>
      <c r="I386" s="49" t="n">
        <f aca="false">IF('Model Inputs &amp; Assumptions'!$H$28="Fixed",'Model Inputs &amp; Assumptions'!$I$28*'Model Inputs &amp; Assumptions'!$K$28,IF('Model Inputs &amp; Assumptions'!$H$28="CPM",'Model Inputs &amp; Assumptions'!$I$28*'Model Inputs &amp; Assumptions'!$K$28*C386/1000,IF('Model Inputs &amp; Assumptions'!$H$28="CPC",'Model Inputs &amp; Assumptions'!$I$28*'Model Inputs &amp; Assumptions'!$K$28*G386,0)))</f>
        <v>3181.2885</v>
      </c>
      <c r="J386" s="50" t="n">
        <f aca="false">H386*INDEX('Model Inputs &amp; Assumptions'!$D$40:$D$42,MATCH('Model Inputs &amp; Assumptions'!$L$28,'Model Inputs &amp; Assumptions'!$A$40:$A$42,0))*INDEX('Model Inputs &amp; Assumptions'!$H$40:$H$42,MATCH('Model Inputs &amp; Assumptions'!$L$28,'Model Inputs &amp; Assumptions'!$A$40:$A$42,0))</f>
        <v>143542.549983087</v>
      </c>
      <c r="K386" s="49" t="n">
        <f aca="false">H386*INDEX('Model Inputs &amp; Assumptions'!$G$40:$G$42,MATCH('Model Inputs &amp; Assumptions'!$L$28,'Model Inputs &amp; Assumptions'!$A$40:$A$42,0))*INDEX('Model Inputs &amp; Assumptions'!$H$40:$H$42,MATCH('Model Inputs &amp; Assumptions'!$L$28,'Model Inputs &amp; Assumptions'!$A$40:$A$42,0))</f>
        <v>3229.70737461947</v>
      </c>
      <c r="L386" s="51" t="n">
        <f aca="false">IFERROR(K386/I386,0)</f>
        <v>1.01521989427223</v>
      </c>
      <c r="M386" s="49" t="n">
        <f aca="false">IFERROR(I386/H386,0)</f>
        <v>188.382833196053</v>
      </c>
      <c r="N386" s="52" t="str">
        <f aca="false">'Model Inputs &amp; Assumptions'!$L$28</f>
        <v>PRD-EUAI</v>
      </c>
      <c r="P386" s="53" t="n">
        <v>0.434514</v>
      </c>
      <c r="Q386" s="53" t="n">
        <v>-0.935965</v>
      </c>
      <c r="R386" s="53" t="n">
        <v>-0.604577</v>
      </c>
      <c r="S386" s="53" t="n">
        <v>-0.209411</v>
      </c>
    </row>
    <row r="387" customFormat="false" ht="15" hidden="false" customHeight="false" outlineLevel="0" collapsed="false">
      <c r="A387" s="43" t="n">
        <v>384</v>
      </c>
      <c r="B387" s="44" t="str">
        <f aca="false">'Model Inputs &amp; Assumptions'!$B$28</f>
        <v>finanzen.net — Q1 Awareness Burst</v>
      </c>
      <c r="C387" s="45" t="n">
        <f aca="false">ROUND(MAX(0,'Model Inputs &amp; Assumptions'!$S$28*EXP('Model Inputs &amp; Assumptions'!$T$28*P387-'Model Inputs &amp; Assumptions'!$T$28^2/2)),0)</f>
        <v>449940</v>
      </c>
      <c r="D387" s="46" t="n">
        <f aca="false">MIN(1,'Model Inputs &amp; Assumptions'!$U$28*EXP('Model Inputs &amp; Assumptions'!$V$28*Q387-'Model Inputs &amp; Assumptions'!$V$28^2/2))</f>
        <v>0</v>
      </c>
      <c r="E387" s="45" t="n">
        <f aca="false">ROUND(C387*D387,0)</f>
        <v>0</v>
      </c>
      <c r="F387" s="47" t="n">
        <f aca="false">MIN(1,'Model Inputs &amp; Assumptions'!$W$28*EXP('Model Inputs &amp; Assumptions'!$X$28*R387-'Model Inputs &amp; Assumptions'!$X$28^2/2))</f>
        <v>0.00107545297842833</v>
      </c>
      <c r="G387" s="45" t="n">
        <f aca="false">ROUND(C387*F387,0)</f>
        <v>484</v>
      </c>
      <c r="H387" s="48" t="n">
        <f aca="false">MAX(0,(C387*'Model Inputs &amp; Assumptions'!$N$28+E387*'Model Inputs &amp; Assumptions'!$O$28+G387*'Model Inputs &amp; Assumptions'!$P$28)*EXP('Model Inputs &amp; Assumptions'!$Q$28*S387-'Model Inputs &amp; Assumptions'!$Q$28^2/2))</f>
        <v>15.5549063443588</v>
      </c>
      <c r="I387" s="49" t="n">
        <f aca="false">IF('Model Inputs &amp; Assumptions'!$H$28="Fixed",'Model Inputs &amp; Assumptions'!$I$28*'Model Inputs &amp; Assumptions'!$K$28,IF('Model Inputs &amp; Assumptions'!$H$28="CPM",'Model Inputs &amp; Assumptions'!$I$28*'Model Inputs &amp; Assumptions'!$K$28*C387/1000,IF('Model Inputs &amp; Assumptions'!$H$28="CPC",'Model Inputs &amp; Assumptions'!$I$28*'Model Inputs &amp; Assumptions'!$K$28*G387,0)))</f>
        <v>2924.61</v>
      </c>
      <c r="J387" s="50" t="n">
        <f aca="false">H387*INDEX('Model Inputs &amp; Assumptions'!$D$40:$D$42,MATCH('Model Inputs &amp; Assumptions'!$L$28,'Model Inputs &amp; Assumptions'!$A$40:$A$42,0))*INDEX('Model Inputs &amp; Assumptions'!$H$40:$H$42,MATCH('Model Inputs &amp; Assumptions'!$L$28,'Model Inputs &amp; Assumptions'!$A$40:$A$42,0))</f>
        <v>132216.70392705</v>
      </c>
      <c r="K387" s="49" t="n">
        <f aca="false">H387*INDEX('Model Inputs &amp; Assumptions'!$G$40:$G$42,MATCH('Model Inputs &amp; Assumptions'!$L$28,'Model Inputs &amp; Assumptions'!$A$40:$A$42,0))*INDEX('Model Inputs &amp; Assumptions'!$H$40:$H$42,MATCH('Model Inputs &amp; Assumptions'!$L$28,'Model Inputs &amp; Assumptions'!$A$40:$A$42,0))</f>
        <v>2974.87583835862</v>
      </c>
      <c r="L387" s="51" t="n">
        <f aca="false">IFERROR(K387/I387,0)</f>
        <v>1.01718719362876</v>
      </c>
      <c r="M387" s="49" t="n">
        <f aca="false">IFERROR(I387/H387,0)</f>
        <v>188.01848980985</v>
      </c>
      <c r="N387" s="52" t="str">
        <f aca="false">'Model Inputs &amp; Assumptions'!$L$28</f>
        <v>PRD-EUAI</v>
      </c>
      <c r="P387" s="53" t="n">
        <v>-0.03285</v>
      </c>
      <c r="Q387" s="53" t="n">
        <v>-0.393776</v>
      </c>
      <c r="R387" s="53" t="n">
        <v>-1.402378</v>
      </c>
      <c r="S387" s="53" t="n">
        <v>0.379497</v>
      </c>
    </row>
    <row r="388" customFormat="false" ht="15" hidden="false" customHeight="false" outlineLevel="0" collapsed="false">
      <c r="A388" s="43" t="n">
        <v>385</v>
      </c>
      <c r="B388" s="44" t="str">
        <f aca="false">'Model Inputs &amp; Assumptions'!$B$28</f>
        <v>finanzen.net — Q1 Awareness Burst</v>
      </c>
      <c r="C388" s="45" t="n">
        <f aca="false">ROUND(MAX(0,'Model Inputs &amp; Assumptions'!$S$28*EXP('Model Inputs &amp; Assumptions'!$T$28*P388-'Model Inputs &amp; Assumptions'!$T$28^2/2)),0)</f>
        <v>464124</v>
      </c>
      <c r="D388" s="46" t="n">
        <f aca="false">MIN(1,'Model Inputs &amp; Assumptions'!$U$28*EXP('Model Inputs &amp; Assumptions'!$V$28*Q388-'Model Inputs &amp; Assumptions'!$V$28^2/2))</f>
        <v>0</v>
      </c>
      <c r="E388" s="45" t="n">
        <f aca="false">ROUND(C388*D388,0)</f>
        <v>0</v>
      </c>
      <c r="F388" s="47" t="n">
        <f aca="false">MIN(1,'Model Inputs &amp; Assumptions'!$W$28*EXP('Model Inputs &amp; Assumptions'!$X$28*R388-'Model Inputs &amp; Assumptions'!$X$28^2/2))</f>
        <v>0.00129203263988238</v>
      </c>
      <c r="G388" s="45" t="n">
        <f aca="false">ROUND(C388*F388,0)</f>
        <v>600</v>
      </c>
      <c r="H388" s="48" t="n">
        <f aca="false">MAX(0,(C388*'Model Inputs &amp; Assumptions'!$N$28+E388*'Model Inputs &amp; Assumptions'!$O$28+G388*'Model Inputs &amp; Assumptions'!$P$28)*EXP('Model Inputs &amp; Assumptions'!$Q$28*S388-'Model Inputs &amp; Assumptions'!$Q$28^2/2))</f>
        <v>15.341650089163</v>
      </c>
      <c r="I388" s="49" t="n">
        <f aca="false">IF('Model Inputs &amp; Assumptions'!$H$28="Fixed",'Model Inputs &amp; Assumptions'!$I$28*'Model Inputs &amp; Assumptions'!$K$28,IF('Model Inputs &amp; Assumptions'!$H$28="CPM",'Model Inputs &amp; Assumptions'!$I$28*'Model Inputs &amp; Assumptions'!$K$28*C388/1000,IF('Model Inputs &amp; Assumptions'!$H$28="CPC",'Model Inputs &amp; Assumptions'!$I$28*'Model Inputs &amp; Assumptions'!$K$28*G388,0)))</f>
        <v>3016.806</v>
      </c>
      <c r="J388" s="50" t="n">
        <f aca="false">H388*INDEX('Model Inputs &amp; Assumptions'!$D$40:$D$42,MATCH('Model Inputs &amp; Assumptions'!$L$28,'Model Inputs &amp; Assumptions'!$A$40:$A$42,0))*INDEX('Model Inputs &amp; Assumptions'!$H$40:$H$42,MATCH('Model Inputs &amp; Assumptions'!$L$28,'Model Inputs &amp; Assumptions'!$A$40:$A$42,0))</f>
        <v>130404.025757886</v>
      </c>
      <c r="K388" s="49" t="n">
        <f aca="false">H388*INDEX('Model Inputs &amp; Assumptions'!$G$40:$G$42,MATCH('Model Inputs &amp; Assumptions'!$L$28,'Model Inputs &amp; Assumptions'!$A$40:$A$42,0))*INDEX('Model Inputs &amp; Assumptions'!$H$40:$H$42,MATCH('Model Inputs &amp; Assumptions'!$L$28,'Model Inputs &amp; Assumptions'!$A$40:$A$42,0))</f>
        <v>2934.09057955243</v>
      </c>
      <c r="L388" s="51" t="n">
        <f aca="false">IFERROR(K388/I388,0)</f>
        <v>0.972581789996583</v>
      </c>
      <c r="M388" s="49" t="n">
        <f aca="false">IFERROR(I388/H388,0)</f>
        <v>196.64155957585</v>
      </c>
      <c r="N388" s="52" t="str">
        <f aca="false">'Model Inputs &amp; Assumptions'!$L$28</f>
        <v>PRD-EUAI</v>
      </c>
      <c r="P388" s="53" t="n">
        <v>0.139579</v>
      </c>
      <c r="Q388" s="53" t="n">
        <v>-1.157574</v>
      </c>
      <c r="R388" s="53" t="n">
        <v>-0.568402</v>
      </c>
      <c r="S388" s="53" t="n">
        <v>-0.382668</v>
      </c>
    </row>
    <row r="389" customFormat="false" ht="15" hidden="false" customHeight="false" outlineLevel="0" collapsed="false">
      <c r="A389" s="43" t="n">
        <v>386</v>
      </c>
      <c r="B389" s="44" t="str">
        <f aca="false">'Model Inputs &amp; Assumptions'!$B$28</f>
        <v>finanzen.net — Q1 Awareness Burst</v>
      </c>
      <c r="C389" s="45" t="n">
        <f aca="false">ROUND(MAX(0,'Model Inputs &amp; Assumptions'!$S$28*EXP('Model Inputs &amp; Assumptions'!$T$28*P389-'Model Inputs &amp; Assumptions'!$T$28^2/2)),0)</f>
        <v>361307</v>
      </c>
      <c r="D389" s="46" t="n">
        <f aca="false">MIN(1,'Model Inputs &amp; Assumptions'!$U$28*EXP('Model Inputs &amp; Assumptions'!$V$28*Q389-'Model Inputs &amp; Assumptions'!$V$28^2/2))</f>
        <v>0</v>
      </c>
      <c r="E389" s="45" t="n">
        <f aca="false">ROUND(C389*D389,0)</f>
        <v>0</v>
      </c>
      <c r="F389" s="47" t="n">
        <f aca="false">MIN(1,'Model Inputs &amp; Assumptions'!$W$28*EXP('Model Inputs &amp; Assumptions'!$X$28*R389-'Model Inputs &amp; Assumptions'!$X$28^2/2))</f>
        <v>0.00130623465345159</v>
      </c>
      <c r="G389" s="45" t="n">
        <f aca="false">ROUND(C389*F389,0)</f>
        <v>472</v>
      </c>
      <c r="H389" s="48" t="n">
        <f aca="false">MAX(0,(C389*'Model Inputs &amp; Assumptions'!$N$28+E389*'Model Inputs &amp; Assumptions'!$O$28+G389*'Model Inputs &amp; Assumptions'!$P$28)*EXP('Model Inputs &amp; Assumptions'!$Q$28*S389-'Model Inputs &amp; Assumptions'!$Q$28^2/2))</f>
        <v>9.90124283614347</v>
      </c>
      <c r="I389" s="49" t="n">
        <f aca="false">IF('Model Inputs &amp; Assumptions'!$H$28="Fixed",'Model Inputs &amp; Assumptions'!$I$28*'Model Inputs &amp; Assumptions'!$K$28,IF('Model Inputs &amp; Assumptions'!$H$28="CPM",'Model Inputs &amp; Assumptions'!$I$28*'Model Inputs &amp; Assumptions'!$K$28*C389/1000,IF('Model Inputs &amp; Assumptions'!$H$28="CPC",'Model Inputs &amp; Assumptions'!$I$28*'Model Inputs &amp; Assumptions'!$K$28*G389,0)))</f>
        <v>2348.4955</v>
      </c>
      <c r="J389" s="50" t="n">
        <f aca="false">H389*INDEX('Model Inputs &amp; Assumptions'!$D$40:$D$42,MATCH('Model Inputs &amp; Assumptions'!$L$28,'Model Inputs &amp; Assumptions'!$A$40:$A$42,0))*INDEX('Model Inputs &amp; Assumptions'!$H$40:$H$42,MATCH('Model Inputs &amp; Assumptions'!$L$28,'Model Inputs &amp; Assumptions'!$A$40:$A$42,0))</f>
        <v>84160.5641072195</v>
      </c>
      <c r="K389" s="49" t="n">
        <f aca="false">H389*INDEX('Model Inputs &amp; Assumptions'!$G$40:$G$42,MATCH('Model Inputs &amp; Assumptions'!$L$28,'Model Inputs &amp; Assumptions'!$A$40:$A$42,0))*INDEX('Model Inputs &amp; Assumptions'!$H$40:$H$42,MATCH('Model Inputs &amp; Assumptions'!$L$28,'Model Inputs &amp; Assumptions'!$A$40:$A$42,0))</f>
        <v>1893.61269241244</v>
      </c>
      <c r="L389" s="51" t="n">
        <f aca="false">IFERROR(K389/I389,0)</f>
        <v>0.806308844284538</v>
      </c>
      <c r="M389" s="49" t="n">
        <f aca="false">IFERROR(I389/H389,0)</f>
        <v>237.191990830389</v>
      </c>
      <c r="N389" s="52" t="str">
        <f aca="false">'Model Inputs &amp; Assumptions'!$L$28</f>
        <v>PRD-EUAI</v>
      </c>
      <c r="P389" s="53" t="n">
        <v>-1.251651</v>
      </c>
      <c r="Q389" s="53" t="n">
        <v>-0.318299</v>
      </c>
      <c r="R389" s="53" t="n">
        <v>-0.518711</v>
      </c>
      <c r="S389" s="53" t="n">
        <v>-1.042536</v>
      </c>
    </row>
    <row r="390" customFormat="false" ht="15" hidden="false" customHeight="false" outlineLevel="0" collapsed="false">
      <c r="A390" s="43" t="n">
        <v>387</v>
      </c>
      <c r="B390" s="44" t="str">
        <f aca="false">'Model Inputs &amp; Assumptions'!$B$28</f>
        <v>finanzen.net — Q1 Awareness Burst</v>
      </c>
      <c r="C390" s="45" t="n">
        <f aca="false">ROUND(MAX(0,'Model Inputs &amp; Assumptions'!$S$28*EXP('Model Inputs &amp; Assumptions'!$T$28*P390-'Model Inputs &amp; Assumptions'!$T$28^2/2)),0)</f>
        <v>488402</v>
      </c>
      <c r="D390" s="46" t="n">
        <f aca="false">MIN(1,'Model Inputs &amp; Assumptions'!$U$28*EXP('Model Inputs &amp; Assumptions'!$V$28*Q390-'Model Inputs &amp; Assumptions'!$V$28^2/2))</f>
        <v>0</v>
      </c>
      <c r="E390" s="45" t="n">
        <f aca="false">ROUND(C390*D390,0)</f>
        <v>0</v>
      </c>
      <c r="F390" s="47" t="n">
        <f aca="false">MIN(1,'Model Inputs &amp; Assumptions'!$W$28*EXP('Model Inputs &amp; Assumptions'!$X$28*R390-'Model Inputs &amp; Assumptions'!$X$28^2/2))</f>
        <v>0.00194507580014543</v>
      </c>
      <c r="G390" s="45" t="n">
        <f aca="false">ROUND(C390*F390,0)</f>
        <v>950</v>
      </c>
      <c r="H390" s="48" t="n">
        <f aca="false">MAX(0,(C390*'Model Inputs &amp; Assumptions'!$N$28+E390*'Model Inputs &amp; Assumptions'!$O$28+G390*'Model Inputs &amp; Assumptions'!$P$28)*EXP('Model Inputs &amp; Assumptions'!$Q$28*S390-'Model Inputs &amp; Assumptions'!$Q$28^2/2))</f>
        <v>26.2472910935049</v>
      </c>
      <c r="I390" s="49" t="n">
        <f aca="false">IF('Model Inputs &amp; Assumptions'!$H$28="Fixed",'Model Inputs &amp; Assumptions'!$I$28*'Model Inputs &amp; Assumptions'!$K$28,IF('Model Inputs &amp; Assumptions'!$H$28="CPM",'Model Inputs &amp; Assumptions'!$I$28*'Model Inputs &amp; Assumptions'!$K$28*C390/1000,IF('Model Inputs &amp; Assumptions'!$H$28="CPC",'Model Inputs &amp; Assumptions'!$I$28*'Model Inputs &amp; Assumptions'!$K$28*G390,0)))</f>
        <v>3174.613</v>
      </c>
      <c r="J390" s="50" t="n">
        <f aca="false">H390*INDEX('Model Inputs &amp; Assumptions'!$D$40:$D$42,MATCH('Model Inputs &amp; Assumptions'!$L$28,'Model Inputs &amp; Assumptions'!$A$40:$A$42,0))*INDEX('Model Inputs &amp; Assumptions'!$H$40:$H$42,MATCH('Model Inputs &amp; Assumptions'!$L$28,'Model Inputs &amp; Assumptions'!$A$40:$A$42,0))</f>
        <v>223101.974294792</v>
      </c>
      <c r="K390" s="49" t="n">
        <f aca="false">H390*INDEX('Model Inputs &amp; Assumptions'!$G$40:$G$42,MATCH('Model Inputs &amp; Assumptions'!$L$28,'Model Inputs &amp; Assumptions'!$A$40:$A$42,0))*INDEX('Model Inputs &amp; Assumptions'!$H$40:$H$42,MATCH('Model Inputs &amp; Assumptions'!$L$28,'Model Inputs &amp; Assumptions'!$A$40:$A$42,0))</f>
        <v>5019.79442163281</v>
      </c>
      <c r="L390" s="51" t="n">
        <f aca="false">IFERROR(K390/I390,0)</f>
        <v>1.58123034890641</v>
      </c>
      <c r="M390" s="49" t="n">
        <f aca="false">IFERROR(I390/H390,0)</f>
        <v>120.950119716758</v>
      </c>
      <c r="N390" s="52" t="str">
        <f aca="false">'Model Inputs &amp; Assumptions'!$L$28</f>
        <v>PRD-EUAI</v>
      </c>
      <c r="P390" s="53" t="n">
        <v>0.422849</v>
      </c>
      <c r="Q390" s="53" t="n">
        <v>0.52413</v>
      </c>
      <c r="R390" s="53" t="n">
        <v>1.291072</v>
      </c>
      <c r="S390" s="53" t="n">
        <v>-0.124471</v>
      </c>
    </row>
    <row r="391" customFormat="false" ht="15" hidden="false" customHeight="false" outlineLevel="0" collapsed="false">
      <c r="A391" s="43" t="n">
        <v>388</v>
      </c>
      <c r="B391" s="44" t="str">
        <f aca="false">'Model Inputs &amp; Assumptions'!$B$28</f>
        <v>finanzen.net — Q1 Awareness Burst</v>
      </c>
      <c r="C391" s="45" t="n">
        <f aca="false">ROUND(MAX(0,'Model Inputs &amp; Assumptions'!$S$28*EXP('Model Inputs &amp; Assumptions'!$T$28*P391-'Model Inputs &amp; Assumptions'!$T$28^2/2)),0)</f>
        <v>459728</v>
      </c>
      <c r="D391" s="46" t="n">
        <f aca="false">MIN(1,'Model Inputs &amp; Assumptions'!$U$28*EXP('Model Inputs &amp; Assumptions'!$V$28*Q391-'Model Inputs &amp; Assumptions'!$V$28^2/2))</f>
        <v>0</v>
      </c>
      <c r="E391" s="45" t="n">
        <f aca="false">ROUND(C391*D391,0)</f>
        <v>0</v>
      </c>
      <c r="F391" s="47" t="n">
        <f aca="false">MIN(1,'Model Inputs &amp; Assumptions'!$W$28*EXP('Model Inputs &amp; Assumptions'!$X$28*R391-'Model Inputs &amp; Assumptions'!$X$28^2/2))</f>
        <v>0.00185482387991171</v>
      </c>
      <c r="G391" s="45" t="n">
        <f aca="false">ROUND(C391*F391,0)</f>
        <v>853</v>
      </c>
      <c r="H391" s="48" t="n">
        <f aca="false">MAX(0,(C391*'Model Inputs &amp; Assumptions'!$N$28+E391*'Model Inputs &amp; Assumptions'!$O$28+G391*'Model Inputs &amp; Assumptions'!$P$28)*EXP('Model Inputs &amp; Assumptions'!$Q$28*S391-'Model Inputs &amp; Assumptions'!$Q$28^2/2))</f>
        <v>33.1605776490679</v>
      </c>
      <c r="I391" s="49" t="n">
        <f aca="false">IF('Model Inputs &amp; Assumptions'!$H$28="Fixed",'Model Inputs &amp; Assumptions'!$I$28*'Model Inputs &amp; Assumptions'!$K$28,IF('Model Inputs &amp; Assumptions'!$H$28="CPM",'Model Inputs &amp; Assumptions'!$I$28*'Model Inputs &amp; Assumptions'!$K$28*C391/1000,IF('Model Inputs &amp; Assumptions'!$H$28="CPC",'Model Inputs &amp; Assumptions'!$I$28*'Model Inputs &amp; Assumptions'!$K$28*G391,0)))</f>
        <v>2988.232</v>
      </c>
      <c r="J391" s="50" t="n">
        <f aca="false">H391*INDEX('Model Inputs &amp; Assumptions'!$D$40:$D$42,MATCH('Model Inputs &amp; Assumptions'!$L$28,'Model Inputs &amp; Assumptions'!$A$40:$A$42,0))*INDEX('Model Inputs &amp; Assumptions'!$H$40:$H$42,MATCH('Model Inputs &amp; Assumptions'!$L$28,'Model Inputs &amp; Assumptions'!$A$40:$A$42,0))</f>
        <v>281864.910017077</v>
      </c>
      <c r="K391" s="49" t="n">
        <f aca="false">H391*INDEX('Model Inputs &amp; Assumptions'!$G$40:$G$42,MATCH('Model Inputs &amp; Assumptions'!$L$28,'Model Inputs &amp; Assumptions'!$A$40:$A$42,0))*INDEX('Model Inputs &amp; Assumptions'!$H$40:$H$42,MATCH('Model Inputs &amp; Assumptions'!$L$28,'Model Inputs &amp; Assumptions'!$A$40:$A$42,0))</f>
        <v>6341.96047538424</v>
      </c>
      <c r="L391" s="51" t="n">
        <f aca="false">IFERROR(K391/I391,0)</f>
        <v>2.12231194746065</v>
      </c>
      <c r="M391" s="49" t="n">
        <f aca="false">IFERROR(I391/H391,0)</f>
        <v>90.1139911259656</v>
      </c>
      <c r="N391" s="52" t="str">
        <f aca="false">'Model Inputs &amp; Assumptions'!$L$28</f>
        <v>PRD-EUAI</v>
      </c>
      <c r="P391" s="53" t="n">
        <v>0.086709</v>
      </c>
      <c r="Q391" s="53" t="n">
        <v>0.779457</v>
      </c>
      <c r="R391" s="53" t="n">
        <v>1.075112</v>
      </c>
      <c r="S391" s="53" t="n">
        <v>1.013867</v>
      </c>
    </row>
    <row r="392" customFormat="false" ht="15" hidden="false" customHeight="false" outlineLevel="0" collapsed="false">
      <c r="A392" s="43" t="n">
        <v>389</v>
      </c>
      <c r="B392" s="44" t="str">
        <f aca="false">'Model Inputs &amp; Assumptions'!$B$28</f>
        <v>finanzen.net — Q1 Awareness Burst</v>
      </c>
      <c r="C392" s="45" t="n">
        <f aca="false">ROUND(MAX(0,'Model Inputs &amp; Assumptions'!$S$28*EXP('Model Inputs &amp; Assumptions'!$T$28*P392-'Model Inputs &amp; Assumptions'!$T$28^2/2)),0)</f>
        <v>578990</v>
      </c>
      <c r="D392" s="46" t="n">
        <f aca="false">MIN(1,'Model Inputs &amp; Assumptions'!$U$28*EXP('Model Inputs &amp; Assumptions'!$V$28*Q392-'Model Inputs &amp; Assumptions'!$V$28^2/2))</f>
        <v>0</v>
      </c>
      <c r="E392" s="45" t="n">
        <f aca="false">ROUND(C392*D392,0)</f>
        <v>0</v>
      </c>
      <c r="F392" s="47" t="n">
        <f aca="false">MIN(1,'Model Inputs &amp; Assumptions'!$W$28*EXP('Model Inputs &amp; Assumptions'!$X$28*R392-'Model Inputs &amp; Assumptions'!$X$28^2/2))</f>
        <v>0.00143426391746776</v>
      </c>
      <c r="G392" s="45" t="n">
        <f aca="false">ROUND(C392*F392,0)</f>
        <v>830</v>
      </c>
      <c r="H392" s="48" t="n">
        <f aca="false">MAX(0,(C392*'Model Inputs &amp; Assumptions'!$N$28+E392*'Model Inputs &amp; Assumptions'!$O$28+G392*'Model Inputs &amp; Assumptions'!$P$28)*EXP('Model Inputs &amp; Assumptions'!$Q$28*S392-'Model Inputs &amp; Assumptions'!$Q$28^2/2))</f>
        <v>16.9850000315601</v>
      </c>
      <c r="I392" s="49" t="n">
        <f aca="false">IF('Model Inputs &amp; Assumptions'!$H$28="Fixed",'Model Inputs &amp; Assumptions'!$I$28*'Model Inputs &amp; Assumptions'!$K$28,IF('Model Inputs &amp; Assumptions'!$H$28="CPM",'Model Inputs &amp; Assumptions'!$I$28*'Model Inputs &amp; Assumptions'!$K$28*C392/1000,IF('Model Inputs &amp; Assumptions'!$H$28="CPC",'Model Inputs &amp; Assumptions'!$I$28*'Model Inputs &amp; Assumptions'!$K$28*G392,0)))</f>
        <v>3763.435</v>
      </c>
      <c r="J392" s="50" t="n">
        <f aca="false">H392*INDEX('Model Inputs &amp; Assumptions'!$D$40:$D$42,MATCH('Model Inputs &amp; Assumptions'!$L$28,'Model Inputs &amp; Assumptions'!$A$40:$A$42,0))*INDEX('Model Inputs &amp; Assumptions'!$H$40:$H$42,MATCH('Model Inputs &amp; Assumptions'!$L$28,'Model Inputs &amp; Assumptions'!$A$40:$A$42,0))</f>
        <v>144372.500268261</v>
      </c>
      <c r="K392" s="49" t="n">
        <f aca="false">H392*INDEX('Model Inputs &amp; Assumptions'!$G$40:$G$42,MATCH('Model Inputs &amp; Assumptions'!$L$28,'Model Inputs &amp; Assumptions'!$A$40:$A$42,0))*INDEX('Model Inputs &amp; Assumptions'!$H$40:$H$42,MATCH('Model Inputs &amp; Assumptions'!$L$28,'Model Inputs &amp; Assumptions'!$A$40:$A$42,0))</f>
        <v>3248.38125603586</v>
      </c>
      <c r="L392" s="51" t="n">
        <f aca="false">IFERROR(K392/I392,0)</f>
        <v>0.863142649211655</v>
      </c>
      <c r="M392" s="49" t="n">
        <f aca="false">IFERROR(I392/H392,0)</f>
        <v>221.574035502332</v>
      </c>
      <c r="N392" s="52" t="str">
        <f aca="false">'Model Inputs &amp; Assumptions'!$L$28</f>
        <v>PRD-EUAI</v>
      </c>
      <c r="P392" s="53" t="n">
        <v>1.368101</v>
      </c>
      <c r="Q392" s="53" t="n">
        <v>-1.681716</v>
      </c>
      <c r="R392" s="53" t="n">
        <v>-0.093697</v>
      </c>
      <c r="S392" s="53" t="n">
        <v>-1.125124</v>
      </c>
    </row>
    <row r="393" customFormat="false" ht="15" hidden="false" customHeight="false" outlineLevel="0" collapsed="false">
      <c r="A393" s="43" t="n">
        <v>390</v>
      </c>
      <c r="B393" s="44" t="str">
        <f aca="false">'Model Inputs &amp; Assumptions'!$B$28</f>
        <v>finanzen.net — Q1 Awareness Burst</v>
      </c>
      <c r="C393" s="45" t="n">
        <f aca="false">ROUND(MAX(0,'Model Inputs &amp; Assumptions'!$S$28*EXP('Model Inputs &amp; Assumptions'!$T$28*P393-'Model Inputs &amp; Assumptions'!$T$28^2/2)),0)</f>
        <v>506847</v>
      </c>
      <c r="D393" s="46" t="n">
        <f aca="false">MIN(1,'Model Inputs &amp; Assumptions'!$U$28*EXP('Model Inputs &amp; Assumptions'!$V$28*Q393-'Model Inputs &amp; Assumptions'!$V$28^2/2))</f>
        <v>0</v>
      </c>
      <c r="E393" s="45" t="n">
        <f aca="false">ROUND(C393*D393,0)</f>
        <v>0</v>
      </c>
      <c r="F393" s="47" t="n">
        <f aca="false">MIN(1,'Model Inputs &amp; Assumptions'!$W$28*EXP('Model Inputs &amp; Assumptions'!$X$28*R393-'Model Inputs &amp; Assumptions'!$X$28^2/2))</f>
        <v>0.00139070780269129</v>
      </c>
      <c r="G393" s="45" t="n">
        <f aca="false">ROUND(C393*F393,0)</f>
        <v>705</v>
      </c>
      <c r="H393" s="48" t="n">
        <f aca="false">MAX(0,(C393*'Model Inputs &amp; Assumptions'!$N$28+E393*'Model Inputs &amp; Assumptions'!$O$28+G393*'Model Inputs &amp; Assumptions'!$P$28)*EXP('Model Inputs &amp; Assumptions'!$Q$28*S393-'Model Inputs &amp; Assumptions'!$Q$28^2/2))</f>
        <v>23.0746590717789</v>
      </c>
      <c r="I393" s="49" t="n">
        <f aca="false">IF('Model Inputs &amp; Assumptions'!$H$28="Fixed",'Model Inputs &amp; Assumptions'!$I$28*'Model Inputs &amp; Assumptions'!$K$28,IF('Model Inputs &amp; Assumptions'!$H$28="CPM",'Model Inputs &amp; Assumptions'!$I$28*'Model Inputs &amp; Assumptions'!$K$28*C393/1000,IF('Model Inputs &amp; Assumptions'!$H$28="CPC",'Model Inputs &amp; Assumptions'!$I$28*'Model Inputs &amp; Assumptions'!$K$28*G393,0)))</f>
        <v>3294.5055</v>
      </c>
      <c r="J393" s="50" t="n">
        <f aca="false">H393*INDEX('Model Inputs &amp; Assumptions'!$D$40:$D$42,MATCH('Model Inputs &amp; Assumptions'!$L$28,'Model Inputs &amp; Assumptions'!$A$40:$A$42,0))*INDEX('Model Inputs &amp; Assumptions'!$H$40:$H$42,MATCH('Model Inputs &amp; Assumptions'!$L$28,'Model Inputs &amp; Assumptions'!$A$40:$A$42,0))</f>
        <v>196134.602110121</v>
      </c>
      <c r="K393" s="49" t="n">
        <f aca="false">H393*INDEX('Model Inputs &amp; Assumptions'!$G$40:$G$42,MATCH('Model Inputs &amp; Assumptions'!$L$28,'Model Inputs &amp; Assumptions'!$A$40:$A$42,0))*INDEX('Model Inputs &amp; Assumptions'!$H$40:$H$42,MATCH('Model Inputs &amp; Assumptions'!$L$28,'Model Inputs &amp; Assumptions'!$A$40:$A$42,0))</f>
        <v>4413.02854747771</v>
      </c>
      <c r="L393" s="51" t="n">
        <f aca="false">IFERROR(K393/I393,0)</f>
        <v>1.33951166494568</v>
      </c>
      <c r="M393" s="49" t="n">
        <f aca="false">IFERROR(I393/H393,0)</f>
        <v>142.775912300663</v>
      </c>
      <c r="N393" s="52" t="str">
        <f aca="false">'Model Inputs &amp; Assumptions'!$L$28</f>
        <v>PRD-EUAI</v>
      </c>
      <c r="P393" s="53" t="n">
        <v>0.62879</v>
      </c>
      <c r="Q393" s="53" t="n">
        <v>-2.197867</v>
      </c>
      <c r="R393" s="53" t="n">
        <v>-0.233874</v>
      </c>
      <c r="S393" s="53" t="n">
        <v>0.440317</v>
      </c>
    </row>
    <row r="394" customFormat="false" ht="15" hidden="false" customHeight="false" outlineLevel="0" collapsed="false">
      <c r="A394" s="43" t="n">
        <v>391</v>
      </c>
      <c r="B394" s="44" t="str">
        <f aca="false">'Model Inputs &amp; Assumptions'!$B$28</f>
        <v>finanzen.net — Q1 Awareness Burst</v>
      </c>
      <c r="C394" s="45" t="n">
        <f aca="false">ROUND(MAX(0,'Model Inputs &amp; Assumptions'!$S$28*EXP('Model Inputs &amp; Assumptions'!$T$28*P394-'Model Inputs &amp; Assumptions'!$T$28^2/2)),0)</f>
        <v>393358</v>
      </c>
      <c r="D394" s="46" t="n">
        <f aca="false">MIN(1,'Model Inputs &amp; Assumptions'!$U$28*EXP('Model Inputs &amp; Assumptions'!$V$28*Q394-'Model Inputs &amp; Assumptions'!$V$28^2/2))</f>
        <v>0</v>
      </c>
      <c r="E394" s="45" t="n">
        <f aca="false">ROUND(C394*D394,0)</f>
        <v>0</v>
      </c>
      <c r="F394" s="47" t="n">
        <f aca="false">MIN(1,'Model Inputs &amp; Assumptions'!$W$28*EXP('Model Inputs &amp; Assumptions'!$X$28*R394-'Model Inputs &amp; Assumptions'!$X$28^2/2))</f>
        <v>0.00124724927703069</v>
      </c>
      <c r="G394" s="45" t="n">
        <f aca="false">ROUND(C394*F394,0)</f>
        <v>491</v>
      </c>
      <c r="H394" s="48" t="n">
        <f aca="false">MAX(0,(C394*'Model Inputs &amp; Assumptions'!$N$28+E394*'Model Inputs &amp; Assumptions'!$O$28+G394*'Model Inputs &amp; Assumptions'!$P$28)*EXP('Model Inputs &amp; Assumptions'!$Q$28*S394-'Model Inputs &amp; Assumptions'!$Q$28^2/2))</f>
        <v>16.1741150913734</v>
      </c>
      <c r="I394" s="49" t="n">
        <f aca="false">IF('Model Inputs &amp; Assumptions'!$H$28="Fixed",'Model Inputs &amp; Assumptions'!$I$28*'Model Inputs &amp; Assumptions'!$K$28,IF('Model Inputs &amp; Assumptions'!$H$28="CPM",'Model Inputs &amp; Assumptions'!$I$28*'Model Inputs &amp; Assumptions'!$K$28*C394/1000,IF('Model Inputs &amp; Assumptions'!$H$28="CPC",'Model Inputs &amp; Assumptions'!$I$28*'Model Inputs &amp; Assumptions'!$K$28*G394,0)))</f>
        <v>2556.827</v>
      </c>
      <c r="J394" s="50" t="n">
        <f aca="false">H394*INDEX('Model Inputs &amp; Assumptions'!$D$40:$D$42,MATCH('Model Inputs &amp; Assumptions'!$L$28,'Model Inputs &amp; Assumptions'!$A$40:$A$42,0))*INDEX('Model Inputs &amp; Assumptions'!$H$40:$H$42,MATCH('Model Inputs &amp; Assumptions'!$L$28,'Model Inputs &amp; Assumptions'!$A$40:$A$42,0))</f>
        <v>137479.978276674</v>
      </c>
      <c r="K394" s="49" t="n">
        <f aca="false">H394*INDEX('Model Inputs &amp; Assumptions'!$G$40:$G$42,MATCH('Model Inputs &amp; Assumptions'!$L$28,'Model Inputs &amp; Assumptions'!$A$40:$A$42,0))*INDEX('Model Inputs &amp; Assumptions'!$H$40:$H$42,MATCH('Model Inputs &amp; Assumptions'!$L$28,'Model Inputs &amp; Assumptions'!$A$40:$A$42,0))</f>
        <v>3093.29951122516</v>
      </c>
      <c r="L394" s="51" t="n">
        <f aca="false">IFERROR(K394/I394,0)</f>
        <v>1.20981963630123</v>
      </c>
      <c r="M394" s="49" t="n">
        <f aca="false">IFERROR(I394/H394,0)</f>
        <v>158.081414998939</v>
      </c>
      <c r="N394" s="52" t="str">
        <f aca="false">'Model Inputs &amp; Assumptions'!$L$28</f>
        <v>PRD-EUAI</v>
      </c>
      <c r="P394" s="53" t="n">
        <v>-0.779474</v>
      </c>
      <c r="Q394" s="53" t="n">
        <v>-0.243282</v>
      </c>
      <c r="R394" s="53" t="n">
        <v>-0.728748</v>
      </c>
      <c r="S394" s="53" t="n">
        <v>0.461753</v>
      </c>
    </row>
    <row r="395" customFormat="false" ht="15" hidden="false" customHeight="false" outlineLevel="0" collapsed="false">
      <c r="A395" s="43" t="n">
        <v>392</v>
      </c>
      <c r="B395" s="44" t="str">
        <f aca="false">'Model Inputs &amp; Assumptions'!$B$28</f>
        <v>finanzen.net — Q1 Awareness Burst</v>
      </c>
      <c r="C395" s="45" t="n">
        <f aca="false">ROUND(MAX(0,'Model Inputs &amp; Assumptions'!$S$28*EXP('Model Inputs &amp; Assumptions'!$T$28*P395-'Model Inputs &amp; Assumptions'!$T$28^2/2)),0)</f>
        <v>408534</v>
      </c>
      <c r="D395" s="46" t="n">
        <f aca="false">MIN(1,'Model Inputs &amp; Assumptions'!$U$28*EXP('Model Inputs &amp; Assumptions'!$V$28*Q395-'Model Inputs &amp; Assumptions'!$V$28^2/2))</f>
        <v>0</v>
      </c>
      <c r="E395" s="45" t="n">
        <f aca="false">ROUND(C395*D395,0)</f>
        <v>0</v>
      </c>
      <c r="F395" s="47" t="n">
        <f aca="false">MIN(1,'Model Inputs &amp; Assumptions'!$W$28*EXP('Model Inputs &amp; Assumptions'!$X$28*R395-'Model Inputs &amp; Assumptions'!$X$28^2/2))</f>
        <v>0.00129008672927297</v>
      </c>
      <c r="G395" s="45" t="n">
        <f aca="false">ROUND(C395*F395,0)</f>
        <v>527</v>
      </c>
      <c r="H395" s="48" t="n">
        <f aca="false">MAX(0,(C395*'Model Inputs &amp; Assumptions'!$N$28+E395*'Model Inputs &amp; Assumptions'!$O$28+G395*'Model Inputs &amp; Assumptions'!$P$28)*EXP('Model Inputs &amp; Assumptions'!$Q$28*S395-'Model Inputs &amp; Assumptions'!$Q$28^2/2))</f>
        <v>10.6667022623502</v>
      </c>
      <c r="I395" s="49" t="n">
        <f aca="false">IF('Model Inputs &amp; Assumptions'!$H$28="Fixed",'Model Inputs &amp; Assumptions'!$I$28*'Model Inputs &amp; Assumptions'!$K$28,IF('Model Inputs &amp; Assumptions'!$H$28="CPM",'Model Inputs &amp; Assumptions'!$I$28*'Model Inputs &amp; Assumptions'!$K$28*C395/1000,IF('Model Inputs &amp; Assumptions'!$H$28="CPC",'Model Inputs &amp; Assumptions'!$I$28*'Model Inputs &amp; Assumptions'!$K$28*G395,0)))</f>
        <v>2655.471</v>
      </c>
      <c r="J395" s="50" t="n">
        <f aca="false">H395*INDEX('Model Inputs &amp; Assumptions'!$D$40:$D$42,MATCH('Model Inputs &amp; Assumptions'!$L$28,'Model Inputs &amp; Assumptions'!$A$40:$A$42,0))*INDEX('Model Inputs &amp; Assumptions'!$H$40:$H$42,MATCH('Model Inputs &amp; Assumptions'!$L$28,'Model Inputs &amp; Assumptions'!$A$40:$A$42,0))</f>
        <v>90666.9692299768</v>
      </c>
      <c r="K395" s="49" t="n">
        <f aca="false">H395*INDEX('Model Inputs &amp; Assumptions'!$G$40:$G$42,MATCH('Model Inputs &amp; Assumptions'!$L$28,'Model Inputs &amp; Assumptions'!$A$40:$A$42,0))*INDEX('Model Inputs &amp; Assumptions'!$H$40:$H$42,MATCH('Model Inputs &amp; Assumptions'!$L$28,'Model Inputs &amp; Assumptions'!$A$40:$A$42,0))</f>
        <v>2040.00680767448</v>
      </c>
      <c r="L395" s="51" t="n">
        <f aca="false">IFERROR(K395/I395,0)</f>
        <v>0.768227861526063</v>
      </c>
      <c r="M395" s="49" t="n">
        <f aca="false">IFERROR(I395/H395,0)</f>
        <v>248.949575481534</v>
      </c>
      <c r="N395" s="52" t="str">
        <f aca="false">'Model Inputs &amp; Assumptions'!$L$28</f>
        <v>PRD-EUAI</v>
      </c>
      <c r="P395" s="53" t="n">
        <v>-0.569175</v>
      </c>
      <c r="Q395" s="53" t="n">
        <v>1.419087</v>
      </c>
      <c r="R395" s="53" t="n">
        <v>-0.575253</v>
      </c>
      <c r="S395" s="53" t="n">
        <v>-1.161719</v>
      </c>
    </row>
    <row r="396" customFormat="false" ht="15" hidden="false" customHeight="false" outlineLevel="0" collapsed="false">
      <c r="A396" s="43" t="n">
        <v>393</v>
      </c>
      <c r="B396" s="44" t="str">
        <f aca="false">'Model Inputs &amp; Assumptions'!$B$28</f>
        <v>finanzen.net — Q1 Awareness Burst</v>
      </c>
      <c r="C396" s="45" t="n">
        <f aca="false">ROUND(MAX(0,'Model Inputs &amp; Assumptions'!$S$28*EXP('Model Inputs &amp; Assumptions'!$T$28*P396-'Model Inputs &amp; Assumptions'!$T$28^2/2)),0)</f>
        <v>379997</v>
      </c>
      <c r="D396" s="46" t="n">
        <f aca="false">MIN(1,'Model Inputs &amp; Assumptions'!$U$28*EXP('Model Inputs &amp; Assumptions'!$V$28*Q396-'Model Inputs &amp; Assumptions'!$V$28^2/2))</f>
        <v>0</v>
      </c>
      <c r="E396" s="45" t="n">
        <f aca="false">ROUND(C396*D396,0)</f>
        <v>0</v>
      </c>
      <c r="F396" s="47" t="n">
        <f aca="false">MIN(1,'Model Inputs &amp; Assumptions'!$W$28*EXP('Model Inputs &amp; Assumptions'!$X$28*R396-'Model Inputs &amp; Assumptions'!$X$28^2/2))</f>
        <v>0.00159748169409457</v>
      </c>
      <c r="G396" s="45" t="n">
        <f aca="false">ROUND(C396*F396,0)</f>
        <v>607</v>
      </c>
      <c r="H396" s="48" t="n">
        <f aca="false">MAX(0,(C396*'Model Inputs &amp; Assumptions'!$N$28+E396*'Model Inputs &amp; Assumptions'!$O$28+G396*'Model Inputs &amp; Assumptions'!$P$28)*EXP('Model Inputs &amp; Assumptions'!$Q$28*S396-'Model Inputs &amp; Assumptions'!$Q$28^2/2))</f>
        <v>12.2726780358648</v>
      </c>
      <c r="I396" s="49" t="n">
        <f aca="false">IF('Model Inputs &amp; Assumptions'!$H$28="Fixed",'Model Inputs &amp; Assumptions'!$I$28*'Model Inputs &amp; Assumptions'!$K$28,IF('Model Inputs &amp; Assumptions'!$H$28="CPM",'Model Inputs &amp; Assumptions'!$I$28*'Model Inputs &amp; Assumptions'!$K$28*C396/1000,IF('Model Inputs &amp; Assumptions'!$H$28="CPC",'Model Inputs &amp; Assumptions'!$I$28*'Model Inputs &amp; Assumptions'!$K$28*G396,0)))</f>
        <v>2469.9805</v>
      </c>
      <c r="J396" s="50" t="n">
        <f aca="false">H396*INDEX('Model Inputs &amp; Assumptions'!$D$40:$D$42,MATCH('Model Inputs &amp; Assumptions'!$L$28,'Model Inputs &amp; Assumptions'!$A$40:$A$42,0))*INDEX('Model Inputs &amp; Assumptions'!$H$40:$H$42,MATCH('Model Inputs &amp; Assumptions'!$L$28,'Model Inputs &amp; Assumptions'!$A$40:$A$42,0))</f>
        <v>104317.763304851</v>
      </c>
      <c r="K396" s="49" t="n">
        <f aca="false">H396*INDEX('Model Inputs &amp; Assumptions'!$G$40:$G$42,MATCH('Model Inputs &amp; Assumptions'!$L$28,'Model Inputs &amp; Assumptions'!$A$40:$A$42,0))*INDEX('Model Inputs &amp; Assumptions'!$H$40:$H$42,MATCH('Model Inputs &amp; Assumptions'!$L$28,'Model Inputs &amp; Assumptions'!$A$40:$A$42,0))</f>
        <v>2347.14967435915</v>
      </c>
      <c r="L396" s="51" t="n">
        <f aca="false">IFERROR(K396/I396,0)</f>
        <v>0.950270528192085</v>
      </c>
      <c r="M396" s="49" t="n">
        <f aca="false">IFERROR(I396/H396,0)</f>
        <v>201.258477797747</v>
      </c>
      <c r="N396" s="52" t="str">
        <f aca="false">'Model Inputs &amp; Assumptions'!$L$28</f>
        <v>PRD-EUAI</v>
      </c>
      <c r="P396" s="53" t="n">
        <v>-0.971455</v>
      </c>
      <c r="Q396" s="53" t="n">
        <v>1.940064</v>
      </c>
      <c r="R396" s="53" t="n">
        <v>0.396197</v>
      </c>
      <c r="S396" s="53" t="n">
        <v>-1.165318</v>
      </c>
    </row>
    <row r="397" customFormat="false" ht="15" hidden="false" customHeight="false" outlineLevel="0" collapsed="false">
      <c r="A397" s="43" t="n">
        <v>394</v>
      </c>
      <c r="B397" s="44" t="str">
        <f aca="false">'Model Inputs &amp; Assumptions'!$B$28</f>
        <v>finanzen.net — Q1 Awareness Burst</v>
      </c>
      <c r="C397" s="45" t="n">
        <f aca="false">ROUND(MAX(0,'Model Inputs &amp; Assumptions'!$S$28*EXP('Model Inputs &amp; Assumptions'!$T$28*P397-'Model Inputs &amp; Assumptions'!$T$28^2/2)),0)</f>
        <v>566416</v>
      </c>
      <c r="D397" s="46" t="n">
        <f aca="false">MIN(1,'Model Inputs &amp; Assumptions'!$U$28*EXP('Model Inputs &amp; Assumptions'!$V$28*Q397-'Model Inputs &amp; Assumptions'!$V$28^2/2))</f>
        <v>0</v>
      </c>
      <c r="E397" s="45" t="n">
        <f aca="false">ROUND(C397*D397,0)</f>
        <v>0</v>
      </c>
      <c r="F397" s="47" t="n">
        <f aca="false">MIN(1,'Model Inputs &amp; Assumptions'!$W$28*EXP('Model Inputs &amp; Assumptions'!$X$28*R397-'Model Inputs &amp; Assumptions'!$X$28^2/2))</f>
        <v>0.00106409929412164</v>
      </c>
      <c r="G397" s="45" t="n">
        <f aca="false">ROUND(C397*F397,0)</f>
        <v>603</v>
      </c>
      <c r="H397" s="48" t="n">
        <f aca="false">MAX(0,(C397*'Model Inputs &amp; Assumptions'!$N$28+E397*'Model Inputs &amp; Assumptions'!$O$28+G397*'Model Inputs &amp; Assumptions'!$P$28)*EXP('Model Inputs &amp; Assumptions'!$Q$28*S397-'Model Inputs &amp; Assumptions'!$Q$28^2/2))</f>
        <v>17.8654414126553</v>
      </c>
      <c r="I397" s="49" t="n">
        <f aca="false">IF('Model Inputs &amp; Assumptions'!$H$28="Fixed",'Model Inputs &amp; Assumptions'!$I$28*'Model Inputs &amp; Assumptions'!$K$28,IF('Model Inputs &amp; Assumptions'!$H$28="CPM",'Model Inputs &amp; Assumptions'!$I$28*'Model Inputs &amp; Assumptions'!$K$28*C397/1000,IF('Model Inputs &amp; Assumptions'!$H$28="CPC",'Model Inputs &amp; Assumptions'!$I$28*'Model Inputs &amp; Assumptions'!$K$28*G397,0)))</f>
        <v>3681.704</v>
      </c>
      <c r="J397" s="50" t="n">
        <f aca="false">H397*INDEX('Model Inputs &amp; Assumptions'!$D$40:$D$42,MATCH('Model Inputs &amp; Assumptions'!$L$28,'Model Inputs &amp; Assumptions'!$A$40:$A$42,0))*INDEX('Model Inputs &amp; Assumptions'!$H$40:$H$42,MATCH('Model Inputs &amp; Assumptions'!$L$28,'Model Inputs &amp; Assumptions'!$A$40:$A$42,0))</f>
        <v>151856.25200757</v>
      </c>
      <c r="K397" s="49" t="n">
        <f aca="false">H397*INDEX('Model Inputs &amp; Assumptions'!$G$40:$G$42,MATCH('Model Inputs &amp; Assumptions'!$L$28,'Model Inputs &amp; Assumptions'!$A$40:$A$42,0))*INDEX('Model Inputs &amp; Assumptions'!$H$40:$H$42,MATCH('Model Inputs &amp; Assumptions'!$L$28,'Model Inputs &amp; Assumptions'!$A$40:$A$42,0))</f>
        <v>3416.76567017033</v>
      </c>
      <c r="L397" s="51" t="n">
        <f aca="false">IFERROR(K397/I397,0)</f>
        <v>0.928039209607924</v>
      </c>
      <c r="M397" s="49" t="n">
        <f aca="false">IFERROR(I397/H397,0)</f>
        <v>206.079654846479</v>
      </c>
      <c r="N397" s="52" t="str">
        <f aca="false">'Model Inputs &amp; Assumptions'!$L$28</f>
        <v>PRD-EUAI</v>
      </c>
      <c r="P397" s="53" t="n">
        <v>1.246127</v>
      </c>
      <c r="Q397" s="53" t="n">
        <v>1.312779</v>
      </c>
      <c r="R397" s="53" t="n">
        <v>-1.45062</v>
      </c>
      <c r="S397" s="53" t="n">
        <v>0.108363</v>
      </c>
    </row>
    <row r="398" customFormat="false" ht="15" hidden="false" customHeight="false" outlineLevel="0" collapsed="false">
      <c r="A398" s="43" t="n">
        <v>395</v>
      </c>
      <c r="B398" s="44" t="str">
        <f aca="false">'Model Inputs &amp; Assumptions'!$B$28</f>
        <v>finanzen.net — Q1 Awareness Burst</v>
      </c>
      <c r="C398" s="45" t="n">
        <f aca="false">ROUND(MAX(0,'Model Inputs &amp; Assumptions'!$S$28*EXP('Model Inputs &amp; Assumptions'!$T$28*P398-'Model Inputs &amp; Assumptions'!$T$28^2/2)),0)</f>
        <v>489771</v>
      </c>
      <c r="D398" s="46" t="n">
        <f aca="false">MIN(1,'Model Inputs &amp; Assumptions'!$U$28*EXP('Model Inputs &amp; Assumptions'!$V$28*Q398-'Model Inputs &amp; Assumptions'!$V$28^2/2))</f>
        <v>0</v>
      </c>
      <c r="E398" s="45" t="n">
        <f aca="false">ROUND(C398*D398,0)</f>
        <v>0</v>
      </c>
      <c r="F398" s="47" t="n">
        <f aca="false">MIN(1,'Model Inputs &amp; Assumptions'!$W$28*EXP('Model Inputs &amp; Assumptions'!$X$28*R398-'Model Inputs &amp; Assumptions'!$X$28^2/2))</f>
        <v>0.00134110028883731</v>
      </c>
      <c r="G398" s="45" t="n">
        <f aca="false">ROUND(C398*F398,0)</f>
        <v>657</v>
      </c>
      <c r="H398" s="48" t="n">
        <f aca="false">MAX(0,(C398*'Model Inputs &amp; Assumptions'!$N$28+E398*'Model Inputs &amp; Assumptions'!$O$28+G398*'Model Inputs &amp; Assumptions'!$P$28)*EXP('Model Inputs &amp; Assumptions'!$Q$28*S398-'Model Inputs &amp; Assumptions'!$Q$28^2/2))</f>
        <v>19.0406357905139</v>
      </c>
      <c r="I398" s="49" t="n">
        <f aca="false">IF('Model Inputs &amp; Assumptions'!$H$28="Fixed",'Model Inputs &amp; Assumptions'!$I$28*'Model Inputs &amp; Assumptions'!$K$28,IF('Model Inputs &amp; Assumptions'!$H$28="CPM",'Model Inputs &amp; Assumptions'!$I$28*'Model Inputs &amp; Assumptions'!$K$28*C398/1000,IF('Model Inputs &amp; Assumptions'!$H$28="CPC",'Model Inputs &amp; Assumptions'!$I$28*'Model Inputs &amp; Assumptions'!$K$28*G398,0)))</f>
        <v>3183.5115</v>
      </c>
      <c r="J398" s="50" t="n">
        <f aca="false">H398*INDEX('Model Inputs &amp; Assumptions'!$D$40:$D$42,MATCH('Model Inputs &amp; Assumptions'!$L$28,'Model Inputs &amp; Assumptions'!$A$40:$A$42,0))*INDEX('Model Inputs &amp; Assumptions'!$H$40:$H$42,MATCH('Model Inputs &amp; Assumptions'!$L$28,'Model Inputs &amp; Assumptions'!$A$40:$A$42,0))</f>
        <v>161845.404219368</v>
      </c>
      <c r="K398" s="49" t="n">
        <f aca="false">H398*INDEX('Model Inputs &amp; Assumptions'!$G$40:$G$42,MATCH('Model Inputs &amp; Assumptions'!$L$28,'Model Inputs &amp; Assumptions'!$A$40:$A$42,0))*INDEX('Model Inputs &amp; Assumptions'!$H$40:$H$42,MATCH('Model Inputs &amp; Assumptions'!$L$28,'Model Inputs &amp; Assumptions'!$A$40:$A$42,0))</f>
        <v>3641.52159493578</v>
      </c>
      <c r="L398" s="51" t="n">
        <f aca="false">IFERROR(K398/I398,0)</f>
        <v>1.1438694645632</v>
      </c>
      <c r="M398" s="49" t="n">
        <f aca="false">IFERROR(I398/H398,0)</f>
        <v>167.195651186503</v>
      </c>
      <c r="N398" s="52" t="str">
        <f aca="false">'Model Inputs &amp; Assumptions'!$L$28</f>
        <v>PRD-EUAI</v>
      </c>
      <c r="P398" s="53" t="n">
        <v>0.438393</v>
      </c>
      <c r="Q398" s="53" t="n">
        <v>0.90077</v>
      </c>
      <c r="R398" s="53" t="n">
        <v>-0.398976</v>
      </c>
      <c r="S398" s="53" t="n">
        <v>0.034831</v>
      </c>
    </row>
    <row r="399" customFormat="false" ht="15" hidden="false" customHeight="false" outlineLevel="0" collapsed="false">
      <c r="A399" s="43" t="n">
        <v>396</v>
      </c>
      <c r="B399" s="44" t="str">
        <f aca="false">'Model Inputs &amp; Assumptions'!$B$28</f>
        <v>finanzen.net — Q1 Awareness Burst</v>
      </c>
      <c r="C399" s="45" t="n">
        <f aca="false">ROUND(MAX(0,'Model Inputs &amp; Assumptions'!$S$28*EXP('Model Inputs &amp; Assumptions'!$T$28*P399-'Model Inputs &amp; Assumptions'!$T$28^2/2)),0)</f>
        <v>471185</v>
      </c>
      <c r="D399" s="46" t="n">
        <f aca="false">MIN(1,'Model Inputs &amp; Assumptions'!$U$28*EXP('Model Inputs &amp; Assumptions'!$V$28*Q399-'Model Inputs &amp; Assumptions'!$V$28^2/2))</f>
        <v>0</v>
      </c>
      <c r="E399" s="45" t="n">
        <f aca="false">ROUND(C399*D399,0)</f>
        <v>0</v>
      </c>
      <c r="F399" s="47" t="n">
        <f aca="false">MIN(1,'Model Inputs &amp; Assumptions'!$W$28*EXP('Model Inputs &amp; Assumptions'!$X$28*R399-'Model Inputs &amp; Assumptions'!$X$28^2/2))</f>
        <v>0.00132221318529645</v>
      </c>
      <c r="G399" s="45" t="n">
        <f aca="false">ROUND(C399*F399,0)</f>
        <v>623</v>
      </c>
      <c r="H399" s="48" t="n">
        <f aca="false">MAX(0,(C399*'Model Inputs &amp; Assumptions'!$N$28+E399*'Model Inputs &amp; Assumptions'!$O$28+G399*'Model Inputs &amp; Assumptions'!$P$28)*EXP('Model Inputs &amp; Assumptions'!$Q$28*S399-'Model Inputs &amp; Assumptions'!$Q$28^2/2))</f>
        <v>14.1589597483513</v>
      </c>
      <c r="I399" s="49" t="n">
        <f aca="false">IF('Model Inputs &amp; Assumptions'!$H$28="Fixed",'Model Inputs &amp; Assumptions'!$I$28*'Model Inputs &amp; Assumptions'!$K$28,IF('Model Inputs &amp; Assumptions'!$H$28="CPM",'Model Inputs &amp; Assumptions'!$I$28*'Model Inputs &amp; Assumptions'!$K$28*C399/1000,IF('Model Inputs &amp; Assumptions'!$H$28="CPC",'Model Inputs &amp; Assumptions'!$I$28*'Model Inputs &amp; Assumptions'!$K$28*G399,0)))</f>
        <v>3062.7025</v>
      </c>
      <c r="J399" s="50" t="n">
        <f aca="false">H399*INDEX('Model Inputs &amp; Assumptions'!$D$40:$D$42,MATCH('Model Inputs &amp; Assumptions'!$L$28,'Model Inputs &amp; Assumptions'!$A$40:$A$42,0))*INDEX('Model Inputs &amp; Assumptions'!$H$40:$H$42,MATCH('Model Inputs &amp; Assumptions'!$L$28,'Model Inputs &amp; Assumptions'!$A$40:$A$42,0))</f>
        <v>120351.157860986</v>
      </c>
      <c r="K399" s="49" t="n">
        <f aca="false">H399*INDEX('Model Inputs &amp; Assumptions'!$G$40:$G$42,MATCH('Model Inputs &amp; Assumptions'!$L$28,'Model Inputs &amp; Assumptions'!$A$40:$A$42,0))*INDEX('Model Inputs &amp; Assumptions'!$H$40:$H$42,MATCH('Model Inputs &amp; Assumptions'!$L$28,'Model Inputs &amp; Assumptions'!$A$40:$A$42,0))</f>
        <v>2707.90105187219</v>
      </c>
      <c r="L399" s="51" t="n">
        <f aca="false">IFERROR(K399/I399,0)</f>
        <v>0.884154125930347</v>
      </c>
      <c r="M399" s="49" t="n">
        <f aca="false">IFERROR(I399/H399,0)</f>
        <v>216.308440339808</v>
      </c>
      <c r="N399" s="52" t="str">
        <f aca="false">'Model Inputs &amp; Assumptions'!$L$28</f>
        <v>PRD-EUAI</v>
      </c>
      <c r="P399" s="53" t="n">
        <v>0.223466</v>
      </c>
      <c r="Q399" s="53" t="n">
        <v>0.37763</v>
      </c>
      <c r="R399" s="53" t="n">
        <v>-0.463446</v>
      </c>
      <c r="S399" s="53" t="n">
        <v>-0.77547</v>
      </c>
    </row>
    <row r="400" customFormat="false" ht="15" hidden="false" customHeight="false" outlineLevel="0" collapsed="false">
      <c r="A400" s="43" t="n">
        <v>397</v>
      </c>
      <c r="B400" s="44" t="str">
        <f aca="false">'Model Inputs &amp; Assumptions'!$B$28</f>
        <v>finanzen.net — Q1 Awareness Burst</v>
      </c>
      <c r="C400" s="45" t="n">
        <f aca="false">ROUND(MAX(0,'Model Inputs &amp; Assumptions'!$S$28*EXP('Model Inputs &amp; Assumptions'!$T$28*P400-'Model Inputs &amp; Assumptions'!$T$28^2/2)),0)</f>
        <v>610950</v>
      </c>
      <c r="D400" s="46" t="n">
        <f aca="false">MIN(1,'Model Inputs &amp; Assumptions'!$U$28*EXP('Model Inputs &amp; Assumptions'!$V$28*Q400-'Model Inputs &amp; Assumptions'!$V$28^2/2))</f>
        <v>0</v>
      </c>
      <c r="E400" s="45" t="n">
        <f aca="false">ROUND(C400*D400,0)</f>
        <v>0</v>
      </c>
      <c r="F400" s="47" t="n">
        <f aca="false">MIN(1,'Model Inputs &amp; Assumptions'!$W$28*EXP('Model Inputs &amp; Assumptions'!$X$28*R400-'Model Inputs &amp; Assumptions'!$X$28^2/2))</f>
        <v>0.00159050565567076</v>
      </c>
      <c r="G400" s="45" t="n">
        <f aca="false">ROUND(C400*F400,0)</f>
        <v>972</v>
      </c>
      <c r="H400" s="48" t="n">
        <f aca="false">MAX(0,(C400*'Model Inputs &amp; Assumptions'!$N$28+E400*'Model Inputs &amp; Assumptions'!$O$28+G400*'Model Inputs &amp; Assumptions'!$P$28)*EXP('Model Inputs &amp; Assumptions'!$Q$28*S400-'Model Inputs &amp; Assumptions'!$Q$28^2/2))</f>
        <v>28.3000934606571</v>
      </c>
      <c r="I400" s="49" t="n">
        <f aca="false">IF('Model Inputs &amp; Assumptions'!$H$28="Fixed",'Model Inputs &amp; Assumptions'!$I$28*'Model Inputs &amp; Assumptions'!$K$28,IF('Model Inputs &amp; Assumptions'!$H$28="CPM",'Model Inputs &amp; Assumptions'!$I$28*'Model Inputs &amp; Assumptions'!$K$28*C400/1000,IF('Model Inputs &amp; Assumptions'!$H$28="CPC",'Model Inputs &amp; Assumptions'!$I$28*'Model Inputs &amp; Assumptions'!$K$28*G400,0)))</f>
        <v>3971.175</v>
      </c>
      <c r="J400" s="50" t="n">
        <f aca="false">H400*INDEX('Model Inputs &amp; Assumptions'!$D$40:$D$42,MATCH('Model Inputs &amp; Assumptions'!$L$28,'Model Inputs &amp; Assumptions'!$A$40:$A$42,0))*INDEX('Model Inputs &amp; Assumptions'!$H$40:$H$42,MATCH('Model Inputs &amp; Assumptions'!$L$28,'Model Inputs &amp; Assumptions'!$A$40:$A$42,0))</f>
        <v>240550.794415586</v>
      </c>
      <c r="K400" s="49" t="n">
        <f aca="false">H400*INDEX('Model Inputs &amp; Assumptions'!$G$40:$G$42,MATCH('Model Inputs &amp; Assumptions'!$L$28,'Model Inputs &amp; Assumptions'!$A$40:$A$42,0))*INDEX('Model Inputs &amp; Assumptions'!$H$40:$H$42,MATCH('Model Inputs &amp; Assumptions'!$L$28,'Model Inputs &amp; Assumptions'!$A$40:$A$42,0))</f>
        <v>5412.39287435068</v>
      </c>
      <c r="L400" s="51" t="n">
        <f aca="false">IFERROR(K400/I400,0)</f>
        <v>1.3629197591017</v>
      </c>
      <c r="M400" s="49" t="n">
        <f aca="false">IFERROR(I400/H400,0)</f>
        <v>140.323741528301</v>
      </c>
      <c r="N400" s="52" t="str">
        <f aca="false">'Model Inputs &amp; Assumptions'!$L$28</f>
        <v>PRD-EUAI</v>
      </c>
      <c r="P400" s="53" t="n">
        <v>1.666605</v>
      </c>
      <c r="Q400" s="53" t="n">
        <v>1.765003</v>
      </c>
      <c r="R400" s="53" t="n">
        <v>0.376304</v>
      </c>
      <c r="S400" s="53" t="n">
        <v>0.050224</v>
      </c>
    </row>
    <row r="401" customFormat="false" ht="15" hidden="false" customHeight="false" outlineLevel="0" collapsed="false">
      <c r="A401" s="43" t="n">
        <v>398</v>
      </c>
      <c r="B401" s="44" t="str">
        <f aca="false">'Model Inputs &amp; Assumptions'!$B$28</f>
        <v>finanzen.net — Q1 Awareness Burst</v>
      </c>
      <c r="C401" s="45" t="n">
        <f aca="false">ROUND(MAX(0,'Model Inputs &amp; Assumptions'!$S$28*EXP('Model Inputs &amp; Assumptions'!$T$28*P401-'Model Inputs &amp; Assumptions'!$T$28^2/2)),0)</f>
        <v>453529</v>
      </c>
      <c r="D401" s="46" t="n">
        <f aca="false">MIN(1,'Model Inputs &amp; Assumptions'!$U$28*EXP('Model Inputs &amp; Assumptions'!$V$28*Q401-'Model Inputs &amp; Assumptions'!$V$28^2/2))</f>
        <v>0</v>
      </c>
      <c r="E401" s="45" t="n">
        <f aca="false">ROUND(C401*D401,0)</f>
        <v>0</v>
      </c>
      <c r="F401" s="47" t="n">
        <f aca="false">MIN(1,'Model Inputs &amp; Assumptions'!$W$28*EXP('Model Inputs &amp; Assumptions'!$X$28*R401-'Model Inputs &amp; Assumptions'!$X$28^2/2))</f>
        <v>0.00145030594120107</v>
      </c>
      <c r="G401" s="45" t="n">
        <f aca="false">ROUND(C401*F401,0)</f>
        <v>658</v>
      </c>
      <c r="H401" s="48" t="n">
        <f aca="false">MAX(0,(C401*'Model Inputs &amp; Assumptions'!$N$28+E401*'Model Inputs &amp; Assumptions'!$O$28+G401*'Model Inputs &amp; Assumptions'!$P$28)*EXP('Model Inputs &amp; Assumptions'!$Q$28*S401-'Model Inputs &amp; Assumptions'!$Q$28^2/2))</f>
        <v>19.0663963850011</v>
      </c>
      <c r="I401" s="49" t="n">
        <f aca="false">IF('Model Inputs &amp; Assumptions'!$H$28="Fixed",'Model Inputs &amp; Assumptions'!$I$28*'Model Inputs &amp; Assumptions'!$K$28,IF('Model Inputs &amp; Assumptions'!$H$28="CPM",'Model Inputs &amp; Assumptions'!$I$28*'Model Inputs &amp; Assumptions'!$K$28*C401/1000,IF('Model Inputs &amp; Assumptions'!$H$28="CPC",'Model Inputs &amp; Assumptions'!$I$28*'Model Inputs &amp; Assumptions'!$K$28*G401,0)))</f>
        <v>2947.9385</v>
      </c>
      <c r="J401" s="50" t="n">
        <f aca="false">H401*INDEX('Model Inputs &amp; Assumptions'!$D$40:$D$42,MATCH('Model Inputs &amp; Assumptions'!$L$28,'Model Inputs &amp; Assumptions'!$A$40:$A$42,0))*INDEX('Model Inputs &amp; Assumptions'!$H$40:$H$42,MATCH('Model Inputs &amp; Assumptions'!$L$28,'Model Inputs &amp; Assumptions'!$A$40:$A$42,0))</f>
        <v>162064.369272509</v>
      </c>
      <c r="K401" s="49" t="n">
        <f aca="false">H401*INDEX('Model Inputs &amp; Assumptions'!$G$40:$G$42,MATCH('Model Inputs &amp; Assumptions'!$L$28,'Model Inputs &amp; Assumptions'!$A$40:$A$42,0))*INDEX('Model Inputs &amp; Assumptions'!$H$40:$H$42,MATCH('Model Inputs &amp; Assumptions'!$L$28,'Model Inputs &amp; Assumptions'!$A$40:$A$42,0))</f>
        <v>3646.44830863145</v>
      </c>
      <c r="L401" s="51" t="n">
        <f aca="false">IFERROR(K401/I401,0)</f>
        <v>1.23694856884954</v>
      </c>
      <c r="M401" s="49" t="n">
        <f aca="false">IFERROR(I401/H401,0)</f>
        <v>154.61435084393</v>
      </c>
      <c r="N401" s="52" t="str">
        <f aca="false">'Model Inputs &amp; Assumptions'!$L$28</f>
        <v>PRD-EUAI</v>
      </c>
      <c r="P401" s="53" t="n">
        <v>0.011297</v>
      </c>
      <c r="Q401" s="53" t="n">
        <v>-0.027201</v>
      </c>
      <c r="R401" s="53" t="n">
        <v>-0.043139</v>
      </c>
      <c r="S401" s="53" t="n">
        <v>0.034268</v>
      </c>
    </row>
    <row r="402" customFormat="false" ht="15" hidden="false" customHeight="false" outlineLevel="0" collapsed="false">
      <c r="A402" s="43" t="n">
        <v>399</v>
      </c>
      <c r="B402" s="44" t="str">
        <f aca="false">'Model Inputs &amp; Assumptions'!$B$28</f>
        <v>finanzen.net — Q1 Awareness Burst</v>
      </c>
      <c r="C402" s="45" t="n">
        <f aca="false">ROUND(MAX(0,'Model Inputs &amp; Assumptions'!$S$28*EXP('Model Inputs &amp; Assumptions'!$T$28*P402-'Model Inputs &amp; Assumptions'!$T$28^2/2)),0)</f>
        <v>615648</v>
      </c>
      <c r="D402" s="46" t="n">
        <f aca="false">MIN(1,'Model Inputs &amp; Assumptions'!$U$28*EXP('Model Inputs &amp; Assumptions'!$V$28*Q402-'Model Inputs &amp; Assumptions'!$V$28^2/2))</f>
        <v>0</v>
      </c>
      <c r="E402" s="45" t="n">
        <f aca="false">ROUND(C402*D402,0)</f>
        <v>0</v>
      </c>
      <c r="F402" s="47" t="n">
        <f aca="false">MIN(1,'Model Inputs &amp; Assumptions'!$W$28*EXP('Model Inputs &amp; Assumptions'!$X$28*R402-'Model Inputs &amp; Assumptions'!$X$28^2/2))</f>
        <v>0.00107549887974098</v>
      </c>
      <c r="G402" s="45" t="n">
        <f aca="false">ROUND(C402*F402,0)</f>
        <v>662</v>
      </c>
      <c r="H402" s="48" t="n">
        <f aca="false">MAX(0,(C402*'Model Inputs &amp; Assumptions'!$N$28+E402*'Model Inputs &amp; Assumptions'!$O$28+G402*'Model Inputs &amp; Assumptions'!$P$28)*EXP('Model Inputs &amp; Assumptions'!$Q$28*S402-'Model Inputs &amp; Assumptions'!$Q$28^2/2))</f>
        <v>13.7609924910906</v>
      </c>
      <c r="I402" s="49" t="n">
        <f aca="false">IF('Model Inputs &amp; Assumptions'!$H$28="Fixed",'Model Inputs &amp; Assumptions'!$I$28*'Model Inputs &amp; Assumptions'!$K$28,IF('Model Inputs &amp; Assumptions'!$H$28="CPM",'Model Inputs &amp; Assumptions'!$I$28*'Model Inputs &amp; Assumptions'!$K$28*C402/1000,IF('Model Inputs &amp; Assumptions'!$H$28="CPC",'Model Inputs &amp; Assumptions'!$I$28*'Model Inputs &amp; Assumptions'!$K$28*G402,0)))</f>
        <v>4001.712</v>
      </c>
      <c r="J402" s="50" t="n">
        <f aca="false">H402*INDEX('Model Inputs &amp; Assumptions'!$D$40:$D$42,MATCH('Model Inputs &amp; Assumptions'!$L$28,'Model Inputs &amp; Assumptions'!$A$40:$A$42,0))*INDEX('Model Inputs &amp; Assumptions'!$H$40:$H$42,MATCH('Model Inputs &amp; Assumptions'!$L$28,'Model Inputs &amp; Assumptions'!$A$40:$A$42,0))</f>
        <v>116968.43617427</v>
      </c>
      <c r="K402" s="49" t="n">
        <f aca="false">H402*INDEX('Model Inputs &amp; Assumptions'!$G$40:$G$42,MATCH('Model Inputs &amp; Assumptions'!$L$28,'Model Inputs &amp; Assumptions'!$A$40:$A$42,0))*INDEX('Model Inputs &amp; Assumptions'!$H$40:$H$42,MATCH('Model Inputs &amp; Assumptions'!$L$28,'Model Inputs &amp; Assumptions'!$A$40:$A$42,0))</f>
        <v>2631.78981392108</v>
      </c>
      <c r="L402" s="51" t="n">
        <f aca="false">IFERROR(K402/I402,0)</f>
        <v>0.657665972444063</v>
      </c>
      <c r="M402" s="49" t="n">
        <f aca="false">IFERROR(I402/H402,0)</f>
        <v>290.801117912888</v>
      </c>
      <c r="N402" s="52" t="str">
        <f aca="false">'Model Inputs &amp; Assumptions'!$L$28</f>
        <v>PRD-EUAI</v>
      </c>
      <c r="P402" s="53" t="n">
        <v>1.709163</v>
      </c>
      <c r="Q402" s="53" t="n">
        <v>0.668828</v>
      </c>
      <c r="R402" s="53" t="n">
        <v>-1.402184</v>
      </c>
      <c r="S402" s="53" t="n">
        <v>-1.072899</v>
      </c>
    </row>
    <row r="403" customFormat="false" ht="15" hidden="false" customHeight="false" outlineLevel="0" collapsed="false">
      <c r="A403" s="43" t="n">
        <v>400</v>
      </c>
      <c r="B403" s="44" t="str">
        <f aca="false">'Model Inputs &amp; Assumptions'!$B$28</f>
        <v>finanzen.net — Q1 Awareness Burst</v>
      </c>
      <c r="C403" s="45" t="n">
        <f aca="false">ROUND(MAX(0,'Model Inputs &amp; Assumptions'!$S$28*EXP('Model Inputs &amp; Assumptions'!$T$28*P403-'Model Inputs &amp; Assumptions'!$T$28^2/2)),0)</f>
        <v>472975</v>
      </c>
      <c r="D403" s="46" t="n">
        <f aca="false">MIN(1,'Model Inputs &amp; Assumptions'!$U$28*EXP('Model Inputs &amp; Assumptions'!$V$28*Q403-'Model Inputs &amp; Assumptions'!$V$28^2/2))</f>
        <v>0</v>
      </c>
      <c r="E403" s="45" t="n">
        <f aca="false">ROUND(C403*D403,0)</f>
        <v>0</v>
      </c>
      <c r="F403" s="47" t="n">
        <f aca="false">MIN(1,'Model Inputs &amp; Assumptions'!$W$28*EXP('Model Inputs &amp; Assumptions'!$X$28*R403-'Model Inputs &amp; Assumptions'!$X$28^2/2))</f>
        <v>0.00130331649799736</v>
      </c>
      <c r="G403" s="45" t="n">
        <f aca="false">ROUND(C403*F403,0)</f>
        <v>616</v>
      </c>
      <c r="H403" s="48" t="n">
        <f aca="false">MAX(0,(C403*'Model Inputs &amp; Assumptions'!$N$28+E403*'Model Inputs &amp; Assumptions'!$O$28+G403*'Model Inputs &amp; Assumptions'!$P$28)*EXP('Model Inputs &amp; Assumptions'!$Q$28*S403-'Model Inputs &amp; Assumptions'!$Q$28^2/2))</f>
        <v>12.5241485699544</v>
      </c>
      <c r="I403" s="49" t="n">
        <f aca="false">IF('Model Inputs &amp; Assumptions'!$H$28="Fixed",'Model Inputs &amp; Assumptions'!$I$28*'Model Inputs &amp; Assumptions'!$K$28,IF('Model Inputs &amp; Assumptions'!$H$28="CPM",'Model Inputs &amp; Assumptions'!$I$28*'Model Inputs &amp; Assumptions'!$K$28*C403/1000,IF('Model Inputs &amp; Assumptions'!$H$28="CPC",'Model Inputs &amp; Assumptions'!$I$28*'Model Inputs &amp; Assumptions'!$K$28*G403,0)))</f>
        <v>3074.3375</v>
      </c>
      <c r="J403" s="50" t="n">
        <f aca="false">H403*INDEX('Model Inputs &amp; Assumptions'!$D$40:$D$42,MATCH('Model Inputs &amp; Assumptions'!$L$28,'Model Inputs &amp; Assumptions'!$A$40:$A$42,0))*INDEX('Model Inputs &amp; Assumptions'!$H$40:$H$42,MATCH('Model Inputs &amp; Assumptions'!$L$28,'Model Inputs &amp; Assumptions'!$A$40:$A$42,0))</f>
        <v>106455.262844613</v>
      </c>
      <c r="K403" s="49" t="n">
        <f aca="false">H403*INDEX('Model Inputs &amp; Assumptions'!$G$40:$G$42,MATCH('Model Inputs &amp; Assumptions'!$L$28,'Model Inputs &amp; Assumptions'!$A$40:$A$42,0))*INDEX('Model Inputs &amp; Assumptions'!$H$40:$H$42,MATCH('Model Inputs &amp; Assumptions'!$L$28,'Model Inputs &amp; Assumptions'!$A$40:$A$42,0))</f>
        <v>2395.24341400379</v>
      </c>
      <c r="L403" s="51" t="n">
        <f aca="false">IFERROR(K403/I403,0)</f>
        <v>0.779108804418444</v>
      </c>
      <c r="M403" s="49" t="n">
        <f aca="false">IFERROR(I403/H403,0)</f>
        <v>245.472774682294</v>
      </c>
      <c r="N403" s="52" t="str">
        <f aca="false">'Model Inputs &amp; Assumptions'!$L$28</f>
        <v>PRD-EUAI</v>
      </c>
      <c r="P403" s="53" t="n">
        <v>0.244528</v>
      </c>
      <c r="Q403" s="53" t="n">
        <v>-0.922405</v>
      </c>
      <c r="R403" s="53" t="n">
        <v>-0.528877</v>
      </c>
      <c r="S403" s="53" t="n">
        <v>-1.146768</v>
      </c>
    </row>
    <row r="404" customFormat="false" ht="15" hidden="false" customHeight="false" outlineLevel="0" collapsed="false">
      <c r="A404" s="43" t="n">
        <v>401</v>
      </c>
      <c r="B404" s="44" t="str">
        <f aca="false">'Model Inputs &amp; Assumptions'!$B$28</f>
        <v>finanzen.net — Q1 Awareness Burst</v>
      </c>
      <c r="C404" s="45" t="n">
        <f aca="false">ROUND(MAX(0,'Model Inputs &amp; Assumptions'!$S$28*EXP('Model Inputs &amp; Assumptions'!$T$28*P404-'Model Inputs &amp; Assumptions'!$T$28^2/2)),0)</f>
        <v>524696</v>
      </c>
      <c r="D404" s="46" t="n">
        <f aca="false">MIN(1,'Model Inputs &amp; Assumptions'!$U$28*EXP('Model Inputs &amp; Assumptions'!$V$28*Q404-'Model Inputs &amp; Assumptions'!$V$28^2/2))</f>
        <v>0</v>
      </c>
      <c r="E404" s="45" t="n">
        <f aca="false">ROUND(C404*D404,0)</f>
        <v>0</v>
      </c>
      <c r="F404" s="47" t="n">
        <f aca="false">MIN(1,'Model Inputs &amp; Assumptions'!$W$28*EXP('Model Inputs &amp; Assumptions'!$X$28*R404-'Model Inputs &amp; Assumptions'!$X$28^2/2))</f>
        <v>0.00171935525379897</v>
      </c>
      <c r="G404" s="45" t="n">
        <f aca="false">ROUND(C404*F404,0)</f>
        <v>902</v>
      </c>
      <c r="H404" s="48" t="n">
        <f aca="false">MAX(0,(C404*'Model Inputs &amp; Assumptions'!$N$28+E404*'Model Inputs &amp; Assumptions'!$O$28+G404*'Model Inputs &amp; Assumptions'!$P$28)*EXP('Model Inputs &amp; Assumptions'!$Q$28*S404-'Model Inputs &amp; Assumptions'!$Q$28^2/2))</f>
        <v>14.0755482138662</v>
      </c>
      <c r="I404" s="49" t="n">
        <f aca="false">IF('Model Inputs &amp; Assumptions'!$H$28="Fixed",'Model Inputs &amp; Assumptions'!$I$28*'Model Inputs &amp; Assumptions'!$K$28,IF('Model Inputs &amp; Assumptions'!$H$28="CPM",'Model Inputs &amp; Assumptions'!$I$28*'Model Inputs &amp; Assumptions'!$K$28*C404/1000,IF('Model Inputs &amp; Assumptions'!$H$28="CPC",'Model Inputs &amp; Assumptions'!$I$28*'Model Inputs &amp; Assumptions'!$K$28*G404,0)))</f>
        <v>3410.524</v>
      </c>
      <c r="J404" s="50" t="n">
        <f aca="false">H404*INDEX('Model Inputs &amp; Assumptions'!$D$40:$D$42,MATCH('Model Inputs &amp; Assumptions'!$L$28,'Model Inputs &amp; Assumptions'!$A$40:$A$42,0))*INDEX('Model Inputs &amp; Assumptions'!$H$40:$H$42,MATCH('Model Inputs &amp; Assumptions'!$L$28,'Model Inputs &amp; Assumptions'!$A$40:$A$42,0))</f>
        <v>119642.159817863</v>
      </c>
      <c r="K404" s="49" t="n">
        <f aca="false">H404*INDEX('Model Inputs &amp; Assumptions'!$G$40:$G$42,MATCH('Model Inputs &amp; Assumptions'!$L$28,'Model Inputs &amp; Assumptions'!$A$40:$A$42,0))*INDEX('Model Inputs &amp; Assumptions'!$H$40:$H$42,MATCH('Model Inputs &amp; Assumptions'!$L$28,'Model Inputs &amp; Assumptions'!$A$40:$A$42,0))</f>
        <v>2691.94859590192</v>
      </c>
      <c r="L404" s="51" t="n">
        <f aca="false">IFERROR(K404/I404,0)</f>
        <v>0.789306451413894</v>
      </c>
      <c r="M404" s="49" t="n">
        <f aca="false">IFERROR(I404/H404,0)</f>
        <v>242.301326255996</v>
      </c>
      <c r="N404" s="52" t="str">
        <f aca="false">'Model Inputs &amp; Assumptions'!$L$28</f>
        <v>PRD-EUAI</v>
      </c>
      <c r="P404" s="53" t="n">
        <v>0.821065</v>
      </c>
      <c r="Q404" s="53" t="n">
        <v>0.765961</v>
      </c>
      <c r="R404" s="53" t="n">
        <v>0.730383</v>
      </c>
      <c r="S404" s="53" t="n">
        <v>-2.028725</v>
      </c>
    </row>
    <row r="405" customFormat="false" ht="15" hidden="false" customHeight="false" outlineLevel="0" collapsed="false">
      <c r="A405" s="43" t="n">
        <v>402</v>
      </c>
      <c r="B405" s="44" t="str">
        <f aca="false">'Model Inputs &amp; Assumptions'!$B$28</f>
        <v>finanzen.net — Q1 Awareness Burst</v>
      </c>
      <c r="C405" s="45" t="n">
        <f aca="false">ROUND(MAX(0,'Model Inputs &amp; Assumptions'!$S$28*EXP('Model Inputs &amp; Assumptions'!$T$28*P405-'Model Inputs &amp; Assumptions'!$T$28^2/2)),0)</f>
        <v>373018</v>
      </c>
      <c r="D405" s="46" t="n">
        <f aca="false">MIN(1,'Model Inputs &amp; Assumptions'!$U$28*EXP('Model Inputs &amp; Assumptions'!$V$28*Q405-'Model Inputs &amp; Assumptions'!$V$28^2/2))</f>
        <v>0</v>
      </c>
      <c r="E405" s="45" t="n">
        <f aca="false">ROUND(C405*D405,0)</f>
        <v>0</v>
      </c>
      <c r="F405" s="47" t="n">
        <f aca="false">MIN(1,'Model Inputs &amp; Assumptions'!$W$28*EXP('Model Inputs &amp; Assumptions'!$X$28*R405-'Model Inputs &amp; Assumptions'!$X$28^2/2))</f>
        <v>0.00177490920251828</v>
      </c>
      <c r="G405" s="45" t="n">
        <f aca="false">ROUND(C405*F405,0)</f>
        <v>662</v>
      </c>
      <c r="H405" s="48" t="n">
        <f aca="false">MAX(0,(C405*'Model Inputs &amp; Assumptions'!$N$28+E405*'Model Inputs &amp; Assumptions'!$O$28+G405*'Model Inputs &amp; Assumptions'!$P$28)*EXP('Model Inputs &amp; Assumptions'!$Q$28*S405-'Model Inputs &amp; Assumptions'!$Q$28^2/2))</f>
        <v>14.0807125770817</v>
      </c>
      <c r="I405" s="49" t="n">
        <f aca="false">IF('Model Inputs &amp; Assumptions'!$H$28="Fixed",'Model Inputs &amp; Assumptions'!$I$28*'Model Inputs &amp; Assumptions'!$K$28,IF('Model Inputs &amp; Assumptions'!$H$28="CPM",'Model Inputs &amp; Assumptions'!$I$28*'Model Inputs &amp; Assumptions'!$K$28*C405/1000,IF('Model Inputs &amp; Assumptions'!$H$28="CPC",'Model Inputs &amp; Assumptions'!$I$28*'Model Inputs &amp; Assumptions'!$K$28*G405,0)))</f>
        <v>2424.617</v>
      </c>
      <c r="J405" s="50" t="n">
        <f aca="false">H405*INDEX('Model Inputs &amp; Assumptions'!$D$40:$D$42,MATCH('Model Inputs &amp; Assumptions'!$L$28,'Model Inputs &amp; Assumptions'!$A$40:$A$42,0))*INDEX('Model Inputs &amp; Assumptions'!$H$40:$H$42,MATCH('Model Inputs &amp; Assumptions'!$L$28,'Model Inputs &amp; Assumptions'!$A$40:$A$42,0))</f>
        <v>119686.056905194</v>
      </c>
      <c r="K405" s="49" t="n">
        <f aca="false">H405*INDEX('Model Inputs &amp; Assumptions'!$G$40:$G$42,MATCH('Model Inputs &amp; Assumptions'!$L$28,'Model Inputs &amp; Assumptions'!$A$40:$A$42,0))*INDEX('Model Inputs &amp; Assumptions'!$H$40:$H$42,MATCH('Model Inputs &amp; Assumptions'!$L$28,'Model Inputs &amp; Assumptions'!$A$40:$A$42,0))</f>
        <v>2692.93628036687</v>
      </c>
      <c r="L405" s="51" t="n">
        <f aca="false">IFERROR(K405/I405,0)</f>
        <v>1.11066460408669</v>
      </c>
      <c r="M405" s="49" t="n">
        <f aca="false">IFERROR(I405/H405,0)</f>
        <v>172.194197326803</v>
      </c>
      <c r="N405" s="52" t="str">
        <f aca="false">'Model Inputs &amp; Assumptions'!$L$28</f>
        <v>PRD-EUAI</v>
      </c>
      <c r="P405" s="53" t="n">
        <v>-1.074445</v>
      </c>
      <c r="Q405" s="53" t="n">
        <v>-0.154369</v>
      </c>
      <c r="R405" s="53" t="n">
        <v>0.874928</v>
      </c>
      <c r="S405" s="53" t="n">
        <v>-0.996339</v>
      </c>
    </row>
    <row r="406" customFormat="false" ht="15" hidden="false" customHeight="false" outlineLevel="0" collapsed="false">
      <c r="A406" s="43" t="n">
        <v>403</v>
      </c>
      <c r="B406" s="44" t="str">
        <f aca="false">'Model Inputs &amp; Assumptions'!$B$28</f>
        <v>finanzen.net — Q1 Awareness Burst</v>
      </c>
      <c r="C406" s="45" t="n">
        <f aca="false">ROUND(MAX(0,'Model Inputs &amp; Assumptions'!$S$28*EXP('Model Inputs &amp; Assumptions'!$T$28*P406-'Model Inputs &amp; Assumptions'!$T$28^2/2)),0)</f>
        <v>387124</v>
      </c>
      <c r="D406" s="46" t="n">
        <f aca="false">MIN(1,'Model Inputs &amp; Assumptions'!$U$28*EXP('Model Inputs &amp; Assumptions'!$V$28*Q406-'Model Inputs &amp; Assumptions'!$V$28^2/2))</f>
        <v>0</v>
      </c>
      <c r="E406" s="45" t="n">
        <f aca="false">ROUND(C406*D406,0)</f>
        <v>0</v>
      </c>
      <c r="F406" s="47" t="n">
        <f aca="false">MIN(1,'Model Inputs &amp; Assumptions'!$W$28*EXP('Model Inputs &amp; Assumptions'!$X$28*R406-'Model Inputs &amp; Assumptions'!$X$28^2/2))</f>
        <v>0.00130422775645087</v>
      </c>
      <c r="G406" s="45" t="n">
        <f aca="false">ROUND(C406*F406,0)</f>
        <v>505</v>
      </c>
      <c r="H406" s="48" t="n">
        <f aca="false">MAX(0,(C406*'Model Inputs &amp; Assumptions'!$N$28+E406*'Model Inputs &amp; Assumptions'!$O$28+G406*'Model Inputs &amp; Assumptions'!$P$28)*EXP('Model Inputs &amp; Assumptions'!$Q$28*S406-'Model Inputs &amp; Assumptions'!$Q$28^2/2))</f>
        <v>12.8939593203574</v>
      </c>
      <c r="I406" s="49" t="n">
        <f aca="false">IF('Model Inputs &amp; Assumptions'!$H$28="Fixed",'Model Inputs &amp; Assumptions'!$I$28*'Model Inputs &amp; Assumptions'!$K$28,IF('Model Inputs &amp; Assumptions'!$H$28="CPM",'Model Inputs &amp; Assumptions'!$I$28*'Model Inputs &amp; Assumptions'!$K$28*C406/1000,IF('Model Inputs &amp; Assumptions'!$H$28="CPC",'Model Inputs &amp; Assumptions'!$I$28*'Model Inputs &amp; Assumptions'!$K$28*G406,0)))</f>
        <v>2516.306</v>
      </c>
      <c r="J406" s="50" t="n">
        <f aca="false">H406*INDEX('Model Inputs &amp; Assumptions'!$D$40:$D$42,MATCH('Model Inputs &amp; Assumptions'!$L$28,'Model Inputs &amp; Assumptions'!$A$40:$A$42,0))*INDEX('Model Inputs &amp; Assumptions'!$H$40:$H$42,MATCH('Model Inputs &amp; Assumptions'!$L$28,'Model Inputs &amp; Assumptions'!$A$40:$A$42,0))</f>
        <v>109598.654223038</v>
      </c>
      <c r="K406" s="49" t="n">
        <f aca="false">H406*INDEX('Model Inputs &amp; Assumptions'!$G$40:$G$42,MATCH('Model Inputs &amp; Assumptions'!$L$28,'Model Inputs &amp; Assumptions'!$A$40:$A$42,0))*INDEX('Model Inputs &amp; Assumptions'!$H$40:$H$42,MATCH('Model Inputs &amp; Assumptions'!$L$28,'Model Inputs &amp; Assumptions'!$A$40:$A$42,0))</f>
        <v>2465.96972001836</v>
      </c>
      <c r="L406" s="51" t="n">
        <f aca="false">IFERROR(K406/I406,0)</f>
        <v>0.97999596234256</v>
      </c>
      <c r="M406" s="49" t="n">
        <f aca="false">IFERROR(I406/H406,0)</f>
        <v>195.153865269853</v>
      </c>
      <c r="N406" s="52" t="str">
        <f aca="false">'Model Inputs &amp; Assumptions'!$L$28</f>
        <v>PRD-EUAI</v>
      </c>
      <c r="P406" s="53" t="n">
        <v>-0.868228</v>
      </c>
      <c r="Q406" s="53" t="n">
        <v>0.106436</v>
      </c>
      <c r="R406" s="53" t="n">
        <v>-0.5257</v>
      </c>
      <c r="S406" s="53" t="n">
        <v>-0.387472</v>
      </c>
    </row>
    <row r="407" customFormat="false" ht="15" hidden="false" customHeight="false" outlineLevel="0" collapsed="false">
      <c r="A407" s="43" t="n">
        <v>404</v>
      </c>
      <c r="B407" s="44" t="str">
        <f aca="false">'Model Inputs &amp; Assumptions'!$B$28</f>
        <v>finanzen.net — Q1 Awareness Burst</v>
      </c>
      <c r="C407" s="45" t="n">
        <f aca="false">ROUND(MAX(0,'Model Inputs &amp; Assumptions'!$S$28*EXP('Model Inputs &amp; Assumptions'!$T$28*P407-'Model Inputs &amp; Assumptions'!$T$28^2/2)),0)</f>
        <v>526687</v>
      </c>
      <c r="D407" s="46" t="n">
        <f aca="false">MIN(1,'Model Inputs &amp; Assumptions'!$U$28*EXP('Model Inputs &amp; Assumptions'!$V$28*Q407-'Model Inputs &amp; Assumptions'!$V$28^2/2))</f>
        <v>0</v>
      </c>
      <c r="E407" s="45" t="n">
        <f aca="false">ROUND(C407*D407,0)</f>
        <v>0</v>
      </c>
      <c r="F407" s="47" t="n">
        <f aca="false">MIN(1,'Model Inputs &amp; Assumptions'!$W$28*EXP('Model Inputs &amp; Assumptions'!$X$28*R407-'Model Inputs &amp; Assumptions'!$X$28^2/2))</f>
        <v>0.00190796641011226</v>
      </c>
      <c r="G407" s="45" t="n">
        <f aca="false">ROUND(C407*F407,0)</f>
        <v>1005</v>
      </c>
      <c r="H407" s="48" t="n">
        <f aca="false">MAX(0,(C407*'Model Inputs &amp; Assumptions'!$N$28+E407*'Model Inputs &amp; Assumptions'!$O$28+G407*'Model Inputs &amp; Assumptions'!$P$28)*EXP('Model Inputs &amp; Assumptions'!$Q$28*S407-'Model Inputs &amp; Assumptions'!$Q$28^2/2))</f>
        <v>30.0532925242337</v>
      </c>
      <c r="I407" s="49" t="n">
        <f aca="false">IF('Model Inputs &amp; Assumptions'!$H$28="Fixed",'Model Inputs &amp; Assumptions'!$I$28*'Model Inputs &amp; Assumptions'!$K$28,IF('Model Inputs &amp; Assumptions'!$H$28="CPM",'Model Inputs &amp; Assumptions'!$I$28*'Model Inputs &amp; Assumptions'!$K$28*C407/1000,IF('Model Inputs &amp; Assumptions'!$H$28="CPC",'Model Inputs &amp; Assumptions'!$I$28*'Model Inputs &amp; Assumptions'!$K$28*G407,0)))</f>
        <v>3423.4655</v>
      </c>
      <c r="J407" s="50" t="n">
        <f aca="false">H407*INDEX('Model Inputs &amp; Assumptions'!$D$40:$D$42,MATCH('Model Inputs &amp; Assumptions'!$L$28,'Model Inputs &amp; Assumptions'!$A$40:$A$42,0))*INDEX('Model Inputs &amp; Assumptions'!$H$40:$H$42,MATCH('Model Inputs &amp; Assumptions'!$L$28,'Model Inputs &amp; Assumptions'!$A$40:$A$42,0))</f>
        <v>255452.986455987</v>
      </c>
      <c r="K407" s="49" t="n">
        <f aca="false">H407*INDEX('Model Inputs &amp; Assumptions'!$G$40:$G$42,MATCH('Model Inputs &amp; Assumptions'!$L$28,'Model Inputs &amp; Assumptions'!$A$40:$A$42,0))*INDEX('Model Inputs &amp; Assumptions'!$H$40:$H$42,MATCH('Model Inputs &amp; Assumptions'!$L$28,'Model Inputs &amp; Assumptions'!$A$40:$A$42,0))</f>
        <v>5747.6921952597</v>
      </c>
      <c r="L407" s="51" t="n">
        <f aca="false">IFERROR(K407/I407,0)</f>
        <v>1.67891050611134</v>
      </c>
      <c r="M407" s="49" t="n">
        <f aca="false">IFERROR(I407/H407,0)</f>
        <v>113.913159339845</v>
      </c>
      <c r="N407" s="52" t="str">
        <f aca="false">'Model Inputs &amp; Assumptions'!$L$28</f>
        <v>PRD-EUAI</v>
      </c>
      <c r="P407" s="53" t="n">
        <v>0.842114</v>
      </c>
      <c r="Q407" s="53" t="n">
        <v>0.464099</v>
      </c>
      <c r="R407" s="53" t="n">
        <v>1.203513</v>
      </c>
      <c r="S407" s="53" t="n">
        <v>0.139291</v>
      </c>
    </row>
    <row r="408" customFormat="false" ht="15" hidden="false" customHeight="false" outlineLevel="0" collapsed="false">
      <c r="A408" s="43" t="n">
        <v>405</v>
      </c>
      <c r="B408" s="44" t="str">
        <f aca="false">'Model Inputs &amp; Assumptions'!$B$28</f>
        <v>finanzen.net — Q1 Awareness Burst</v>
      </c>
      <c r="C408" s="45" t="n">
        <f aca="false">ROUND(MAX(0,'Model Inputs &amp; Assumptions'!$S$28*EXP('Model Inputs &amp; Assumptions'!$T$28*P408-'Model Inputs &amp; Assumptions'!$T$28^2/2)),0)</f>
        <v>370217</v>
      </c>
      <c r="D408" s="46" t="n">
        <f aca="false">MIN(1,'Model Inputs &amp; Assumptions'!$U$28*EXP('Model Inputs &amp; Assumptions'!$V$28*Q408-'Model Inputs &amp; Assumptions'!$V$28^2/2))</f>
        <v>0</v>
      </c>
      <c r="E408" s="45" t="n">
        <f aca="false">ROUND(C408*D408,0)</f>
        <v>0</v>
      </c>
      <c r="F408" s="47" t="n">
        <f aca="false">MIN(1,'Model Inputs &amp; Assumptions'!$W$28*EXP('Model Inputs &amp; Assumptions'!$X$28*R408-'Model Inputs &amp; Assumptions'!$X$28^2/2))</f>
        <v>0.00175625898149995</v>
      </c>
      <c r="G408" s="45" t="n">
        <f aca="false">ROUND(C408*F408,0)</f>
        <v>650</v>
      </c>
      <c r="H408" s="48" t="n">
        <f aca="false">MAX(0,(C408*'Model Inputs &amp; Assumptions'!$N$28+E408*'Model Inputs &amp; Assumptions'!$O$28+G408*'Model Inputs &amp; Assumptions'!$P$28)*EXP('Model Inputs &amp; Assumptions'!$Q$28*S408-'Model Inputs &amp; Assumptions'!$Q$28^2/2))</f>
        <v>30.3619222448143</v>
      </c>
      <c r="I408" s="49" t="n">
        <f aca="false">IF('Model Inputs &amp; Assumptions'!$H$28="Fixed",'Model Inputs &amp; Assumptions'!$I$28*'Model Inputs &amp; Assumptions'!$K$28,IF('Model Inputs &amp; Assumptions'!$H$28="CPM",'Model Inputs &amp; Assumptions'!$I$28*'Model Inputs &amp; Assumptions'!$K$28*C408/1000,IF('Model Inputs &amp; Assumptions'!$H$28="CPC",'Model Inputs &amp; Assumptions'!$I$28*'Model Inputs &amp; Assumptions'!$K$28*G408,0)))</f>
        <v>2406.4105</v>
      </c>
      <c r="J408" s="50" t="n">
        <f aca="false">H408*INDEX('Model Inputs &amp; Assumptions'!$D$40:$D$42,MATCH('Model Inputs &amp; Assumptions'!$L$28,'Model Inputs &amp; Assumptions'!$A$40:$A$42,0))*INDEX('Model Inputs &amp; Assumptions'!$H$40:$H$42,MATCH('Model Inputs &amp; Assumptions'!$L$28,'Model Inputs &amp; Assumptions'!$A$40:$A$42,0))</f>
        <v>258076.339080922</v>
      </c>
      <c r="K408" s="49" t="n">
        <f aca="false">H408*INDEX('Model Inputs &amp; Assumptions'!$G$40:$G$42,MATCH('Model Inputs &amp; Assumptions'!$L$28,'Model Inputs &amp; Assumptions'!$A$40:$A$42,0))*INDEX('Model Inputs &amp; Assumptions'!$H$40:$H$42,MATCH('Model Inputs &amp; Assumptions'!$L$28,'Model Inputs &amp; Assumptions'!$A$40:$A$42,0))</f>
        <v>5806.71762932074</v>
      </c>
      <c r="L408" s="51" t="n">
        <f aca="false">IFERROR(K408/I408,0)</f>
        <v>2.41302040085045</v>
      </c>
      <c r="M408" s="49" t="n">
        <f aca="false">IFERROR(I408/H408,0)</f>
        <v>79.2575147448382</v>
      </c>
      <c r="N408" s="52" t="str">
        <f aca="false">'Model Inputs &amp; Assumptions'!$L$28</f>
        <v>PRD-EUAI</v>
      </c>
      <c r="P408" s="53" t="n">
        <v>-1.116323</v>
      </c>
      <c r="Q408" s="53" t="n">
        <v>-0.202852</v>
      </c>
      <c r="R408" s="53" t="n">
        <v>0.826913</v>
      </c>
      <c r="S408" s="53" t="n">
        <v>1.625916</v>
      </c>
    </row>
    <row r="409" customFormat="false" ht="15" hidden="false" customHeight="false" outlineLevel="0" collapsed="false">
      <c r="A409" s="43" t="n">
        <v>406</v>
      </c>
      <c r="B409" s="44" t="str">
        <f aca="false">'Model Inputs &amp; Assumptions'!$B$28</f>
        <v>finanzen.net — Q1 Awareness Burst</v>
      </c>
      <c r="C409" s="45" t="n">
        <f aca="false">ROUND(MAX(0,'Model Inputs &amp; Assumptions'!$S$28*EXP('Model Inputs &amp; Assumptions'!$T$28*P409-'Model Inputs &amp; Assumptions'!$T$28^2/2)),0)</f>
        <v>393026</v>
      </c>
      <c r="D409" s="46" t="n">
        <f aca="false">MIN(1,'Model Inputs &amp; Assumptions'!$U$28*EXP('Model Inputs &amp; Assumptions'!$V$28*Q409-'Model Inputs &amp; Assumptions'!$V$28^2/2))</f>
        <v>0</v>
      </c>
      <c r="E409" s="45" t="n">
        <f aca="false">ROUND(C409*D409,0)</f>
        <v>0</v>
      </c>
      <c r="F409" s="47" t="n">
        <f aca="false">MIN(1,'Model Inputs &amp; Assumptions'!$W$28*EXP('Model Inputs &amp; Assumptions'!$X$28*R409-'Model Inputs &amp; Assumptions'!$X$28^2/2))</f>
        <v>0.00147323706988995</v>
      </c>
      <c r="G409" s="45" t="n">
        <f aca="false">ROUND(C409*F409,0)</f>
        <v>579</v>
      </c>
      <c r="H409" s="48" t="n">
        <f aca="false">MAX(0,(C409*'Model Inputs &amp; Assumptions'!$N$28+E409*'Model Inputs &amp; Assumptions'!$O$28+G409*'Model Inputs &amp; Assumptions'!$P$28)*EXP('Model Inputs &amp; Assumptions'!$Q$28*S409-'Model Inputs &amp; Assumptions'!$Q$28^2/2))</f>
        <v>29.8620122777203</v>
      </c>
      <c r="I409" s="49" t="n">
        <f aca="false">IF('Model Inputs &amp; Assumptions'!$H$28="Fixed",'Model Inputs &amp; Assumptions'!$I$28*'Model Inputs &amp; Assumptions'!$K$28,IF('Model Inputs &amp; Assumptions'!$H$28="CPM",'Model Inputs &amp; Assumptions'!$I$28*'Model Inputs &amp; Assumptions'!$K$28*C409/1000,IF('Model Inputs &amp; Assumptions'!$H$28="CPC",'Model Inputs &amp; Assumptions'!$I$28*'Model Inputs &amp; Assumptions'!$K$28*G409,0)))</f>
        <v>2554.669</v>
      </c>
      <c r="J409" s="50" t="n">
        <f aca="false">H409*INDEX('Model Inputs &amp; Assumptions'!$D$40:$D$42,MATCH('Model Inputs &amp; Assumptions'!$L$28,'Model Inputs &amp; Assumptions'!$A$40:$A$42,0))*INDEX('Model Inputs &amp; Assumptions'!$H$40:$H$42,MATCH('Model Inputs &amp; Assumptions'!$L$28,'Model Inputs &amp; Assumptions'!$A$40:$A$42,0))</f>
        <v>253827.104360622</v>
      </c>
      <c r="K409" s="49" t="n">
        <f aca="false">H409*INDEX('Model Inputs &amp; Assumptions'!$G$40:$G$42,MATCH('Model Inputs &amp; Assumptions'!$L$28,'Model Inputs &amp; Assumptions'!$A$40:$A$42,0))*INDEX('Model Inputs &amp; Assumptions'!$H$40:$H$42,MATCH('Model Inputs &amp; Assumptions'!$L$28,'Model Inputs &amp; Assumptions'!$A$40:$A$42,0))</f>
        <v>5711.109848114</v>
      </c>
      <c r="L409" s="51" t="n">
        <f aca="false">IFERROR(K409/I409,0)</f>
        <v>2.2355576585906</v>
      </c>
      <c r="M409" s="49" t="n">
        <f aca="false">IFERROR(I409/H409,0)</f>
        <v>85.5491242934761</v>
      </c>
      <c r="N409" s="52" t="str">
        <f aca="false">'Model Inputs &amp; Assumptions'!$L$28</f>
        <v>PRD-EUAI</v>
      </c>
      <c r="P409" s="53" t="n">
        <v>-0.78417</v>
      </c>
      <c r="Q409" s="53" t="n">
        <v>-2.381613</v>
      </c>
      <c r="R409" s="53" t="n">
        <v>0.028168</v>
      </c>
      <c r="S409" s="53" t="n">
        <v>1.956142</v>
      </c>
    </row>
    <row r="410" customFormat="false" ht="15" hidden="false" customHeight="false" outlineLevel="0" collapsed="false">
      <c r="A410" s="43" t="n">
        <v>407</v>
      </c>
      <c r="B410" s="44" t="str">
        <f aca="false">'Model Inputs &amp; Assumptions'!$B$28</f>
        <v>finanzen.net — Q1 Awareness Burst</v>
      </c>
      <c r="C410" s="45" t="n">
        <f aca="false">ROUND(MAX(0,'Model Inputs &amp; Assumptions'!$S$28*EXP('Model Inputs &amp; Assumptions'!$T$28*P410-'Model Inputs &amp; Assumptions'!$T$28^2/2)),0)</f>
        <v>311414</v>
      </c>
      <c r="D410" s="46" t="n">
        <f aca="false">MIN(1,'Model Inputs &amp; Assumptions'!$U$28*EXP('Model Inputs &amp; Assumptions'!$V$28*Q410-'Model Inputs &amp; Assumptions'!$V$28^2/2))</f>
        <v>0</v>
      </c>
      <c r="E410" s="45" t="n">
        <f aca="false">ROUND(C410*D410,0)</f>
        <v>0</v>
      </c>
      <c r="F410" s="47" t="n">
        <f aca="false">MIN(1,'Model Inputs &amp; Assumptions'!$W$28*EXP('Model Inputs &amp; Assumptions'!$X$28*R410-'Model Inputs &amp; Assumptions'!$X$28^2/2))</f>
        <v>0.00168041607779976</v>
      </c>
      <c r="G410" s="45" t="n">
        <f aca="false">ROUND(C410*F410,0)</f>
        <v>523</v>
      </c>
      <c r="H410" s="48" t="n">
        <f aca="false">MAX(0,(C410*'Model Inputs &amp; Assumptions'!$N$28+E410*'Model Inputs &amp; Assumptions'!$O$28+G410*'Model Inputs &amp; Assumptions'!$P$28)*EXP('Model Inputs &amp; Assumptions'!$Q$28*S410-'Model Inputs &amp; Assumptions'!$Q$28^2/2))</f>
        <v>11.5678901198903</v>
      </c>
      <c r="I410" s="49" t="n">
        <f aca="false">IF('Model Inputs &amp; Assumptions'!$H$28="Fixed",'Model Inputs &amp; Assumptions'!$I$28*'Model Inputs &amp; Assumptions'!$K$28,IF('Model Inputs &amp; Assumptions'!$H$28="CPM",'Model Inputs &amp; Assumptions'!$I$28*'Model Inputs &amp; Assumptions'!$K$28*C410/1000,IF('Model Inputs &amp; Assumptions'!$H$28="CPC",'Model Inputs &amp; Assumptions'!$I$28*'Model Inputs &amp; Assumptions'!$K$28*G410,0)))</f>
        <v>2024.191</v>
      </c>
      <c r="J410" s="50" t="n">
        <f aca="false">H410*INDEX('Model Inputs &amp; Assumptions'!$D$40:$D$42,MATCH('Model Inputs &amp; Assumptions'!$L$28,'Model Inputs &amp; Assumptions'!$A$40:$A$42,0))*INDEX('Model Inputs &amp; Assumptions'!$H$40:$H$42,MATCH('Model Inputs &amp; Assumptions'!$L$28,'Model Inputs &amp; Assumptions'!$A$40:$A$42,0))</f>
        <v>98327.0660190677</v>
      </c>
      <c r="K410" s="49" t="n">
        <f aca="false">H410*INDEX('Model Inputs &amp; Assumptions'!$G$40:$G$42,MATCH('Model Inputs &amp; Assumptions'!$L$28,'Model Inputs &amp; Assumptions'!$A$40:$A$42,0))*INDEX('Model Inputs &amp; Assumptions'!$H$40:$H$42,MATCH('Model Inputs &amp; Assumptions'!$L$28,'Model Inputs &amp; Assumptions'!$A$40:$A$42,0))</f>
        <v>2212.35898542902</v>
      </c>
      <c r="L410" s="51" t="n">
        <f aca="false">IFERROR(K410/I410,0)</f>
        <v>1.09295959987423</v>
      </c>
      <c r="M410" s="49" t="n">
        <f aca="false">IFERROR(I410/H410,0)</f>
        <v>174.983595022183</v>
      </c>
      <c r="N410" s="52" t="str">
        <f aca="false">'Model Inputs &amp; Assumptions'!$L$28</f>
        <v>PRD-EUAI</v>
      </c>
      <c r="P410" s="53" t="n">
        <v>-2.077245</v>
      </c>
      <c r="Q410" s="53" t="n">
        <v>-1.61629</v>
      </c>
      <c r="R410" s="53" t="n">
        <v>0.626256</v>
      </c>
      <c r="S410" s="53" t="n">
        <v>-0.865968</v>
      </c>
    </row>
    <row r="411" customFormat="false" ht="15" hidden="false" customHeight="false" outlineLevel="0" collapsed="false">
      <c r="A411" s="43" t="n">
        <v>408</v>
      </c>
      <c r="B411" s="44" t="str">
        <f aca="false">'Model Inputs &amp; Assumptions'!$B$28</f>
        <v>finanzen.net — Q1 Awareness Burst</v>
      </c>
      <c r="C411" s="45" t="n">
        <f aca="false">ROUND(MAX(0,'Model Inputs &amp; Assumptions'!$S$28*EXP('Model Inputs &amp; Assumptions'!$T$28*P411-'Model Inputs &amp; Assumptions'!$T$28^2/2)),0)</f>
        <v>414045</v>
      </c>
      <c r="D411" s="46" t="n">
        <f aca="false">MIN(1,'Model Inputs &amp; Assumptions'!$U$28*EXP('Model Inputs &amp; Assumptions'!$V$28*Q411-'Model Inputs &amp; Assumptions'!$V$28^2/2))</f>
        <v>0</v>
      </c>
      <c r="E411" s="45" t="n">
        <f aca="false">ROUND(C411*D411,0)</f>
        <v>0</v>
      </c>
      <c r="F411" s="47" t="n">
        <f aca="false">MIN(1,'Model Inputs &amp; Assumptions'!$W$28*EXP('Model Inputs &amp; Assumptions'!$X$28*R411-'Model Inputs &amp; Assumptions'!$X$28^2/2))</f>
        <v>0.00165316581953859</v>
      </c>
      <c r="G411" s="45" t="n">
        <f aca="false">ROUND(C411*F411,0)</f>
        <v>684</v>
      </c>
      <c r="H411" s="48" t="n">
        <f aca="false">MAX(0,(C411*'Model Inputs &amp; Assumptions'!$N$28+E411*'Model Inputs &amp; Assumptions'!$O$28+G411*'Model Inputs &amp; Assumptions'!$P$28)*EXP('Model Inputs &amp; Assumptions'!$Q$28*S411-'Model Inputs &amp; Assumptions'!$Q$28^2/2))</f>
        <v>31.3161118376808</v>
      </c>
      <c r="I411" s="49" t="n">
        <f aca="false">IF('Model Inputs &amp; Assumptions'!$H$28="Fixed",'Model Inputs &amp; Assumptions'!$I$28*'Model Inputs &amp; Assumptions'!$K$28,IF('Model Inputs &amp; Assumptions'!$H$28="CPM",'Model Inputs &amp; Assumptions'!$I$28*'Model Inputs &amp; Assumptions'!$K$28*C411/1000,IF('Model Inputs &amp; Assumptions'!$H$28="CPC",'Model Inputs &amp; Assumptions'!$I$28*'Model Inputs &amp; Assumptions'!$K$28*G411,0)))</f>
        <v>2691.2925</v>
      </c>
      <c r="J411" s="50" t="n">
        <f aca="false">H411*INDEX('Model Inputs &amp; Assumptions'!$D$40:$D$42,MATCH('Model Inputs &amp; Assumptions'!$L$28,'Model Inputs &amp; Assumptions'!$A$40:$A$42,0))*INDEX('Model Inputs &amp; Assumptions'!$H$40:$H$42,MATCH('Model Inputs &amp; Assumptions'!$L$28,'Model Inputs &amp; Assumptions'!$A$40:$A$42,0))</f>
        <v>266186.950620287</v>
      </c>
      <c r="K411" s="49" t="n">
        <f aca="false">H411*INDEX('Model Inputs &amp; Assumptions'!$G$40:$G$42,MATCH('Model Inputs &amp; Assumptions'!$L$28,'Model Inputs &amp; Assumptions'!$A$40:$A$42,0))*INDEX('Model Inputs &amp; Assumptions'!$H$40:$H$42,MATCH('Model Inputs &amp; Assumptions'!$L$28,'Model Inputs &amp; Assumptions'!$A$40:$A$42,0))</f>
        <v>5989.20638895646</v>
      </c>
      <c r="L411" s="51" t="n">
        <f aca="false">IFERROR(K411/I411,0)</f>
        <v>2.22540150836687</v>
      </c>
      <c r="M411" s="49" t="n">
        <f aca="false">IFERROR(I411/H411,0)</f>
        <v>85.9395481134324</v>
      </c>
      <c r="N411" s="52" t="str">
        <f aca="false">'Model Inputs &amp; Assumptions'!$L$28</f>
        <v>PRD-EUAI</v>
      </c>
      <c r="P411" s="53" t="n">
        <v>-0.494726</v>
      </c>
      <c r="Q411" s="53" t="n">
        <v>0.407322</v>
      </c>
      <c r="R411" s="53" t="n">
        <v>0.551941</v>
      </c>
      <c r="S411" s="53" t="n">
        <v>1.559109</v>
      </c>
    </row>
    <row r="412" customFormat="false" ht="15" hidden="false" customHeight="false" outlineLevel="0" collapsed="false">
      <c r="A412" s="43" t="n">
        <v>409</v>
      </c>
      <c r="B412" s="44" t="str">
        <f aca="false">'Model Inputs &amp; Assumptions'!$B$28</f>
        <v>finanzen.net — Q1 Awareness Burst</v>
      </c>
      <c r="C412" s="45" t="n">
        <f aca="false">ROUND(MAX(0,'Model Inputs &amp; Assumptions'!$S$28*EXP('Model Inputs &amp; Assumptions'!$T$28*P412-'Model Inputs &amp; Assumptions'!$T$28^2/2)),0)</f>
        <v>278135</v>
      </c>
      <c r="D412" s="46" t="n">
        <f aca="false">MIN(1,'Model Inputs &amp; Assumptions'!$U$28*EXP('Model Inputs &amp; Assumptions'!$V$28*Q412-'Model Inputs &amp; Assumptions'!$V$28^2/2))</f>
        <v>0</v>
      </c>
      <c r="E412" s="45" t="n">
        <f aca="false">ROUND(C412*D412,0)</f>
        <v>0</v>
      </c>
      <c r="F412" s="47" t="n">
        <f aca="false">MIN(1,'Model Inputs &amp; Assumptions'!$W$28*EXP('Model Inputs &amp; Assumptions'!$X$28*R412-'Model Inputs &amp; Assumptions'!$X$28^2/2))</f>
        <v>0.00154163282099819</v>
      </c>
      <c r="G412" s="45" t="n">
        <f aca="false">ROUND(C412*F412,0)</f>
        <v>429</v>
      </c>
      <c r="H412" s="48" t="n">
        <f aca="false">MAX(0,(C412*'Model Inputs &amp; Assumptions'!$N$28+E412*'Model Inputs &amp; Assumptions'!$O$28+G412*'Model Inputs &amp; Assumptions'!$P$28)*EXP('Model Inputs &amp; Assumptions'!$Q$28*S412-'Model Inputs &amp; Assumptions'!$Q$28^2/2))</f>
        <v>7.31948903524135</v>
      </c>
      <c r="I412" s="49" t="n">
        <f aca="false">IF('Model Inputs &amp; Assumptions'!$H$28="Fixed",'Model Inputs &amp; Assumptions'!$I$28*'Model Inputs &amp; Assumptions'!$K$28,IF('Model Inputs &amp; Assumptions'!$H$28="CPM",'Model Inputs &amp; Assumptions'!$I$28*'Model Inputs &amp; Assumptions'!$K$28*C412/1000,IF('Model Inputs &amp; Assumptions'!$H$28="CPC",'Model Inputs &amp; Assumptions'!$I$28*'Model Inputs &amp; Assumptions'!$K$28*G412,0)))</f>
        <v>1807.8775</v>
      </c>
      <c r="J412" s="50" t="n">
        <f aca="false">H412*INDEX('Model Inputs &amp; Assumptions'!$D$40:$D$42,MATCH('Model Inputs &amp; Assumptions'!$L$28,'Model Inputs &amp; Assumptions'!$A$40:$A$42,0))*INDEX('Model Inputs &amp; Assumptions'!$H$40:$H$42,MATCH('Model Inputs &amp; Assumptions'!$L$28,'Model Inputs &amp; Assumptions'!$A$40:$A$42,0))</f>
        <v>62215.6567995515</v>
      </c>
      <c r="K412" s="49" t="n">
        <f aca="false">H412*INDEX('Model Inputs &amp; Assumptions'!$G$40:$G$42,MATCH('Model Inputs &amp; Assumptions'!$L$28,'Model Inputs &amp; Assumptions'!$A$40:$A$42,0))*INDEX('Model Inputs &amp; Assumptions'!$H$40:$H$42,MATCH('Model Inputs &amp; Assumptions'!$L$28,'Model Inputs &amp; Assumptions'!$A$40:$A$42,0))</f>
        <v>1399.85227798991</v>
      </c>
      <c r="L412" s="51" t="n">
        <f aca="false">IFERROR(K412/I412,0)</f>
        <v>0.774307041262424</v>
      </c>
      <c r="M412" s="49" t="n">
        <f aca="false">IFERROR(I412/H412,0)</f>
        <v>246.995041770752</v>
      </c>
      <c r="N412" s="52" t="str">
        <f aca="false">'Model Inputs &amp; Assumptions'!$L$28</f>
        <v>PRD-EUAI</v>
      </c>
      <c r="P412" s="53" t="n">
        <v>-2.705119</v>
      </c>
      <c r="Q412" s="53" t="n">
        <v>0.234239</v>
      </c>
      <c r="R412" s="53" t="n">
        <v>0.234441</v>
      </c>
      <c r="S412" s="53" t="n">
        <v>-1.731195</v>
      </c>
    </row>
    <row r="413" customFormat="false" ht="15" hidden="false" customHeight="false" outlineLevel="0" collapsed="false">
      <c r="A413" s="43" t="n">
        <v>410</v>
      </c>
      <c r="B413" s="44" t="str">
        <f aca="false">'Model Inputs &amp; Assumptions'!$B$28</f>
        <v>finanzen.net — Q1 Awareness Burst</v>
      </c>
      <c r="C413" s="45" t="n">
        <f aca="false">ROUND(MAX(0,'Model Inputs &amp; Assumptions'!$S$28*EXP('Model Inputs &amp; Assumptions'!$T$28*P413-'Model Inputs &amp; Assumptions'!$T$28^2/2)),0)</f>
        <v>513972</v>
      </c>
      <c r="D413" s="46" t="n">
        <f aca="false">MIN(1,'Model Inputs &amp; Assumptions'!$U$28*EXP('Model Inputs &amp; Assumptions'!$V$28*Q413-'Model Inputs &amp; Assumptions'!$V$28^2/2))</f>
        <v>0</v>
      </c>
      <c r="E413" s="45" t="n">
        <f aca="false">ROUND(C413*D413,0)</f>
        <v>0</v>
      </c>
      <c r="F413" s="47" t="n">
        <f aca="false">MIN(1,'Model Inputs &amp; Assumptions'!$W$28*EXP('Model Inputs &amp; Assumptions'!$X$28*R413-'Model Inputs &amp; Assumptions'!$X$28^2/2))</f>
        <v>0.00172413664252892</v>
      </c>
      <c r="G413" s="45" t="n">
        <f aca="false">ROUND(C413*F413,0)</f>
        <v>886</v>
      </c>
      <c r="H413" s="48" t="n">
        <f aca="false">MAX(0,(C413*'Model Inputs &amp; Assumptions'!$N$28+E413*'Model Inputs &amp; Assumptions'!$O$28+G413*'Model Inputs &amp; Assumptions'!$P$28)*EXP('Model Inputs &amp; Assumptions'!$Q$28*S413-'Model Inputs &amp; Assumptions'!$Q$28^2/2))</f>
        <v>13.1363573116131</v>
      </c>
      <c r="I413" s="49" t="n">
        <f aca="false">IF('Model Inputs &amp; Assumptions'!$H$28="Fixed",'Model Inputs &amp; Assumptions'!$I$28*'Model Inputs &amp; Assumptions'!$K$28,IF('Model Inputs &amp; Assumptions'!$H$28="CPM",'Model Inputs &amp; Assumptions'!$I$28*'Model Inputs &amp; Assumptions'!$K$28*C413/1000,IF('Model Inputs &amp; Assumptions'!$H$28="CPC",'Model Inputs &amp; Assumptions'!$I$28*'Model Inputs &amp; Assumptions'!$K$28*G413,0)))</f>
        <v>3340.818</v>
      </c>
      <c r="J413" s="50" t="n">
        <f aca="false">H413*INDEX('Model Inputs &amp; Assumptions'!$D$40:$D$42,MATCH('Model Inputs &amp; Assumptions'!$L$28,'Model Inputs &amp; Assumptions'!$A$40:$A$42,0))*INDEX('Model Inputs &amp; Assumptions'!$H$40:$H$42,MATCH('Model Inputs &amp; Assumptions'!$L$28,'Model Inputs &amp; Assumptions'!$A$40:$A$42,0))</f>
        <v>111659.037148711</v>
      </c>
      <c r="K413" s="49" t="n">
        <f aca="false">H413*INDEX('Model Inputs &amp; Assumptions'!$G$40:$G$42,MATCH('Model Inputs &amp; Assumptions'!$L$28,'Model Inputs &amp; Assumptions'!$A$40:$A$42,0))*INDEX('Model Inputs &amp; Assumptions'!$H$40:$H$42,MATCH('Model Inputs &amp; Assumptions'!$L$28,'Model Inputs &amp; Assumptions'!$A$40:$A$42,0))</f>
        <v>2512.328335846</v>
      </c>
      <c r="L413" s="51" t="n">
        <f aca="false">IFERROR(K413/I413,0)</f>
        <v>0.752009937639823</v>
      </c>
      <c r="M413" s="49" t="n">
        <f aca="false">IFERROR(I413/H413,0)</f>
        <v>254.318447705939</v>
      </c>
      <c r="N413" s="52" t="str">
        <f aca="false">'Model Inputs &amp; Assumptions'!$L$28</f>
        <v>PRD-EUAI</v>
      </c>
      <c r="P413" s="53" t="n">
        <v>0.706343</v>
      </c>
      <c r="Q413" s="53" t="n">
        <v>0.965513</v>
      </c>
      <c r="R413" s="53" t="n">
        <v>0.743006</v>
      </c>
      <c r="S413" s="53" t="n">
        <v>-2.199251</v>
      </c>
    </row>
    <row r="414" customFormat="false" ht="15" hidden="false" customHeight="false" outlineLevel="0" collapsed="false">
      <c r="A414" s="43" t="n">
        <v>411</v>
      </c>
      <c r="B414" s="44" t="str">
        <f aca="false">'Model Inputs &amp; Assumptions'!$B$28</f>
        <v>finanzen.net — Q1 Awareness Burst</v>
      </c>
      <c r="C414" s="45" t="n">
        <f aca="false">ROUND(MAX(0,'Model Inputs &amp; Assumptions'!$S$28*EXP('Model Inputs &amp; Assumptions'!$T$28*P414-'Model Inputs &amp; Assumptions'!$T$28^2/2)),0)</f>
        <v>356713</v>
      </c>
      <c r="D414" s="46" t="n">
        <f aca="false">MIN(1,'Model Inputs &amp; Assumptions'!$U$28*EXP('Model Inputs &amp; Assumptions'!$V$28*Q414-'Model Inputs &amp; Assumptions'!$V$28^2/2))</f>
        <v>0</v>
      </c>
      <c r="E414" s="45" t="n">
        <f aca="false">ROUND(C414*D414,0)</f>
        <v>0</v>
      </c>
      <c r="F414" s="47" t="n">
        <f aca="false">MIN(1,'Model Inputs &amp; Assumptions'!$W$28*EXP('Model Inputs &amp; Assumptions'!$X$28*R414-'Model Inputs &amp; Assumptions'!$X$28^2/2))</f>
        <v>0.00135658190114808</v>
      </c>
      <c r="G414" s="45" t="n">
        <f aca="false">ROUND(C414*F414,0)</f>
        <v>484</v>
      </c>
      <c r="H414" s="48" t="n">
        <f aca="false">MAX(0,(C414*'Model Inputs &amp; Assumptions'!$N$28+E414*'Model Inputs &amp; Assumptions'!$O$28+G414*'Model Inputs &amp; Assumptions'!$P$28)*EXP('Model Inputs &amp; Assumptions'!$Q$28*S414-'Model Inputs &amp; Assumptions'!$Q$28^2/2))</f>
        <v>19.9312631072013</v>
      </c>
      <c r="I414" s="49" t="n">
        <f aca="false">IF('Model Inputs &amp; Assumptions'!$H$28="Fixed",'Model Inputs &amp; Assumptions'!$I$28*'Model Inputs &amp; Assumptions'!$K$28,IF('Model Inputs &amp; Assumptions'!$H$28="CPM",'Model Inputs &amp; Assumptions'!$I$28*'Model Inputs &amp; Assumptions'!$K$28*C414/1000,IF('Model Inputs &amp; Assumptions'!$H$28="CPC",'Model Inputs &amp; Assumptions'!$I$28*'Model Inputs &amp; Assumptions'!$K$28*G414,0)))</f>
        <v>2318.6345</v>
      </c>
      <c r="J414" s="50" t="n">
        <f aca="false">H414*INDEX('Model Inputs &amp; Assumptions'!$D$40:$D$42,MATCH('Model Inputs &amp; Assumptions'!$L$28,'Model Inputs &amp; Assumptions'!$A$40:$A$42,0))*INDEX('Model Inputs &amp; Assumptions'!$H$40:$H$42,MATCH('Model Inputs &amp; Assumptions'!$L$28,'Model Inputs &amp; Assumptions'!$A$40:$A$42,0))</f>
        <v>169415.736411211</v>
      </c>
      <c r="K414" s="49" t="n">
        <f aca="false">H414*INDEX('Model Inputs &amp; Assumptions'!$G$40:$G$42,MATCH('Model Inputs &amp; Assumptions'!$L$28,'Model Inputs &amp; Assumptions'!$A$40:$A$42,0))*INDEX('Model Inputs &amp; Assumptions'!$H$40:$H$42,MATCH('Model Inputs &amp; Assumptions'!$L$28,'Model Inputs &amp; Assumptions'!$A$40:$A$42,0))</f>
        <v>3811.85406925225</v>
      </c>
      <c r="L414" s="51" t="n">
        <f aca="false">IFERROR(K414/I414,0)</f>
        <v>1.64400817345392</v>
      </c>
      <c r="M414" s="49" t="n">
        <f aca="false">IFERROR(I414/H414,0)</f>
        <v>116.331538424289</v>
      </c>
      <c r="N414" s="52" t="str">
        <f aca="false">'Model Inputs &amp; Assumptions'!$L$28</f>
        <v>PRD-EUAI</v>
      </c>
      <c r="P414" s="53" t="n">
        <v>-1.322751</v>
      </c>
      <c r="Q414" s="53" t="n">
        <v>-1.071412</v>
      </c>
      <c r="R414" s="53" t="n">
        <v>-0.346804</v>
      </c>
      <c r="S414" s="53" t="n">
        <v>1.205875</v>
      </c>
    </row>
    <row r="415" customFormat="false" ht="15" hidden="false" customHeight="false" outlineLevel="0" collapsed="false">
      <c r="A415" s="43" t="n">
        <v>412</v>
      </c>
      <c r="B415" s="44" t="str">
        <f aca="false">'Model Inputs &amp; Assumptions'!$B$28</f>
        <v>finanzen.net — Q1 Awareness Burst</v>
      </c>
      <c r="C415" s="45" t="n">
        <f aca="false">ROUND(MAX(0,'Model Inputs &amp; Assumptions'!$S$28*EXP('Model Inputs &amp; Assumptions'!$T$28*P415-'Model Inputs &amp; Assumptions'!$T$28^2/2)),0)</f>
        <v>403583</v>
      </c>
      <c r="D415" s="46" t="n">
        <f aca="false">MIN(1,'Model Inputs &amp; Assumptions'!$U$28*EXP('Model Inputs &amp; Assumptions'!$V$28*Q415-'Model Inputs &amp; Assumptions'!$V$28^2/2))</f>
        <v>0</v>
      </c>
      <c r="E415" s="45" t="n">
        <f aca="false">ROUND(C415*D415,0)</f>
        <v>0</v>
      </c>
      <c r="F415" s="47" t="n">
        <f aca="false">MIN(1,'Model Inputs &amp; Assumptions'!$W$28*EXP('Model Inputs &amp; Assumptions'!$X$28*R415-'Model Inputs &amp; Assumptions'!$X$28^2/2))</f>
        <v>0.00119184013904285</v>
      </c>
      <c r="G415" s="45" t="n">
        <f aca="false">ROUND(C415*F415,0)</f>
        <v>481</v>
      </c>
      <c r="H415" s="48" t="n">
        <f aca="false">MAX(0,(C415*'Model Inputs &amp; Assumptions'!$N$28+E415*'Model Inputs &amp; Assumptions'!$O$28+G415*'Model Inputs &amp; Assumptions'!$P$28)*EXP('Model Inputs &amp; Assumptions'!$Q$28*S415-'Model Inputs &amp; Assumptions'!$Q$28^2/2))</f>
        <v>13.2430842501277</v>
      </c>
      <c r="I415" s="49" t="n">
        <f aca="false">IF('Model Inputs &amp; Assumptions'!$H$28="Fixed",'Model Inputs &amp; Assumptions'!$I$28*'Model Inputs &amp; Assumptions'!$K$28,IF('Model Inputs &amp; Assumptions'!$H$28="CPM",'Model Inputs &amp; Assumptions'!$I$28*'Model Inputs &amp; Assumptions'!$K$28*C415/1000,IF('Model Inputs &amp; Assumptions'!$H$28="CPC",'Model Inputs &amp; Assumptions'!$I$28*'Model Inputs &amp; Assumptions'!$K$28*G415,0)))</f>
        <v>2623.2895</v>
      </c>
      <c r="J415" s="50" t="n">
        <f aca="false">H415*INDEX('Model Inputs &amp; Assumptions'!$D$40:$D$42,MATCH('Model Inputs &amp; Assumptions'!$L$28,'Model Inputs &amp; Assumptions'!$A$40:$A$42,0))*INDEX('Model Inputs &amp; Assumptions'!$H$40:$H$42,MATCH('Model Inputs &amp; Assumptions'!$L$28,'Model Inputs &amp; Assumptions'!$A$40:$A$42,0))</f>
        <v>112566.216126086</v>
      </c>
      <c r="K415" s="49" t="n">
        <f aca="false">H415*INDEX('Model Inputs &amp; Assumptions'!$G$40:$G$42,MATCH('Model Inputs &amp; Assumptions'!$L$28,'Model Inputs &amp; Assumptions'!$A$40:$A$42,0))*INDEX('Model Inputs &amp; Assumptions'!$H$40:$H$42,MATCH('Model Inputs &amp; Assumptions'!$L$28,'Model Inputs &amp; Assumptions'!$A$40:$A$42,0))</f>
        <v>2532.73986283693</v>
      </c>
      <c r="L415" s="51" t="n">
        <f aca="false">IFERROR(K415/I415,0)</f>
        <v>0.965482407807803</v>
      </c>
      <c r="M415" s="49" t="n">
        <f aca="false">IFERROR(I415/H415,0)</f>
        <v>198.087503670053</v>
      </c>
      <c r="N415" s="52" t="str">
        <f aca="false">'Model Inputs &amp; Assumptions'!$L$28</f>
        <v>PRD-EUAI</v>
      </c>
      <c r="P415" s="53" t="n">
        <v>-0.636915</v>
      </c>
      <c r="Q415" s="53" t="n">
        <v>0.275134</v>
      </c>
      <c r="R415" s="53" t="n">
        <v>-0.935303</v>
      </c>
      <c r="S415" s="53" t="n">
        <v>-0.136113</v>
      </c>
    </row>
    <row r="416" customFormat="false" ht="15" hidden="false" customHeight="false" outlineLevel="0" collapsed="false">
      <c r="A416" s="43" t="n">
        <v>413</v>
      </c>
      <c r="B416" s="44" t="str">
        <f aca="false">'Model Inputs &amp; Assumptions'!$B$28</f>
        <v>finanzen.net — Q1 Awareness Burst</v>
      </c>
      <c r="C416" s="45" t="n">
        <f aca="false">ROUND(MAX(0,'Model Inputs &amp; Assumptions'!$S$28*EXP('Model Inputs &amp; Assumptions'!$T$28*P416-'Model Inputs &amp; Assumptions'!$T$28^2/2)),0)</f>
        <v>411076</v>
      </c>
      <c r="D416" s="46" t="n">
        <f aca="false">MIN(1,'Model Inputs &amp; Assumptions'!$U$28*EXP('Model Inputs &amp; Assumptions'!$V$28*Q416-'Model Inputs &amp; Assumptions'!$V$28^2/2))</f>
        <v>0</v>
      </c>
      <c r="E416" s="45" t="n">
        <f aca="false">ROUND(C416*D416,0)</f>
        <v>0</v>
      </c>
      <c r="F416" s="47" t="n">
        <f aca="false">MIN(1,'Model Inputs &amp; Assumptions'!$W$28*EXP('Model Inputs &amp; Assumptions'!$X$28*R416-'Model Inputs &amp; Assumptions'!$X$28^2/2))</f>
        <v>0.00157304851841062</v>
      </c>
      <c r="G416" s="45" t="n">
        <f aca="false">ROUND(C416*F416,0)</f>
        <v>647</v>
      </c>
      <c r="H416" s="48" t="n">
        <f aca="false">MAX(0,(C416*'Model Inputs &amp; Assumptions'!$N$28+E416*'Model Inputs &amp; Assumptions'!$O$28+G416*'Model Inputs &amp; Assumptions'!$P$28)*EXP('Model Inputs &amp; Assumptions'!$Q$28*S416-'Model Inputs &amp; Assumptions'!$Q$28^2/2))</f>
        <v>21.3607023943278</v>
      </c>
      <c r="I416" s="49" t="n">
        <f aca="false">IF('Model Inputs &amp; Assumptions'!$H$28="Fixed",'Model Inputs &amp; Assumptions'!$I$28*'Model Inputs &amp; Assumptions'!$K$28,IF('Model Inputs &amp; Assumptions'!$H$28="CPM",'Model Inputs &amp; Assumptions'!$I$28*'Model Inputs &amp; Assumptions'!$K$28*C416/1000,IF('Model Inputs &amp; Assumptions'!$H$28="CPC",'Model Inputs &amp; Assumptions'!$I$28*'Model Inputs &amp; Assumptions'!$K$28*G416,0)))</f>
        <v>2671.994</v>
      </c>
      <c r="J416" s="50" t="n">
        <f aca="false">H416*INDEX('Model Inputs &amp; Assumptions'!$D$40:$D$42,MATCH('Model Inputs &amp; Assumptions'!$L$28,'Model Inputs &amp; Assumptions'!$A$40:$A$42,0))*INDEX('Model Inputs &amp; Assumptions'!$H$40:$H$42,MATCH('Model Inputs &amp; Assumptions'!$L$28,'Model Inputs &amp; Assumptions'!$A$40:$A$42,0))</f>
        <v>181565.970351786</v>
      </c>
      <c r="K416" s="49" t="n">
        <f aca="false">H416*INDEX('Model Inputs &amp; Assumptions'!$G$40:$G$42,MATCH('Model Inputs &amp; Assumptions'!$L$28,'Model Inputs &amp; Assumptions'!$A$40:$A$42,0))*INDEX('Model Inputs &amp; Assumptions'!$H$40:$H$42,MATCH('Model Inputs &amp; Assumptions'!$L$28,'Model Inputs &amp; Assumptions'!$A$40:$A$42,0))</f>
        <v>4085.2343329152</v>
      </c>
      <c r="L416" s="51" t="n">
        <f aca="false">IFERROR(K416/I416,0)</f>
        <v>1.52890849789154</v>
      </c>
      <c r="M416" s="49" t="n">
        <f aca="false">IFERROR(I416/H416,0)</f>
        <v>125.089238671736</v>
      </c>
      <c r="N416" s="52" t="str">
        <f aca="false">'Model Inputs &amp; Assumptions'!$L$28</f>
        <v>PRD-EUAI</v>
      </c>
      <c r="P416" s="53" t="n">
        <v>-0.534718</v>
      </c>
      <c r="Q416" s="53" t="n">
        <v>-0.065131</v>
      </c>
      <c r="R416" s="53" t="n">
        <v>0.326138</v>
      </c>
      <c r="S416" s="53" t="n">
        <v>0.469215</v>
      </c>
    </row>
    <row r="417" customFormat="false" ht="15" hidden="false" customHeight="false" outlineLevel="0" collapsed="false">
      <c r="A417" s="43" t="n">
        <v>414</v>
      </c>
      <c r="B417" s="44" t="str">
        <f aca="false">'Model Inputs &amp; Assumptions'!$B$28</f>
        <v>finanzen.net — Q1 Awareness Burst</v>
      </c>
      <c r="C417" s="45" t="n">
        <f aca="false">ROUND(MAX(0,'Model Inputs &amp; Assumptions'!$S$28*EXP('Model Inputs &amp; Assumptions'!$T$28*P417-'Model Inputs &amp; Assumptions'!$T$28^2/2)),0)</f>
        <v>434016</v>
      </c>
      <c r="D417" s="46" t="n">
        <f aca="false">MIN(1,'Model Inputs &amp; Assumptions'!$U$28*EXP('Model Inputs &amp; Assumptions'!$V$28*Q417-'Model Inputs &amp; Assumptions'!$V$28^2/2))</f>
        <v>0</v>
      </c>
      <c r="E417" s="45" t="n">
        <f aca="false">ROUND(C417*D417,0)</f>
        <v>0</v>
      </c>
      <c r="F417" s="47" t="n">
        <f aca="false">MIN(1,'Model Inputs &amp; Assumptions'!$W$28*EXP('Model Inputs &amp; Assumptions'!$X$28*R417-'Model Inputs &amp; Assumptions'!$X$28^2/2))</f>
        <v>0.0014845558670712</v>
      </c>
      <c r="G417" s="45" t="n">
        <f aca="false">ROUND(C417*F417,0)</f>
        <v>644</v>
      </c>
      <c r="H417" s="48" t="n">
        <f aca="false">MAX(0,(C417*'Model Inputs &amp; Assumptions'!$N$28+E417*'Model Inputs &amp; Assumptions'!$O$28+G417*'Model Inputs &amp; Assumptions'!$P$28)*EXP('Model Inputs &amp; Assumptions'!$Q$28*S417-'Model Inputs &amp; Assumptions'!$Q$28^2/2))</f>
        <v>17.9235686078586</v>
      </c>
      <c r="I417" s="49" t="n">
        <f aca="false">IF('Model Inputs &amp; Assumptions'!$H$28="Fixed",'Model Inputs &amp; Assumptions'!$I$28*'Model Inputs &amp; Assumptions'!$K$28,IF('Model Inputs &amp; Assumptions'!$H$28="CPM",'Model Inputs &amp; Assumptions'!$I$28*'Model Inputs &amp; Assumptions'!$K$28*C417/1000,IF('Model Inputs &amp; Assumptions'!$H$28="CPC",'Model Inputs &amp; Assumptions'!$I$28*'Model Inputs &amp; Assumptions'!$K$28*G417,0)))</f>
        <v>2821.104</v>
      </c>
      <c r="J417" s="50" t="n">
        <f aca="false">H417*INDEX('Model Inputs &amp; Assumptions'!$D$40:$D$42,MATCH('Model Inputs &amp; Assumptions'!$L$28,'Model Inputs &amp; Assumptions'!$A$40:$A$42,0))*INDEX('Model Inputs &amp; Assumptions'!$H$40:$H$42,MATCH('Model Inputs &amp; Assumptions'!$L$28,'Model Inputs &amp; Assumptions'!$A$40:$A$42,0))</f>
        <v>152350.333166798</v>
      </c>
      <c r="K417" s="49" t="n">
        <f aca="false">H417*INDEX('Model Inputs &amp; Assumptions'!$G$40:$G$42,MATCH('Model Inputs &amp; Assumptions'!$L$28,'Model Inputs &amp; Assumptions'!$A$40:$A$42,0))*INDEX('Model Inputs &amp; Assumptions'!$H$40:$H$42,MATCH('Model Inputs &amp; Assumptions'!$L$28,'Model Inputs &amp; Assumptions'!$A$40:$A$42,0))</f>
        <v>3427.88249625295</v>
      </c>
      <c r="L417" s="51" t="n">
        <f aca="false">IFERROR(K417/I417,0)</f>
        <v>1.21508547584667</v>
      </c>
      <c r="M417" s="49" t="n">
        <f aca="false">IFERROR(I417/H417,0)</f>
        <v>157.39633449798</v>
      </c>
      <c r="N417" s="52" t="str">
        <f aca="false">'Model Inputs &amp; Assumptions'!$L$28</f>
        <v>PRD-EUAI</v>
      </c>
      <c r="P417" s="53" t="n">
        <v>-0.233028</v>
      </c>
      <c r="Q417" s="53" t="n">
        <v>1.730311</v>
      </c>
      <c r="R417" s="53" t="n">
        <v>0.062957</v>
      </c>
      <c r="S417" s="53" t="n">
        <v>-0.100081</v>
      </c>
    </row>
    <row r="418" customFormat="false" ht="15" hidden="false" customHeight="false" outlineLevel="0" collapsed="false">
      <c r="A418" s="43" t="n">
        <v>415</v>
      </c>
      <c r="B418" s="44" t="str">
        <f aca="false">'Model Inputs &amp; Assumptions'!$B$28</f>
        <v>finanzen.net — Q1 Awareness Burst</v>
      </c>
      <c r="C418" s="45" t="n">
        <f aca="false">ROUND(MAX(0,'Model Inputs &amp; Assumptions'!$S$28*EXP('Model Inputs &amp; Assumptions'!$T$28*P418-'Model Inputs &amp; Assumptions'!$T$28^2/2)),0)</f>
        <v>422104</v>
      </c>
      <c r="D418" s="46" t="n">
        <f aca="false">MIN(1,'Model Inputs &amp; Assumptions'!$U$28*EXP('Model Inputs &amp; Assumptions'!$V$28*Q418-'Model Inputs &amp; Assumptions'!$V$28^2/2))</f>
        <v>0</v>
      </c>
      <c r="E418" s="45" t="n">
        <f aca="false">ROUND(C418*D418,0)</f>
        <v>0</v>
      </c>
      <c r="F418" s="47" t="n">
        <f aca="false">MIN(1,'Model Inputs &amp; Assumptions'!$W$28*EXP('Model Inputs &amp; Assumptions'!$X$28*R418-'Model Inputs &amp; Assumptions'!$X$28^2/2))</f>
        <v>0.00121553922887065</v>
      </c>
      <c r="G418" s="45" t="n">
        <f aca="false">ROUND(C418*F418,0)</f>
        <v>513</v>
      </c>
      <c r="H418" s="48" t="n">
        <f aca="false">MAX(0,(C418*'Model Inputs &amp; Assumptions'!$N$28+E418*'Model Inputs &amp; Assumptions'!$O$28+G418*'Model Inputs &amp; Assumptions'!$P$28)*EXP('Model Inputs &amp; Assumptions'!$Q$28*S418-'Model Inputs &amp; Assumptions'!$Q$28^2/2))</f>
        <v>16.9456836223961</v>
      </c>
      <c r="I418" s="49" t="n">
        <f aca="false">IF('Model Inputs &amp; Assumptions'!$H$28="Fixed",'Model Inputs &amp; Assumptions'!$I$28*'Model Inputs &amp; Assumptions'!$K$28,IF('Model Inputs &amp; Assumptions'!$H$28="CPM",'Model Inputs &amp; Assumptions'!$I$28*'Model Inputs &amp; Assumptions'!$K$28*C418/1000,IF('Model Inputs &amp; Assumptions'!$H$28="CPC",'Model Inputs &amp; Assumptions'!$I$28*'Model Inputs &amp; Assumptions'!$K$28*G418,0)))</f>
        <v>2743.676</v>
      </c>
      <c r="J418" s="50" t="n">
        <f aca="false">H418*INDEX('Model Inputs &amp; Assumptions'!$D$40:$D$42,MATCH('Model Inputs &amp; Assumptions'!$L$28,'Model Inputs &amp; Assumptions'!$A$40:$A$42,0))*INDEX('Model Inputs &amp; Assumptions'!$H$40:$H$42,MATCH('Model Inputs &amp; Assumptions'!$L$28,'Model Inputs &amp; Assumptions'!$A$40:$A$42,0))</f>
        <v>144038.310790367</v>
      </c>
      <c r="K418" s="49" t="n">
        <f aca="false">H418*INDEX('Model Inputs &amp; Assumptions'!$G$40:$G$42,MATCH('Model Inputs &amp; Assumptions'!$L$28,'Model Inputs &amp; Assumptions'!$A$40:$A$42,0))*INDEX('Model Inputs &amp; Assumptions'!$H$40:$H$42,MATCH('Model Inputs &amp; Assumptions'!$L$28,'Model Inputs &amp; Assumptions'!$A$40:$A$42,0))</f>
        <v>3240.86199278326</v>
      </c>
      <c r="L418" s="51" t="n">
        <f aca="false">IFERROR(K418/I418,0)</f>
        <v>1.18121162731433</v>
      </c>
      <c r="M418" s="49" t="n">
        <f aca="false">IFERROR(I418/H418,0)</f>
        <v>161.910021521578</v>
      </c>
      <c r="N418" s="52" t="str">
        <f aca="false">'Model Inputs &amp; Assumptions'!$L$28</f>
        <v>PRD-EUAI</v>
      </c>
      <c r="P418" s="53" t="n">
        <v>-0.387642</v>
      </c>
      <c r="Q418" s="53" t="n">
        <v>1.369218</v>
      </c>
      <c r="R418" s="53" t="n">
        <v>-0.845806</v>
      </c>
      <c r="S418" s="53" t="n">
        <v>0.470984</v>
      </c>
    </row>
    <row r="419" customFormat="false" ht="15" hidden="false" customHeight="false" outlineLevel="0" collapsed="false">
      <c r="A419" s="43" t="n">
        <v>416</v>
      </c>
      <c r="B419" s="44" t="str">
        <f aca="false">'Model Inputs &amp; Assumptions'!$B$28</f>
        <v>finanzen.net — Q1 Awareness Burst</v>
      </c>
      <c r="C419" s="45" t="n">
        <f aca="false">ROUND(MAX(0,'Model Inputs &amp; Assumptions'!$S$28*EXP('Model Inputs &amp; Assumptions'!$T$28*P419-'Model Inputs &amp; Assumptions'!$T$28^2/2)),0)</f>
        <v>422361</v>
      </c>
      <c r="D419" s="46" t="n">
        <f aca="false">MIN(1,'Model Inputs &amp; Assumptions'!$U$28*EXP('Model Inputs &amp; Assumptions'!$V$28*Q419-'Model Inputs &amp; Assumptions'!$V$28^2/2))</f>
        <v>0</v>
      </c>
      <c r="E419" s="45" t="n">
        <f aca="false">ROUND(C419*D419,0)</f>
        <v>0</v>
      </c>
      <c r="F419" s="47" t="n">
        <f aca="false">MIN(1,'Model Inputs &amp; Assumptions'!$W$28*EXP('Model Inputs &amp; Assumptions'!$X$28*R419-'Model Inputs &amp; Assumptions'!$X$28^2/2))</f>
        <v>0.0015499868206804</v>
      </c>
      <c r="G419" s="45" t="n">
        <f aca="false">ROUND(C419*F419,0)</f>
        <v>655</v>
      </c>
      <c r="H419" s="48" t="n">
        <f aca="false">MAX(0,(C419*'Model Inputs &amp; Assumptions'!$N$28+E419*'Model Inputs &amp; Assumptions'!$O$28+G419*'Model Inputs &amp; Assumptions'!$P$28)*EXP('Model Inputs &amp; Assumptions'!$Q$28*S419-'Model Inputs &amp; Assumptions'!$Q$28^2/2))</f>
        <v>25.5249789231111</v>
      </c>
      <c r="I419" s="49" t="n">
        <f aca="false">IF('Model Inputs &amp; Assumptions'!$H$28="Fixed",'Model Inputs &amp; Assumptions'!$I$28*'Model Inputs &amp; Assumptions'!$K$28,IF('Model Inputs &amp; Assumptions'!$H$28="CPM",'Model Inputs &amp; Assumptions'!$I$28*'Model Inputs &amp; Assumptions'!$K$28*C419/1000,IF('Model Inputs &amp; Assumptions'!$H$28="CPC",'Model Inputs &amp; Assumptions'!$I$28*'Model Inputs &amp; Assumptions'!$K$28*G419,0)))</f>
        <v>2745.3465</v>
      </c>
      <c r="J419" s="50" t="n">
        <f aca="false">H419*INDEX('Model Inputs &amp; Assumptions'!$D$40:$D$42,MATCH('Model Inputs &amp; Assumptions'!$L$28,'Model Inputs &amp; Assumptions'!$A$40:$A$42,0))*INDEX('Model Inputs &amp; Assumptions'!$H$40:$H$42,MATCH('Model Inputs &amp; Assumptions'!$L$28,'Model Inputs &amp; Assumptions'!$A$40:$A$42,0))</f>
        <v>216962.320846444</v>
      </c>
      <c r="K419" s="49" t="n">
        <f aca="false">H419*INDEX('Model Inputs &amp; Assumptions'!$G$40:$G$42,MATCH('Model Inputs &amp; Assumptions'!$L$28,'Model Inputs &amp; Assumptions'!$A$40:$A$42,0))*INDEX('Model Inputs &amp; Assumptions'!$H$40:$H$42,MATCH('Model Inputs &amp; Assumptions'!$L$28,'Model Inputs &amp; Assumptions'!$A$40:$A$42,0))</f>
        <v>4881.652219045</v>
      </c>
      <c r="L419" s="51" t="n">
        <f aca="false">IFERROR(K419/I419,0)</f>
        <v>1.77815522340987</v>
      </c>
      <c r="M419" s="49" t="n">
        <f aca="false">IFERROR(I419/H419,0)</f>
        <v>107.555289595725</v>
      </c>
      <c r="N419" s="52" t="str">
        <f aca="false">'Model Inputs &amp; Assumptions'!$L$28</f>
        <v>PRD-EUAI</v>
      </c>
      <c r="P419" s="53" t="n">
        <v>-0.384256</v>
      </c>
      <c r="Q419" s="53" t="n">
        <v>-1.020312</v>
      </c>
      <c r="R419" s="53" t="n">
        <v>0.259006</v>
      </c>
      <c r="S419" s="53" t="n">
        <v>1.021934</v>
      </c>
    </row>
    <row r="420" customFormat="false" ht="15" hidden="false" customHeight="false" outlineLevel="0" collapsed="false">
      <c r="A420" s="43" t="n">
        <v>417</v>
      </c>
      <c r="B420" s="44" t="str">
        <f aca="false">'Model Inputs &amp; Assumptions'!$B$28</f>
        <v>finanzen.net — Q1 Awareness Burst</v>
      </c>
      <c r="C420" s="45" t="n">
        <f aca="false">ROUND(MAX(0,'Model Inputs &amp; Assumptions'!$S$28*EXP('Model Inputs &amp; Assumptions'!$T$28*P420-'Model Inputs &amp; Assumptions'!$T$28^2/2)),0)</f>
        <v>453224</v>
      </c>
      <c r="D420" s="46" t="n">
        <f aca="false">MIN(1,'Model Inputs &amp; Assumptions'!$U$28*EXP('Model Inputs &amp; Assumptions'!$V$28*Q420-'Model Inputs &amp; Assumptions'!$V$28^2/2))</f>
        <v>0</v>
      </c>
      <c r="E420" s="45" t="n">
        <f aca="false">ROUND(C420*D420,0)</f>
        <v>0</v>
      </c>
      <c r="F420" s="47" t="n">
        <f aca="false">MIN(1,'Model Inputs &amp; Assumptions'!$W$28*EXP('Model Inputs &amp; Assumptions'!$X$28*R420-'Model Inputs &amp; Assumptions'!$X$28^2/2))</f>
        <v>0.00112457036856611</v>
      </c>
      <c r="G420" s="45" t="n">
        <f aca="false">ROUND(C420*F420,0)</f>
        <v>510</v>
      </c>
      <c r="H420" s="48" t="n">
        <f aca="false">MAX(0,(C420*'Model Inputs &amp; Assumptions'!$N$28+E420*'Model Inputs &amp; Assumptions'!$O$28+G420*'Model Inputs &amp; Assumptions'!$P$28)*EXP('Model Inputs &amp; Assumptions'!$Q$28*S420-'Model Inputs &amp; Assumptions'!$Q$28^2/2))</f>
        <v>14.6703555500007</v>
      </c>
      <c r="I420" s="49" t="n">
        <f aca="false">IF('Model Inputs &amp; Assumptions'!$H$28="Fixed",'Model Inputs &amp; Assumptions'!$I$28*'Model Inputs &amp; Assumptions'!$K$28,IF('Model Inputs &amp; Assumptions'!$H$28="CPM",'Model Inputs &amp; Assumptions'!$I$28*'Model Inputs &amp; Assumptions'!$K$28*C420/1000,IF('Model Inputs &amp; Assumptions'!$H$28="CPC",'Model Inputs &amp; Assumptions'!$I$28*'Model Inputs &amp; Assumptions'!$K$28*G420,0)))</f>
        <v>2945.956</v>
      </c>
      <c r="J420" s="50" t="n">
        <f aca="false">H420*INDEX('Model Inputs &amp; Assumptions'!$D$40:$D$42,MATCH('Model Inputs &amp; Assumptions'!$L$28,'Model Inputs &amp; Assumptions'!$A$40:$A$42,0))*INDEX('Model Inputs &amp; Assumptions'!$H$40:$H$42,MATCH('Model Inputs &amp; Assumptions'!$L$28,'Model Inputs &amp; Assumptions'!$A$40:$A$42,0))</f>
        <v>124698.022175006</v>
      </c>
      <c r="K420" s="49" t="n">
        <f aca="false">H420*INDEX('Model Inputs &amp; Assumptions'!$G$40:$G$42,MATCH('Model Inputs &amp; Assumptions'!$L$28,'Model Inputs &amp; Assumptions'!$A$40:$A$42,0))*INDEX('Model Inputs &amp; Assumptions'!$H$40:$H$42,MATCH('Model Inputs &amp; Assumptions'!$L$28,'Model Inputs &amp; Assumptions'!$A$40:$A$42,0))</f>
        <v>2805.70549893764</v>
      </c>
      <c r="L420" s="51" t="n">
        <f aca="false">IFERROR(K420/I420,0)</f>
        <v>0.952392194227489</v>
      </c>
      <c r="M420" s="49" t="n">
        <f aca="false">IFERROR(I420/H420,0)</f>
        <v>200.810129649506</v>
      </c>
      <c r="N420" s="52" t="str">
        <f aca="false">'Model Inputs &amp; Assumptions'!$L$28</f>
        <v>PRD-EUAI</v>
      </c>
      <c r="P420" s="53" t="n">
        <v>0.007555</v>
      </c>
      <c r="Q420" s="53" t="n">
        <v>0.830038</v>
      </c>
      <c r="R420" s="53" t="n">
        <v>-1.199382</v>
      </c>
      <c r="S420" s="53" t="n">
        <v>0.00992</v>
      </c>
    </row>
    <row r="421" customFormat="false" ht="15" hidden="false" customHeight="false" outlineLevel="0" collapsed="false">
      <c r="A421" s="43" t="n">
        <v>418</v>
      </c>
      <c r="B421" s="44" t="str">
        <f aca="false">'Model Inputs &amp; Assumptions'!$B$28</f>
        <v>finanzen.net — Q1 Awareness Burst</v>
      </c>
      <c r="C421" s="45" t="n">
        <f aca="false">ROUND(MAX(0,'Model Inputs &amp; Assumptions'!$S$28*EXP('Model Inputs &amp; Assumptions'!$T$28*P421-'Model Inputs &amp; Assumptions'!$T$28^2/2)),0)</f>
        <v>412563</v>
      </c>
      <c r="D421" s="46" t="n">
        <f aca="false">MIN(1,'Model Inputs &amp; Assumptions'!$U$28*EXP('Model Inputs &amp; Assumptions'!$V$28*Q421-'Model Inputs &amp; Assumptions'!$V$28^2/2))</f>
        <v>0</v>
      </c>
      <c r="E421" s="45" t="n">
        <f aca="false">ROUND(C421*D421,0)</f>
        <v>0</v>
      </c>
      <c r="F421" s="47" t="n">
        <f aca="false">MIN(1,'Model Inputs &amp; Assumptions'!$W$28*EXP('Model Inputs &amp; Assumptions'!$X$28*R421-'Model Inputs &amp; Assumptions'!$X$28^2/2))</f>
        <v>0.00130276380049594</v>
      </c>
      <c r="G421" s="45" t="n">
        <f aca="false">ROUND(C421*F421,0)</f>
        <v>537</v>
      </c>
      <c r="H421" s="48" t="n">
        <f aca="false">MAX(0,(C421*'Model Inputs &amp; Assumptions'!$N$28+E421*'Model Inputs &amp; Assumptions'!$O$28+G421*'Model Inputs &amp; Assumptions'!$P$28)*EXP('Model Inputs &amp; Assumptions'!$Q$28*S421-'Model Inputs &amp; Assumptions'!$Q$28^2/2))</f>
        <v>25.32815688339</v>
      </c>
      <c r="I421" s="49" t="n">
        <f aca="false">IF('Model Inputs &amp; Assumptions'!$H$28="Fixed",'Model Inputs &amp; Assumptions'!$I$28*'Model Inputs &amp; Assumptions'!$K$28,IF('Model Inputs &amp; Assumptions'!$H$28="CPM",'Model Inputs &amp; Assumptions'!$I$28*'Model Inputs &amp; Assumptions'!$K$28*C421/1000,IF('Model Inputs &amp; Assumptions'!$H$28="CPC",'Model Inputs &amp; Assumptions'!$I$28*'Model Inputs &amp; Assumptions'!$K$28*G421,0)))</f>
        <v>2681.6595</v>
      </c>
      <c r="J421" s="50" t="n">
        <f aca="false">H421*INDEX('Model Inputs &amp; Assumptions'!$D$40:$D$42,MATCH('Model Inputs &amp; Assumptions'!$L$28,'Model Inputs &amp; Assumptions'!$A$40:$A$42,0))*INDEX('Model Inputs &amp; Assumptions'!$H$40:$H$42,MATCH('Model Inputs &amp; Assumptions'!$L$28,'Model Inputs &amp; Assumptions'!$A$40:$A$42,0))</f>
        <v>215289.333508815</v>
      </c>
      <c r="K421" s="49" t="n">
        <f aca="false">H421*INDEX('Model Inputs &amp; Assumptions'!$G$40:$G$42,MATCH('Model Inputs &amp; Assumptions'!$L$28,'Model Inputs &amp; Assumptions'!$A$40:$A$42,0))*INDEX('Model Inputs &amp; Assumptions'!$H$40:$H$42,MATCH('Model Inputs &amp; Assumptions'!$L$28,'Model Inputs &amp; Assumptions'!$A$40:$A$42,0))</f>
        <v>4844.01000394834</v>
      </c>
      <c r="L421" s="51" t="n">
        <f aca="false">IFERROR(K421/I421,0)</f>
        <v>1.80634789910812</v>
      </c>
      <c r="M421" s="49" t="n">
        <f aca="false">IFERROR(I421/H421,0)</f>
        <v>105.876614407684</v>
      </c>
      <c r="N421" s="52" t="str">
        <f aca="false">'Model Inputs &amp; Assumptions'!$L$28</f>
        <v>PRD-EUAI</v>
      </c>
      <c r="P421" s="53" t="n">
        <v>-0.514648</v>
      </c>
      <c r="Q421" s="53" t="n">
        <v>1.493856</v>
      </c>
      <c r="R421" s="53" t="n">
        <v>-0.530805</v>
      </c>
      <c r="S421" s="53" t="n">
        <v>1.658255</v>
      </c>
    </row>
    <row r="422" customFormat="false" ht="15" hidden="false" customHeight="false" outlineLevel="0" collapsed="false">
      <c r="A422" s="43" t="n">
        <v>419</v>
      </c>
      <c r="B422" s="44" t="str">
        <f aca="false">'Model Inputs &amp; Assumptions'!$B$28</f>
        <v>finanzen.net — Q1 Awareness Burst</v>
      </c>
      <c r="C422" s="45" t="n">
        <f aca="false">ROUND(MAX(0,'Model Inputs &amp; Assumptions'!$S$28*EXP('Model Inputs &amp; Assumptions'!$T$28*P422-'Model Inputs &amp; Assumptions'!$T$28^2/2)),0)</f>
        <v>496866</v>
      </c>
      <c r="D422" s="46" t="n">
        <f aca="false">MIN(1,'Model Inputs &amp; Assumptions'!$U$28*EXP('Model Inputs &amp; Assumptions'!$V$28*Q422-'Model Inputs &amp; Assumptions'!$V$28^2/2))</f>
        <v>0</v>
      </c>
      <c r="E422" s="45" t="n">
        <f aca="false">ROUND(C422*D422,0)</f>
        <v>0</v>
      </c>
      <c r="F422" s="47" t="n">
        <f aca="false">MIN(1,'Model Inputs &amp; Assumptions'!$W$28*EXP('Model Inputs &amp; Assumptions'!$X$28*R422-'Model Inputs &amp; Assumptions'!$X$28^2/2))</f>
        <v>0.00151525273693628</v>
      </c>
      <c r="G422" s="45" t="n">
        <f aca="false">ROUND(C422*F422,0)</f>
        <v>753</v>
      </c>
      <c r="H422" s="48" t="n">
        <f aca="false">MAX(0,(C422*'Model Inputs &amp; Assumptions'!$N$28+E422*'Model Inputs &amp; Assumptions'!$O$28+G422*'Model Inputs &amp; Assumptions'!$P$28)*EXP('Model Inputs &amp; Assumptions'!$Q$28*S422-'Model Inputs &amp; Assumptions'!$Q$28^2/2))</f>
        <v>30.4920297709972</v>
      </c>
      <c r="I422" s="49" t="n">
        <f aca="false">IF('Model Inputs &amp; Assumptions'!$H$28="Fixed",'Model Inputs &amp; Assumptions'!$I$28*'Model Inputs &amp; Assumptions'!$K$28,IF('Model Inputs &amp; Assumptions'!$H$28="CPM",'Model Inputs &amp; Assumptions'!$I$28*'Model Inputs &amp; Assumptions'!$K$28*C422/1000,IF('Model Inputs &amp; Assumptions'!$H$28="CPC",'Model Inputs &amp; Assumptions'!$I$28*'Model Inputs &amp; Assumptions'!$K$28*G422,0)))</f>
        <v>3229.629</v>
      </c>
      <c r="J422" s="50" t="n">
        <f aca="false">H422*INDEX('Model Inputs &amp; Assumptions'!$D$40:$D$42,MATCH('Model Inputs &amp; Assumptions'!$L$28,'Model Inputs &amp; Assumptions'!$A$40:$A$42,0))*INDEX('Model Inputs &amp; Assumptions'!$H$40:$H$42,MATCH('Model Inputs &amp; Assumptions'!$L$28,'Model Inputs &amp; Assumptions'!$A$40:$A$42,0))</f>
        <v>259182.253053476</v>
      </c>
      <c r="K422" s="49" t="n">
        <f aca="false">H422*INDEX('Model Inputs &amp; Assumptions'!$G$40:$G$42,MATCH('Model Inputs &amp; Assumptions'!$L$28,'Model Inputs &amp; Assumptions'!$A$40:$A$42,0))*INDEX('Model Inputs &amp; Assumptions'!$H$40:$H$42,MATCH('Model Inputs &amp; Assumptions'!$L$28,'Model Inputs &amp; Assumptions'!$A$40:$A$42,0))</f>
        <v>5831.60069370321</v>
      </c>
      <c r="L422" s="51" t="n">
        <f aca="false">IFERROR(K422/I422,0)</f>
        <v>1.80565653011637</v>
      </c>
      <c r="M422" s="49" t="n">
        <f aca="false">IFERROR(I422/H422,0)</f>
        <v>105.917153572764</v>
      </c>
      <c r="N422" s="52" t="str">
        <f aca="false">'Model Inputs &amp; Assumptions'!$L$28</f>
        <v>PRD-EUAI</v>
      </c>
      <c r="P422" s="53" t="n">
        <v>0.518304</v>
      </c>
      <c r="Q422" s="53" t="n">
        <v>-1.372952</v>
      </c>
      <c r="R422" s="53" t="n">
        <v>0.155987</v>
      </c>
      <c r="S422" s="53" t="n">
        <v>1.14986</v>
      </c>
    </row>
    <row r="423" customFormat="false" ht="15" hidden="false" customHeight="false" outlineLevel="0" collapsed="false">
      <c r="A423" s="43" t="n">
        <v>420</v>
      </c>
      <c r="B423" s="44" t="str">
        <f aca="false">'Model Inputs &amp; Assumptions'!$B$28</f>
        <v>finanzen.net — Q1 Awareness Burst</v>
      </c>
      <c r="C423" s="45" t="n">
        <f aca="false">ROUND(MAX(0,'Model Inputs &amp; Assumptions'!$S$28*EXP('Model Inputs &amp; Assumptions'!$T$28*P423-'Model Inputs &amp; Assumptions'!$T$28^2/2)),0)</f>
        <v>392790</v>
      </c>
      <c r="D423" s="46" t="n">
        <f aca="false">MIN(1,'Model Inputs &amp; Assumptions'!$U$28*EXP('Model Inputs &amp; Assumptions'!$V$28*Q423-'Model Inputs &amp; Assumptions'!$V$28^2/2))</f>
        <v>0</v>
      </c>
      <c r="E423" s="45" t="n">
        <f aca="false">ROUND(C423*D423,0)</f>
        <v>0</v>
      </c>
      <c r="F423" s="47" t="n">
        <f aca="false">MIN(1,'Model Inputs &amp; Assumptions'!$W$28*EXP('Model Inputs &amp; Assumptions'!$X$28*R423-'Model Inputs &amp; Assumptions'!$X$28^2/2))</f>
        <v>0.00200521913311003</v>
      </c>
      <c r="G423" s="45" t="n">
        <f aca="false">ROUND(C423*F423,0)</f>
        <v>788</v>
      </c>
      <c r="H423" s="48" t="n">
        <f aca="false">MAX(0,(C423*'Model Inputs &amp; Assumptions'!$N$28+E423*'Model Inputs &amp; Assumptions'!$O$28+G423*'Model Inputs &amp; Assumptions'!$P$28)*EXP('Model Inputs &amp; Assumptions'!$Q$28*S423-'Model Inputs &amp; Assumptions'!$Q$28^2/2))</f>
        <v>21.8086720802217</v>
      </c>
      <c r="I423" s="49" t="n">
        <f aca="false">IF('Model Inputs &amp; Assumptions'!$H$28="Fixed",'Model Inputs &amp; Assumptions'!$I$28*'Model Inputs &amp; Assumptions'!$K$28,IF('Model Inputs &amp; Assumptions'!$H$28="CPM",'Model Inputs &amp; Assumptions'!$I$28*'Model Inputs &amp; Assumptions'!$K$28*C423/1000,IF('Model Inputs &amp; Assumptions'!$H$28="CPC",'Model Inputs &amp; Assumptions'!$I$28*'Model Inputs &amp; Assumptions'!$K$28*G423,0)))</f>
        <v>2553.135</v>
      </c>
      <c r="J423" s="50" t="n">
        <f aca="false">H423*INDEX('Model Inputs &amp; Assumptions'!$D$40:$D$42,MATCH('Model Inputs &amp; Assumptions'!$L$28,'Model Inputs &amp; Assumptions'!$A$40:$A$42,0))*INDEX('Model Inputs &amp; Assumptions'!$H$40:$H$42,MATCH('Model Inputs &amp; Assumptions'!$L$28,'Model Inputs &amp; Assumptions'!$A$40:$A$42,0))</f>
        <v>185373.712681884</v>
      </c>
      <c r="K423" s="49" t="n">
        <f aca="false">H423*INDEX('Model Inputs &amp; Assumptions'!$G$40:$G$42,MATCH('Model Inputs &amp; Assumptions'!$L$28,'Model Inputs &amp; Assumptions'!$A$40:$A$42,0))*INDEX('Model Inputs &amp; Assumptions'!$H$40:$H$42,MATCH('Model Inputs &amp; Assumptions'!$L$28,'Model Inputs &amp; Assumptions'!$A$40:$A$42,0))</f>
        <v>4170.9085353424</v>
      </c>
      <c r="L423" s="51" t="n">
        <f aca="false">IFERROR(K423/I423,0)</f>
        <v>1.63364198733807</v>
      </c>
      <c r="M423" s="49" t="n">
        <f aca="false">IFERROR(I423/H423,0)</f>
        <v>117.069713855501</v>
      </c>
      <c r="N423" s="52" t="str">
        <f aca="false">'Model Inputs &amp; Assumptions'!$L$28</f>
        <v>PRD-EUAI</v>
      </c>
      <c r="P423" s="53" t="n">
        <v>-0.787512</v>
      </c>
      <c r="Q423" s="53" t="n">
        <v>0.816006</v>
      </c>
      <c r="R423" s="53" t="n">
        <v>1.429492</v>
      </c>
      <c r="S423" s="53" t="n">
        <v>-0.118775</v>
      </c>
    </row>
    <row r="424" customFormat="false" ht="15" hidden="false" customHeight="false" outlineLevel="0" collapsed="false">
      <c r="A424" s="43" t="n">
        <v>421</v>
      </c>
      <c r="B424" s="44" t="str">
        <f aca="false">'Model Inputs &amp; Assumptions'!$B$28</f>
        <v>finanzen.net — Q1 Awareness Burst</v>
      </c>
      <c r="C424" s="45" t="n">
        <f aca="false">ROUND(MAX(0,'Model Inputs &amp; Assumptions'!$S$28*EXP('Model Inputs &amp; Assumptions'!$T$28*P424-'Model Inputs &amp; Assumptions'!$T$28^2/2)),0)</f>
        <v>458685</v>
      </c>
      <c r="D424" s="46" t="n">
        <f aca="false">MIN(1,'Model Inputs &amp; Assumptions'!$U$28*EXP('Model Inputs &amp; Assumptions'!$V$28*Q424-'Model Inputs &amp; Assumptions'!$V$28^2/2))</f>
        <v>0</v>
      </c>
      <c r="E424" s="45" t="n">
        <f aca="false">ROUND(C424*D424,0)</f>
        <v>0</v>
      </c>
      <c r="F424" s="47" t="n">
        <f aca="false">MIN(1,'Model Inputs &amp; Assumptions'!$W$28*EXP('Model Inputs &amp; Assumptions'!$X$28*R424-'Model Inputs &amp; Assumptions'!$X$28^2/2))</f>
        <v>0.00080645005461853</v>
      </c>
      <c r="G424" s="45" t="n">
        <f aca="false">ROUND(C424*F424,0)</f>
        <v>370</v>
      </c>
      <c r="H424" s="48" t="n">
        <f aca="false">MAX(0,(C424*'Model Inputs &amp; Assumptions'!$N$28+E424*'Model Inputs &amp; Assumptions'!$O$28+G424*'Model Inputs &amp; Assumptions'!$P$28)*EXP('Model Inputs &amp; Assumptions'!$Q$28*S424-'Model Inputs &amp; Assumptions'!$Q$28^2/2))</f>
        <v>16.6732261497702</v>
      </c>
      <c r="I424" s="49" t="n">
        <f aca="false">IF('Model Inputs &amp; Assumptions'!$H$28="Fixed",'Model Inputs &amp; Assumptions'!$I$28*'Model Inputs &amp; Assumptions'!$K$28,IF('Model Inputs &amp; Assumptions'!$H$28="CPM",'Model Inputs &amp; Assumptions'!$I$28*'Model Inputs &amp; Assumptions'!$K$28*C424/1000,IF('Model Inputs &amp; Assumptions'!$H$28="CPC",'Model Inputs &amp; Assumptions'!$I$28*'Model Inputs &amp; Assumptions'!$K$28*G424,0)))</f>
        <v>2981.4525</v>
      </c>
      <c r="J424" s="50" t="n">
        <f aca="false">H424*INDEX('Model Inputs &amp; Assumptions'!$D$40:$D$42,MATCH('Model Inputs &amp; Assumptions'!$L$28,'Model Inputs &amp; Assumptions'!$A$40:$A$42,0))*INDEX('Model Inputs &amp; Assumptions'!$H$40:$H$42,MATCH('Model Inputs &amp; Assumptions'!$L$28,'Model Inputs &amp; Assumptions'!$A$40:$A$42,0))</f>
        <v>141722.422273047</v>
      </c>
      <c r="K424" s="49" t="n">
        <f aca="false">H424*INDEX('Model Inputs &amp; Assumptions'!$G$40:$G$42,MATCH('Model Inputs &amp; Assumptions'!$L$28,'Model Inputs &amp; Assumptions'!$A$40:$A$42,0))*INDEX('Model Inputs &amp; Assumptions'!$H$40:$H$42,MATCH('Model Inputs &amp; Assumptions'!$L$28,'Model Inputs &amp; Assumptions'!$A$40:$A$42,0))</f>
        <v>3188.75450114355</v>
      </c>
      <c r="L424" s="51" t="n">
        <f aca="false">IFERROR(K424/I424,0)</f>
        <v>1.06953053960898</v>
      </c>
      <c r="M424" s="49" t="n">
        <f aca="false">IFERROR(I424/H424,0)</f>
        <v>178.816773263829</v>
      </c>
      <c r="N424" s="52" t="str">
        <f aca="false">'Model Inputs &amp; Assumptions'!$L$28</f>
        <v>PRD-EUAI</v>
      </c>
      <c r="P424" s="53" t="n">
        <v>0.074097</v>
      </c>
      <c r="Q424" s="53" t="n">
        <v>0.148706</v>
      </c>
      <c r="R424" s="53" t="n">
        <v>-2.710811</v>
      </c>
      <c r="S424" s="53" t="n">
        <v>1.506197</v>
      </c>
    </row>
    <row r="425" customFormat="false" ht="15" hidden="false" customHeight="false" outlineLevel="0" collapsed="false">
      <c r="A425" s="43" t="n">
        <v>422</v>
      </c>
      <c r="B425" s="44" t="str">
        <f aca="false">'Model Inputs &amp; Assumptions'!$B$28</f>
        <v>finanzen.net — Q1 Awareness Burst</v>
      </c>
      <c r="C425" s="45" t="n">
        <f aca="false">ROUND(MAX(0,'Model Inputs &amp; Assumptions'!$S$28*EXP('Model Inputs &amp; Assumptions'!$T$28*P425-'Model Inputs &amp; Assumptions'!$T$28^2/2)),0)</f>
        <v>604194</v>
      </c>
      <c r="D425" s="46" t="n">
        <f aca="false">MIN(1,'Model Inputs &amp; Assumptions'!$U$28*EXP('Model Inputs &amp; Assumptions'!$V$28*Q425-'Model Inputs &amp; Assumptions'!$V$28^2/2))</f>
        <v>0</v>
      </c>
      <c r="E425" s="45" t="n">
        <f aca="false">ROUND(C425*D425,0)</f>
        <v>0</v>
      </c>
      <c r="F425" s="47" t="n">
        <f aca="false">MIN(1,'Model Inputs &amp; Assumptions'!$W$28*EXP('Model Inputs &amp; Assumptions'!$X$28*R425-'Model Inputs &amp; Assumptions'!$X$28^2/2))</f>
        <v>0.0015834677620284</v>
      </c>
      <c r="G425" s="45" t="n">
        <f aca="false">ROUND(C425*F425,0)</f>
        <v>957</v>
      </c>
      <c r="H425" s="48" t="n">
        <f aca="false">MAX(0,(C425*'Model Inputs &amp; Assumptions'!$N$28+E425*'Model Inputs &amp; Assumptions'!$O$28+G425*'Model Inputs &amp; Assumptions'!$P$28)*EXP('Model Inputs &amp; Assumptions'!$Q$28*S425-'Model Inputs &amp; Assumptions'!$Q$28^2/2))</f>
        <v>35.5132829510374</v>
      </c>
      <c r="I425" s="49" t="n">
        <f aca="false">IF('Model Inputs &amp; Assumptions'!$H$28="Fixed",'Model Inputs &amp; Assumptions'!$I$28*'Model Inputs &amp; Assumptions'!$K$28,IF('Model Inputs &amp; Assumptions'!$H$28="CPM",'Model Inputs &amp; Assumptions'!$I$28*'Model Inputs &amp; Assumptions'!$K$28*C425/1000,IF('Model Inputs &amp; Assumptions'!$H$28="CPC",'Model Inputs &amp; Assumptions'!$I$28*'Model Inputs &amp; Assumptions'!$K$28*G425,0)))</f>
        <v>3927.261</v>
      </c>
      <c r="J425" s="50" t="n">
        <f aca="false">H425*INDEX('Model Inputs &amp; Assumptions'!$D$40:$D$42,MATCH('Model Inputs &amp; Assumptions'!$L$28,'Model Inputs &amp; Assumptions'!$A$40:$A$42,0))*INDEX('Model Inputs &amp; Assumptions'!$H$40:$H$42,MATCH('Model Inputs &amp; Assumptions'!$L$28,'Model Inputs &amp; Assumptions'!$A$40:$A$42,0))</f>
        <v>301862.905083818</v>
      </c>
      <c r="K425" s="49" t="n">
        <f aca="false">H425*INDEX('Model Inputs &amp; Assumptions'!$G$40:$G$42,MATCH('Model Inputs &amp; Assumptions'!$L$28,'Model Inputs &amp; Assumptions'!$A$40:$A$42,0))*INDEX('Model Inputs &amp; Assumptions'!$H$40:$H$42,MATCH('Model Inputs &amp; Assumptions'!$L$28,'Model Inputs &amp; Assumptions'!$A$40:$A$42,0))</f>
        <v>6791.9153643859</v>
      </c>
      <c r="L425" s="51" t="n">
        <f aca="false">IFERROR(K425/I425,0)</f>
        <v>1.72942805797371</v>
      </c>
      <c r="M425" s="49" t="n">
        <f aca="false">IFERROR(I425/H425,0)</f>
        <v>110.585692835398</v>
      </c>
      <c r="N425" s="52" t="str">
        <f aca="false">'Model Inputs &amp; Assumptions'!$L$28</f>
        <v>PRD-EUAI</v>
      </c>
      <c r="P425" s="53" t="n">
        <v>1.60483</v>
      </c>
      <c r="Q425" s="53" t="n">
        <v>-1.471467</v>
      </c>
      <c r="R425" s="53" t="n">
        <v>0.356146</v>
      </c>
      <c r="S425" s="53" t="n">
        <v>0.858871</v>
      </c>
    </row>
    <row r="426" customFormat="false" ht="15" hidden="false" customHeight="false" outlineLevel="0" collapsed="false">
      <c r="A426" s="43" t="n">
        <v>423</v>
      </c>
      <c r="B426" s="44" t="str">
        <f aca="false">'Model Inputs &amp; Assumptions'!$B$28</f>
        <v>finanzen.net — Q1 Awareness Burst</v>
      </c>
      <c r="C426" s="45" t="n">
        <f aca="false">ROUND(MAX(0,'Model Inputs &amp; Assumptions'!$S$28*EXP('Model Inputs &amp; Assumptions'!$T$28*P426-'Model Inputs &amp; Assumptions'!$T$28^2/2)),0)</f>
        <v>496306</v>
      </c>
      <c r="D426" s="46" t="n">
        <f aca="false">MIN(1,'Model Inputs &amp; Assumptions'!$U$28*EXP('Model Inputs &amp; Assumptions'!$V$28*Q426-'Model Inputs &amp; Assumptions'!$V$28^2/2))</f>
        <v>0</v>
      </c>
      <c r="E426" s="45" t="n">
        <f aca="false">ROUND(C426*D426,0)</f>
        <v>0</v>
      </c>
      <c r="F426" s="47" t="n">
        <f aca="false">MIN(1,'Model Inputs &amp; Assumptions'!$W$28*EXP('Model Inputs &amp; Assumptions'!$X$28*R426-'Model Inputs &amp; Assumptions'!$X$28^2/2))</f>
        <v>0.00158829505443729</v>
      </c>
      <c r="G426" s="45" t="n">
        <f aca="false">ROUND(C426*F426,0)</f>
        <v>788</v>
      </c>
      <c r="H426" s="48" t="n">
        <f aca="false">MAX(0,(C426*'Model Inputs &amp; Assumptions'!$N$28+E426*'Model Inputs &amp; Assumptions'!$O$28+G426*'Model Inputs &amp; Assumptions'!$P$28)*EXP('Model Inputs &amp; Assumptions'!$Q$28*S426-'Model Inputs &amp; Assumptions'!$Q$28^2/2))</f>
        <v>25.1349722357274</v>
      </c>
      <c r="I426" s="49" t="n">
        <f aca="false">IF('Model Inputs &amp; Assumptions'!$H$28="Fixed",'Model Inputs &amp; Assumptions'!$I$28*'Model Inputs &amp; Assumptions'!$K$28,IF('Model Inputs &amp; Assumptions'!$H$28="CPM",'Model Inputs &amp; Assumptions'!$I$28*'Model Inputs &amp; Assumptions'!$K$28*C426/1000,IF('Model Inputs &amp; Assumptions'!$H$28="CPC",'Model Inputs &amp; Assumptions'!$I$28*'Model Inputs &amp; Assumptions'!$K$28*G426,0)))</f>
        <v>3225.989</v>
      </c>
      <c r="J426" s="50" t="n">
        <f aca="false">H426*INDEX('Model Inputs &amp; Assumptions'!$D$40:$D$42,MATCH('Model Inputs &amp; Assumptions'!$L$28,'Model Inputs &amp; Assumptions'!$A$40:$A$42,0))*INDEX('Model Inputs &amp; Assumptions'!$H$40:$H$42,MATCH('Model Inputs &amp; Assumptions'!$L$28,'Model Inputs &amp; Assumptions'!$A$40:$A$42,0))</f>
        <v>213647.264003683</v>
      </c>
      <c r="K426" s="49" t="n">
        <f aca="false">H426*INDEX('Model Inputs &amp; Assumptions'!$G$40:$G$42,MATCH('Model Inputs &amp; Assumptions'!$L$28,'Model Inputs &amp; Assumptions'!$A$40:$A$42,0))*INDEX('Model Inputs &amp; Assumptions'!$H$40:$H$42,MATCH('Model Inputs &amp; Assumptions'!$L$28,'Model Inputs &amp; Assumptions'!$A$40:$A$42,0))</f>
        <v>4807.06344008287</v>
      </c>
      <c r="L426" s="51" t="n">
        <f aca="false">IFERROR(K426/I426,0)</f>
        <v>1.49010534136442</v>
      </c>
      <c r="M426" s="49" t="n">
        <f aca="false">IFERROR(I426/H426,0)</f>
        <v>128.34663073208</v>
      </c>
      <c r="N426" s="52" t="str">
        <f aca="false">'Model Inputs &amp; Assumptions'!$L$28</f>
        <v>PRD-EUAI</v>
      </c>
      <c r="P426" s="53" t="n">
        <v>0.512035</v>
      </c>
      <c r="Q426" s="53" t="n">
        <v>0.600946</v>
      </c>
      <c r="R426" s="53" t="n">
        <v>0.369982</v>
      </c>
      <c r="S426" s="53" t="n">
        <v>0.3544</v>
      </c>
    </row>
    <row r="427" customFormat="false" ht="15" hidden="false" customHeight="false" outlineLevel="0" collapsed="false">
      <c r="A427" s="43" t="n">
        <v>424</v>
      </c>
      <c r="B427" s="44" t="str">
        <f aca="false">'Model Inputs &amp; Assumptions'!$B$28</f>
        <v>finanzen.net — Q1 Awareness Burst</v>
      </c>
      <c r="C427" s="45" t="n">
        <f aca="false">ROUND(MAX(0,'Model Inputs &amp; Assumptions'!$S$28*EXP('Model Inputs &amp; Assumptions'!$T$28*P427-'Model Inputs &amp; Assumptions'!$T$28^2/2)),0)</f>
        <v>507307</v>
      </c>
      <c r="D427" s="46" t="n">
        <f aca="false">MIN(1,'Model Inputs &amp; Assumptions'!$U$28*EXP('Model Inputs &amp; Assumptions'!$V$28*Q427-'Model Inputs &amp; Assumptions'!$V$28^2/2))</f>
        <v>0</v>
      </c>
      <c r="E427" s="45" t="n">
        <f aca="false">ROUND(C427*D427,0)</f>
        <v>0</v>
      </c>
      <c r="F427" s="47" t="n">
        <f aca="false">MIN(1,'Model Inputs &amp; Assumptions'!$W$28*EXP('Model Inputs &amp; Assumptions'!$X$28*R427-'Model Inputs &amp; Assumptions'!$X$28^2/2))</f>
        <v>0.00144273230261455</v>
      </c>
      <c r="G427" s="45" t="n">
        <f aca="false">ROUND(C427*F427,0)</f>
        <v>732</v>
      </c>
      <c r="H427" s="48" t="n">
        <f aca="false">MAX(0,(C427*'Model Inputs &amp; Assumptions'!$N$28+E427*'Model Inputs &amp; Assumptions'!$O$28+G427*'Model Inputs &amp; Assumptions'!$P$28)*EXP('Model Inputs &amp; Assumptions'!$Q$28*S427-'Model Inputs &amp; Assumptions'!$Q$28^2/2))</f>
        <v>21.2073075203645</v>
      </c>
      <c r="I427" s="49" t="n">
        <f aca="false">IF('Model Inputs &amp; Assumptions'!$H$28="Fixed",'Model Inputs &amp; Assumptions'!$I$28*'Model Inputs &amp; Assumptions'!$K$28,IF('Model Inputs &amp; Assumptions'!$H$28="CPM",'Model Inputs &amp; Assumptions'!$I$28*'Model Inputs &amp; Assumptions'!$K$28*C427/1000,IF('Model Inputs &amp; Assumptions'!$H$28="CPC",'Model Inputs &amp; Assumptions'!$I$28*'Model Inputs &amp; Assumptions'!$K$28*G427,0)))</f>
        <v>3297.4955</v>
      </c>
      <c r="J427" s="50" t="n">
        <f aca="false">H427*INDEX('Model Inputs &amp; Assumptions'!$D$40:$D$42,MATCH('Model Inputs &amp; Assumptions'!$L$28,'Model Inputs &amp; Assumptions'!$A$40:$A$42,0))*INDEX('Model Inputs &amp; Assumptions'!$H$40:$H$42,MATCH('Model Inputs &amp; Assumptions'!$L$28,'Model Inputs &amp; Assumptions'!$A$40:$A$42,0))</f>
        <v>180262.113923098</v>
      </c>
      <c r="K427" s="49" t="n">
        <f aca="false">H427*INDEX('Model Inputs &amp; Assumptions'!$G$40:$G$42,MATCH('Model Inputs &amp; Assumptions'!$L$28,'Model Inputs &amp; Assumptions'!$A$40:$A$42,0))*INDEX('Model Inputs &amp; Assumptions'!$H$40:$H$42,MATCH('Model Inputs &amp; Assumptions'!$L$28,'Model Inputs &amp; Assumptions'!$A$40:$A$42,0))</f>
        <v>4055.89756326971</v>
      </c>
      <c r="L427" s="51" t="n">
        <f aca="false">IFERROR(K427/I427,0)</f>
        <v>1.22999335807121</v>
      </c>
      <c r="M427" s="49" t="n">
        <f aca="false">IFERROR(I427/H427,0)</f>
        <v>155.488644507727</v>
      </c>
      <c r="N427" s="52" t="str">
        <f aca="false">'Model Inputs &amp; Assumptions'!$L$28</f>
        <v>PRD-EUAI</v>
      </c>
      <c r="P427" s="53" t="n">
        <v>0.633828</v>
      </c>
      <c r="Q427" s="53" t="n">
        <v>-1.304734</v>
      </c>
      <c r="R427" s="53" t="n">
        <v>-0.066938</v>
      </c>
      <c r="S427" s="53" t="n">
        <v>0.033744</v>
      </c>
    </row>
    <row r="428" customFormat="false" ht="15" hidden="false" customHeight="false" outlineLevel="0" collapsed="false">
      <c r="A428" s="43" t="n">
        <v>425</v>
      </c>
      <c r="B428" s="44" t="str">
        <f aca="false">'Model Inputs &amp; Assumptions'!$B$28</f>
        <v>finanzen.net — Q1 Awareness Burst</v>
      </c>
      <c r="C428" s="45" t="n">
        <f aca="false">ROUND(MAX(0,'Model Inputs &amp; Assumptions'!$S$28*EXP('Model Inputs &amp; Assumptions'!$T$28*P428-'Model Inputs &amp; Assumptions'!$T$28^2/2)),0)</f>
        <v>542365</v>
      </c>
      <c r="D428" s="46" t="n">
        <f aca="false">MIN(1,'Model Inputs &amp; Assumptions'!$U$28*EXP('Model Inputs &amp; Assumptions'!$V$28*Q428-'Model Inputs &amp; Assumptions'!$V$28^2/2))</f>
        <v>0</v>
      </c>
      <c r="E428" s="45" t="n">
        <f aca="false">ROUND(C428*D428,0)</f>
        <v>0</v>
      </c>
      <c r="F428" s="47" t="n">
        <f aca="false">MIN(1,'Model Inputs &amp; Assumptions'!$W$28*EXP('Model Inputs &amp; Assumptions'!$X$28*R428-'Model Inputs &amp; Assumptions'!$X$28^2/2))</f>
        <v>0.00126082921053599</v>
      </c>
      <c r="G428" s="45" t="n">
        <f aca="false">ROUND(C428*F428,0)</f>
        <v>684</v>
      </c>
      <c r="H428" s="48" t="n">
        <f aca="false">MAX(0,(C428*'Model Inputs &amp; Assumptions'!$N$28+E428*'Model Inputs &amp; Assumptions'!$O$28+G428*'Model Inputs &amp; Assumptions'!$P$28)*EXP('Model Inputs &amp; Assumptions'!$Q$28*S428-'Model Inputs &amp; Assumptions'!$Q$28^2/2))</f>
        <v>14.6672163110677</v>
      </c>
      <c r="I428" s="49" t="n">
        <f aca="false">IF('Model Inputs &amp; Assumptions'!$H$28="Fixed",'Model Inputs &amp; Assumptions'!$I$28*'Model Inputs &amp; Assumptions'!$K$28,IF('Model Inputs &amp; Assumptions'!$H$28="CPM",'Model Inputs &amp; Assumptions'!$I$28*'Model Inputs &amp; Assumptions'!$K$28*C428/1000,IF('Model Inputs &amp; Assumptions'!$H$28="CPC",'Model Inputs &amp; Assumptions'!$I$28*'Model Inputs &amp; Assumptions'!$K$28*G428,0)))</f>
        <v>3525.3725</v>
      </c>
      <c r="J428" s="50" t="n">
        <f aca="false">H428*INDEX('Model Inputs &amp; Assumptions'!$D$40:$D$42,MATCH('Model Inputs &amp; Assumptions'!$L$28,'Model Inputs &amp; Assumptions'!$A$40:$A$42,0))*INDEX('Model Inputs &amp; Assumptions'!$H$40:$H$42,MATCH('Model Inputs &amp; Assumptions'!$L$28,'Model Inputs &amp; Assumptions'!$A$40:$A$42,0))</f>
        <v>124671.338644075</v>
      </c>
      <c r="K428" s="49" t="n">
        <f aca="false">H428*INDEX('Model Inputs &amp; Assumptions'!$G$40:$G$42,MATCH('Model Inputs &amp; Assumptions'!$L$28,'Model Inputs &amp; Assumptions'!$A$40:$A$42,0))*INDEX('Model Inputs &amp; Assumptions'!$H$40:$H$42,MATCH('Model Inputs &amp; Assumptions'!$L$28,'Model Inputs &amp; Assumptions'!$A$40:$A$42,0))</f>
        <v>2805.1051194917</v>
      </c>
      <c r="L428" s="51" t="n">
        <f aca="false">IFERROR(K428/I428,0)</f>
        <v>0.795690418386057</v>
      </c>
      <c r="M428" s="49" t="n">
        <f aca="false">IFERROR(I428/H428,0)</f>
        <v>240.357299247015</v>
      </c>
      <c r="N428" s="52" t="str">
        <f aca="false">'Model Inputs &amp; Assumptions'!$L$28</f>
        <v>PRD-EUAI</v>
      </c>
      <c r="P428" s="53" t="n">
        <v>1.005074</v>
      </c>
      <c r="Q428" s="53" t="n">
        <v>-0.179561</v>
      </c>
      <c r="R428" s="53" t="n">
        <v>-0.679525</v>
      </c>
      <c r="S428" s="53" t="n">
        <v>-0.969284</v>
      </c>
    </row>
    <row r="429" customFormat="false" ht="15" hidden="false" customHeight="false" outlineLevel="0" collapsed="false">
      <c r="A429" s="43" t="n">
        <v>426</v>
      </c>
      <c r="B429" s="44" t="str">
        <f aca="false">'Model Inputs &amp; Assumptions'!$B$28</f>
        <v>finanzen.net — Q1 Awareness Burst</v>
      </c>
      <c r="C429" s="45" t="n">
        <f aca="false">ROUND(MAX(0,'Model Inputs &amp; Assumptions'!$S$28*EXP('Model Inputs &amp; Assumptions'!$T$28*P429-'Model Inputs &amp; Assumptions'!$T$28^2/2)),0)</f>
        <v>511725</v>
      </c>
      <c r="D429" s="46" t="n">
        <f aca="false">MIN(1,'Model Inputs &amp; Assumptions'!$U$28*EXP('Model Inputs &amp; Assumptions'!$V$28*Q429-'Model Inputs &amp; Assumptions'!$V$28^2/2))</f>
        <v>0</v>
      </c>
      <c r="E429" s="45" t="n">
        <f aca="false">ROUND(C429*D429,0)</f>
        <v>0</v>
      </c>
      <c r="F429" s="47" t="n">
        <f aca="false">MIN(1,'Model Inputs &amp; Assumptions'!$W$28*EXP('Model Inputs &amp; Assumptions'!$X$28*R429-'Model Inputs &amp; Assumptions'!$X$28^2/2))</f>
        <v>0.001192448084841</v>
      </c>
      <c r="G429" s="45" t="n">
        <f aca="false">ROUND(C429*F429,0)</f>
        <v>610</v>
      </c>
      <c r="H429" s="48" t="n">
        <f aca="false">MAX(0,(C429*'Model Inputs &amp; Assumptions'!$N$28+E429*'Model Inputs &amp; Assumptions'!$O$28+G429*'Model Inputs &amp; Assumptions'!$P$28)*EXP('Model Inputs &amp; Assumptions'!$Q$28*S429-'Model Inputs &amp; Assumptions'!$Q$28^2/2))</f>
        <v>14.7122320475173</v>
      </c>
      <c r="I429" s="49" t="n">
        <f aca="false">IF('Model Inputs &amp; Assumptions'!$H$28="Fixed",'Model Inputs &amp; Assumptions'!$I$28*'Model Inputs &amp; Assumptions'!$K$28,IF('Model Inputs &amp; Assumptions'!$H$28="CPM",'Model Inputs &amp; Assumptions'!$I$28*'Model Inputs &amp; Assumptions'!$K$28*C429/1000,IF('Model Inputs &amp; Assumptions'!$H$28="CPC",'Model Inputs &amp; Assumptions'!$I$28*'Model Inputs &amp; Assumptions'!$K$28*G429,0)))</f>
        <v>3326.2125</v>
      </c>
      <c r="J429" s="50" t="n">
        <f aca="false">H429*INDEX('Model Inputs &amp; Assumptions'!$D$40:$D$42,MATCH('Model Inputs &amp; Assumptions'!$L$28,'Model Inputs &amp; Assumptions'!$A$40:$A$42,0))*INDEX('Model Inputs &amp; Assumptions'!$H$40:$H$42,MATCH('Model Inputs &amp; Assumptions'!$L$28,'Model Inputs &amp; Assumptions'!$A$40:$A$42,0))</f>
        <v>125053.972403897</v>
      </c>
      <c r="K429" s="49" t="n">
        <f aca="false">H429*INDEX('Model Inputs &amp; Assumptions'!$G$40:$G$42,MATCH('Model Inputs &amp; Assumptions'!$L$28,'Model Inputs &amp; Assumptions'!$A$40:$A$42,0))*INDEX('Model Inputs &amp; Assumptions'!$H$40:$H$42,MATCH('Model Inputs &amp; Assumptions'!$L$28,'Model Inputs &amp; Assumptions'!$A$40:$A$42,0))</f>
        <v>2813.71437908767</v>
      </c>
      <c r="L429" s="51" t="n">
        <f aca="false">IFERROR(K429/I429,0)</f>
        <v>0.845921413345562</v>
      </c>
      <c r="M429" s="49" t="n">
        <f aca="false">IFERROR(I429/H429,0)</f>
        <v>226.084831265376</v>
      </c>
      <c r="N429" s="52" t="str">
        <f aca="false">'Model Inputs &amp; Assumptions'!$L$28</f>
        <v>PRD-EUAI</v>
      </c>
      <c r="P429" s="53" t="n">
        <v>0.682003</v>
      </c>
      <c r="Q429" s="53" t="n">
        <v>0.552975</v>
      </c>
      <c r="R429" s="53" t="n">
        <v>-0.932985</v>
      </c>
      <c r="S429" s="53" t="n">
        <v>-0.577406</v>
      </c>
    </row>
    <row r="430" customFormat="false" ht="15" hidden="false" customHeight="false" outlineLevel="0" collapsed="false">
      <c r="A430" s="43" t="n">
        <v>427</v>
      </c>
      <c r="B430" s="44" t="str">
        <f aca="false">'Model Inputs &amp; Assumptions'!$B$28</f>
        <v>finanzen.net — Q1 Awareness Burst</v>
      </c>
      <c r="C430" s="45" t="n">
        <f aca="false">ROUND(MAX(0,'Model Inputs &amp; Assumptions'!$S$28*EXP('Model Inputs &amp; Assumptions'!$T$28*P430-'Model Inputs &amp; Assumptions'!$T$28^2/2)),0)</f>
        <v>461535</v>
      </c>
      <c r="D430" s="46" t="n">
        <f aca="false">MIN(1,'Model Inputs &amp; Assumptions'!$U$28*EXP('Model Inputs &amp; Assumptions'!$V$28*Q430-'Model Inputs &amp; Assumptions'!$V$28^2/2))</f>
        <v>0</v>
      </c>
      <c r="E430" s="45" t="n">
        <f aca="false">ROUND(C430*D430,0)</f>
        <v>0</v>
      </c>
      <c r="F430" s="47" t="n">
        <f aca="false">MIN(1,'Model Inputs &amp; Assumptions'!$W$28*EXP('Model Inputs &amp; Assumptions'!$X$28*R430-'Model Inputs &amp; Assumptions'!$X$28^2/2))</f>
        <v>0.00150338003249538</v>
      </c>
      <c r="G430" s="45" t="n">
        <f aca="false">ROUND(C430*F430,0)</f>
        <v>694</v>
      </c>
      <c r="H430" s="48" t="n">
        <f aca="false">MAX(0,(C430*'Model Inputs &amp; Assumptions'!$N$28+E430*'Model Inputs &amp; Assumptions'!$O$28+G430*'Model Inputs &amp; Assumptions'!$P$28)*EXP('Model Inputs &amp; Assumptions'!$Q$28*S430-'Model Inputs &amp; Assumptions'!$Q$28^2/2))</f>
        <v>17.6584224675375</v>
      </c>
      <c r="I430" s="49" t="n">
        <f aca="false">IF('Model Inputs &amp; Assumptions'!$H$28="Fixed",'Model Inputs &amp; Assumptions'!$I$28*'Model Inputs &amp; Assumptions'!$K$28,IF('Model Inputs &amp; Assumptions'!$H$28="CPM",'Model Inputs &amp; Assumptions'!$I$28*'Model Inputs &amp; Assumptions'!$K$28*C430/1000,IF('Model Inputs &amp; Assumptions'!$H$28="CPC",'Model Inputs &amp; Assumptions'!$I$28*'Model Inputs &amp; Assumptions'!$K$28*G430,0)))</f>
        <v>2999.9775</v>
      </c>
      <c r="J430" s="50" t="n">
        <f aca="false">H430*INDEX('Model Inputs &amp; Assumptions'!$D$40:$D$42,MATCH('Model Inputs &amp; Assumptions'!$L$28,'Model Inputs &amp; Assumptions'!$A$40:$A$42,0))*INDEX('Model Inputs &amp; Assumptions'!$H$40:$H$42,MATCH('Model Inputs &amp; Assumptions'!$L$28,'Model Inputs &amp; Assumptions'!$A$40:$A$42,0))</f>
        <v>150096.590974069</v>
      </c>
      <c r="K430" s="49" t="n">
        <f aca="false">H430*INDEX('Model Inputs &amp; Assumptions'!$G$40:$G$42,MATCH('Model Inputs &amp; Assumptions'!$L$28,'Model Inputs &amp; Assumptions'!$A$40:$A$42,0))*INDEX('Model Inputs &amp; Assumptions'!$H$40:$H$42,MATCH('Model Inputs &amp; Assumptions'!$L$28,'Model Inputs &amp; Assumptions'!$A$40:$A$42,0))</f>
        <v>3377.17329691655</v>
      </c>
      <c r="L430" s="51" t="n">
        <f aca="false">IFERROR(K430/I430,0)</f>
        <v>1.12573287530208</v>
      </c>
      <c r="M430" s="49" t="n">
        <f aca="false">IFERROR(I430/H430,0)</f>
        <v>169.889326496465</v>
      </c>
      <c r="N430" s="52" t="str">
        <f aca="false">'Model Inputs &amp; Assumptions'!$L$28</f>
        <v>PRD-EUAI</v>
      </c>
      <c r="P430" s="53" t="n">
        <v>0.10851</v>
      </c>
      <c r="Q430" s="53" t="n">
        <v>-1.714342</v>
      </c>
      <c r="R430" s="53" t="n">
        <v>0.120231</v>
      </c>
      <c r="S430" s="53" t="n">
        <v>-0.399004</v>
      </c>
    </row>
    <row r="431" customFormat="false" ht="15" hidden="false" customHeight="false" outlineLevel="0" collapsed="false">
      <c r="A431" s="43" t="n">
        <v>428</v>
      </c>
      <c r="B431" s="44" t="str">
        <f aca="false">'Model Inputs &amp; Assumptions'!$B$28</f>
        <v>finanzen.net — Q1 Awareness Burst</v>
      </c>
      <c r="C431" s="45" t="n">
        <f aca="false">ROUND(MAX(0,'Model Inputs &amp; Assumptions'!$S$28*EXP('Model Inputs &amp; Assumptions'!$T$28*P431-'Model Inputs &amp; Assumptions'!$T$28^2/2)),0)</f>
        <v>397477</v>
      </c>
      <c r="D431" s="46" t="n">
        <f aca="false">MIN(1,'Model Inputs &amp; Assumptions'!$U$28*EXP('Model Inputs &amp; Assumptions'!$V$28*Q431-'Model Inputs &amp; Assumptions'!$V$28^2/2))</f>
        <v>0</v>
      </c>
      <c r="E431" s="45" t="n">
        <f aca="false">ROUND(C431*D431,0)</f>
        <v>0</v>
      </c>
      <c r="F431" s="47" t="n">
        <f aca="false">MIN(1,'Model Inputs &amp; Assumptions'!$W$28*EXP('Model Inputs &amp; Assumptions'!$X$28*R431-'Model Inputs &amp; Assumptions'!$X$28^2/2))</f>
        <v>0.00147862911978679</v>
      </c>
      <c r="G431" s="45" t="n">
        <f aca="false">ROUND(C431*F431,0)</f>
        <v>588</v>
      </c>
      <c r="H431" s="48" t="n">
        <f aca="false">MAX(0,(C431*'Model Inputs &amp; Assumptions'!$N$28+E431*'Model Inputs &amp; Assumptions'!$O$28+G431*'Model Inputs &amp; Assumptions'!$P$28)*EXP('Model Inputs &amp; Assumptions'!$Q$28*S431-'Model Inputs &amp; Assumptions'!$Q$28^2/2))</f>
        <v>10.7659615701843</v>
      </c>
      <c r="I431" s="49" t="n">
        <f aca="false">IF('Model Inputs &amp; Assumptions'!$H$28="Fixed",'Model Inputs &amp; Assumptions'!$I$28*'Model Inputs &amp; Assumptions'!$K$28,IF('Model Inputs &amp; Assumptions'!$H$28="CPM",'Model Inputs &amp; Assumptions'!$I$28*'Model Inputs &amp; Assumptions'!$K$28*C431/1000,IF('Model Inputs &amp; Assumptions'!$H$28="CPC",'Model Inputs &amp; Assumptions'!$I$28*'Model Inputs &amp; Assumptions'!$K$28*G431,0)))</f>
        <v>2583.6005</v>
      </c>
      <c r="J431" s="50" t="n">
        <f aca="false">H431*INDEX('Model Inputs &amp; Assumptions'!$D$40:$D$42,MATCH('Model Inputs &amp; Assumptions'!$L$28,'Model Inputs &amp; Assumptions'!$A$40:$A$42,0))*INDEX('Model Inputs &amp; Assumptions'!$H$40:$H$42,MATCH('Model Inputs &amp; Assumptions'!$L$28,'Model Inputs &amp; Assumptions'!$A$40:$A$42,0))</f>
        <v>91510.6733465668</v>
      </c>
      <c r="K431" s="49" t="n">
        <f aca="false">H431*INDEX('Model Inputs &amp; Assumptions'!$G$40:$G$42,MATCH('Model Inputs &amp; Assumptions'!$L$28,'Model Inputs &amp; Assumptions'!$A$40:$A$42,0))*INDEX('Model Inputs &amp; Assumptions'!$H$40:$H$42,MATCH('Model Inputs &amp; Assumptions'!$L$28,'Model Inputs &amp; Assumptions'!$A$40:$A$42,0))</f>
        <v>2058.99015029775</v>
      </c>
      <c r="L431" s="51" t="n">
        <f aca="false">IFERROR(K431/I431,0)</f>
        <v>0.796946025632738</v>
      </c>
      <c r="M431" s="49" t="n">
        <f aca="false">IFERROR(I431/H431,0)</f>
        <v>239.978610657047</v>
      </c>
      <c r="N431" s="52" t="str">
        <f aca="false">'Model Inputs &amp; Assumptions'!$L$28</f>
        <v>PRD-EUAI</v>
      </c>
      <c r="P431" s="53" t="n">
        <v>-0.721612</v>
      </c>
      <c r="Q431" s="53" t="n">
        <v>0.882295</v>
      </c>
      <c r="R431" s="53" t="n">
        <v>0.044774</v>
      </c>
      <c r="S431" s="53" t="n">
        <v>-1.495932</v>
      </c>
    </row>
    <row r="432" customFormat="false" ht="15" hidden="false" customHeight="false" outlineLevel="0" collapsed="false">
      <c r="A432" s="43" t="n">
        <v>429</v>
      </c>
      <c r="B432" s="44" t="str">
        <f aca="false">'Model Inputs &amp; Assumptions'!$B$28</f>
        <v>finanzen.net — Q1 Awareness Burst</v>
      </c>
      <c r="C432" s="45" t="n">
        <f aca="false">ROUND(MAX(0,'Model Inputs &amp; Assumptions'!$S$28*EXP('Model Inputs &amp; Assumptions'!$T$28*P432-'Model Inputs &amp; Assumptions'!$T$28^2/2)),0)</f>
        <v>419739</v>
      </c>
      <c r="D432" s="46" t="n">
        <f aca="false">MIN(1,'Model Inputs &amp; Assumptions'!$U$28*EXP('Model Inputs &amp; Assumptions'!$V$28*Q432-'Model Inputs &amp; Assumptions'!$V$28^2/2))</f>
        <v>0</v>
      </c>
      <c r="E432" s="45" t="n">
        <f aca="false">ROUND(C432*D432,0)</f>
        <v>0</v>
      </c>
      <c r="F432" s="47" t="n">
        <f aca="false">MIN(1,'Model Inputs &amp; Assumptions'!$W$28*EXP('Model Inputs &amp; Assumptions'!$X$28*R432-'Model Inputs &amp; Assumptions'!$X$28^2/2))</f>
        <v>0.00152519151854942</v>
      </c>
      <c r="G432" s="45" t="n">
        <f aca="false">ROUND(C432*F432,0)</f>
        <v>640</v>
      </c>
      <c r="H432" s="48" t="n">
        <f aca="false">MAX(0,(C432*'Model Inputs &amp; Assumptions'!$N$28+E432*'Model Inputs &amp; Assumptions'!$O$28+G432*'Model Inputs &amp; Assumptions'!$P$28)*EXP('Model Inputs &amp; Assumptions'!$Q$28*S432-'Model Inputs &amp; Assumptions'!$Q$28^2/2))</f>
        <v>13.3827809785518</v>
      </c>
      <c r="I432" s="49" t="n">
        <f aca="false">IF('Model Inputs &amp; Assumptions'!$H$28="Fixed",'Model Inputs &amp; Assumptions'!$I$28*'Model Inputs &amp; Assumptions'!$K$28,IF('Model Inputs &amp; Assumptions'!$H$28="CPM",'Model Inputs &amp; Assumptions'!$I$28*'Model Inputs &amp; Assumptions'!$K$28*C432/1000,IF('Model Inputs &amp; Assumptions'!$H$28="CPC",'Model Inputs &amp; Assumptions'!$I$28*'Model Inputs &amp; Assumptions'!$K$28*G432,0)))</f>
        <v>2728.3035</v>
      </c>
      <c r="J432" s="50" t="n">
        <f aca="false">H432*INDEX('Model Inputs &amp; Assumptions'!$D$40:$D$42,MATCH('Model Inputs &amp; Assumptions'!$L$28,'Model Inputs &amp; Assumptions'!$A$40:$A$42,0))*INDEX('Model Inputs &amp; Assumptions'!$H$40:$H$42,MATCH('Model Inputs &amp; Assumptions'!$L$28,'Model Inputs &amp; Assumptions'!$A$40:$A$42,0))</f>
        <v>113753.63831769</v>
      </c>
      <c r="K432" s="49" t="n">
        <f aca="false">H432*INDEX('Model Inputs &amp; Assumptions'!$G$40:$G$42,MATCH('Model Inputs &amp; Assumptions'!$L$28,'Model Inputs &amp; Assumptions'!$A$40:$A$42,0))*INDEX('Model Inputs &amp; Assumptions'!$H$40:$H$42,MATCH('Model Inputs &amp; Assumptions'!$L$28,'Model Inputs &amp; Assumptions'!$A$40:$A$42,0))</f>
        <v>2559.45686214803</v>
      </c>
      <c r="L432" s="51" t="n">
        <f aca="false">IFERROR(K432/I432,0)</f>
        <v>0.938112956329099</v>
      </c>
      <c r="M432" s="49" t="n">
        <f aca="false">IFERROR(I432/H432,0)</f>
        <v>203.866707851872</v>
      </c>
      <c r="N432" s="52" t="str">
        <f aca="false">'Model Inputs &amp; Assumptions'!$L$28</f>
        <v>PRD-EUAI</v>
      </c>
      <c r="P432" s="53" t="n">
        <v>-0.418847</v>
      </c>
      <c r="Q432" s="53" t="n">
        <v>0.364338</v>
      </c>
      <c r="R432" s="53" t="n">
        <v>0.185704</v>
      </c>
      <c r="S432" s="53" t="n">
        <v>-1.053138</v>
      </c>
    </row>
    <row r="433" customFormat="false" ht="15" hidden="false" customHeight="false" outlineLevel="0" collapsed="false">
      <c r="A433" s="43" t="n">
        <v>430</v>
      </c>
      <c r="B433" s="44" t="str">
        <f aca="false">'Model Inputs &amp; Assumptions'!$B$28</f>
        <v>finanzen.net — Q1 Awareness Burst</v>
      </c>
      <c r="C433" s="45" t="n">
        <f aca="false">ROUND(MAX(0,'Model Inputs &amp; Assumptions'!$S$28*EXP('Model Inputs &amp; Assumptions'!$T$28*P433-'Model Inputs &amp; Assumptions'!$T$28^2/2)),0)</f>
        <v>477869</v>
      </c>
      <c r="D433" s="46" t="n">
        <f aca="false">MIN(1,'Model Inputs &amp; Assumptions'!$U$28*EXP('Model Inputs &amp; Assumptions'!$V$28*Q433-'Model Inputs &amp; Assumptions'!$V$28^2/2))</f>
        <v>0</v>
      </c>
      <c r="E433" s="45" t="n">
        <f aca="false">ROUND(C433*D433,0)</f>
        <v>0</v>
      </c>
      <c r="F433" s="47" t="n">
        <f aca="false">MIN(1,'Model Inputs &amp; Assumptions'!$W$28*EXP('Model Inputs &amp; Assumptions'!$X$28*R433-'Model Inputs &amp; Assumptions'!$X$28^2/2))</f>
        <v>0.00153063228484927</v>
      </c>
      <c r="G433" s="45" t="n">
        <f aca="false">ROUND(C433*F433,0)</f>
        <v>731</v>
      </c>
      <c r="H433" s="48" t="n">
        <f aca="false">MAX(0,(C433*'Model Inputs &amp; Assumptions'!$N$28+E433*'Model Inputs &amp; Assumptions'!$O$28+G433*'Model Inputs &amp; Assumptions'!$P$28)*EXP('Model Inputs &amp; Assumptions'!$Q$28*S433-'Model Inputs &amp; Assumptions'!$Q$28^2/2))</f>
        <v>25.4337533125381</v>
      </c>
      <c r="I433" s="49" t="n">
        <f aca="false">IF('Model Inputs &amp; Assumptions'!$H$28="Fixed",'Model Inputs &amp; Assumptions'!$I$28*'Model Inputs &amp; Assumptions'!$K$28,IF('Model Inputs &amp; Assumptions'!$H$28="CPM",'Model Inputs &amp; Assumptions'!$I$28*'Model Inputs &amp; Assumptions'!$K$28*C433/1000,IF('Model Inputs &amp; Assumptions'!$H$28="CPC",'Model Inputs &amp; Assumptions'!$I$28*'Model Inputs &amp; Assumptions'!$K$28*G433,0)))</f>
        <v>3106.1485</v>
      </c>
      <c r="J433" s="50" t="n">
        <f aca="false">H433*INDEX('Model Inputs &amp; Assumptions'!$D$40:$D$42,MATCH('Model Inputs &amp; Assumptions'!$L$28,'Model Inputs &amp; Assumptions'!$A$40:$A$42,0))*INDEX('Model Inputs &amp; Assumptions'!$H$40:$H$42,MATCH('Model Inputs &amp; Assumptions'!$L$28,'Model Inputs &amp; Assumptions'!$A$40:$A$42,0))</f>
        <v>216186.903156574</v>
      </c>
      <c r="K433" s="49" t="n">
        <f aca="false">H433*INDEX('Model Inputs &amp; Assumptions'!$G$40:$G$42,MATCH('Model Inputs &amp; Assumptions'!$L$28,'Model Inputs &amp; Assumptions'!$A$40:$A$42,0))*INDEX('Model Inputs &amp; Assumptions'!$H$40:$H$42,MATCH('Model Inputs &amp; Assumptions'!$L$28,'Model Inputs &amp; Assumptions'!$A$40:$A$42,0))</f>
        <v>4864.20532102292</v>
      </c>
      <c r="L433" s="51" t="n">
        <f aca="false">IFERROR(K433/I433,0)</f>
        <v>1.56599252129218</v>
      </c>
      <c r="M433" s="49" t="n">
        <f aca="false">IFERROR(I433/H433,0)</f>
        <v>122.127020020626</v>
      </c>
      <c r="N433" s="52" t="str">
        <f aca="false">'Model Inputs &amp; Assumptions'!$L$28</f>
        <v>PRD-EUAI</v>
      </c>
      <c r="P433" s="53" t="n">
        <v>0.301725</v>
      </c>
      <c r="Q433" s="53" t="n">
        <v>-0.047563</v>
      </c>
      <c r="R433" s="53" t="n">
        <v>0.20189</v>
      </c>
      <c r="S433" s="53" t="n">
        <v>0.644072</v>
      </c>
    </row>
    <row r="434" customFormat="false" ht="15" hidden="false" customHeight="false" outlineLevel="0" collapsed="false">
      <c r="A434" s="43" t="n">
        <v>431</v>
      </c>
      <c r="B434" s="44" t="str">
        <f aca="false">'Model Inputs &amp; Assumptions'!$B$28</f>
        <v>finanzen.net — Q1 Awareness Burst</v>
      </c>
      <c r="C434" s="45" t="n">
        <f aca="false">ROUND(MAX(0,'Model Inputs &amp; Assumptions'!$S$28*EXP('Model Inputs &amp; Assumptions'!$T$28*P434-'Model Inputs &amp; Assumptions'!$T$28^2/2)),0)</f>
        <v>619011</v>
      </c>
      <c r="D434" s="46" t="n">
        <f aca="false">MIN(1,'Model Inputs &amp; Assumptions'!$U$28*EXP('Model Inputs &amp; Assumptions'!$V$28*Q434-'Model Inputs &amp; Assumptions'!$V$28^2/2))</f>
        <v>0</v>
      </c>
      <c r="E434" s="45" t="n">
        <f aca="false">ROUND(C434*D434,0)</f>
        <v>0</v>
      </c>
      <c r="F434" s="47" t="n">
        <f aca="false">MIN(1,'Model Inputs &amp; Assumptions'!$W$28*EXP('Model Inputs &amp; Assumptions'!$X$28*R434-'Model Inputs &amp; Assumptions'!$X$28^2/2))</f>
        <v>0.00172491705989685</v>
      </c>
      <c r="G434" s="45" t="n">
        <f aca="false">ROUND(C434*F434,0)</f>
        <v>1068</v>
      </c>
      <c r="H434" s="48" t="n">
        <f aca="false">MAX(0,(C434*'Model Inputs &amp; Assumptions'!$N$28+E434*'Model Inputs &amp; Assumptions'!$O$28+G434*'Model Inputs &amp; Assumptions'!$P$28)*EXP('Model Inputs &amp; Assumptions'!$Q$28*S434-'Model Inputs &amp; Assumptions'!$Q$28^2/2))</f>
        <v>34.8693710036174</v>
      </c>
      <c r="I434" s="49" t="n">
        <f aca="false">IF('Model Inputs &amp; Assumptions'!$H$28="Fixed",'Model Inputs &amp; Assumptions'!$I$28*'Model Inputs &amp; Assumptions'!$K$28,IF('Model Inputs &amp; Assumptions'!$H$28="CPM",'Model Inputs &amp; Assumptions'!$I$28*'Model Inputs &amp; Assumptions'!$K$28*C434/1000,IF('Model Inputs &amp; Assumptions'!$H$28="CPC",'Model Inputs &amp; Assumptions'!$I$28*'Model Inputs &amp; Assumptions'!$K$28*G434,0)))</f>
        <v>4023.5715</v>
      </c>
      <c r="J434" s="50" t="n">
        <f aca="false">H434*INDEX('Model Inputs &amp; Assumptions'!$D$40:$D$42,MATCH('Model Inputs &amp; Assumptions'!$L$28,'Model Inputs &amp; Assumptions'!$A$40:$A$42,0))*INDEX('Model Inputs &amp; Assumptions'!$H$40:$H$42,MATCH('Model Inputs &amp; Assumptions'!$L$28,'Model Inputs &amp; Assumptions'!$A$40:$A$42,0))</f>
        <v>296389.653530748</v>
      </c>
      <c r="K434" s="49" t="n">
        <f aca="false">H434*INDEX('Model Inputs &amp; Assumptions'!$G$40:$G$42,MATCH('Model Inputs &amp; Assumptions'!$L$28,'Model Inputs &amp; Assumptions'!$A$40:$A$42,0))*INDEX('Model Inputs &amp; Assumptions'!$H$40:$H$42,MATCH('Model Inputs &amp; Assumptions'!$L$28,'Model Inputs &amp; Assumptions'!$A$40:$A$42,0))</f>
        <v>6668.76720444183</v>
      </c>
      <c r="L434" s="51" t="n">
        <f aca="false">IFERROR(K434/I434,0)</f>
        <v>1.65742480391906</v>
      </c>
      <c r="M434" s="49" t="n">
        <f aca="false">IFERROR(I434/H434,0)</f>
        <v>115.389850295338</v>
      </c>
      <c r="N434" s="52" t="str">
        <f aca="false">'Model Inputs &amp; Assumptions'!$L$28</f>
        <v>PRD-EUAI</v>
      </c>
      <c r="P434" s="53" t="n">
        <v>1.739429</v>
      </c>
      <c r="Q434" s="53" t="n">
        <v>0.372095</v>
      </c>
      <c r="R434" s="53" t="n">
        <v>0.745063</v>
      </c>
      <c r="S434" s="53" t="n">
        <v>0.432079</v>
      </c>
    </row>
    <row r="435" customFormat="false" ht="15" hidden="false" customHeight="false" outlineLevel="0" collapsed="false">
      <c r="A435" s="43" t="n">
        <v>432</v>
      </c>
      <c r="B435" s="44" t="str">
        <f aca="false">'Model Inputs &amp; Assumptions'!$B$28</f>
        <v>finanzen.net — Q1 Awareness Burst</v>
      </c>
      <c r="C435" s="45" t="n">
        <f aca="false">ROUND(MAX(0,'Model Inputs &amp; Assumptions'!$S$28*EXP('Model Inputs &amp; Assumptions'!$T$28*P435-'Model Inputs &amp; Assumptions'!$T$28^2/2)),0)</f>
        <v>424004</v>
      </c>
      <c r="D435" s="46" t="n">
        <f aca="false">MIN(1,'Model Inputs &amp; Assumptions'!$U$28*EXP('Model Inputs &amp; Assumptions'!$V$28*Q435-'Model Inputs &amp; Assumptions'!$V$28^2/2))</f>
        <v>0</v>
      </c>
      <c r="E435" s="45" t="n">
        <f aca="false">ROUND(C435*D435,0)</f>
        <v>0</v>
      </c>
      <c r="F435" s="47" t="n">
        <f aca="false">MIN(1,'Model Inputs &amp; Assumptions'!$W$28*EXP('Model Inputs &amp; Assumptions'!$X$28*R435-'Model Inputs &amp; Assumptions'!$X$28^2/2))</f>
        <v>0.00117075540773794</v>
      </c>
      <c r="G435" s="45" t="n">
        <f aca="false">ROUND(C435*F435,0)</f>
        <v>496</v>
      </c>
      <c r="H435" s="48" t="n">
        <f aca="false">MAX(0,(C435*'Model Inputs &amp; Assumptions'!$N$28+E435*'Model Inputs &amp; Assumptions'!$O$28+G435*'Model Inputs &amp; Assumptions'!$P$28)*EXP('Model Inputs &amp; Assumptions'!$Q$28*S435-'Model Inputs &amp; Assumptions'!$Q$28^2/2))</f>
        <v>7.47514882968987</v>
      </c>
      <c r="I435" s="49" t="n">
        <f aca="false">IF('Model Inputs &amp; Assumptions'!$H$28="Fixed",'Model Inputs &amp; Assumptions'!$I$28*'Model Inputs &amp; Assumptions'!$K$28,IF('Model Inputs &amp; Assumptions'!$H$28="CPM",'Model Inputs &amp; Assumptions'!$I$28*'Model Inputs &amp; Assumptions'!$K$28*C435/1000,IF('Model Inputs &amp; Assumptions'!$H$28="CPC",'Model Inputs &amp; Assumptions'!$I$28*'Model Inputs &amp; Assumptions'!$K$28*G435,0)))</f>
        <v>2756.026</v>
      </c>
      <c r="J435" s="50" t="n">
        <f aca="false">H435*INDEX('Model Inputs &amp; Assumptions'!$D$40:$D$42,MATCH('Model Inputs &amp; Assumptions'!$L$28,'Model Inputs &amp; Assumptions'!$A$40:$A$42,0))*INDEX('Model Inputs &amp; Assumptions'!$H$40:$H$42,MATCH('Model Inputs &amp; Assumptions'!$L$28,'Model Inputs &amp; Assumptions'!$A$40:$A$42,0))</f>
        <v>63538.7650523639</v>
      </c>
      <c r="K435" s="49" t="n">
        <f aca="false">H435*INDEX('Model Inputs &amp; Assumptions'!$G$40:$G$42,MATCH('Model Inputs &amp; Assumptions'!$L$28,'Model Inputs &amp; Assumptions'!$A$40:$A$42,0))*INDEX('Model Inputs &amp; Assumptions'!$H$40:$H$42,MATCH('Model Inputs &amp; Assumptions'!$L$28,'Model Inputs &amp; Assumptions'!$A$40:$A$42,0))</f>
        <v>1429.62221367819</v>
      </c>
      <c r="L435" s="51" t="n">
        <f aca="false">IFERROR(K435/I435,0)</f>
        <v>0.5187259531217</v>
      </c>
      <c r="M435" s="49" t="n">
        <f aca="false">IFERROR(I435/H435,0)</f>
        <v>368.691789660908</v>
      </c>
      <c r="N435" s="52" t="str">
        <f aca="false">'Model Inputs &amp; Assumptions'!$L$28</f>
        <v>PRD-EUAI</v>
      </c>
      <c r="P435" s="53" t="n">
        <v>-0.362689</v>
      </c>
      <c r="Q435" s="53" t="n">
        <v>1.430298</v>
      </c>
      <c r="R435" s="53" t="n">
        <v>-1.016436</v>
      </c>
      <c r="S435" s="53" t="n">
        <v>-2.14478</v>
      </c>
    </row>
    <row r="436" customFormat="false" ht="15" hidden="false" customHeight="false" outlineLevel="0" collapsed="false">
      <c r="A436" s="43" t="n">
        <v>433</v>
      </c>
      <c r="B436" s="44" t="str">
        <f aca="false">'Model Inputs &amp; Assumptions'!$B$28</f>
        <v>finanzen.net — Q1 Awareness Burst</v>
      </c>
      <c r="C436" s="45" t="n">
        <f aca="false">ROUND(MAX(0,'Model Inputs &amp; Assumptions'!$S$28*EXP('Model Inputs &amp; Assumptions'!$T$28*P436-'Model Inputs &amp; Assumptions'!$T$28^2/2)),0)</f>
        <v>375825</v>
      </c>
      <c r="D436" s="46" t="n">
        <f aca="false">MIN(1,'Model Inputs &amp; Assumptions'!$U$28*EXP('Model Inputs &amp; Assumptions'!$V$28*Q436-'Model Inputs &amp; Assumptions'!$V$28^2/2))</f>
        <v>0</v>
      </c>
      <c r="E436" s="45" t="n">
        <f aca="false">ROUND(C436*D436,0)</f>
        <v>0</v>
      </c>
      <c r="F436" s="47" t="n">
        <f aca="false">MIN(1,'Model Inputs &amp; Assumptions'!$W$28*EXP('Model Inputs &amp; Assumptions'!$X$28*R436-'Model Inputs &amp; Assumptions'!$X$28^2/2))</f>
        <v>0.00134466913715004</v>
      </c>
      <c r="G436" s="45" t="n">
        <f aca="false">ROUND(C436*F436,0)</f>
        <v>505</v>
      </c>
      <c r="H436" s="48" t="n">
        <f aca="false">MAX(0,(C436*'Model Inputs &amp; Assumptions'!$N$28+E436*'Model Inputs &amp; Assumptions'!$O$28+G436*'Model Inputs &amp; Assumptions'!$P$28)*EXP('Model Inputs &amp; Assumptions'!$Q$28*S436-'Model Inputs &amp; Assumptions'!$Q$28^2/2))</f>
        <v>11.9896710338753</v>
      </c>
      <c r="I436" s="49" t="n">
        <f aca="false">IF('Model Inputs &amp; Assumptions'!$H$28="Fixed",'Model Inputs &amp; Assumptions'!$I$28*'Model Inputs &amp; Assumptions'!$K$28,IF('Model Inputs &amp; Assumptions'!$H$28="CPM",'Model Inputs &amp; Assumptions'!$I$28*'Model Inputs &amp; Assumptions'!$K$28*C436/1000,IF('Model Inputs &amp; Assumptions'!$H$28="CPC",'Model Inputs &amp; Assumptions'!$I$28*'Model Inputs &amp; Assumptions'!$K$28*G436,0)))</f>
        <v>2442.8625</v>
      </c>
      <c r="J436" s="50" t="n">
        <f aca="false">H436*INDEX('Model Inputs &amp; Assumptions'!$D$40:$D$42,MATCH('Model Inputs &amp; Assumptions'!$L$28,'Model Inputs &amp; Assumptions'!$A$40:$A$42,0))*INDEX('Model Inputs &amp; Assumptions'!$H$40:$H$42,MATCH('Model Inputs &amp; Assumptions'!$L$28,'Model Inputs &amp; Assumptions'!$A$40:$A$42,0))</f>
        <v>101912.20378794</v>
      </c>
      <c r="K436" s="49" t="n">
        <f aca="false">H436*INDEX('Model Inputs &amp; Assumptions'!$G$40:$G$42,MATCH('Model Inputs &amp; Assumptions'!$L$28,'Model Inputs &amp; Assumptions'!$A$40:$A$42,0))*INDEX('Model Inputs &amp; Assumptions'!$H$40:$H$42,MATCH('Model Inputs &amp; Assumptions'!$L$28,'Model Inputs &amp; Assumptions'!$A$40:$A$42,0))</f>
        <v>2293.02458522864</v>
      </c>
      <c r="L436" s="51" t="n">
        <f aca="false">IFERROR(K436/I436,0)</f>
        <v>0.938662976417479</v>
      </c>
      <c r="M436" s="49" t="n">
        <f aca="false">IFERROR(I436/H436,0)</f>
        <v>203.74724987016</v>
      </c>
      <c r="N436" s="52" t="str">
        <f aca="false">'Model Inputs &amp; Assumptions'!$L$28</f>
        <v>PRD-EUAI</v>
      </c>
      <c r="P436" s="53" t="n">
        <v>-1.032788</v>
      </c>
      <c r="Q436" s="53" t="n">
        <v>1.140769</v>
      </c>
      <c r="R436" s="53" t="n">
        <v>-0.386896</v>
      </c>
      <c r="S436" s="53" t="n">
        <v>-0.62985</v>
      </c>
    </row>
    <row r="437" customFormat="false" ht="15" hidden="false" customHeight="false" outlineLevel="0" collapsed="false">
      <c r="A437" s="43" t="n">
        <v>434</v>
      </c>
      <c r="B437" s="44" t="str">
        <f aca="false">'Model Inputs &amp; Assumptions'!$B$28</f>
        <v>finanzen.net — Q1 Awareness Burst</v>
      </c>
      <c r="C437" s="45" t="n">
        <f aca="false">ROUND(MAX(0,'Model Inputs &amp; Assumptions'!$S$28*EXP('Model Inputs &amp; Assumptions'!$T$28*P437-'Model Inputs &amp; Assumptions'!$T$28^2/2)),0)</f>
        <v>429792</v>
      </c>
      <c r="D437" s="46" t="n">
        <f aca="false">MIN(1,'Model Inputs &amp; Assumptions'!$U$28*EXP('Model Inputs &amp; Assumptions'!$V$28*Q437-'Model Inputs &amp; Assumptions'!$V$28^2/2))</f>
        <v>0</v>
      </c>
      <c r="E437" s="45" t="n">
        <f aca="false">ROUND(C437*D437,0)</f>
        <v>0</v>
      </c>
      <c r="F437" s="47" t="n">
        <f aca="false">MIN(1,'Model Inputs &amp; Assumptions'!$W$28*EXP('Model Inputs &amp; Assumptions'!$X$28*R437-'Model Inputs &amp; Assumptions'!$X$28^2/2))</f>
        <v>0.0012483193268711</v>
      </c>
      <c r="G437" s="45" t="n">
        <f aca="false">ROUND(C437*F437,0)</f>
        <v>537</v>
      </c>
      <c r="H437" s="48" t="n">
        <f aca="false">MAX(0,(C437*'Model Inputs &amp; Assumptions'!$N$28+E437*'Model Inputs &amp; Assumptions'!$O$28+G437*'Model Inputs &amp; Assumptions'!$P$28)*EXP('Model Inputs &amp; Assumptions'!$Q$28*S437-'Model Inputs &amp; Assumptions'!$Q$28^2/2))</f>
        <v>29.0081898050816</v>
      </c>
      <c r="I437" s="49" t="n">
        <f aca="false">IF('Model Inputs &amp; Assumptions'!$H$28="Fixed",'Model Inputs &amp; Assumptions'!$I$28*'Model Inputs &amp; Assumptions'!$K$28,IF('Model Inputs &amp; Assumptions'!$H$28="CPM",'Model Inputs &amp; Assumptions'!$I$28*'Model Inputs &amp; Assumptions'!$K$28*C437/1000,IF('Model Inputs &amp; Assumptions'!$H$28="CPC",'Model Inputs &amp; Assumptions'!$I$28*'Model Inputs &amp; Assumptions'!$K$28*G437,0)))</f>
        <v>2793.648</v>
      </c>
      <c r="J437" s="50" t="n">
        <f aca="false">H437*INDEX('Model Inputs &amp; Assumptions'!$D$40:$D$42,MATCH('Model Inputs &amp; Assumptions'!$L$28,'Model Inputs &amp; Assumptions'!$A$40:$A$42,0))*INDEX('Model Inputs &amp; Assumptions'!$H$40:$H$42,MATCH('Model Inputs &amp; Assumptions'!$L$28,'Model Inputs &amp; Assumptions'!$A$40:$A$42,0))</f>
        <v>246569.613343194</v>
      </c>
      <c r="K437" s="49" t="n">
        <f aca="false">H437*INDEX('Model Inputs &amp; Assumptions'!$G$40:$G$42,MATCH('Model Inputs &amp; Assumptions'!$L$28,'Model Inputs &amp; Assumptions'!$A$40:$A$42,0))*INDEX('Model Inputs &amp; Assumptions'!$H$40:$H$42,MATCH('Model Inputs &amp; Assumptions'!$L$28,'Model Inputs &amp; Assumptions'!$A$40:$A$42,0))</f>
        <v>5547.81630022186</v>
      </c>
      <c r="L437" s="51" t="n">
        <f aca="false">IFERROR(K437/I437,0)</f>
        <v>1.98586804787928</v>
      </c>
      <c r="M437" s="49" t="n">
        <f aca="false">IFERROR(I437/H437,0)</f>
        <v>96.3054923030948</v>
      </c>
      <c r="N437" s="52" t="str">
        <f aca="false">'Model Inputs &amp; Assumptions'!$L$28</f>
        <v>PRD-EUAI</v>
      </c>
      <c r="P437" s="53" t="n">
        <v>-0.287366</v>
      </c>
      <c r="Q437" s="53" t="n">
        <v>-1.385098</v>
      </c>
      <c r="R437" s="53" t="n">
        <v>-0.72485</v>
      </c>
      <c r="S437" s="53" t="n">
        <v>2.11046</v>
      </c>
    </row>
    <row r="438" customFormat="false" ht="15" hidden="false" customHeight="false" outlineLevel="0" collapsed="false">
      <c r="A438" s="43" t="n">
        <v>435</v>
      </c>
      <c r="B438" s="44" t="str">
        <f aca="false">'Model Inputs &amp; Assumptions'!$B$28</f>
        <v>finanzen.net — Q1 Awareness Burst</v>
      </c>
      <c r="C438" s="45" t="n">
        <f aca="false">ROUND(MAX(0,'Model Inputs &amp; Assumptions'!$S$28*EXP('Model Inputs &amp; Assumptions'!$T$28*P438-'Model Inputs &amp; Assumptions'!$T$28^2/2)),0)</f>
        <v>507340</v>
      </c>
      <c r="D438" s="46" t="n">
        <f aca="false">MIN(1,'Model Inputs &amp; Assumptions'!$U$28*EXP('Model Inputs &amp; Assumptions'!$V$28*Q438-'Model Inputs &amp; Assumptions'!$V$28^2/2))</f>
        <v>0</v>
      </c>
      <c r="E438" s="45" t="n">
        <f aca="false">ROUND(C438*D438,0)</f>
        <v>0</v>
      </c>
      <c r="F438" s="47" t="n">
        <f aca="false">MIN(1,'Model Inputs &amp; Assumptions'!$W$28*EXP('Model Inputs &amp; Assumptions'!$X$28*R438-'Model Inputs &amp; Assumptions'!$X$28^2/2))</f>
        <v>0.0018040678072621</v>
      </c>
      <c r="G438" s="45" t="n">
        <f aca="false">ROUND(C438*F438,0)</f>
        <v>915</v>
      </c>
      <c r="H438" s="48" t="n">
        <f aca="false">MAX(0,(C438*'Model Inputs &amp; Assumptions'!$N$28+E438*'Model Inputs &amp; Assumptions'!$O$28+G438*'Model Inputs &amp; Assumptions'!$P$28)*EXP('Model Inputs &amp; Assumptions'!$Q$28*S438-'Model Inputs &amp; Assumptions'!$Q$28^2/2))</f>
        <v>16.008398134702</v>
      </c>
      <c r="I438" s="49" t="n">
        <f aca="false">IF('Model Inputs &amp; Assumptions'!$H$28="Fixed",'Model Inputs &amp; Assumptions'!$I$28*'Model Inputs &amp; Assumptions'!$K$28,IF('Model Inputs &amp; Assumptions'!$H$28="CPM",'Model Inputs &amp; Assumptions'!$I$28*'Model Inputs &amp; Assumptions'!$K$28*C438/1000,IF('Model Inputs &amp; Assumptions'!$H$28="CPC",'Model Inputs &amp; Assumptions'!$I$28*'Model Inputs &amp; Assumptions'!$K$28*G438,0)))</f>
        <v>3297.71</v>
      </c>
      <c r="J438" s="50" t="n">
        <f aca="false">H438*INDEX('Model Inputs &amp; Assumptions'!$D$40:$D$42,MATCH('Model Inputs &amp; Assumptions'!$L$28,'Model Inputs &amp; Assumptions'!$A$40:$A$42,0))*INDEX('Model Inputs &amp; Assumptions'!$H$40:$H$42,MATCH('Model Inputs &amp; Assumptions'!$L$28,'Model Inputs &amp; Assumptions'!$A$40:$A$42,0))</f>
        <v>136071.384144967</v>
      </c>
      <c r="K438" s="49" t="n">
        <f aca="false">H438*INDEX('Model Inputs &amp; Assumptions'!$G$40:$G$42,MATCH('Model Inputs &amp; Assumptions'!$L$28,'Model Inputs &amp; Assumptions'!$A$40:$A$42,0))*INDEX('Model Inputs &amp; Assumptions'!$H$40:$H$42,MATCH('Model Inputs &amp; Assumptions'!$L$28,'Model Inputs &amp; Assumptions'!$A$40:$A$42,0))</f>
        <v>3061.60614326176</v>
      </c>
      <c r="L438" s="51" t="n">
        <f aca="false">IFERROR(K438/I438,0)</f>
        <v>0.928403693248273</v>
      </c>
      <c r="M438" s="49" t="n">
        <f aca="false">IFERROR(I438/H438,0)</f>
        <v>205.998749671988</v>
      </c>
      <c r="N438" s="52" t="str">
        <f aca="false">'Model Inputs &amp; Assumptions'!$L$28</f>
        <v>PRD-EUAI</v>
      </c>
      <c r="P438" s="53" t="n">
        <v>0.634194</v>
      </c>
      <c r="Q438" s="53" t="n">
        <v>-0.114425</v>
      </c>
      <c r="R438" s="53" t="n">
        <v>0.948995</v>
      </c>
      <c r="S438" s="53" t="n">
        <v>-1.647509</v>
      </c>
    </row>
    <row r="439" customFormat="false" ht="15" hidden="false" customHeight="false" outlineLevel="0" collapsed="false">
      <c r="A439" s="43" t="n">
        <v>436</v>
      </c>
      <c r="B439" s="44" t="str">
        <f aca="false">'Model Inputs &amp; Assumptions'!$B$28</f>
        <v>finanzen.net — Q1 Awareness Burst</v>
      </c>
      <c r="C439" s="45" t="n">
        <f aca="false">ROUND(MAX(0,'Model Inputs &amp; Assumptions'!$S$28*EXP('Model Inputs &amp; Assumptions'!$T$28*P439-'Model Inputs &amp; Assumptions'!$T$28^2/2)),0)</f>
        <v>491806</v>
      </c>
      <c r="D439" s="46" t="n">
        <f aca="false">MIN(1,'Model Inputs &amp; Assumptions'!$U$28*EXP('Model Inputs &amp; Assumptions'!$V$28*Q439-'Model Inputs &amp; Assumptions'!$V$28^2/2))</f>
        <v>0</v>
      </c>
      <c r="E439" s="45" t="n">
        <f aca="false">ROUND(C439*D439,0)</f>
        <v>0</v>
      </c>
      <c r="F439" s="47" t="n">
        <f aca="false">MIN(1,'Model Inputs &amp; Assumptions'!$W$28*EXP('Model Inputs &amp; Assumptions'!$X$28*R439-'Model Inputs &amp; Assumptions'!$X$28^2/2))</f>
        <v>0.0020015939699442</v>
      </c>
      <c r="G439" s="45" t="n">
        <f aca="false">ROUND(C439*F439,0)</f>
        <v>984</v>
      </c>
      <c r="H439" s="48" t="n">
        <f aca="false">MAX(0,(C439*'Model Inputs &amp; Assumptions'!$N$28+E439*'Model Inputs &amp; Assumptions'!$O$28+G439*'Model Inputs &amp; Assumptions'!$P$28)*EXP('Model Inputs &amp; Assumptions'!$Q$28*S439-'Model Inputs &amp; Assumptions'!$Q$28^2/2))</f>
        <v>20.0890923724931</v>
      </c>
      <c r="I439" s="49" t="n">
        <f aca="false">IF('Model Inputs &amp; Assumptions'!$H$28="Fixed",'Model Inputs &amp; Assumptions'!$I$28*'Model Inputs &amp; Assumptions'!$K$28,IF('Model Inputs &amp; Assumptions'!$H$28="CPM",'Model Inputs &amp; Assumptions'!$I$28*'Model Inputs &amp; Assumptions'!$K$28*C439/1000,IF('Model Inputs &amp; Assumptions'!$H$28="CPC",'Model Inputs &amp; Assumptions'!$I$28*'Model Inputs &amp; Assumptions'!$K$28*G439,0)))</f>
        <v>3196.739</v>
      </c>
      <c r="J439" s="50" t="n">
        <f aca="false">H439*INDEX('Model Inputs &amp; Assumptions'!$D$40:$D$42,MATCH('Model Inputs &amp; Assumptions'!$L$28,'Model Inputs &amp; Assumptions'!$A$40:$A$42,0))*INDEX('Model Inputs &amp; Assumptions'!$H$40:$H$42,MATCH('Model Inputs &amp; Assumptions'!$L$28,'Model Inputs &amp; Assumptions'!$A$40:$A$42,0))</f>
        <v>170757.285166191</v>
      </c>
      <c r="K439" s="49" t="n">
        <f aca="false">H439*INDEX('Model Inputs &amp; Assumptions'!$G$40:$G$42,MATCH('Model Inputs &amp; Assumptions'!$L$28,'Model Inputs &amp; Assumptions'!$A$40:$A$42,0))*INDEX('Model Inputs &amp; Assumptions'!$H$40:$H$42,MATCH('Model Inputs &amp; Assumptions'!$L$28,'Model Inputs &amp; Assumptions'!$A$40:$A$42,0))</f>
        <v>3842.03891623931</v>
      </c>
      <c r="L439" s="51" t="n">
        <f aca="false">IFERROR(K439/I439,0)</f>
        <v>1.20186193375165</v>
      </c>
      <c r="M439" s="49" t="n">
        <f aca="false">IFERROR(I439/H439,0)</f>
        <v>159.128095024199</v>
      </c>
      <c r="N439" s="52" t="str">
        <f aca="false">'Model Inputs &amp; Assumptions'!$L$28</f>
        <v>PRD-EUAI</v>
      </c>
      <c r="P439" s="53" t="n">
        <v>0.461431</v>
      </c>
      <c r="Q439" s="53" t="n">
        <v>0.390885</v>
      </c>
      <c r="R439" s="53" t="n">
        <v>1.421267</v>
      </c>
      <c r="S439" s="53" t="n">
        <v>-1.13297</v>
      </c>
    </row>
    <row r="440" customFormat="false" ht="15" hidden="false" customHeight="false" outlineLevel="0" collapsed="false">
      <c r="A440" s="43" t="n">
        <v>437</v>
      </c>
      <c r="B440" s="44" t="str">
        <f aca="false">'Model Inputs &amp; Assumptions'!$B$28</f>
        <v>finanzen.net — Q1 Awareness Burst</v>
      </c>
      <c r="C440" s="45" t="n">
        <f aca="false">ROUND(MAX(0,'Model Inputs &amp; Assumptions'!$S$28*EXP('Model Inputs &amp; Assumptions'!$T$28*P440-'Model Inputs &amp; Assumptions'!$T$28^2/2)),0)</f>
        <v>413226</v>
      </c>
      <c r="D440" s="46" t="n">
        <f aca="false">MIN(1,'Model Inputs &amp; Assumptions'!$U$28*EXP('Model Inputs &amp; Assumptions'!$V$28*Q440-'Model Inputs &amp; Assumptions'!$V$28^2/2))</f>
        <v>0</v>
      </c>
      <c r="E440" s="45" t="n">
        <f aca="false">ROUND(C440*D440,0)</f>
        <v>0</v>
      </c>
      <c r="F440" s="47" t="n">
        <f aca="false">MIN(1,'Model Inputs &amp; Assumptions'!$W$28*EXP('Model Inputs &amp; Assumptions'!$X$28*R440-'Model Inputs &amp; Assumptions'!$X$28^2/2))</f>
        <v>0.00159734885304049</v>
      </c>
      <c r="G440" s="45" t="n">
        <f aca="false">ROUND(C440*F440,0)</f>
        <v>660</v>
      </c>
      <c r="H440" s="48" t="n">
        <f aca="false">MAX(0,(C440*'Model Inputs &amp; Assumptions'!$N$28+E440*'Model Inputs &amp; Assumptions'!$O$28+G440*'Model Inputs &amp; Assumptions'!$P$28)*EXP('Model Inputs &amp; Assumptions'!$Q$28*S440-'Model Inputs &amp; Assumptions'!$Q$28^2/2))</f>
        <v>14.8207205337936</v>
      </c>
      <c r="I440" s="49" t="n">
        <f aca="false">IF('Model Inputs &amp; Assumptions'!$H$28="Fixed",'Model Inputs &amp; Assumptions'!$I$28*'Model Inputs &amp; Assumptions'!$K$28,IF('Model Inputs &amp; Assumptions'!$H$28="CPM",'Model Inputs &amp; Assumptions'!$I$28*'Model Inputs &amp; Assumptions'!$K$28*C440/1000,IF('Model Inputs &amp; Assumptions'!$H$28="CPC",'Model Inputs &amp; Assumptions'!$I$28*'Model Inputs &amp; Assumptions'!$K$28*G440,0)))</f>
        <v>2685.969</v>
      </c>
      <c r="J440" s="50" t="n">
        <f aca="false">H440*INDEX('Model Inputs &amp; Assumptions'!$D$40:$D$42,MATCH('Model Inputs &amp; Assumptions'!$L$28,'Model Inputs &amp; Assumptions'!$A$40:$A$42,0))*INDEX('Model Inputs &amp; Assumptions'!$H$40:$H$42,MATCH('Model Inputs &amp; Assumptions'!$L$28,'Model Inputs &amp; Assumptions'!$A$40:$A$42,0))</f>
        <v>125976.124537246</v>
      </c>
      <c r="K440" s="49" t="n">
        <f aca="false">H440*INDEX('Model Inputs &amp; Assumptions'!$G$40:$G$42,MATCH('Model Inputs &amp; Assumptions'!$L$28,'Model Inputs &amp; Assumptions'!$A$40:$A$42,0))*INDEX('Model Inputs &amp; Assumptions'!$H$40:$H$42,MATCH('Model Inputs &amp; Assumptions'!$L$28,'Model Inputs &amp; Assumptions'!$A$40:$A$42,0))</f>
        <v>2834.46280208803</v>
      </c>
      <c r="L440" s="51" t="n">
        <f aca="false">IFERROR(K440/I440,0)</f>
        <v>1.05528500220518</v>
      </c>
      <c r="M440" s="49" t="n">
        <f aca="false">IFERROR(I440/H440,0)</f>
        <v>181.230662428022</v>
      </c>
      <c r="N440" s="52" t="str">
        <f aca="false">'Model Inputs &amp; Assumptions'!$L$28</f>
        <v>PRD-EUAI</v>
      </c>
      <c r="P440" s="53" t="n">
        <v>-0.505729</v>
      </c>
      <c r="Q440" s="53" t="n">
        <v>1.875473</v>
      </c>
      <c r="R440" s="53" t="n">
        <v>0.395819</v>
      </c>
      <c r="S440" s="53" t="n">
        <v>-0.815519</v>
      </c>
    </row>
    <row r="441" customFormat="false" ht="15" hidden="false" customHeight="false" outlineLevel="0" collapsed="false">
      <c r="A441" s="43" t="n">
        <v>438</v>
      </c>
      <c r="B441" s="44" t="str">
        <f aca="false">'Model Inputs &amp; Assumptions'!$B$28</f>
        <v>finanzen.net — Q1 Awareness Burst</v>
      </c>
      <c r="C441" s="45" t="n">
        <f aca="false">ROUND(MAX(0,'Model Inputs &amp; Assumptions'!$S$28*EXP('Model Inputs &amp; Assumptions'!$T$28*P441-'Model Inputs &amp; Assumptions'!$T$28^2/2)),0)</f>
        <v>399771</v>
      </c>
      <c r="D441" s="46" t="n">
        <f aca="false">MIN(1,'Model Inputs &amp; Assumptions'!$U$28*EXP('Model Inputs &amp; Assumptions'!$V$28*Q441-'Model Inputs &amp; Assumptions'!$V$28^2/2))</f>
        <v>0</v>
      </c>
      <c r="E441" s="45" t="n">
        <f aca="false">ROUND(C441*D441,0)</f>
        <v>0</v>
      </c>
      <c r="F441" s="47" t="n">
        <f aca="false">MIN(1,'Model Inputs &amp; Assumptions'!$W$28*EXP('Model Inputs &amp; Assumptions'!$X$28*R441-'Model Inputs &amp; Assumptions'!$X$28^2/2))</f>
        <v>0.00140891218708148</v>
      </c>
      <c r="G441" s="45" t="n">
        <f aca="false">ROUND(C441*F441,0)</f>
        <v>563</v>
      </c>
      <c r="H441" s="48" t="n">
        <f aca="false">MAX(0,(C441*'Model Inputs &amp; Assumptions'!$N$28+E441*'Model Inputs &amp; Assumptions'!$O$28+G441*'Model Inputs &amp; Assumptions'!$P$28)*EXP('Model Inputs &amp; Assumptions'!$Q$28*S441-'Model Inputs &amp; Assumptions'!$Q$28^2/2))</f>
        <v>18.8209917773192</v>
      </c>
      <c r="I441" s="49" t="n">
        <f aca="false">IF('Model Inputs &amp; Assumptions'!$H$28="Fixed",'Model Inputs &amp; Assumptions'!$I$28*'Model Inputs &amp; Assumptions'!$K$28,IF('Model Inputs &amp; Assumptions'!$H$28="CPM",'Model Inputs &amp; Assumptions'!$I$28*'Model Inputs &amp; Assumptions'!$K$28*C441/1000,IF('Model Inputs &amp; Assumptions'!$H$28="CPC",'Model Inputs &amp; Assumptions'!$I$28*'Model Inputs &amp; Assumptions'!$K$28*G441,0)))</f>
        <v>2598.5115</v>
      </c>
      <c r="J441" s="50" t="n">
        <f aca="false">H441*INDEX('Model Inputs &amp; Assumptions'!$D$40:$D$42,MATCH('Model Inputs &amp; Assumptions'!$L$28,'Model Inputs &amp; Assumptions'!$A$40:$A$42,0))*INDEX('Model Inputs &amp; Assumptions'!$H$40:$H$42,MATCH('Model Inputs &amp; Assumptions'!$L$28,'Model Inputs &amp; Assumptions'!$A$40:$A$42,0))</f>
        <v>159978.430107213</v>
      </c>
      <c r="K441" s="49" t="n">
        <f aca="false">H441*INDEX('Model Inputs &amp; Assumptions'!$G$40:$G$42,MATCH('Model Inputs &amp; Assumptions'!$L$28,'Model Inputs &amp; Assumptions'!$A$40:$A$42,0))*INDEX('Model Inputs &amp; Assumptions'!$H$40:$H$42,MATCH('Model Inputs &amp; Assumptions'!$L$28,'Model Inputs &amp; Assumptions'!$A$40:$A$42,0))</f>
        <v>3599.5146774123</v>
      </c>
      <c r="L441" s="51" t="n">
        <f aca="false">IFERROR(K441/I441,0)</f>
        <v>1.38522176154014</v>
      </c>
      <c r="M441" s="49" t="n">
        <f aca="false">IFERROR(I441/H441,0)</f>
        <v>138.064536170268</v>
      </c>
      <c r="N441" s="52" t="str">
        <f aca="false">'Model Inputs &amp; Assumptions'!$L$28</f>
        <v>PRD-EUAI</v>
      </c>
      <c r="P441" s="53" t="n">
        <v>-0.689632</v>
      </c>
      <c r="Q441" s="53" t="n">
        <v>-0.070603</v>
      </c>
      <c r="R441" s="53" t="n">
        <v>-0.17476</v>
      </c>
      <c r="S441" s="53" t="n">
        <v>0.510837</v>
      </c>
    </row>
    <row r="442" customFormat="false" ht="15" hidden="false" customHeight="false" outlineLevel="0" collapsed="false">
      <c r="A442" s="43" t="n">
        <v>439</v>
      </c>
      <c r="B442" s="44" t="str">
        <f aca="false">'Model Inputs &amp; Assumptions'!$B$28</f>
        <v>finanzen.net — Q1 Awareness Burst</v>
      </c>
      <c r="C442" s="45" t="n">
        <f aca="false">ROUND(MAX(0,'Model Inputs &amp; Assumptions'!$S$28*EXP('Model Inputs &amp; Assumptions'!$T$28*P442-'Model Inputs &amp; Assumptions'!$T$28^2/2)),0)</f>
        <v>472304</v>
      </c>
      <c r="D442" s="46" t="n">
        <f aca="false">MIN(1,'Model Inputs &amp; Assumptions'!$U$28*EXP('Model Inputs &amp; Assumptions'!$V$28*Q442-'Model Inputs &amp; Assumptions'!$V$28^2/2))</f>
        <v>0</v>
      </c>
      <c r="E442" s="45" t="n">
        <f aca="false">ROUND(C442*D442,0)</f>
        <v>0</v>
      </c>
      <c r="F442" s="47" t="n">
        <f aca="false">MIN(1,'Model Inputs &amp; Assumptions'!$W$28*EXP('Model Inputs &amp; Assumptions'!$X$28*R442-'Model Inputs &amp; Assumptions'!$X$28^2/2))</f>
        <v>0.0016887751926495</v>
      </c>
      <c r="G442" s="45" t="n">
        <f aca="false">ROUND(C442*F442,0)</f>
        <v>798</v>
      </c>
      <c r="H442" s="48" t="n">
        <f aca="false">MAX(0,(C442*'Model Inputs &amp; Assumptions'!$N$28+E442*'Model Inputs &amp; Assumptions'!$O$28+G442*'Model Inputs &amp; Assumptions'!$P$28)*EXP('Model Inputs &amp; Assumptions'!$Q$28*S442-'Model Inputs &amp; Assumptions'!$Q$28^2/2))</f>
        <v>20.0262116928452</v>
      </c>
      <c r="I442" s="49" t="n">
        <f aca="false">IF('Model Inputs &amp; Assumptions'!$H$28="Fixed",'Model Inputs &amp; Assumptions'!$I$28*'Model Inputs &amp; Assumptions'!$K$28,IF('Model Inputs &amp; Assumptions'!$H$28="CPM",'Model Inputs &amp; Assumptions'!$I$28*'Model Inputs &amp; Assumptions'!$K$28*C442/1000,IF('Model Inputs &amp; Assumptions'!$H$28="CPC",'Model Inputs &amp; Assumptions'!$I$28*'Model Inputs &amp; Assumptions'!$K$28*G442,0)))</f>
        <v>3069.976</v>
      </c>
      <c r="J442" s="50" t="n">
        <f aca="false">H442*INDEX('Model Inputs &amp; Assumptions'!$D$40:$D$42,MATCH('Model Inputs &amp; Assumptions'!$L$28,'Model Inputs &amp; Assumptions'!$A$40:$A$42,0))*INDEX('Model Inputs &amp; Assumptions'!$H$40:$H$42,MATCH('Model Inputs &amp; Assumptions'!$L$28,'Model Inputs &amp; Assumptions'!$A$40:$A$42,0))</f>
        <v>170222.799389184</v>
      </c>
      <c r="K442" s="49" t="n">
        <f aca="false">H442*INDEX('Model Inputs &amp; Assumptions'!$G$40:$G$42,MATCH('Model Inputs &amp; Assumptions'!$L$28,'Model Inputs &amp; Assumptions'!$A$40:$A$42,0))*INDEX('Model Inputs &amp; Assumptions'!$H$40:$H$42,MATCH('Model Inputs &amp; Assumptions'!$L$28,'Model Inputs &amp; Assumptions'!$A$40:$A$42,0))</f>
        <v>3830.01298625664</v>
      </c>
      <c r="L442" s="51" t="n">
        <f aca="false">IFERROR(K442/I442,0)</f>
        <v>1.24757098630629</v>
      </c>
      <c r="M442" s="49" t="n">
        <f aca="false">IFERROR(I442/H442,0)</f>
        <v>153.297890139493</v>
      </c>
      <c r="N442" s="52" t="str">
        <f aca="false">'Model Inputs &amp; Assumptions'!$L$28</f>
        <v>PRD-EUAI</v>
      </c>
      <c r="P442" s="53" t="n">
        <v>0.236641</v>
      </c>
      <c r="Q442" s="53" t="n">
        <v>-1.735214</v>
      </c>
      <c r="R442" s="53" t="n">
        <v>0.648811</v>
      </c>
      <c r="S442" s="53" t="n">
        <v>-0.445029</v>
      </c>
    </row>
    <row r="443" customFormat="false" ht="15" hidden="false" customHeight="false" outlineLevel="0" collapsed="false">
      <c r="A443" s="43" t="n">
        <v>440</v>
      </c>
      <c r="B443" s="44" t="str">
        <f aca="false">'Model Inputs &amp; Assumptions'!$B$28</f>
        <v>finanzen.net — Q1 Awareness Burst</v>
      </c>
      <c r="C443" s="45" t="n">
        <f aca="false">ROUND(MAX(0,'Model Inputs &amp; Assumptions'!$S$28*EXP('Model Inputs &amp; Assumptions'!$T$28*P443-'Model Inputs &amp; Assumptions'!$T$28^2/2)),0)</f>
        <v>297534</v>
      </c>
      <c r="D443" s="46" t="n">
        <f aca="false">MIN(1,'Model Inputs &amp; Assumptions'!$U$28*EXP('Model Inputs &amp; Assumptions'!$V$28*Q443-'Model Inputs &amp; Assumptions'!$V$28^2/2))</f>
        <v>0</v>
      </c>
      <c r="E443" s="45" t="n">
        <f aca="false">ROUND(C443*D443,0)</f>
        <v>0</v>
      </c>
      <c r="F443" s="47" t="n">
        <f aca="false">MIN(1,'Model Inputs &amp; Assumptions'!$W$28*EXP('Model Inputs &amp; Assumptions'!$X$28*R443-'Model Inputs &amp; Assumptions'!$X$28^2/2))</f>
        <v>0.00181062847380814</v>
      </c>
      <c r="G443" s="45" t="n">
        <f aca="false">ROUND(C443*F443,0)</f>
        <v>539</v>
      </c>
      <c r="H443" s="48" t="n">
        <f aca="false">MAX(0,(C443*'Model Inputs &amp; Assumptions'!$N$28+E443*'Model Inputs &amp; Assumptions'!$O$28+G443*'Model Inputs &amp; Assumptions'!$P$28)*EXP('Model Inputs &amp; Assumptions'!$Q$28*S443-'Model Inputs &amp; Assumptions'!$Q$28^2/2))</f>
        <v>25.1111425415271</v>
      </c>
      <c r="I443" s="49" t="n">
        <f aca="false">IF('Model Inputs &amp; Assumptions'!$H$28="Fixed",'Model Inputs &amp; Assumptions'!$I$28*'Model Inputs &amp; Assumptions'!$K$28,IF('Model Inputs &amp; Assumptions'!$H$28="CPM",'Model Inputs &amp; Assumptions'!$I$28*'Model Inputs &amp; Assumptions'!$K$28*C443/1000,IF('Model Inputs &amp; Assumptions'!$H$28="CPC",'Model Inputs &amp; Assumptions'!$I$28*'Model Inputs &amp; Assumptions'!$K$28*G443,0)))</f>
        <v>1933.971</v>
      </c>
      <c r="J443" s="50" t="n">
        <f aca="false">H443*INDEX('Model Inputs &amp; Assumptions'!$D$40:$D$42,MATCH('Model Inputs &amp; Assumptions'!$L$28,'Model Inputs &amp; Assumptions'!$A$40:$A$42,0))*INDEX('Model Inputs &amp; Assumptions'!$H$40:$H$42,MATCH('Model Inputs &amp; Assumptions'!$L$28,'Model Inputs &amp; Assumptions'!$A$40:$A$42,0))</f>
        <v>213444.71160298</v>
      </c>
      <c r="K443" s="49" t="n">
        <f aca="false">H443*INDEX('Model Inputs &amp; Assumptions'!$G$40:$G$42,MATCH('Model Inputs &amp; Assumptions'!$L$28,'Model Inputs &amp; Assumptions'!$A$40:$A$42,0))*INDEX('Model Inputs &amp; Assumptions'!$H$40:$H$42,MATCH('Model Inputs &amp; Assumptions'!$L$28,'Model Inputs &amp; Assumptions'!$A$40:$A$42,0))</f>
        <v>4802.50601106705</v>
      </c>
      <c r="L443" s="51" t="n">
        <f aca="false">IFERROR(K443/I443,0)</f>
        <v>2.48323579364274</v>
      </c>
      <c r="M443" s="49" t="n">
        <f aca="false">IFERROR(I443/H443,0)</f>
        <v>77.0164478498632</v>
      </c>
      <c r="N443" s="52" t="str">
        <f aca="false">'Model Inputs &amp; Assumptions'!$L$28</f>
        <v>PRD-EUAI</v>
      </c>
      <c r="P443" s="53" t="n">
        <v>-2.330542</v>
      </c>
      <c r="Q443" s="53" t="n">
        <v>-0.181329</v>
      </c>
      <c r="R443" s="53" t="n">
        <v>0.965495</v>
      </c>
      <c r="S443" s="53" t="n">
        <v>1.61718</v>
      </c>
    </row>
    <row r="444" customFormat="false" ht="15" hidden="false" customHeight="false" outlineLevel="0" collapsed="false">
      <c r="A444" s="43" t="n">
        <v>441</v>
      </c>
      <c r="B444" s="44" t="str">
        <f aca="false">'Model Inputs &amp; Assumptions'!$B$28</f>
        <v>finanzen.net — Q1 Awareness Burst</v>
      </c>
      <c r="C444" s="45" t="n">
        <f aca="false">ROUND(MAX(0,'Model Inputs &amp; Assumptions'!$S$28*EXP('Model Inputs &amp; Assumptions'!$T$28*P444-'Model Inputs &amp; Assumptions'!$T$28^2/2)),0)</f>
        <v>560334</v>
      </c>
      <c r="D444" s="46" t="n">
        <f aca="false">MIN(1,'Model Inputs &amp; Assumptions'!$U$28*EXP('Model Inputs &amp; Assumptions'!$V$28*Q444-'Model Inputs &amp; Assumptions'!$V$28^2/2))</f>
        <v>0</v>
      </c>
      <c r="E444" s="45" t="n">
        <f aca="false">ROUND(C444*D444,0)</f>
        <v>0</v>
      </c>
      <c r="F444" s="47" t="n">
        <f aca="false">MIN(1,'Model Inputs &amp; Assumptions'!$W$28*EXP('Model Inputs &amp; Assumptions'!$X$28*R444-'Model Inputs &amp; Assumptions'!$X$28^2/2))</f>
        <v>0.00116965997639739</v>
      </c>
      <c r="G444" s="45" t="n">
        <f aca="false">ROUND(C444*F444,0)</f>
        <v>655</v>
      </c>
      <c r="H444" s="48" t="n">
        <f aca="false">MAX(0,(C444*'Model Inputs &amp; Assumptions'!$N$28+E444*'Model Inputs &amp; Assumptions'!$O$28+G444*'Model Inputs &amp; Assumptions'!$P$28)*EXP('Model Inputs &amp; Assumptions'!$Q$28*S444-'Model Inputs &amp; Assumptions'!$Q$28^2/2))</f>
        <v>26.7460884990408</v>
      </c>
      <c r="I444" s="49" t="n">
        <f aca="false">IF('Model Inputs &amp; Assumptions'!$H$28="Fixed",'Model Inputs &amp; Assumptions'!$I$28*'Model Inputs &amp; Assumptions'!$K$28,IF('Model Inputs &amp; Assumptions'!$H$28="CPM",'Model Inputs &amp; Assumptions'!$I$28*'Model Inputs &amp; Assumptions'!$K$28*C444/1000,IF('Model Inputs &amp; Assumptions'!$H$28="CPC",'Model Inputs &amp; Assumptions'!$I$28*'Model Inputs &amp; Assumptions'!$K$28*G444,0)))</f>
        <v>3642.171</v>
      </c>
      <c r="J444" s="50" t="n">
        <f aca="false">H444*INDEX('Model Inputs &amp; Assumptions'!$D$40:$D$42,MATCH('Model Inputs &amp; Assumptions'!$L$28,'Model Inputs &amp; Assumptions'!$A$40:$A$42,0))*INDEX('Model Inputs &amp; Assumptions'!$H$40:$H$42,MATCH('Model Inputs &amp; Assumptions'!$L$28,'Model Inputs &amp; Assumptions'!$A$40:$A$42,0))</f>
        <v>227341.752241846</v>
      </c>
      <c r="K444" s="49" t="n">
        <f aca="false">H444*INDEX('Model Inputs &amp; Assumptions'!$G$40:$G$42,MATCH('Model Inputs &amp; Assumptions'!$L$28,'Model Inputs &amp; Assumptions'!$A$40:$A$42,0))*INDEX('Model Inputs &amp; Assumptions'!$H$40:$H$42,MATCH('Model Inputs &amp; Assumptions'!$L$28,'Model Inputs &amp; Assumptions'!$A$40:$A$42,0))</f>
        <v>5115.18942544155</v>
      </c>
      <c r="L444" s="51" t="n">
        <f aca="false">IFERROR(K444/I444,0)</f>
        <v>1.40443417550729</v>
      </c>
      <c r="M444" s="49" t="n">
        <f aca="false">IFERROR(I444/H444,0)</f>
        <v>136.17583745491</v>
      </c>
      <c r="N444" s="52" t="str">
        <f aca="false">'Model Inputs &amp; Assumptions'!$L$28</f>
        <v>PRD-EUAI</v>
      </c>
      <c r="P444" s="53" t="n">
        <v>1.186147</v>
      </c>
      <c r="Q444" s="53" t="n">
        <v>0.8986</v>
      </c>
      <c r="R444" s="53" t="n">
        <v>-1.020691</v>
      </c>
      <c r="S444" s="53" t="n">
        <v>1.177703</v>
      </c>
    </row>
    <row r="445" customFormat="false" ht="15" hidden="false" customHeight="false" outlineLevel="0" collapsed="false">
      <c r="A445" s="43" t="n">
        <v>442</v>
      </c>
      <c r="B445" s="44" t="str">
        <f aca="false">'Model Inputs &amp; Assumptions'!$B$28</f>
        <v>finanzen.net — Q1 Awareness Burst</v>
      </c>
      <c r="C445" s="45" t="n">
        <f aca="false">ROUND(MAX(0,'Model Inputs &amp; Assumptions'!$S$28*EXP('Model Inputs &amp; Assumptions'!$T$28*P445-'Model Inputs &amp; Assumptions'!$T$28^2/2)),0)</f>
        <v>384384</v>
      </c>
      <c r="D445" s="46" t="n">
        <f aca="false">MIN(1,'Model Inputs &amp; Assumptions'!$U$28*EXP('Model Inputs &amp; Assumptions'!$V$28*Q445-'Model Inputs &amp; Assumptions'!$V$28^2/2))</f>
        <v>0</v>
      </c>
      <c r="E445" s="45" t="n">
        <f aca="false">ROUND(C445*D445,0)</f>
        <v>0</v>
      </c>
      <c r="F445" s="47" t="n">
        <f aca="false">MIN(1,'Model Inputs &amp; Assumptions'!$W$28*EXP('Model Inputs &amp; Assumptions'!$X$28*R445-'Model Inputs &amp; Assumptions'!$X$28^2/2))</f>
        <v>0.00161937751938336</v>
      </c>
      <c r="G445" s="45" t="n">
        <f aca="false">ROUND(C445*F445,0)</f>
        <v>622</v>
      </c>
      <c r="H445" s="48" t="n">
        <f aca="false">MAX(0,(C445*'Model Inputs &amp; Assumptions'!$N$28+E445*'Model Inputs &amp; Assumptions'!$O$28+G445*'Model Inputs &amp; Assumptions'!$P$28)*EXP('Model Inputs &amp; Assumptions'!$Q$28*S445-'Model Inputs &amp; Assumptions'!$Q$28^2/2))</f>
        <v>24.3177733219131</v>
      </c>
      <c r="I445" s="49" t="n">
        <f aca="false">IF('Model Inputs &amp; Assumptions'!$H$28="Fixed",'Model Inputs &amp; Assumptions'!$I$28*'Model Inputs &amp; Assumptions'!$K$28,IF('Model Inputs &amp; Assumptions'!$H$28="CPM",'Model Inputs &amp; Assumptions'!$I$28*'Model Inputs &amp; Assumptions'!$K$28*C445/1000,IF('Model Inputs &amp; Assumptions'!$H$28="CPC",'Model Inputs &amp; Assumptions'!$I$28*'Model Inputs &amp; Assumptions'!$K$28*G445,0)))</f>
        <v>2498.496</v>
      </c>
      <c r="J445" s="50" t="n">
        <f aca="false">H445*INDEX('Model Inputs &amp; Assumptions'!$D$40:$D$42,MATCH('Model Inputs &amp; Assumptions'!$L$28,'Model Inputs &amp; Assumptions'!$A$40:$A$42,0))*INDEX('Model Inputs &amp; Assumptions'!$H$40:$H$42,MATCH('Model Inputs &amp; Assumptions'!$L$28,'Model Inputs &amp; Assumptions'!$A$40:$A$42,0))</f>
        <v>206701.073236261</v>
      </c>
      <c r="K445" s="49" t="n">
        <f aca="false">H445*INDEX('Model Inputs &amp; Assumptions'!$G$40:$G$42,MATCH('Model Inputs &amp; Assumptions'!$L$28,'Model Inputs &amp; Assumptions'!$A$40:$A$42,0))*INDEX('Model Inputs &amp; Assumptions'!$H$40:$H$42,MATCH('Model Inputs &amp; Assumptions'!$L$28,'Model Inputs &amp; Assumptions'!$A$40:$A$42,0))</f>
        <v>4650.77414781588</v>
      </c>
      <c r="L445" s="51" t="n">
        <f aca="false">IFERROR(K445/I445,0)</f>
        <v>1.86142949511061</v>
      </c>
      <c r="M445" s="49" t="n">
        <f aca="false">IFERROR(I445/H445,0)</f>
        <v>102.74361747375</v>
      </c>
      <c r="N445" s="52" t="str">
        <f aca="false">'Model Inputs &amp; Assumptions'!$L$28</f>
        <v>PRD-EUAI</v>
      </c>
      <c r="P445" s="53" t="n">
        <v>-0.907692</v>
      </c>
      <c r="Q445" s="53" t="n">
        <v>0.036858</v>
      </c>
      <c r="R445" s="53" t="n">
        <v>0.458076</v>
      </c>
      <c r="S445" s="53" t="n">
        <v>1.032751</v>
      </c>
    </row>
    <row r="446" customFormat="false" ht="15" hidden="false" customHeight="false" outlineLevel="0" collapsed="false">
      <c r="A446" s="43" t="n">
        <v>443</v>
      </c>
      <c r="B446" s="44" t="str">
        <f aca="false">'Model Inputs &amp; Assumptions'!$B$28</f>
        <v>finanzen.net — Q1 Awareness Burst</v>
      </c>
      <c r="C446" s="45" t="n">
        <f aca="false">ROUND(MAX(0,'Model Inputs &amp; Assumptions'!$S$28*EXP('Model Inputs &amp; Assumptions'!$T$28*P446-'Model Inputs &amp; Assumptions'!$T$28^2/2)),0)</f>
        <v>475947</v>
      </c>
      <c r="D446" s="46" t="n">
        <f aca="false">MIN(1,'Model Inputs &amp; Assumptions'!$U$28*EXP('Model Inputs &amp; Assumptions'!$V$28*Q446-'Model Inputs &amp; Assumptions'!$V$28^2/2))</f>
        <v>0</v>
      </c>
      <c r="E446" s="45" t="n">
        <f aca="false">ROUND(C446*D446,0)</f>
        <v>0</v>
      </c>
      <c r="F446" s="47" t="n">
        <f aca="false">MIN(1,'Model Inputs &amp; Assumptions'!$W$28*EXP('Model Inputs &amp; Assumptions'!$X$28*R446-'Model Inputs &amp; Assumptions'!$X$28^2/2))</f>
        <v>0.00148637975392916</v>
      </c>
      <c r="G446" s="45" t="n">
        <f aca="false">ROUND(C446*F446,0)</f>
        <v>707</v>
      </c>
      <c r="H446" s="48" t="n">
        <f aca="false">MAX(0,(C446*'Model Inputs &amp; Assumptions'!$N$28+E446*'Model Inputs &amp; Assumptions'!$O$28+G446*'Model Inputs &amp; Assumptions'!$P$28)*EXP('Model Inputs &amp; Assumptions'!$Q$28*S446-'Model Inputs &amp; Assumptions'!$Q$28^2/2))</f>
        <v>27.1031801192994</v>
      </c>
      <c r="I446" s="49" t="n">
        <f aca="false">IF('Model Inputs &amp; Assumptions'!$H$28="Fixed",'Model Inputs &amp; Assumptions'!$I$28*'Model Inputs &amp; Assumptions'!$K$28,IF('Model Inputs &amp; Assumptions'!$H$28="CPM",'Model Inputs &amp; Assumptions'!$I$28*'Model Inputs &amp; Assumptions'!$K$28*C446/1000,IF('Model Inputs &amp; Assumptions'!$H$28="CPC",'Model Inputs &amp; Assumptions'!$I$28*'Model Inputs &amp; Assumptions'!$K$28*G446,0)))</f>
        <v>3093.6555</v>
      </c>
      <c r="J446" s="50" t="n">
        <f aca="false">H446*INDEX('Model Inputs &amp; Assumptions'!$D$40:$D$42,MATCH('Model Inputs &amp; Assumptions'!$L$28,'Model Inputs &amp; Assumptions'!$A$40:$A$42,0))*INDEX('Model Inputs &amp; Assumptions'!$H$40:$H$42,MATCH('Model Inputs &amp; Assumptions'!$L$28,'Model Inputs &amp; Assumptions'!$A$40:$A$42,0))</f>
        <v>230377.031014045</v>
      </c>
      <c r="K446" s="49" t="n">
        <f aca="false">H446*INDEX('Model Inputs &amp; Assumptions'!$G$40:$G$42,MATCH('Model Inputs &amp; Assumptions'!$L$28,'Model Inputs &amp; Assumptions'!$A$40:$A$42,0))*INDEX('Model Inputs &amp; Assumptions'!$H$40:$H$42,MATCH('Model Inputs &amp; Assumptions'!$L$28,'Model Inputs &amp; Assumptions'!$A$40:$A$42,0))</f>
        <v>5183.48319781601</v>
      </c>
      <c r="L446" s="51" t="n">
        <f aca="false">IFERROR(K446/I446,0)</f>
        <v>1.67552049600093</v>
      </c>
      <c r="M446" s="49" t="n">
        <f aca="false">IFERROR(I446/H446,0)</f>
        <v>114.14363504145</v>
      </c>
      <c r="N446" s="52" t="str">
        <f aca="false">'Model Inputs &amp; Assumptions'!$L$28</f>
        <v>PRD-EUAI</v>
      </c>
      <c r="P446" s="53" t="n">
        <v>0.279335</v>
      </c>
      <c r="Q446" s="53" t="n">
        <v>0.492293</v>
      </c>
      <c r="R446" s="53" t="n">
        <v>0.068538</v>
      </c>
      <c r="S446" s="53" t="n">
        <v>0.967261</v>
      </c>
    </row>
    <row r="447" customFormat="false" ht="15" hidden="false" customHeight="false" outlineLevel="0" collapsed="false">
      <c r="A447" s="43" t="n">
        <v>444</v>
      </c>
      <c r="B447" s="44" t="str">
        <f aca="false">'Model Inputs &amp; Assumptions'!$B$28</f>
        <v>finanzen.net — Q1 Awareness Burst</v>
      </c>
      <c r="C447" s="45" t="n">
        <f aca="false">ROUND(MAX(0,'Model Inputs &amp; Assumptions'!$S$28*EXP('Model Inputs &amp; Assumptions'!$T$28*P447-'Model Inputs &amp; Assumptions'!$T$28^2/2)),0)</f>
        <v>577695</v>
      </c>
      <c r="D447" s="46" t="n">
        <f aca="false">MIN(1,'Model Inputs &amp; Assumptions'!$U$28*EXP('Model Inputs &amp; Assumptions'!$V$28*Q447-'Model Inputs &amp; Assumptions'!$V$28^2/2))</f>
        <v>0</v>
      </c>
      <c r="E447" s="45" t="n">
        <f aca="false">ROUND(C447*D447,0)</f>
        <v>0</v>
      </c>
      <c r="F447" s="47" t="n">
        <f aca="false">MIN(1,'Model Inputs &amp; Assumptions'!$W$28*EXP('Model Inputs &amp; Assumptions'!$X$28*R447-'Model Inputs &amp; Assumptions'!$X$28^2/2))</f>
        <v>0.00146660740844683</v>
      </c>
      <c r="G447" s="45" t="n">
        <f aca="false">ROUND(C447*F447,0)</f>
        <v>847</v>
      </c>
      <c r="H447" s="48" t="n">
        <f aca="false">MAX(0,(C447*'Model Inputs &amp; Assumptions'!$N$28+E447*'Model Inputs &amp; Assumptions'!$O$28+G447*'Model Inputs &amp; Assumptions'!$P$28)*EXP('Model Inputs &amp; Assumptions'!$Q$28*S447-'Model Inputs &amp; Assumptions'!$Q$28^2/2))</f>
        <v>13.5964250923589</v>
      </c>
      <c r="I447" s="49" t="n">
        <f aca="false">IF('Model Inputs &amp; Assumptions'!$H$28="Fixed",'Model Inputs &amp; Assumptions'!$I$28*'Model Inputs &amp; Assumptions'!$K$28,IF('Model Inputs &amp; Assumptions'!$H$28="CPM",'Model Inputs &amp; Assumptions'!$I$28*'Model Inputs &amp; Assumptions'!$K$28*C447/1000,IF('Model Inputs &amp; Assumptions'!$H$28="CPC",'Model Inputs &amp; Assumptions'!$I$28*'Model Inputs &amp; Assumptions'!$K$28*G447,0)))</f>
        <v>3755.0175</v>
      </c>
      <c r="J447" s="50" t="n">
        <f aca="false">H447*INDEX('Model Inputs &amp; Assumptions'!$D$40:$D$42,MATCH('Model Inputs &amp; Assumptions'!$L$28,'Model Inputs &amp; Assumptions'!$A$40:$A$42,0))*INDEX('Model Inputs &amp; Assumptions'!$H$40:$H$42,MATCH('Model Inputs &amp; Assumptions'!$L$28,'Model Inputs &amp; Assumptions'!$A$40:$A$42,0))</f>
        <v>115569.613285051</v>
      </c>
      <c r="K447" s="49" t="n">
        <f aca="false">H447*INDEX('Model Inputs &amp; Assumptions'!$G$40:$G$42,MATCH('Model Inputs &amp; Assumptions'!$L$28,'Model Inputs &amp; Assumptions'!$A$40:$A$42,0))*INDEX('Model Inputs &amp; Assumptions'!$H$40:$H$42,MATCH('Model Inputs &amp; Assumptions'!$L$28,'Model Inputs &amp; Assumptions'!$A$40:$A$42,0))</f>
        <v>2600.31629891364</v>
      </c>
      <c r="L447" s="51" t="n">
        <f aca="false">IFERROR(K447/I447,0)</f>
        <v>0.692491126582936</v>
      </c>
      <c r="M447" s="49" t="n">
        <f aca="false">IFERROR(I447/H447,0)</f>
        <v>276.176824017535</v>
      </c>
      <c r="N447" s="52" t="str">
        <f aca="false">'Model Inputs &amp; Assumptions'!$L$28</f>
        <v>PRD-EUAI</v>
      </c>
      <c r="P447" s="53" t="n">
        <v>1.35566</v>
      </c>
      <c r="Q447" s="53" t="n">
        <v>0.085074</v>
      </c>
      <c r="R447" s="53" t="n">
        <v>0.007667</v>
      </c>
      <c r="S447" s="53" t="n">
        <v>-1.934453</v>
      </c>
    </row>
    <row r="448" customFormat="false" ht="15" hidden="false" customHeight="false" outlineLevel="0" collapsed="false">
      <c r="A448" s="43" t="n">
        <v>445</v>
      </c>
      <c r="B448" s="44" t="str">
        <f aca="false">'Model Inputs &amp; Assumptions'!$B$28</f>
        <v>finanzen.net — Q1 Awareness Burst</v>
      </c>
      <c r="C448" s="45" t="n">
        <f aca="false">ROUND(MAX(0,'Model Inputs &amp; Assumptions'!$S$28*EXP('Model Inputs &amp; Assumptions'!$T$28*P448-'Model Inputs &amp; Assumptions'!$T$28^2/2)),0)</f>
        <v>483130</v>
      </c>
      <c r="D448" s="46" t="n">
        <f aca="false">MIN(1,'Model Inputs &amp; Assumptions'!$U$28*EXP('Model Inputs &amp; Assumptions'!$V$28*Q448-'Model Inputs &amp; Assumptions'!$V$28^2/2))</f>
        <v>0</v>
      </c>
      <c r="E448" s="45" t="n">
        <f aca="false">ROUND(C448*D448,0)</f>
        <v>0</v>
      </c>
      <c r="F448" s="47" t="n">
        <f aca="false">MIN(1,'Model Inputs &amp; Assumptions'!$W$28*EXP('Model Inputs &amp; Assumptions'!$X$28*R448-'Model Inputs &amp; Assumptions'!$X$28^2/2))</f>
        <v>0.00127408264828145</v>
      </c>
      <c r="G448" s="45" t="n">
        <f aca="false">ROUND(C448*F448,0)</f>
        <v>616</v>
      </c>
      <c r="H448" s="48" t="n">
        <f aca="false">MAX(0,(C448*'Model Inputs &amp; Assumptions'!$N$28+E448*'Model Inputs &amp; Assumptions'!$O$28+G448*'Model Inputs &amp; Assumptions'!$P$28)*EXP('Model Inputs &amp; Assumptions'!$Q$28*S448-'Model Inputs &amp; Assumptions'!$Q$28^2/2))</f>
        <v>24.3638107713772</v>
      </c>
      <c r="I448" s="49" t="n">
        <f aca="false">IF('Model Inputs &amp; Assumptions'!$H$28="Fixed",'Model Inputs &amp; Assumptions'!$I$28*'Model Inputs &amp; Assumptions'!$K$28,IF('Model Inputs &amp; Assumptions'!$H$28="CPM",'Model Inputs &amp; Assumptions'!$I$28*'Model Inputs &amp; Assumptions'!$K$28*C448/1000,IF('Model Inputs &amp; Assumptions'!$H$28="CPC",'Model Inputs &amp; Assumptions'!$I$28*'Model Inputs &amp; Assumptions'!$K$28*G448,0)))</f>
        <v>3140.345</v>
      </c>
      <c r="J448" s="50" t="n">
        <f aca="false">H448*INDEX('Model Inputs &amp; Assumptions'!$D$40:$D$42,MATCH('Model Inputs &amp; Assumptions'!$L$28,'Model Inputs &amp; Assumptions'!$A$40:$A$42,0))*INDEX('Model Inputs &amp; Assumptions'!$H$40:$H$42,MATCH('Model Inputs &amp; Assumptions'!$L$28,'Model Inputs &amp; Assumptions'!$A$40:$A$42,0))</f>
        <v>207092.391556706</v>
      </c>
      <c r="K448" s="49" t="n">
        <f aca="false">H448*INDEX('Model Inputs &amp; Assumptions'!$G$40:$G$42,MATCH('Model Inputs &amp; Assumptions'!$L$28,'Model Inputs &amp; Assumptions'!$A$40:$A$42,0))*INDEX('Model Inputs &amp; Assumptions'!$H$40:$H$42,MATCH('Model Inputs &amp; Assumptions'!$L$28,'Model Inputs &amp; Assumptions'!$A$40:$A$42,0))</f>
        <v>4659.57881002588</v>
      </c>
      <c r="L448" s="51" t="n">
        <f aca="false">IFERROR(K448/I448,0)</f>
        <v>1.48377926948341</v>
      </c>
      <c r="M448" s="49" t="n">
        <f aca="false">IFERROR(I448/H448,0)</f>
        <v>128.893834772732</v>
      </c>
      <c r="N448" s="52" t="str">
        <f aca="false">'Model Inputs &amp; Assumptions'!$L$28</f>
        <v>PRD-EUAI</v>
      </c>
      <c r="P448" s="53" t="n">
        <v>0.362555</v>
      </c>
      <c r="Q448" s="53" t="n">
        <v>0.574065</v>
      </c>
      <c r="R448" s="53" t="n">
        <v>-0.631994</v>
      </c>
      <c r="S448" s="53" t="n">
        <v>1.071366</v>
      </c>
    </row>
    <row r="449" customFormat="false" ht="15" hidden="false" customHeight="false" outlineLevel="0" collapsed="false">
      <c r="A449" s="43" t="n">
        <v>446</v>
      </c>
      <c r="B449" s="44" t="str">
        <f aca="false">'Model Inputs &amp; Assumptions'!$B$28</f>
        <v>finanzen.net — Q1 Awareness Burst</v>
      </c>
      <c r="C449" s="45" t="n">
        <f aca="false">ROUND(MAX(0,'Model Inputs &amp; Assumptions'!$S$28*EXP('Model Inputs &amp; Assumptions'!$T$28*P449-'Model Inputs &amp; Assumptions'!$T$28^2/2)),0)</f>
        <v>729507</v>
      </c>
      <c r="D449" s="46" t="n">
        <f aca="false">MIN(1,'Model Inputs &amp; Assumptions'!$U$28*EXP('Model Inputs &amp; Assumptions'!$V$28*Q449-'Model Inputs &amp; Assumptions'!$V$28^2/2))</f>
        <v>0</v>
      </c>
      <c r="E449" s="45" t="n">
        <f aca="false">ROUND(C449*D449,0)</f>
        <v>0</v>
      </c>
      <c r="F449" s="47" t="n">
        <f aca="false">MIN(1,'Model Inputs &amp; Assumptions'!$W$28*EXP('Model Inputs &amp; Assumptions'!$X$28*R449-'Model Inputs &amp; Assumptions'!$X$28^2/2))</f>
        <v>0.00180104402042571</v>
      </c>
      <c r="G449" s="45" t="n">
        <f aca="false">ROUND(C449*F449,0)</f>
        <v>1314</v>
      </c>
      <c r="H449" s="48" t="n">
        <f aca="false">MAX(0,(C449*'Model Inputs &amp; Assumptions'!$N$28+E449*'Model Inputs &amp; Assumptions'!$O$28+G449*'Model Inputs &amp; Assumptions'!$P$28)*EXP('Model Inputs &amp; Assumptions'!$Q$28*S449-'Model Inputs &amp; Assumptions'!$Q$28^2/2))</f>
        <v>66.3582770780254</v>
      </c>
      <c r="I449" s="49" t="n">
        <f aca="false">IF('Model Inputs &amp; Assumptions'!$H$28="Fixed",'Model Inputs &amp; Assumptions'!$I$28*'Model Inputs &amp; Assumptions'!$K$28,IF('Model Inputs &amp; Assumptions'!$H$28="CPM",'Model Inputs &amp; Assumptions'!$I$28*'Model Inputs &amp; Assumptions'!$K$28*C449/1000,IF('Model Inputs &amp; Assumptions'!$H$28="CPC",'Model Inputs &amp; Assumptions'!$I$28*'Model Inputs &amp; Assumptions'!$K$28*G449,0)))</f>
        <v>4741.7955</v>
      </c>
      <c r="J449" s="50" t="n">
        <f aca="false">H449*INDEX('Model Inputs &amp; Assumptions'!$D$40:$D$42,MATCH('Model Inputs &amp; Assumptions'!$L$28,'Model Inputs &amp; Assumptions'!$A$40:$A$42,0))*INDEX('Model Inputs &amp; Assumptions'!$H$40:$H$42,MATCH('Model Inputs &amp; Assumptions'!$L$28,'Model Inputs &amp; Assumptions'!$A$40:$A$42,0))</f>
        <v>564045.355163216</v>
      </c>
      <c r="K449" s="49" t="n">
        <f aca="false">H449*INDEX('Model Inputs &amp; Assumptions'!$G$40:$G$42,MATCH('Model Inputs &amp; Assumptions'!$L$28,'Model Inputs &amp; Assumptions'!$A$40:$A$42,0))*INDEX('Model Inputs &amp; Assumptions'!$H$40:$H$42,MATCH('Model Inputs &amp; Assumptions'!$L$28,'Model Inputs &amp; Assumptions'!$A$40:$A$42,0))</f>
        <v>12691.0204911724</v>
      </c>
      <c r="L449" s="51" t="n">
        <f aca="false">IFERROR(K449/I449,0)</f>
        <v>2.67641666351329</v>
      </c>
      <c r="M449" s="49" t="n">
        <f aca="false">IFERROR(I449/H449,0)</f>
        <v>71.4574836598681</v>
      </c>
      <c r="N449" s="52" t="str">
        <f aca="false">'Model Inputs &amp; Assumptions'!$L$28</f>
        <v>PRD-EUAI</v>
      </c>
      <c r="P449" s="53" t="n">
        <v>2.651903</v>
      </c>
      <c r="Q449" s="53" t="n">
        <v>-1.795684</v>
      </c>
      <c r="R449" s="53" t="n">
        <v>0.94137</v>
      </c>
      <c r="S449" s="53" t="n">
        <v>1.885984</v>
      </c>
    </row>
    <row r="450" customFormat="false" ht="15" hidden="false" customHeight="false" outlineLevel="0" collapsed="false">
      <c r="A450" s="43" t="n">
        <v>447</v>
      </c>
      <c r="B450" s="44" t="str">
        <f aca="false">'Model Inputs &amp; Assumptions'!$B$28</f>
        <v>finanzen.net — Q1 Awareness Burst</v>
      </c>
      <c r="C450" s="45" t="n">
        <f aca="false">ROUND(MAX(0,'Model Inputs &amp; Assumptions'!$S$28*EXP('Model Inputs &amp; Assumptions'!$T$28*P450-'Model Inputs &amp; Assumptions'!$T$28^2/2)),0)</f>
        <v>561706</v>
      </c>
      <c r="D450" s="46" t="n">
        <f aca="false">MIN(1,'Model Inputs &amp; Assumptions'!$U$28*EXP('Model Inputs &amp; Assumptions'!$V$28*Q450-'Model Inputs &amp; Assumptions'!$V$28^2/2))</f>
        <v>0</v>
      </c>
      <c r="E450" s="45" t="n">
        <f aca="false">ROUND(C450*D450,0)</f>
        <v>0</v>
      </c>
      <c r="F450" s="47" t="n">
        <f aca="false">MIN(1,'Model Inputs &amp; Assumptions'!$W$28*EXP('Model Inputs &amp; Assumptions'!$X$28*R450-'Model Inputs &amp; Assumptions'!$X$28^2/2))</f>
        <v>0.00214344568665366</v>
      </c>
      <c r="G450" s="45" t="n">
        <f aca="false">ROUND(C450*F450,0)</f>
        <v>1204</v>
      </c>
      <c r="H450" s="48" t="n">
        <f aca="false">MAX(0,(C450*'Model Inputs &amp; Assumptions'!$N$28+E450*'Model Inputs &amp; Assumptions'!$O$28+G450*'Model Inputs &amp; Assumptions'!$P$28)*EXP('Model Inputs &amp; Assumptions'!$Q$28*S450-'Model Inputs &amp; Assumptions'!$Q$28^2/2))</f>
        <v>23.5932588327723</v>
      </c>
      <c r="I450" s="49" t="n">
        <f aca="false">IF('Model Inputs &amp; Assumptions'!$H$28="Fixed",'Model Inputs &amp; Assumptions'!$I$28*'Model Inputs &amp; Assumptions'!$K$28,IF('Model Inputs &amp; Assumptions'!$H$28="CPM",'Model Inputs &amp; Assumptions'!$I$28*'Model Inputs &amp; Assumptions'!$K$28*C450/1000,IF('Model Inputs &amp; Assumptions'!$H$28="CPC",'Model Inputs &amp; Assumptions'!$I$28*'Model Inputs &amp; Assumptions'!$K$28*G450,0)))</f>
        <v>3651.089</v>
      </c>
      <c r="J450" s="50" t="n">
        <f aca="false">H450*INDEX('Model Inputs &amp; Assumptions'!$D$40:$D$42,MATCH('Model Inputs &amp; Assumptions'!$L$28,'Model Inputs &amp; Assumptions'!$A$40:$A$42,0))*INDEX('Model Inputs &amp; Assumptions'!$H$40:$H$42,MATCH('Model Inputs &amp; Assumptions'!$L$28,'Model Inputs &amp; Assumptions'!$A$40:$A$42,0))</f>
        <v>200542.700078565</v>
      </c>
      <c r="K450" s="49" t="n">
        <f aca="false">H450*INDEX('Model Inputs &amp; Assumptions'!$G$40:$G$42,MATCH('Model Inputs &amp; Assumptions'!$L$28,'Model Inputs &amp; Assumptions'!$A$40:$A$42,0))*INDEX('Model Inputs &amp; Assumptions'!$H$40:$H$42,MATCH('Model Inputs &amp; Assumptions'!$L$28,'Model Inputs &amp; Assumptions'!$A$40:$A$42,0))</f>
        <v>4512.2107517677</v>
      </c>
      <c r="L450" s="51" t="n">
        <f aca="false">IFERROR(K450/I450,0)</f>
        <v>1.23585339929202</v>
      </c>
      <c r="M450" s="49" t="n">
        <f aca="false">IFERROR(I450/H450,0)</f>
        <v>154.751364611337</v>
      </c>
      <c r="N450" s="52" t="str">
        <f aca="false">'Model Inputs &amp; Assumptions'!$L$28</f>
        <v>PRD-EUAI</v>
      </c>
      <c r="P450" s="53" t="n">
        <v>1.199734</v>
      </c>
      <c r="Q450" s="53" t="n">
        <v>-1.889625</v>
      </c>
      <c r="R450" s="53" t="n">
        <v>1.732498</v>
      </c>
      <c r="S450" s="53" t="n">
        <v>-1.269619</v>
      </c>
    </row>
    <row r="451" customFormat="false" ht="15" hidden="false" customHeight="false" outlineLevel="0" collapsed="false">
      <c r="A451" s="43" t="n">
        <v>448</v>
      </c>
      <c r="B451" s="44" t="str">
        <f aca="false">'Model Inputs &amp; Assumptions'!$B$28</f>
        <v>finanzen.net — Q1 Awareness Burst</v>
      </c>
      <c r="C451" s="45" t="n">
        <f aca="false">ROUND(MAX(0,'Model Inputs &amp; Assumptions'!$S$28*EXP('Model Inputs &amp; Assumptions'!$T$28*P451-'Model Inputs &amp; Assumptions'!$T$28^2/2)),0)</f>
        <v>562270</v>
      </c>
      <c r="D451" s="46" t="n">
        <f aca="false">MIN(1,'Model Inputs &amp; Assumptions'!$U$28*EXP('Model Inputs &amp; Assumptions'!$V$28*Q451-'Model Inputs &amp; Assumptions'!$V$28^2/2))</f>
        <v>0</v>
      </c>
      <c r="E451" s="45" t="n">
        <f aca="false">ROUND(C451*D451,0)</f>
        <v>0</v>
      </c>
      <c r="F451" s="47" t="n">
        <f aca="false">MIN(1,'Model Inputs &amp; Assumptions'!$W$28*EXP('Model Inputs &amp; Assumptions'!$X$28*R451-'Model Inputs &amp; Assumptions'!$X$28^2/2))</f>
        <v>0.0014509378320849</v>
      </c>
      <c r="G451" s="45" t="n">
        <f aca="false">ROUND(C451*F451,0)</f>
        <v>816</v>
      </c>
      <c r="H451" s="48" t="n">
        <f aca="false">MAX(0,(C451*'Model Inputs &amp; Assumptions'!$N$28+E451*'Model Inputs &amp; Assumptions'!$O$28+G451*'Model Inputs &amp; Assumptions'!$P$28)*EXP('Model Inputs &amp; Assumptions'!$Q$28*S451-'Model Inputs &amp; Assumptions'!$Q$28^2/2))</f>
        <v>16.5135087430368</v>
      </c>
      <c r="I451" s="49" t="n">
        <f aca="false">IF('Model Inputs &amp; Assumptions'!$H$28="Fixed",'Model Inputs &amp; Assumptions'!$I$28*'Model Inputs &amp; Assumptions'!$K$28,IF('Model Inputs &amp; Assumptions'!$H$28="CPM",'Model Inputs &amp; Assumptions'!$I$28*'Model Inputs &amp; Assumptions'!$K$28*C451/1000,IF('Model Inputs &amp; Assumptions'!$H$28="CPC",'Model Inputs &amp; Assumptions'!$I$28*'Model Inputs &amp; Assumptions'!$K$28*G451,0)))</f>
        <v>3654.755</v>
      </c>
      <c r="J451" s="50" t="n">
        <f aca="false">H451*INDEX('Model Inputs &amp; Assumptions'!$D$40:$D$42,MATCH('Model Inputs &amp; Assumptions'!$L$28,'Model Inputs &amp; Assumptions'!$A$40:$A$42,0))*INDEX('Model Inputs &amp; Assumptions'!$H$40:$H$42,MATCH('Model Inputs &amp; Assumptions'!$L$28,'Model Inputs &amp; Assumptions'!$A$40:$A$42,0))</f>
        <v>140364.824315813</v>
      </c>
      <c r="K451" s="49" t="n">
        <f aca="false">H451*INDEX('Model Inputs &amp; Assumptions'!$G$40:$G$42,MATCH('Model Inputs &amp; Assumptions'!$L$28,'Model Inputs &amp; Assumptions'!$A$40:$A$42,0))*INDEX('Model Inputs &amp; Assumptions'!$H$40:$H$42,MATCH('Model Inputs &amp; Assumptions'!$L$28,'Model Inputs &amp; Assumptions'!$A$40:$A$42,0))</f>
        <v>3158.20854710579</v>
      </c>
      <c r="L451" s="51" t="n">
        <f aca="false">IFERROR(K451/I451,0)</f>
        <v>0.864136870215867</v>
      </c>
      <c r="M451" s="49" t="n">
        <f aca="false">IFERROR(I451/H451,0)</f>
        <v>221.319106488564</v>
      </c>
      <c r="N451" s="52" t="str">
        <f aca="false">'Model Inputs &amp; Assumptions'!$L$28</f>
        <v>PRD-EUAI</v>
      </c>
      <c r="P451" s="53" t="n">
        <v>1.205314</v>
      </c>
      <c r="Q451" s="53" t="n">
        <v>0.145667</v>
      </c>
      <c r="R451" s="53" t="n">
        <v>-0.041159</v>
      </c>
      <c r="S451" s="53" t="n">
        <v>-1.162259</v>
      </c>
    </row>
    <row r="452" customFormat="false" ht="15" hidden="false" customHeight="false" outlineLevel="0" collapsed="false">
      <c r="A452" s="43" t="n">
        <v>449</v>
      </c>
      <c r="B452" s="44" t="str">
        <f aca="false">'Model Inputs &amp; Assumptions'!$B$28</f>
        <v>finanzen.net — Q1 Awareness Burst</v>
      </c>
      <c r="C452" s="45" t="n">
        <f aca="false">ROUND(MAX(0,'Model Inputs &amp; Assumptions'!$S$28*EXP('Model Inputs &amp; Assumptions'!$T$28*P452-'Model Inputs &amp; Assumptions'!$T$28^2/2)),0)</f>
        <v>555651</v>
      </c>
      <c r="D452" s="46" t="n">
        <f aca="false">MIN(1,'Model Inputs &amp; Assumptions'!$U$28*EXP('Model Inputs &amp; Assumptions'!$V$28*Q452-'Model Inputs &amp; Assumptions'!$V$28^2/2))</f>
        <v>0</v>
      </c>
      <c r="E452" s="45" t="n">
        <f aca="false">ROUND(C452*D452,0)</f>
        <v>0</v>
      </c>
      <c r="F452" s="47" t="n">
        <f aca="false">MIN(1,'Model Inputs &amp; Assumptions'!$W$28*EXP('Model Inputs &amp; Assumptions'!$X$28*R452-'Model Inputs &amp; Assumptions'!$X$28^2/2))</f>
        <v>0.0015311112027617</v>
      </c>
      <c r="G452" s="45" t="n">
        <f aca="false">ROUND(C452*F452,0)</f>
        <v>851</v>
      </c>
      <c r="H452" s="48" t="n">
        <f aca="false">MAX(0,(C452*'Model Inputs &amp; Assumptions'!$N$28+E452*'Model Inputs &amp; Assumptions'!$O$28+G452*'Model Inputs &amp; Assumptions'!$P$28)*EXP('Model Inputs &amp; Assumptions'!$Q$28*S452-'Model Inputs &amp; Assumptions'!$Q$28^2/2))</f>
        <v>30.664297539606</v>
      </c>
      <c r="I452" s="49" t="n">
        <f aca="false">IF('Model Inputs &amp; Assumptions'!$H$28="Fixed",'Model Inputs &amp; Assumptions'!$I$28*'Model Inputs &amp; Assumptions'!$K$28,IF('Model Inputs &amp; Assumptions'!$H$28="CPM",'Model Inputs &amp; Assumptions'!$I$28*'Model Inputs &amp; Assumptions'!$K$28*C452/1000,IF('Model Inputs &amp; Assumptions'!$H$28="CPC",'Model Inputs &amp; Assumptions'!$I$28*'Model Inputs &amp; Assumptions'!$K$28*G452,0)))</f>
        <v>3611.7315</v>
      </c>
      <c r="J452" s="50" t="n">
        <f aca="false">H452*INDEX('Model Inputs &amp; Assumptions'!$D$40:$D$42,MATCH('Model Inputs &amp; Assumptions'!$L$28,'Model Inputs &amp; Assumptions'!$A$40:$A$42,0))*INDEX('Model Inputs &amp; Assumptions'!$H$40:$H$42,MATCH('Model Inputs &amp; Assumptions'!$L$28,'Model Inputs &amp; Assumptions'!$A$40:$A$42,0))</f>
        <v>260646.529086651</v>
      </c>
      <c r="K452" s="49" t="n">
        <f aca="false">H452*INDEX('Model Inputs &amp; Assumptions'!$G$40:$G$42,MATCH('Model Inputs &amp; Assumptions'!$L$28,'Model Inputs &amp; Assumptions'!$A$40:$A$42,0))*INDEX('Model Inputs &amp; Assumptions'!$H$40:$H$42,MATCH('Model Inputs &amp; Assumptions'!$L$28,'Model Inputs &amp; Assumptions'!$A$40:$A$42,0))</f>
        <v>5864.54690444964</v>
      </c>
      <c r="L452" s="51" t="n">
        <f aca="false">IFERROR(K452/I452,0)</f>
        <v>1.62374941339068</v>
      </c>
      <c r="M452" s="49" t="n">
        <f aca="false">IFERROR(I452/H452,0)</f>
        <v>117.782952481957</v>
      </c>
      <c r="N452" s="52" t="str">
        <f aca="false">'Model Inputs &amp; Assumptions'!$L$28</f>
        <v>PRD-EUAI</v>
      </c>
      <c r="P452" s="53" t="n">
        <v>1.139517</v>
      </c>
      <c r="Q452" s="53" t="n">
        <v>0.836438</v>
      </c>
      <c r="R452" s="53" t="n">
        <v>0.203312</v>
      </c>
      <c r="S452" s="53" t="n">
        <v>0.760816</v>
      </c>
    </row>
    <row r="453" customFormat="false" ht="15" hidden="false" customHeight="false" outlineLevel="0" collapsed="false">
      <c r="A453" s="43" t="n">
        <v>450</v>
      </c>
      <c r="B453" s="44" t="str">
        <f aca="false">'Model Inputs &amp; Assumptions'!$B$28</f>
        <v>finanzen.net — Q1 Awareness Burst</v>
      </c>
      <c r="C453" s="45" t="n">
        <f aca="false">ROUND(MAX(0,'Model Inputs &amp; Assumptions'!$S$28*EXP('Model Inputs &amp; Assumptions'!$T$28*P453-'Model Inputs &amp; Assumptions'!$T$28^2/2)),0)</f>
        <v>463959</v>
      </c>
      <c r="D453" s="46" t="n">
        <f aca="false">MIN(1,'Model Inputs &amp; Assumptions'!$U$28*EXP('Model Inputs &amp; Assumptions'!$V$28*Q453-'Model Inputs &amp; Assumptions'!$V$28^2/2))</f>
        <v>0</v>
      </c>
      <c r="E453" s="45" t="n">
        <f aca="false">ROUND(C453*D453,0)</f>
        <v>0</v>
      </c>
      <c r="F453" s="47" t="n">
        <f aca="false">MIN(1,'Model Inputs &amp; Assumptions'!$W$28*EXP('Model Inputs &amp; Assumptions'!$X$28*R453-'Model Inputs &amp; Assumptions'!$X$28^2/2))</f>
        <v>0.00125989062055026</v>
      </c>
      <c r="G453" s="45" t="n">
        <f aca="false">ROUND(C453*F453,0)</f>
        <v>585</v>
      </c>
      <c r="H453" s="48" t="n">
        <f aca="false">MAX(0,(C453*'Model Inputs &amp; Assumptions'!$N$28+E453*'Model Inputs &amp; Assumptions'!$O$28+G453*'Model Inputs &amp; Assumptions'!$P$28)*EXP('Model Inputs &amp; Assumptions'!$Q$28*S453-'Model Inputs &amp; Assumptions'!$Q$28^2/2))</f>
        <v>20.2407267402173</v>
      </c>
      <c r="I453" s="49" t="n">
        <f aca="false">IF('Model Inputs &amp; Assumptions'!$H$28="Fixed",'Model Inputs &amp; Assumptions'!$I$28*'Model Inputs &amp; Assumptions'!$K$28,IF('Model Inputs &amp; Assumptions'!$H$28="CPM",'Model Inputs &amp; Assumptions'!$I$28*'Model Inputs &amp; Assumptions'!$K$28*C453/1000,IF('Model Inputs &amp; Assumptions'!$H$28="CPC",'Model Inputs &amp; Assumptions'!$I$28*'Model Inputs &amp; Assumptions'!$K$28*G453,0)))</f>
        <v>3015.7335</v>
      </c>
      <c r="J453" s="50" t="n">
        <f aca="false">H453*INDEX('Model Inputs &amp; Assumptions'!$D$40:$D$42,MATCH('Model Inputs &amp; Assumptions'!$L$28,'Model Inputs &amp; Assumptions'!$A$40:$A$42,0))*INDEX('Model Inputs &amp; Assumptions'!$H$40:$H$42,MATCH('Model Inputs &amp; Assumptions'!$L$28,'Model Inputs &amp; Assumptions'!$A$40:$A$42,0))</f>
        <v>172046.177291847</v>
      </c>
      <c r="K453" s="49" t="n">
        <f aca="false">H453*INDEX('Model Inputs &amp; Assumptions'!$G$40:$G$42,MATCH('Model Inputs &amp; Assumptions'!$L$28,'Model Inputs &amp; Assumptions'!$A$40:$A$42,0))*INDEX('Model Inputs &amp; Assumptions'!$H$40:$H$42,MATCH('Model Inputs &amp; Assumptions'!$L$28,'Model Inputs &amp; Assumptions'!$A$40:$A$42,0))</f>
        <v>3871.03898906657</v>
      </c>
      <c r="L453" s="51" t="n">
        <f aca="false">IFERROR(K453/I453,0)</f>
        <v>1.28361441389518</v>
      </c>
      <c r="M453" s="49" t="n">
        <f aca="false">IFERROR(I453/H453,0)</f>
        <v>148.993340936118</v>
      </c>
      <c r="N453" s="52" t="str">
        <f aca="false">'Model Inputs &amp; Assumptions'!$L$28</f>
        <v>PRD-EUAI</v>
      </c>
      <c r="P453" s="53" t="n">
        <v>0.137615</v>
      </c>
      <c r="Q453" s="53" t="n">
        <v>-0.808059</v>
      </c>
      <c r="R453" s="53" t="n">
        <v>-0.68291</v>
      </c>
      <c r="S453" s="53" t="n">
        <v>0.625476</v>
      </c>
    </row>
    <row r="454" customFormat="false" ht="15" hidden="false" customHeight="false" outlineLevel="0" collapsed="false">
      <c r="A454" s="43" t="n">
        <v>451</v>
      </c>
      <c r="B454" s="44" t="str">
        <f aca="false">'Model Inputs &amp; Assumptions'!$B$28</f>
        <v>finanzen.net — Q1 Awareness Burst</v>
      </c>
      <c r="C454" s="45" t="n">
        <f aca="false">ROUND(MAX(0,'Model Inputs &amp; Assumptions'!$S$28*EXP('Model Inputs &amp; Assumptions'!$T$28*P454-'Model Inputs &amp; Assumptions'!$T$28^2/2)),0)</f>
        <v>446202</v>
      </c>
      <c r="D454" s="46" t="n">
        <f aca="false">MIN(1,'Model Inputs &amp; Assumptions'!$U$28*EXP('Model Inputs &amp; Assumptions'!$V$28*Q454-'Model Inputs &amp; Assumptions'!$V$28^2/2))</f>
        <v>0</v>
      </c>
      <c r="E454" s="45" t="n">
        <f aca="false">ROUND(C454*D454,0)</f>
        <v>0</v>
      </c>
      <c r="F454" s="47" t="n">
        <f aca="false">MIN(1,'Model Inputs &amp; Assumptions'!$W$28*EXP('Model Inputs &amp; Assumptions'!$X$28*R454-'Model Inputs &amp; Assumptions'!$X$28^2/2))</f>
        <v>0.00202416495600787</v>
      </c>
      <c r="G454" s="45" t="n">
        <f aca="false">ROUND(C454*F454,0)</f>
        <v>903</v>
      </c>
      <c r="H454" s="48" t="n">
        <f aca="false">MAX(0,(C454*'Model Inputs &amp; Assumptions'!$N$28+E454*'Model Inputs &amp; Assumptions'!$O$28+G454*'Model Inputs &amp; Assumptions'!$P$28)*EXP('Model Inputs &amp; Assumptions'!$Q$28*S454-'Model Inputs &amp; Assumptions'!$Q$28^2/2))</f>
        <v>31.6932288175484</v>
      </c>
      <c r="I454" s="49" t="n">
        <f aca="false">IF('Model Inputs &amp; Assumptions'!$H$28="Fixed",'Model Inputs &amp; Assumptions'!$I$28*'Model Inputs &amp; Assumptions'!$K$28,IF('Model Inputs &amp; Assumptions'!$H$28="CPM",'Model Inputs &amp; Assumptions'!$I$28*'Model Inputs &amp; Assumptions'!$K$28*C454/1000,IF('Model Inputs &amp; Assumptions'!$H$28="CPC",'Model Inputs &amp; Assumptions'!$I$28*'Model Inputs &amp; Assumptions'!$K$28*G454,0)))</f>
        <v>2900.313</v>
      </c>
      <c r="J454" s="50" t="n">
        <f aca="false">H454*INDEX('Model Inputs &amp; Assumptions'!$D$40:$D$42,MATCH('Model Inputs &amp; Assumptions'!$L$28,'Model Inputs &amp; Assumptions'!$A$40:$A$42,0))*INDEX('Model Inputs &amp; Assumptions'!$H$40:$H$42,MATCH('Model Inputs &amp; Assumptions'!$L$28,'Model Inputs &amp; Assumptions'!$A$40:$A$42,0))</f>
        <v>269392.444949162</v>
      </c>
      <c r="K454" s="49" t="n">
        <f aca="false">H454*INDEX('Model Inputs &amp; Assumptions'!$G$40:$G$42,MATCH('Model Inputs &amp; Assumptions'!$L$28,'Model Inputs &amp; Assumptions'!$A$40:$A$42,0))*INDEX('Model Inputs &amp; Assumptions'!$H$40:$H$42,MATCH('Model Inputs &amp; Assumptions'!$L$28,'Model Inputs &amp; Assumptions'!$A$40:$A$42,0))</f>
        <v>6061.33001135614</v>
      </c>
      <c r="L454" s="51" t="n">
        <f aca="false">IFERROR(K454/I454,0)</f>
        <v>2.08988823322039</v>
      </c>
      <c r="M454" s="49" t="n">
        <f aca="false">IFERROR(I454/H454,0)</f>
        <v>91.5120708179189</v>
      </c>
      <c r="N454" s="52" t="str">
        <f aca="false">'Model Inputs &amp; Assumptions'!$L$28</f>
        <v>PRD-EUAI</v>
      </c>
      <c r="P454" s="53" t="n">
        <v>-0.079191</v>
      </c>
      <c r="Q454" s="53" t="n">
        <v>1.543371</v>
      </c>
      <c r="R454" s="53" t="n">
        <v>1.472237</v>
      </c>
      <c r="S454" s="53" t="n">
        <v>0.673128</v>
      </c>
    </row>
    <row r="455" customFormat="false" ht="15" hidden="false" customHeight="false" outlineLevel="0" collapsed="false">
      <c r="A455" s="43" t="n">
        <v>452</v>
      </c>
      <c r="B455" s="44" t="str">
        <f aca="false">'Model Inputs &amp; Assumptions'!$B$28</f>
        <v>finanzen.net — Q1 Awareness Burst</v>
      </c>
      <c r="C455" s="45" t="n">
        <f aca="false">ROUND(MAX(0,'Model Inputs &amp; Assumptions'!$S$28*EXP('Model Inputs &amp; Assumptions'!$T$28*P455-'Model Inputs &amp; Assumptions'!$T$28^2/2)),0)</f>
        <v>437770</v>
      </c>
      <c r="D455" s="46" t="n">
        <f aca="false">MIN(1,'Model Inputs &amp; Assumptions'!$U$28*EXP('Model Inputs &amp; Assumptions'!$V$28*Q455-'Model Inputs &amp; Assumptions'!$V$28^2/2))</f>
        <v>0</v>
      </c>
      <c r="E455" s="45" t="n">
        <f aca="false">ROUND(C455*D455,0)</f>
        <v>0</v>
      </c>
      <c r="F455" s="47" t="n">
        <f aca="false">MIN(1,'Model Inputs &amp; Assumptions'!$W$28*EXP('Model Inputs &amp; Assumptions'!$X$28*R455-'Model Inputs &amp; Assumptions'!$X$28^2/2))</f>
        <v>0.00137677902074712</v>
      </c>
      <c r="G455" s="45" t="n">
        <f aca="false">ROUND(C455*F455,0)</f>
        <v>603</v>
      </c>
      <c r="H455" s="48" t="n">
        <f aca="false">MAX(0,(C455*'Model Inputs &amp; Assumptions'!$N$28+E455*'Model Inputs &amp; Assumptions'!$O$28+G455*'Model Inputs &amp; Assumptions'!$P$28)*EXP('Model Inputs &amp; Assumptions'!$Q$28*S455-'Model Inputs &amp; Assumptions'!$Q$28^2/2))</f>
        <v>18.8432168326768</v>
      </c>
      <c r="I455" s="49" t="n">
        <f aca="false">IF('Model Inputs &amp; Assumptions'!$H$28="Fixed",'Model Inputs &amp; Assumptions'!$I$28*'Model Inputs &amp; Assumptions'!$K$28,IF('Model Inputs &amp; Assumptions'!$H$28="CPM",'Model Inputs &amp; Assumptions'!$I$28*'Model Inputs &amp; Assumptions'!$K$28*C455/1000,IF('Model Inputs &amp; Assumptions'!$H$28="CPC",'Model Inputs &amp; Assumptions'!$I$28*'Model Inputs &amp; Assumptions'!$K$28*G455,0)))</f>
        <v>2845.505</v>
      </c>
      <c r="J455" s="50" t="n">
        <f aca="false">H455*INDEX('Model Inputs &amp; Assumptions'!$D$40:$D$42,MATCH('Model Inputs &amp; Assumptions'!$L$28,'Model Inputs &amp; Assumptions'!$A$40:$A$42,0))*INDEX('Model Inputs &amp; Assumptions'!$H$40:$H$42,MATCH('Model Inputs &amp; Assumptions'!$L$28,'Model Inputs &amp; Assumptions'!$A$40:$A$42,0))</f>
        <v>160167.343077753</v>
      </c>
      <c r="K455" s="49" t="n">
        <f aca="false">H455*INDEX('Model Inputs &amp; Assumptions'!$G$40:$G$42,MATCH('Model Inputs &amp; Assumptions'!$L$28,'Model Inputs &amp; Assumptions'!$A$40:$A$42,0))*INDEX('Model Inputs &amp; Assumptions'!$H$40:$H$42,MATCH('Model Inputs &amp; Assumptions'!$L$28,'Model Inputs &amp; Assumptions'!$A$40:$A$42,0))</f>
        <v>3603.76521924944</v>
      </c>
      <c r="L455" s="51" t="n">
        <f aca="false">IFERROR(K455/I455,0)</f>
        <v>1.26647650214969</v>
      </c>
      <c r="M455" s="49" t="n">
        <f aca="false">IFERROR(I455/H455,0)</f>
        <v>151.009513145626</v>
      </c>
      <c r="N455" s="52" t="str">
        <f aca="false">'Model Inputs &amp; Assumptions'!$L$28</f>
        <v>PRD-EUAI</v>
      </c>
      <c r="P455" s="53" t="n">
        <v>-0.185183</v>
      </c>
      <c r="Q455" s="53" t="n">
        <v>-1.515312</v>
      </c>
      <c r="R455" s="53" t="n">
        <v>-0.279629</v>
      </c>
      <c r="S455" s="53" t="n">
        <v>0.285979</v>
      </c>
    </row>
    <row r="456" customFormat="false" ht="15" hidden="false" customHeight="false" outlineLevel="0" collapsed="false">
      <c r="A456" s="43" t="n">
        <v>453</v>
      </c>
      <c r="B456" s="44" t="str">
        <f aca="false">'Model Inputs &amp; Assumptions'!$B$28</f>
        <v>finanzen.net — Q1 Awareness Burst</v>
      </c>
      <c r="C456" s="45" t="n">
        <f aca="false">ROUND(MAX(0,'Model Inputs &amp; Assumptions'!$S$28*EXP('Model Inputs &amp; Assumptions'!$T$28*P456-'Model Inputs &amp; Assumptions'!$T$28^2/2)),0)</f>
        <v>407735</v>
      </c>
      <c r="D456" s="46" t="n">
        <f aca="false">MIN(1,'Model Inputs &amp; Assumptions'!$U$28*EXP('Model Inputs &amp; Assumptions'!$V$28*Q456-'Model Inputs &amp; Assumptions'!$V$28^2/2))</f>
        <v>0</v>
      </c>
      <c r="E456" s="45" t="n">
        <f aca="false">ROUND(C456*D456,0)</f>
        <v>0</v>
      </c>
      <c r="F456" s="47" t="n">
        <f aca="false">MIN(1,'Model Inputs &amp; Assumptions'!$W$28*EXP('Model Inputs &amp; Assumptions'!$X$28*R456-'Model Inputs &amp; Assumptions'!$X$28^2/2))</f>
        <v>0.00103958578286337</v>
      </c>
      <c r="G456" s="45" t="n">
        <f aca="false">ROUND(C456*F456,0)</f>
        <v>424</v>
      </c>
      <c r="H456" s="48" t="n">
        <f aca="false">MAX(0,(C456*'Model Inputs &amp; Assumptions'!$N$28+E456*'Model Inputs &amp; Assumptions'!$O$28+G456*'Model Inputs &amp; Assumptions'!$P$28)*EXP('Model Inputs &amp; Assumptions'!$Q$28*S456-'Model Inputs &amp; Assumptions'!$Q$28^2/2))</f>
        <v>12.0430888732558</v>
      </c>
      <c r="I456" s="49" t="n">
        <f aca="false">IF('Model Inputs &amp; Assumptions'!$H$28="Fixed",'Model Inputs &amp; Assumptions'!$I$28*'Model Inputs &amp; Assumptions'!$K$28,IF('Model Inputs &amp; Assumptions'!$H$28="CPM",'Model Inputs &amp; Assumptions'!$I$28*'Model Inputs &amp; Assumptions'!$K$28*C456/1000,IF('Model Inputs &amp; Assumptions'!$H$28="CPC",'Model Inputs &amp; Assumptions'!$I$28*'Model Inputs &amp; Assumptions'!$K$28*G456,0)))</f>
        <v>2650.2775</v>
      </c>
      <c r="J456" s="50" t="n">
        <f aca="false">H456*INDEX('Model Inputs &amp; Assumptions'!$D$40:$D$42,MATCH('Model Inputs &amp; Assumptions'!$L$28,'Model Inputs &amp; Assumptions'!$A$40:$A$42,0))*INDEX('Model Inputs &amp; Assumptions'!$H$40:$H$42,MATCH('Model Inputs &amp; Assumptions'!$L$28,'Model Inputs &amp; Assumptions'!$A$40:$A$42,0))</f>
        <v>102366.255422674</v>
      </c>
      <c r="K456" s="49" t="n">
        <f aca="false">H456*INDEX('Model Inputs &amp; Assumptions'!$G$40:$G$42,MATCH('Model Inputs &amp; Assumptions'!$L$28,'Model Inputs &amp; Assumptions'!$A$40:$A$42,0))*INDEX('Model Inputs &amp; Assumptions'!$H$40:$H$42,MATCH('Model Inputs &amp; Assumptions'!$L$28,'Model Inputs &amp; Assumptions'!$A$40:$A$42,0))</f>
        <v>2303.24074701017</v>
      </c>
      <c r="L456" s="51" t="n">
        <f aca="false">IFERROR(K456/I456,0)</f>
        <v>0.869056446734414</v>
      </c>
      <c r="M456" s="49" t="n">
        <f aca="false">IFERROR(I456/H456,0)</f>
        <v>220.066257742688</v>
      </c>
      <c r="N456" s="52" t="str">
        <f aca="false">'Model Inputs &amp; Assumptions'!$L$28</f>
        <v>PRD-EUAI</v>
      </c>
      <c r="P456" s="53" t="n">
        <v>-0.580055</v>
      </c>
      <c r="Q456" s="53" t="n">
        <v>-1.151202</v>
      </c>
      <c r="R456" s="53" t="n">
        <v>-1.556558</v>
      </c>
      <c r="S456" s="53" t="n">
        <v>-0.032282</v>
      </c>
    </row>
    <row r="457" customFormat="false" ht="15" hidden="false" customHeight="false" outlineLevel="0" collapsed="false">
      <c r="A457" s="43" t="n">
        <v>454</v>
      </c>
      <c r="B457" s="44" t="str">
        <f aca="false">'Model Inputs &amp; Assumptions'!$B$28</f>
        <v>finanzen.net — Q1 Awareness Burst</v>
      </c>
      <c r="C457" s="45" t="n">
        <f aca="false">ROUND(MAX(0,'Model Inputs &amp; Assumptions'!$S$28*EXP('Model Inputs &amp; Assumptions'!$T$28*P457-'Model Inputs &amp; Assumptions'!$T$28^2/2)),0)</f>
        <v>549979</v>
      </c>
      <c r="D457" s="46" t="n">
        <f aca="false">MIN(1,'Model Inputs &amp; Assumptions'!$U$28*EXP('Model Inputs &amp; Assumptions'!$V$28*Q457-'Model Inputs &amp; Assumptions'!$V$28^2/2))</f>
        <v>0</v>
      </c>
      <c r="E457" s="45" t="n">
        <f aca="false">ROUND(C457*D457,0)</f>
        <v>0</v>
      </c>
      <c r="F457" s="47" t="n">
        <f aca="false">MIN(1,'Model Inputs &amp; Assumptions'!$W$28*EXP('Model Inputs &amp; Assumptions'!$X$28*R457-'Model Inputs &amp; Assumptions'!$X$28^2/2))</f>
        <v>0.00143180577607643</v>
      </c>
      <c r="G457" s="45" t="n">
        <f aca="false">ROUND(C457*F457,0)</f>
        <v>787</v>
      </c>
      <c r="H457" s="48" t="n">
        <f aca="false">MAX(0,(C457*'Model Inputs &amp; Assumptions'!$N$28+E457*'Model Inputs &amp; Assumptions'!$O$28+G457*'Model Inputs &amp; Assumptions'!$P$28)*EXP('Model Inputs &amp; Assumptions'!$Q$28*S457-'Model Inputs &amp; Assumptions'!$Q$28^2/2))</f>
        <v>33.5417305309598</v>
      </c>
      <c r="I457" s="49" t="n">
        <f aca="false">IF('Model Inputs &amp; Assumptions'!$H$28="Fixed",'Model Inputs &amp; Assumptions'!$I$28*'Model Inputs &amp; Assumptions'!$K$28,IF('Model Inputs &amp; Assumptions'!$H$28="CPM",'Model Inputs &amp; Assumptions'!$I$28*'Model Inputs &amp; Assumptions'!$K$28*C457/1000,IF('Model Inputs &amp; Assumptions'!$H$28="CPC",'Model Inputs &amp; Assumptions'!$I$28*'Model Inputs &amp; Assumptions'!$K$28*G457,0)))</f>
        <v>3574.8635</v>
      </c>
      <c r="J457" s="50" t="n">
        <f aca="false">H457*INDEX('Model Inputs &amp; Assumptions'!$D$40:$D$42,MATCH('Model Inputs &amp; Assumptions'!$L$28,'Model Inputs &amp; Assumptions'!$A$40:$A$42,0))*INDEX('Model Inputs &amp; Assumptions'!$H$40:$H$42,MATCH('Model Inputs &amp; Assumptions'!$L$28,'Model Inputs &amp; Assumptions'!$A$40:$A$42,0))</f>
        <v>285104.709513159</v>
      </c>
      <c r="K457" s="49" t="n">
        <f aca="false">H457*INDEX('Model Inputs &amp; Assumptions'!$G$40:$G$42,MATCH('Model Inputs &amp; Assumptions'!$L$28,'Model Inputs &amp; Assumptions'!$A$40:$A$42,0))*INDEX('Model Inputs &amp; Assumptions'!$H$40:$H$42,MATCH('Model Inputs &amp; Assumptions'!$L$28,'Model Inputs &amp; Assumptions'!$A$40:$A$42,0))</f>
        <v>6414.85596404607</v>
      </c>
      <c r="L457" s="51" t="n">
        <f aca="false">IFERROR(K457/I457,0)</f>
        <v>1.7944338193741</v>
      </c>
      <c r="M457" s="49" t="n">
        <f aca="false">IFERROR(I457/H457,0)</f>
        <v>106.579578435892</v>
      </c>
      <c r="N457" s="52" t="str">
        <f aca="false">'Model Inputs &amp; Assumptions'!$L$28</f>
        <v>PRD-EUAI</v>
      </c>
      <c r="P457" s="53" t="n">
        <v>1.082517</v>
      </c>
      <c r="Q457" s="53" t="n">
        <v>1.208701</v>
      </c>
      <c r="R457" s="53" t="n">
        <v>-0.101494</v>
      </c>
      <c r="S457" s="53" t="n">
        <v>1.3204</v>
      </c>
    </row>
    <row r="458" customFormat="false" ht="15" hidden="false" customHeight="false" outlineLevel="0" collapsed="false">
      <c r="A458" s="43" t="n">
        <v>455</v>
      </c>
      <c r="B458" s="44" t="str">
        <f aca="false">'Model Inputs &amp; Assumptions'!$B$28</f>
        <v>finanzen.net — Q1 Awareness Burst</v>
      </c>
      <c r="C458" s="45" t="n">
        <f aca="false">ROUND(MAX(0,'Model Inputs &amp; Assumptions'!$S$28*EXP('Model Inputs &amp; Assumptions'!$T$28*P458-'Model Inputs &amp; Assumptions'!$T$28^2/2)),0)</f>
        <v>365568</v>
      </c>
      <c r="D458" s="46" t="n">
        <f aca="false">MIN(1,'Model Inputs &amp; Assumptions'!$U$28*EXP('Model Inputs &amp; Assumptions'!$V$28*Q458-'Model Inputs &amp; Assumptions'!$V$28^2/2))</f>
        <v>0</v>
      </c>
      <c r="E458" s="45" t="n">
        <f aca="false">ROUND(C458*D458,0)</f>
        <v>0</v>
      </c>
      <c r="F458" s="47" t="n">
        <f aca="false">MIN(1,'Model Inputs &amp; Assumptions'!$W$28*EXP('Model Inputs &amp; Assumptions'!$X$28*R458-'Model Inputs &amp; Assumptions'!$X$28^2/2))</f>
        <v>0.00139985215588867</v>
      </c>
      <c r="G458" s="45" t="n">
        <f aca="false">ROUND(C458*F458,0)</f>
        <v>512</v>
      </c>
      <c r="H458" s="48" t="n">
        <f aca="false">MAX(0,(C458*'Model Inputs &amp; Assumptions'!$N$28+E458*'Model Inputs &amp; Assumptions'!$O$28+G458*'Model Inputs &amp; Assumptions'!$P$28)*EXP('Model Inputs &amp; Assumptions'!$Q$28*S458-'Model Inputs &amp; Assumptions'!$Q$28^2/2))</f>
        <v>11.0845353780966</v>
      </c>
      <c r="I458" s="49" t="n">
        <f aca="false">IF('Model Inputs &amp; Assumptions'!$H$28="Fixed",'Model Inputs &amp; Assumptions'!$I$28*'Model Inputs &amp; Assumptions'!$K$28,IF('Model Inputs &amp; Assumptions'!$H$28="CPM",'Model Inputs &amp; Assumptions'!$I$28*'Model Inputs &amp; Assumptions'!$K$28*C458/1000,IF('Model Inputs &amp; Assumptions'!$H$28="CPC",'Model Inputs &amp; Assumptions'!$I$28*'Model Inputs &amp; Assumptions'!$K$28*G458,0)))</f>
        <v>2376.192</v>
      </c>
      <c r="J458" s="50" t="n">
        <f aca="false">H458*INDEX('Model Inputs &amp; Assumptions'!$D$40:$D$42,MATCH('Model Inputs &amp; Assumptions'!$L$28,'Model Inputs &amp; Assumptions'!$A$40:$A$42,0))*INDEX('Model Inputs &amp; Assumptions'!$H$40:$H$42,MATCH('Model Inputs &amp; Assumptions'!$L$28,'Model Inputs &amp; Assumptions'!$A$40:$A$42,0))</f>
        <v>94218.550713821</v>
      </c>
      <c r="K458" s="49" t="n">
        <f aca="false">H458*INDEX('Model Inputs &amp; Assumptions'!$G$40:$G$42,MATCH('Model Inputs &amp; Assumptions'!$L$28,'Model Inputs &amp; Assumptions'!$A$40:$A$42,0))*INDEX('Model Inputs &amp; Assumptions'!$H$40:$H$42,MATCH('Model Inputs &amp; Assumptions'!$L$28,'Model Inputs &amp; Assumptions'!$A$40:$A$42,0))</f>
        <v>2119.91739106097</v>
      </c>
      <c r="L458" s="51" t="n">
        <f aca="false">IFERROR(K458/I458,0)</f>
        <v>0.892149031332894</v>
      </c>
      <c r="M458" s="49" t="n">
        <f aca="false">IFERROR(I458/H458,0)</f>
        <v>214.370013622351</v>
      </c>
      <c r="N458" s="52" t="str">
        <f aca="false">'Model Inputs &amp; Assumptions'!$L$28</f>
        <v>PRD-EUAI</v>
      </c>
      <c r="P458" s="53" t="n">
        <v>-1.186521</v>
      </c>
      <c r="Q458" s="53" t="n">
        <v>0.305783</v>
      </c>
      <c r="R458" s="53" t="n">
        <v>-0.204084</v>
      </c>
      <c r="S458" s="53" t="n">
        <v>-0.937386</v>
      </c>
    </row>
    <row r="459" customFormat="false" ht="15" hidden="false" customHeight="false" outlineLevel="0" collapsed="false">
      <c r="A459" s="43" t="n">
        <v>456</v>
      </c>
      <c r="B459" s="44" t="str">
        <f aca="false">'Model Inputs &amp; Assumptions'!$B$28</f>
        <v>finanzen.net — Q1 Awareness Burst</v>
      </c>
      <c r="C459" s="45" t="n">
        <f aca="false">ROUND(MAX(0,'Model Inputs &amp; Assumptions'!$S$28*EXP('Model Inputs &amp; Assumptions'!$T$28*P459-'Model Inputs &amp; Assumptions'!$T$28^2/2)),0)</f>
        <v>563752</v>
      </c>
      <c r="D459" s="46" t="n">
        <f aca="false">MIN(1,'Model Inputs &amp; Assumptions'!$U$28*EXP('Model Inputs &amp; Assumptions'!$V$28*Q459-'Model Inputs &amp; Assumptions'!$V$28^2/2))</f>
        <v>0</v>
      </c>
      <c r="E459" s="45" t="n">
        <f aca="false">ROUND(C459*D459,0)</f>
        <v>0</v>
      </c>
      <c r="F459" s="47" t="n">
        <f aca="false">MIN(1,'Model Inputs &amp; Assumptions'!$W$28*EXP('Model Inputs &amp; Assumptions'!$X$28*R459-'Model Inputs &amp; Assumptions'!$X$28^2/2))</f>
        <v>0.00108049249178649</v>
      </c>
      <c r="G459" s="45" t="n">
        <f aca="false">ROUND(C459*F459,0)</f>
        <v>609</v>
      </c>
      <c r="H459" s="48" t="n">
        <f aca="false">MAX(0,(C459*'Model Inputs &amp; Assumptions'!$N$28+E459*'Model Inputs &amp; Assumptions'!$O$28+G459*'Model Inputs &amp; Assumptions'!$P$28)*EXP('Model Inputs &amp; Assumptions'!$Q$28*S459-'Model Inputs &amp; Assumptions'!$Q$28^2/2))</f>
        <v>20.1474508235058</v>
      </c>
      <c r="I459" s="49" t="n">
        <f aca="false">IF('Model Inputs &amp; Assumptions'!$H$28="Fixed",'Model Inputs &amp; Assumptions'!$I$28*'Model Inputs &amp; Assumptions'!$K$28,IF('Model Inputs &amp; Assumptions'!$H$28="CPM",'Model Inputs &amp; Assumptions'!$I$28*'Model Inputs &amp; Assumptions'!$K$28*C459/1000,IF('Model Inputs &amp; Assumptions'!$H$28="CPC",'Model Inputs &amp; Assumptions'!$I$28*'Model Inputs &amp; Assumptions'!$K$28*G459,0)))</f>
        <v>3664.388</v>
      </c>
      <c r="J459" s="50" t="n">
        <f aca="false">H459*INDEX('Model Inputs &amp; Assumptions'!$D$40:$D$42,MATCH('Model Inputs &amp; Assumptions'!$L$28,'Model Inputs &amp; Assumptions'!$A$40:$A$42,0))*INDEX('Model Inputs &amp; Assumptions'!$H$40:$H$42,MATCH('Model Inputs &amp; Assumptions'!$L$28,'Model Inputs &amp; Assumptions'!$A$40:$A$42,0))</f>
        <v>171253.331999799</v>
      </c>
      <c r="K459" s="49" t="n">
        <f aca="false">H459*INDEX('Model Inputs &amp; Assumptions'!$G$40:$G$42,MATCH('Model Inputs &amp; Assumptions'!$L$28,'Model Inputs &amp; Assumptions'!$A$40:$A$42,0))*INDEX('Model Inputs &amp; Assumptions'!$H$40:$H$42,MATCH('Model Inputs &amp; Assumptions'!$L$28,'Model Inputs &amp; Assumptions'!$A$40:$A$42,0))</f>
        <v>3853.19996999549</v>
      </c>
      <c r="L459" s="51" t="n">
        <f aca="false">IFERROR(K459/I459,0)</f>
        <v>1.05152619482312</v>
      </c>
      <c r="M459" s="49" t="n">
        <f aca="false">IFERROR(I459/H459,0)</f>
        <v>181.878493319105</v>
      </c>
      <c r="N459" s="52" t="str">
        <f aca="false">'Model Inputs &amp; Assumptions'!$L$28</f>
        <v>PRD-EUAI</v>
      </c>
      <c r="P459" s="53" t="n">
        <v>1.21993</v>
      </c>
      <c r="Q459" s="53" t="n">
        <v>-0.185141</v>
      </c>
      <c r="R459" s="53" t="n">
        <v>-1.381128</v>
      </c>
      <c r="S459" s="53" t="n">
        <v>0.476058</v>
      </c>
    </row>
    <row r="460" customFormat="false" ht="15" hidden="false" customHeight="false" outlineLevel="0" collapsed="false">
      <c r="A460" s="43" t="n">
        <v>457</v>
      </c>
      <c r="B460" s="44" t="str">
        <f aca="false">'Model Inputs &amp; Assumptions'!$B$28</f>
        <v>finanzen.net — Q1 Awareness Burst</v>
      </c>
      <c r="C460" s="45" t="n">
        <f aca="false">ROUND(MAX(0,'Model Inputs &amp; Assumptions'!$S$28*EXP('Model Inputs &amp; Assumptions'!$T$28*P460-'Model Inputs &amp; Assumptions'!$T$28^2/2)),0)</f>
        <v>735595</v>
      </c>
      <c r="D460" s="46" t="n">
        <f aca="false">MIN(1,'Model Inputs &amp; Assumptions'!$U$28*EXP('Model Inputs &amp; Assumptions'!$V$28*Q460-'Model Inputs &amp; Assumptions'!$V$28^2/2))</f>
        <v>0</v>
      </c>
      <c r="E460" s="45" t="n">
        <f aca="false">ROUND(C460*D460,0)</f>
        <v>0</v>
      </c>
      <c r="F460" s="47" t="n">
        <f aca="false">MIN(1,'Model Inputs &amp; Assumptions'!$W$28*EXP('Model Inputs &amp; Assumptions'!$X$28*R460-'Model Inputs &amp; Assumptions'!$X$28^2/2))</f>
        <v>0.00161566169028049</v>
      </c>
      <c r="G460" s="45" t="n">
        <f aca="false">ROUND(C460*F460,0)</f>
        <v>1188</v>
      </c>
      <c r="H460" s="48" t="n">
        <f aca="false">MAX(0,(C460*'Model Inputs &amp; Assumptions'!$N$28+E460*'Model Inputs &amp; Assumptions'!$O$28+G460*'Model Inputs &amp; Assumptions'!$P$28)*EXP('Model Inputs &amp; Assumptions'!$Q$28*S460-'Model Inputs &amp; Assumptions'!$Q$28^2/2))</f>
        <v>28.1268968724082</v>
      </c>
      <c r="I460" s="49" t="n">
        <f aca="false">IF('Model Inputs &amp; Assumptions'!$H$28="Fixed",'Model Inputs &amp; Assumptions'!$I$28*'Model Inputs &amp; Assumptions'!$K$28,IF('Model Inputs &amp; Assumptions'!$H$28="CPM",'Model Inputs &amp; Assumptions'!$I$28*'Model Inputs &amp; Assumptions'!$K$28*C460/1000,IF('Model Inputs &amp; Assumptions'!$H$28="CPC",'Model Inputs &amp; Assumptions'!$I$28*'Model Inputs &amp; Assumptions'!$K$28*G460,0)))</f>
        <v>4781.3675</v>
      </c>
      <c r="J460" s="50" t="n">
        <f aca="false">H460*INDEX('Model Inputs &amp; Assumptions'!$D$40:$D$42,MATCH('Model Inputs &amp; Assumptions'!$L$28,'Model Inputs &amp; Assumptions'!$A$40:$A$42,0))*INDEX('Model Inputs &amp; Assumptions'!$H$40:$H$42,MATCH('Model Inputs &amp; Assumptions'!$L$28,'Model Inputs &amp; Assumptions'!$A$40:$A$42,0))</f>
        <v>239078.62341547</v>
      </c>
      <c r="K460" s="49" t="n">
        <f aca="false">H460*INDEX('Model Inputs &amp; Assumptions'!$G$40:$G$42,MATCH('Model Inputs &amp; Assumptions'!$L$28,'Model Inputs &amp; Assumptions'!$A$40:$A$42,0))*INDEX('Model Inputs &amp; Assumptions'!$H$40:$H$42,MATCH('Model Inputs &amp; Assumptions'!$L$28,'Model Inputs &amp; Assumptions'!$A$40:$A$42,0))</f>
        <v>5379.26902684807</v>
      </c>
      <c r="L460" s="51" t="n">
        <f aca="false">IFERROR(K460/I460,0)</f>
        <v>1.12504822665233</v>
      </c>
      <c r="M460" s="49" t="n">
        <f aca="false">IFERROR(I460/H460,0)</f>
        <v>169.992712729373</v>
      </c>
      <c r="N460" s="52" t="str">
        <f aca="false">'Model Inputs &amp; Assumptions'!$L$28</f>
        <v>PRD-EUAI</v>
      </c>
      <c r="P460" s="53" t="n">
        <v>2.698074</v>
      </c>
      <c r="Q460" s="53" t="n">
        <v>0.191961</v>
      </c>
      <c r="R460" s="53" t="n">
        <v>0.447634</v>
      </c>
      <c r="S460" s="53" t="n">
        <v>-0.639141</v>
      </c>
    </row>
    <row r="461" customFormat="false" ht="15" hidden="false" customHeight="false" outlineLevel="0" collapsed="false">
      <c r="A461" s="43" t="n">
        <v>458</v>
      </c>
      <c r="B461" s="44" t="str">
        <f aca="false">'Model Inputs &amp; Assumptions'!$B$28</f>
        <v>finanzen.net — Q1 Awareness Burst</v>
      </c>
      <c r="C461" s="45" t="n">
        <f aca="false">ROUND(MAX(0,'Model Inputs &amp; Assumptions'!$S$28*EXP('Model Inputs &amp; Assumptions'!$T$28*P461-'Model Inputs &amp; Assumptions'!$T$28^2/2)),0)</f>
        <v>327040</v>
      </c>
      <c r="D461" s="46" t="n">
        <f aca="false">MIN(1,'Model Inputs &amp; Assumptions'!$U$28*EXP('Model Inputs &amp; Assumptions'!$V$28*Q461-'Model Inputs &amp; Assumptions'!$V$28^2/2))</f>
        <v>0</v>
      </c>
      <c r="E461" s="45" t="n">
        <f aca="false">ROUND(C461*D461,0)</f>
        <v>0</v>
      </c>
      <c r="F461" s="47" t="n">
        <f aca="false">MIN(1,'Model Inputs &amp; Assumptions'!$W$28*EXP('Model Inputs &amp; Assumptions'!$X$28*R461-'Model Inputs &amp; Assumptions'!$X$28^2/2))</f>
        <v>0.00122829929808233</v>
      </c>
      <c r="G461" s="45" t="n">
        <f aca="false">ROUND(C461*F461,0)</f>
        <v>402</v>
      </c>
      <c r="H461" s="48" t="n">
        <f aca="false">MAX(0,(C461*'Model Inputs &amp; Assumptions'!$N$28+E461*'Model Inputs &amp; Assumptions'!$O$28+G461*'Model Inputs &amp; Assumptions'!$P$28)*EXP('Model Inputs &amp; Assumptions'!$Q$28*S461-'Model Inputs &amp; Assumptions'!$Q$28^2/2))</f>
        <v>10.9939496680503</v>
      </c>
      <c r="I461" s="49" t="n">
        <f aca="false">IF('Model Inputs &amp; Assumptions'!$H$28="Fixed",'Model Inputs &amp; Assumptions'!$I$28*'Model Inputs &amp; Assumptions'!$K$28,IF('Model Inputs &amp; Assumptions'!$H$28="CPM",'Model Inputs &amp; Assumptions'!$I$28*'Model Inputs &amp; Assumptions'!$K$28*C461/1000,IF('Model Inputs &amp; Assumptions'!$H$28="CPC",'Model Inputs &amp; Assumptions'!$I$28*'Model Inputs &amp; Assumptions'!$K$28*G461,0)))</f>
        <v>2125.76</v>
      </c>
      <c r="J461" s="50" t="n">
        <f aca="false">H461*INDEX('Model Inputs &amp; Assumptions'!$D$40:$D$42,MATCH('Model Inputs &amp; Assumptions'!$L$28,'Model Inputs &amp; Assumptions'!$A$40:$A$42,0))*INDEX('Model Inputs &amp; Assumptions'!$H$40:$H$42,MATCH('Model Inputs &amp; Assumptions'!$L$28,'Model Inputs &amp; Assumptions'!$A$40:$A$42,0))</f>
        <v>93448.5721784278</v>
      </c>
      <c r="K461" s="49" t="n">
        <f aca="false">H461*INDEX('Model Inputs &amp; Assumptions'!$G$40:$G$42,MATCH('Model Inputs &amp; Assumptions'!$L$28,'Model Inputs &amp; Assumptions'!$A$40:$A$42,0))*INDEX('Model Inputs &amp; Assumptions'!$H$40:$H$42,MATCH('Model Inputs &amp; Assumptions'!$L$28,'Model Inputs &amp; Assumptions'!$A$40:$A$42,0))</f>
        <v>2102.59287401463</v>
      </c>
      <c r="L461" s="51" t="n">
        <f aca="false">IFERROR(K461/I461,0)</f>
        <v>0.989101720803207</v>
      </c>
      <c r="M461" s="49" t="n">
        <f aca="false">IFERROR(I461/H461,0)</f>
        <v>193.357261419679</v>
      </c>
      <c r="N461" s="52" t="str">
        <f aca="false">'Model Inputs &amp; Assumptions'!$L$28</f>
        <v>PRD-EUAI</v>
      </c>
      <c r="P461" s="53" t="n">
        <v>-1.805246</v>
      </c>
      <c r="Q461" s="53" t="n">
        <v>0.433246</v>
      </c>
      <c r="R461" s="53" t="n">
        <v>-0.798339</v>
      </c>
      <c r="S461" s="53" t="n">
        <v>-0.158497</v>
      </c>
    </row>
    <row r="462" customFormat="false" ht="15" hidden="false" customHeight="false" outlineLevel="0" collapsed="false">
      <c r="A462" s="43" t="n">
        <v>459</v>
      </c>
      <c r="B462" s="44" t="str">
        <f aca="false">'Model Inputs &amp; Assumptions'!$B$28</f>
        <v>finanzen.net — Q1 Awareness Burst</v>
      </c>
      <c r="C462" s="45" t="n">
        <f aca="false">ROUND(MAX(0,'Model Inputs &amp; Assumptions'!$S$28*EXP('Model Inputs &amp; Assumptions'!$T$28*P462-'Model Inputs &amp; Assumptions'!$T$28^2/2)),0)</f>
        <v>398838</v>
      </c>
      <c r="D462" s="46" t="n">
        <f aca="false">MIN(1,'Model Inputs &amp; Assumptions'!$U$28*EXP('Model Inputs &amp; Assumptions'!$V$28*Q462-'Model Inputs &amp; Assumptions'!$V$28^2/2))</f>
        <v>0</v>
      </c>
      <c r="E462" s="45" t="n">
        <f aca="false">ROUND(C462*D462,0)</f>
        <v>0</v>
      </c>
      <c r="F462" s="47" t="n">
        <f aca="false">MIN(1,'Model Inputs &amp; Assumptions'!$W$28*EXP('Model Inputs &amp; Assumptions'!$X$28*R462-'Model Inputs &amp; Assumptions'!$X$28^2/2))</f>
        <v>0.00150890564264877</v>
      </c>
      <c r="G462" s="45" t="n">
        <f aca="false">ROUND(C462*F462,0)</f>
        <v>602</v>
      </c>
      <c r="H462" s="48" t="n">
        <f aca="false">MAX(0,(C462*'Model Inputs &amp; Assumptions'!$N$28+E462*'Model Inputs &amp; Assumptions'!$O$28+G462*'Model Inputs &amp; Assumptions'!$P$28)*EXP('Model Inputs &amp; Assumptions'!$Q$28*S462-'Model Inputs &amp; Assumptions'!$Q$28^2/2))</f>
        <v>17.9542372933802</v>
      </c>
      <c r="I462" s="49" t="n">
        <f aca="false">IF('Model Inputs &amp; Assumptions'!$H$28="Fixed",'Model Inputs &amp; Assumptions'!$I$28*'Model Inputs &amp; Assumptions'!$K$28,IF('Model Inputs &amp; Assumptions'!$H$28="CPM",'Model Inputs &amp; Assumptions'!$I$28*'Model Inputs &amp; Assumptions'!$K$28*C462/1000,IF('Model Inputs &amp; Assumptions'!$H$28="CPC",'Model Inputs &amp; Assumptions'!$I$28*'Model Inputs &amp; Assumptions'!$K$28*G462,0)))</f>
        <v>2592.447</v>
      </c>
      <c r="J462" s="50" t="n">
        <f aca="false">H462*INDEX('Model Inputs &amp; Assumptions'!$D$40:$D$42,MATCH('Model Inputs &amp; Assumptions'!$L$28,'Model Inputs &amp; Assumptions'!$A$40:$A$42,0))*INDEX('Model Inputs &amp; Assumptions'!$H$40:$H$42,MATCH('Model Inputs &amp; Assumptions'!$L$28,'Model Inputs &amp; Assumptions'!$A$40:$A$42,0))</f>
        <v>152611.016993732</v>
      </c>
      <c r="K462" s="49" t="n">
        <f aca="false">H462*INDEX('Model Inputs &amp; Assumptions'!$G$40:$G$42,MATCH('Model Inputs &amp; Assumptions'!$L$28,'Model Inputs &amp; Assumptions'!$A$40:$A$42,0))*INDEX('Model Inputs &amp; Assumptions'!$H$40:$H$42,MATCH('Model Inputs &amp; Assumptions'!$L$28,'Model Inputs &amp; Assumptions'!$A$40:$A$42,0))</f>
        <v>3433.74788235896</v>
      </c>
      <c r="L462" s="51" t="n">
        <f aca="false">IFERROR(K462/I462,0)</f>
        <v>1.32451999302549</v>
      </c>
      <c r="M462" s="49" t="n">
        <f aca="false">IFERROR(I462/H462,0)</f>
        <v>144.391931421996</v>
      </c>
      <c r="N462" s="52" t="str">
        <f aca="false">'Model Inputs &amp; Assumptions'!$L$28</f>
        <v>PRD-EUAI</v>
      </c>
      <c r="P462" s="53" t="n">
        <v>-0.702614</v>
      </c>
      <c r="Q462" s="53" t="n">
        <v>0.853333</v>
      </c>
      <c r="R462" s="53" t="n">
        <v>0.136907</v>
      </c>
      <c r="S462" s="53" t="n">
        <v>0.130422</v>
      </c>
    </row>
    <row r="463" customFormat="false" ht="15" hidden="false" customHeight="false" outlineLevel="0" collapsed="false">
      <c r="A463" s="43" t="n">
        <v>460</v>
      </c>
      <c r="B463" s="44" t="str">
        <f aca="false">'Model Inputs &amp; Assumptions'!$B$28</f>
        <v>finanzen.net — Q1 Awareness Burst</v>
      </c>
      <c r="C463" s="45" t="n">
        <f aca="false">ROUND(MAX(0,'Model Inputs &amp; Assumptions'!$S$28*EXP('Model Inputs &amp; Assumptions'!$T$28*P463-'Model Inputs &amp; Assumptions'!$T$28^2/2)),0)</f>
        <v>417301</v>
      </c>
      <c r="D463" s="46" t="n">
        <f aca="false">MIN(1,'Model Inputs &amp; Assumptions'!$U$28*EXP('Model Inputs &amp; Assumptions'!$V$28*Q463-'Model Inputs &amp; Assumptions'!$V$28^2/2))</f>
        <v>0</v>
      </c>
      <c r="E463" s="45" t="n">
        <f aca="false">ROUND(C463*D463,0)</f>
        <v>0</v>
      </c>
      <c r="F463" s="47" t="n">
        <f aca="false">MIN(1,'Model Inputs &amp; Assumptions'!$W$28*EXP('Model Inputs &amp; Assumptions'!$X$28*R463-'Model Inputs &amp; Assumptions'!$X$28^2/2))</f>
        <v>0.00123513469400945</v>
      </c>
      <c r="G463" s="45" t="n">
        <f aca="false">ROUND(C463*F463,0)</f>
        <v>515</v>
      </c>
      <c r="H463" s="48" t="n">
        <f aca="false">MAX(0,(C463*'Model Inputs &amp; Assumptions'!$N$28+E463*'Model Inputs &amp; Assumptions'!$O$28+G463*'Model Inputs &amp; Assumptions'!$P$28)*EXP('Model Inputs &amp; Assumptions'!$Q$28*S463-'Model Inputs &amp; Assumptions'!$Q$28^2/2))</f>
        <v>13.015863767799</v>
      </c>
      <c r="I463" s="49" t="n">
        <f aca="false">IF('Model Inputs &amp; Assumptions'!$H$28="Fixed",'Model Inputs &amp; Assumptions'!$I$28*'Model Inputs &amp; Assumptions'!$K$28,IF('Model Inputs &amp; Assumptions'!$H$28="CPM",'Model Inputs &amp; Assumptions'!$I$28*'Model Inputs &amp; Assumptions'!$K$28*C463/1000,IF('Model Inputs &amp; Assumptions'!$H$28="CPC",'Model Inputs &amp; Assumptions'!$I$28*'Model Inputs &amp; Assumptions'!$K$28*G463,0)))</f>
        <v>2712.4565</v>
      </c>
      <c r="J463" s="50" t="n">
        <f aca="false">H463*INDEX('Model Inputs &amp; Assumptions'!$D$40:$D$42,MATCH('Model Inputs &amp; Assumptions'!$L$28,'Model Inputs &amp; Assumptions'!$A$40:$A$42,0))*INDEX('Model Inputs &amp; Assumptions'!$H$40:$H$42,MATCH('Model Inputs &amp; Assumptions'!$L$28,'Model Inputs &amp; Assumptions'!$A$40:$A$42,0))</f>
        <v>110634.842026292</v>
      </c>
      <c r="K463" s="49" t="n">
        <f aca="false">H463*INDEX('Model Inputs &amp; Assumptions'!$G$40:$G$42,MATCH('Model Inputs &amp; Assumptions'!$L$28,'Model Inputs &amp; Assumptions'!$A$40:$A$42,0))*INDEX('Model Inputs &amp; Assumptions'!$H$40:$H$42,MATCH('Model Inputs &amp; Assumptions'!$L$28,'Model Inputs &amp; Assumptions'!$A$40:$A$42,0))</f>
        <v>2489.28394559156</v>
      </c>
      <c r="L463" s="51" t="n">
        <f aca="false">IFERROR(K463/I463,0)</f>
        <v>0.917723084440823</v>
      </c>
      <c r="M463" s="49" t="n">
        <f aca="false">IFERROR(I463/H463,0)</f>
        <v>208.396196240972</v>
      </c>
      <c r="N463" s="52" t="str">
        <f aca="false">'Model Inputs &amp; Assumptions'!$L$28</f>
        <v>PRD-EUAI</v>
      </c>
      <c r="P463" s="53" t="n">
        <v>-0.451218</v>
      </c>
      <c r="Q463" s="53" t="n">
        <v>0.208796</v>
      </c>
      <c r="R463" s="53" t="n">
        <v>-0.773114</v>
      </c>
      <c r="S463" s="53" t="n">
        <v>-0.421467</v>
      </c>
    </row>
    <row r="464" customFormat="false" ht="15" hidden="false" customHeight="false" outlineLevel="0" collapsed="false">
      <c r="A464" s="43" t="n">
        <v>461</v>
      </c>
      <c r="B464" s="44" t="str">
        <f aca="false">'Model Inputs &amp; Assumptions'!$B$28</f>
        <v>finanzen.net — Q1 Awareness Burst</v>
      </c>
      <c r="C464" s="45" t="n">
        <f aca="false">ROUND(MAX(0,'Model Inputs &amp; Assumptions'!$S$28*EXP('Model Inputs &amp; Assumptions'!$T$28*P464-'Model Inputs &amp; Assumptions'!$T$28^2/2)),0)</f>
        <v>558142</v>
      </c>
      <c r="D464" s="46" t="n">
        <f aca="false">MIN(1,'Model Inputs &amp; Assumptions'!$U$28*EXP('Model Inputs &amp; Assumptions'!$V$28*Q464-'Model Inputs &amp; Assumptions'!$V$28^2/2))</f>
        <v>0</v>
      </c>
      <c r="E464" s="45" t="n">
        <f aca="false">ROUND(C464*D464,0)</f>
        <v>0</v>
      </c>
      <c r="F464" s="47" t="n">
        <f aca="false">MIN(1,'Model Inputs &amp; Assumptions'!$W$28*EXP('Model Inputs &amp; Assumptions'!$X$28*R464-'Model Inputs &amp; Assumptions'!$X$28^2/2))</f>
        <v>0.00139719384417059</v>
      </c>
      <c r="G464" s="45" t="n">
        <f aca="false">ROUND(C464*F464,0)</f>
        <v>780</v>
      </c>
      <c r="H464" s="48" t="n">
        <f aca="false">MAX(0,(C464*'Model Inputs &amp; Assumptions'!$N$28+E464*'Model Inputs &amp; Assumptions'!$O$28+G464*'Model Inputs &amp; Assumptions'!$P$28)*EXP('Model Inputs &amp; Assumptions'!$Q$28*S464-'Model Inputs &amp; Assumptions'!$Q$28^2/2))</f>
        <v>19.6956012175801</v>
      </c>
      <c r="I464" s="49" t="n">
        <f aca="false">IF('Model Inputs &amp; Assumptions'!$H$28="Fixed",'Model Inputs &amp; Assumptions'!$I$28*'Model Inputs &amp; Assumptions'!$K$28,IF('Model Inputs &amp; Assumptions'!$H$28="CPM",'Model Inputs &amp; Assumptions'!$I$28*'Model Inputs &amp; Assumptions'!$K$28*C464/1000,IF('Model Inputs &amp; Assumptions'!$H$28="CPC",'Model Inputs &amp; Assumptions'!$I$28*'Model Inputs &amp; Assumptions'!$K$28*G464,0)))</f>
        <v>3627.923</v>
      </c>
      <c r="J464" s="50" t="n">
        <f aca="false">H464*INDEX('Model Inputs &amp; Assumptions'!$D$40:$D$42,MATCH('Model Inputs &amp; Assumptions'!$L$28,'Model Inputs &amp; Assumptions'!$A$40:$A$42,0))*INDEX('Model Inputs &amp; Assumptions'!$H$40:$H$42,MATCH('Model Inputs &amp; Assumptions'!$L$28,'Model Inputs &amp; Assumptions'!$A$40:$A$42,0))</f>
        <v>167412.610349431</v>
      </c>
      <c r="K464" s="49" t="n">
        <f aca="false">H464*INDEX('Model Inputs &amp; Assumptions'!$G$40:$G$42,MATCH('Model Inputs &amp; Assumptions'!$L$28,'Model Inputs &amp; Assumptions'!$A$40:$A$42,0))*INDEX('Model Inputs &amp; Assumptions'!$H$40:$H$42,MATCH('Model Inputs &amp; Assumptions'!$L$28,'Model Inputs &amp; Assumptions'!$A$40:$A$42,0))</f>
        <v>3766.7837328622</v>
      </c>
      <c r="L464" s="51" t="n">
        <f aca="false">IFERROR(K464/I464,0)</f>
        <v>1.03827554577707</v>
      </c>
      <c r="M464" s="49" t="n">
        <f aca="false">IFERROR(I464/H464,0)</f>
        <v>184.19965757439</v>
      </c>
      <c r="N464" s="52" t="str">
        <f aca="false">'Model Inputs &amp; Assumptions'!$L$28</f>
        <v>PRD-EUAI</v>
      </c>
      <c r="P464" s="53" t="n">
        <v>1.164376</v>
      </c>
      <c r="Q464" s="53" t="n">
        <v>-1.611916</v>
      </c>
      <c r="R464" s="53" t="n">
        <v>-0.212724</v>
      </c>
      <c r="S464" s="53" t="n">
        <v>-0.424469</v>
      </c>
    </row>
    <row r="465" customFormat="false" ht="15" hidden="false" customHeight="false" outlineLevel="0" collapsed="false">
      <c r="A465" s="43" t="n">
        <v>462</v>
      </c>
      <c r="B465" s="44" t="str">
        <f aca="false">'Model Inputs &amp; Assumptions'!$B$28</f>
        <v>finanzen.net — Q1 Awareness Burst</v>
      </c>
      <c r="C465" s="45" t="n">
        <f aca="false">ROUND(MAX(0,'Model Inputs &amp; Assumptions'!$S$28*EXP('Model Inputs &amp; Assumptions'!$T$28*P465-'Model Inputs &amp; Assumptions'!$T$28^2/2)),0)</f>
        <v>435203</v>
      </c>
      <c r="D465" s="46" t="n">
        <f aca="false">MIN(1,'Model Inputs &amp; Assumptions'!$U$28*EXP('Model Inputs &amp; Assumptions'!$V$28*Q465-'Model Inputs &amp; Assumptions'!$V$28^2/2))</f>
        <v>0</v>
      </c>
      <c r="E465" s="45" t="n">
        <f aca="false">ROUND(C465*D465,0)</f>
        <v>0</v>
      </c>
      <c r="F465" s="47" t="n">
        <f aca="false">MIN(1,'Model Inputs &amp; Assumptions'!$W$28*EXP('Model Inputs &amp; Assumptions'!$X$28*R465-'Model Inputs &amp; Assumptions'!$X$28^2/2))</f>
        <v>0.001993987311358</v>
      </c>
      <c r="G465" s="45" t="n">
        <f aca="false">ROUND(C465*F465,0)</f>
        <v>868</v>
      </c>
      <c r="H465" s="48" t="n">
        <f aca="false">MAX(0,(C465*'Model Inputs &amp; Assumptions'!$N$28+E465*'Model Inputs &amp; Assumptions'!$O$28+G465*'Model Inputs &amp; Assumptions'!$P$28)*EXP('Model Inputs &amp; Assumptions'!$Q$28*S465-'Model Inputs &amp; Assumptions'!$Q$28^2/2))</f>
        <v>29.494656676816</v>
      </c>
      <c r="I465" s="49" t="n">
        <f aca="false">IF('Model Inputs &amp; Assumptions'!$H$28="Fixed",'Model Inputs &amp; Assumptions'!$I$28*'Model Inputs &amp; Assumptions'!$K$28,IF('Model Inputs &amp; Assumptions'!$H$28="CPM",'Model Inputs &amp; Assumptions'!$I$28*'Model Inputs &amp; Assumptions'!$K$28*C465/1000,IF('Model Inputs &amp; Assumptions'!$H$28="CPC",'Model Inputs &amp; Assumptions'!$I$28*'Model Inputs &amp; Assumptions'!$K$28*G465,0)))</f>
        <v>2828.8195</v>
      </c>
      <c r="J465" s="50" t="n">
        <f aca="false">H465*INDEX('Model Inputs &amp; Assumptions'!$D$40:$D$42,MATCH('Model Inputs &amp; Assumptions'!$L$28,'Model Inputs &amp; Assumptions'!$A$40:$A$42,0))*INDEX('Model Inputs &amp; Assumptions'!$H$40:$H$42,MATCH('Model Inputs &amp; Assumptions'!$L$28,'Model Inputs &amp; Assumptions'!$A$40:$A$42,0))</f>
        <v>250704.581752936</v>
      </c>
      <c r="K465" s="49" t="n">
        <f aca="false">H465*INDEX('Model Inputs &amp; Assumptions'!$G$40:$G$42,MATCH('Model Inputs &amp; Assumptions'!$L$28,'Model Inputs &amp; Assumptions'!$A$40:$A$42,0))*INDEX('Model Inputs &amp; Assumptions'!$H$40:$H$42,MATCH('Model Inputs &amp; Assumptions'!$L$28,'Model Inputs &amp; Assumptions'!$A$40:$A$42,0))</f>
        <v>5640.85308944105</v>
      </c>
      <c r="L465" s="51" t="n">
        <f aca="false">IFERROR(K465/I465,0)</f>
        <v>1.99406610759048</v>
      </c>
      <c r="M465" s="49" t="n">
        <f aca="false">IFERROR(I465/H465,0)</f>
        <v>95.9095585005935</v>
      </c>
      <c r="N465" s="52" t="str">
        <f aca="false">'Model Inputs &amp; Assumptions'!$L$28</f>
        <v>PRD-EUAI</v>
      </c>
      <c r="P465" s="53" t="n">
        <v>-0.217849</v>
      </c>
      <c r="Q465" s="53" t="n">
        <v>-0.540574</v>
      </c>
      <c r="R465" s="53" t="n">
        <v>1.40396</v>
      </c>
      <c r="S465" s="53" t="n">
        <v>0.565251</v>
      </c>
    </row>
    <row r="466" customFormat="false" ht="15" hidden="false" customHeight="false" outlineLevel="0" collapsed="false">
      <c r="A466" s="43" t="n">
        <v>463</v>
      </c>
      <c r="B466" s="44" t="str">
        <f aca="false">'Model Inputs &amp; Assumptions'!$B$28</f>
        <v>finanzen.net — Q1 Awareness Burst</v>
      </c>
      <c r="C466" s="45" t="n">
        <f aca="false">ROUND(MAX(0,'Model Inputs &amp; Assumptions'!$S$28*EXP('Model Inputs &amp; Assumptions'!$T$28*P466-'Model Inputs &amp; Assumptions'!$T$28^2/2)),0)</f>
        <v>471029</v>
      </c>
      <c r="D466" s="46" t="n">
        <f aca="false">MIN(1,'Model Inputs &amp; Assumptions'!$U$28*EXP('Model Inputs &amp; Assumptions'!$V$28*Q466-'Model Inputs &amp; Assumptions'!$V$28^2/2))</f>
        <v>0</v>
      </c>
      <c r="E466" s="45" t="n">
        <f aca="false">ROUND(C466*D466,0)</f>
        <v>0</v>
      </c>
      <c r="F466" s="47" t="n">
        <f aca="false">MIN(1,'Model Inputs &amp; Assumptions'!$W$28*EXP('Model Inputs &amp; Assumptions'!$X$28*R466-'Model Inputs &amp; Assumptions'!$X$28^2/2))</f>
        <v>0.00150519326931911</v>
      </c>
      <c r="G466" s="45" t="n">
        <f aca="false">ROUND(C466*F466,0)</f>
        <v>709</v>
      </c>
      <c r="H466" s="48" t="n">
        <f aca="false">MAX(0,(C466*'Model Inputs &amp; Assumptions'!$N$28+E466*'Model Inputs &amp; Assumptions'!$O$28+G466*'Model Inputs &amp; Assumptions'!$P$28)*EXP('Model Inputs &amp; Assumptions'!$Q$28*S466-'Model Inputs &amp; Assumptions'!$Q$28^2/2))</f>
        <v>20.7562608569585</v>
      </c>
      <c r="I466" s="49" t="n">
        <f aca="false">IF('Model Inputs &amp; Assumptions'!$H$28="Fixed",'Model Inputs &amp; Assumptions'!$I$28*'Model Inputs &amp; Assumptions'!$K$28,IF('Model Inputs &amp; Assumptions'!$H$28="CPM",'Model Inputs &amp; Assumptions'!$I$28*'Model Inputs &amp; Assumptions'!$K$28*C466/1000,IF('Model Inputs &amp; Assumptions'!$H$28="CPC",'Model Inputs &amp; Assumptions'!$I$28*'Model Inputs &amp; Assumptions'!$K$28*G466,0)))</f>
        <v>3061.6885</v>
      </c>
      <c r="J466" s="50" t="n">
        <f aca="false">H466*INDEX('Model Inputs &amp; Assumptions'!$D$40:$D$42,MATCH('Model Inputs &amp; Assumptions'!$L$28,'Model Inputs &amp; Assumptions'!$A$40:$A$42,0))*INDEX('Model Inputs &amp; Assumptions'!$H$40:$H$42,MATCH('Model Inputs &amp; Assumptions'!$L$28,'Model Inputs &amp; Assumptions'!$A$40:$A$42,0))</f>
        <v>176428.217284147</v>
      </c>
      <c r="K466" s="49" t="n">
        <f aca="false">H466*INDEX('Model Inputs &amp; Assumptions'!$G$40:$G$42,MATCH('Model Inputs &amp; Assumptions'!$L$28,'Model Inputs &amp; Assumptions'!$A$40:$A$42,0))*INDEX('Model Inputs &amp; Assumptions'!$H$40:$H$42,MATCH('Model Inputs &amp; Assumptions'!$L$28,'Model Inputs &amp; Assumptions'!$A$40:$A$42,0))</f>
        <v>3969.63488889331</v>
      </c>
      <c r="L466" s="51" t="n">
        <f aca="false">IFERROR(K466/I466,0)</f>
        <v>1.29655087017941</v>
      </c>
      <c r="M466" s="49" t="n">
        <f aca="false">IFERROR(I466/H466,0)</f>
        <v>147.506746089751</v>
      </c>
      <c r="N466" s="52" t="str">
        <f aca="false">'Model Inputs &amp; Assumptions'!$L$28</f>
        <v>PRD-EUAI</v>
      </c>
      <c r="P466" s="53" t="n">
        <v>0.22163</v>
      </c>
      <c r="Q466" s="53" t="n">
        <v>-0.120797</v>
      </c>
      <c r="R466" s="53" t="n">
        <v>0.12571</v>
      </c>
      <c r="S466" s="53" t="n">
        <v>0.068501</v>
      </c>
    </row>
    <row r="467" customFormat="false" ht="15" hidden="false" customHeight="false" outlineLevel="0" collapsed="false">
      <c r="A467" s="43" t="n">
        <v>464</v>
      </c>
      <c r="B467" s="44" t="str">
        <f aca="false">'Model Inputs &amp; Assumptions'!$B$28</f>
        <v>finanzen.net — Q1 Awareness Burst</v>
      </c>
      <c r="C467" s="45" t="n">
        <f aca="false">ROUND(MAX(0,'Model Inputs &amp; Assumptions'!$S$28*EXP('Model Inputs &amp; Assumptions'!$T$28*P467-'Model Inputs &amp; Assumptions'!$T$28^2/2)),0)</f>
        <v>708565</v>
      </c>
      <c r="D467" s="46" t="n">
        <f aca="false">MIN(1,'Model Inputs &amp; Assumptions'!$U$28*EXP('Model Inputs &amp; Assumptions'!$V$28*Q467-'Model Inputs &amp; Assumptions'!$V$28^2/2))</f>
        <v>0</v>
      </c>
      <c r="E467" s="45" t="n">
        <f aca="false">ROUND(C467*D467,0)</f>
        <v>0</v>
      </c>
      <c r="F467" s="47" t="n">
        <f aca="false">MIN(1,'Model Inputs &amp; Assumptions'!$W$28*EXP('Model Inputs &amp; Assumptions'!$X$28*R467-'Model Inputs &amp; Assumptions'!$X$28^2/2))</f>
        <v>0.00144997861508743</v>
      </c>
      <c r="G467" s="45" t="n">
        <f aca="false">ROUND(C467*F467,0)</f>
        <v>1027</v>
      </c>
      <c r="H467" s="48" t="n">
        <f aca="false">MAX(0,(C467*'Model Inputs &amp; Assumptions'!$N$28+E467*'Model Inputs &amp; Assumptions'!$O$28+G467*'Model Inputs &amp; Assumptions'!$P$28)*EXP('Model Inputs &amp; Assumptions'!$Q$28*S467-'Model Inputs &amp; Assumptions'!$Q$28^2/2))</f>
        <v>28.0719262922229</v>
      </c>
      <c r="I467" s="49" t="n">
        <f aca="false">IF('Model Inputs &amp; Assumptions'!$H$28="Fixed",'Model Inputs &amp; Assumptions'!$I$28*'Model Inputs &amp; Assumptions'!$K$28,IF('Model Inputs &amp; Assumptions'!$H$28="CPM",'Model Inputs &amp; Assumptions'!$I$28*'Model Inputs &amp; Assumptions'!$K$28*C467/1000,IF('Model Inputs &amp; Assumptions'!$H$28="CPC",'Model Inputs &amp; Assumptions'!$I$28*'Model Inputs &amp; Assumptions'!$K$28*G467,0)))</f>
        <v>4605.6725</v>
      </c>
      <c r="J467" s="50" t="n">
        <f aca="false">H467*INDEX('Model Inputs &amp; Assumptions'!$D$40:$D$42,MATCH('Model Inputs &amp; Assumptions'!$L$28,'Model Inputs &amp; Assumptions'!$A$40:$A$42,0))*INDEX('Model Inputs &amp; Assumptions'!$H$40:$H$42,MATCH('Model Inputs &amp; Assumptions'!$L$28,'Model Inputs &amp; Assumptions'!$A$40:$A$42,0))</f>
        <v>238611.373483895</v>
      </c>
      <c r="K467" s="49" t="n">
        <f aca="false">H467*INDEX('Model Inputs &amp; Assumptions'!$G$40:$G$42,MATCH('Model Inputs &amp; Assumptions'!$L$28,'Model Inputs &amp; Assumptions'!$A$40:$A$42,0))*INDEX('Model Inputs &amp; Assumptions'!$H$40:$H$42,MATCH('Model Inputs &amp; Assumptions'!$L$28,'Model Inputs &amp; Assumptions'!$A$40:$A$42,0))</f>
        <v>5368.75590338763</v>
      </c>
      <c r="L467" s="51" t="n">
        <f aca="false">IFERROR(K467/I467,0)</f>
        <v>1.16568338356399</v>
      </c>
      <c r="M467" s="49" t="n">
        <f aca="false">IFERROR(I467/H467,0)</f>
        <v>164.06684928052</v>
      </c>
      <c r="N467" s="52" t="str">
        <f aca="false">'Model Inputs &amp; Assumptions'!$L$28</f>
        <v>PRD-EUAI</v>
      </c>
      <c r="P467" s="53" t="n">
        <v>2.490083</v>
      </c>
      <c r="Q467" s="53" t="n">
        <v>-0.86182</v>
      </c>
      <c r="R467" s="53" t="n">
        <v>-0.044165</v>
      </c>
      <c r="S467" s="53" t="n">
        <v>-0.160231</v>
      </c>
    </row>
    <row r="468" customFormat="false" ht="15" hidden="false" customHeight="false" outlineLevel="0" collapsed="false">
      <c r="A468" s="43" t="n">
        <v>465</v>
      </c>
      <c r="B468" s="44" t="str">
        <f aca="false">'Model Inputs &amp; Assumptions'!$B$28</f>
        <v>finanzen.net — Q1 Awareness Burst</v>
      </c>
      <c r="C468" s="45" t="n">
        <f aca="false">ROUND(MAX(0,'Model Inputs &amp; Assumptions'!$S$28*EXP('Model Inputs &amp; Assumptions'!$T$28*P468-'Model Inputs &amp; Assumptions'!$T$28^2/2)),0)</f>
        <v>474199</v>
      </c>
      <c r="D468" s="46" t="n">
        <f aca="false">MIN(1,'Model Inputs &amp; Assumptions'!$U$28*EXP('Model Inputs &amp; Assumptions'!$V$28*Q468-'Model Inputs &amp; Assumptions'!$V$28^2/2))</f>
        <v>0</v>
      </c>
      <c r="E468" s="45" t="n">
        <f aca="false">ROUND(C468*D468,0)</f>
        <v>0</v>
      </c>
      <c r="F468" s="47" t="n">
        <f aca="false">MIN(1,'Model Inputs &amp; Assumptions'!$W$28*EXP('Model Inputs &amp; Assumptions'!$X$28*R468-'Model Inputs &amp; Assumptions'!$X$28^2/2))</f>
        <v>0.0010257153258951</v>
      </c>
      <c r="G468" s="45" t="n">
        <f aca="false">ROUND(C468*F468,0)</f>
        <v>486</v>
      </c>
      <c r="H468" s="48" t="n">
        <f aca="false">MAX(0,(C468*'Model Inputs &amp; Assumptions'!$N$28+E468*'Model Inputs &amp; Assumptions'!$O$28+G468*'Model Inputs &amp; Assumptions'!$P$28)*EXP('Model Inputs &amp; Assumptions'!$Q$28*S468-'Model Inputs &amp; Assumptions'!$Q$28^2/2))</f>
        <v>9.14773425830181</v>
      </c>
      <c r="I468" s="49" t="n">
        <f aca="false">IF('Model Inputs &amp; Assumptions'!$H$28="Fixed",'Model Inputs &amp; Assumptions'!$I$28*'Model Inputs &amp; Assumptions'!$K$28,IF('Model Inputs &amp; Assumptions'!$H$28="CPM",'Model Inputs &amp; Assumptions'!$I$28*'Model Inputs &amp; Assumptions'!$K$28*C468/1000,IF('Model Inputs &amp; Assumptions'!$H$28="CPC",'Model Inputs &amp; Assumptions'!$I$28*'Model Inputs &amp; Assumptions'!$K$28*G468,0)))</f>
        <v>3082.2935</v>
      </c>
      <c r="J468" s="50" t="n">
        <f aca="false">H468*INDEX('Model Inputs &amp; Assumptions'!$D$40:$D$42,MATCH('Model Inputs &amp; Assumptions'!$L$28,'Model Inputs &amp; Assumptions'!$A$40:$A$42,0))*INDEX('Model Inputs &amp; Assumptions'!$H$40:$H$42,MATCH('Model Inputs &amp; Assumptions'!$L$28,'Model Inputs &amp; Assumptions'!$A$40:$A$42,0))</f>
        <v>77755.7411955654</v>
      </c>
      <c r="K468" s="49" t="n">
        <f aca="false">H468*INDEX('Model Inputs &amp; Assumptions'!$G$40:$G$42,MATCH('Model Inputs &amp; Assumptions'!$L$28,'Model Inputs &amp; Assumptions'!$A$40:$A$42,0))*INDEX('Model Inputs &amp; Assumptions'!$H$40:$H$42,MATCH('Model Inputs &amp; Assumptions'!$L$28,'Model Inputs &amp; Assumptions'!$A$40:$A$42,0))</f>
        <v>1749.50417690022</v>
      </c>
      <c r="L468" s="51" t="n">
        <f aca="false">IFERROR(K468/I468,0)</f>
        <v>0.5675981787264</v>
      </c>
      <c r="M468" s="49" t="n">
        <f aca="false">IFERROR(I468/H468,0)</f>
        <v>336.946112880655</v>
      </c>
      <c r="N468" s="52" t="str">
        <f aca="false">'Model Inputs &amp; Assumptions'!$L$28</f>
        <v>PRD-EUAI</v>
      </c>
      <c r="P468" s="53" t="n">
        <v>0.258892</v>
      </c>
      <c r="Q468" s="53" t="n">
        <v>0.369797</v>
      </c>
      <c r="R468" s="53" t="n">
        <v>-1.617613</v>
      </c>
      <c r="S468" s="53" t="n">
        <v>-1.403815</v>
      </c>
    </row>
    <row r="469" customFormat="false" ht="15" hidden="false" customHeight="false" outlineLevel="0" collapsed="false">
      <c r="A469" s="43" t="n">
        <v>466</v>
      </c>
      <c r="B469" s="44" t="str">
        <f aca="false">'Model Inputs &amp; Assumptions'!$B$28</f>
        <v>finanzen.net — Q1 Awareness Burst</v>
      </c>
      <c r="C469" s="45" t="n">
        <f aca="false">ROUND(MAX(0,'Model Inputs &amp; Assumptions'!$S$28*EXP('Model Inputs &amp; Assumptions'!$T$28*P469-'Model Inputs &amp; Assumptions'!$T$28^2/2)),0)</f>
        <v>421171</v>
      </c>
      <c r="D469" s="46" t="n">
        <f aca="false">MIN(1,'Model Inputs &amp; Assumptions'!$U$28*EXP('Model Inputs &amp; Assumptions'!$V$28*Q469-'Model Inputs &amp; Assumptions'!$V$28^2/2))</f>
        <v>0</v>
      </c>
      <c r="E469" s="45" t="n">
        <f aca="false">ROUND(C469*D469,0)</f>
        <v>0</v>
      </c>
      <c r="F469" s="47" t="n">
        <f aca="false">MIN(1,'Model Inputs &amp; Assumptions'!$W$28*EXP('Model Inputs &amp; Assumptions'!$X$28*R469-'Model Inputs &amp; Assumptions'!$X$28^2/2))</f>
        <v>0.00312266919752925</v>
      </c>
      <c r="G469" s="45" t="n">
        <f aca="false">ROUND(C469*F469,0)</f>
        <v>1315</v>
      </c>
      <c r="H469" s="48" t="n">
        <f aca="false">MAX(0,(C469*'Model Inputs &amp; Assumptions'!$N$28+E469*'Model Inputs &amp; Assumptions'!$O$28+G469*'Model Inputs &amp; Assumptions'!$P$28)*EXP('Model Inputs &amp; Assumptions'!$Q$28*S469-'Model Inputs &amp; Assumptions'!$Q$28^2/2))</f>
        <v>60.1578924907577</v>
      </c>
      <c r="I469" s="49" t="n">
        <f aca="false">IF('Model Inputs &amp; Assumptions'!$H$28="Fixed",'Model Inputs &amp; Assumptions'!$I$28*'Model Inputs &amp; Assumptions'!$K$28,IF('Model Inputs &amp; Assumptions'!$H$28="CPM",'Model Inputs &amp; Assumptions'!$I$28*'Model Inputs &amp; Assumptions'!$K$28*C469/1000,IF('Model Inputs &amp; Assumptions'!$H$28="CPC",'Model Inputs &amp; Assumptions'!$I$28*'Model Inputs &amp; Assumptions'!$K$28*G469,0)))</f>
        <v>2737.6115</v>
      </c>
      <c r="J469" s="50" t="n">
        <f aca="false">H469*INDEX('Model Inputs &amp; Assumptions'!$D$40:$D$42,MATCH('Model Inputs &amp; Assumptions'!$L$28,'Model Inputs &amp; Assumptions'!$A$40:$A$42,0))*INDEX('Model Inputs &amp; Assumptions'!$H$40:$H$42,MATCH('Model Inputs &amp; Assumptions'!$L$28,'Model Inputs &amp; Assumptions'!$A$40:$A$42,0))</f>
        <v>511342.08617144</v>
      </c>
      <c r="K469" s="49" t="n">
        <f aca="false">H469*INDEX('Model Inputs &amp; Assumptions'!$G$40:$G$42,MATCH('Model Inputs &amp; Assumptions'!$L$28,'Model Inputs &amp; Assumptions'!$A$40:$A$42,0))*INDEX('Model Inputs &amp; Assumptions'!$H$40:$H$42,MATCH('Model Inputs &amp; Assumptions'!$L$28,'Model Inputs &amp; Assumptions'!$A$40:$A$42,0))</f>
        <v>11505.1969388574</v>
      </c>
      <c r="L469" s="51" t="n">
        <f aca="false">IFERROR(K469/I469,0)</f>
        <v>4.2026404911206</v>
      </c>
      <c r="M469" s="49" t="n">
        <f aca="false">IFERROR(I469/H469,0)</f>
        <v>45.5071044987254</v>
      </c>
      <c r="N469" s="52" t="str">
        <f aca="false">'Model Inputs &amp; Assumptions'!$L$28</f>
        <v>PRD-EUAI</v>
      </c>
      <c r="P469" s="53" t="n">
        <v>-0.399929</v>
      </c>
      <c r="Q469" s="53" t="n">
        <v>2.592697</v>
      </c>
      <c r="R469" s="53" t="n">
        <v>3.442832</v>
      </c>
      <c r="S469" s="53" t="n">
        <v>1.556462</v>
      </c>
    </row>
    <row r="470" customFormat="false" ht="15" hidden="false" customHeight="false" outlineLevel="0" collapsed="false">
      <c r="A470" s="43" t="n">
        <v>467</v>
      </c>
      <c r="B470" s="44" t="str">
        <f aca="false">'Model Inputs &amp; Assumptions'!$B$28</f>
        <v>finanzen.net — Q1 Awareness Burst</v>
      </c>
      <c r="C470" s="45" t="n">
        <f aca="false">ROUND(MAX(0,'Model Inputs &amp; Assumptions'!$S$28*EXP('Model Inputs &amp; Assumptions'!$T$28*P470-'Model Inputs &amp; Assumptions'!$T$28^2/2)),0)</f>
        <v>582130</v>
      </c>
      <c r="D470" s="46" t="n">
        <f aca="false">MIN(1,'Model Inputs &amp; Assumptions'!$U$28*EXP('Model Inputs &amp; Assumptions'!$V$28*Q470-'Model Inputs &amp; Assumptions'!$V$28^2/2))</f>
        <v>0</v>
      </c>
      <c r="E470" s="45" t="n">
        <f aca="false">ROUND(C470*D470,0)</f>
        <v>0</v>
      </c>
      <c r="F470" s="47" t="n">
        <f aca="false">MIN(1,'Model Inputs &amp; Assumptions'!$W$28*EXP('Model Inputs &amp; Assumptions'!$X$28*R470-'Model Inputs &amp; Assumptions'!$X$28^2/2))</f>
        <v>0.00154499857513747</v>
      </c>
      <c r="G470" s="45" t="n">
        <f aca="false">ROUND(C470*F470,0)</f>
        <v>899</v>
      </c>
      <c r="H470" s="48" t="n">
        <f aca="false">MAX(0,(C470*'Model Inputs &amp; Assumptions'!$N$28+E470*'Model Inputs &amp; Assumptions'!$O$28+G470*'Model Inputs &amp; Assumptions'!$P$28)*EXP('Model Inputs &amp; Assumptions'!$Q$28*S470-'Model Inputs &amp; Assumptions'!$Q$28^2/2))</f>
        <v>35.2916904125854</v>
      </c>
      <c r="I470" s="49" t="n">
        <f aca="false">IF('Model Inputs &amp; Assumptions'!$H$28="Fixed",'Model Inputs &amp; Assumptions'!$I$28*'Model Inputs &amp; Assumptions'!$K$28,IF('Model Inputs &amp; Assumptions'!$H$28="CPM",'Model Inputs &amp; Assumptions'!$I$28*'Model Inputs &amp; Assumptions'!$K$28*C470/1000,IF('Model Inputs &amp; Assumptions'!$H$28="CPC",'Model Inputs &amp; Assumptions'!$I$28*'Model Inputs &amp; Assumptions'!$K$28*G470,0)))</f>
        <v>3783.845</v>
      </c>
      <c r="J470" s="50" t="n">
        <f aca="false">H470*INDEX('Model Inputs &amp; Assumptions'!$D$40:$D$42,MATCH('Model Inputs &amp; Assumptions'!$L$28,'Model Inputs &amp; Assumptions'!$A$40:$A$42,0))*INDEX('Model Inputs &amp; Assumptions'!$H$40:$H$42,MATCH('Model Inputs &amp; Assumptions'!$L$28,'Model Inputs &amp; Assumptions'!$A$40:$A$42,0))</f>
        <v>299979.368506976</v>
      </c>
      <c r="K470" s="49" t="n">
        <f aca="false">H470*INDEX('Model Inputs &amp; Assumptions'!$G$40:$G$42,MATCH('Model Inputs &amp; Assumptions'!$L$28,'Model Inputs &amp; Assumptions'!$A$40:$A$42,0))*INDEX('Model Inputs &amp; Assumptions'!$H$40:$H$42,MATCH('Model Inputs &amp; Assumptions'!$L$28,'Model Inputs &amp; Assumptions'!$A$40:$A$42,0))</f>
        <v>6749.53579140696</v>
      </c>
      <c r="L470" s="51" t="n">
        <f aca="false">IFERROR(K470/I470,0)</f>
        <v>1.78377702876491</v>
      </c>
      <c r="M470" s="49" t="n">
        <f aca="false">IFERROR(I470/H470,0)</f>
        <v>107.216315108857</v>
      </c>
      <c r="N470" s="52" t="str">
        <f aca="false">'Model Inputs &amp; Assumptions'!$L$28</f>
        <v>PRD-EUAI</v>
      </c>
      <c r="P470" s="53" t="n">
        <v>1.398154</v>
      </c>
      <c r="Q470" s="53" t="n">
        <v>1.835757</v>
      </c>
      <c r="R470" s="53" t="n">
        <v>0.244354</v>
      </c>
      <c r="S470" s="53" t="n">
        <v>1.046408</v>
      </c>
    </row>
    <row r="471" customFormat="false" ht="15" hidden="false" customHeight="false" outlineLevel="0" collapsed="false">
      <c r="A471" s="43" t="n">
        <v>468</v>
      </c>
      <c r="B471" s="44" t="str">
        <f aca="false">'Model Inputs &amp; Assumptions'!$B$28</f>
        <v>finanzen.net — Q1 Awareness Burst</v>
      </c>
      <c r="C471" s="45" t="n">
        <f aca="false">ROUND(MAX(0,'Model Inputs &amp; Assumptions'!$S$28*EXP('Model Inputs &amp; Assumptions'!$T$28*P471-'Model Inputs &amp; Assumptions'!$T$28^2/2)),0)</f>
        <v>482716</v>
      </c>
      <c r="D471" s="46" t="n">
        <f aca="false">MIN(1,'Model Inputs &amp; Assumptions'!$U$28*EXP('Model Inputs &amp; Assumptions'!$V$28*Q471-'Model Inputs &amp; Assumptions'!$V$28^2/2))</f>
        <v>0</v>
      </c>
      <c r="E471" s="45" t="n">
        <f aca="false">ROUND(C471*D471,0)</f>
        <v>0</v>
      </c>
      <c r="F471" s="47" t="n">
        <f aca="false">MIN(1,'Model Inputs &amp; Assumptions'!$W$28*EXP('Model Inputs &amp; Assumptions'!$X$28*R471-'Model Inputs &amp; Assumptions'!$X$28^2/2))</f>
        <v>0.00116486633683876</v>
      </c>
      <c r="G471" s="45" t="n">
        <f aca="false">ROUND(C471*F471,0)</f>
        <v>562</v>
      </c>
      <c r="H471" s="48" t="n">
        <f aca="false">MAX(0,(C471*'Model Inputs &amp; Assumptions'!$N$28+E471*'Model Inputs &amp; Assumptions'!$O$28+G471*'Model Inputs &amp; Assumptions'!$P$28)*EXP('Model Inputs &amp; Assumptions'!$Q$28*S471-'Model Inputs &amp; Assumptions'!$Q$28^2/2))</f>
        <v>21.7011803390925</v>
      </c>
      <c r="I471" s="49" t="n">
        <f aca="false">IF('Model Inputs &amp; Assumptions'!$H$28="Fixed",'Model Inputs &amp; Assumptions'!$I$28*'Model Inputs &amp; Assumptions'!$K$28,IF('Model Inputs &amp; Assumptions'!$H$28="CPM",'Model Inputs &amp; Assumptions'!$I$28*'Model Inputs &amp; Assumptions'!$K$28*C471/1000,IF('Model Inputs &amp; Assumptions'!$H$28="CPC",'Model Inputs &amp; Assumptions'!$I$28*'Model Inputs &amp; Assumptions'!$K$28*G471,0)))</f>
        <v>3137.654</v>
      </c>
      <c r="J471" s="50" t="n">
        <f aca="false">H471*INDEX('Model Inputs &amp; Assumptions'!$D$40:$D$42,MATCH('Model Inputs &amp; Assumptions'!$L$28,'Model Inputs &amp; Assumptions'!$A$40:$A$42,0))*INDEX('Model Inputs &amp; Assumptions'!$H$40:$H$42,MATCH('Model Inputs &amp; Assumptions'!$L$28,'Model Inputs &amp; Assumptions'!$A$40:$A$42,0))</f>
        <v>184460.032882287</v>
      </c>
      <c r="K471" s="49" t="n">
        <f aca="false">H471*INDEX('Model Inputs &amp; Assumptions'!$G$40:$G$42,MATCH('Model Inputs &amp; Assumptions'!$L$28,'Model Inputs &amp; Assumptions'!$A$40:$A$42,0))*INDEX('Model Inputs &amp; Assumptions'!$H$40:$H$42,MATCH('Model Inputs &amp; Assumptions'!$L$28,'Model Inputs &amp; Assumptions'!$A$40:$A$42,0))</f>
        <v>4150.35073985145</v>
      </c>
      <c r="L471" s="51" t="n">
        <f aca="false">IFERROR(K471/I471,0)</f>
        <v>1.32275602722654</v>
      </c>
      <c r="M471" s="49" t="n">
        <f aca="false">IFERROR(I471/H471,0)</f>
        <v>144.584485773238</v>
      </c>
      <c r="N471" s="52" t="str">
        <f aca="false">'Model Inputs &amp; Assumptions'!$L$28</f>
        <v>PRD-EUAI</v>
      </c>
      <c r="P471" s="53" t="n">
        <v>0.357784</v>
      </c>
      <c r="Q471" s="53" t="n">
        <v>0.813225</v>
      </c>
      <c r="R471" s="53" t="n">
        <v>-1.039358</v>
      </c>
      <c r="S471" s="53" t="n">
        <v>0.991409</v>
      </c>
    </row>
    <row r="472" customFormat="false" ht="15" hidden="false" customHeight="false" outlineLevel="0" collapsed="false">
      <c r="A472" s="43" t="n">
        <v>469</v>
      </c>
      <c r="B472" s="44" t="str">
        <f aca="false">'Model Inputs &amp; Assumptions'!$B$28</f>
        <v>finanzen.net — Q1 Awareness Burst</v>
      </c>
      <c r="C472" s="45" t="n">
        <f aca="false">ROUND(MAX(0,'Model Inputs &amp; Assumptions'!$S$28*EXP('Model Inputs &amp; Assumptions'!$T$28*P472-'Model Inputs &amp; Assumptions'!$T$28^2/2)),0)</f>
        <v>393105</v>
      </c>
      <c r="D472" s="46" t="n">
        <f aca="false">MIN(1,'Model Inputs &amp; Assumptions'!$U$28*EXP('Model Inputs &amp; Assumptions'!$V$28*Q472-'Model Inputs &amp; Assumptions'!$V$28^2/2))</f>
        <v>0</v>
      </c>
      <c r="E472" s="45" t="n">
        <f aca="false">ROUND(C472*D472,0)</f>
        <v>0</v>
      </c>
      <c r="F472" s="47" t="n">
        <f aca="false">MIN(1,'Model Inputs &amp; Assumptions'!$W$28*EXP('Model Inputs &amp; Assumptions'!$X$28*R472-'Model Inputs &amp; Assumptions'!$X$28^2/2))</f>
        <v>0.00136434607526476</v>
      </c>
      <c r="G472" s="45" t="n">
        <f aca="false">ROUND(C472*F472,0)</f>
        <v>536</v>
      </c>
      <c r="H472" s="48" t="n">
        <f aca="false">MAX(0,(C472*'Model Inputs &amp; Assumptions'!$N$28+E472*'Model Inputs &amp; Assumptions'!$O$28+G472*'Model Inputs &amp; Assumptions'!$P$28)*EXP('Model Inputs &amp; Assumptions'!$Q$28*S472-'Model Inputs &amp; Assumptions'!$Q$28^2/2))</f>
        <v>11.4536111407714</v>
      </c>
      <c r="I472" s="49" t="n">
        <f aca="false">IF('Model Inputs &amp; Assumptions'!$H$28="Fixed",'Model Inputs &amp; Assumptions'!$I$28*'Model Inputs &amp; Assumptions'!$K$28,IF('Model Inputs &amp; Assumptions'!$H$28="CPM",'Model Inputs &amp; Assumptions'!$I$28*'Model Inputs &amp; Assumptions'!$K$28*C472/1000,IF('Model Inputs &amp; Assumptions'!$H$28="CPC",'Model Inputs &amp; Assumptions'!$I$28*'Model Inputs &amp; Assumptions'!$K$28*G472,0)))</f>
        <v>2555.1825</v>
      </c>
      <c r="J472" s="50" t="n">
        <f aca="false">H472*INDEX('Model Inputs &amp; Assumptions'!$D$40:$D$42,MATCH('Model Inputs &amp; Assumptions'!$L$28,'Model Inputs &amp; Assumptions'!$A$40:$A$42,0))*INDEX('Model Inputs &amp; Assumptions'!$H$40:$H$42,MATCH('Model Inputs &amp; Assumptions'!$L$28,'Model Inputs &amp; Assumptions'!$A$40:$A$42,0))</f>
        <v>97355.6946965569</v>
      </c>
      <c r="K472" s="49" t="n">
        <f aca="false">H472*INDEX('Model Inputs &amp; Assumptions'!$G$40:$G$42,MATCH('Model Inputs &amp; Assumptions'!$L$28,'Model Inputs &amp; Assumptions'!$A$40:$A$42,0))*INDEX('Model Inputs &amp; Assumptions'!$H$40:$H$42,MATCH('Model Inputs &amp; Assumptions'!$L$28,'Model Inputs &amp; Assumptions'!$A$40:$A$42,0))</f>
        <v>2190.50313067253</v>
      </c>
      <c r="L472" s="51" t="n">
        <f aca="false">IFERROR(K472/I472,0)</f>
        <v>0.857278542989603</v>
      </c>
      <c r="M472" s="49" t="n">
        <f aca="false">IFERROR(I472/H472,0)</f>
        <v>223.08968486841</v>
      </c>
      <c r="N472" s="52" t="str">
        <f aca="false">'Model Inputs &amp; Assumptions'!$L$28</f>
        <v>PRD-EUAI</v>
      </c>
      <c r="P472" s="53" t="n">
        <v>-0.783059</v>
      </c>
      <c r="Q472" s="53" t="n">
        <v>-0.41362</v>
      </c>
      <c r="R472" s="53" t="n">
        <v>-0.320863</v>
      </c>
      <c r="S472" s="53" t="n">
        <v>-0.980904</v>
      </c>
    </row>
    <row r="473" customFormat="false" ht="15" hidden="false" customHeight="false" outlineLevel="0" collapsed="false">
      <c r="A473" s="43" t="n">
        <v>470</v>
      </c>
      <c r="B473" s="44" t="str">
        <f aca="false">'Model Inputs &amp; Assumptions'!$B$28</f>
        <v>finanzen.net — Q1 Awareness Burst</v>
      </c>
      <c r="C473" s="45" t="n">
        <f aca="false">ROUND(MAX(0,'Model Inputs &amp; Assumptions'!$S$28*EXP('Model Inputs &amp; Assumptions'!$T$28*P473-'Model Inputs &amp; Assumptions'!$T$28^2/2)),0)</f>
        <v>519458</v>
      </c>
      <c r="D473" s="46" t="n">
        <f aca="false">MIN(1,'Model Inputs &amp; Assumptions'!$U$28*EXP('Model Inputs &amp; Assumptions'!$V$28*Q473-'Model Inputs &amp; Assumptions'!$V$28^2/2))</f>
        <v>0</v>
      </c>
      <c r="E473" s="45" t="n">
        <f aca="false">ROUND(C473*D473,0)</f>
        <v>0</v>
      </c>
      <c r="F473" s="47" t="n">
        <f aca="false">MIN(1,'Model Inputs &amp; Assumptions'!$W$28*EXP('Model Inputs &amp; Assumptions'!$X$28*R473-'Model Inputs &amp; Assumptions'!$X$28^2/2))</f>
        <v>0.00161118289740579</v>
      </c>
      <c r="G473" s="45" t="n">
        <f aca="false">ROUND(C473*F473,0)</f>
        <v>837</v>
      </c>
      <c r="H473" s="48" t="n">
        <f aca="false">MAX(0,(C473*'Model Inputs &amp; Assumptions'!$N$28+E473*'Model Inputs &amp; Assumptions'!$O$28+G473*'Model Inputs &amp; Assumptions'!$P$28)*EXP('Model Inputs &amp; Assumptions'!$Q$28*S473-'Model Inputs &amp; Assumptions'!$Q$28^2/2))</f>
        <v>21.3816499063609</v>
      </c>
      <c r="I473" s="49" t="n">
        <f aca="false">IF('Model Inputs &amp; Assumptions'!$H$28="Fixed",'Model Inputs &amp; Assumptions'!$I$28*'Model Inputs &amp; Assumptions'!$K$28,IF('Model Inputs &amp; Assumptions'!$H$28="CPM",'Model Inputs &amp; Assumptions'!$I$28*'Model Inputs &amp; Assumptions'!$K$28*C473/1000,IF('Model Inputs &amp; Assumptions'!$H$28="CPC",'Model Inputs &amp; Assumptions'!$I$28*'Model Inputs &amp; Assumptions'!$K$28*G473,0)))</f>
        <v>3376.477</v>
      </c>
      <c r="J473" s="50" t="n">
        <f aca="false">H473*INDEX('Model Inputs &amp; Assumptions'!$D$40:$D$42,MATCH('Model Inputs &amp; Assumptions'!$L$28,'Model Inputs &amp; Assumptions'!$A$40:$A$42,0))*INDEX('Model Inputs &amp; Assumptions'!$H$40:$H$42,MATCH('Model Inputs &amp; Assumptions'!$L$28,'Model Inputs &amp; Assumptions'!$A$40:$A$42,0))</f>
        <v>181744.024204068</v>
      </c>
      <c r="K473" s="49" t="n">
        <f aca="false">H473*INDEX('Model Inputs &amp; Assumptions'!$G$40:$G$42,MATCH('Model Inputs &amp; Assumptions'!$L$28,'Model Inputs &amp; Assumptions'!$A$40:$A$42,0))*INDEX('Model Inputs &amp; Assumptions'!$H$40:$H$42,MATCH('Model Inputs &amp; Assumptions'!$L$28,'Model Inputs &amp; Assumptions'!$A$40:$A$42,0))</f>
        <v>4089.24054459152</v>
      </c>
      <c r="L473" s="51" t="n">
        <f aca="false">IFERROR(K473/I473,0)</f>
        <v>1.21109681617601</v>
      </c>
      <c r="M473" s="49" t="n">
        <f aca="false">IFERROR(I473/H473,0)</f>
        <v>157.914707928855</v>
      </c>
      <c r="N473" s="52" t="str">
        <f aca="false">'Model Inputs &amp; Assumptions'!$L$28</f>
        <v>PRD-EUAI</v>
      </c>
      <c r="P473" s="53" t="n">
        <v>0.765333</v>
      </c>
      <c r="Q473" s="53" t="n">
        <v>-0.290232</v>
      </c>
      <c r="R473" s="53" t="n">
        <v>0.435016</v>
      </c>
      <c r="S473" s="53" t="n">
        <v>-0.385777</v>
      </c>
    </row>
    <row r="474" customFormat="false" ht="15" hidden="false" customHeight="false" outlineLevel="0" collapsed="false">
      <c r="A474" s="43" t="n">
        <v>471</v>
      </c>
      <c r="B474" s="44" t="str">
        <f aca="false">'Model Inputs &amp; Assumptions'!$B$28</f>
        <v>finanzen.net — Q1 Awareness Burst</v>
      </c>
      <c r="C474" s="45" t="n">
        <f aca="false">ROUND(MAX(0,'Model Inputs &amp; Assumptions'!$S$28*EXP('Model Inputs &amp; Assumptions'!$T$28*P474-'Model Inputs &amp; Assumptions'!$T$28^2/2)),0)</f>
        <v>451183</v>
      </c>
      <c r="D474" s="46" t="n">
        <f aca="false">MIN(1,'Model Inputs &amp; Assumptions'!$U$28*EXP('Model Inputs &amp; Assumptions'!$V$28*Q474-'Model Inputs &amp; Assumptions'!$V$28^2/2))</f>
        <v>0</v>
      </c>
      <c r="E474" s="45" t="n">
        <f aca="false">ROUND(C474*D474,0)</f>
        <v>0</v>
      </c>
      <c r="F474" s="47" t="n">
        <f aca="false">MIN(1,'Model Inputs &amp; Assumptions'!$W$28*EXP('Model Inputs &amp; Assumptions'!$X$28*R474-'Model Inputs &amp; Assumptions'!$X$28^2/2))</f>
        <v>0.00184039210250901</v>
      </c>
      <c r="G474" s="45" t="n">
        <f aca="false">ROUND(C474*F474,0)</f>
        <v>830</v>
      </c>
      <c r="H474" s="48" t="n">
        <f aca="false">MAX(0,(C474*'Model Inputs &amp; Assumptions'!$N$28+E474*'Model Inputs &amp; Assumptions'!$O$28+G474*'Model Inputs &amp; Assumptions'!$P$28)*EXP('Model Inputs &amp; Assumptions'!$Q$28*S474-'Model Inputs &amp; Assumptions'!$Q$28^2/2))</f>
        <v>19.7079952462131</v>
      </c>
      <c r="I474" s="49" t="n">
        <f aca="false">IF('Model Inputs &amp; Assumptions'!$H$28="Fixed",'Model Inputs &amp; Assumptions'!$I$28*'Model Inputs &amp; Assumptions'!$K$28,IF('Model Inputs &amp; Assumptions'!$H$28="CPM",'Model Inputs &amp; Assumptions'!$I$28*'Model Inputs &amp; Assumptions'!$K$28*C474/1000,IF('Model Inputs &amp; Assumptions'!$H$28="CPC",'Model Inputs &amp; Assumptions'!$I$28*'Model Inputs &amp; Assumptions'!$K$28*G474,0)))</f>
        <v>2932.6895</v>
      </c>
      <c r="J474" s="50" t="n">
        <f aca="false">H474*INDEX('Model Inputs &amp; Assumptions'!$D$40:$D$42,MATCH('Model Inputs &amp; Assumptions'!$L$28,'Model Inputs &amp; Assumptions'!$A$40:$A$42,0))*INDEX('Model Inputs &amp; Assumptions'!$H$40:$H$42,MATCH('Model Inputs &amp; Assumptions'!$L$28,'Model Inputs &amp; Assumptions'!$A$40:$A$42,0))</f>
        <v>167517.959592811</v>
      </c>
      <c r="K474" s="49" t="n">
        <f aca="false">H474*INDEX('Model Inputs &amp; Assumptions'!$G$40:$G$42,MATCH('Model Inputs &amp; Assumptions'!$L$28,'Model Inputs &amp; Assumptions'!$A$40:$A$42,0))*INDEX('Model Inputs &amp; Assumptions'!$H$40:$H$42,MATCH('Model Inputs &amp; Assumptions'!$L$28,'Model Inputs &amp; Assumptions'!$A$40:$A$42,0))</f>
        <v>3769.15409083826</v>
      </c>
      <c r="L474" s="51" t="n">
        <f aca="false">IFERROR(K474/I474,0)</f>
        <v>1.2852209860056</v>
      </c>
      <c r="M474" s="49" t="n">
        <f aca="false">IFERROR(I474/H474,0)</f>
        <v>148.807093941405</v>
      </c>
      <c r="N474" s="52" t="str">
        <f aca="false">'Model Inputs &amp; Assumptions'!$L$28</f>
        <v>PRD-EUAI</v>
      </c>
      <c r="P474" s="53" t="n">
        <v>-0.017518</v>
      </c>
      <c r="Q474" s="53" t="n">
        <v>0.782082</v>
      </c>
      <c r="R474" s="53" t="n">
        <v>1.039607</v>
      </c>
      <c r="S474" s="53" t="n">
        <v>-0.629478</v>
      </c>
    </row>
    <row r="475" customFormat="false" ht="15" hidden="false" customHeight="false" outlineLevel="0" collapsed="false">
      <c r="A475" s="43" t="n">
        <v>472</v>
      </c>
      <c r="B475" s="44" t="str">
        <f aca="false">'Model Inputs &amp; Assumptions'!$B$28</f>
        <v>finanzen.net — Q1 Awareness Burst</v>
      </c>
      <c r="C475" s="45" t="n">
        <f aca="false">ROUND(MAX(0,'Model Inputs &amp; Assumptions'!$S$28*EXP('Model Inputs &amp; Assumptions'!$T$28*P475-'Model Inputs &amp; Assumptions'!$T$28^2/2)),0)</f>
        <v>451657</v>
      </c>
      <c r="D475" s="46" t="n">
        <f aca="false">MIN(1,'Model Inputs &amp; Assumptions'!$U$28*EXP('Model Inputs &amp; Assumptions'!$V$28*Q475-'Model Inputs &amp; Assumptions'!$V$28^2/2))</f>
        <v>0</v>
      </c>
      <c r="E475" s="45" t="n">
        <f aca="false">ROUND(C475*D475,0)</f>
        <v>0</v>
      </c>
      <c r="F475" s="47" t="n">
        <f aca="false">MIN(1,'Model Inputs &amp; Assumptions'!$W$28*EXP('Model Inputs &amp; Assumptions'!$X$28*R475-'Model Inputs &amp; Assumptions'!$X$28^2/2))</f>
        <v>0.00119028994428865</v>
      </c>
      <c r="G475" s="45" t="n">
        <f aca="false">ROUND(C475*F475,0)</f>
        <v>538</v>
      </c>
      <c r="H475" s="48" t="n">
        <f aca="false">MAX(0,(C475*'Model Inputs &amp; Assumptions'!$N$28+E475*'Model Inputs &amp; Assumptions'!$O$28+G475*'Model Inputs &amp; Assumptions'!$P$28)*EXP('Model Inputs &amp; Assumptions'!$Q$28*S475-'Model Inputs &amp; Assumptions'!$Q$28^2/2))</f>
        <v>10.8131811071388</v>
      </c>
      <c r="I475" s="49" t="n">
        <f aca="false">IF('Model Inputs &amp; Assumptions'!$H$28="Fixed",'Model Inputs &amp; Assumptions'!$I$28*'Model Inputs &amp; Assumptions'!$K$28,IF('Model Inputs &amp; Assumptions'!$H$28="CPM",'Model Inputs &amp; Assumptions'!$I$28*'Model Inputs &amp; Assumptions'!$K$28*C475/1000,IF('Model Inputs &amp; Assumptions'!$H$28="CPC",'Model Inputs &amp; Assumptions'!$I$28*'Model Inputs &amp; Assumptions'!$K$28*G475,0)))</f>
        <v>2935.7705</v>
      </c>
      <c r="J475" s="50" t="n">
        <f aca="false">H475*INDEX('Model Inputs &amp; Assumptions'!$D$40:$D$42,MATCH('Model Inputs &amp; Assumptions'!$L$28,'Model Inputs &amp; Assumptions'!$A$40:$A$42,0))*INDEX('Model Inputs &amp; Assumptions'!$H$40:$H$42,MATCH('Model Inputs &amp; Assumptions'!$L$28,'Model Inputs &amp; Assumptions'!$A$40:$A$42,0))</f>
        <v>91912.0394106801</v>
      </c>
      <c r="K475" s="49" t="n">
        <f aca="false">H475*INDEX('Model Inputs &amp; Assumptions'!$G$40:$G$42,MATCH('Model Inputs &amp; Assumptions'!$L$28,'Model Inputs &amp; Assumptions'!$A$40:$A$42,0))*INDEX('Model Inputs &amp; Assumptions'!$H$40:$H$42,MATCH('Model Inputs &amp; Assumptions'!$L$28,'Model Inputs &amp; Assumptions'!$A$40:$A$42,0))</f>
        <v>2068.0208867403</v>
      </c>
      <c r="L475" s="51" t="n">
        <f aca="false">IFERROR(K475/I475,0)</f>
        <v>0.70442184998463</v>
      </c>
      <c r="M475" s="49" t="n">
        <f aca="false">IFERROR(I475/H475,0)</f>
        <v>271.499244386262</v>
      </c>
      <c r="N475" s="52" t="str">
        <f aca="false">'Model Inputs &amp; Assumptions'!$L$28</f>
        <v>PRD-EUAI</v>
      </c>
      <c r="P475" s="53" t="n">
        <v>-0.011688</v>
      </c>
      <c r="Q475" s="53" t="n">
        <v>-0.865978</v>
      </c>
      <c r="R475" s="53" t="n">
        <v>-0.941219</v>
      </c>
      <c r="S475" s="53" t="n">
        <v>-1.185116</v>
      </c>
    </row>
    <row r="476" customFormat="false" ht="15" hidden="false" customHeight="false" outlineLevel="0" collapsed="false">
      <c r="A476" s="43" t="n">
        <v>473</v>
      </c>
      <c r="B476" s="44" t="str">
        <f aca="false">'Model Inputs &amp; Assumptions'!$B$28</f>
        <v>finanzen.net — Q1 Awareness Burst</v>
      </c>
      <c r="C476" s="45" t="n">
        <f aca="false">ROUND(MAX(0,'Model Inputs &amp; Assumptions'!$S$28*EXP('Model Inputs &amp; Assumptions'!$T$28*P476-'Model Inputs &amp; Assumptions'!$T$28^2/2)),0)</f>
        <v>393579</v>
      </c>
      <c r="D476" s="46" t="n">
        <f aca="false">MIN(1,'Model Inputs &amp; Assumptions'!$U$28*EXP('Model Inputs &amp; Assumptions'!$V$28*Q476-'Model Inputs &amp; Assumptions'!$V$28^2/2))</f>
        <v>0</v>
      </c>
      <c r="E476" s="45" t="n">
        <f aca="false">ROUND(C476*D476,0)</f>
        <v>0</v>
      </c>
      <c r="F476" s="47" t="n">
        <f aca="false">MIN(1,'Model Inputs &amp; Assumptions'!$W$28*EXP('Model Inputs &amp; Assumptions'!$X$28*R476-'Model Inputs &amp; Assumptions'!$X$28^2/2))</f>
        <v>0.00229457028908113</v>
      </c>
      <c r="G476" s="45" t="n">
        <f aca="false">ROUND(C476*F476,0)</f>
        <v>903</v>
      </c>
      <c r="H476" s="48" t="n">
        <f aca="false">MAX(0,(C476*'Model Inputs &amp; Assumptions'!$N$28+E476*'Model Inputs &amp; Assumptions'!$O$28+G476*'Model Inputs &amp; Assumptions'!$P$28)*EXP('Model Inputs &amp; Assumptions'!$Q$28*S476-'Model Inputs &amp; Assumptions'!$Q$28^2/2))</f>
        <v>20.2488510991184</v>
      </c>
      <c r="I476" s="49" t="n">
        <f aca="false">IF('Model Inputs &amp; Assumptions'!$H$28="Fixed",'Model Inputs &amp; Assumptions'!$I$28*'Model Inputs &amp; Assumptions'!$K$28,IF('Model Inputs &amp; Assumptions'!$H$28="CPM",'Model Inputs &amp; Assumptions'!$I$28*'Model Inputs &amp; Assumptions'!$K$28*C476/1000,IF('Model Inputs &amp; Assumptions'!$H$28="CPC",'Model Inputs &amp; Assumptions'!$I$28*'Model Inputs &amp; Assumptions'!$K$28*G476,0)))</f>
        <v>2558.2635</v>
      </c>
      <c r="J476" s="50" t="n">
        <f aca="false">H476*INDEX('Model Inputs &amp; Assumptions'!$D$40:$D$42,MATCH('Model Inputs &amp; Assumptions'!$L$28,'Model Inputs &amp; Assumptions'!$A$40:$A$42,0))*INDEX('Model Inputs &amp; Assumptions'!$H$40:$H$42,MATCH('Model Inputs &amp; Assumptions'!$L$28,'Model Inputs &amp; Assumptions'!$A$40:$A$42,0))</f>
        <v>172115.234342506</v>
      </c>
      <c r="K476" s="49" t="n">
        <f aca="false">H476*INDEX('Model Inputs &amp; Assumptions'!$G$40:$G$42,MATCH('Model Inputs &amp; Assumptions'!$L$28,'Model Inputs &amp; Assumptions'!$A$40:$A$42,0))*INDEX('Model Inputs &amp; Assumptions'!$H$40:$H$42,MATCH('Model Inputs &amp; Assumptions'!$L$28,'Model Inputs &amp; Assumptions'!$A$40:$A$42,0))</f>
        <v>3872.59277270639</v>
      </c>
      <c r="L476" s="51" t="n">
        <f aca="false">IFERROR(K476/I476,0)</f>
        <v>1.51375836488555</v>
      </c>
      <c r="M476" s="49" t="n">
        <f aca="false">IFERROR(I476/H476,0)</f>
        <v>126.341168073056</v>
      </c>
      <c r="N476" s="52" t="str">
        <f aca="false">'Model Inputs &amp; Assumptions'!$L$28</f>
        <v>PRD-EUAI</v>
      </c>
      <c r="P476" s="53" t="n">
        <v>-0.776353</v>
      </c>
      <c r="Q476" s="53" t="n">
        <v>0.979934</v>
      </c>
      <c r="R476" s="53" t="n">
        <v>2.042184</v>
      </c>
      <c r="S476" s="53" t="n">
        <v>-0.820222</v>
      </c>
    </row>
    <row r="477" customFormat="false" ht="15" hidden="false" customHeight="false" outlineLevel="0" collapsed="false">
      <c r="A477" s="43" t="n">
        <v>474</v>
      </c>
      <c r="B477" s="44" t="str">
        <f aca="false">'Model Inputs &amp; Assumptions'!$B$28</f>
        <v>finanzen.net — Q1 Awareness Burst</v>
      </c>
      <c r="C477" s="45" t="n">
        <f aca="false">ROUND(MAX(0,'Model Inputs &amp; Assumptions'!$S$28*EXP('Model Inputs &amp; Assumptions'!$T$28*P477-'Model Inputs &amp; Assumptions'!$T$28^2/2)),0)</f>
        <v>515096</v>
      </c>
      <c r="D477" s="46" t="n">
        <f aca="false">MIN(1,'Model Inputs &amp; Assumptions'!$U$28*EXP('Model Inputs &amp; Assumptions'!$V$28*Q477-'Model Inputs &amp; Assumptions'!$V$28^2/2))</f>
        <v>0</v>
      </c>
      <c r="E477" s="45" t="n">
        <f aca="false">ROUND(C477*D477,0)</f>
        <v>0</v>
      </c>
      <c r="F477" s="47" t="n">
        <f aca="false">MIN(1,'Model Inputs &amp; Assumptions'!$W$28*EXP('Model Inputs &amp; Assumptions'!$X$28*R477-'Model Inputs &amp; Assumptions'!$X$28^2/2))</f>
        <v>0.0014577708415833</v>
      </c>
      <c r="G477" s="45" t="n">
        <f aca="false">ROUND(C477*F477,0)</f>
        <v>751</v>
      </c>
      <c r="H477" s="48" t="n">
        <f aca="false">MAX(0,(C477*'Model Inputs &amp; Assumptions'!$N$28+E477*'Model Inputs &amp; Assumptions'!$O$28+G477*'Model Inputs &amp; Assumptions'!$P$28)*EXP('Model Inputs &amp; Assumptions'!$Q$28*S477-'Model Inputs &amp; Assumptions'!$Q$28^2/2))</f>
        <v>30.262939783292</v>
      </c>
      <c r="I477" s="49" t="n">
        <f aca="false">IF('Model Inputs &amp; Assumptions'!$H$28="Fixed",'Model Inputs &amp; Assumptions'!$I$28*'Model Inputs &amp; Assumptions'!$K$28,IF('Model Inputs &amp; Assumptions'!$H$28="CPM",'Model Inputs &amp; Assumptions'!$I$28*'Model Inputs &amp; Assumptions'!$K$28*C477/1000,IF('Model Inputs &amp; Assumptions'!$H$28="CPC",'Model Inputs &amp; Assumptions'!$I$28*'Model Inputs &amp; Assumptions'!$K$28*G477,0)))</f>
        <v>3348.124</v>
      </c>
      <c r="J477" s="50" t="n">
        <f aca="false">H477*INDEX('Model Inputs &amp; Assumptions'!$D$40:$D$42,MATCH('Model Inputs &amp; Assumptions'!$L$28,'Model Inputs &amp; Assumptions'!$A$40:$A$42,0))*INDEX('Model Inputs &amp; Assumptions'!$H$40:$H$42,MATCH('Model Inputs &amp; Assumptions'!$L$28,'Model Inputs &amp; Assumptions'!$A$40:$A$42,0))</f>
        <v>257234.988157982</v>
      </c>
      <c r="K477" s="49" t="n">
        <f aca="false">H477*INDEX('Model Inputs &amp; Assumptions'!$G$40:$G$42,MATCH('Model Inputs &amp; Assumptions'!$L$28,'Model Inputs &amp; Assumptions'!$A$40:$A$42,0))*INDEX('Model Inputs &amp; Assumptions'!$H$40:$H$42,MATCH('Model Inputs &amp; Assumptions'!$L$28,'Model Inputs &amp; Assumptions'!$A$40:$A$42,0))</f>
        <v>5787.7872335546</v>
      </c>
      <c r="L477" s="51" t="n">
        <f aca="false">IFERROR(K477/I477,0)</f>
        <v>1.72866573446939</v>
      </c>
      <c r="M477" s="49" t="n">
        <f aca="false">IFERROR(I477/H477,0)</f>
        <v>110.634459969037</v>
      </c>
      <c r="N477" s="52" t="str">
        <f aca="false">'Model Inputs &amp; Assumptions'!$L$28</f>
        <v>PRD-EUAI</v>
      </c>
      <c r="P477" s="53" t="n">
        <v>0.718479</v>
      </c>
      <c r="Q477" s="53" t="n">
        <v>-0.296982</v>
      </c>
      <c r="R477" s="53" t="n">
        <v>-0.019803</v>
      </c>
      <c r="S477" s="53" t="n">
        <v>1.133587</v>
      </c>
    </row>
    <row r="478" customFormat="false" ht="15" hidden="false" customHeight="false" outlineLevel="0" collapsed="false">
      <c r="A478" s="43" t="n">
        <v>475</v>
      </c>
      <c r="B478" s="44" t="str">
        <f aca="false">'Model Inputs &amp; Assumptions'!$B$28</f>
        <v>finanzen.net — Q1 Awareness Burst</v>
      </c>
      <c r="C478" s="45" t="n">
        <f aca="false">ROUND(MAX(0,'Model Inputs &amp; Assumptions'!$S$28*EXP('Model Inputs &amp; Assumptions'!$T$28*P478-'Model Inputs &amp; Assumptions'!$T$28^2/2)),0)</f>
        <v>424539</v>
      </c>
      <c r="D478" s="46" t="n">
        <f aca="false">MIN(1,'Model Inputs &amp; Assumptions'!$U$28*EXP('Model Inputs &amp; Assumptions'!$V$28*Q478-'Model Inputs &amp; Assumptions'!$V$28^2/2))</f>
        <v>0</v>
      </c>
      <c r="E478" s="45" t="n">
        <f aca="false">ROUND(C478*D478,0)</f>
        <v>0</v>
      </c>
      <c r="F478" s="47" t="n">
        <f aca="false">MIN(1,'Model Inputs &amp; Assumptions'!$W$28*EXP('Model Inputs &amp; Assumptions'!$X$28*R478-'Model Inputs &amp; Assumptions'!$X$28^2/2))</f>
        <v>0.00195107157661043</v>
      </c>
      <c r="G478" s="45" t="n">
        <f aca="false">ROUND(C478*F478,0)</f>
        <v>828</v>
      </c>
      <c r="H478" s="48" t="n">
        <f aca="false">MAX(0,(C478*'Model Inputs &amp; Assumptions'!$N$28+E478*'Model Inputs &amp; Assumptions'!$O$28+G478*'Model Inputs &amp; Assumptions'!$P$28)*EXP('Model Inputs &amp; Assumptions'!$Q$28*S478-'Model Inputs &amp; Assumptions'!$Q$28^2/2))</f>
        <v>31.068748950014</v>
      </c>
      <c r="I478" s="49" t="n">
        <f aca="false">IF('Model Inputs &amp; Assumptions'!$H$28="Fixed",'Model Inputs &amp; Assumptions'!$I$28*'Model Inputs &amp; Assumptions'!$K$28,IF('Model Inputs &amp; Assumptions'!$H$28="CPM",'Model Inputs &amp; Assumptions'!$I$28*'Model Inputs &amp; Assumptions'!$K$28*C478/1000,IF('Model Inputs &amp; Assumptions'!$H$28="CPC",'Model Inputs &amp; Assumptions'!$I$28*'Model Inputs &amp; Assumptions'!$K$28*G478,0)))</f>
        <v>2759.5035</v>
      </c>
      <c r="J478" s="50" t="n">
        <f aca="false">H478*INDEX('Model Inputs &amp; Assumptions'!$D$40:$D$42,MATCH('Model Inputs &amp; Assumptions'!$L$28,'Model Inputs &amp; Assumptions'!$A$40:$A$42,0))*INDEX('Model Inputs &amp; Assumptions'!$H$40:$H$42,MATCH('Model Inputs &amp; Assumptions'!$L$28,'Model Inputs &amp; Assumptions'!$A$40:$A$42,0))</f>
        <v>264084.366075119</v>
      </c>
      <c r="K478" s="49" t="n">
        <f aca="false">H478*INDEX('Model Inputs &amp; Assumptions'!$G$40:$G$42,MATCH('Model Inputs &amp; Assumptions'!$L$28,'Model Inputs &amp; Assumptions'!$A$40:$A$42,0))*INDEX('Model Inputs &amp; Assumptions'!$H$40:$H$42,MATCH('Model Inputs &amp; Assumptions'!$L$28,'Model Inputs &amp; Assumptions'!$A$40:$A$42,0))</f>
        <v>5941.89823669017</v>
      </c>
      <c r="L478" s="51" t="n">
        <f aca="false">IFERROR(K478/I478,0)</f>
        <v>2.15324903073693</v>
      </c>
      <c r="M478" s="49" t="n">
        <f aca="false">IFERROR(I478/H478,0)</f>
        <v>88.8192667313294</v>
      </c>
      <c r="N478" s="52" t="str">
        <f aca="false">'Model Inputs &amp; Assumptions'!$L$28</f>
        <v>PRD-EUAI</v>
      </c>
      <c r="P478" s="53" t="n">
        <v>-0.355677</v>
      </c>
      <c r="Q478" s="53" t="n">
        <v>-1.141847</v>
      </c>
      <c r="R478" s="53" t="n">
        <v>1.305062</v>
      </c>
      <c r="S478" s="53" t="n">
        <v>0.895824</v>
      </c>
    </row>
    <row r="479" customFormat="false" ht="15" hidden="false" customHeight="false" outlineLevel="0" collapsed="false">
      <c r="A479" s="43" t="n">
        <v>476</v>
      </c>
      <c r="B479" s="44" t="str">
        <f aca="false">'Model Inputs &amp; Assumptions'!$B$28</f>
        <v>finanzen.net — Q1 Awareness Burst</v>
      </c>
      <c r="C479" s="45" t="n">
        <f aca="false">ROUND(MAX(0,'Model Inputs &amp; Assumptions'!$S$28*EXP('Model Inputs &amp; Assumptions'!$T$28*P479-'Model Inputs &amp; Assumptions'!$T$28^2/2)),0)</f>
        <v>512824</v>
      </c>
      <c r="D479" s="46" t="n">
        <f aca="false">MIN(1,'Model Inputs &amp; Assumptions'!$U$28*EXP('Model Inputs &amp; Assumptions'!$V$28*Q479-'Model Inputs &amp; Assumptions'!$V$28^2/2))</f>
        <v>0</v>
      </c>
      <c r="E479" s="45" t="n">
        <f aca="false">ROUND(C479*D479,0)</f>
        <v>0</v>
      </c>
      <c r="F479" s="47" t="n">
        <f aca="false">MIN(1,'Model Inputs &amp; Assumptions'!$W$28*EXP('Model Inputs &amp; Assumptions'!$X$28*R479-'Model Inputs &amp; Assumptions'!$X$28^2/2))</f>
        <v>0.00165710424459178</v>
      </c>
      <c r="G479" s="45" t="n">
        <f aca="false">ROUND(C479*F479,0)</f>
        <v>850</v>
      </c>
      <c r="H479" s="48" t="n">
        <f aca="false">MAX(0,(C479*'Model Inputs &amp; Assumptions'!$N$28+E479*'Model Inputs &amp; Assumptions'!$O$28+G479*'Model Inputs &amp; Assumptions'!$P$28)*EXP('Model Inputs &amp; Assumptions'!$Q$28*S479-'Model Inputs &amp; Assumptions'!$Q$28^2/2))</f>
        <v>23.807464171604</v>
      </c>
      <c r="I479" s="49" t="n">
        <f aca="false">IF('Model Inputs &amp; Assumptions'!$H$28="Fixed",'Model Inputs &amp; Assumptions'!$I$28*'Model Inputs &amp; Assumptions'!$K$28,IF('Model Inputs &amp; Assumptions'!$H$28="CPM",'Model Inputs &amp; Assumptions'!$I$28*'Model Inputs &amp; Assumptions'!$K$28*C479/1000,IF('Model Inputs &amp; Assumptions'!$H$28="CPC",'Model Inputs &amp; Assumptions'!$I$28*'Model Inputs &amp; Assumptions'!$K$28*G479,0)))</f>
        <v>3333.356</v>
      </c>
      <c r="J479" s="50" t="n">
        <f aca="false">H479*INDEX('Model Inputs &amp; Assumptions'!$D$40:$D$42,MATCH('Model Inputs &amp; Assumptions'!$L$28,'Model Inputs &amp; Assumptions'!$A$40:$A$42,0))*INDEX('Model Inputs &amp; Assumptions'!$H$40:$H$42,MATCH('Model Inputs &amp; Assumptions'!$L$28,'Model Inputs &amp; Assumptions'!$A$40:$A$42,0))</f>
        <v>202363.445458634</v>
      </c>
      <c r="K479" s="49" t="n">
        <f aca="false">H479*INDEX('Model Inputs &amp; Assumptions'!$G$40:$G$42,MATCH('Model Inputs &amp; Assumptions'!$L$28,'Model Inputs &amp; Assumptions'!$A$40:$A$42,0))*INDEX('Model Inputs &amp; Assumptions'!$H$40:$H$42,MATCH('Model Inputs &amp; Assumptions'!$L$28,'Model Inputs &amp; Assumptions'!$A$40:$A$42,0))</f>
        <v>4553.17752281926</v>
      </c>
      <c r="L479" s="51" t="n">
        <f aca="false">IFERROR(K479/I479,0)</f>
        <v>1.36594396842679</v>
      </c>
      <c r="M479" s="49" t="n">
        <f aca="false">IFERROR(I479/H479,0)</f>
        <v>140.01306380105</v>
      </c>
      <c r="N479" s="52" t="str">
        <f aca="false">'Model Inputs &amp; Assumptions'!$L$28</f>
        <v>PRD-EUAI</v>
      </c>
      <c r="P479" s="53" t="n">
        <v>0.693927</v>
      </c>
      <c r="Q479" s="53" t="n">
        <v>-0.785013</v>
      </c>
      <c r="R479" s="53" t="n">
        <v>0.562757</v>
      </c>
      <c r="S479" s="53" t="n">
        <v>-0.078931</v>
      </c>
    </row>
    <row r="480" customFormat="false" ht="15" hidden="false" customHeight="false" outlineLevel="0" collapsed="false">
      <c r="A480" s="43" t="n">
        <v>477</v>
      </c>
      <c r="B480" s="44" t="str">
        <f aca="false">'Model Inputs &amp; Assumptions'!$B$28</f>
        <v>finanzen.net — Q1 Awareness Burst</v>
      </c>
      <c r="C480" s="45" t="n">
        <f aca="false">ROUND(MAX(0,'Model Inputs &amp; Assumptions'!$S$28*EXP('Model Inputs &amp; Assumptions'!$T$28*P480-'Model Inputs &amp; Assumptions'!$T$28^2/2)),0)</f>
        <v>483217</v>
      </c>
      <c r="D480" s="46" t="n">
        <f aca="false">MIN(1,'Model Inputs &amp; Assumptions'!$U$28*EXP('Model Inputs &amp; Assumptions'!$V$28*Q480-'Model Inputs &amp; Assumptions'!$V$28^2/2))</f>
        <v>0</v>
      </c>
      <c r="E480" s="45" t="n">
        <f aca="false">ROUND(C480*D480,0)</f>
        <v>0</v>
      </c>
      <c r="F480" s="47" t="n">
        <f aca="false">MIN(1,'Model Inputs &amp; Assumptions'!$W$28*EXP('Model Inputs &amp; Assumptions'!$X$28*R480-'Model Inputs &amp; Assumptions'!$X$28^2/2))</f>
        <v>0.00119678822339046</v>
      </c>
      <c r="G480" s="45" t="n">
        <f aca="false">ROUND(C480*F480,0)</f>
        <v>578</v>
      </c>
      <c r="H480" s="48" t="n">
        <f aca="false">MAX(0,(C480*'Model Inputs &amp; Assumptions'!$N$28+E480*'Model Inputs &amp; Assumptions'!$O$28+G480*'Model Inputs &amp; Assumptions'!$P$28)*EXP('Model Inputs &amp; Assumptions'!$Q$28*S480-'Model Inputs &amp; Assumptions'!$Q$28^2/2))</f>
        <v>32.6989959112046</v>
      </c>
      <c r="I480" s="49" t="n">
        <f aca="false">IF('Model Inputs &amp; Assumptions'!$H$28="Fixed",'Model Inputs &amp; Assumptions'!$I$28*'Model Inputs &amp; Assumptions'!$K$28,IF('Model Inputs &amp; Assumptions'!$H$28="CPM",'Model Inputs &amp; Assumptions'!$I$28*'Model Inputs &amp; Assumptions'!$K$28*C480/1000,IF('Model Inputs &amp; Assumptions'!$H$28="CPC",'Model Inputs &amp; Assumptions'!$I$28*'Model Inputs &amp; Assumptions'!$K$28*G480,0)))</f>
        <v>3140.9105</v>
      </c>
      <c r="J480" s="50" t="n">
        <f aca="false">H480*INDEX('Model Inputs &amp; Assumptions'!$D$40:$D$42,MATCH('Model Inputs &amp; Assumptions'!$L$28,'Model Inputs &amp; Assumptions'!$A$40:$A$42,0))*INDEX('Model Inputs &amp; Assumptions'!$H$40:$H$42,MATCH('Model Inputs &amp; Assumptions'!$L$28,'Model Inputs &amp; Assumptions'!$A$40:$A$42,0))</f>
        <v>277941.465245239</v>
      </c>
      <c r="K480" s="49" t="n">
        <f aca="false">H480*INDEX('Model Inputs &amp; Assumptions'!$G$40:$G$42,MATCH('Model Inputs &amp; Assumptions'!$L$28,'Model Inputs &amp; Assumptions'!$A$40:$A$42,0))*INDEX('Model Inputs &amp; Assumptions'!$H$40:$H$42,MATCH('Model Inputs &amp; Assumptions'!$L$28,'Model Inputs &amp; Assumptions'!$A$40:$A$42,0))</f>
        <v>6253.68296801788</v>
      </c>
      <c r="L480" s="51" t="n">
        <f aca="false">IFERROR(K480/I480,0)</f>
        <v>1.9910414410146</v>
      </c>
      <c r="M480" s="49" t="n">
        <f aca="false">IFERROR(I480/H480,0)</f>
        <v>96.0552583488883</v>
      </c>
      <c r="N480" s="52" t="str">
        <f aca="false">'Model Inputs &amp; Assumptions'!$L$28</f>
        <v>PRD-EUAI</v>
      </c>
      <c r="P480" s="53" t="n">
        <v>0.363551</v>
      </c>
      <c r="Q480" s="53" t="n">
        <v>1.049974</v>
      </c>
      <c r="R480" s="53" t="n">
        <v>-0.916471</v>
      </c>
      <c r="S480" s="53" t="n">
        <v>2.264428</v>
      </c>
    </row>
    <row r="481" customFormat="false" ht="15" hidden="false" customHeight="false" outlineLevel="0" collapsed="false">
      <c r="A481" s="43" t="n">
        <v>478</v>
      </c>
      <c r="B481" s="44" t="str">
        <f aca="false">'Model Inputs &amp; Assumptions'!$B$28</f>
        <v>finanzen.net — Q1 Awareness Burst</v>
      </c>
      <c r="C481" s="45" t="n">
        <f aca="false">ROUND(MAX(0,'Model Inputs &amp; Assumptions'!$S$28*EXP('Model Inputs &amp; Assumptions'!$T$28*P481-'Model Inputs &amp; Assumptions'!$T$28^2/2)),0)</f>
        <v>475784</v>
      </c>
      <c r="D481" s="46" t="n">
        <f aca="false">MIN(1,'Model Inputs &amp; Assumptions'!$U$28*EXP('Model Inputs &amp; Assumptions'!$V$28*Q481-'Model Inputs &amp; Assumptions'!$V$28^2/2))</f>
        <v>0</v>
      </c>
      <c r="E481" s="45" t="n">
        <f aca="false">ROUND(C481*D481,0)</f>
        <v>0</v>
      </c>
      <c r="F481" s="47" t="n">
        <f aca="false">MIN(1,'Model Inputs &amp; Assumptions'!$W$28*EXP('Model Inputs &amp; Assumptions'!$X$28*R481-'Model Inputs &amp; Assumptions'!$X$28^2/2))</f>
        <v>0.00122241521735876</v>
      </c>
      <c r="G481" s="45" t="n">
        <f aca="false">ROUND(C481*F481,0)</f>
        <v>582</v>
      </c>
      <c r="H481" s="48" t="n">
        <f aca="false">MAX(0,(C481*'Model Inputs &amp; Assumptions'!$N$28+E481*'Model Inputs &amp; Assumptions'!$O$28+G481*'Model Inputs &amp; Assumptions'!$P$28)*EXP('Model Inputs &amp; Assumptions'!$Q$28*S481-'Model Inputs &amp; Assumptions'!$Q$28^2/2))</f>
        <v>18.4624003499214</v>
      </c>
      <c r="I481" s="49" t="n">
        <f aca="false">IF('Model Inputs &amp; Assumptions'!$H$28="Fixed",'Model Inputs &amp; Assumptions'!$I$28*'Model Inputs &amp; Assumptions'!$K$28,IF('Model Inputs &amp; Assumptions'!$H$28="CPM",'Model Inputs &amp; Assumptions'!$I$28*'Model Inputs &amp; Assumptions'!$K$28*C481/1000,IF('Model Inputs &amp; Assumptions'!$H$28="CPC",'Model Inputs &amp; Assumptions'!$I$28*'Model Inputs &amp; Assumptions'!$K$28*G481,0)))</f>
        <v>3092.596</v>
      </c>
      <c r="J481" s="50" t="n">
        <f aca="false">H481*INDEX('Model Inputs &amp; Assumptions'!$D$40:$D$42,MATCH('Model Inputs &amp; Assumptions'!$L$28,'Model Inputs &amp; Assumptions'!$A$40:$A$42,0))*INDEX('Model Inputs &amp; Assumptions'!$H$40:$H$42,MATCH('Model Inputs &amp; Assumptions'!$L$28,'Model Inputs &amp; Assumptions'!$A$40:$A$42,0))</f>
        <v>156930.402974332</v>
      </c>
      <c r="K481" s="49" t="n">
        <f aca="false">H481*INDEX('Model Inputs &amp; Assumptions'!$G$40:$G$42,MATCH('Model Inputs &amp; Assumptions'!$L$28,'Model Inputs &amp; Assumptions'!$A$40:$A$42,0))*INDEX('Model Inputs &amp; Assumptions'!$H$40:$H$42,MATCH('Model Inputs &amp; Assumptions'!$L$28,'Model Inputs &amp; Assumptions'!$A$40:$A$42,0))</f>
        <v>3530.93406692246</v>
      </c>
      <c r="L481" s="51" t="n">
        <f aca="false">IFERROR(K481/I481,0)</f>
        <v>1.14173790140143</v>
      </c>
      <c r="M481" s="49" t="n">
        <f aca="false">IFERROR(I481/H481,0)</f>
        <v>167.50779646121</v>
      </c>
      <c r="N481" s="52" t="str">
        <f aca="false">'Model Inputs &amp; Assumptions'!$L$28</f>
        <v>PRD-EUAI</v>
      </c>
      <c r="P481" s="53" t="n">
        <v>0.277432</v>
      </c>
      <c r="Q481" s="53" t="n">
        <v>0.149659</v>
      </c>
      <c r="R481" s="53" t="n">
        <v>-0.820166</v>
      </c>
      <c r="S481" s="53" t="n">
        <v>0.336079</v>
      </c>
    </row>
    <row r="482" customFormat="false" ht="15" hidden="false" customHeight="false" outlineLevel="0" collapsed="false">
      <c r="A482" s="43" t="n">
        <v>479</v>
      </c>
      <c r="B482" s="44" t="str">
        <f aca="false">'Model Inputs &amp; Assumptions'!$B$28</f>
        <v>finanzen.net — Q1 Awareness Burst</v>
      </c>
      <c r="C482" s="45" t="n">
        <f aca="false">ROUND(MAX(0,'Model Inputs &amp; Assumptions'!$S$28*EXP('Model Inputs &amp; Assumptions'!$T$28*P482-'Model Inputs &amp; Assumptions'!$T$28^2/2)),0)</f>
        <v>573550</v>
      </c>
      <c r="D482" s="46" t="n">
        <f aca="false">MIN(1,'Model Inputs &amp; Assumptions'!$U$28*EXP('Model Inputs &amp; Assumptions'!$V$28*Q482-'Model Inputs &amp; Assumptions'!$V$28^2/2))</f>
        <v>0</v>
      </c>
      <c r="E482" s="45" t="n">
        <f aca="false">ROUND(C482*D482,0)</f>
        <v>0</v>
      </c>
      <c r="F482" s="47" t="n">
        <f aca="false">MIN(1,'Model Inputs &amp; Assumptions'!$W$28*EXP('Model Inputs &amp; Assumptions'!$X$28*R482-'Model Inputs &amp; Assumptions'!$X$28^2/2))</f>
        <v>0.00153886945717078</v>
      </c>
      <c r="G482" s="45" t="n">
        <f aca="false">ROUND(C482*F482,0)</f>
        <v>883</v>
      </c>
      <c r="H482" s="48" t="n">
        <f aca="false">MAX(0,(C482*'Model Inputs &amp; Assumptions'!$N$28+E482*'Model Inputs &amp; Assumptions'!$O$28+G482*'Model Inputs &amp; Assumptions'!$P$28)*EXP('Model Inputs &amp; Assumptions'!$Q$28*S482-'Model Inputs &amp; Assumptions'!$Q$28^2/2))</f>
        <v>27.2609862032839</v>
      </c>
      <c r="I482" s="49" t="n">
        <f aca="false">IF('Model Inputs &amp; Assumptions'!$H$28="Fixed",'Model Inputs &amp; Assumptions'!$I$28*'Model Inputs &amp; Assumptions'!$K$28,IF('Model Inputs &amp; Assumptions'!$H$28="CPM",'Model Inputs &amp; Assumptions'!$I$28*'Model Inputs &amp; Assumptions'!$K$28*C482/1000,IF('Model Inputs &amp; Assumptions'!$H$28="CPC",'Model Inputs &amp; Assumptions'!$I$28*'Model Inputs &amp; Assumptions'!$K$28*G482,0)))</f>
        <v>3728.075</v>
      </c>
      <c r="J482" s="50" t="n">
        <f aca="false">H482*INDEX('Model Inputs &amp; Assumptions'!$D$40:$D$42,MATCH('Model Inputs &amp; Assumptions'!$L$28,'Model Inputs &amp; Assumptions'!$A$40:$A$42,0))*INDEX('Model Inputs &amp; Assumptions'!$H$40:$H$42,MATCH('Model Inputs &amp; Assumptions'!$L$28,'Model Inputs &amp; Assumptions'!$A$40:$A$42,0))</f>
        <v>231718.382727913</v>
      </c>
      <c r="K482" s="49" t="n">
        <f aca="false">H482*INDEX('Model Inputs &amp; Assumptions'!$G$40:$G$42,MATCH('Model Inputs &amp; Assumptions'!$L$28,'Model Inputs &amp; Assumptions'!$A$40:$A$42,0))*INDEX('Model Inputs &amp; Assumptions'!$H$40:$H$42,MATCH('Model Inputs &amp; Assumptions'!$L$28,'Model Inputs &amp; Assumptions'!$A$40:$A$42,0))</f>
        <v>5213.66361137804</v>
      </c>
      <c r="L482" s="51" t="n">
        <f aca="false">IFERROR(K482/I482,0)</f>
        <v>1.39848678242204</v>
      </c>
      <c r="M482" s="49" t="n">
        <f aca="false">IFERROR(I482/H482,0)</f>
        <v>136.754957146448</v>
      </c>
      <c r="N482" s="52" t="str">
        <f aca="false">'Model Inputs &amp; Assumptions'!$L$28</f>
        <v>PRD-EUAI</v>
      </c>
      <c r="P482" s="53" t="n">
        <v>1.315657</v>
      </c>
      <c r="Q482" s="53" t="n">
        <v>-1.047344</v>
      </c>
      <c r="R482" s="53" t="n">
        <v>0.226286</v>
      </c>
      <c r="S482" s="53" t="n">
        <v>0.245631</v>
      </c>
    </row>
    <row r="483" customFormat="false" ht="15" hidden="false" customHeight="false" outlineLevel="0" collapsed="false">
      <c r="A483" s="43" t="n">
        <v>480</v>
      </c>
      <c r="B483" s="44" t="str">
        <f aca="false">'Model Inputs &amp; Assumptions'!$B$28</f>
        <v>finanzen.net — Q1 Awareness Burst</v>
      </c>
      <c r="C483" s="45" t="n">
        <f aca="false">ROUND(MAX(0,'Model Inputs &amp; Assumptions'!$S$28*EXP('Model Inputs &amp; Assumptions'!$T$28*P483-'Model Inputs &amp; Assumptions'!$T$28^2/2)),0)</f>
        <v>545518</v>
      </c>
      <c r="D483" s="46" t="n">
        <f aca="false">MIN(1,'Model Inputs &amp; Assumptions'!$U$28*EXP('Model Inputs &amp; Assumptions'!$V$28*Q483-'Model Inputs &amp; Assumptions'!$V$28^2/2))</f>
        <v>0</v>
      </c>
      <c r="E483" s="45" t="n">
        <f aca="false">ROUND(C483*D483,0)</f>
        <v>0</v>
      </c>
      <c r="F483" s="47" t="n">
        <f aca="false">MIN(1,'Model Inputs &amp; Assumptions'!$W$28*EXP('Model Inputs &amp; Assumptions'!$X$28*R483-'Model Inputs &amp; Assumptions'!$X$28^2/2))</f>
        <v>0.0015400836422626</v>
      </c>
      <c r="G483" s="45" t="n">
        <f aca="false">ROUND(C483*F483,0)</f>
        <v>840</v>
      </c>
      <c r="H483" s="48" t="n">
        <f aca="false">MAX(0,(C483*'Model Inputs &amp; Assumptions'!$N$28+E483*'Model Inputs &amp; Assumptions'!$O$28+G483*'Model Inputs &amp; Assumptions'!$P$28)*EXP('Model Inputs &amp; Assumptions'!$Q$28*S483-'Model Inputs &amp; Assumptions'!$Q$28^2/2))</f>
        <v>21.5511804975346</v>
      </c>
      <c r="I483" s="49" t="n">
        <f aca="false">IF('Model Inputs &amp; Assumptions'!$H$28="Fixed",'Model Inputs &amp; Assumptions'!$I$28*'Model Inputs &amp; Assumptions'!$K$28,IF('Model Inputs &amp; Assumptions'!$H$28="CPM",'Model Inputs &amp; Assumptions'!$I$28*'Model Inputs &amp; Assumptions'!$K$28*C483/1000,IF('Model Inputs &amp; Assumptions'!$H$28="CPC",'Model Inputs &amp; Assumptions'!$I$28*'Model Inputs &amp; Assumptions'!$K$28*G483,0)))</f>
        <v>3545.867</v>
      </c>
      <c r="J483" s="50" t="n">
        <f aca="false">H483*INDEX('Model Inputs &amp; Assumptions'!$D$40:$D$42,MATCH('Model Inputs &amp; Assumptions'!$L$28,'Model Inputs &amp; Assumptions'!$A$40:$A$42,0))*INDEX('Model Inputs &amp; Assumptions'!$H$40:$H$42,MATCH('Model Inputs &amp; Assumptions'!$L$28,'Model Inputs &amp; Assumptions'!$A$40:$A$42,0))</f>
        <v>183185.034229044</v>
      </c>
      <c r="K483" s="49" t="n">
        <f aca="false">H483*INDEX('Model Inputs &amp; Assumptions'!$G$40:$G$42,MATCH('Model Inputs &amp; Assumptions'!$L$28,'Model Inputs &amp; Assumptions'!$A$40:$A$42,0))*INDEX('Model Inputs &amp; Assumptions'!$H$40:$H$42,MATCH('Model Inputs &amp; Assumptions'!$L$28,'Model Inputs &amp; Assumptions'!$A$40:$A$42,0))</f>
        <v>4121.66327015348</v>
      </c>
      <c r="L483" s="51" t="n">
        <f aca="false">IFERROR(K483/I483,0)</f>
        <v>1.16238518538724</v>
      </c>
      <c r="M483" s="49" t="n">
        <f aca="false">IFERROR(I483/H483,0)</f>
        <v>164.532379115179</v>
      </c>
      <c r="N483" s="52" t="str">
        <f aca="false">'Model Inputs &amp; Assumptions'!$L$28</f>
        <v>PRD-EUAI</v>
      </c>
      <c r="P483" s="53" t="n">
        <v>1.037273</v>
      </c>
      <c r="Q483" s="53" t="n">
        <v>-0.876911</v>
      </c>
      <c r="R483" s="53" t="n">
        <v>0.229871</v>
      </c>
      <c r="S483" s="53" t="n">
        <v>-0.371378</v>
      </c>
    </row>
    <row r="484" customFormat="false" ht="15" hidden="false" customHeight="false" outlineLevel="0" collapsed="false">
      <c r="A484" s="43" t="n">
        <v>481</v>
      </c>
      <c r="B484" s="44" t="str">
        <f aca="false">'Model Inputs &amp; Assumptions'!$B$28</f>
        <v>finanzen.net — Q1 Awareness Burst</v>
      </c>
      <c r="C484" s="45" t="n">
        <f aca="false">ROUND(MAX(0,'Model Inputs &amp; Assumptions'!$S$28*EXP('Model Inputs &amp; Assumptions'!$T$28*P484-'Model Inputs &amp; Assumptions'!$T$28^2/2)),0)</f>
        <v>485171</v>
      </c>
      <c r="D484" s="46" t="n">
        <f aca="false">MIN(1,'Model Inputs &amp; Assumptions'!$U$28*EXP('Model Inputs &amp; Assumptions'!$V$28*Q484-'Model Inputs &amp; Assumptions'!$V$28^2/2))</f>
        <v>0</v>
      </c>
      <c r="E484" s="45" t="n">
        <f aca="false">ROUND(C484*D484,0)</f>
        <v>0</v>
      </c>
      <c r="F484" s="47" t="n">
        <f aca="false">MIN(1,'Model Inputs &amp; Assumptions'!$W$28*EXP('Model Inputs &amp; Assumptions'!$X$28*R484-'Model Inputs &amp; Assumptions'!$X$28^2/2))</f>
        <v>0.00137071731184878</v>
      </c>
      <c r="G484" s="45" t="n">
        <f aca="false">ROUND(C484*F484,0)</f>
        <v>665</v>
      </c>
      <c r="H484" s="48" t="n">
        <f aca="false">MAX(0,(C484*'Model Inputs &amp; Assumptions'!$N$28+E484*'Model Inputs &amp; Assumptions'!$O$28+G484*'Model Inputs &amp; Assumptions'!$P$28)*EXP('Model Inputs &amp; Assumptions'!$Q$28*S484-'Model Inputs &amp; Assumptions'!$Q$28^2/2))</f>
        <v>30.8269233638523</v>
      </c>
      <c r="I484" s="49" t="n">
        <f aca="false">IF('Model Inputs &amp; Assumptions'!$H$28="Fixed",'Model Inputs &amp; Assumptions'!$I$28*'Model Inputs &amp; Assumptions'!$K$28,IF('Model Inputs &amp; Assumptions'!$H$28="CPM",'Model Inputs &amp; Assumptions'!$I$28*'Model Inputs &amp; Assumptions'!$K$28*C484/1000,IF('Model Inputs &amp; Assumptions'!$H$28="CPC",'Model Inputs &amp; Assumptions'!$I$28*'Model Inputs &amp; Assumptions'!$K$28*G484,0)))</f>
        <v>3153.6115</v>
      </c>
      <c r="J484" s="50" t="n">
        <f aca="false">H484*INDEX('Model Inputs &amp; Assumptions'!$D$40:$D$42,MATCH('Model Inputs &amp; Assumptions'!$L$28,'Model Inputs &amp; Assumptions'!$A$40:$A$42,0))*INDEX('Model Inputs &amp; Assumptions'!$H$40:$H$42,MATCH('Model Inputs &amp; Assumptions'!$L$28,'Model Inputs &amp; Assumptions'!$A$40:$A$42,0))</f>
        <v>262028.848592744</v>
      </c>
      <c r="K484" s="49" t="n">
        <f aca="false">H484*INDEX('Model Inputs &amp; Assumptions'!$G$40:$G$42,MATCH('Model Inputs &amp; Assumptions'!$L$28,'Model Inputs &amp; Assumptions'!$A$40:$A$42,0))*INDEX('Model Inputs &amp; Assumptions'!$H$40:$H$42,MATCH('Model Inputs &amp; Assumptions'!$L$28,'Model Inputs &amp; Assumptions'!$A$40:$A$42,0))</f>
        <v>5895.64909333675</v>
      </c>
      <c r="L484" s="51" t="n">
        <f aca="false">IFERROR(K484/I484,0)</f>
        <v>1.86949124625425</v>
      </c>
      <c r="M484" s="49" t="n">
        <f aca="false">IFERROR(I484/H484,0)</f>
        <v>102.300559247438</v>
      </c>
      <c r="N484" s="52" t="str">
        <f aca="false">'Model Inputs &amp; Assumptions'!$L$28</f>
        <v>PRD-EUAI</v>
      </c>
      <c r="P484" s="53" t="n">
        <v>0.385969</v>
      </c>
      <c r="Q484" s="53" t="n">
        <v>0.028926</v>
      </c>
      <c r="R484" s="53" t="n">
        <v>-0.299686</v>
      </c>
      <c r="S484" s="53" t="n">
        <v>1.600531</v>
      </c>
    </row>
    <row r="485" customFormat="false" ht="15" hidden="false" customHeight="false" outlineLevel="0" collapsed="false">
      <c r="A485" s="43" t="n">
        <v>482</v>
      </c>
      <c r="B485" s="44" t="str">
        <f aca="false">'Model Inputs &amp; Assumptions'!$B$28</f>
        <v>finanzen.net — Q1 Awareness Burst</v>
      </c>
      <c r="C485" s="45" t="n">
        <f aca="false">ROUND(MAX(0,'Model Inputs &amp; Assumptions'!$S$28*EXP('Model Inputs &amp; Assumptions'!$T$28*P485-'Model Inputs &amp; Assumptions'!$T$28^2/2)),0)</f>
        <v>382011</v>
      </c>
      <c r="D485" s="46" t="n">
        <f aca="false">MIN(1,'Model Inputs &amp; Assumptions'!$U$28*EXP('Model Inputs &amp; Assumptions'!$V$28*Q485-'Model Inputs &amp; Assumptions'!$V$28^2/2))</f>
        <v>0</v>
      </c>
      <c r="E485" s="45" t="n">
        <f aca="false">ROUND(C485*D485,0)</f>
        <v>0</v>
      </c>
      <c r="F485" s="47" t="n">
        <f aca="false">MIN(1,'Model Inputs &amp; Assumptions'!$W$28*EXP('Model Inputs &amp; Assumptions'!$X$28*R485-'Model Inputs &amp; Assumptions'!$X$28^2/2))</f>
        <v>0.00170525143335782</v>
      </c>
      <c r="G485" s="45" t="n">
        <f aca="false">ROUND(C485*F485,0)</f>
        <v>651</v>
      </c>
      <c r="H485" s="48" t="n">
        <f aca="false">MAX(0,(C485*'Model Inputs &amp; Assumptions'!$N$28+E485*'Model Inputs &amp; Assumptions'!$O$28+G485*'Model Inputs &amp; Assumptions'!$P$28)*EXP('Model Inputs &amp; Assumptions'!$Q$28*S485-'Model Inputs &amp; Assumptions'!$Q$28^2/2))</f>
        <v>12.3560527581599</v>
      </c>
      <c r="I485" s="49" t="n">
        <f aca="false">IF('Model Inputs &amp; Assumptions'!$H$28="Fixed",'Model Inputs &amp; Assumptions'!$I$28*'Model Inputs &amp; Assumptions'!$K$28,IF('Model Inputs &amp; Assumptions'!$H$28="CPM",'Model Inputs &amp; Assumptions'!$I$28*'Model Inputs &amp; Assumptions'!$K$28*C485/1000,IF('Model Inputs &amp; Assumptions'!$H$28="CPC",'Model Inputs &amp; Assumptions'!$I$28*'Model Inputs &amp; Assumptions'!$K$28*G485,0)))</f>
        <v>2483.0715</v>
      </c>
      <c r="J485" s="50" t="n">
        <f aca="false">H485*INDEX('Model Inputs &amp; Assumptions'!$D$40:$D$42,MATCH('Model Inputs &amp; Assumptions'!$L$28,'Model Inputs &amp; Assumptions'!$A$40:$A$42,0))*INDEX('Model Inputs &amp; Assumptions'!$H$40:$H$42,MATCH('Model Inputs &amp; Assumptions'!$L$28,'Model Inputs &amp; Assumptions'!$A$40:$A$42,0))</f>
        <v>105026.44844436</v>
      </c>
      <c r="K485" s="49" t="n">
        <f aca="false">H485*INDEX('Model Inputs &amp; Assumptions'!$G$40:$G$42,MATCH('Model Inputs &amp; Assumptions'!$L$28,'Model Inputs &amp; Assumptions'!$A$40:$A$42,0))*INDEX('Model Inputs &amp; Assumptions'!$H$40:$H$42,MATCH('Model Inputs &amp; Assumptions'!$L$28,'Model Inputs &amp; Assumptions'!$A$40:$A$42,0))</f>
        <v>2363.09508999809</v>
      </c>
      <c r="L485" s="51" t="n">
        <f aca="false">IFERROR(K485/I485,0)</f>
        <v>0.951682257235883</v>
      </c>
      <c r="M485" s="49" t="n">
        <f aca="false">IFERROR(I485/H485,0)</f>
        <v>200.959930213974</v>
      </c>
      <c r="N485" s="52" t="str">
        <f aca="false">'Model Inputs &amp; Assumptions'!$L$28</f>
        <v>PRD-EUAI</v>
      </c>
      <c r="P485" s="53" t="n">
        <v>-0.942098</v>
      </c>
      <c r="Q485" s="53" t="n">
        <v>-0.618695</v>
      </c>
      <c r="R485" s="53" t="n">
        <v>0.692943</v>
      </c>
      <c r="S485" s="53" t="n">
        <v>-1.376019</v>
      </c>
    </row>
    <row r="486" customFormat="false" ht="15" hidden="false" customHeight="false" outlineLevel="0" collapsed="false">
      <c r="A486" s="43" t="n">
        <v>483</v>
      </c>
      <c r="B486" s="44" t="str">
        <f aca="false">'Model Inputs &amp; Assumptions'!$B$28</f>
        <v>finanzen.net — Q1 Awareness Burst</v>
      </c>
      <c r="C486" s="45" t="n">
        <f aca="false">ROUND(MAX(0,'Model Inputs &amp; Assumptions'!$S$28*EXP('Model Inputs &amp; Assumptions'!$T$28*P486-'Model Inputs &amp; Assumptions'!$T$28^2/2)),0)</f>
        <v>379749</v>
      </c>
      <c r="D486" s="46" t="n">
        <f aca="false">MIN(1,'Model Inputs &amp; Assumptions'!$U$28*EXP('Model Inputs &amp; Assumptions'!$V$28*Q486-'Model Inputs &amp; Assumptions'!$V$28^2/2))</f>
        <v>0</v>
      </c>
      <c r="E486" s="45" t="n">
        <f aca="false">ROUND(C486*D486,0)</f>
        <v>0</v>
      </c>
      <c r="F486" s="47" t="n">
        <f aca="false">MIN(1,'Model Inputs &amp; Assumptions'!$W$28*EXP('Model Inputs &amp; Assumptions'!$X$28*R486-'Model Inputs &amp; Assumptions'!$X$28^2/2))</f>
        <v>0.00097064621148174</v>
      </c>
      <c r="G486" s="45" t="n">
        <f aca="false">ROUND(C486*F486,0)</f>
        <v>369</v>
      </c>
      <c r="H486" s="48" t="n">
        <f aca="false">MAX(0,(C486*'Model Inputs &amp; Assumptions'!$N$28+E486*'Model Inputs &amp; Assumptions'!$O$28+G486*'Model Inputs &amp; Assumptions'!$P$28)*EXP('Model Inputs &amp; Assumptions'!$Q$28*S486-'Model Inputs &amp; Assumptions'!$Q$28^2/2))</f>
        <v>10.3505591946506</v>
      </c>
      <c r="I486" s="49" t="n">
        <f aca="false">IF('Model Inputs &amp; Assumptions'!$H$28="Fixed",'Model Inputs &amp; Assumptions'!$I$28*'Model Inputs &amp; Assumptions'!$K$28,IF('Model Inputs &amp; Assumptions'!$H$28="CPM",'Model Inputs &amp; Assumptions'!$I$28*'Model Inputs &amp; Assumptions'!$K$28*C486/1000,IF('Model Inputs &amp; Assumptions'!$H$28="CPC",'Model Inputs &amp; Assumptions'!$I$28*'Model Inputs &amp; Assumptions'!$K$28*G486,0)))</f>
        <v>2468.3685</v>
      </c>
      <c r="J486" s="50" t="n">
        <f aca="false">H486*INDEX('Model Inputs &amp; Assumptions'!$D$40:$D$42,MATCH('Model Inputs &amp; Assumptions'!$L$28,'Model Inputs &amp; Assumptions'!$A$40:$A$42,0))*INDEX('Model Inputs &amp; Assumptions'!$H$40:$H$42,MATCH('Model Inputs &amp; Assumptions'!$L$28,'Model Inputs &amp; Assumptions'!$A$40:$A$42,0))</f>
        <v>87979.7531545297</v>
      </c>
      <c r="K486" s="49" t="n">
        <f aca="false">H486*INDEX('Model Inputs &amp; Assumptions'!$G$40:$G$42,MATCH('Model Inputs &amp; Assumptions'!$L$28,'Model Inputs &amp; Assumptions'!$A$40:$A$42,0))*INDEX('Model Inputs &amp; Assumptions'!$H$40:$H$42,MATCH('Model Inputs &amp; Assumptions'!$L$28,'Model Inputs &amp; Assumptions'!$A$40:$A$42,0))</f>
        <v>1979.54444597692</v>
      </c>
      <c r="L486" s="51" t="n">
        <f aca="false">IFERROR(K486/I486,0)</f>
        <v>0.801964717171248</v>
      </c>
      <c r="M486" s="49" t="n">
        <f aca="false">IFERROR(I486/H486,0)</f>
        <v>238.476825607231</v>
      </c>
      <c r="N486" s="52" t="str">
        <f aca="false">'Model Inputs &amp; Assumptions'!$L$28</f>
        <v>PRD-EUAI</v>
      </c>
      <c r="P486" s="53" t="n">
        <v>-0.975093</v>
      </c>
      <c r="Q486" s="53" t="n">
        <v>-0.703538</v>
      </c>
      <c r="R486" s="53" t="n">
        <v>-1.868447</v>
      </c>
      <c r="S486" s="53" t="n">
        <v>-0.073994</v>
      </c>
    </row>
    <row r="487" customFormat="false" ht="15" hidden="false" customHeight="false" outlineLevel="0" collapsed="false">
      <c r="A487" s="43" t="n">
        <v>484</v>
      </c>
      <c r="B487" s="44" t="str">
        <f aca="false">'Model Inputs &amp; Assumptions'!$B$28</f>
        <v>finanzen.net — Q1 Awareness Burst</v>
      </c>
      <c r="C487" s="45" t="n">
        <f aca="false">ROUND(MAX(0,'Model Inputs &amp; Assumptions'!$S$28*EXP('Model Inputs &amp; Assumptions'!$T$28*P487-'Model Inputs &amp; Assumptions'!$T$28^2/2)),0)</f>
        <v>363794</v>
      </c>
      <c r="D487" s="46" t="n">
        <f aca="false">MIN(1,'Model Inputs &amp; Assumptions'!$U$28*EXP('Model Inputs &amp; Assumptions'!$V$28*Q487-'Model Inputs &amp; Assumptions'!$V$28^2/2))</f>
        <v>0</v>
      </c>
      <c r="E487" s="45" t="n">
        <f aca="false">ROUND(C487*D487,0)</f>
        <v>0</v>
      </c>
      <c r="F487" s="47" t="n">
        <f aca="false">MIN(1,'Model Inputs &amp; Assumptions'!$W$28*EXP('Model Inputs &amp; Assumptions'!$X$28*R487-'Model Inputs &amp; Assumptions'!$X$28^2/2))</f>
        <v>0.00186010926032145</v>
      </c>
      <c r="G487" s="45" t="n">
        <f aca="false">ROUND(C487*F487,0)</f>
        <v>677</v>
      </c>
      <c r="H487" s="48" t="n">
        <f aca="false">MAX(0,(C487*'Model Inputs &amp; Assumptions'!$N$28+E487*'Model Inputs &amp; Assumptions'!$O$28+G487*'Model Inputs &amp; Assumptions'!$P$28)*EXP('Model Inputs &amp; Assumptions'!$Q$28*S487-'Model Inputs &amp; Assumptions'!$Q$28^2/2))</f>
        <v>25.9796951095979</v>
      </c>
      <c r="I487" s="49" t="n">
        <f aca="false">IF('Model Inputs &amp; Assumptions'!$H$28="Fixed",'Model Inputs &amp; Assumptions'!$I$28*'Model Inputs &amp; Assumptions'!$K$28,IF('Model Inputs &amp; Assumptions'!$H$28="CPM",'Model Inputs &amp; Assumptions'!$I$28*'Model Inputs &amp; Assumptions'!$K$28*C487/1000,IF('Model Inputs &amp; Assumptions'!$H$28="CPC",'Model Inputs &amp; Assumptions'!$I$28*'Model Inputs &amp; Assumptions'!$K$28*G487,0)))</f>
        <v>2364.661</v>
      </c>
      <c r="J487" s="50" t="n">
        <f aca="false">H487*INDEX('Model Inputs &amp; Assumptions'!$D$40:$D$42,MATCH('Model Inputs &amp; Assumptions'!$L$28,'Model Inputs &amp; Assumptions'!$A$40:$A$42,0))*INDEX('Model Inputs &amp; Assumptions'!$H$40:$H$42,MATCH('Model Inputs &amp; Assumptions'!$L$28,'Model Inputs &amp; Assumptions'!$A$40:$A$42,0))</f>
        <v>220827.408431582</v>
      </c>
      <c r="K487" s="49" t="n">
        <f aca="false">H487*INDEX('Model Inputs &amp; Assumptions'!$G$40:$G$42,MATCH('Model Inputs &amp; Assumptions'!$L$28,'Model Inputs &amp; Assumptions'!$A$40:$A$42,0))*INDEX('Model Inputs &amp; Assumptions'!$H$40:$H$42,MATCH('Model Inputs &amp; Assumptions'!$L$28,'Model Inputs &amp; Assumptions'!$A$40:$A$42,0))</f>
        <v>4968.6166897106</v>
      </c>
      <c r="L487" s="51" t="n">
        <f aca="false">IFERROR(K487/I487,0)</f>
        <v>2.10119619248196</v>
      </c>
      <c r="M487" s="49" t="n">
        <f aca="false">IFERROR(I487/H487,0)</f>
        <v>91.0195824094335</v>
      </c>
      <c r="N487" s="52" t="str">
        <f aca="false">'Model Inputs &amp; Assumptions'!$L$28</f>
        <v>PRD-EUAI</v>
      </c>
      <c r="P487" s="53" t="n">
        <v>-1.213543</v>
      </c>
      <c r="Q487" s="53" t="n">
        <v>0.762676</v>
      </c>
      <c r="R487" s="53" t="n">
        <v>1.088046</v>
      </c>
      <c r="S487" s="53" t="n">
        <v>0.970673</v>
      </c>
    </row>
    <row r="488" customFormat="false" ht="15" hidden="false" customHeight="false" outlineLevel="0" collapsed="false">
      <c r="A488" s="43" t="n">
        <v>485</v>
      </c>
      <c r="B488" s="44" t="str">
        <f aca="false">'Model Inputs &amp; Assumptions'!$B$28</f>
        <v>finanzen.net — Q1 Awareness Burst</v>
      </c>
      <c r="C488" s="45" t="n">
        <f aca="false">ROUND(MAX(0,'Model Inputs &amp; Assumptions'!$S$28*EXP('Model Inputs &amp; Assumptions'!$T$28*P488-'Model Inputs &amp; Assumptions'!$T$28^2/2)),0)</f>
        <v>380649</v>
      </c>
      <c r="D488" s="46" t="n">
        <f aca="false">MIN(1,'Model Inputs &amp; Assumptions'!$U$28*EXP('Model Inputs &amp; Assumptions'!$V$28*Q488-'Model Inputs &amp; Assumptions'!$V$28^2/2))</f>
        <v>0</v>
      </c>
      <c r="E488" s="45" t="n">
        <f aca="false">ROUND(C488*D488,0)</f>
        <v>0</v>
      </c>
      <c r="F488" s="47" t="n">
        <f aca="false">MIN(1,'Model Inputs &amp; Assumptions'!$W$28*EXP('Model Inputs &amp; Assumptions'!$X$28*R488-'Model Inputs &amp; Assumptions'!$X$28^2/2))</f>
        <v>0.00129987227300797</v>
      </c>
      <c r="G488" s="45" t="n">
        <f aca="false">ROUND(C488*F488,0)</f>
        <v>495</v>
      </c>
      <c r="H488" s="48" t="n">
        <f aca="false">MAX(0,(C488*'Model Inputs &amp; Assumptions'!$N$28+E488*'Model Inputs &amp; Assumptions'!$O$28+G488*'Model Inputs &amp; Assumptions'!$P$28)*EXP('Model Inputs &amp; Assumptions'!$Q$28*S488-'Model Inputs &amp; Assumptions'!$Q$28^2/2))</f>
        <v>21.1266244060667</v>
      </c>
      <c r="I488" s="49" t="n">
        <f aca="false">IF('Model Inputs &amp; Assumptions'!$H$28="Fixed",'Model Inputs &amp; Assumptions'!$I$28*'Model Inputs &amp; Assumptions'!$K$28,IF('Model Inputs &amp; Assumptions'!$H$28="CPM",'Model Inputs &amp; Assumptions'!$I$28*'Model Inputs &amp; Assumptions'!$K$28*C488/1000,IF('Model Inputs &amp; Assumptions'!$H$28="CPC",'Model Inputs &amp; Assumptions'!$I$28*'Model Inputs &amp; Assumptions'!$K$28*G488,0)))</f>
        <v>2474.2185</v>
      </c>
      <c r="J488" s="50" t="n">
        <f aca="false">H488*INDEX('Model Inputs &amp; Assumptions'!$D$40:$D$42,MATCH('Model Inputs &amp; Assumptions'!$L$28,'Model Inputs &amp; Assumptions'!$A$40:$A$42,0))*INDEX('Model Inputs &amp; Assumptions'!$H$40:$H$42,MATCH('Model Inputs &amp; Assumptions'!$L$28,'Model Inputs &amp; Assumptions'!$A$40:$A$42,0))</f>
        <v>179576.307451567</v>
      </c>
      <c r="K488" s="49" t="n">
        <f aca="false">H488*INDEX('Model Inputs &amp; Assumptions'!$G$40:$G$42,MATCH('Model Inputs &amp; Assumptions'!$L$28,'Model Inputs &amp; Assumptions'!$A$40:$A$42,0))*INDEX('Model Inputs &amp; Assumptions'!$H$40:$H$42,MATCH('Model Inputs &amp; Assumptions'!$L$28,'Model Inputs &amp; Assumptions'!$A$40:$A$42,0))</f>
        <v>4040.46691766026</v>
      </c>
      <c r="L488" s="51" t="n">
        <f aca="false">IFERROR(K488/I488,0)</f>
        <v>1.63302752673632</v>
      </c>
      <c r="M488" s="49" t="n">
        <f aca="false">IFERROR(I488/H488,0)</f>
        <v>117.113763772385</v>
      </c>
      <c r="N488" s="52" t="str">
        <f aca="false">'Model Inputs &amp; Assumptions'!$L$28</f>
        <v>PRD-EUAI</v>
      </c>
      <c r="P488" s="53" t="n">
        <v>-0.961942</v>
      </c>
      <c r="Q488" s="53" t="n">
        <v>0.905347</v>
      </c>
      <c r="R488" s="53" t="n">
        <v>-0.540905</v>
      </c>
      <c r="S488" s="53" t="n">
        <v>1.325114</v>
      </c>
    </row>
    <row r="489" customFormat="false" ht="15" hidden="false" customHeight="false" outlineLevel="0" collapsed="false">
      <c r="A489" s="43" t="n">
        <v>486</v>
      </c>
      <c r="B489" s="44" t="str">
        <f aca="false">'Model Inputs &amp; Assumptions'!$B$28</f>
        <v>finanzen.net — Q1 Awareness Burst</v>
      </c>
      <c r="C489" s="45" t="n">
        <f aca="false">ROUND(MAX(0,'Model Inputs &amp; Assumptions'!$S$28*EXP('Model Inputs &amp; Assumptions'!$T$28*P489-'Model Inputs &amp; Assumptions'!$T$28^2/2)),0)</f>
        <v>457205</v>
      </c>
      <c r="D489" s="46" t="n">
        <f aca="false">MIN(1,'Model Inputs &amp; Assumptions'!$U$28*EXP('Model Inputs &amp; Assumptions'!$V$28*Q489-'Model Inputs &amp; Assumptions'!$V$28^2/2))</f>
        <v>0</v>
      </c>
      <c r="E489" s="45" t="n">
        <f aca="false">ROUND(C489*D489,0)</f>
        <v>0</v>
      </c>
      <c r="F489" s="47" t="n">
        <f aca="false">MIN(1,'Model Inputs &amp; Assumptions'!$W$28*EXP('Model Inputs &amp; Assumptions'!$X$28*R489-'Model Inputs &amp; Assumptions'!$X$28^2/2))</f>
        <v>0.00200704896797335</v>
      </c>
      <c r="G489" s="45" t="n">
        <f aca="false">ROUND(C489*F489,0)</f>
        <v>918</v>
      </c>
      <c r="H489" s="48" t="n">
        <f aca="false">MAX(0,(C489*'Model Inputs &amp; Assumptions'!$N$28+E489*'Model Inputs &amp; Assumptions'!$O$28+G489*'Model Inputs &amp; Assumptions'!$P$28)*EXP('Model Inputs &amp; Assumptions'!$Q$28*S489-'Model Inputs &amp; Assumptions'!$Q$28^2/2))</f>
        <v>28.8923222375062</v>
      </c>
      <c r="I489" s="49" t="n">
        <f aca="false">IF('Model Inputs &amp; Assumptions'!$H$28="Fixed",'Model Inputs &amp; Assumptions'!$I$28*'Model Inputs &amp; Assumptions'!$K$28,IF('Model Inputs &amp; Assumptions'!$H$28="CPM",'Model Inputs &amp; Assumptions'!$I$28*'Model Inputs &amp; Assumptions'!$K$28*C489/1000,IF('Model Inputs &amp; Assumptions'!$H$28="CPC",'Model Inputs &amp; Assumptions'!$I$28*'Model Inputs &amp; Assumptions'!$K$28*G489,0)))</f>
        <v>2971.8325</v>
      </c>
      <c r="J489" s="50" t="n">
        <f aca="false">H489*INDEX('Model Inputs &amp; Assumptions'!$D$40:$D$42,MATCH('Model Inputs &amp; Assumptions'!$L$28,'Model Inputs &amp; Assumptions'!$A$40:$A$42,0))*INDEX('Model Inputs &amp; Assumptions'!$H$40:$H$42,MATCH('Model Inputs &amp; Assumptions'!$L$28,'Model Inputs &amp; Assumptions'!$A$40:$A$42,0))</f>
        <v>245584.739018803</v>
      </c>
      <c r="K489" s="49" t="n">
        <f aca="false">H489*INDEX('Model Inputs &amp; Assumptions'!$G$40:$G$42,MATCH('Model Inputs &amp; Assumptions'!$L$28,'Model Inputs &amp; Assumptions'!$A$40:$A$42,0))*INDEX('Model Inputs &amp; Assumptions'!$H$40:$H$42,MATCH('Model Inputs &amp; Assumptions'!$L$28,'Model Inputs &amp; Assumptions'!$A$40:$A$42,0))</f>
        <v>5525.65662792307</v>
      </c>
      <c r="L489" s="51" t="n">
        <f aca="false">IFERROR(K489/I489,0)</f>
        <v>1.85934322608124</v>
      </c>
      <c r="M489" s="49" t="n">
        <f aca="false">IFERROR(I489/H489,0)</f>
        <v>102.858900560861</v>
      </c>
      <c r="N489" s="52" t="str">
        <f aca="false">'Model Inputs &amp; Assumptions'!$L$28</f>
        <v>PRD-EUAI</v>
      </c>
      <c r="P489" s="53" t="n">
        <v>0.056147</v>
      </c>
      <c r="Q489" s="53" t="n">
        <v>-1.631722</v>
      </c>
      <c r="R489" s="53" t="n">
        <v>1.433638</v>
      </c>
      <c r="S489" s="53" t="n">
        <v>0.309788</v>
      </c>
    </row>
    <row r="490" customFormat="false" ht="15" hidden="false" customHeight="false" outlineLevel="0" collapsed="false">
      <c r="A490" s="43" t="n">
        <v>487</v>
      </c>
      <c r="B490" s="44" t="str">
        <f aca="false">'Model Inputs &amp; Assumptions'!$B$28</f>
        <v>finanzen.net — Q1 Awareness Burst</v>
      </c>
      <c r="C490" s="45" t="n">
        <f aca="false">ROUND(MAX(0,'Model Inputs &amp; Assumptions'!$S$28*EXP('Model Inputs &amp; Assumptions'!$T$28*P490-'Model Inputs &amp; Assumptions'!$T$28^2/2)),0)</f>
        <v>489445</v>
      </c>
      <c r="D490" s="46" t="n">
        <f aca="false">MIN(1,'Model Inputs &amp; Assumptions'!$U$28*EXP('Model Inputs &amp; Assumptions'!$V$28*Q490-'Model Inputs &amp; Assumptions'!$V$28^2/2))</f>
        <v>0</v>
      </c>
      <c r="E490" s="45" t="n">
        <f aca="false">ROUND(C490*D490,0)</f>
        <v>0</v>
      </c>
      <c r="F490" s="47" t="n">
        <f aca="false">MIN(1,'Model Inputs &amp; Assumptions'!$W$28*EXP('Model Inputs &amp; Assumptions'!$X$28*R490-'Model Inputs &amp; Assumptions'!$X$28^2/2))</f>
        <v>0.0015324166944608</v>
      </c>
      <c r="G490" s="45" t="n">
        <f aca="false">ROUND(C490*F490,0)</f>
        <v>750</v>
      </c>
      <c r="H490" s="48" t="n">
        <f aca="false">MAX(0,(C490*'Model Inputs &amp; Assumptions'!$N$28+E490*'Model Inputs &amp; Assumptions'!$O$28+G490*'Model Inputs &amp; Assumptions'!$P$28)*EXP('Model Inputs &amp; Assumptions'!$Q$28*S490-'Model Inputs &amp; Assumptions'!$Q$28^2/2))</f>
        <v>27.4047761215849</v>
      </c>
      <c r="I490" s="49" t="n">
        <f aca="false">IF('Model Inputs &amp; Assumptions'!$H$28="Fixed",'Model Inputs &amp; Assumptions'!$I$28*'Model Inputs &amp; Assumptions'!$K$28,IF('Model Inputs &amp; Assumptions'!$H$28="CPM",'Model Inputs &amp; Assumptions'!$I$28*'Model Inputs &amp; Assumptions'!$K$28*C490/1000,IF('Model Inputs &amp; Assumptions'!$H$28="CPC",'Model Inputs &amp; Assumptions'!$I$28*'Model Inputs &amp; Assumptions'!$K$28*G490,0)))</f>
        <v>3181.3925</v>
      </c>
      <c r="J490" s="50" t="n">
        <f aca="false">H490*INDEX('Model Inputs &amp; Assumptions'!$D$40:$D$42,MATCH('Model Inputs &amp; Assumptions'!$L$28,'Model Inputs &amp; Assumptions'!$A$40:$A$42,0))*INDEX('Model Inputs &amp; Assumptions'!$H$40:$H$42,MATCH('Model Inputs &amp; Assumptions'!$L$28,'Model Inputs &amp; Assumptions'!$A$40:$A$42,0))</f>
        <v>232940.597033472</v>
      </c>
      <c r="K490" s="49" t="n">
        <f aca="false">H490*INDEX('Model Inputs &amp; Assumptions'!$G$40:$G$42,MATCH('Model Inputs &amp; Assumptions'!$L$28,'Model Inputs &amp; Assumptions'!$A$40:$A$42,0))*INDEX('Model Inputs &amp; Assumptions'!$H$40:$H$42,MATCH('Model Inputs &amp; Assumptions'!$L$28,'Model Inputs &amp; Assumptions'!$A$40:$A$42,0))</f>
        <v>5241.16343325311</v>
      </c>
      <c r="L490" s="51" t="n">
        <f aca="false">IFERROR(K490/I490,0)</f>
        <v>1.64744319767307</v>
      </c>
      <c r="M490" s="49" t="n">
        <f aca="false">IFERROR(I490/H490,0)</f>
        <v>116.088979741536</v>
      </c>
      <c r="N490" s="52" t="str">
        <f aca="false">'Model Inputs &amp; Assumptions'!$L$28</f>
        <v>PRD-EUAI</v>
      </c>
      <c r="P490" s="53" t="n">
        <v>0.434702</v>
      </c>
      <c r="Q490" s="53" t="n">
        <v>-0.343039</v>
      </c>
      <c r="R490" s="53" t="n">
        <v>0.207186</v>
      </c>
      <c r="S490" s="53" t="n">
        <v>0.80734</v>
      </c>
    </row>
    <row r="491" customFormat="false" ht="15" hidden="false" customHeight="false" outlineLevel="0" collapsed="false">
      <c r="A491" s="43" t="n">
        <v>488</v>
      </c>
      <c r="B491" s="44" t="str">
        <f aca="false">'Model Inputs &amp; Assumptions'!$B$28</f>
        <v>finanzen.net — Q1 Awareness Burst</v>
      </c>
      <c r="C491" s="45" t="n">
        <f aca="false">ROUND(MAX(0,'Model Inputs &amp; Assumptions'!$S$28*EXP('Model Inputs &amp; Assumptions'!$T$28*P491-'Model Inputs &amp; Assumptions'!$T$28^2/2)),0)</f>
        <v>504183</v>
      </c>
      <c r="D491" s="46" t="n">
        <f aca="false">MIN(1,'Model Inputs &amp; Assumptions'!$U$28*EXP('Model Inputs &amp; Assumptions'!$V$28*Q491-'Model Inputs &amp; Assumptions'!$V$28^2/2))</f>
        <v>0</v>
      </c>
      <c r="E491" s="45" t="n">
        <f aca="false">ROUND(C491*D491,0)</f>
        <v>0</v>
      </c>
      <c r="F491" s="47" t="n">
        <f aca="false">MIN(1,'Model Inputs &amp; Assumptions'!$W$28*EXP('Model Inputs &amp; Assumptions'!$X$28*R491-'Model Inputs &amp; Assumptions'!$X$28^2/2))</f>
        <v>0.00125733571221662</v>
      </c>
      <c r="G491" s="45" t="n">
        <f aca="false">ROUND(C491*F491,0)</f>
        <v>634</v>
      </c>
      <c r="H491" s="48" t="n">
        <f aca="false">MAX(0,(C491*'Model Inputs &amp; Assumptions'!$N$28+E491*'Model Inputs &amp; Assumptions'!$O$28+G491*'Model Inputs &amp; Assumptions'!$P$28)*EXP('Model Inputs &amp; Assumptions'!$Q$28*S491-'Model Inputs &amp; Assumptions'!$Q$28^2/2))</f>
        <v>16.9078237250888</v>
      </c>
      <c r="I491" s="49" t="n">
        <f aca="false">IF('Model Inputs &amp; Assumptions'!$H$28="Fixed",'Model Inputs &amp; Assumptions'!$I$28*'Model Inputs &amp; Assumptions'!$K$28,IF('Model Inputs &amp; Assumptions'!$H$28="CPM",'Model Inputs &amp; Assumptions'!$I$28*'Model Inputs &amp; Assumptions'!$K$28*C491/1000,IF('Model Inputs &amp; Assumptions'!$H$28="CPC",'Model Inputs &amp; Assumptions'!$I$28*'Model Inputs &amp; Assumptions'!$K$28*G491,0)))</f>
        <v>3277.1895</v>
      </c>
      <c r="J491" s="50" t="n">
        <f aca="false">H491*INDEX('Model Inputs &amp; Assumptions'!$D$40:$D$42,MATCH('Model Inputs &amp; Assumptions'!$L$28,'Model Inputs &amp; Assumptions'!$A$40:$A$42,0))*INDEX('Model Inputs &amp; Assumptions'!$H$40:$H$42,MATCH('Model Inputs &amp; Assumptions'!$L$28,'Model Inputs &amp; Assumptions'!$A$40:$A$42,0))</f>
        <v>143716.501663255</v>
      </c>
      <c r="K491" s="49" t="n">
        <f aca="false">H491*INDEX('Model Inputs &amp; Assumptions'!$G$40:$G$42,MATCH('Model Inputs &amp; Assumptions'!$L$28,'Model Inputs &amp; Assumptions'!$A$40:$A$42,0))*INDEX('Model Inputs &amp; Assumptions'!$H$40:$H$42,MATCH('Model Inputs &amp; Assumptions'!$L$28,'Model Inputs &amp; Assumptions'!$A$40:$A$42,0))</f>
        <v>3233.62128742324</v>
      </c>
      <c r="L491" s="51" t="n">
        <f aca="false">IFERROR(K491/I491,0)</f>
        <v>0.986705616938917</v>
      </c>
      <c r="M491" s="49" t="n">
        <f aca="false">IFERROR(I491/H491,0)</f>
        <v>193.82680783081</v>
      </c>
      <c r="N491" s="52" t="str">
        <f aca="false">'Model Inputs &amp; Assumptions'!$L$28</f>
        <v>PRD-EUAI</v>
      </c>
      <c r="P491" s="53" t="n">
        <v>0.599512</v>
      </c>
      <c r="Q491" s="53" t="n">
        <v>0.208574</v>
      </c>
      <c r="R491" s="53" t="n">
        <v>-0.692137</v>
      </c>
      <c r="S491" s="53" t="n">
        <v>-0.242382</v>
      </c>
    </row>
    <row r="492" customFormat="false" ht="15" hidden="false" customHeight="false" outlineLevel="0" collapsed="false">
      <c r="A492" s="43" t="n">
        <v>489</v>
      </c>
      <c r="B492" s="44" t="str">
        <f aca="false">'Model Inputs &amp; Assumptions'!$B$28</f>
        <v>finanzen.net — Q1 Awareness Burst</v>
      </c>
      <c r="C492" s="45" t="n">
        <f aca="false">ROUND(MAX(0,'Model Inputs &amp; Assumptions'!$S$28*EXP('Model Inputs &amp; Assumptions'!$T$28*P492-'Model Inputs &amp; Assumptions'!$T$28^2/2)),0)</f>
        <v>461292</v>
      </c>
      <c r="D492" s="46" t="n">
        <f aca="false">MIN(1,'Model Inputs &amp; Assumptions'!$U$28*EXP('Model Inputs &amp; Assumptions'!$V$28*Q492-'Model Inputs &amp; Assumptions'!$V$28^2/2))</f>
        <v>0</v>
      </c>
      <c r="E492" s="45" t="n">
        <f aca="false">ROUND(C492*D492,0)</f>
        <v>0</v>
      </c>
      <c r="F492" s="47" t="n">
        <f aca="false">MIN(1,'Model Inputs &amp; Assumptions'!$W$28*EXP('Model Inputs &amp; Assumptions'!$X$28*R492-'Model Inputs &amp; Assumptions'!$X$28^2/2))</f>
        <v>0.00166407106381743</v>
      </c>
      <c r="G492" s="45" t="n">
        <f aca="false">ROUND(C492*F492,0)</f>
        <v>768</v>
      </c>
      <c r="H492" s="48" t="n">
        <f aca="false">MAX(0,(C492*'Model Inputs &amp; Assumptions'!$N$28+E492*'Model Inputs &amp; Assumptions'!$O$28+G492*'Model Inputs &amp; Assumptions'!$P$28)*EXP('Model Inputs &amp; Assumptions'!$Q$28*S492-'Model Inputs &amp; Assumptions'!$Q$28^2/2))</f>
        <v>20.3653929409126</v>
      </c>
      <c r="I492" s="49" t="n">
        <f aca="false">IF('Model Inputs &amp; Assumptions'!$H$28="Fixed",'Model Inputs &amp; Assumptions'!$I$28*'Model Inputs &amp; Assumptions'!$K$28,IF('Model Inputs &amp; Assumptions'!$H$28="CPM",'Model Inputs &amp; Assumptions'!$I$28*'Model Inputs &amp; Assumptions'!$K$28*C492/1000,IF('Model Inputs &amp; Assumptions'!$H$28="CPC",'Model Inputs &amp; Assumptions'!$I$28*'Model Inputs &amp; Assumptions'!$K$28*G492,0)))</f>
        <v>2998.398</v>
      </c>
      <c r="J492" s="50" t="n">
        <f aca="false">H492*INDEX('Model Inputs &amp; Assumptions'!$D$40:$D$42,MATCH('Model Inputs &amp; Assumptions'!$L$28,'Model Inputs &amp; Assumptions'!$A$40:$A$42,0))*INDEX('Model Inputs &amp; Assumptions'!$H$40:$H$42,MATCH('Model Inputs &amp; Assumptions'!$L$28,'Model Inputs &amp; Assumptions'!$A$40:$A$42,0))</f>
        <v>173105.839997757</v>
      </c>
      <c r="K492" s="49" t="n">
        <f aca="false">H492*INDEX('Model Inputs &amp; Assumptions'!$G$40:$G$42,MATCH('Model Inputs &amp; Assumptions'!$L$28,'Model Inputs &amp; Assumptions'!$A$40:$A$42,0))*INDEX('Model Inputs &amp; Assumptions'!$H$40:$H$42,MATCH('Model Inputs &amp; Assumptions'!$L$28,'Model Inputs &amp; Assumptions'!$A$40:$A$42,0))</f>
        <v>3894.88139994953</v>
      </c>
      <c r="L492" s="51" t="n">
        <f aca="false">IFERROR(K492/I492,0)</f>
        <v>1.29898745928644</v>
      </c>
      <c r="M492" s="49" t="n">
        <f aca="false">IFERROR(I492/H492,0)</f>
        <v>147.230058791374</v>
      </c>
      <c r="N492" s="52" t="str">
        <f aca="false">'Model Inputs &amp; Assumptions'!$L$28</f>
        <v>PRD-EUAI</v>
      </c>
      <c r="P492" s="53" t="n">
        <v>0.105582</v>
      </c>
      <c r="Q492" s="53" t="n">
        <v>1.028353</v>
      </c>
      <c r="R492" s="53" t="n">
        <v>0.581827</v>
      </c>
      <c r="S492" s="53" t="n">
        <v>-0.261316</v>
      </c>
    </row>
    <row r="493" customFormat="false" ht="15" hidden="false" customHeight="false" outlineLevel="0" collapsed="false">
      <c r="A493" s="43" t="n">
        <v>490</v>
      </c>
      <c r="B493" s="44" t="str">
        <f aca="false">'Model Inputs &amp; Assumptions'!$B$28</f>
        <v>finanzen.net — Q1 Awareness Burst</v>
      </c>
      <c r="C493" s="45" t="n">
        <f aca="false">ROUND(MAX(0,'Model Inputs &amp; Assumptions'!$S$28*EXP('Model Inputs &amp; Assumptions'!$T$28*P493-'Model Inputs &amp; Assumptions'!$T$28^2/2)),0)</f>
        <v>438088</v>
      </c>
      <c r="D493" s="46" t="n">
        <f aca="false">MIN(1,'Model Inputs &amp; Assumptions'!$U$28*EXP('Model Inputs &amp; Assumptions'!$V$28*Q493-'Model Inputs &amp; Assumptions'!$V$28^2/2))</f>
        <v>0</v>
      </c>
      <c r="E493" s="45" t="n">
        <f aca="false">ROUND(C493*D493,0)</f>
        <v>0</v>
      </c>
      <c r="F493" s="47" t="n">
        <f aca="false">MIN(1,'Model Inputs &amp; Assumptions'!$W$28*EXP('Model Inputs &amp; Assumptions'!$X$28*R493-'Model Inputs &amp; Assumptions'!$X$28^2/2))</f>
        <v>0.00141670063001371</v>
      </c>
      <c r="G493" s="45" t="n">
        <f aca="false">ROUND(C493*F493,0)</f>
        <v>621</v>
      </c>
      <c r="H493" s="48" t="n">
        <f aca="false">MAX(0,(C493*'Model Inputs &amp; Assumptions'!$N$28+E493*'Model Inputs &amp; Assumptions'!$O$28+G493*'Model Inputs &amp; Assumptions'!$P$28)*EXP('Model Inputs &amp; Assumptions'!$Q$28*S493-'Model Inputs &amp; Assumptions'!$Q$28^2/2))</f>
        <v>13.6338747269239</v>
      </c>
      <c r="I493" s="49" t="n">
        <f aca="false">IF('Model Inputs &amp; Assumptions'!$H$28="Fixed",'Model Inputs &amp; Assumptions'!$I$28*'Model Inputs &amp; Assumptions'!$K$28,IF('Model Inputs &amp; Assumptions'!$H$28="CPM",'Model Inputs &amp; Assumptions'!$I$28*'Model Inputs &amp; Assumptions'!$K$28*C493/1000,IF('Model Inputs &amp; Assumptions'!$H$28="CPC",'Model Inputs &amp; Assumptions'!$I$28*'Model Inputs &amp; Assumptions'!$K$28*G493,0)))</f>
        <v>2847.572</v>
      </c>
      <c r="J493" s="50" t="n">
        <f aca="false">H493*INDEX('Model Inputs &amp; Assumptions'!$D$40:$D$42,MATCH('Model Inputs &amp; Assumptions'!$L$28,'Model Inputs &amp; Assumptions'!$A$40:$A$42,0))*INDEX('Model Inputs &amp; Assumptions'!$H$40:$H$42,MATCH('Model Inputs &amp; Assumptions'!$L$28,'Model Inputs &amp; Assumptions'!$A$40:$A$42,0))</f>
        <v>115887.935178853</v>
      </c>
      <c r="K493" s="49" t="n">
        <f aca="false">H493*INDEX('Model Inputs &amp; Assumptions'!$G$40:$G$42,MATCH('Model Inputs &amp; Assumptions'!$L$28,'Model Inputs &amp; Assumptions'!$A$40:$A$42,0))*INDEX('Model Inputs &amp; Assumptions'!$H$40:$H$42,MATCH('Model Inputs &amp; Assumptions'!$L$28,'Model Inputs &amp; Assumptions'!$A$40:$A$42,0))</f>
        <v>2607.47854152419</v>
      </c>
      <c r="L493" s="51" t="n">
        <f aca="false">IFERROR(K493/I493,0)</f>
        <v>0.915684850646163</v>
      </c>
      <c r="M493" s="49" t="n">
        <f aca="false">IFERROR(I493/H493,0)</f>
        <v>208.860067811587</v>
      </c>
      <c r="N493" s="52" t="str">
        <f aca="false">'Model Inputs &amp; Assumptions'!$L$28</f>
        <v>PRD-EUAI</v>
      </c>
      <c r="P493" s="53" t="n">
        <v>-0.181148</v>
      </c>
      <c r="Q493" s="53" t="n">
        <v>-0.05581</v>
      </c>
      <c r="R493" s="53" t="n">
        <v>-0.149702</v>
      </c>
      <c r="S493" s="53" t="n">
        <v>-0.890719</v>
      </c>
    </row>
    <row r="494" customFormat="false" ht="15" hidden="false" customHeight="false" outlineLevel="0" collapsed="false">
      <c r="A494" s="43" t="n">
        <v>491</v>
      </c>
      <c r="B494" s="44" t="str">
        <f aca="false">'Model Inputs &amp; Assumptions'!$B$28</f>
        <v>finanzen.net — Q1 Awareness Burst</v>
      </c>
      <c r="C494" s="45" t="n">
        <f aca="false">ROUND(MAX(0,'Model Inputs &amp; Assumptions'!$S$28*EXP('Model Inputs &amp; Assumptions'!$T$28*P494-'Model Inputs &amp; Assumptions'!$T$28^2/2)),0)</f>
        <v>381029</v>
      </c>
      <c r="D494" s="46" t="n">
        <f aca="false">MIN(1,'Model Inputs &amp; Assumptions'!$U$28*EXP('Model Inputs &amp; Assumptions'!$V$28*Q494-'Model Inputs &amp; Assumptions'!$V$28^2/2))</f>
        <v>0</v>
      </c>
      <c r="E494" s="45" t="n">
        <f aca="false">ROUND(C494*D494,0)</f>
        <v>0</v>
      </c>
      <c r="F494" s="47" t="n">
        <f aca="false">MIN(1,'Model Inputs &amp; Assumptions'!$W$28*EXP('Model Inputs &amp; Assumptions'!$X$28*R494-'Model Inputs &amp; Assumptions'!$X$28^2/2))</f>
        <v>0.00165883207937573</v>
      </c>
      <c r="G494" s="45" t="n">
        <f aca="false">ROUND(C494*F494,0)</f>
        <v>632</v>
      </c>
      <c r="H494" s="48" t="n">
        <f aca="false">MAX(0,(C494*'Model Inputs &amp; Assumptions'!$N$28+E494*'Model Inputs &amp; Assumptions'!$O$28+G494*'Model Inputs &amp; Assumptions'!$P$28)*EXP('Model Inputs &amp; Assumptions'!$Q$28*S494-'Model Inputs &amp; Assumptions'!$Q$28^2/2))</f>
        <v>16.1621355838392</v>
      </c>
      <c r="I494" s="49" t="n">
        <f aca="false">IF('Model Inputs &amp; Assumptions'!$H$28="Fixed",'Model Inputs &amp; Assumptions'!$I$28*'Model Inputs &amp; Assumptions'!$K$28,IF('Model Inputs &amp; Assumptions'!$H$28="CPM",'Model Inputs &amp; Assumptions'!$I$28*'Model Inputs &amp; Assumptions'!$K$28*C494/1000,IF('Model Inputs &amp; Assumptions'!$H$28="CPC",'Model Inputs &amp; Assumptions'!$I$28*'Model Inputs &amp; Assumptions'!$K$28*G494,0)))</f>
        <v>2476.6885</v>
      </c>
      <c r="J494" s="50" t="n">
        <f aca="false">H494*INDEX('Model Inputs &amp; Assumptions'!$D$40:$D$42,MATCH('Model Inputs &amp; Assumptions'!$L$28,'Model Inputs &amp; Assumptions'!$A$40:$A$42,0))*INDEX('Model Inputs &amp; Assumptions'!$H$40:$H$42,MATCH('Model Inputs &amp; Assumptions'!$L$28,'Model Inputs &amp; Assumptions'!$A$40:$A$42,0))</f>
        <v>137378.152462633</v>
      </c>
      <c r="K494" s="49" t="n">
        <f aca="false">H494*INDEX('Model Inputs &amp; Assumptions'!$G$40:$G$42,MATCH('Model Inputs &amp; Assumptions'!$L$28,'Model Inputs &amp; Assumptions'!$A$40:$A$42,0))*INDEX('Model Inputs &amp; Assumptions'!$H$40:$H$42,MATCH('Model Inputs &amp; Assumptions'!$L$28,'Model Inputs &amp; Assumptions'!$A$40:$A$42,0))</f>
        <v>3091.00843040924</v>
      </c>
      <c r="L494" s="51" t="n">
        <f aca="false">IFERROR(K494/I494,0)</f>
        <v>1.24804085391007</v>
      </c>
      <c r="M494" s="49" t="n">
        <f aca="false">IFERROR(I494/H494,0)</f>
        <v>153.240175913169</v>
      </c>
      <c r="N494" s="52" t="str">
        <f aca="false">'Model Inputs &amp; Assumptions'!$L$28</f>
        <v>PRD-EUAI</v>
      </c>
      <c r="P494" s="53" t="n">
        <v>-0.956393</v>
      </c>
      <c r="Q494" s="53" t="n">
        <v>-1.072519</v>
      </c>
      <c r="R494" s="53" t="n">
        <v>0.567494</v>
      </c>
      <c r="S494" s="53" t="n">
        <v>-0.382201</v>
      </c>
    </row>
    <row r="495" customFormat="false" ht="15" hidden="false" customHeight="false" outlineLevel="0" collapsed="false">
      <c r="A495" s="43" t="n">
        <v>492</v>
      </c>
      <c r="B495" s="44" t="str">
        <f aca="false">'Model Inputs &amp; Assumptions'!$B$28</f>
        <v>finanzen.net — Q1 Awareness Burst</v>
      </c>
      <c r="C495" s="45" t="n">
        <f aca="false">ROUND(MAX(0,'Model Inputs &amp; Assumptions'!$S$28*EXP('Model Inputs &amp; Assumptions'!$T$28*P495-'Model Inputs &amp; Assumptions'!$T$28^2/2)),0)</f>
        <v>476786</v>
      </c>
      <c r="D495" s="46" t="n">
        <f aca="false">MIN(1,'Model Inputs &amp; Assumptions'!$U$28*EXP('Model Inputs &amp; Assumptions'!$V$28*Q495-'Model Inputs &amp; Assumptions'!$V$28^2/2))</f>
        <v>0</v>
      </c>
      <c r="E495" s="45" t="n">
        <f aca="false">ROUND(C495*D495,0)</f>
        <v>0</v>
      </c>
      <c r="F495" s="47" t="n">
        <f aca="false">MIN(1,'Model Inputs &amp; Assumptions'!$W$28*EXP('Model Inputs &amp; Assumptions'!$X$28*R495-'Model Inputs &amp; Assumptions'!$X$28^2/2))</f>
        <v>0.00169046315585657</v>
      </c>
      <c r="G495" s="45" t="n">
        <f aca="false">ROUND(C495*F495,0)</f>
        <v>806</v>
      </c>
      <c r="H495" s="48" t="n">
        <f aca="false">MAX(0,(C495*'Model Inputs &amp; Assumptions'!$N$28+E495*'Model Inputs &amp; Assumptions'!$O$28+G495*'Model Inputs &amp; Assumptions'!$P$28)*EXP('Model Inputs &amp; Assumptions'!$Q$28*S495-'Model Inputs &amp; Assumptions'!$Q$28^2/2))</f>
        <v>44.2369293184787</v>
      </c>
      <c r="I495" s="49" t="n">
        <f aca="false">IF('Model Inputs &amp; Assumptions'!$H$28="Fixed",'Model Inputs &amp; Assumptions'!$I$28*'Model Inputs &amp; Assumptions'!$K$28,IF('Model Inputs &amp; Assumptions'!$H$28="CPM",'Model Inputs &amp; Assumptions'!$I$28*'Model Inputs &amp; Assumptions'!$K$28*C495/1000,IF('Model Inputs &amp; Assumptions'!$H$28="CPC",'Model Inputs &amp; Assumptions'!$I$28*'Model Inputs &amp; Assumptions'!$K$28*G495,0)))</f>
        <v>3099.109</v>
      </c>
      <c r="J495" s="50" t="n">
        <f aca="false">H495*INDEX('Model Inputs &amp; Assumptions'!$D$40:$D$42,MATCH('Model Inputs &amp; Assumptions'!$L$28,'Model Inputs &amp; Assumptions'!$A$40:$A$42,0))*INDEX('Model Inputs &amp; Assumptions'!$H$40:$H$42,MATCH('Model Inputs &amp; Assumptions'!$L$28,'Model Inputs &amp; Assumptions'!$A$40:$A$42,0))</f>
        <v>376013.899207069</v>
      </c>
      <c r="K495" s="49" t="n">
        <f aca="false">H495*INDEX('Model Inputs &amp; Assumptions'!$G$40:$G$42,MATCH('Model Inputs &amp; Assumptions'!$L$28,'Model Inputs &amp; Assumptions'!$A$40:$A$42,0))*INDEX('Model Inputs &amp; Assumptions'!$H$40:$H$42,MATCH('Model Inputs &amp; Assumptions'!$L$28,'Model Inputs &amp; Assumptions'!$A$40:$A$42,0))</f>
        <v>8460.31273215906</v>
      </c>
      <c r="L495" s="51" t="n">
        <f aca="false">IFERROR(K495/I495,0)</f>
        <v>2.72991777061054</v>
      </c>
      <c r="M495" s="49" t="n">
        <f aca="false">IFERROR(I495/H495,0)</f>
        <v>70.0570552193693</v>
      </c>
      <c r="N495" s="52" t="str">
        <f aca="false">'Model Inputs &amp; Assumptions'!$L$28</f>
        <v>PRD-EUAI</v>
      </c>
      <c r="P495" s="53" t="n">
        <v>0.289116</v>
      </c>
      <c r="Q495" s="53" t="n">
        <v>-0.696008</v>
      </c>
      <c r="R495" s="53" t="n">
        <v>0.653352</v>
      </c>
      <c r="S495" s="53" t="n">
        <v>2.163447</v>
      </c>
    </row>
    <row r="496" customFormat="false" ht="15" hidden="false" customHeight="false" outlineLevel="0" collapsed="false">
      <c r="A496" s="43" t="n">
        <v>493</v>
      </c>
      <c r="B496" s="44" t="str">
        <f aca="false">'Model Inputs &amp; Assumptions'!$B$28</f>
        <v>finanzen.net — Q1 Awareness Burst</v>
      </c>
      <c r="C496" s="45" t="n">
        <f aca="false">ROUND(MAX(0,'Model Inputs &amp; Assumptions'!$S$28*EXP('Model Inputs &amp; Assumptions'!$T$28*P496-'Model Inputs &amp; Assumptions'!$T$28^2/2)),0)</f>
        <v>398097</v>
      </c>
      <c r="D496" s="46" t="n">
        <f aca="false">MIN(1,'Model Inputs &amp; Assumptions'!$U$28*EXP('Model Inputs &amp; Assumptions'!$V$28*Q496-'Model Inputs &amp; Assumptions'!$V$28^2/2))</f>
        <v>0</v>
      </c>
      <c r="E496" s="45" t="n">
        <f aca="false">ROUND(C496*D496,0)</f>
        <v>0</v>
      </c>
      <c r="F496" s="47" t="n">
        <f aca="false">MIN(1,'Model Inputs &amp; Assumptions'!$W$28*EXP('Model Inputs &amp; Assumptions'!$X$28*R496-'Model Inputs &amp; Assumptions'!$X$28^2/2))</f>
        <v>0.00169673013372984</v>
      </c>
      <c r="G496" s="45" t="n">
        <f aca="false">ROUND(C496*F496,0)</f>
        <v>675</v>
      </c>
      <c r="H496" s="48" t="n">
        <f aca="false">MAX(0,(C496*'Model Inputs &amp; Assumptions'!$N$28+E496*'Model Inputs &amp; Assumptions'!$O$28+G496*'Model Inputs &amp; Assumptions'!$P$28)*EXP('Model Inputs &amp; Assumptions'!$Q$28*S496-'Model Inputs &amp; Assumptions'!$Q$28^2/2))</f>
        <v>30.3934916050642</v>
      </c>
      <c r="I496" s="49" t="n">
        <f aca="false">IF('Model Inputs &amp; Assumptions'!$H$28="Fixed",'Model Inputs &amp; Assumptions'!$I$28*'Model Inputs &amp; Assumptions'!$K$28,IF('Model Inputs &amp; Assumptions'!$H$28="CPM",'Model Inputs &amp; Assumptions'!$I$28*'Model Inputs &amp; Assumptions'!$K$28*C496/1000,IF('Model Inputs &amp; Assumptions'!$H$28="CPC",'Model Inputs &amp; Assumptions'!$I$28*'Model Inputs &amp; Assumptions'!$K$28*G496,0)))</f>
        <v>2587.6305</v>
      </c>
      <c r="J496" s="50" t="n">
        <f aca="false">H496*INDEX('Model Inputs &amp; Assumptions'!$D$40:$D$42,MATCH('Model Inputs &amp; Assumptions'!$L$28,'Model Inputs &amp; Assumptions'!$A$40:$A$42,0))*INDEX('Model Inputs &amp; Assumptions'!$H$40:$H$42,MATCH('Model Inputs &amp; Assumptions'!$L$28,'Model Inputs &amp; Assumptions'!$A$40:$A$42,0))</f>
        <v>258344.678643046</v>
      </c>
      <c r="K496" s="49" t="n">
        <f aca="false">H496*INDEX('Model Inputs &amp; Assumptions'!$G$40:$G$42,MATCH('Model Inputs &amp; Assumptions'!$L$28,'Model Inputs &amp; Assumptions'!$A$40:$A$42,0))*INDEX('Model Inputs &amp; Assumptions'!$H$40:$H$42,MATCH('Model Inputs &amp; Assumptions'!$L$28,'Model Inputs &amp; Assumptions'!$A$40:$A$42,0))</f>
        <v>5812.75526946853</v>
      </c>
      <c r="L496" s="51" t="n">
        <f aca="false">IFERROR(K496/I496,0)</f>
        <v>2.24636217167348</v>
      </c>
      <c r="M496" s="49" t="n">
        <f aca="false">IFERROR(I496/H496,0)</f>
        <v>85.1376516269965</v>
      </c>
      <c r="N496" s="52" t="str">
        <f aca="false">'Model Inputs &amp; Assumptions'!$L$28</f>
        <v>PRD-EUAI</v>
      </c>
      <c r="P496" s="53" t="n">
        <v>-0.712945</v>
      </c>
      <c r="Q496" s="53" t="n">
        <v>1.41936</v>
      </c>
      <c r="R496" s="53" t="n">
        <v>0.670172</v>
      </c>
      <c r="S496" s="53" t="n">
        <v>1.503579</v>
      </c>
    </row>
    <row r="497" customFormat="false" ht="15" hidden="false" customHeight="false" outlineLevel="0" collapsed="false">
      <c r="A497" s="43" t="n">
        <v>494</v>
      </c>
      <c r="B497" s="44" t="str">
        <f aca="false">'Model Inputs &amp; Assumptions'!$B$28</f>
        <v>finanzen.net — Q1 Awareness Burst</v>
      </c>
      <c r="C497" s="45" t="n">
        <f aca="false">ROUND(MAX(0,'Model Inputs &amp; Assumptions'!$S$28*EXP('Model Inputs &amp; Assumptions'!$T$28*P497-'Model Inputs &amp; Assumptions'!$T$28^2/2)),0)</f>
        <v>360836</v>
      </c>
      <c r="D497" s="46" t="n">
        <f aca="false">MIN(1,'Model Inputs &amp; Assumptions'!$U$28*EXP('Model Inputs &amp; Assumptions'!$V$28*Q497-'Model Inputs &amp; Assumptions'!$V$28^2/2))</f>
        <v>0</v>
      </c>
      <c r="E497" s="45" t="n">
        <f aca="false">ROUND(C497*D497,0)</f>
        <v>0</v>
      </c>
      <c r="F497" s="47" t="n">
        <f aca="false">MIN(1,'Model Inputs &amp; Assumptions'!$W$28*EXP('Model Inputs &amp; Assumptions'!$X$28*R497-'Model Inputs &amp; Assumptions'!$X$28^2/2))</f>
        <v>0.00122435413485838</v>
      </c>
      <c r="G497" s="45" t="n">
        <f aca="false">ROUND(C497*F497,0)</f>
        <v>442</v>
      </c>
      <c r="H497" s="48" t="n">
        <f aca="false">MAX(0,(C497*'Model Inputs &amp; Assumptions'!$N$28+E497*'Model Inputs &amp; Assumptions'!$O$28+G497*'Model Inputs &amp; Assumptions'!$P$28)*EXP('Model Inputs &amp; Assumptions'!$Q$28*S497-'Model Inputs &amp; Assumptions'!$Q$28^2/2))</f>
        <v>9.81054457979516</v>
      </c>
      <c r="I497" s="49" t="n">
        <f aca="false">IF('Model Inputs &amp; Assumptions'!$H$28="Fixed",'Model Inputs &amp; Assumptions'!$I$28*'Model Inputs &amp; Assumptions'!$K$28,IF('Model Inputs &amp; Assumptions'!$H$28="CPM",'Model Inputs &amp; Assumptions'!$I$28*'Model Inputs &amp; Assumptions'!$K$28*C497/1000,IF('Model Inputs &amp; Assumptions'!$H$28="CPC",'Model Inputs &amp; Assumptions'!$I$28*'Model Inputs &amp; Assumptions'!$K$28*G497,0)))</f>
        <v>2345.434</v>
      </c>
      <c r="J497" s="50" t="n">
        <f aca="false">H497*INDEX('Model Inputs &amp; Assumptions'!$D$40:$D$42,MATCH('Model Inputs &amp; Assumptions'!$L$28,'Model Inputs &amp; Assumptions'!$A$40:$A$42,0))*INDEX('Model Inputs &amp; Assumptions'!$H$40:$H$42,MATCH('Model Inputs &amp; Assumptions'!$L$28,'Model Inputs &amp; Assumptions'!$A$40:$A$42,0))</f>
        <v>83389.6289282588</v>
      </c>
      <c r="K497" s="49" t="n">
        <f aca="false">H497*INDEX('Model Inputs &amp; Assumptions'!$G$40:$G$42,MATCH('Model Inputs &amp; Assumptions'!$L$28,'Model Inputs &amp; Assumptions'!$A$40:$A$42,0))*INDEX('Model Inputs &amp; Assumptions'!$H$40:$H$42,MATCH('Model Inputs &amp; Assumptions'!$L$28,'Model Inputs &amp; Assumptions'!$A$40:$A$42,0))</f>
        <v>1876.26665088582</v>
      </c>
      <c r="L497" s="51" t="n">
        <f aca="false">IFERROR(K497/I497,0)</f>
        <v>0.799965657053587</v>
      </c>
      <c r="M497" s="49" t="n">
        <f aca="false">IFERROR(I497/H497,0)</f>
        <v>239.072763078864</v>
      </c>
      <c r="N497" s="52" t="str">
        <f aca="false">'Model Inputs &amp; Assumptions'!$L$28</f>
        <v>PRD-EUAI</v>
      </c>
      <c r="P497" s="53" t="n">
        <v>-1.258898</v>
      </c>
      <c r="Q497" s="53" t="n">
        <v>-0.395072</v>
      </c>
      <c r="R497" s="53" t="n">
        <v>-0.812962</v>
      </c>
      <c r="S497" s="53" t="n">
        <v>-0.854314</v>
      </c>
    </row>
    <row r="498" customFormat="false" ht="15" hidden="false" customHeight="false" outlineLevel="0" collapsed="false">
      <c r="A498" s="43" t="n">
        <v>495</v>
      </c>
      <c r="B498" s="44" t="str">
        <f aca="false">'Model Inputs &amp; Assumptions'!$B$28</f>
        <v>finanzen.net — Q1 Awareness Burst</v>
      </c>
      <c r="C498" s="45" t="n">
        <f aca="false">ROUND(MAX(0,'Model Inputs &amp; Assumptions'!$S$28*EXP('Model Inputs &amp; Assumptions'!$T$28*P498-'Model Inputs &amp; Assumptions'!$T$28^2/2)),0)</f>
        <v>412761</v>
      </c>
      <c r="D498" s="46" t="n">
        <f aca="false">MIN(1,'Model Inputs &amp; Assumptions'!$U$28*EXP('Model Inputs &amp; Assumptions'!$V$28*Q498-'Model Inputs &amp; Assumptions'!$V$28^2/2))</f>
        <v>0</v>
      </c>
      <c r="E498" s="45" t="n">
        <f aca="false">ROUND(C498*D498,0)</f>
        <v>0</v>
      </c>
      <c r="F498" s="47" t="n">
        <f aca="false">MIN(1,'Model Inputs &amp; Assumptions'!$W$28*EXP('Model Inputs &amp; Assumptions'!$X$28*R498-'Model Inputs &amp; Assumptions'!$X$28^2/2))</f>
        <v>0.00151035600525502</v>
      </c>
      <c r="G498" s="45" t="n">
        <f aca="false">ROUND(C498*F498,0)</f>
        <v>623</v>
      </c>
      <c r="H498" s="48" t="n">
        <f aca="false">MAX(0,(C498*'Model Inputs &amp; Assumptions'!$N$28+E498*'Model Inputs &amp; Assumptions'!$O$28+G498*'Model Inputs &amp; Assumptions'!$P$28)*EXP('Model Inputs &amp; Assumptions'!$Q$28*S498-'Model Inputs &amp; Assumptions'!$Q$28^2/2))</f>
        <v>16.8487104290238</v>
      </c>
      <c r="I498" s="49" t="n">
        <f aca="false">IF('Model Inputs &amp; Assumptions'!$H$28="Fixed",'Model Inputs &amp; Assumptions'!$I$28*'Model Inputs &amp; Assumptions'!$K$28,IF('Model Inputs &amp; Assumptions'!$H$28="CPM",'Model Inputs &amp; Assumptions'!$I$28*'Model Inputs &amp; Assumptions'!$K$28*C498/1000,IF('Model Inputs &amp; Assumptions'!$H$28="CPC",'Model Inputs &amp; Assumptions'!$I$28*'Model Inputs &amp; Assumptions'!$K$28*G498,0)))</f>
        <v>2682.9465</v>
      </c>
      <c r="J498" s="50" t="n">
        <f aca="false">H498*INDEX('Model Inputs &amp; Assumptions'!$D$40:$D$42,MATCH('Model Inputs &amp; Assumptions'!$L$28,'Model Inputs &amp; Assumptions'!$A$40:$A$42,0))*INDEX('Model Inputs &amp; Assumptions'!$H$40:$H$42,MATCH('Model Inputs &amp; Assumptions'!$L$28,'Model Inputs &amp; Assumptions'!$A$40:$A$42,0))</f>
        <v>143214.038646703</v>
      </c>
      <c r="K498" s="49" t="n">
        <f aca="false">H498*INDEX('Model Inputs &amp; Assumptions'!$G$40:$G$42,MATCH('Model Inputs &amp; Assumptions'!$L$28,'Model Inputs &amp; Assumptions'!$A$40:$A$42,0))*INDEX('Model Inputs &amp; Assumptions'!$H$40:$H$42,MATCH('Model Inputs &amp; Assumptions'!$L$28,'Model Inputs &amp; Assumptions'!$A$40:$A$42,0))</f>
        <v>3222.31586955081</v>
      </c>
      <c r="L498" s="51" t="n">
        <f aca="false">IFERROR(K498/I498,0)</f>
        <v>1.20103620014443</v>
      </c>
      <c r="M498" s="49" t="n">
        <f aca="false">IFERROR(I498/H498,0)</f>
        <v>159.237498400965</v>
      </c>
      <c r="N498" s="52" t="str">
        <f aca="false">'Model Inputs &amp; Assumptions'!$L$28</f>
        <v>PRD-EUAI</v>
      </c>
      <c r="P498" s="53" t="n">
        <v>-0.511994</v>
      </c>
      <c r="Q498" s="53" t="n">
        <v>0.151579</v>
      </c>
      <c r="R498" s="53" t="n">
        <v>0.141274</v>
      </c>
      <c r="S498" s="53" t="n">
        <v>-0.195715</v>
      </c>
    </row>
    <row r="499" customFormat="false" ht="15" hidden="false" customHeight="false" outlineLevel="0" collapsed="false">
      <c r="A499" s="43" t="n">
        <v>496</v>
      </c>
      <c r="B499" s="44" t="str">
        <f aca="false">'Model Inputs &amp; Assumptions'!$B$28</f>
        <v>finanzen.net — Q1 Awareness Burst</v>
      </c>
      <c r="C499" s="45" t="n">
        <f aca="false">ROUND(MAX(0,'Model Inputs &amp; Assumptions'!$S$28*EXP('Model Inputs &amp; Assumptions'!$T$28*P499-'Model Inputs &amp; Assumptions'!$T$28^2/2)),0)</f>
        <v>531657</v>
      </c>
      <c r="D499" s="46" t="n">
        <f aca="false">MIN(1,'Model Inputs &amp; Assumptions'!$U$28*EXP('Model Inputs &amp; Assumptions'!$V$28*Q499-'Model Inputs &amp; Assumptions'!$V$28^2/2))</f>
        <v>0</v>
      </c>
      <c r="E499" s="45" t="n">
        <f aca="false">ROUND(C499*D499,0)</f>
        <v>0</v>
      </c>
      <c r="F499" s="47" t="n">
        <f aca="false">MIN(1,'Model Inputs &amp; Assumptions'!$W$28*EXP('Model Inputs &amp; Assumptions'!$X$28*R499-'Model Inputs &amp; Assumptions'!$X$28^2/2))</f>
        <v>0.00145499486019933</v>
      </c>
      <c r="G499" s="45" t="n">
        <f aca="false">ROUND(C499*F499,0)</f>
        <v>774</v>
      </c>
      <c r="H499" s="48" t="n">
        <f aca="false">MAX(0,(C499*'Model Inputs &amp; Assumptions'!$N$28+E499*'Model Inputs &amp; Assumptions'!$O$28+G499*'Model Inputs &amp; Assumptions'!$P$28)*EXP('Model Inputs &amp; Assumptions'!$Q$28*S499-'Model Inputs &amp; Assumptions'!$Q$28^2/2))</f>
        <v>23.9304061996301</v>
      </c>
      <c r="I499" s="49" t="n">
        <f aca="false">IF('Model Inputs &amp; Assumptions'!$H$28="Fixed",'Model Inputs &amp; Assumptions'!$I$28*'Model Inputs &amp; Assumptions'!$K$28,IF('Model Inputs &amp; Assumptions'!$H$28="CPM",'Model Inputs &amp; Assumptions'!$I$28*'Model Inputs &amp; Assumptions'!$K$28*C499/1000,IF('Model Inputs &amp; Assumptions'!$H$28="CPC",'Model Inputs &amp; Assumptions'!$I$28*'Model Inputs &amp; Assumptions'!$K$28*G499,0)))</f>
        <v>3455.7705</v>
      </c>
      <c r="J499" s="50" t="n">
        <f aca="false">H499*INDEX('Model Inputs &amp; Assumptions'!$D$40:$D$42,MATCH('Model Inputs &amp; Assumptions'!$L$28,'Model Inputs &amp; Assumptions'!$A$40:$A$42,0))*INDEX('Model Inputs &amp; Assumptions'!$H$40:$H$42,MATCH('Model Inputs &amp; Assumptions'!$L$28,'Model Inputs &amp; Assumptions'!$A$40:$A$42,0))</f>
        <v>203408.452696856</v>
      </c>
      <c r="K499" s="49" t="n">
        <f aca="false">H499*INDEX('Model Inputs &amp; Assumptions'!$G$40:$G$42,MATCH('Model Inputs &amp; Assumptions'!$L$28,'Model Inputs &amp; Assumptions'!$A$40:$A$42,0))*INDEX('Model Inputs &amp; Assumptions'!$H$40:$H$42,MATCH('Model Inputs &amp; Assumptions'!$L$28,'Model Inputs &amp; Assumptions'!$A$40:$A$42,0))</f>
        <v>4576.69018567926</v>
      </c>
      <c r="L499" s="51" t="n">
        <f aca="false">IFERROR(K499/I499,0)</f>
        <v>1.32436172647439</v>
      </c>
      <c r="M499" s="49" t="n">
        <f aca="false">IFERROR(I499/H499,0)</f>
        <v>144.40918683835</v>
      </c>
      <c r="N499" s="52" t="str">
        <f aca="false">'Model Inputs &amp; Assumptions'!$L$28</f>
        <v>PRD-EUAI</v>
      </c>
      <c r="P499" s="53" t="n">
        <v>0.894291</v>
      </c>
      <c r="Q499" s="53" t="n">
        <v>1.227409</v>
      </c>
      <c r="R499" s="53" t="n">
        <v>-0.028467</v>
      </c>
      <c r="S499" s="53" t="n">
        <v>0.250453</v>
      </c>
    </row>
    <row r="500" customFormat="false" ht="15" hidden="false" customHeight="false" outlineLevel="0" collapsed="false">
      <c r="A500" s="43" t="n">
        <v>497</v>
      </c>
      <c r="B500" s="44" t="str">
        <f aca="false">'Model Inputs &amp; Assumptions'!$B$28</f>
        <v>finanzen.net — Q1 Awareness Burst</v>
      </c>
      <c r="C500" s="45" t="n">
        <f aca="false">ROUND(MAX(0,'Model Inputs &amp; Assumptions'!$S$28*EXP('Model Inputs &amp; Assumptions'!$T$28*P500-'Model Inputs &amp; Assumptions'!$T$28^2/2)),0)</f>
        <v>459040</v>
      </c>
      <c r="D500" s="46" t="n">
        <f aca="false">MIN(1,'Model Inputs &amp; Assumptions'!$U$28*EXP('Model Inputs &amp; Assumptions'!$V$28*Q500-'Model Inputs &amp; Assumptions'!$V$28^2/2))</f>
        <v>0</v>
      </c>
      <c r="E500" s="45" t="n">
        <f aca="false">ROUND(C500*D500,0)</f>
        <v>0</v>
      </c>
      <c r="F500" s="47" t="n">
        <f aca="false">MIN(1,'Model Inputs &amp; Assumptions'!$W$28*EXP('Model Inputs &amp; Assumptions'!$X$28*R500-'Model Inputs &amp; Assumptions'!$X$28^2/2))</f>
        <v>0.00233651113333178</v>
      </c>
      <c r="G500" s="45" t="n">
        <f aca="false">ROUND(C500*F500,0)</f>
        <v>1073</v>
      </c>
      <c r="H500" s="48" t="n">
        <f aca="false">MAX(0,(C500*'Model Inputs &amp; Assumptions'!$N$28+E500*'Model Inputs &amp; Assumptions'!$O$28+G500*'Model Inputs &amp; Assumptions'!$P$28)*EXP('Model Inputs &amp; Assumptions'!$Q$28*S500-'Model Inputs &amp; Assumptions'!$Q$28^2/2))</f>
        <v>43.0832523621743</v>
      </c>
      <c r="I500" s="49" t="n">
        <f aca="false">IF('Model Inputs &amp; Assumptions'!$H$28="Fixed",'Model Inputs &amp; Assumptions'!$I$28*'Model Inputs &amp; Assumptions'!$K$28,IF('Model Inputs &amp; Assumptions'!$H$28="CPM",'Model Inputs &amp; Assumptions'!$I$28*'Model Inputs &amp; Assumptions'!$K$28*C500/1000,IF('Model Inputs &amp; Assumptions'!$H$28="CPC",'Model Inputs &amp; Assumptions'!$I$28*'Model Inputs &amp; Assumptions'!$K$28*G500,0)))</f>
        <v>2983.76</v>
      </c>
      <c r="J500" s="50" t="n">
        <f aca="false">H500*INDEX('Model Inputs &amp; Assumptions'!$D$40:$D$42,MATCH('Model Inputs &amp; Assumptions'!$L$28,'Model Inputs &amp; Assumptions'!$A$40:$A$42,0))*INDEX('Model Inputs &amp; Assumptions'!$H$40:$H$42,MATCH('Model Inputs &amp; Assumptions'!$L$28,'Model Inputs &amp; Assumptions'!$A$40:$A$42,0))</f>
        <v>366207.645078482</v>
      </c>
      <c r="K500" s="49" t="n">
        <f aca="false">H500*INDEX('Model Inputs &amp; Assumptions'!$G$40:$G$42,MATCH('Model Inputs &amp; Assumptions'!$L$28,'Model Inputs &amp; Assumptions'!$A$40:$A$42,0))*INDEX('Model Inputs &amp; Assumptions'!$H$40:$H$42,MATCH('Model Inputs &amp; Assumptions'!$L$28,'Model Inputs &amp; Assumptions'!$A$40:$A$42,0))</f>
        <v>8239.67201426584</v>
      </c>
      <c r="L500" s="51" t="n">
        <f aca="false">IFERROR(K500/I500,0)</f>
        <v>2.76150629215012</v>
      </c>
      <c r="M500" s="49" t="n">
        <f aca="false">IFERROR(I500/H500,0)</f>
        <v>69.2556814169314</v>
      </c>
      <c r="N500" s="52" t="str">
        <f aca="false">'Model Inputs &amp; Assumptions'!$L$28</f>
        <v>PRD-EUAI</v>
      </c>
      <c r="P500" s="53" t="n">
        <v>0.078397</v>
      </c>
      <c r="Q500" s="53" t="n">
        <v>-0.09391</v>
      </c>
      <c r="R500" s="53" t="n">
        <v>2.124517</v>
      </c>
      <c r="S500" s="53" t="n">
        <v>1.121595</v>
      </c>
    </row>
    <row r="501" customFormat="false" ht="15" hidden="false" customHeight="false" outlineLevel="0" collapsed="false">
      <c r="A501" s="43" t="n">
        <v>498</v>
      </c>
      <c r="B501" s="44" t="str">
        <f aca="false">'Model Inputs &amp; Assumptions'!$B$28</f>
        <v>finanzen.net — Q1 Awareness Burst</v>
      </c>
      <c r="C501" s="45" t="n">
        <f aca="false">ROUND(MAX(0,'Model Inputs &amp; Assumptions'!$S$28*EXP('Model Inputs &amp; Assumptions'!$T$28*P501-'Model Inputs &amp; Assumptions'!$T$28^2/2)),0)</f>
        <v>338549</v>
      </c>
      <c r="D501" s="46" t="n">
        <f aca="false">MIN(1,'Model Inputs &amp; Assumptions'!$U$28*EXP('Model Inputs &amp; Assumptions'!$V$28*Q501-'Model Inputs &amp; Assumptions'!$V$28^2/2))</f>
        <v>0</v>
      </c>
      <c r="E501" s="45" t="n">
        <f aca="false">ROUND(C501*D501,0)</f>
        <v>0</v>
      </c>
      <c r="F501" s="47" t="n">
        <f aca="false">MIN(1,'Model Inputs &amp; Assumptions'!$W$28*EXP('Model Inputs &amp; Assumptions'!$X$28*R501-'Model Inputs &amp; Assumptions'!$X$28^2/2))</f>
        <v>0.00215531690430949</v>
      </c>
      <c r="G501" s="45" t="n">
        <f aca="false">ROUND(C501*F501,0)</f>
        <v>730</v>
      </c>
      <c r="H501" s="48" t="n">
        <f aca="false">MAX(0,(C501*'Model Inputs &amp; Assumptions'!$N$28+E501*'Model Inputs &amp; Assumptions'!$O$28+G501*'Model Inputs &amp; Assumptions'!$P$28)*EXP('Model Inputs &amp; Assumptions'!$Q$28*S501-'Model Inputs &amp; Assumptions'!$Q$28^2/2))</f>
        <v>23.3409711967664</v>
      </c>
      <c r="I501" s="49" t="n">
        <f aca="false">IF('Model Inputs &amp; Assumptions'!$H$28="Fixed",'Model Inputs &amp; Assumptions'!$I$28*'Model Inputs &amp; Assumptions'!$K$28,IF('Model Inputs &amp; Assumptions'!$H$28="CPM",'Model Inputs &amp; Assumptions'!$I$28*'Model Inputs &amp; Assumptions'!$K$28*C501/1000,IF('Model Inputs &amp; Assumptions'!$H$28="CPC",'Model Inputs &amp; Assumptions'!$I$28*'Model Inputs &amp; Assumptions'!$K$28*G501,0)))</f>
        <v>2200.5685</v>
      </c>
      <c r="J501" s="50" t="n">
        <f aca="false">H501*INDEX('Model Inputs &amp; Assumptions'!$D$40:$D$42,MATCH('Model Inputs &amp; Assumptions'!$L$28,'Model Inputs &amp; Assumptions'!$A$40:$A$42,0))*INDEX('Model Inputs &amp; Assumptions'!$H$40:$H$42,MATCH('Model Inputs &amp; Assumptions'!$L$28,'Model Inputs &amp; Assumptions'!$A$40:$A$42,0))</f>
        <v>198398.255172514</v>
      </c>
      <c r="K501" s="49" t="n">
        <f aca="false">H501*INDEX('Model Inputs &amp; Assumptions'!$G$40:$G$42,MATCH('Model Inputs &amp; Assumptions'!$L$28,'Model Inputs &amp; Assumptions'!$A$40:$A$42,0))*INDEX('Model Inputs &amp; Assumptions'!$H$40:$H$42,MATCH('Model Inputs &amp; Assumptions'!$L$28,'Model Inputs &amp; Assumptions'!$A$40:$A$42,0))</f>
        <v>4463.96074138158</v>
      </c>
      <c r="L501" s="51" t="n">
        <f aca="false">IFERROR(K501/I501,0)</f>
        <v>2.0285488687953</v>
      </c>
      <c r="M501" s="49" t="n">
        <f aca="false">IFERROR(I501/H501,0)</f>
        <v>94.2792174948085</v>
      </c>
      <c r="N501" s="52" t="str">
        <f aca="false">'Model Inputs &amp; Assumptions'!$L$28</f>
        <v>PRD-EUAI</v>
      </c>
      <c r="P501" s="53" t="n">
        <v>-1.613095</v>
      </c>
      <c r="Q501" s="53" t="n">
        <v>-1.101181</v>
      </c>
      <c r="R501" s="53" t="n">
        <v>1.757603</v>
      </c>
      <c r="S501" s="53" t="n">
        <v>0.362412</v>
      </c>
    </row>
    <row r="502" customFormat="false" ht="15" hidden="false" customHeight="false" outlineLevel="0" collapsed="false">
      <c r="A502" s="43" t="n">
        <v>499</v>
      </c>
      <c r="B502" s="44" t="str">
        <f aca="false">'Model Inputs &amp; Assumptions'!$B$28</f>
        <v>finanzen.net — Q1 Awareness Burst</v>
      </c>
      <c r="C502" s="45" t="n">
        <f aca="false">ROUND(MAX(0,'Model Inputs &amp; Assumptions'!$S$28*EXP('Model Inputs &amp; Assumptions'!$T$28*P502-'Model Inputs &amp; Assumptions'!$T$28^2/2)),0)</f>
        <v>407111</v>
      </c>
      <c r="D502" s="46" t="n">
        <f aca="false">MIN(1,'Model Inputs &amp; Assumptions'!$U$28*EXP('Model Inputs &amp; Assumptions'!$V$28*Q502-'Model Inputs &amp; Assumptions'!$V$28^2/2))</f>
        <v>0</v>
      </c>
      <c r="E502" s="45" t="n">
        <f aca="false">ROUND(C502*D502,0)</f>
        <v>0</v>
      </c>
      <c r="F502" s="47" t="n">
        <f aca="false">MIN(1,'Model Inputs &amp; Assumptions'!$W$28*EXP('Model Inputs &amp; Assumptions'!$X$28*R502-'Model Inputs &amp; Assumptions'!$X$28^2/2))</f>
        <v>0.0025359462158985</v>
      </c>
      <c r="G502" s="45" t="n">
        <f aca="false">ROUND(C502*F502,0)</f>
        <v>1032</v>
      </c>
      <c r="H502" s="48" t="n">
        <f aca="false">MAX(0,(C502*'Model Inputs &amp; Assumptions'!$N$28+E502*'Model Inputs &amp; Assumptions'!$O$28+G502*'Model Inputs &amp; Assumptions'!$P$28)*EXP('Model Inputs &amp; Assumptions'!$Q$28*S502-'Model Inputs &amp; Assumptions'!$Q$28^2/2))</f>
        <v>32.0515373264918</v>
      </c>
      <c r="I502" s="49" t="n">
        <f aca="false">IF('Model Inputs &amp; Assumptions'!$H$28="Fixed",'Model Inputs &amp; Assumptions'!$I$28*'Model Inputs &amp; Assumptions'!$K$28,IF('Model Inputs &amp; Assumptions'!$H$28="CPM",'Model Inputs &amp; Assumptions'!$I$28*'Model Inputs &amp; Assumptions'!$K$28*C502/1000,IF('Model Inputs &amp; Assumptions'!$H$28="CPC",'Model Inputs &amp; Assumptions'!$I$28*'Model Inputs &amp; Assumptions'!$K$28*G502,0)))</f>
        <v>2646.2215</v>
      </c>
      <c r="J502" s="50" t="n">
        <f aca="false">H502*INDEX('Model Inputs &amp; Assumptions'!$D$40:$D$42,MATCH('Model Inputs &amp; Assumptions'!$L$28,'Model Inputs &amp; Assumptions'!$A$40:$A$42,0))*INDEX('Model Inputs &amp; Assumptions'!$H$40:$H$42,MATCH('Model Inputs &amp; Assumptions'!$L$28,'Model Inputs &amp; Assumptions'!$A$40:$A$42,0))</f>
        <v>272438.06727518</v>
      </c>
      <c r="K502" s="49" t="n">
        <f aca="false">H502*INDEX('Model Inputs &amp; Assumptions'!$G$40:$G$42,MATCH('Model Inputs &amp; Assumptions'!$L$28,'Model Inputs &amp; Assumptions'!$A$40:$A$42,0))*INDEX('Model Inputs &amp; Assumptions'!$H$40:$H$42,MATCH('Model Inputs &amp; Assumptions'!$L$28,'Model Inputs &amp; Assumptions'!$A$40:$A$42,0))</f>
        <v>6129.85651369155</v>
      </c>
      <c r="L502" s="51" t="n">
        <f aca="false">IFERROR(K502/I502,0)</f>
        <v>2.31645631844936</v>
      </c>
      <c r="M502" s="49" t="n">
        <f aca="false">IFERROR(I502/H502,0)</f>
        <v>82.5614532321606</v>
      </c>
      <c r="N502" s="52" t="str">
        <f aca="false">'Model Inputs &amp; Assumptions'!$L$28</f>
        <v>PRD-EUAI</v>
      </c>
      <c r="P502" s="53" t="n">
        <v>-0.588565</v>
      </c>
      <c r="Q502" s="53" t="n">
        <v>-1.694405</v>
      </c>
      <c r="R502" s="53" t="n">
        <v>2.496826</v>
      </c>
      <c r="S502" s="53" t="n">
        <v>0.265497</v>
      </c>
    </row>
    <row r="503" customFormat="false" ht="15" hidden="false" customHeight="false" outlineLevel="0" collapsed="false">
      <c r="A503" s="43" t="n">
        <v>500</v>
      </c>
      <c r="B503" s="44" t="str">
        <f aca="false">'Model Inputs &amp; Assumptions'!$B$28</f>
        <v>finanzen.net — Q1 Awareness Burst</v>
      </c>
      <c r="C503" s="45" t="n">
        <f aca="false">ROUND(MAX(0,'Model Inputs &amp; Assumptions'!$S$28*EXP('Model Inputs &amp; Assumptions'!$T$28*P503-'Model Inputs &amp; Assumptions'!$T$28^2/2)),0)</f>
        <v>504623</v>
      </c>
      <c r="D503" s="46" t="n">
        <f aca="false">MIN(1,'Model Inputs &amp; Assumptions'!$U$28*EXP('Model Inputs &amp; Assumptions'!$V$28*Q503-'Model Inputs &amp; Assumptions'!$V$28^2/2))</f>
        <v>0</v>
      </c>
      <c r="E503" s="45" t="n">
        <f aca="false">ROUND(C503*D503,0)</f>
        <v>0</v>
      </c>
      <c r="F503" s="47" t="n">
        <f aca="false">MIN(1,'Model Inputs &amp; Assumptions'!$W$28*EXP('Model Inputs &amp; Assumptions'!$X$28*R503-'Model Inputs &amp; Assumptions'!$X$28^2/2))</f>
        <v>0.000945777695348609</v>
      </c>
      <c r="G503" s="45" t="n">
        <f aca="false">ROUND(C503*F503,0)</f>
        <v>477</v>
      </c>
      <c r="H503" s="48" t="n">
        <f aca="false">MAX(0,(C503*'Model Inputs &amp; Assumptions'!$N$28+E503*'Model Inputs &amp; Assumptions'!$O$28+G503*'Model Inputs &amp; Assumptions'!$P$28)*EXP('Model Inputs &amp; Assumptions'!$Q$28*S503-'Model Inputs &amp; Assumptions'!$Q$28^2/2))</f>
        <v>10.7628640349602</v>
      </c>
      <c r="I503" s="49" t="n">
        <f aca="false">IF('Model Inputs &amp; Assumptions'!$H$28="Fixed",'Model Inputs &amp; Assumptions'!$I$28*'Model Inputs &amp; Assumptions'!$K$28,IF('Model Inputs &amp; Assumptions'!$H$28="CPM",'Model Inputs &amp; Assumptions'!$I$28*'Model Inputs &amp; Assumptions'!$K$28*C503/1000,IF('Model Inputs &amp; Assumptions'!$H$28="CPC",'Model Inputs &amp; Assumptions'!$I$28*'Model Inputs &amp; Assumptions'!$K$28*G503,0)))</f>
        <v>3280.0495</v>
      </c>
      <c r="J503" s="50" t="n">
        <f aca="false">H503*INDEX('Model Inputs &amp; Assumptions'!$D$40:$D$42,MATCH('Model Inputs &amp; Assumptions'!$L$28,'Model Inputs &amp; Assumptions'!$A$40:$A$42,0))*INDEX('Model Inputs &amp; Assumptions'!$H$40:$H$42,MATCH('Model Inputs &amp; Assumptions'!$L$28,'Model Inputs &amp; Assumptions'!$A$40:$A$42,0))</f>
        <v>91484.3442971613</v>
      </c>
      <c r="K503" s="49" t="n">
        <f aca="false">H503*INDEX('Model Inputs &amp; Assumptions'!$G$40:$G$42,MATCH('Model Inputs &amp; Assumptions'!$L$28,'Model Inputs &amp; Assumptions'!$A$40:$A$42,0))*INDEX('Model Inputs &amp; Assumptions'!$H$40:$H$42,MATCH('Model Inputs &amp; Assumptions'!$L$28,'Model Inputs &amp; Assumptions'!$A$40:$A$42,0))</f>
        <v>2058.39774668613</v>
      </c>
      <c r="L503" s="51" t="n">
        <f aca="false">IFERROR(K503/I503,0)</f>
        <v>0.62755081796361</v>
      </c>
      <c r="M503" s="49" t="n">
        <f aca="false">IFERROR(I503/H503,0)</f>
        <v>304.75619587367</v>
      </c>
      <c r="N503" s="52" t="str">
        <f aca="false">'Model Inputs &amp; Assumptions'!$L$28</f>
        <v>PRD-EUAI</v>
      </c>
      <c r="P503" s="53" t="n">
        <v>0.604358</v>
      </c>
      <c r="Q503" s="53" t="n">
        <v>1.502206</v>
      </c>
      <c r="R503" s="53" t="n">
        <v>-1.986422</v>
      </c>
      <c r="S503" s="53" t="n">
        <v>-0.799523</v>
      </c>
    </row>
    <row r="504" customFormat="false" ht="15" hidden="false" customHeight="false" outlineLevel="0" collapsed="false">
      <c r="A504" s="43" t="n">
        <v>1</v>
      </c>
      <c r="B504" s="44" t="str">
        <f aca="false">'Model Inputs &amp; Assumptions'!$B$29</f>
        <v>Handelsblatt — Native Explainer</v>
      </c>
      <c r="C504" s="45" t="n">
        <f aca="false">ROUND(MAX(0,'Model Inputs &amp; Assumptions'!$S$29*EXP('Model Inputs &amp; Assumptions'!$T$29*P504-'Model Inputs &amp; Assumptions'!$T$29^2/2)),0)</f>
        <v>199784</v>
      </c>
      <c r="D504" s="46" t="n">
        <f aca="false">MIN(1,'Model Inputs &amp; Assumptions'!$U$29*EXP('Model Inputs &amp; Assumptions'!$V$29*Q504-'Model Inputs &amp; Assumptions'!$V$29^2/2))</f>
        <v>0</v>
      </c>
      <c r="E504" s="45" t="n">
        <f aca="false">ROUND(C504*D504,0)</f>
        <v>0</v>
      </c>
      <c r="F504" s="47" t="n">
        <f aca="false">MIN(1,'Model Inputs &amp; Assumptions'!$W$29*EXP('Model Inputs &amp; Assumptions'!$X$29*R504-'Model Inputs &amp; Assumptions'!$X$29^2/2))</f>
        <v>0.00272160924300332</v>
      </c>
      <c r="G504" s="45" t="n">
        <f aca="false">ROUND(C504*F504,0)</f>
        <v>544</v>
      </c>
      <c r="H504" s="48" t="n">
        <f aca="false">MAX(0,(C504*'Model Inputs &amp; Assumptions'!$N$29+E504*'Model Inputs &amp; Assumptions'!$O$29+G504*'Model Inputs &amp; Assumptions'!$P$29)*EXP('Model Inputs &amp; Assumptions'!$Q$29*S504-'Model Inputs &amp; Assumptions'!$Q$29^2/2))</f>
        <v>24.1737678790954</v>
      </c>
      <c r="I504" s="49" t="n">
        <f aca="false">IF('Model Inputs &amp; Assumptions'!$H$29="Fixed",'Model Inputs &amp; Assumptions'!$I$29*'Model Inputs &amp; Assumptions'!$K$29,IF('Model Inputs &amp; Assumptions'!$H$29="CPM",'Model Inputs &amp; Assumptions'!$I$29*'Model Inputs &amp; Assumptions'!$K$29*C504/1000,IF('Model Inputs &amp; Assumptions'!$H$29="CPC",'Model Inputs &amp; Assumptions'!$I$29*'Model Inputs &amp; Assumptions'!$K$29*G504,0)))</f>
        <v>6500</v>
      </c>
      <c r="J504" s="50" t="n">
        <f aca="false">H504*INDEX('Model Inputs &amp; Assumptions'!$D$40:$D$42,MATCH('Model Inputs &amp; Assumptions'!$L$29,'Model Inputs &amp; Assumptions'!$A$40:$A$42,0))*INDEX('Model Inputs &amp; Assumptions'!$H$40:$H$42,MATCH('Model Inputs &amp; Assumptions'!$L$29,'Model Inputs &amp; Assumptions'!$A$40:$A$42,0))</f>
        <v>205477.026972311</v>
      </c>
      <c r="K504" s="49" t="n">
        <f aca="false">H504*INDEX('Model Inputs &amp; Assumptions'!$G$40:$G$42,MATCH('Model Inputs &amp; Assumptions'!$L$29,'Model Inputs &amp; Assumptions'!$A$40:$A$42,0))*INDEX('Model Inputs &amp; Assumptions'!$H$40:$H$42,MATCH('Model Inputs &amp; Assumptions'!$L$29,'Model Inputs &amp; Assumptions'!$A$40:$A$42,0))</f>
        <v>4623.23310687699</v>
      </c>
      <c r="L504" s="51" t="n">
        <f aca="false">IFERROR(K504/I504,0)</f>
        <v>0.711266631827229</v>
      </c>
      <c r="M504" s="49" t="n">
        <f aca="false">IFERROR(I504/H504,0)</f>
        <v>268.886506750194</v>
      </c>
      <c r="N504" s="52" t="str">
        <f aca="false">'Model Inputs &amp; Assumptions'!$L$29</f>
        <v>PRD-EUAI</v>
      </c>
      <c r="P504" s="53" t="n">
        <v>0.15078</v>
      </c>
      <c r="Q504" s="53" t="n">
        <v>-0.750427</v>
      </c>
      <c r="R504" s="53" t="n">
        <v>-0.214003</v>
      </c>
      <c r="S504" s="53" t="n">
        <v>-0.243163</v>
      </c>
    </row>
    <row r="505" customFormat="false" ht="15" hidden="false" customHeight="false" outlineLevel="0" collapsed="false">
      <c r="A505" s="43" t="n">
        <v>2</v>
      </c>
      <c r="B505" s="44" t="str">
        <f aca="false">'Model Inputs &amp; Assumptions'!$B$29</f>
        <v>Handelsblatt — Native Explainer</v>
      </c>
      <c r="C505" s="45" t="n">
        <f aca="false">ROUND(MAX(0,'Model Inputs &amp; Assumptions'!$S$29*EXP('Model Inputs &amp; Assumptions'!$T$29*P505-'Model Inputs &amp; Assumptions'!$T$29^2/2)),0)</f>
        <v>295445</v>
      </c>
      <c r="D505" s="46" t="n">
        <f aca="false">MIN(1,'Model Inputs &amp; Assumptions'!$U$29*EXP('Model Inputs &amp; Assumptions'!$V$29*Q505-'Model Inputs &amp; Assumptions'!$V$29^2/2))</f>
        <v>0</v>
      </c>
      <c r="E505" s="45" t="n">
        <f aca="false">ROUND(C505*D505,0)</f>
        <v>0</v>
      </c>
      <c r="F505" s="47" t="n">
        <f aca="false">MIN(1,'Model Inputs &amp; Assumptions'!$W$29*EXP('Model Inputs &amp; Assumptions'!$X$29*R505-'Model Inputs &amp; Assumptions'!$X$29^2/2))</f>
        <v>0.00196785897854455</v>
      </c>
      <c r="G505" s="45" t="n">
        <f aca="false">ROUND(C505*F505,0)</f>
        <v>581</v>
      </c>
      <c r="H505" s="48" t="n">
        <f aca="false">MAX(0,(C505*'Model Inputs &amp; Assumptions'!$N$29+E505*'Model Inputs &amp; Assumptions'!$O$29+G505*'Model Inputs &amp; Assumptions'!$P$29)*EXP('Model Inputs &amp; Assumptions'!$Q$29*S505-'Model Inputs &amp; Assumptions'!$Q$29^2/2))</f>
        <v>27.8823391577913</v>
      </c>
      <c r="I505" s="49" t="n">
        <f aca="false">IF('Model Inputs &amp; Assumptions'!$H$29="Fixed",'Model Inputs &amp; Assumptions'!$I$29*'Model Inputs &amp; Assumptions'!$K$29,IF('Model Inputs &amp; Assumptions'!$H$29="CPM",'Model Inputs &amp; Assumptions'!$I$29*'Model Inputs &amp; Assumptions'!$K$29*C505/1000,IF('Model Inputs &amp; Assumptions'!$H$29="CPC",'Model Inputs &amp; Assumptions'!$I$29*'Model Inputs &amp; Assumptions'!$K$29*G505,0)))</f>
        <v>6500</v>
      </c>
      <c r="J505" s="50" t="n">
        <f aca="false">H505*INDEX('Model Inputs &amp; Assumptions'!$D$40:$D$42,MATCH('Model Inputs &amp; Assumptions'!$L$29,'Model Inputs &amp; Assumptions'!$A$40:$A$42,0))*INDEX('Model Inputs &amp; Assumptions'!$H$40:$H$42,MATCH('Model Inputs &amp; Assumptions'!$L$29,'Model Inputs &amp; Assumptions'!$A$40:$A$42,0))</f>
        <v>236999.882841226</v>
      </c>
      <c r="K505" s="49" t="n">
        <f aca="false">H505*INDEX('Model Inputs &amp; Assumptions'!$G$40:$G$42,MATCH('Model Inputs &amp; Assumptions'!$L$29,'Model Inputs &amp; Assumptions'!$A$40:$A$42,0))*INDEX('Model Inputs &amp; Assumptions'!$H$40:$H$42,MATCH('Model Inputs &amp; Assumptions'!$L$29,'Model Inputs &amp; Assumptions'!$A$40:$A$42,0))</f>
        <v>5332.49736392759</v>
      </c>
      <c r="L505" s="51" t="n">
        <f aca="false">IFERROR(K505/I505,0)</f>
        <v>0.820384209835014</v>
      </c>
      <c r="M505" s="49" t="n">
        <f aca="false">IFERROR(I505/H505,0)</f>
        <v>233.122478111155</v>
      </c>
      <c r="N505" s="52" t="str">
        <f aca="false">'Model Inputs &amp; Assumptions'!$L$29</f>
        <v>PRD-EUAI</v>
      </c>
      <c r="P505" s="53" t="n">
        <v>1.929157</v>
      </c>
      <c r="Q505" s="53" t="n">
        <v>-1.34581</v>
      </c>
      <c r="R505" s="53" t="n">
        <v>-1.461223</v>
      </c>
      <c r="S505" s="53" t="n">
        <v>0.01325</v>
      </c>
    </row>
    <row r="506" customFormat="false" ht="15" hidden="false" customHeight="false" outlineLevel="0" collapsed="false">
      <c r="A506" s="43" t="n">
        <v>3</v>
      </c>
      <c r="B506" s="44" t="str">
        <f aca="false">'Model Inputs &amp; Assumptions'!$B$29</f>
        <v>Handelsblatt — Native Explainer</v>
      </c>
      <c r="C506" s="45" t="n">
        <f aca="false">ROUND(MAX(0,'Model Inputs &amp; Assumptions'!$S$29*EXP('Model Inputs &amp; Assumptions'!$T$29*P506-'Model Inputs &amp; Assumptions'!$T$29^2/2)),0)</f>
        <v>167853</v>
      </c>
      <c r="D506" s="46" t="n">
        <f aca="false">MIN(1,'Model Inputs &amp; Assumptions'!$U$29*EXP('Model Inputs &amp; Assumptions'!$V$29*Q506-'Model Inputs &amp; Assumptions'!$V$29^2/2))</f>
        <v>0</v>
      </c>
      <c r="E506" s="45" t="n">
        <f aca="false">ROUND(C506*D506,0)</f>
        <v>0</v>
      </c>
      <c r="F506" s="47" t="n">
        <f aca="false">MIN(1,'Model Inputs &amp; Assumptions'!$W$29*EXP('Model Inputs &amp; Assumptions'!$X$29*R506-'Model Inputs &amp; Assumptions'!$X$29^2/2))</f>
        <v>0.00468670819589388</v>
      </c>
      <c r="G506" s="45" t="n">
        <f aca="false">ROUND(C506*F506,0)</f>
        <v>787</v>
      </c>
      <c r="H506" s="48" t="n">
        <f aca="false">MAX(0,(C506*'Model Inputs &amp; Assumptions'!$N$29+E506*'Model Inputs &amp; Assumptions'!$O$29+G506*'Model Inputs &amp; Assumptions'!$P$29)*EXP('Model Inputs &amp; Assumptions'!$Q$29*S506-'Model Inputs &amp; Assumptions'!$Q$29^2/2))</f>
        <v>45.087880027626</v>
      </c>
      <c r="I506" s="49" t="n">
        <f aca="false">IF('Model Inputs &amp; Assumptions'!$H$29="Fixed",'Model Inputs &amp; Assumptions'!$I$29*'Model Inputs &amp; Assumptions'!$K$29,IF('Model Inputs &amp; Assumptions'!$H$29="CPM",'Model Inputs &amp; Assumptions'!$I$29*'Model Inputs &amp; Assumptions'!$K$29*C506/1000,IF('Model Inputs &amp; Assumptions'!$H$29="CPC",'Model Inputs &amp; Assumptions'!$I$29*'Model Inputs &amp; Assumptions'!$K$29*G506,0)))</f>
        <v>6500</v>
      </c>
      <c r="J506" s="50" t="n">
        <f aca="false">H506*INDEX('Model Inputs &amp; Assumptions'!$D$40:$D$42,MATCH('Model Inputs &amp; Assumptions'!$L$29,'Model Inputs &amp; Assumptions'!$A$40:$A$42,0))*INDEX('Model Inputs &amp; Assumptions'!$H$40:$H$42,MATCH('Model Inputs &amp; Assumptions'!$L$29,'Model Inputs &amp; Assumptions'!$A$40:$A$42,0))</f>
        <v>383246.980234821</v>
      </c>
      <c r="K506" s="49" t="n">
        <f aca="false">H506*INDEX('Model Inputs &amp; Assumptions'!$G$40:$G$42,MATCH('Model Inputs &amp; Assumptions'!$L$29,'Model Inputs &amp; Assumptions'!$A$40:$A$42,0))*INDEX('Model Inputs &amp; Assumptions'!$H$40:$H$42,MATCH('Model Inputs &amp; Assumptions'!$L$29,'Model Inputs &amp; Assumptions'!$A$40:$A$42,0))</f>
        <v>8623.05705528347</v>
      </c>
      <c r="L506" s="51" t="n">
        <f aca="false">IFERROR(K506/I506,0)</f>
        <v>1.3266241623513</v>
      </c>
      <c r="M506" s="49" t="n">
        <f aca="false">IFERROR(I506/H506,0)</f>
        <v>144.162910210402</v>
      </c>
      <c r="N506" s="52" t="str">
        <f aca="false">'Model Inputs &amp; Assumptions'!$L$29</f>
        <v>PRD-EUAI</v>
      </c>
      <c r="P506" s="53" t="n">
        <v>-0.64082</v>
      </c>
      <c r="Q506" s="53" t="n">
        <v>-0.04166</v>
      </c>
      <c r="R506" s="53" t="n">
        <v>1.876409</v>
      </c>
      <c r="S506" s="53" t="n">
        <v>0.603725</v>
      </c>
    </row>
    <row r="507" customFormat="false" ht="15" hidden="false" customHeight="false" outlineLevel="0" collapsed="false">
      <c r="A507" s="43" t="n">
        <v>4</v>
      </c>
      <c r="B507" s="44" t="str">
        <f aca="false">'Model Inputs &amp; Assumptions'!$B$29</f>
        <v>Handelsblatt — Native Explainer</v>
      </c>
      <c r="C507" s="45" t="n">
        <f aca="false">ROUND(MAX(0,'Model Inputs &amp; Assumptions'!$S$29*EXP('Model Inputs &amp; Assumptions'!$T$29*P507-'Model Inputs &amp; Assumptions'!$T$29^2/2)),0)</f>
        <v>226666</v>
      </c>
      <c r="D507" s="46" t="n">
        <f aca="false">MIN(1,'Model Inputs &amp; Assumptions'!$U$29*EXP('Model Inputs &amp; Assumptions'!$V$29*Q507-'Model Inputs &amp; Assumptions'!$V$29^2/2))</f>
        <v>0</v>
      </c>
      <c r="E507" s="45" t="n">
        <f aca="false">ROUND(C507*D507,0)</f>
        <v>0</v>
      </c>
      <c r="F507" s="47" t="n">
        <f aca="false">MIN(1,'Model Inputs &amp; Assumptions'!$W$29*EXP('Model Inputs &amp; Assumptions'!$X$29*R507-'Model Inputs &amp; Assumptions'!$X$29^2/2))</f>
        <v>0.00198184458342362</v>
      </c>
      <c r="G507" s="45" t="n">
        <f aca="false">ROUND(C507*F507,0)</f>
        <v>449</v>
      </c>
      <c r="H507" s="48" t="n">
        <f aca="false">MAX(0,(C507*'Model Inputs &amp; Assumptions'!$N$29+E507*'Model Inputs &amp; Assumptions'!$O$29+G507*'Model Inputs &amp; Assumptions'!$P$29)*EXP('Model Inputs &amp; Assumptions'!$Q$29*S507-'Model Inputs &amp; Assumptions'!$Q$29^2/2))</f>
        <v>21.1544400349046</v>
      </c>
      <c r="I507" s="49" t="n">
        <f aca="false">IF('Model Inputs &amp; Assumptions'!$H$29="Fixed",'Model Inputs &amp; Assumptions'!$I$29*'Model Inputs &amp; Assumptions'!$K$29,IF('Model Inputs &amp; Assumptions'!$H$29="CPM",'Model Inputs &amp; Assumptions'!$I$29*'Model Inputs &amp; Assumptions'!$K$29*C507/1000,IF('Model Inputs &amp; Assumptions'!$H$29="CPC",'Model Inputs &amp; Assumptions'!$I$29*'Model Inputs &amp; Assumptions'!$K$29*G507,0)))</f>
        <v>6500</v>
      </c>
      <c r="J507" s="50" t="n">
        <f aca="false">H507*INDEX('Model Inputs &amp; Assumptions'!$D$40:$D$42,MATCH('Model Inputs &amp; Assumptions'!$L$29,'Model Inputs &amp; Assumptions'!$A$40:$A$42,0))*INDEX('Model Inputs &amp; Assumptions'!$H$40:$H$42,MATCH('Model Inputs &amp; Assumptions'!$L$29,'Model Inputs &amp; Assumptions'!$A$40:$A$42,0))</f>
        <v>179812.740296689</v>
      </c>
      <c r="K507" s="49" t="n">
        <f aca="false">H507*INDEX('Model Inputs &amp; Assumptions'!$G$40:$G$42,MATCH('Model Inputs &amp; Assumptions'!$L$29,'Model Inputs &amp; Assumptions'!$A$40:$A$42,0))*INDEX('Model Inputs &amp; Assumptions'!$H$40:$H$42,MATCH('Model Inputs &amp; Assumptions'!$L$29,'Model Inputs &amp; Assumptions'!$A$40:$A$42,0))</f>
        <v>4045.7866566755</v>
      </c>
      <c r="L507" s="51" t="n">
        <f aca="false">IFERROR(K507/I507,0)</f>
        <v>0.622428716411615</v>
      </c>
      <c r="M507" s="49" t="n">
        <f aca="false">IFERROR(I507/H507,0)</f>
        <v>307.264101024422</v>
      </c>
      <c r="N507" s="52" t="str">
        <f aca="false">'Model Inputs &amp; Assumptions'!$L$29</f>
        <v>PRD-EUAI</v>
      </c>
      <c r="P507" s="53" t="n">
        <v>0.724584</v>
      </c>
      <c r="Q507" s="53" t="n">
        <v>0.728943</v>
      </c>
      <c r="R507" s="53" t="n">
        <v>-1.433985</v>
      </c>
      <c r="S507" s="53" t="n">
        <v>-0.048136</v>
      </c>
    </row>
    <row r="508" customFormat="false" ht="15" hidden="false" customHeight="false" outlineLevel="0" collapsed="false">
      <c r="A508" s="43" t="n">
        <v>5</v>
      </c>
      <c r="B508" s="44" t="str">
        <f aca="false">'Model Inputs &amp; Assumptions'!$B$29</f>
        <v>Handelsblatt — Native Explainer</v>
      </c>
      <c r="C508" s="45" t="n">
        <f aca="false">ROUND(MAX(0,'Model Inputs &amp; Assumptions'!$S$29*EXP('Model Inputs &amp; Assumptions'!$T$29*P508-'Model Inputs &amp; Assumptions'!$T$29^2/2)),0)</f>
        <v>165784</v>
      </c>
      <c r="D508" s="46" t="n">
        <f aca="false">MIN(1,'Model Inputs &amp; Assumptions'!$U$29*EXP('Model Inputs &amp; Assumptions'!$V$29*Q508-'Model Inputs &amp; Assumptions'!$V$29^2/2))</f>
        <v>0</v>
      </c>
      <c r="E508" s="45" t="n">
        <f aca="false">ROUND(C508*D508,0)</f>
        <v>0</v>
      </c>
      <c r="F508" s="47" t="n">
        <f aca="false">MIN(1,'Model Inputs &amp; Assumptions'!$W$29*EXP('Model Inputs &amp; Assumptions'!$X$29*R508-'Model Inputs &amp; Assumptions'!$X$29^2/2))</f>
        <v>0.00321221875343173</v>
      </c>
      <c r="G508" s="45" t="n">
        <f aca="false">ROUND(C508*F508,0)</f>
        <v>533</v>
      </c>
      <c r="H508" s="48" t="n">
        <f aca="false">MAX(0,(C508*'Model Inputs &amp; Assumptions'!$N$29+E508*'Model Inputs &amp; Assumptions'!$O$29+G508*'Model Inputs &amp; Assumptions'!$P$29)*EXP('Model Inputs &amp; Assumptions'!$Q$29*S508-'Model Inputs &amp; Assumptions'!$Q$29^2/2))</f>
        <v>22.2786907665843</v>
      </c>
      <c r="I508" s="49" t="n">
        <f aca="false">IF('Model Inputs &amp; Assumptions'!$H$29="Fixed",'Model Inputs &amp; Assumptions'!$I$29*'Model Inputs &amp; Assumptions'!$K$29,IF('Model Inputs &amp; Assumptions'!$H$29="CPM",'Model Inputs &amp; Assumptions'!$I$29*'Model Inputs &amp; Assumptions'!$K$29*C508/1000,IF('Model Inputs &amp; Assumptions'!$H$29="CPC",'Model Inputs &amp; Assumptions'!$I$29*'Model Inputs &amp; Assumptions'!$K$29*G508,0)))</f>
        <v>6500</v>
      </c>
      <c r="J508" s="50" t="n">
        <f aca="false">H508*INDEX('Model Inputs &amp; Assumptions'!$D$40:$D$42,MATCH('Model Inputs &amp; Assumptions'!$L$29,'Model Inputs &amp; Assumptions'!$A$40:$A$42,0))*INDEX('Model Inputs &amp; Assumptions'!$H$40:$H$42,MATCH('Model Inputs &amp; Assumptions'!$L$29,'Model Inputs &amp; Assumptions'!$A$40:$A$42,0))</f>
        <v>189368.871515966</v>
      </c>
      <c r="K508" s="49" t="n">
        <f aca="false">H508*INDEX('Model Inputs &amp; Assumptions'!$G$40:$G$42,MATCH('Model Inputs &amp; Assumptions'!$L$29,'Model Inputs &amp; Assumptions'!$A$40:$A$42,0))*INDEX('Model Inputs &amp; Assumptions'!$H$40:$H$42,MATCH('Model Inputs &amp; Assumptions'!$L$29,'Model Inputs &amp; Assumptions'!$A$40:$A$42,0))</f>
        <v>4260.79960910925</v>
      </c>
      <c r="L508" s="51" t="n">
        <f aca="false">IFERROR(K508/I508,0)</f>
        <v>0.655507632170653</v>
      </c>
      <c r="M508" s="49" t="n">
        <f aca="false">IFERROR(I508/H508,0)</f>
        <v>291.758616702438</v>
      </c>
      <c r="N508" s="52" t="str">
        <f aca="false">'Model Inputs &amp; Assumptions'!$L$29</f>
        <v>PRD-EUAI</v>
      </c>
      <c r="P508" s="53" t="n">
        <v>-0.697196</v>
      </c>
      <c r="Q508" s="53" t="n">
        <v>-1.259171</v>
      </c>
      <c r="R508" s="53" t="n">
        <v>0.423453</v>
      </c>
      <c r="S508" s="53" t="n">
        <v>-0.447195</v>
      </c>
    </row>
    <row r="509" customFormat="false" ht="15" hidden="false" customHeight="false" outlineLevel="0" collapsed="false">
      <c r="A509" s="43" t="n">
        <v>6</v>
      </c>
      <c r="B509" s="44" t="str">
        <f aca="false">'Model Inputs &amp; Assumptions'!$B$29</f>
        <v>Handelsblatt — Native Explainer</v>
      </c>
      <c r="C509" s="45" t="n">
        <f aca="false">ROUND(MAX(0,'Model Inputs &amp; Assumptions'!$S$29*EXP('Model Inputs &amp; Assumptions'!$T$29*P509-'Model Inputs &amp; Assumptions'!$T$29^2/2)),0)</f>
        <v>206968</v>
      </c>
      <c r="D509" s="46" t="n">
        <f aca="false">MIN(1,'Model Inputs &amp; Assumptions'!$U$29*EXP('Model Inputs &amp; Assumptions'!$V$29*Q509-'Model Inputs &amp; Assumptions'!$V$29^2/2))</f>
        <v>0</v>
      </c>
      <c r="E509" s="45" t="n">
        <f aca="false">ROUND(C509*D509,0)</f>
        <v>0</v>
      </c>
      <c r="F509" s="47" t="n">
        <f aca="false">MIN(1,'Model Inputs &amp; Assumptions'!$W$29*EXP('Model Inputs &amp; Assumptions'!$X$29*R509-'Model Inputs &amp; Assumptions'!$X$29^2/2))</f>
        <v>0.00272422019126724</v>
      </c>
      <c r="G509" s="45" t="n">
        <f aca="false">ROUND(C509*F509,0)</f>
        <v>564</v>
      </c>
      <c r="H509" s="48" t="n">
        <f aca="false">MAX(0,(C509*'Model Inputs &amp; Assumptions'!$N$29+E509*'Model Inputs &amp; Assumptions'!$O$29+G509*'Model Inputs &amp; Assumptions'!$P$29)*EXP('Model Inputs &amp; Assumptions'!$Q$29*S509-'Model Inputs &amp; Assumptions'!$Q$29^2/2))</f>
        <v>21.8224111895169</v>
      </c>
      <c r="I509" s="49" t="n">
        <f aca="false">IF('Model Inputs &amp; Assumptions'!$H$29="Fixed",'Model Inputs &amp; Assumptions'!$I$29*'Model Inputs &amp; Assumptions'!$K$29,IF('Model Inputs &amp; Assumptions'!$H$29="CPM",'Model Inputs &amp; Assumptions'!$I$29*'Model Inputs &amp; Assumptions'!$K$29*C509/1000,IF('Model Inputs &amp; Assumptions'!$H$29="CPC",'Model Inputs &amp; Assumptions'!$I$29*'Model Inputs &amp; Assumptions'!$K$29*G509,0)))</f>
        <v>6500</v>
      </c>
      <c r="J509" s="50" t="n">
        <f aca="false">H509*INDEX('Model Inputs &amp; Assumptions'!$D$40:$D$42,MATCH('Model Inputs &amp; Assumptions'!$L$29,'Model Inputs &amp; Assumptions'!$A$40:$A$42,0))*INDEX('Model Inputs &amp; Assumptions'!$H$40:$H$42,MATCH('Model Inputs &amp; Assumptions'!$L$29,'Model Inputs &amp; Assumptions'!$A$40:$A$42,0))</f>
        <v>185490.495110894</v>
      </c>
      <c r="K509" s="49" t="n">
        <f aca="false">H509*INDEX('Model Inputs &amp; Assumptions'!$G$40:$G$42,MATCH('Model Inputs &amp; Assumptions'!$L$29,'Model Inputs &amp; Assumptions'!$A$40:$A$42,0))*INDEX('Model Inputs &amp; Assumptions'!$H$40:$H$42,MATCH('Model Inputs &amp; Assumptions'!$L$29,'Model Inputs &amp; Assumptions'!$A$40:$A$42,0))</f>
        <v>4173.53613999511</v>
      </c>
      <c r="L509" s="51" t="n">
        <f aca="false">IFERROR(K509/I509,0)</f>
        <v>0.64208248307617</v>
      </c>
      <c r="M509" s="49" t="n">
        <f aca="false">IFERROR(I509/H509,0)</f>
        <v>297.85892784948</v>
      </c>
      <c r="N509" s="52" t="str">
        <f aca="false">'Model Inputs &amp; Assumptions'!$L$29</f>
        <v>PRD-EUAI</v>
      </c>
      <c r="P509" s="53" t="n">
        <v>0.311352</v>
      </c>
      <c r="Q509" s="53" t="n">
        <v>-1.752484</v>
      </c>
      <c r="R509" s="53" t="n">
        <v>-0.210315</v>
      </c>
      <c r="S509" s="53" t="n">
        <v>-0.704615</v>
      </c>
    </row>
    <row r="510" customFormat="false" ht="15" hidden="false" customHeight="false" outlineLevel="0" collapsed="false">
      <c r="A510" s="43" t="n">
        <v>7</v>
      </c>
      <c r="B510" s="44" t="str">
        <f aca="false">'Model Inputs &amp; Assumptions'!$B$29</f>
        <v>Handelsblatt — Native Explainer</v>
      </c>
      <c r="C510" s="45" t="n">
        <f aca="false">ROUND(MAX(0,'Model Inputs &amp; Assumptions'!$S$29*EXP('Model Inputs &amp; Assumptions'!$T$29*P510-'Model Inputs &amp; Assumptions'!$T$29^2/2)),0)</f>
        <v>179727</v>
      </c>
      <c r="D510" s="46" t="n">
        <f aca="false">MIN(1,'Model Inputs &amp; Assumptions'!$U$29*EXP('Model Inputs &amp; Assumptions'!$V$29*Q510-'Model Inputs &amp; Assumptions'!$V$29^2/2))</f>
        <v>0</v>
      </c>
      <c r="E510" s="45" t="n">
        <f aca="false">ROUND(C510*D510,0)</f>
        <v>0</v>
      </c>
      <c r="F510" s="47" t="n">
        <f aca="false">MIN(1,'Model Inputs &amp; Assumptions'!$W$29*EXP('Model Inputs &amp; Assumptions'!$X$29*R510-'Model Inputs &amp; Assumptions'!$X$29^2/2))</f>
        <v>0.00224471584055266</v>
      </c>
      <c r="G510" s="45" t="n">
        <f aca="false">ROUND(C510*F510,0)</f>
        <v>403</v>
      </c>
      <c r="H510" s="48" t="n">
        <f aca="false">MAX(0,(C510*'Model Inputs &amp; Assumptions'!$N$29+E510*'Model Inputs &amp; Assumptions'!$O$29+G510*'Model Inputs &amp; Assumptions'!$P$29)*EXP('Model Inputs &amp; Assumptions'!$Q$29*S510-'Model Inputs &amp; Assumptions'!$Q$29^2/2))</f>
        <v>11.5616130232422</v>
      </c>
      <c r="I510" s="49" t="n">
        <f aca="false">IF('Model Inputs &amp; Assumptions'!$H$29="Fixed",'Model Inputs &amp; Assumptions'!$I$29*'Model Inputs &amp; Assumptions'!$K$29,IF('Model Inputs &amp; Assumptions'!$H$29="CPM",'Model Inputs &amp; Assumptions'!$I$29*'Model Inputs &amp; Assumptions'!$K$29*C510/1000,IF('Model Inputs &amp; Assumptions'!$H$29="CPC",'Model Inputs &amp; Assumptions'!$I$29*'Model Inputs &amp; Assumptions'!$K$29*G510,0)))</f>
        <v>6500</v>
      </c>
      <c r="J510" s="50" t="n">
        <f aca="false">H510*INDEX('Model Inputs &amp; Assumptions'!$D$40:$D$42,MATCH('Model Inputs &amp; Assumptions'!$L$29,'Model Inputs &amp; Assumptions'!$A$40:$A$42,0))*INDEX('Model Inputs &amp; Assumptions'!$H$40:$H$42,MATCH('Model Inputs &amp; Assumptions'!$L$29,'Model Inputs &amp; Assumptions'!$A$40:$A$42,0))</f>
        <v>98273.7106975591</v>
      </c>
      <c r="K510" s="49" t="n">
        <f aca="false">H510*INDEX('Model Inputs &amp; Assumptions'!$G$40:$G$42,MATCH('Model Inputs &amp; Assumptions'!$L$29,'Model Inputs &amp; Assumptions'!$A$40:$A$42,0))*INDEX('Model Inputs &amp; Assumptions'!$H$40:$H$42,MATCH('Model Inputs &amp; Assumptions'!$L$29,'Model Inputs &amp; Assumptions'!$A$40:$A$42,0))</f>
        <v>2211.15849069508</v>
      </c>
      <c r="L510" s="51" t="n">
        <f aca="false">IFERROR(K510/I510,0)</f>
        <v>0.340178229337704</v>
      </c>
      <c r="M510" s="49" t="n">
        <f aca="false">IFERROR(I510/H510,0)</f>
        <v>562.205289775146</v>
      </c>
      <c r="N510" s="52" t="str">
        <f aca="false">'Model Inputs &amp; Assumptions'!$L$29</f>
        <v>PRD-EUAI</v>
      </c>
      <c r="P510" s="53" t="n">
        <v>-0.330132</v>
      </c>
      <c r="Q510" s="53" t="n">
        <v>-0.135714</v>
      </c>
      <c r="R510" s="53" t="n">
        <v>-0.954943</v>
      </c>
      <c r="S510" s="53" t="n">
        <v>-1.701713</v>
      </c>
    </row>
    <row r="511" customFormat="false" ht="15" hidden="false" customHeight="false" outlineLevel="0" collapsed="false">
      <c r="A511" s="43" t="n">
        <v>8</v>
      </c>
      <c r="B511" s="44" t="str">
        <f aca="false">'Model Inputs &amp; Assumptions'!$B$29</f>
        <v>Handelsblatt — Native Explainer</v>
      </c>
      <c r="C511" s="45" t="n">
        <f aca="false">ROUND(MAX(0,'Model Inputs &amp; Assumptions'!$S$29*EXP('Model Inputs &amp; Assumptions'!$T$29*P511-'Model Inputs &amp; Assumptions'!$T$29^2/2)),0)</f>
        <v>225801</v>
      </c>
      <c r="D511" s="46" t="n">
        <f aca="false">MIN(1,'Model Inputs &amp; Assumptions'!$U$29*EXP('Model Inputs &amp; Assumptions'!$V$29*Q511-'Model Inputs &amp; Assumptions'!$V$29^2/2))</f>
        <v>0</v>
      </c>
      <c r="E511" s="45" t="n">
        <f aca="false">ROUND(C511*D511,0)</f>
        <v>0</v>
      </c>
      <c r="F511" s="47" t="n">
        <f aca="false">MIN(1,'Model Inputs &amp; Assumptions'!$W$29*EXP('Model Inputs &amp; Assumptions'!$X$29*R511-'Model Inputs &amp; Assumptions'!$X$29^2/2))</f>
        <v>0.00216544217574255</v>
      </c>
      <c r="G511" s="45" t="n">
        <f aca="false">ROUND(C511*F511,0)</f>
        <v>489</v>
      </c>
      <c r="H511" s="48" t="n">
        <f aca="false">MAX(0,(C511*'Model Inputs &amp; Assumptions'!$N$29+E511*'Model Inputs &amp; Assumptions'!$O$29+G511*'Model Inputs &amp; Assumptions'!$P$29)*EXP('Model Inputs &amp; Assumptions'!$Q$29*S511-'Model Inputs &amp; Assumptions'!$Q$29^2/2))</f>
        <v>17.0159478974782</v>
      </c>
      <c r="I511" s="49" t="n">
        <f aca="false">IF('Model Inputs &amp; Assumptions'!$H$29="Fixed",'Model Inputs &amp; Assumptions'!$I$29*'Model Inputs &amp; Assumptions'!$K$29,IF('Model Inputs &amp; Assumptions'!$H$29="CPM",'Model Inputs &amp; Assumptions'!$I$29*'Model Inputs &amp; Assumptions'!$K$29*C511/1000,IF('Model Inputs &amp; Assumptions'!$H$29="CPC",'Model Inputs &amp; Assumptions'!$I$29*'Model Inputs &amp; Assumptions'!$K$29*G511,0)))</f>
        <v>6500</v>
      </c>
      <c r="J511" s="50" t="n">
        <f aca="false">H511*INDEX('Model Inputs &amp; Assumptions'!$D$40:$D$42,MATCH('Model Inputs &amp; Assumptions'!$L$29,'Model Inputs &amp; Assumptions'!$A$40:$A$42,0))*INDEX('Model Inputs &amp; Assumptions'!$H$40:$H$42,MATCH('Model Inputs &amp; Assumptions'!$L$29,'Model Inputs &amp; Assumptions'!$A$40:$A$42,0))</f>
        <v>144635.557128565</v>
      </c>
      <c r="K511" s="49" t="n">
        <f aca="false">H511*INDEX('Model Inputs &amp; Assumptions'!$G$40:$G$42,MATCH('Model Inputs &amp; Assumptions'!$L$29,'Model Inputs &amp; Assumptions'!$A$40:$A$42,0))*INDEX('Model Inputs &amp; Assumptions'!$H$40:$H$42,MATCH('Model Inputs &amp; Assumptions'!$L$29,'Model Inputs &amp; Assumptions'!$A$40:$A$42,0))</f>
        <v>3254.30003539271</v>
      </c>
      <c r="L511" s="51" t="n">
        <f aca="false">IFERROR(K511/I511,0)</f>
        <v>0.50066154390657</v>
      </c>
      <c r="M511" s="49" t="n">
        <f aca="false">IFERROR(I511/H511,0)</f>
        <v>381.994587616439</v>
      </c>
      <c r="N511" s="52" t="str">
        <f aca="false">'Model Inputs &amp; Assumptions'!$L$29</f>
        <v>PRD-EUAI</v>
      </c>
      <c r="P511" s="53" t="n">
        <v>0.707219</v>
      </c>
      <c r="Q511" s="53" t="n">
        <v>1.24578</v>
      </c>
      <c r="R511" s="53" t="n">
        <v>-1.093229</v>
      </c>
      <c r="S511" s="53" t="n">
        <v>-1.058264</v>
      </c>
    </row>
    <row r="512" customFormat="false" ht="15" hidden="false" customHeight="false" outlineLevel="0" collapsed="false">
      <c r="A512" s="43" t="n">
        <v>9</v>
      </c>
      <c r="B512" s="44" t="str">
        <f aca="false">'Model Inputs &amp; Assumptions'!$B$29</f>
        <v>Handelsblatt — Native Explainer</v>
      </c>
      <c r="C512" s="45" t="n">
        <f aca="false">ROUND(MAX(0,'Model Inputs &amp; Assumptions'!$S$29*EXP('Model Inputs &amp; Assumptions'!$T$29*P512-'Model Inputs &amp; Assumptions'!$T$29^2/2)),0)</f>
        <v>183004</v>
      </c>
      <c r="D512" s="46" t="n">
        <f aca="false">MIN(1,'Model Inputs &amp; Assumptions'!$U$29*EXP('Model Inputs &amp; Assumptions'!$V$29*Q512-'Model Inputs &amp; Assumptions'!$V$29^2/2))</f>
        <v>0</v>
      </c>
      <c r="E512" s="45" t="n">
        <f aca="false">ROUND(C512*D512,0)</f>
        <v>0</v>
      </c>
      <c r="F512" s="47" t="n">
        <f aca="false">MIN(1,'Model Inputs &amp; Assumptions'!$W$29*EXP('Model Inputs &amp; Assumptions'!$X$29*R512-'Model Inputs &amp; Assumptions'!$X$29^2/2))</f>
        <v>0.00222036922321574</v>
      </c>
      <c r="G512" s="45" t="n">
        <f aca="false">ROUND(C512*F512,0)</f>
        <v>406</v>
      </c>
      <c r="H512" s="48" t="n">
        <f aca="false">MAX(0,(C512*'Model Inputs &amp; Assumptions'!$N$29+E512*'Model Inputs &amp; Assumptions'!$O$29+G512*'Model Inputs &amp; Assumptions'!$P$29)*EXP('Model Inputs &amp; Assumptions'!$Q$29*S512-'Model Inputs &amp; Assumptions'!$Q$29^2/2))</f>
        <v>10.2748440848954</v>
      </c>
      <c r="I512" s="49" t="n">
        <f aca="false">IF('Model Inputs &amp; Assumptions'!$H$29="Fixed",'Model Inputs &amp; Assumptions'!$I$29*'Model Inputs &amp; Assumptions'!$K$29,IF('Model Inputs &amp; Assumptions'!$H$29="CPM",'Model Inputs &amp; Assumptions'!$I$29*'Model Inputs &amp; Assumptions'!$K$29*C512/1000,IF('Model Inputs &amp; Assumptions'!$H$29="CPC",'Model Inputs &amp; Assumptions'!$I$29*'Model Inputs &amp; Assumptions'!$K$29*G512,0)))</f>
        <v>6500</v>
      </c>
      <c r="J512" s="50" t="n">
        <f aca="false">H512*INDEX('Model Inputs &amp; Assumptions'!$D$40:$D$42,MATCH('Model Inputs &amp; Assumptions'!$L$29,'Model Inputs &amp; Assumptions'!$A$40:$A$42,0))*INDEX('Model Inputs &amp; Assumptions'!$H$40:$H$42,MATCH('Model Inputs &amp; Assumptions'!$L$29,'Model Inputs &amp; Assumptions'!$A$40:$A$42,0))</f>
        <v>87336.1747216108</v>
      </c>
      <c r="K512" s="49" t="n">
        <f aca="false">H512*INDEX('Model Inputs &amp; Assumptions'!$G$40:$G$42,MATCH('Model Inputs &amp; Assumptions'!$L$29,'Model Inputs &amp; Assumptions'!$A$40:$A$42,0))*INDEX('Model Inputs &amp; Assumptions'!$H$40:$H$42,MATCH('Model Inputs &amp; Assumptions'!$L$29,'Model Inputs &amp; Assumptions'!$A$40:$A$42,0))</f>
        <v>1965.06393123624</v>
      </c>
      <c r="L512" s="51" t="n">
        <f aca="false">IFERROR(K512/I512,0)</f>
        <v>0.302317527882499</v>
      </c>
      <c r="M512" s="49" t="n">
        <f aca="false">IFERROR(I512/H512,0)</f>
        <v>632.613005734595</v>
      </c>
      <c r="N512" s="52" t="str">
        <f aca="false">'Model Inputs &amp; Assumptions'!$L$29</f>
        <v>PRD-EUAI</v>
      </c>
      <c r="P512" s="53" t="n">
        <v>-0.248001</v>
      </c>
      <c r="Q512" s="53" t="n">
        <v>-1.709726</v>
      </c>
      <c r="R512" s="53" t="n">
        <v>-0.996887</v>
      </c>
      <c r="S512" s="53" t="n">
        <v>-2.119741</v>
      </c>
    </row>
    <row r="513" customFormat="false" ht="15" hidden="false" customHeight="false" outlineLevel="0" collapsed="false">
      <c r="A513" s="43" t="n">
        <v>10</v>
      </c>
      <c r="B513" s="44" t="str">
        <f aca="false">'Model Inputs &amp; Assumptions'!$B$29</f>
        <v>Handelsblatt — Native Explainer</v>
      </c>
      <c r="C513" s="45" t="n">
        <f aca="false">ROUND(MAX(0,'Model Inputs &amp; Assumptions'!$S$29*EXP('Model Inputs &amp; Assumptions'!$T$29*P513-'Model Inputs &amp; Assumptions'!$T$29^2/2)),0)</f>
        <v>205204</v>
      </c>
      <c r="D513" s="46" t="n">
        <f aca="false">MIN(1,'Model Inputs &amp; Assumptions'!$U$29*EXP('Model Inputs &amp; Assumptions'!$V$29*Q513-'Model Inputs &amp; Assumptions'!$V$29^2/2))</f>
        <v>0</v>
      </c>
      <c r="E513" s="45" t="n">
        <f aca="false">ROUND(C513*D513,0)</f>
        <v>0</v>
      </c>
      <c r="F513" s="47" t="n">
        <f aca="false">MIN(1,'Model Inputs &amp; Assumptions'!$W$29*EXP('Model Inputs &amp; Assumptions'!$X$29*R513-'Model Inputs &amp; Assumptions'!$X$29^2/2))</f>
        <v>0.0024876344499446</v>
      </c>
      <c r="G513" s="45" t="n">
        <f aca="false">ROUND(C513*F513,0)</f>
        <v>510</v>
      </c>
      <c r="H513" s="48" t="n">
        <f aca="false">MAX(0,(C513*'Model Inputs &amp; Assumptions'!$N$29+E513*'Model Inputs &amp; Assumptions'!$O$29+G513*'Model Inputs &amp; Assumptions'!$P$29)*EXP('Model Inputs &amp; Assumptions'!$Q$29*S513-'Model Inputs &amp; Assumptions'!$Q$29^2/2))</f>
        <v>39.9439871766229</v>
      </c>
      <c r="I513" s="49" t="n">
        <f aca="false">IF('Model Inputs &amp; Assumptions'!$H$29="Fixed",'Model Inputs &amp; Assumptions'!$I$29*'Model Inputs &amp; Assumptions'!$K$29,IF('Model Inputs &amp; Assumptions'!$H$29="CPM",'Model Inputs &amp; Assumptions'!$I$29*'Model Inputs &amp; Assumptions'!$K$29*C513/1000,IF('Model Inputs &amp; Assumptions'!$H$29="CPC",'Model Inputs &amp; Assumptions'!$I$29*'Model Inputs &amp; Assumptions'!$K$29*G513,0)))</f>
        <v>6500</v>
      </c>
      <c r="J513" s="50" t="n">
        <f aca="false">H513*INDEX('Model Inputs &amp; Assumptions'!$D$40:$D$42,MATCH('Model Inputs &amp; Assumptions'!$L$29,'Model Inputs &amp; Assumptions'!$A$40:$A$42,0))*INDEX('Model Inputs &amp; Assumptions'!$H$40:$H$42,MATCH('Model Inputs &amp; Assumptions'!$L$29,'Model Inputs &amp; Assumptions'!$A$40:$A$42,0))</f>
        <v>339523.891001294</v>
      </c>
      <c r="K513" s="49" t="n">
        <f aca="false">H513*INDEX('Model Inputs &amp; Assumptions'!$G$40:$G$42,MATCH('Model Inputs &amp; Assumptions'!$L$29,'Model Inputs &amp; Assumptions'!$A$40:$A$42,0))*INDEX('Model Inputs &amp; Assumptions'!$H$40:$H$42,MATCH('Model Inputs &amp; Assumptions'!$L$29,'Model Inputs &amp; Assumptions'!$A$40:$A$42,0))</f>
        <v>7639.28754752912</v>
      </c>
      <c r="L513" s="51" t="n">
        <f aca="false">IFERROR(K513/I513,0)</f>
        <v>1.17527500731217</v>
      </c>
      <c r="M513" s="49" t="n">
        <f aca="false">IFERROR(I513/H513,0)</f>
        <v>162.727871187684</v>
      </c>
      <c r="N513" s="52" t="str">
        <f aca="false">'Model Inputs &amp; Assumptions'!$L$29</f>
        <v>PRD-EUAI</v>
      </c>
      <c r="P513" s="53" t="n">
        <v>0.272443</v>
      </c>
      <c r="Q513" s="53" t="n">
        <v>0.506643</v>
      </c>
      <c r="R513" s="53" t="n">
        <v>-0.559738</v>
      </c>
      <c r="S513" s="53" t="n">
        <v>1.645999</v>
      </c>
    </row>
    <row r="514" customFormat="false" ht="15" hidden="false" customHeight="false" outlineLevel="0" collapsed="false">
      <c r="A514" s="43" t="n">
        <v>11</v>
      </c>
      <c r="B514" s="44" t="str">
        <f aca="false">'Model Inputs &amp; Assumptions'!$B$29</f>
        <v>Handelsblatt — Native Explainer</v>
      </c>
      <c r="C514" s="45" t="n">
        <f aca="false">ROUND(MAX(0,'Model Inputs &amp; Assumptions'!$S$29*EXP('Model Inputs &amp; Assumptions'!$T$29*P514-'Model Inputs &amp; Assumptions'!$T$29^2/2)),0)</f>
        <v>172668</v>
      </c>
      <c r="D514" s="46" t="n">
        <f aca="false">MIN(1,'Model Inputs &amp; Assumptions'!$U$29*EXP('Model Inputs &amp; Assumptions'!$V$29*Q514-'Model Inputs &amp; Assumptions'!$V$29^2/2))</f>
        <v>0</v>
      </c>
      <c r="E514" s="45" t="n">
        <f aca="false">ROUND(C514*D514,0)</f>
        <v>0</v>
      </c>
      <c r="F514" s="47" t="n">
        <f aca="false">MIN(1,'Model Inputs &amp; Assumptions'!$W$29*EXP('Model Inputs &amp; Assumptions'!$X$29*R514-'Model Inputs &amp; Assumptions'!$X$29^2/2))</f>
        <v>0.00404069448254184</v>
      </c>
      <c r="G514" s="45" t="n">
        <f aca="false">ROUND(C514*F514,0)</f>
        <v>698</v>
      </c>
      <c r="H514" s="48" t="n">
        <f aca="false">MAX(0,(C514*'Model Inputs &amp; Assumptions'!$N$29+E514*'Model Inputs &amp; Assumptions'!$O$29+G514*'Model Inputs &amp; Assumptions'!$P$29)*EXP('Model Inputs &amp; Assumptions'!$Q$29*S514-'Model Inputs &amp; Assumptions'!$Q$29^2/2))</f>
        <v>27.4106583657825</v>
      </c>
      <c r="I514" s="49" t="n">
        <f aca="false">IF('Model Inputs &amp; Assumptions'!$H$29="Fixed",'Model Inputs &amp; Assumptions'!$I$29*'Model Inputs &amp; Assumptions'!$K$29,IF('Model Inputs &amp; Assumptions'!$H$29="CPM",'Model Inputs &amp; Assumptions'!$I$29*'Model Inputs &amp; Assumptions'!$K$29*C514/1000,IF('Model Inputs &amp; Assumptions'!$H$29="CPC",'Model Inputs &amp; Assumptions'!$I$29*'Model Inputs &amp; Assumptions'!$K$29*G514,0)))</f>
        <v>6500</v>
      </c>
      <c r="J514" s="50" t="n">
        <f aca="false">H514*INDEX('Model Inputs &amp; Assumptions'!$D$40:$D$42,MATCH('Model Inputs &amp; Assumptions'!$L$29,'Model Inputs &amp; Assumptions'!$A$40:$A$42,0))*INDEX('Model Inputs &amp; Assumptions'!$H$40:$H$42,MATCH('Model Inputs &amp; Assumptions'!$L$29,'Model Inputs &amp; Assumptions'!$A$40:$A$42,0))</f>
        <v>232990.596109152</v>
      </c>
      <c r="K514" s="49" t="n">
        <f aca="false">H514*INDEX('Model Inputs &amp; Assumptions'!$G$40:$G$42,MATCH('Model Inputs &amp; Assumptions'!$L$29,'Model Inputs &amp; Assumptions'!$A$40:$A$42,0))*INDEX('Model Inputs &amp; Assumptions'!$H$40:$H$42,MATCH('Model Inputs &amp; Assumptions'!$L$29,'Model Inputs &amp; Assumptions'!$A$40:$A$42,0))</f>
        <v>5242.28841245591</v>
      </c>
      <c r="L514" s="51" t="n">
        <f aca="false">IFERROR(K514/I514,0)</f>
        <v>0.806505909608602</v>
      </c>
      <c r="M514" s="49" t="n">
        <f aca="false">IFERROR(I514/H514,0)</f>
        <v>237.134034259977</v>
      </c>
      <c r="N514" s="52" t="str">
        <f aca="false">'Model Inputs &amp; Assumptions'!$L$29</f>
        <v>PRD-EUAI</v>
      </c>
      <c r="P514" s="53" t="n">
        <v>-0.512267</v>
      </c>
      <c r="Q514" s="53" t="n">
        <v>-0.363338</v>
      </c>
      <c r="R514" s="53" t="n">
        <v>1.305971</v>
      </c>
      <c r="S514" s="53" t="n">
        <v>-0.655183</v>
      </c>
    </row>
    <row r="515" customFormat="false" ht="15" hidden="false" customHeight="false" outlineLevel="0" collapsed="false">
      <c r="A515" s="43" t="n">
        <v>12</v>
      </c>
      <c r="B515" s="44" t="str">
        <f aca="false">'Model Inputs &amp; Assumptions'!$B$29</f>
        <v>Handelsblatt — Native Explainer</v>
      </c>
      <c r="C515" s="45" t="n">
        <f aca="false">ROUND(MAX(0,'Model Inputs &amp; Assumptions'!$S$29*EXP('Model Inputs &amp; Assumptions'!$T$29*P515-'Model Inputs &amp; Assumptions'!$T$29^2/2)),0)</f>
        <v>165697</v>
      </c>
      <c r="D515" s="46" t="n">
        <f aca="false">MIN(1,'Model Inputs &amp; Assumptions'!$U$29*EXP('Model Inputs &amp; Assumptions'!$V$29*Q515-'Model Inputs &amp; Assumptions'!$V$29^2/2))</f>
        <v>0</v>
      </c>
      <c r="E515" s="45" t="n">
        <f aca="false">ROUND(C515*D515,0)</f>
        <v>0</v>
      </c>
      <c r="F515" s="47" t="n">
        <f aca="false">MIN(1,'Model Inputs &amp; Assumptions'!$W$29*EXP('Model Inputs &amp; Assumptions'!$X$29*R515-'Model Inputs &amp; Assumptions'!$X$29^2/2))</f>
        <v>0.00231076000939621</v>
      </c>
      <c r="G515" s="45" t="n">
        <f aca="false">ROUND(C515*F515,0)</f>
        <v>383</v>
      </c>
      <c r="H515" s="48" t="n">
        <f aca="false">MAX(0,(C515*'Model Inputs &amp; Assumptions'!$N$29+E515*'Model Inputs &amp; Assumptions'!$O$29+G515*'Model Inputs &amp; Assumptions'!$P$29)*EXP('Model Inputs &amp; Assumptions'!$Q$29*S515-'Model Inputs &amp; Assumptions'!$Q$29^2/2))</f>
        <v>16.8218664689476</v>
      </c>
      <c r="I515" s="49" t="n">
        <f aca="false">IF('Model Inputs &amp; Assumptions'!$H$29="Fixed",'Model Inputs &amp; Assumptions'!$I$29*'Model Inputs &amp; Assumptions'!$K$29,IF('Model Inputs &amp; Assumptions'!$H$29="CPM",'Model Inputs &amp; Assumptions'!$I$29*'Model Inputs &amp; Assumptions'!$K$29*C515/1000,IF('Model Inputs &amp; Assumptions'!$H$29="CPC",'Model Inputs &amp; Assumptions'!$I$29*'Model Inputs &amp; Assumptions'!$K$29*G515,0)))</f>
        <v>6500</v>
      </c>
      <c r="J515" s="50" t="n">
        <f aca="false">H515*INDEX('Model Inputs &amp; Assumptions'!$D$40:$D$42,MATCH('Model Inputs &amp; Assumptions'!$L$29,'Model Inputs &amp; Assumptions'!$A$40:$A$42,0))*INDEX('Model Inputs &amp; Assumptions'!$H$40:$H$42,MATCH('Model Inputs &amp; Assumptions'!$L$29,'Model Inputs &amp; Assumptions'!$A$40:$A$42,0))</f>
        <v>142985.864986054</v>
      </c>
      <c r="K515" s="49" t="n">
        <f aca="false">H515*INDEX('Model Inputs &amp; Assumptions'!$G$40:$G$42,MATCH('Model Inputs &amp; Assumptions'!$L$29,'Model Inputs &amp; Assumptions'!$A$40:$A$42,0))*INDEX('Model Inputs &amp; Assumptions'!$H$40:$H$42,MATCH('Model Inputs &amp; Assumptions'!$L$29,'Model Inputs &amp; Assumptions'!$A$40:$A$42,0))</f>
        <v>3217.18196218622</v>
      </c>
      <c r="L515" s="51" t="n">
        <f aca="false">IFERROR(K515/I515,0)</f>
        <v>0.494951071105572</v>
      </c>
      <c r="M515" s="49" t="n">
        <f aca="false">IFERROR(I515/H515,0)</f>
        <v>386.401830736127</v>
      </c>
      <c r="N515" s="52" t="str">
        <f aca="false">'Model Inputs &amp; Assumptions'!$L$29</f>
        <v>PRD-EUAI</v>
      </c>
      <c r="P515" s="53" t="n">
        <v>-0.699572</v>
      </c>
      <c r="Q515" s="53" t="n">
        <v>0.224743</v>
      </c>
      <c r="R515" s="53" t="n">
        <v>-0.843414</v>
      </c>
      <c r="S515" s="53" t="n">
        <v>-0.282077</v>
      </c>
    </row>
    <row r="516" customFormat="false" ht="15" hidden="false" customHeight="false" outlineLevel="0" collapsed="false">
      <c r="A516" s="43" t="n">
        <v>13</v>
      </c>
      <c r="B516" s="44" t="str">
        <f aca="false">'Model Inputs &amp; Assumptions'!$B$29</f>
        <v>Handelsblatt — Native Explainer</v>
      </c>
      <c r="C516" s="45" t="n">
        <f aca="false">ROUND(MAX(0,'Model Inputs &amp; Assumptions'!$S$29*EXP('Model Inputs &amp; Assumptions'!$T$29*P516-'Model Inputs &amp; Assumptions'!$T$29^2/2)),0)</f>
        <v>169148</v>
      </c>
      <c r="D516" s="46" t="n">
        <f aca="false">MIN(1,'Model Inputs &amp; Assumptions'!$U$29*EXP('Model Inputs &amp; Assumptions'!$V$29*Q516-'Model Inputs &amp; Assumptions'!$V$29^2/2))</f>
        <v>0</v>
      </c>
      <c r="E516" s="45" t="n">
        <f aca="false">ROUND(C516*D516,0)</f>
        <v>0</v>
      </c>
      <c r="F516" s="47" t="n">
        <f aca="false">MIN(1,'Model Inputs &amp; Assumptions'!$W$29*EXP('Model Inputs &amp; Assumptions'!$X$29*R516-'Model Inputs &amp; Assumptions'!$X$29^2/2))</f>
        <v>0.00226768443645376</v>
      </c>
      <c r="G516" s="45" t="n">
        <f aca="false">ROUND(C516*F516,0)</f>
        <v>384</v>
      </c>
      <c r="H516" s="48" t="n">
        <f aca="false">MAX(0,(C516*'Model Inputs &amp; Assumptions'!$N$29+E516*'Model Inputs &amp; Assumptions'!$O$29+G516*'Model Inputs &amp; Assumptions'!$P$29)*EXP('Model Inputs &amp; Assumptions'!$Q$29*S516-'Model Inputs &amp; Assumptions'!$Q$29^2/2))</f>
        <v>36.7058256321384</v>
      </c>
      <c r="I516" s="49" t="n">
        <f aca="false">IF('Model Inputs &amp; Assumptions'!$H$29="Fixed",'Model Inputs &amp; Assumptions'!$I$29*'Model Inputs &amp; Assumptions'!$K$29,IF('Model Inputs &amp; Assumptions'!$H$29="CPM",'Model Inputs &amp; Assumptions'!$I$29*'Model Inputs &amp; Assumptions'!$K$29*C516/1000,IF('Model Inputs &amp; Assumptions'!$H$29="CPC",'Model Inputs &amp; Assumptions'!$I$29*'Model Inputs &amp; Assumptions'!$K$29*G516,0)))</f>
        <v>6500</v>
      </c>
      <c r="J516" s="50" t="n">
        <f aca="false">H516*INDEX('Model Inputs &amp; Assumptions'!$D$40:$D$42,MATCH('Model Inputs &amp; Assumptions'!$L$29,'Model Inputs &amp; Assumptions'!$A$40:$A$42,0))*INDEX('Model Inputs &amp; Assumptions'!$H$40:$H$42,MATCH('Model Inputs &amp; Assumptions'!$L$29,'Model Inputs &amp; Assumptions'!$A$40:$A$42,0))</f>
        <v>311999.517873176</v>
      </c>
      <c r="K516" s="49" t="n">
        <f aca="false">H516*INDEX('Model Inputs &amp; Assumptions'!$G$40:$G$42,MATCH('Model Inputs &amp; Assumptions'!$L$29,'Model Inputs &amp; Assumptions'!$A$40:$A$42,0))*INDEX('Model Inputs &amp; Assumptions'!$H$40:$H$42,MATCH('Model Inputs &amp; Assumptions'!$L$29,'Model Inputs &amp; Assumptions'!$A$40:$A$42,0))</f>
        <v>7019.98915214646</v>
      </c>
      <c r="L516" s="51" t="n">
        <f aca="false">IFERROR(K516/I516,0)</f>
        <v>1.07999833109946</v>
      </c>
      <c r="M516" s="49" t="n">
        <f aca="false">IFERROR(I516/H516,0)</f>
        <v>177.083606976785</v>
      </c>
      <c r="N516" s="52" t="str">
        <f aca="false">'Model Inputs &amp; Assumptions'!$L$29</f>
        <v>PRD-EUAI</v>
      </c>
      <c r="P516" s="53" t="n">
        <v>-0.605888</v>
      </c>
      <c r="Q516" s="53" t="n">
        <v>-1.116725</v>
      </c>
      <c r="R516" s="53" t="n">
        <v>-0.915788</v>
      </c>
      <c r="S516" s="53" t="n">
        <v>2.310084</v>
      </c>
    </row>
    <row r="517" customFormat="false" ht="15" hidden="false" customHeight="false" outlineLevel="0" collapsed="false">
      <c r="A517" s="43" t="n">
        <v>14</v>
      </c>
      <c r="B517" s="44" t="str">
        <f aca="false">'Model Inputs &amp; Assumptions'!$B$29</f>
        <v>Handelsblatt — Native Explainer</v>
      </c>
      <c r="C517" s="45" t="n">
        <f aca="false">ROUND(MAX(0,'Model Inputs &amp; Assumptions'!$S$29*EXP('Model Inputs &amp; Assumptions'!$T$29*P517-'Model Inputs &amp; Assumptions'!$T$29^2/2)),0)</f>
        <v>185419</v>
      </c>
      <c r="D517" s="46" t="n">
        <f aca="false">MIN(1,'Model Inputs &amp; Assumptions'!$U$29*EXP('Model Inputs &amp; Assumptions'!$V$29*Q517-'Model Inputs &amp; Assumptions'!$V$29^2/2))</f>
        <v>0</v>
      </c>
      <c r="E517" s="45" t="n">
        <f aca="false">ROUND(C517*D517,0)</f>
        <v>0</v>
      </c>
      <c r="F517" s="47" t="n">
        <f aca="false">MIN(1,'Model Inputs &amp; Assumptions'!$W$29*EXP('Model Inputs &amp; Assumptions'!$X$29*R517-'Model Inputs &amp; Assumptions'!$X$29^2/2))</f>
        <v>0.00286754435712004</v>
      </c>
      <c r="G517" s="45" t="n">
        <f aca="false">ROUND(C517*F517,0)</f>
        <v>532</v>
      </c>
      <c r="H517" s="48" t="n">
        <f aca="false">MAX(0,(C517*'Model Inputs &amp; Assumptions'!$N$29+E517*'Model Inputs &amp; Assumptions'!$O$29+G517*'Model Inputs &amp; Assumptions'!$P$29)*EXP('Model Inputs &amp; Assumptions'!$Q$29*S517-'Model Inputs &amp; Assumptions'!$Q$29^2/2))</f>
        <v>23.8574757244903</v>
      </c>
      <c r="I517" s="49" t="n">
        <f aca="false">IF('Model Inputs &amp; Assumptions'!$H$29="Fixed",'Model Inputs &amp; Assumptions'!$I$29*'Model Inputs &amp; Assumptions'!$K$29,IF('Model Inputs &amp; Assumptions'!$H$29="CPM",'Model Inputs &amp; Assumptions'!$I$29*'Model Inputs &amp; Assumptions'!$K$29*C517/1000,IF('Model Inputs &amp; Assumptions'!$H$29="CPC",'Model Inputs &amp; Assumptions'!$I$29*'Model Inputs &amp; Assumptions'!$K$29*G517,0)))</f>
        <v>6500</v>
      </c>
      <c r="J517" s="50" t="n">
        <f aca="false">H517*INDEX('Model Inputs &amp; Assumptions'!$D$40:$D$42,MATCH('Model Inputs &amp; Assumptions'!$L$29,'Model Inputs &amp; Assumptions'!$A$40:$A$42,0))*INDEX('Model Inputs &amp; Assumptions'!$H$40:$H$42,MATCH('Model Inputs &amp; Assumptions'!$L$29,'Model Inputs &amp; Assumptions'!$A$40:$A$42,0))</f>
        <v>202788.543658168</v>
      </c>
      <c r="K517" s="49" t="n">
        <f aca="false">H517*INDEX('Model Inputs &amp; Assumptions'!$G$40:$G$42,MATCH('Model Inputs &amp; Assumptions'!$L$29,'Model Inputs &amp; Assumptions'!$A$40:$A$42,0))*INDEX('Model Inputs &amp; Assumptions'!$H$40:$H$42,MATCH('Model Inputs &amp; Assumptions'!$L$29,'Model Inputs &amp; Assumptions'!$A$40:$A$42,0))</f>
        <v>4562.74223230878</v>
      </c>
      <c r="L517" s="51" t="n">
        <f aca="false">IFERROR(K517/I517,0)</f>
        <v>0.70196034343212</v>
      </c>
      <c r="M517" s="49" t="n">
        <f aca="false">IFERROR(I517/H517,0)</f>
        <v>272.451288437342</v>
      </c>
      <c r="N517" s="52" t="str">
        <f aca="false">'Model Inputs &amp; Assumptions'!$L$29</f>
        <v>PRD-EUAI</v>
      </c>
      <c r="P517" s="53" t="n">
        <v>-0.188392</v>
      </c>
      <c r="Q517" s="53" t="n">
        <v>0.185952</v>
      </c>
      <c r="R517" s="53" t="n">
        <v>-0.013108</v>
      </c>
      <c r="S517" s="53" t="n">
        <v>-0.212712</v>
      </c>
    </row>
    <row r="518" customFormat="false" ht="15" hidden="false" customHeight="false" outlineLevel="0" collapsed="false">
      <c r="A518" s="43" t="n">
        <v>15</v>
      </c>
      <c r="B518" s="44" t="str">
        <f aca="false">'Model Inputs &amp; Assumptions'!$B$29</f>
        <v>Handelsblatt — Native Explainer</v>
      </c>
      <c r="C518" s="45" t="n">
        <f aca="false">ROUND(MAX(0,'Model Inputs &amp; Assumptions'!$S$29*EXP('Model Inputs &amp; Assumptions'!$T$29*P518-'Model Inputs &amp; Assumptions'!$T$29^2/2)),0)</f>
        <v>210261</v>
      </c>
      <c r="D518" s="46" t="n">
        <f aca="false">MIN(1,'Model Inputs &amp; Assumptions'!$U$29*EXP('Model Inputs &amp; Assumptions'!$V$29*Q518-'Model Inputs &amp; Assumptions'!$V$29^2/2))</f>
        <v>0</v>
      </c>
      <c r="E518" s="45" t="n">
        <f aca="false">ROUND(C518*D518,0)</f>
        <v>0</v>
      </c>
      <c r="F518" s="47" t="n">
        <f aca="false">MIN(1,'Model Inputs &amp; Assumptions'!$W$29*EXP('Model Inputs &amp; Assumptions'!$X$29*R518-'Model Inputs &amp; Assumptions'!$X$29^2/2))</f>
        <v>0.00424476881958634</v>
      </c>
      <c r="G518" s="45" t="n">
        <f aca="false">ROUND(C518*F518,0)</f>
        <v>893</v>
      </c>
      <c r="H518" s="48" t="n">
        <f aca="false">MAX(0,(C518*'Model Inputs &amp; Assumptions'!$N$29+E518*'Model Inputs &amp; Assumptions'!$O$29+G518*'Model Inputs &amp; Assumptions'!$P$29)*EXP('Model Inputs &amp; Assumptions'!$Q$29*S518-'Model Inputs &amp; Assumptions'!$Q$29^2/2))</f>
        <v>41.0942786954677</v>
      </c>
      <c r="I518" s="49" t="n">
        <f aca="false">IF('Model Inputs &amp; Assumptions'!$H$29="Fixed",'Model Inputs &amp; Assumptions'!$I$29*'Model Inputs &amp; Assumptions'!$K$29,IF('Model Inputs &amp; Assumptions'!$H$29="CPM",'Model Inputs &amp; Assumptions'!$I$29*'Model Inputs &amp; Assumptions'!$K$29*C518/1000,IF('Model Inputs &amp; Assumptions'!$H$29="CPC",'Model Inputs &amp; Assumptions'!$I$29*'Model Inputs &amp; Assumptions'!$K$29*G518,0)))</f>
        <v>6500</v>
      </c>
      <c r="J518" s="50" t="n">
        <f aca="false">H518*INDEX('Model Inputs &amp; Assumptions'!$D$40:$D$42,MATCH('Model Inputs &amp; Assumptions'!$L$29,'Model Inputs &amp; Assumptions'!$A$40:$A$42,0))*INDEX('Model Inputs &amp; Assumptions'!$H$40:$H$42,MATCH('Model Inputs &amp; Assumptions'!$L$29,'Model Inputs &amp; Assumptions'!$A$40:$A$42,0))</f>
        <v>349301.368911476</v>
      </c>
      <c r="K518" s="49" t="n">
        <f aca="false">H518*INDEX('Model Inputs &amp; Assumptions'!$G$40:$G$42,MATCH('Model Inputs &amp; Assumptions'!$L$29,'Model Inputs &amp; Assumptions'!$A$40:$A$42,0))*INDEX('Model Inputs &amp; Assumptions'!$H$40:$H$42,MATCH('Model Inputs &amp; Assumptions'!$L$29,'Model Inputs &amp; Assumptions'!$A$40:$A$42,0))</f>
        <v>7859.2808005082</v>
      </c>
      <c r="L518" s="51" t="n">
        <f aca="false">IFERROR(K518/I518,0)</f>
        <v>1.20912012315511</v>
      </c>
      <c r="M518" s="49" t="n">
        <f aca="false">IFERROR(I518/H518,0)</f>
        <v>158.172869955177</v>
      </c>
      <c r="N518" s="52" t="str">
        <f aca="false">'Model Inputs &amp; Assumptions'!$L$29</f>
        <v>PRD-EUAI</v>
      </c>
      <c r="P518" s="53" t="n">
        <v>0.383104</v>
      </c>
      <c r="Q518" s="53" t="n">
        <v>-0.638145</v>
      </c>
      <c r="R518" s="53" t="n">
        <v>1.495474</v>
      </c>
      <c r="S518" s="53" t="n">
        <v>-0.126618</v>
      </c>
    </row>
    <row r="519" customFormat="false" ht="15" hidden="false" customHeight="false" outlineLevel="0" collapsed="false">
      <c r="A519" s="43" t="n">
        <v>16</v>
      </c>
      <c r="B519" s="44" t="str">
        <f aca="false">'Model Inputs &amp; Assumptions'!$B$29</f>
        <v>Handelsblatt — Native Explainer</v>
      </c>
      <c r="C519" s="45" t="n">
        <f aca="false">ROUND(MAX(0,'Model Inputs &amp; Assumptions'!$S$29*EXP('Model Inputs &amp; Assumptions'!$T$29*P519-'Model Inputs &amp; Assumptions'!$T$29^2/2)),0)</f>
        <v>177602</v>
      </c>
      <c r="D519" s="46" t="n">
        <f aca="false">MIN(1,'Model Inputs &amp; Assumptions'!$U$29*EXP('Model Inputs &amp; Assumptions'!$V$29*Q519-'Model Inputs &amp; Assumptions'!$V$29^2/2))</f>
        <v>0</v>
      </c>
      <c r="E519" s="45" t="n">
        <f aca="false">ROUND(C519*D519,0)</f>
        <v>0</v>
      </c>
      <c r="F519" s="47" t="n">
        <f aca="false">MIN(1,'Model Inputs &amp; Assumptions'!$W$29*EXP('Model Inputs &amp; Assumptions'!$X$29*R519-'Model Inputs &amp; Assumptions'!$X$29^2/2))</f>
        <v>0.00327290934995591</v>
      </c>
      <c r="G519" s="45" t="n">
        <f aca="false">ROUND(C519*F519,0)</f>
        <v>581</v>
      </c>
      <c r="H519" s="48" t="n">
        <f aca="false">MAX(0,(C519*'Model Inputs &amp; Assumptions'!$N$29+E519*'Model Inputs &amp; Assumptions'!$O$29+G519*'Model Inputs &amp; Assumptions'!$P$29)*EXP('Model Inputs &amp; Assumptions'!$Q$29*S519-'Model Inputs &amp; Assumptions'!$Q$29^2/2))</f>
        <v>37.4318214398292</v>
      </c>
      <c r="I519" s="49" t="n">
        <f aca="false">IF('Model Inputs &amp; Assumptions'!$H$29="Fixed",'Model Inputs &amp; Assumptions'!$I$29*'Model Inputs &amp; Assumptions'!$K$29,IF('Model Inputs &amp; Assumptions'!$H$29="CPM",'Model Inputs &amp; Assumptions'!$I$29*'Model Inputs &amp; Assumptions'!$K$29*C519/1000,IF('Model Inputs &amp; Assumptions'!$H$29="CPC",'Model Inputs &amp; Assumptions'!$I$29*'Model Inputs &amp; Assumptions'!$K$29*G519,0)))</f>
        <v>6500</v>
      </c>
      <c r="J519" s="50" t="n">
        <f aca="false">H519*INDEX('Model Inputs &amp; Assumptions'!$D$40:$D$42,MATCH('Model Inputs &amp; Assumptions'!$L$29,'Model Inputs &amp; Assumptions'!$A$40:$A$42,0))*INDEX('Model Inputs &amp; Assumptions'!$H$40:$H$42,MATCH('Model Inputs &amp; Assumptions'!$L$29,'Model Inputs &amp; Assumptions'!$A$40:$A$42,0))</f>
        <v>318170.482238548</v>
      </c>
      <c r="K519" s="49" t="n">
        <f aca="false">H519*INDEX('Model Inputs &amp; Assumptions'!$G$40:$G$42,MATCH('Model Inputs &amp; Assumptions'!$L$29,'Model Inputs &amp; Assumptions'!$A$40:$A$42,0))*INDEX('Model Inputs &amp; Assumptions'!$H$40:$H$42,MATCH('Model Inputs &amp; Assumptions'!$L$29,'Model Inputs &amp; Assumptions'!$A$40:$A$42,0))</f>
        <v>7158.83585036733</v>
      </c>
      <c r="L519" s="51" t="n">
        <f aca="false">IFERROR(K519/I519,0)</f>
        <v>1.10135936159497</v>
      </c>
      <c r="M519" s="49" t="n">
        <f aca="false">IFERROR(I519/H519,0)</f>
        <v>173.6490437808</v>
      </c>
      <c r="N519" s="52" t="str">
        <f aca="false">'Model Inputs &amp; Assumptions'!$L$29</f>
        <v>PRD-EUAI</v>
      </c>
      <c r="P519" s="53" t="n">
        <v>-0.384183</v>
      </c>
      <c r="Q519" s="53" t="n">
        <v>1.037814</v>
      </c>
      <c r="R519" s="53" t="n">
        <v>0.495443</v>
      </c>
      <c r="S519" s="53" t="n">
        <v>0.995009</v>
      </c>
    </row>
    <row r="520" customFormat="false" ht="15" hidden="false" customHeight="false" outlineLevel="0" collapsed="false">
      <c r="A520" s="43" t="n">
        <v>17</v>
      </c>
      <c r="B520" s="44" t="str">
        <f aca="false">'Model Inputs &amp; Assumptions'!$B$29</f>
        <v>Handelsblatt — Native Explainer</v>
      </c>
      <c r="C520" s="45" t="n">
        <f aca="false">ROUND(MAX(0,'Model Inputs &amp; Assumptions'!$S$29*EXP('Model Inputs &amp; Assumptions'!$T$29*P520-'Model Inputs &amp; Assumptions'!$T$29^2/2)),0)</f>
        <v>229190</v>
      </c>
      <c r="D520" s="46" t="n">
        <f aca="false">MIN(1,'Model Inputs &amp; Assumptions'!$U$29*EXP('Model Inputs &amp; Assumptions'!$V$29*Q520-'Model Inputs &amp; Assumptions'!$V$29^2/2))</f>
        <v>0</v>
      </c>
      <c r="E520" s="45" t="n">
        <f aca="false">ROUND(C520*D520,0)</f>
        <v>0</v>
      </c>
      <c r="F520" s="47" t="n">
        <f aca="false">MIN(1,'Model Inputs &amp; Assumptions'!$W$29*EXP('Model Inputs &amp; Assumptions'!$X$29*R520-'Model Inputs &amp; Assumptions'!$X$29^2/2))</f>
        <v>0.00383845406699171</v>
      </c>
      <c r="G520" s="45" t="n">
        <f aca="false">ROUND(C520*F520,0)</f>
        <v>880</v>
      </c>
      <c r="H520" s="48" t="n">
        <f aca="false">MAX(0,(C520*'Model Inputs &amp; Assumptions'!$N$29+E520*'Model Inputs &amp; Assumptions'!$O$29+G520*'Model Inputs &amp; Assumptions'!$P$29)*EXP('Model Inputs &amp; Assumptions'!$Q$29*S520-'Model Inputs &amp; Assumptions'!$Q$29^2/2))</f>
        <v>31.9782387983664</v>
      </c>
      <c r="I520" s="49" t="n">
        <f aca="false">IF('Model Inputs &amp; Assumptions'!$H$29="Fixed",'Model Inputs &amp; Assumptions'!$I$29*'Model Inputs &amp; Assumptions'!$K$29,IF('Model Inputs &amp; Assumptions'!$H$29="CPM",'Model Inputs &amp; Assumptions'!$I$29*'Model Inputs &amp; Assumptions'!$K$29*C520/1000,IF('Model Inputs &amp; Assumptions'!$H$29="CPC",'Model Inputs &amp; Assumptions'!$I$29*'Model Inputs &amp; Assumptions'!$K$29*G520,0)))</f>
        <v>6500</v>
      </c>
      <c r="J520" s="50" t="n">
        <f aca="false">H520*INDEX('Model Inputs &amp; Assumptions'!$D$40:$D$42,MATCH('Model Inputs &amp; Assumptions'!$L$29,'Model Inputs &amp; Assumptions'!$A$40:$A$42,0))*INDEX('Model Inputs &amp; Assumptions'!$H$40:$H$42,MATCH('Model Inputs &amp; Assumptions'!$L$29,'Model Inputs &amp; Assumptions'!$A$40:$A$42,0))</f>
        <v>271815.029786115</v>
      </c>
      <c r="K520" s="49" t="n">
        <f aca="false">H520*INDEX('Model Inputs &amp; Assumptions'!$G$40:$G$42,MATCH('Model Inputs &amp; Assumptions'!$L$29,'Model Inputs &amp; Assumptions'!$A$40:$A$42,0))*INDEX('Model Inputs &amp; Assumptions'!$H$40:$H$42,MATCH('Model Inputs &amp; Assumptions'!$L$29,'Model Inputs &amp; Assumptions'!$A$40:$A$42,0))</f>
        <v>6115.83817018758</v>
      </c>
      <c r="L520" s="51" t="n">
        <f aca="false">IFERROR(K520/I520,0)</f>
        <v>0.940898180028859</v>
      </c>
      <c r="M520" s="49" t="n">
        <f aca="false">IFERROR(I520/H520,0)</f>
        <v>203.263226626854</v>
      </c>
      <c r="N520" s="52" t="str">
        <f aca="false">'Model Inputs &amp; Assumptions'!$L$29</f>
        <v>PRD-EUAI</v>
      </c>
      <c r="P520" s="53" t="n">
        <v>0.774934</v>
      </c>
      <c r="Q520" s="53" t="n">
        <v>-0.64808</v>
      </c>
      <c r="R520" s="53" t="n">
        <v>1.108483</v>
      </c>
      <c r="S520" s="53" t="n">
        <v>-0.91378</v>
      </c>
    </row>
    <row r="521" customFormat="false" ht="15" hidden="false" customHeight="false" outlineLevel="0" collapsed="false">
      <c r="A521" s="43" t="n">
        <v>18</v>
      </c>
      <c r="B521" s="44" t="str">
        <f aca="false">'Model Inputs &amp; Assumptions'!$B$29</f>
        <v>Handelsblatt — Native Explainer</v>
      </c>
      <c r="C521" s="45" t="n">
        <f aca="false">ROUND(MAX(0,'Model Inputs &amp; Assumptions'!$S$29*EXP('Model Inputs &amp; Assumptions'!$T$29*P521-'Model Inputs &amp; Assumptions'!$T$29^2/2)),0)</f>
        <v>183642</v>
      </c>
      <c r="D521" s="46" t="n">
        <f aca="false">MIN(1,'Model Inputs &amp; Assumptions'!$U$29*EXP('Model Inputs &amp; Assumptions'!$V$29*Q521-'Model Inputs &amp; Assumptions'!$V$29^2/2))</f>
        <v>0</v>
      </c>
      <c r="E521" s="45" t="n">
        <f aca="false">ROUND(C521*D521,0)</f>
        <v>0</v>
      </c>
      <c r="F521" s="47" t="n">
        <f aca="false">MIN(1,'Model Inputs &amp; Assumptions'!$W$29*EXP('Model Inputs &amp; Assumptions'!$X$29*R521-'Model Inputs &amp; Assumptions'!$X$29^2/2))</f>
        <v>0.00244733216451757</v>
      </c>
      <c r="G521" s="45" t="n">
        <f aca="false">ROUND(C521*F521,0)</f>
        <v>449</v>
      </c>
      <c r="H521" s="48" t="n">
        <f aca="false">MAX(0,(C521*'Model Inputs &amp; Assumptions'!$N$29+E521*'Model Inputs &amp; Assumptions'!$O$29+G521*'Model Inputs &amp; Assumptions'!$P$29)*EXP('Model Inputs &amp; Assumptions'!$Q$29*S521-'Model Inputs &amp; Assumptions'!$Q$29^2/2))</f>
        <v>23.8795086899072</v>
      </c>
      <c r="I521" s="49" t="n">
        <f aca="false">IF('Model Inputs &amp; Assumptions'!$H$29="Fixed",'Model Inputs &amp; Assumptions'!$I$29*'Model Inputs &amp; Assumptions'!$K$29,IF('Model Inputs &amp; Assumptions'!$H$29="CPM",'Model Inputs &amp; Assumptions'!$I$29*'Model Inputs &amp; Assumptions'!$K$29*C521/1000,IF('Model Inputs &amp; Assumptions'!$H$29="CPC",'Model Inputs &amp; Assumptions'!$I$29*'Model Inputs &amp; Assumptions'!$K$29*G521,0)))</f>
        <v>6500</v>
      </c>
      <c r="J521" s="50" t="n">
        <f aca="false">H521*INDEX('Model Inputs &amp; Assumptions'!$D$40:$D$42,MATCH('Model Inputs &amp; Assumptions'!$L$29,'Model Inputs &amp; Assumptions'!$A$40:$A$42,0))*INDEX('Model Inputs &amp; Assumptions'!$H$40:$H$42,MATCH('Model Inputs &amp; Assumptions'!$L$29,'Model Inputs &amp; Assumptions'!$A$40:$A$42,0))</f>
        <v>202975.823864211</v>
      </c>
      <c r="K521" s="49" t="n">
        <f aca="false">H521*INDEX('Model Inputs &amp; Assumptions'!$G$40:$G$42,MATCH('Model Inputs &amp; Assumptions'!$L$29,'Model Inputs &amp; Assumptions'!$A$40:$A$42,0))*INDEX('Model Inputs &amp; Assumptions'!$H$40:$H$42,MATCH('Model Inputs &amp; Assumptions'!$L$29,'Model Inputs &amp; Assumptions'!$A$40:$A$42,0))</f>
        <v>4566.95603694476</v>
      </c>
      <c r="L521" s="51" t="n">
        <f aca="false">IFERROR(K521/I521,0)</f>
        <v>0.702608621068424</v>
      </c>
      <c r="M521" s="49" t="n">
        <f aca="false">IFERROR(I521/H521,0)</f>
        <v>272.199905132355</v>
      </c>
      <c r="N521" s="52" t="str">
        <f aca="false">'Model Inputs &amp; Assumptions'!$L$29</f>
        <v>PRD-EUAI</v>
      </c>
      <c r="P521" s="53" t="n">
        <v>-0.232183</v>
      </c>
      <c r="Q521" s="53" t="n">
        <v>-0.636357</v>
      </c>
      <c r="R521" s="53" t="n">
        <v>-0.62256</v>
      </c>
      <c r="S521" s="53" t="n">
        <v>0.355767</v>
      </c>
    </row>
    <row r="522" customFormat="false" ht="15" hidden="false" customHeight="false" outlineLevel="0" collapsed="false">
      <c r="A522" s="43" t="n">
        <v>19</v>
      </c>
      <c r="B522" s="44" t="str">
        <f aca="false">'Model Inputs &amp; Assumptions'!$B$29</f>
        <v>Handelsblatt — Native Explainer</v>
      </c>
      <c r="C522" s="45" t="n">
        <f aca="false">ROUND(MAX(0,'Model Inputs &amp; Assumptions'!$S$29*EXP('Model Inputs &amp; Assumptions'!$T$29*P522-'Model Inputs &amp; Assumptions'!$T$29^2/2)),0)</f>
        <v>203505</v>
      </c>
      <c r="D522" s="46" t="n">
        <f aca="false">MIN(1,'Model Inputs &amp; Assumptions'!$U$29*EXP('Model Inputs &amp; Assumptions'!$V$29*Q522-'Model Inputs &amp; Assumptions'!$V$29^2/2))</f>
        <v>0</v>
      </c>
      <c r="E522" s="45" t="n">
        <f aca="false">ROUND(C522*D522,0)</f>
        <v>0</v>
      </c>
      <c r="F522" s="47" t="n">
        <f aca="false">MIN(1,'Model Inputs &amp; Assumptions'!$W$29*EXP('Model Inputs &amp; Assumptions'!$X$29*R522-'Model Inputs &amp; Assumptions'!$X$29^2/2))</f>
        <v>0.00313629334365224</v>
      </c>
      <c r="G522" s="45" t="n">
        <f aca="false">ROUND(C522*F522,0)</f>
        <v>638</v>
      </c>
      <c r="H522" s="48" t="n">
        <f aca="false">MAX(0,(C522*'Model Inputs &amp; Assumptions'!$N$29+E522*'Model Inputs &amp; Assumptions'!$O$29+G522*'Model Inputs &amp; Assumptions'!$P$29)*EXP('Model Inputs &amp; Assumptions'!$Q$29*S522-'Model Inputs &amp; Assumptions'!$Q$29^2/2))</f>
        <v>36.2234829861476</v>
      </c>
      <c r="I522" s="49" t="n">
        <f aca="false">IF('Model Inputs &amp; Assumptions'!$H$29="Fixed",'Model Inputs &amp; Assumptions'!$I$29*'Model Inputs &amp; Assumptions'!$K$29,IF('Model Inputs &amp; Assumptions'!$H$29="CPM",'Model Inputs &amp; Assumptions'!$I$29*'Model Inputs &amp; Assumptions'!$K$29*C522/1000,IF('Model Inputs &amp; Assumptions'!$H$29="CPC",'Model Inputs &amp; Assumptions'!$I$29*'Model Inputs &amp; Assumptions'!$K$29*G522,0)))</f>
        <v>6500</v>
      </c>
      <c r="J522" s="50" t="n">
        <f aca="false">H522*INDEX('Model Inputs &amp; Assumptions'!$D$40:$D$42,MATCH('Model Inputs &amp; Assumptions'!$L$29,'Model Inputs &amp; Assumptions'!$A$40:$A$42,0))*INDEX('Model Inputs &amp; Assumptions'!$H$40:$H$42,MATCH('Model Inputs &amp; Assumptions'!$L$29,'Model Inputs &amp; Assumptions'!$A$40:$A$42,0))</f>
        <v>307899.605382255</v>
      </c>
      <c r="K522" s="49" t="n">
        <f aca="false">H522*INDEX('Model Inputs &amp; Assumptions'!$G$40:$G$42,MATCH('Model Inputs &amp; Assumptions'!$L$29,'Model Inputs &amp; Assumptions'!$A$40:$A$42,0))*INDEX('Model Inputs &amp; Assumptions'!$H$40:$H$42,MATCH('Model Inputs &amp; Assumptions'!$L$29,'Model Inputs &amp; Assumptions'!$A$40:$A$42,0))</f>
        <v>6927.74112110073</v>
      </c>
      <c r="L522" s="51" t="n">
        <f aca="false">IFERROR(K522/I522,0)</f>
        <v>1.06580632632319</v>
      </c>
      <c r="M522" s="49" t="n">
        <f aca="false">IFERROR(I522/H522,0)</f>
        <v>179.441607050479</v>
      </c>
      <c r="N522" s="52" t="str">
        <f aca="false">'Model Inputs &amp; Assumptions'!$L$29</f>
        <v>PRD-EUAI</v>
      </c>
      <c r="P522" s="53" t="n">
        <v>0.234644</v>
      </c>
      <c r="Q522" s="53" t="n">
        <v>-1.972859</v>
      </c>
      <c r="R522" s="53" t="n">
        <v>0.331452</v>
      </c>
      <c r="S522" s="53" t="n">
        <v>0.573672</v>
      </c>
    </row>
    <row r="523" customFormat="false" ht="15" hidden="false" customHeight="false" outlineLevel="0" collapsed="false">
      <c r="A523" s="43" t="n">
        <v>20</v>
      </c>
      <c r="B523" s="44" t="str">
        <f aca="false">'Model Inputs &amp; Assumptions'!$B$29</f>
        <v>Handelsblatt — Native Explainer</v>
      </c>
      <c r="C523" s="45" t="n">
        <f aca="false">ROUND(MAX(0,'Model Inputs &amp; Assumptions'!$S$29*EXP('Model Inputs &amp; Assumptions'!$T$29*P523-'Model Inputs &amp; Assumptions'!$T$29^2/2)),0)</f>
        <v>270721</v>
      </c>
      <c r="D523" s="46" t="n">
        <f aca="false">MIN(1,'Model Inputs &amp; Assumptions'!$U$29*EXP('Model Inputs &amp; Assumptions'!$V$29*Q523-'Model Inputs &amp; Assumptions'!$V$29^2/2))</f>
        <v>0</v>
      </c>
      <c r="E523" s="45" t="n">
        <f aca="false">ROUND(C523*D523,0)</f>
        <v>0</v>
      </c>
      <c r="F523" s="47" t="n">
        <f aca="false">MIN(1,'Model Inputs &amp; Assumptions'!$W$29*EXP('Model Inputs &amp; Assumptions'!$X$29*R523-'Model Inputs &amp; Assumptions'!$X$29^2/2))</f>
        <v>0.00296099150105236</v>
      </c>
      <c r="G523" s="45" t="n">
        <f aca="false">ROUND(C523*F523,0)</f>
        <v>802</v>
      </c>
      <c r="H523" s="48" t="n">
        <f aca="false">MAX(0,(C523*'Model Inputs &amp; Assumptions'!$N$29+E523*'Model Inputs &amp; Assumptions'!$O$29+G523*'Model Inputs &amp; Assumptions'!$P$29)*EXP('Model Inputs &amp; Assumptions'!$Q$29*S523-'Model Inputs &amp; Assumptions'!$Q$29^2/2))</f>
        <v>43.0781942114562</v>
      </c>
      <c r="I523" s="49" t="n">
        <f aca="false">IF('Model Inputs &amp; Assumptions'!$H$29="Fixed",'Model Inputs &amp; Assumptions'!$I$29*'Model Inputs &amp; Assumptions'!$K$29,IF('Model Inputs &amp; Assumptions'!$H$29="CPM",'Model Inputs &amp; Assumptions'!$I$29*'Model Inputs &amp; Assumptions'!$K$29*C523/1000,IF('Model Inputs &amp; Assumptions'!$H$29="CPC",'Model Inputs &amp; Assumptions'!$I$29*'Model Inputs &amp; Assumptions'!$K$29*G523,0)))</f>
        <v>6500</v>
      </c>
      <c r="J523" s="50" t="n">
        <f aca="false">H523*INDEX('Model Inputs &amp; Assumptions'!$D$40:$D$42,MATCH('Model Inputs &amp; Assumptions'!$L$29,'Model Inputs &amp; Assumptions'!$A$40:$A$42,0))*INDEX('Model Inputs &amp; Assumptions'!$H$40:$H$42,MATCH('Model Inputs &amp; Assumptions'!$L$29,'Model Inputs &amp; Assumptions'!$A$40:$A$42,0))</f>
        <v>366164.650797377</v>
      </c>
      <c r="K523" s="49" t="n">
        <f aca="false">H523*INDEX('Model Inputs &amp; Assumptions'!$G$40:$G$42,MATCH('Model Inputs &amp; Assumptions'!$L$29,'Model Inputs &amp; Assumptions'!$A$40:$A$42,0))*INDEX('Model Inputs &amp; Assumptions'!$H$40:$H$42,MATCH('Model Inputs &amp; Assumptions'!$L$29,'Model Inputs &amp; Assumptions'!$A$40:$A$42,0))</f>
        <v>8238.70464294099</v>
      </c>
      <c r="L523" s="51" t="n">
        <f aca="false">IFERROR(K523/I523,0)</f>
        <v>1.26749302199092</v>
      </c>
      <c r="M523" s="49" t="n">
        <f aca="false">IFERROR(I523/H523,0)</f>
        <v>150.888404655351</v>
      </c>
      <c r="N523" s="52" t="str">
        <f aca="false">'Model Inputs &amp; Assumptions'!$L$29</f>
        <v>PRD-EUAI</v>
      </c>
      <c r="P523" s="53" t="n">
        <v>1.531923</v>
      </c>
      <c r="Q523" s="53" t="n">
        <v>0.224507</v>
      </c>
      <c r="R523" s="53" t="n">
        <v>0.110231</v>
      </c>
      <c r="S523" s="53" t="n">
        <v>0.388802</v>
      </c>
    </row>
    <row r="524" customFormat="false" ht="15" hidden="false" customHeight="false" outlineLevel="0" collapsed="false">
      <c r="A524" s="43" t="n">
        <v>21</v>
      </c>
      <c r="B524" s="44" t="str">
        <f aca="false">'Model Inputs &amp; Assumptions'!$B$29</f>
        <v>Handelsblatt — Native Explainer</v>
      </c>
      <c r="C524" s="45" t="n">
        <f aca="false">ROUND(MAX(0,'Model Inputs &amp; Assumptions'!$S$29*EXP('Model Inputs &amp; Assumptions'!$T$29*P524-'Model Inputs &amp; Assumptions'!$T$29^2/2)),0)</f>
        <v>218540</v>
      </c>
      <c r="D524" s="46" t="n">
        <f aca="false">MIN(1,'Model Inputs &amp; Assumptions'!$U$29*EXP('Model Inputs &amp; Assumptions'!$V$29*Q524-'Model Inputs &amp; Assumptions'!$V$29^2/2))</f>
        <v>0</v>
      </c>
      <c r="E524" s="45" t="n">
        <f aca="false">ROUND(C524*D524,0)</f>
        <v>0</v>
      </c>
      <c r="F524" s="47" t="n">
        <f aca="false">MIN(1,'Model Inputs &amp; Assumptions'!$W$29*EXP('Model Inputs &amp; Assumptions'!$X$29*R524-'Model Inputs &amp; Assumptions'!$X$29^2/2))</f>
        <v>0.00282118322086993</v>
      </c>
      <c r="G524" s="45" t="n">
        <f aca="false">ROUND(C524*F524,0)</f>
        <v>617</v>
      </c>
      <c r="H524" s="48" t="n">
        <f aca="false">MAX(0,(C524*'Model Inputs &amp; Assumptions'!$N$29+E524*'Model Inputs &amp; Assumptions'!$O$29+G524*'Model Inputs &amp; Assumptions'!$P$29)*EXP('Model Inputs &amp; Assumptions'!$Q$29*S524-'Model Inputs &amp; Assumptions'!$Q$29^2/2))</f>
        <v>37.8189405677584</v>
      </c>
      <c r="I524" s="49" t="n">
        <f aca="false">IF('Model Inputs &amp; Assumptions'!$H$29="Fixed",'Model Inputs &amp; Assumptions'!$I$29*'Model Inputs &amp; Assumptions'!$K$29,IF('Model Inputs &amp; Assumptions'!$H$29="CPM",'Model Inputs &amp; Assumptions'!$I$29*'Model Inputs &amp; Assumptions'!$K$29*C524/1000,IF('Model Inputs &amp; Assumptions'!$H$29="CPC",'Model Inputs &amp; Assumptions'!$I$29*'Model Inputs &amp; Assumptions'!$K$29*G524,0)))</f>
        <v>6500</v>
      </c>
      <c r="J524" s="50" t="n">
        <f aca="false">H524*INDEX('Model Inputs &amp; Assumptions'!$D$40:$D$42,MATCH('Model Inputs &amp; Assumptions'!$L$29,'Model Inputs &amp; Assumptions'!$A$40:$A$42,0))*INDEX('Model Inputs &amp; Assumptions'!$H$40:$H$42,MATCH('Model Inputs &amp; Assumptions'!$L$29,'Model Inputs &amp; Assumptions'!$A$40:$A$42,0))</f>
        <v>321460.994825946</v>
      </c>
      <c r="K524" s="49" t="n">
        <f aca="false">H524*INDEX('Model Inputs &amp; Assumptions'!$G$40:$G$42,MATCH('Model Inputs &amp; Assumptions'!$L$29,'Model Inputs &amp; Assumptions'!$A$40:$A$42,0))*INDEX('Model Inputs &amp; Assumptions'!$H$40:$H$42,MATCH('Model Inputs &amp; Assumptions'!$L$29,'Model Inputs &amp; Assumptions'!$A$40:$A$42,0))</f>
        <v>7232.87238358379</v>
      </c>
      <c r="L524" s="51" t="n">
        <f aca="false">IFERROR(K524/I524,0)</f>
        <v>1.11274959747443</v>
      </c>
      <c r="M524" s="49" t="n">
        <f aca="false">IFERROR(I524/H524,0)</f>
        <v>171.87155172563</v>
      </c>
      <c r="N524" s="52" t="str">
        <f aca="false">'Model Inputs &amp; Assumptions'!$L$29</f>
        <v>PRD-EUAI</v>
      </c>
      <c r="P524" s="53" t="n">
        <v>0.558643</v>
      </c>
      <c r="Q524" s="53" t="n">
        <v>0.696934</v>
      </c>
      <c r="R524" s="53" t="n">
        <v>-0.075799</v>
      </c>
      <c r="S524" s="53" t="n">
        <v>0.828911</v>
      </c>
    </row>
    <row r="525" customFormat="false" ht="15" hidden="false" customHeight="false" outlineLevel="0" collapsed="false">
      <c r="A525" s="43" t="n">
        <v>22</v>
      </c>
      <c r="B525" s="44" t="str">
        <f aca="false">'Model Inputs &amp; Assumptions'!$B$29</f>
        <v>Handelsblatt — Native Explainer</v>
      </c>
      <c r="C525" s="45" t="n">
        <f aca="false">ROUND(MAX(0,'Model Inputs &amp; Assumptions'!$S$29*EXP('Model Inputs &amp; Assumptions'!$T$29*P525-'Model Inputs &amp; Assumptions'!$T$29^2/2)),0)</f>
        <v>186046</v>
      </c>
      <c r="D525" s="46" t="n">
        <f aca="false">MIN(1,'Model Inputs &amp; Assumptions'!$U$29*EXP('Model Inputs &amp; Assumptions'!$V$29*Q525-'Model Inputs &amp; Assumptions'!$V$29^2/2))</f>
        <v>0</v>
      </c>
      <c r="E525" s="45" t="n">
        <f aca="false">ROUND(C525*D525,0)</f>
        <v>0</v>
      </c>
      <c r="F525" s="47" t="n">
        <f aca="false">MIN(1,'Model Inputs &amp; Assumptions'!$W$29*EXP('Model Inputs &amp; Assumptions'!$X$29*R525-'Model Inputs &amp; Assumptions'!$X$29^2/2))</f>
        <v>0.00401316368371267</v>
      </c>
      <c r="G525" s="45" t="n">
        <f aca="false">ROUND(C525*F525,0)</f>
        <v>747</v>
      </c>
      <c r="H525" s="48" t="n">
        <f aca="false">MAX(0,(C525*'Model Inputs &amp; Assumptions'!$N$29+E525*'Model Inputs &amp; Assumptions'!$O$29+G525*'Model Inputs &amp; Assumptions'!$P$29)*EXP('Model Inputs &amp; Assumptions'!$Q$29*S525-'Model Inputs &amp; Assumptions'!$Q$29^2/2))</f>
        <v>30.2588230062861</v>
      </c>
      <c r="I525" s="49" t="n">
        <f aca="false">IF('Model Inputs &amp; Assumptions'!$H$29="Fixed",'Model Inputs &amp; Assumptions'!$I$29*'Model Inputs &amp; Assumptions'!$K$29,IF('Model Inputs &amp; Assumptions'!$H$29="CPM",'Model Inputs &amp; Assumptions'!$I$29*'Model Inputs &amp; Assumptions'!$K$29*C525/1000,IF('Model Inputs &amp; Assumptions'!$H$29="CPC",'Model Inputs &amp; Assumptions'!$I$29*'Model Inputs &amp; Assumptions'!$K$29*G525,0)))</f>
        <v>6500</v>
      </c>
      <c r="J525" s="50" t="n">
        <f aca="false">H525*INDEX('Model Inputs &amp; Assumptions'!$D$40:$D$42,MATCH('Model Inputs &amp; Assumptions'!$L$29,'Model Inputs &amp; Assumptions'!$A$40:$A$42,0))*INDEX('Model Inputs &amp; Assumptions'!$H$40:$H$42,MATCH('Model Inputs &amp; Assumptions'!$L$29,'Model Inputs &amp; Assumptions'!$A$40:$A$42,0))</f>
        <v>257199.995553432</v>
      </c>
      <c r="K525" s="49" t="n">
        <f aca="false">H525*INDEX('Model Inputs &amp; Assumptions'!$G$40:$G$42,MATCH('Model Inputs &amp; Assumptions'!$L$29,'Model Inputs &amp; Assumptions'!$A$40:$A$42,0))*INDEX('Model Inputs &amp; Assumptions'!$H$40:$H$42,MATCH('Model Inputs &amp; Assumptions'!$L$29,'Model Inputs &amp; Assumptions'!$A$40:$A$42,0))</f>
        <v>5786.99989995222</v>
      </c>
      <c r="L525" s="51" t="n">
        <f aca="false">IFERROR(K525/I525,0)</f>
        <v>0.890307676915726</v>
      </c>
      <c r="M525" s="49" t="n">
        <f aca="false">IFERROR(I525/H525,0)</f>
        <v>214.813378519371</v>
      </c>
      <c r="N525" s="52" t="str">
        <f aca="false">'Model Inputs &amp; Assumptions'!$L$29</f>
        <v>PRD-EUAI</v>
      </c>
      <c r="P525" s="53" t="n">
        <v>-0.173057</v>
      </c>
      <c r="Q525" s="53" t="n">
        <v>0.374285</v>
      </c>
      <c r="R525" s="53" t="n">
        <v>1.279676</v>
      </c>
      <c r="S525" s="53" t="n">
        <v>-0.551817</v>
      </c>
    </row>
    <row r="526" customFormat="false" ht="15" hidden="false" customHeight="false" outlineLevel="0" collapsed="false">
      <c r="A526" s="43" t="n">
        <v>23</v>
      </c>
      <c r="B526" s="44" t="str">
        <f aca="false">'Model Inputs &amp; Assumptions'!$B$29</f>
        <v>Handelsblatt — Native Explainer</v>
      </c>
      <c r="C526" s="45" t="n">
        <f aca="false">ROUND(MAX(0,'Model Inputs &amp; Assumptions'!$S$29*EXP('Model Inputs &amp; Assumptions'!$T$29*P526-'Model Inputs &amp; Assumptions'!$T$29^2/2)),0)</f>
        <v>319058</v>
      </c>
      <c r="D526" s="46" t="n">
        <f aca="false">MIN(1,'Model Inputs &amp; Assumptions'!$U$29*EXP('Model Inputs &amp; Assumptions'!$V$29*Q526-'Model Inputs &amp; Assumptions'!$V$29^2/2))</f>
        <v>0</v>
      </c>
      <c r="E526" s="45" t="n">
        <f aca="false">ROUND(C526*D526,0)</f>
        <v>0</v>
      </c>
      <c r="F526" s="47" t="n">
        <f aca="false">MIN(1,'Model Inputs &amp; Assumptions'!$W$29*EXP('Model Inputs &amp; Assumptions'!$X$29*R526-'Model Inputs &amp; Assumptions'!$X$29^2/2))</f>
        <v>0.00205528868791501</v>
      </c>
      <c r="G526" s="45" t="n">
        <f aca="false">ROUND(C526*F526,0)</f>
        <v>656</v>
      </c>
      <c r="H526" s="48" t="n">
        <f aca="false">MAX(0,(C526*'Model Inputs &amp; Assumptions'!$N$29+E526*'Model Inputs &amp; Assumptions'!$O$29+G526*'Model Inputs &amp; Assumptions'!$P$29)*EXP('Model Inputs &amp; Assumptions'!$Q$29*S526-'Model Inputs &amp; Assumptions'!$Q$29^2/2))</f>
        <v>30.1382254750999</v>
      </c>
      <c r="I526" s="49" t="n">
        <f aca="false">IF('Model Inputs &amp; Assumptions'!$H$29="Fixed",'Model Inputs &amp; Assumptions'!$I$29*'Model Inputs &amp; Assumptions'!$K$29,IF('Model Inputs &amp; Assumptions'!$H$29="CPM",'Model Inputs &amp; Assumptions'!$I$29*'Model Inputs &amp; Assumptions'!$K$29*C526/1000,IF('Model Inputs &amp; Assumptions'!$H$29="CPC",'Model Inputs &amp; Assumptions'!$I$29*'Model Inputs &amp; Assumptions'!$K$29*G526,0)))</f>
        <v>6500</v>
      </c>
      <c r="J526" s="50" t="n">
        <f aca="false">H526*INDEX('Model Inputs &amp; Assumptions'!$D$40:$D$42,MATCH('Model Inputs &amp; Assumptions'!$L$29,'Model Inputs &amp; Assumptions'!$A$40:$A$42,0))*INDEX('Model Inputs &amp; Assumptions'!$H$40:$H$42,MATCH('Model Inputs &amp; Assumptions'!$L$29,'Model Inputs &amp; Assumptions'!$A$40:$A$42,0))</f>
        <v>256174.916538349</v>
      </c>
      <c r="K526" s="49" t="n">
        <f aca="false">H526*INDEX('Model Inputs &amp; Assumptions'!$G$40:$G$42,MATCH('Model Inputs &amp; Assumptions'!$L$29,'Model Inputs &amp; Assumptions'!$A$40:$A$42,0))*INDEX('Model Inputs &amp; Assumptions'!$H$40:$H$42,MATCH('Model Inputs &amp; Assumptions'!$L$29,'Model Inputs &amp; Assumptions'!$A$40:$A$42,0))</f>
        <v>5763.93562211285</v>
      </c>
      <c r="L526" s="51" t="n">
        <f aca="false">IFERROR(K526/I526,0)</f>
        <v>0.886759326478901</v>
      </c>
      <c r="M526" s="49" t="n">
        <f aca="false">IFERROR(I526/H526,0)</f>
        <v>215.672950133387</v>
      </c>
      <c r="N526" s="52" t="str">
        <f aca="false">'Model Inputs &amp; Assumptions'!$L$29</f>
        <v>PRD-EUAI</v>
      </c>
      <c r="P526" s="53" t="n">
        <v>2.278661</v>
      </c>
      <c r="Q526" s="53" t="n">
        <v>-1.028163</v>
      </c>
      <c r="R526" s="53" t="n">
        <v>-1.29403</v>
      </c>
      <c r="S526" s="53" t="n">
        <v>-0.132114</v>
      </c>
    </row>
    <row r="527" customFormat="false" ht="15" hidden="false" customHeight="false" outlineLevel="0" collapsed="false">
      <c r="A527" s="43" t="n">
        <v>24</v>
      </c>
      <c r="B527" s="44" t="str">
        <f aca="false">'Model Inputs &amp; Assumptions'!$B$29</f>
        <v>Handelsblatt — Native Explainer</v>
      </c>
      <c r="C527" s="45" t="n">
        <f aca="false">ROUND(MAX(0,'Model Inputs &amp; Assumptions'!$S$29*EXP('Model Inputs &amp; Assumptions'!$T$29*P527-'Model Inputs &amp; Assumptions'!$T$29^2/2)),0)</f>
        <v>166850</v>
      </c>
      <c r="D527" s="46" t="n">
        <f aca="false">MIN(1,'Model Inputs &amp; Assumptions'!$U$29*EXP('Model Inputs &amp; Assumptions'!$V$29*Q527-'Model Inputs &amp; Assumptions'!$V$29^2/2))</f>
        <v>0</v>
      </c>
      <c r="E527" s="45" t="n">
        <f aca="false">ROUND(C527*D527,0)</f>
        <v>0</v>
      </c>
      <c r="F527" s="47" t="n">
        <f aca="false">MIN(1,'Model Inputs &amp; Assumptions'!$W$29*EXP('Model Inputs &amp; Assumptions'!$X$29*R527-'Model Inputs &amp; Assumptions'!$X$29^2/2))</f>
        <v>0.00203053389069785</v>
      </c>
      <c r="G527" s="45" t="n">
        <f aca="false">ROUND(C527*F527,0)</f>
        <v>339</v>
      </c>
      <c r="H527" s="48" t="n">
        <f aca="false">MAX(0,(C527*'Model Inputs &amp; Assumptions'!$N$29+E527*'Model Inputs &amp; Assumptions'!$O$29+G527*'Model Inputs &amp; Assumptions'!$P$29)*EXP('Model Inputs &amp; Assumptions'!$Q$29*S527-'Model Inputs &amp; Assumptions'!$Q$29^2/2))</f>
        <v>16.8423581863055</v>
      </c>
      <c r="I527" s="49" t="n">
        <f aca="false">IF('Model Inputs &amp; Assumptions'!$H$29="Fixed",'Model Inputs &amp; Assumptions'!$I$29*'Model Inputs &amp; Assumptions'!$K$29,IF('Model Inputs &amp; Assumptions'!$H$29="CPM",'Model Inputs &amp; Assumptions'!$I$29*'Model Inputs &amp; Assumptions'!$K$29*C527/1000,IF('Model Inputs &amp; Assumptions'!$H$29="CPC",'Model Inputs &amp; Assumptions'!$I$29*'Model Inputs &amp; Assumptions'!$K$29*G527,0)))</f>
        <v>6500</v>
      </c>
      <c r="J527" s="50" t="n">
        <f aca="false">H527*INDEX('Model Inputs &amp; Assumptions'!$D$40:$D$42,MATCH('Model Inputs &amp; Assumptions'!$L$29,'Model Inputs &amp; Assumptions'!$A$40:$A$42,0))*INDEX('Model Inputs &amp; Assumptions'!$H$40:$H$42,MATCH('Model Inputs &amp; Assumptions'!$L$29,'Model Inputs &amp; Assumptions'!$A$40:$A$42,0))</f>
        <v>143160.044583596</v>
      </c>
      <c r="K527" s="49" t="n">
        <f aca="false">H527*INDEX('Model Inputs &amp; Assumptions'!$G$40:$G$42,MATCH('Model Inputs &amp; Assumptions'!$L$29,'Model Inputs &amp; Assumptions'!$A$40:$A$42,0))*INDEX('Model Inputs &amp; Assumptions'!$H$40:$H$42,MATCH('Model Inputs &amp; Assumptions'!$L$29,'Model Inputs &amp; Assumptions'!$A$40:$A$42,0))</f>
        <v>3221.10100313092</v>
      </c>
      <c r="L527" s="51" t="n">
        <f aca="false">IFERROR(K527/I527,0)</f>
        <v>0.49555400048168</v>
      </c>
      <c r="M527" s="49" t="n">
        <f aca="false">IFERROR(I527/H527,0)</f>
        <v>385.931704343229</v>
      </c>
      <c r="N527" s="52" t="str">
        <f aca="false">'Model Inputs &amp; Assumptions'!$L$29</f>
        <v>PRD-EUAI</v>
      </c>
      <c r="P527" s="53" t="n">
        <v>-0.668066</v>
      </c>
      <c r="Q527" s="53" t="n">
        <v>-0.615495</v>
      </c>
      <c r="R527" s="53" t="n">
        <v>-1.340636</v>
      </c>
      <c r="S527" s="53" t="n">
        <v>0.128764</v>
      </c>
    </row>
    <row r="528" customFormat="false" ht="15" hidden="false" customHeight="false" outlineLevel="0" collapsed="false">
      <c r="A528" s="43" t="n">
        <v>25</v>
      </c>
      <c r="B528" s="44" t="str">
        <f aca="false">'Model Inputs &amp; Assumptions'!$B$29</f>
        <v>Handelsblatt — Native Explainer</v>
      </c>
      <c r="C528" s="45" t="n">
        <f aca="false">ROUND(MAX(0,'Model Inputs &amp; Assumptions'!$S$29*EXP('Model Inputs &amp; Assumptions'!$T$29*P528-'Model Inputs &amp; Assumptions'!$T$29^2/2)),0)</f>
        <v>167695</v>
      </c>
      <c r="D528" s="46" t="n">
        <f aca="false">MIN(1,'Model Inputs &amp; Assumptions'!$U$29*EXP('Model Inputs &amp; Assumptions'!$V$29*Q528-'Model Inputs &amp; Assumptions'!$V$29^2/2))</f>
        <v>0</v>
      </c>
      <c r="E528" s="45" t="n">
        <f aca="false">ROUND(C528*D528,0)</f>
        <v>0</v>
      </c>
      <c r="F528" s="47" t="n">
        <f aca="false">MIN(1,'Model Inputs &amp; Assumptions'!$W$29*EXP('Model Inputs &amp; Assumptions'!$X$29*R528-'Model Inputs &amp; Assumptions'!$X$29^2/2))</f>
        <v>0.00386765623218653</v>
      </c>
      <c r="G528" s="45" t="n">
        <f aca="false">ROUND(C528*F528,0)</f>
        <v>649</v>
      </c>
      <c r="H528" s="48" t="n">
        <f aca="false">MAX(0,(C528*'Model Inputs &amp; Assumptions'!$N$29+E528*'Model Inputs &amp; Assumptions'!$O$29+G528*'Model Inputs &amp; Assumptions'!$P$29)*EXP('Model Inputs &amp; Assumptions'!$Q$29*S528-'Model Inputs &amp; Assumptions'!$Q$29^2/2))</f>
        <v>28.0527942328042</v>
      </c>
      <c r="I528" s="49" t="n">
        <f aca="false">IF('Model Inputs &amp; Assumptions'!$H$29="Fixed",'Model Inputs &amp; Assumptions'!$I$29*'Model Inputs &amp; Assumptions'!$K$29,IF('Model Inputs &amp; Assumptions'!$H$29="CPM",'Model Inputs &amp; Assumptions'!$I$29*'Model Inputs &amp; Assumptions'!$K$29*C528/1000,IF('Model Inputs &amp; Assumptions'!$H$29="CPC",'Model Inputs &amp; Assumptions'!$I$29*'Model Inputs &amp; Assumptions'!$K$29*G528,0)))</f>
        <v>6500</v>
      </c>
      <c r="J528" s="50" t="n">
        <f aca="false">H528*INDEX('Model Inputs &amp; Assumptions'!$D$40:$D$42,MATCH('Model Inputs &amp; Assumptions'!$L$29,'Model Inputs &amp; Assumptions'!$A$40:$A$42,0))*INDEX('Model Inputs &amp; Assumptions'!$H$40:$H$42,MATCH('Model Inputs &amp; Assumptions'!$L$29,'Model Inputs &amp; Assumptions'!$A$40:$A$42,0))</f>
        <v>238448.750978836</v>
      </c>
      <c r="K528" s="49" t="n">
        <f aca="false">H528*INDEX('Model Inputs &amp; Assumptions'!$G$40:$G$42,MATCH('Model Inputs &amp; Assumptions'!$L$29,'Model Inputs &amp; Assumptions'!$A$40:$A$42,0))*INDEX('Model Inputs &amp; Assumptions'!$H$40:$H$42,MATCH('Model Inputs &amp; Assumptions'!$L$29,'Model Inputs &amp; Assumptions'!$A$40:$A$42,0))</f>
        <v>5365.0968970238</v>
      </c>
      <c r="L528" s="51" t="n">
        <f aca="false">IFERROR(K528/I528,0)</f>
        <v>0.825399522619047</v>
      </c>
      <c r="M528" s="49" t="n">
        <f aca="false">IFERROR(I528/H528,0)</f>
        <v>231.705973603124</v>
      </c>
      <c r="N528" s="52" t="str">
        <f aca="false">'Model Inputs &amp; Assumptions'!$L$29</f>
        <v>PRD-EUAI</v>
      </c>
      <c r="P528" s="53" t="n">
        <v>-0.645104</v>
      </c>
      <c r="Q528" s="53" t="n">
        <v>-0.756506</v>
      </c>
      <c r="R528" s="53" t="n">
        <v>1.137633</v>
      </c>
      <c r="S528" s="53" t="n">
        <v>-0.335374</v>
      </c>
    </row>
    <row r="529" customFormat="false" ht="15" hidden="false" customHeight="false" outlineLevel="0" collapsed="false">
      <c r="A529" s="43" t="n">
        <v>26</v>
      </c>
      <c r="B529" s="44" t="str">
        <f aca="false">'Model Inputs &amp; Assumptions'!$B$29</f>
        <v>Handelsblatt — Native Explainer</v>
      </c>
      <c r="C529" s="45" t="n">
        <f aca="false">ROUND(MAX(0,'Model Inputs &amp; Assumptions'!$S$29*EXP('Model Inputs &amp; Assumptions'!$T$29*P529-'Model Inputs &amp; Assumptions'!$T$29^2/2)),0)</f>
        <v>179619</v>
      </c>
      <c r="D529" s="46" t="n">
        <f aca="false">MIN(1,'Model Inputs &amp; Assumptions'!$U$29*EXP('Model Inputs &amp; Assumptions'!$V$29*Q529-'Model Inputs &amp; Assumptions'!$V$29^2/2))</f>
        <v>0</v>
      </c>
      <c r="E529" s="45" t="n">
        <f aca="false">ROUND(C529*D529,0)</f>
        <v>0</v>
      </c>
      <c r="F529" s="47" t="n">
        <f aca="false">MIN(1,'Model Inputs &amp; Assumptions'!$W$29*EXP('Model Inputs &amp; Assumptions'!$X$29*R529-'Model Inputs &amp; Assumptions'!$X$29^2/2))</f>
        <v>0.00258341673532756</v>
      </c>
      <c r="G529" s="45" t="n">
        <f aca="false">ROUND(C529*F529,0)</f>
        <v>464</v>
      </c>
      <c r="H529" s="48" t="n">
        <f aca="false">MAX(0,(C529*'Model Inputs &amp; Assumptions'!$N$29+E529*'Model Inputs &amp; Assumptions'!$O$29+G529*'Model Inputs &amp; Assumptions'!$P$29)*EXP('Model Inputs &amp; Assumptions'!$Q$29*S529-'Model Inputs &amp; Assumptions'!$Q$29^2/2))</f>
        <v>27.5810758149317</v>
      </c>
      <c r="I529" s="49" t="n">
        <f aca="false">IF('Model Inputs &amp; Assumptions'!$H$29="Fixed",'Model Inputs &amp; Assumptions'!$I$29*'Model Inputs &amp; Assumptions'!$K$29,IF('Model Inputs &amp; Assumptions'!$H$29="CPM",'Model Inputs &amp; Assumptions'!$I$29*'Model Inputs &amp; Assumptions'!$K$29*C529/1000,IF('Model Inputs &amp; Assumptions'!$H$29="CPC",'Model Inputs &amp; Assumptions'!$I$29*'Model Inputs &amp; Assumptions'!$K$29*G529,0)))</f>
        <v>6500</v>
      </c>
      <c r="J529" s="50" t="n">
        <f aca="false">H529*INDEX('Model Inputs &amp; Assumptions'!$D$40:$D$42,MATCH('Model Inputs &amp; Assumptions'!$L$29,'Model Inputs &amp; Assumptions'!$A$40:$A$42,0))*INDEX('Model Inputs &amp; Assumptions'!$H$40:$H$42,MATCH('Model Inputs &amp; Assumptions'!$L$29,'Model Inputs &amp; Assumptions'!$A$40:$A$42,0))</f>
        <v>234439.144426919</v>
      </c>
      <c r="K529" s="49" t="n">
        <f aca="false">H529*INDEX('Model Inputs &amp; Assumptions'!$G$40:$G$42,MATCH('Model Inputs &amp; Assumptions'!$L$29,'Model Inputs &amp; Assumptions'!$A$40:$A$42,0))*INDEX('Model Inputs &amp; Assumptions'!$H$40:$H$42,MATCH('Model Inputs &amp; Assumptions'!$L$29,'Model Inputs &amp; Assumptions'!$A$40:$A$42,0))</f>
        <v>5274.88074960569</v>
      </c>
      <c r="L529" s="51" t="n">
        <f aca="false">IFERROR(K529/I529,0)</f>
        <v>0.811520115323952</v>
      </c>
      <c r="M529" s="49" t="n">
        <f aca="false">IFERROR(I529/H529,0)</f>
        <v>235.668834805967</v>
      </c>
      <c r="N529" s="52" t="str">
        <f aca="false">'Model Inputs &amp; Assumptions'!$L$29</f>
        <v>PRD-EUAI</v>
      </c>
      <c r="P529" s="53" t="n">
        <v>-0.332855</v>
      </c>
      <c r="Q529" s="53" t="n">
        <v>-0.586971</v>
      </c>
      <c r="R529" s="53" t="n">
        <v>-0.414428</v>
      </c>
      <c r="S529" s="53" t="n">
        <v>0.726592</v>
      </c>
    </row>
    <row r="530" customFormat="false" ht="15" hidden="false" customHeight="false" outlineLevel="0" collapsed="false">
      <c r="A530" s="43" t="n">
        <v>27</v>
      </c>
      <c r="B530" s="44" t="str">
        <f aca="false">'Model Inputs &amp; Assumptions'!$B$29</f>
        <v>Handelsblatt — Native Explainer</v>
      </c>
      <c r="C530" s="45" t="n">
        <f aca="false">ROUND(MAX(0,'Model Inputs &amp; Assumptions'!$S$29*EXP('Model Inputs &amp; Assumptions'!$T$29*P530-'Model Inputs &amp; Assumptions'!$T$29^2/2)),0)</f>
        <v>191163</v>
      </c>
      <c r="D530" s="46" t="n">
        <f aca="false">MIN(1,'Model Inputs &amp; Assumptions'!$U$29*EXP('Model Inputs &amp; Assumptions'!$V$29*Q530-'Model Inputs &amp; Assumptions'!$V$29^2/2))</f>
        <v>0</v>
      </c>
      <c r="E530" s="45" t="n">
        <f aca="false">ROUND(C530*D530,0)</f>
        <v>0</v>
      </c>
      <c r="F530" s="47" t="n">
        <f aca="false">MIN(1,'Model Inputs &amp; Assumptions'!$W$29*EXP('Model Inputs &amp; Assumptions'!$X$29*R530-'Model Inputs &amp; Assumptions'!$X$29^2/2))</f>
        <v>0.00273539447820027</v>
      </c>
      <c r="G530" s="45" t="n">
        <f aca="false">ROUND(C530*F530,0)</f>
        <v>523</v>
      </c>
      <c r="H530" s="48" t="n">
        <f aca="false">MAX(0,(C530*'Model Inputs &amp; Assumptions'!$N$29+E530*'Model Inputs &amp; Assumptions'!$O$29+G530*'Model Inputs &amp; Assumptions'!$P$29)*EXP('Model Inputs &amp; Assumptions'!$Q$29*S530-'Model Inputs &amp; Assumptions'!$Q$29^2/2))</f>
        <v>19.7089666189063</v>
      </c>
      <c r="I530" s="49" t="n">
        <f aca="false">IF('Model Inputs &amp; Assumptions'!$H$29="Fixed",'Model Inputs &amp; Assumptions'!$I$29*'Model Inputs &amp; Assumptions'!$K$29,IF('Model Inputs &amp; Assumptions'!$H$29="CPM",'Model Inputs &amp; Assumptions'!$I$29*'Model Inputs &amp; Assumptions'!$K$29*C530/1000,IF('Model Inputs &amp; Assumptions'!$H$29="CPC",'Model Inputs &amp; Assumptions'!$I$29*'Model Inputs &amp; Assumptions'!$K$29*G530,0)))</f>
        <v>6500</v>
      </c>
      <c r="J530" s="50" t="n">
        <f aca="false">H530*INDEX('Model Inputs &amp; Assumptions'!$D$40:$D$42,MATCH('Model Inputs &amp; Assumptions'!$L$29,'Model Inputs &amp; Assumptions'!$A$40:$A$42,0))*INDEX('Model Inputs &amp; Assumptions'!$H$40:$H$42,MATCH('Model Inputs &amp; Assumptions'!$L$29,'Model Inputs &amp; Assumptions'!$A$40:$A$42,0))</f>
        <v>167526.216260704</v>
      </c>
      <c r="K530" s="49" t="n">
        <f aca="false">H530*INDEX('Model Inputs &amp; Assumptions'!$G$40:$G$42,MATCH('Model Inputs &amp; Assumptions'!$L$29,'Model Inputs &amp; Assumptions'!$A$40:$A$42,0))*INDEX('Model Inputs &amp; Assumptions'!$H$40:$H$42,MATCH('Model Inputs &amp; Assumptions'!$L$29,'Model Inputs &amp; Assumptions'!$A$40:$A$42,0))</f>
        <v>3769.33986586583</v>
      </c>
      <c r="L530" s="51" t="n">
        <f aca="false">IFERROR(K530/I530,0)</f>
        <v>0.579898440902435</v>
      </c>
      <c r="M530" s="49" t="n">
        <f aca="false">IFERROR(I530/H530,0)</f>
        <v>329.799127761712</v>
      </c>
      <c r="N530" s="52" t="str">
        <f aca="false">'Model Inputs &amp; Assumptions'!$L$29</f>
        <v>PRD-EUAI</v>
      </c>
      <c r="P530" s="53" t="n">
        <v>-0.04973</v>
      </c>
      <c r="Q530" s="53" t="n">
        <v>-0.827702</v>
      </c>
      <c r="R530" s="53" t="n">
        <v>-0.194571</v>
      </c>
      <c r="S530" s="53" t="n">
        <v>-0.792585</v>
      </c>
    </row>
    <row r="531" customFormat="false" ht="15" hidden="false" customHeight="false" outlineLevel="0" collapsed="false">
      <c r="A531" s="43" t="n">
        <v>28</v>
      </c>
      <c r="B531" s="44" t="str">
        <f aca="false">'Model Inputs &amp; Assumptions'!$B$29</f>
        <v>Handelsblatt — Native Explainer</v>
      </c>
      <c r="C531" s="45" t="n">
        <f aca="false">ROUND(MAX(0,'Model Inputs &amp; Assumptions'!$S$29*EXP('Model Inputs &amp; Assumptions'!$T$29*P531-'Model Inputs &amp; Assumptions'!$T$29^2/2)),0)</f>
        <v>146179</v>
      </c>
      <c r="D531" s="46" t="n">
        <f aca="false">MIN(1,'Model Inputs &amp; Assumptions'!$U$29*EXP('Model Inputs &amp; Assumptions'!$V$29*Q531-'Model Inputs &amp; Assumptions'!$V$29^2/2))</f>
        <v>0</v>
      </c>
      <c r="E531" s="45" t="n">
        <f aca="false">ROUND(C531*D531,0)</f>
        <v>0</v>
      </c>
      <c r="F531" s="47" t="n">
        <f aca="false">MIN(1,'Model Inputs &amp; Assumptions'!$W$29*EXP('Model Inputs &amp; Assumptions'!$X$29*R531-'Model Inputs &amp; Assumptions'!$X$29^2/2))</f>
        <v>0.00459741697598029</v>
      </c>
      <c r="G531" s="45" t="n">
        <f aca="false">ROUND(C531*F531,0)</f>
        <v>672</v>
      </c>
      <c r="H531" s="48" t="n">
        <f aca="false">MAX(0,(C531*'Model Inputs &amp; Assumptions'!$N$29+E531*'Model Inputs &amp; Assumptions'!$O$29+G531*'Model Inputs &amp; Assumptions'!$P$29)*EXP('Model Inputs &amp; Assumptions'!$Q$29*S531-'Model Inputs &amp; Assumptions'!$Q$29^2/2))</f>
        <v>28.9082166243095</v>
      </c>
      <c r="I531" s="49" t="n">
        <f aca="false">IF('Model Inputs &amp; Assumptions'!$H$29="Fixed",'Model Inputs &amp; Assumptions'!$I$29*'Model Inputs &amp; Assumptions'!$K$29,IF('Model Inputs &amp; Assumptions'!$H$29="CPM",'Model Inputs &amp; Assumptions'!$I$29*'Model Inputs &amp; Assumptions'!$K$29*C531/1000,IF('Model Inputs &amp; Assumptions'!$H$29="CPC",'Model Inputs &amp; Assumptions'!$I$29*'Model Inputs &amp; Assumptions'!$K$29*G531,0)))</f>
        <v>6500</v>
      </c>
      <c r="J531" s="50" t="n">
        <f aca="false">H531*INDEX('Model Inputs &amp; Assumptions'!$D$40:$D$42,MATCH('Model Inputs &amp; Assumptions'!$L$29,'Model Inputs &amp; Assumptions'!$A$40:$A$42,0))*INDEX('Model Inputs &amp; Assumptions'!$H$40:$H$42,MATCH('Model Inputs &amp; Assumptions'!$L$29,'Model Inputs &amp; Assumptions'!$A$40:$A$42,0))</f>
        <v>245719.841306631</v>
      </c>
      <c r="K531" s="49" t="n">
        <f aca="false">H531*INDEX('Model Inputs &amp; Assumptions'!$G$40:$G$42,MATCH('Model Inputs &amp; Assumptions'!$L$29,'Model Inputs &amp; Assumptions'!$A$40:$A$42,0))*INDEX('Model Inputs &amp; Assumptions'!$H$40:$H$42,MATCH('Model Inputs &amp; Assumptions'!$L$29,'Model Inputs &amp; Assumptions'!$A$40:$A$42,0))</f>
        <v>5528.69642939919</v>
      </c>
      <c r="L531" s="51" t="n">
        <f aca="false">IFERROR(K531/I531,0)</f>
        <v>0.850568681446029</v>
      </c>
      <c r="M531" s="49" t="n">
        <f aca="false">IFERROR(I531/H531,0)</f>
        <v>224.849567321079</v>
      </c>
      <c r="N531" s="52" t="str">
        <f aca="false">'Model Inputs &amp; Assumptions'!$L$29</f>
        <v>PRD-EUAI</v>
      </c>
      <c r="P531" s="53" t="n">
        <v>-1.269241</v>
      </c>
      <c r="Q531" s="53" t="n">
        <v>-2.219819</v>
      </c>
      <c r="R531" s="53" t="n">
        <v>1.802425</v>
      </c>
      <c r="S531" s="53" t="n">
        <v>-0.351334</v>
      </c>
    </row>
    <row r="532" customFormat="false" ht="15" hidden="false" customHeight="false" outlineLevel="0" collapsed="false">
      <c r="A532" s="43" t="n">
        <v>29</v>
      </c>
      <c r="B532" s="44" t="str">
        <f aca="false">'Model Inputs &amp; Assumptions'!$B$29</f>
        <v>Handelsblatt — Native Explainer</v>
      </c>
      <c r="C532" s="45" t="n">
        <f aca="false">ROUND(MAX(0,'Model Inputs &amp; Assumptions'!$S$29*EXP('Model Inputs &amp; Assumptions'!$T$29*P532-'Model Inputs &amp; Assumptions'!$T$29^2/2)),0)</f>
        <v>244440</v>
      </c>
      <c r="D532" s="46" t="n">
        <f aca="false">MIN(1,'Model Inputs &amp; Assumptions'!$U$29*EXP('Model Inputs &amp; Assumptions'!$V$29*Q532-'Model Inputs &amp; Assumptions'!$V$29^2/2))</f>
        <v>0</v>
      </c>
      <c r="E532" s="45" t="n">
        <f aca="false">ROUND(C532*D532,0)</f>
        <v>0</v>
      </c>
      <c r="F532" s="47" t="n">
        <f aca="false">MIN(1,'Model Inputs &amp; Assumptions'!$W$29*EXP('Model Inputs &amp; Assumptions'!$X$29*R532-'Model Inputs &amp; Assumptions'!$X$29^2/2))</f>
        <v>0.00179227219727574</v>
      </c>
      <c r="G532" s="45" t="n">
        <f aca="false">ROUND(C532*F532,0)</f>
        <v>438</v>
      </c>
      <c r="H532" s="48" t="n">
        <f aca="false">MAX(0,(C532*'Model Inputs &amp; Assumptions'!$N$29+E532*'Model Inputs &amp; Assumptions'!$O$29+G532*'Model Inputs &amp; Assumptions'!$P$29)*EXP('Model Inputs &amp; Assumptions'!$Q$29*S532-'Model Inputs &amp; Assumptions'!$Q$29^2/2))</f>
        <v>16.4962195557624</v>
      </c>
      <c r="I532" s="49" t="n">
        <f aca="false">IF('Model Inputs &amp; Assumptions'!$H$29="Fixed",'Model Inputs &amp; Assumptions'!$I$29*'Model Inputs &amp; Assumptions'!$K$29,IF('Model Inputs &amp; Assumptions'!$H$29="CPM",'Model Inputs &amp; Assumptions'!$I$29*'Model Inputs &amp; Assumptions'!$K$29*C532/1000,IF('Model Inputs &amp; Assumptions'!$H$29="CPC",'Model Inputs &amp; Assumptions'!$I$29*'Model Inputs &amp; Assumptions'!$K$29*G532,0)))</f>
        <v>6500</v>
      </c>
      <c r="J532" s="50" t="n">
        <f aca="false">H532*INDEX('Model Inputs &amp; Assumptions'!$D$40:$D$42,MATCH('Model Inputs &amp; Assumptions'!$L$29,'Model Inputs &amp; Assumptions'!$A$40:$A$42,0))*INDEX('Model Inputs &amp; Assumptions'!$H$40:$H$42,MATCH('Model Inputs &amp; Assumptions'!$L$29,'Model Inputs &amp; Assumptions'!$A$40:$A$42,0))</f>
        <v>140217.866223981</v>
      </c>
      <c r="K532" s="49" t="n">
        <f aca="false">H532*INDEX('Model Inputs &amp; Assumptions'!$G$40:$G$42,MATCH('Model Inputs &amp; Assumptions'!$L$29,'Model Inputs &amp; Assumptions'!$A$40:$A$42,0))*INDEX('Model Inputs &amp; Assumptions'!$H$40:$H$42,MATCH('Model Inputs &amp; Assumptions'!$L$29,'Model Inputs &amp; Assumptions'!$A$40:$A$42,0))</f>
        <v>3154.90199003957</v>
      </c>
      <c r="L532" s="51" t="n">
        <f aca="false">IFERROR(K532/I532,0)</f>
        <v>0.485369536929164</v>
      </c>
      <c r="M532" s="49" t="n">
        <f aca="false">IFERROR(I532/H532,0)</f>
        <v>394.029673164081</v>
      </c>
      <c r="N532" s="52" t="str">
        <f aca="false">'Model Inputs &amp; Assumptions'!$L$29</f>
        <v>PRD-EUAI</v>
      </c>
      <c r="P532" s="53" t="n">
        <v>1.067738</v>
      </c>
      <c r="Q532" s="53" t="n">
        <v>0.14416</v>
      </c>
      <c r="R532" s="53" t="n">
        <v>-1.820692</v>
      </c>
      <c r="S532" s="53" t="n">
        <v>-0.794518</v>
      </c>
    </row>
    <row r="533" customFormat="false" ht="15" hidden="false" customHeight="false" outlineLevel="0" collapsed="false">
      <c r="A533" s="43" t="n">
        <v>30</v>
      </c>
      <c r="B533" s="44" t="str">
        <f aca="false">'Model Inputs &amp; Assumptions'!$B$29</f>
        <v>Handelsblatt — Native Explainer</v>
      </c>
      <c r="C533" s="45" t="n">
        <f aca="false">ROUND(MAX(0,'Model Inputs &amp; Assumptions'!$S$29*EXP('Model Inputs &amp; Assumptions'!$T$29*P533-'Model Inputs &amp; Assumptions'!$T$29^2/2)),0)</f>
        <v>127242</v>
      </c>
      <c r="D533" s="46" t="n">
        <f aca="false">MIN(1,'Model Inputs &amp; Assumptions'!$U$29*EXP('Model Inputs &amp; Assumptions'!$V$29*Q533-'Model Inputs &amp; Assumptions'!$V$29^2/2))</f>
        <v>0</v>
      </c>
      <c r="E533" s="45" t="n">
        <f aca="false">ROUND(C533*D533,0)</f>
        <v>0</v>
      </c>
      <c r="F533" s="47" t="n">
        <f aca="false">MIN(1,'Model Inputs &amp; Assumptions'!$W$29*EXP('Model Inputs &amp; Assumptions'!$X$29*R533-'Model Inputs &amp; Assumptions'!$X$29^2/2))</f>
        <v>0.00225556532237453</v>
      </c>
      <c r="G533" s="45" t="n">
        <f aca="false">ROUND(C533*F533,0)</f>
        <v>287</v>
      </c>
      <c r="H533" s="48" t="n">
        <f aca="false">MAX(0,(C533*'Model Inputs &amp; Assumptions'!$N$29+E533*'Model Inputs &amp; Assumptions'!$O$29+G533*'Model Inputs &amp; Assumptions'!$P$29)*EXP('Model Inputs &amp; Assumptions'!$Q$29*S533-'Model Inputs &amp; Assumptions'!$Q$29^2/2))</f>
        <v>7.50193991331623</v>
      </c>
      <c r="I533" s="49" t="n">
        <f aca="false">IF('Model Inputs &amp; Assumptions'!$H$29="Fixed",'Model Inputs &amp; Assumptions'!$I$29*'Model Inputs &amp; Assumptions'!$K$29,IF('Model Inputs &amp; Assumptions'!$H$29="CPM",'Model Inputs &amp; Assumptions'!$I$29*'Model Inputs &amp; Assumptions'!$K$29*C533/1000,IF('Model Inputs &amp; Assumptions'!$H$29="CPC",'Model Inputs &amp; Assumptions'!$I$29*'Model Inputs &amp; Assumptions'!$K$29*G533,0)))</f>
        <v>6500</v>
      </c>
      <c r="J533" s="50" t="n">
        <f aca="false">H533*INDEX('Model Inputs &amp; Assumptions'!$D$40:$D$42,MATCH('Model Inputs &amp; Assumptions'!$L$29,'Model Inputs &amp; Assumptions'!$A$40:$A$42,0))*INDEX('Model Inputs &amp; Assumptions'!$H$40:$H$42,MATCH('Model Inputs &amp; Assumptions'!$L$29,'Model Inputs &amp; Assumptions'!$A$40:$A$42,0))</f>
        <v>63766.489263188</v>
      </c>
      <c r="K533" s="49" t="n">
        <f aca="false">H533*INDEX('Model Inputs &amp; Assumptions'!$G$40:$G$42,MATCH('Model Inputs &amp; Assumptions'!$L$29,'Model Inputs &amp; Assumptions'!$A$40:$A$42,0))*INDEX('Model Inputs &amp; Assumptions'!$H$40:$H$42,MATCH('Model Inputs &amp; Assumptions'!$L$29,'Model Inputs &amp; Assumptions'!$A$40:$A$42,0))</f>
        <v>1434.74600842173</v>
      </c>
      <c r="L533" s="51" t="n">
        <f aca="false">IFERROR(K533/I533,0)</f>
        <v>0.220730155141805</v>
      </c>
      <c r="M533" s="49" t="n">
        <f aca="false">IFERROR(I533/H533,0)</f>
        <v>866.442556872823</v>
      </c>
      <c r="N533" s="52" t="str">
        <f aca="false">'Model Inputs &amp; Assumptions'!$L$29</f>
        <v>PRD-EUAI</v>
      </c>
      <c r="P533" s="53" t="n">
        <v>-1.899895</v>
      </c>
      <c r="Q533" s="53" t="n">
        <v>0.469745</v>
      </c>
      <c r="R533" s="53" t="n">
        <v>-0.936398</v>
      </c>
      <c r="S533" s="53" t="n">
        <v>-2.011961</v>
      </c>
    </row>
    <row r="534" customFormat="false" ht="15" hidden="false" customHeight="false" outlineLevel="0" collapsed="false">
      <c r="A534" s="43" t="n">
        <v>31</v>
      </c>
      <c r="B534" s="44" t="str">
        <f aca="false">'Model Inputs &amp; Assumptions'!$B$29</f>
        <v>Handelsblatt — Native Explainer</v>
      </c>
      <c r="C534" s="45" t="n">
        <f aca="false">ROUND(MAX(0,'Model Inputs &amp; Assumptions'!$S$29*EXP('Model Inputs &amp; Assumptions'!$T$29*P534-'Model Inputs &amp; Assumptions'!$T$29^2/2)),0)</f>
        <v>150971</v>
      </c>
      <c r="D534" s="46" t="n">
        <f aca="false">MIN(1,'Model Inputs &amp; Assumptions'!$U$29*EXP('Model Inputs &amp; Assumptions'!$V$29*Q534-'Model Inputs &amp; Assumptions'!$V$29^2/2))</f>
        <v>0</v>
      </c>
      <c r="E534" s="45" t="n">
        <f aca="false">ROUND(C534*D534,0)</f>
        <v>0</v>
      </c>
      <c r="F534" s="47" t="n">
        <f aca="false">MIN(1,'Model Inputs &amp; Assumptions'!$W$29*EXP('Model Inputs &amp; Assumptions'!$X$29*R534-'Model Inputs &amp; Assumptions'!$X$29^2/2))</f>
        <v>0.00311555148660766</v>
      </c>
      <c r="G534" s="45" t="n">
        <f aca="false">ROUND(C534*F534,0)</f>
        <v>470</v>
      </c>
      <c r="H534" s="48" t="n">
        <f aca="false">MAX(0,(C534*'Model Inputs &amp; Assumptions'!$N$29+E534*'Model Inputs &amp; Assumptions'!$O$29+G534*'Model Inputs &amp; Assumptions'!$P$29)*EXP('Model Inputs &amp; Assumptions'!$Q$29*S534-'Model Inputs &amp; Assumptions'!$Q$29^2/2))</f>
        <v>28.282686165407</v>
      </c>
      <c r="I534" s="49" t="n">
        <f aca="false">IF('Model Inputs &amp; Assumptions'!$H$29="Fixed",'Model Inputs &amp; Assumptions'!$I$29*'Model Inputs &amp; Assumptions'!$K$29,IF('Model Inputs &amp; Assumptions'!$H$29="CPM",'Model Inputs &amp; Assumptions'!$I$29*'Model Inputs &amp; Assumptions'!$K$29*C534/1000,IF('Model Inputs &amp; Assumptions'!$H$29="CPC",'Model Inputs &amp; Assumptions'!$I$29*'Model Inputs &amp; Assumptions'!$K$29*G534,0)))</f>
        <v>6500</v>
      </c>
      <c r="J534" s="50" t="n">
        <f aca="false">H534*INDEX('Model Inputs &amp; Assumptions'!$D$40:$D$42,MATCH('Model Inputs &amp; Assumptions'!$L$29,'Model Inputs &amp; Assumptions'!$A$40:$A$42,0))*INDEX('Model Inputs &amp; Assumptions'!$H$40:$H$42,MATCH('Model Inputs &amp; Assumptions'!$L$29,'Model Inputs &amp; Assumptions'!$A$40:$A$42,0))</f>
        <v>240402.832405959</v>
      </c>
      <c r="K534" s="49" t="n">
        <f aca="false">H534*INDEX('Model Inputs &amp; Assumptions'!$G$40:$G$42,MATCH('Model Inputs &amp; Assumptions'!$L$29,'Model Inputs &amp; Assumptions'!$A$40:$A$42,0))*INDEX('Model Inputs &amp; Assumptions'!$H$40:$H$42,MATCH('Model Inputs &amp; Assumptions'!$L$29,'Model Inputs &amp; Assumptions'!$A$40:$A$42,0))</f>
        <v>5409.06372913409</v>
      </c>
      <c r="L534" s="51" t="n">
        <f aca="false">IFERROR(K534/I534,0)</f>
        <v>0.832163650636013</v>
      </c>
      <c r="M534" s="49" t="n">
        <f aca="false">IFERROR(I534/H534,0)</f>
        <v>229.822583399106</v>
      </c>
      <c r="N534" s="52" t="str">
        <f aca="false">'Model Inputs &amp; Assumptions'!$L$29</f>
        <v>PRD-EUAI</v>
      </c>
      <c r="P534" s="53" t="n">
        <v>-1.122621</v>
      </c>
      <c r="Q534" s="53" t="n">
        <v>-0.521894</v>
      </c>
      <c r="R534" s="53" t="n">
        <v>0.305931</v>
      </c>
      <c r="S534" s="53" t="n">
        <v>0.767498</v>
      </c>
    </row>
    <row r="535" customFormat="false" ht="15" hidden="false" customHeight="false" outlineLevel="0" collapsed="false">
      <c r="A535" s="43" t="n">
        <v>32</v>
      </c>
      <c r="B535" s="44" t="str">
        <f aca="false">'Model Inputs &amp; Assumptions'!$B$29</f>
        <v>Handelsblatt — Native Explainer</v>
      </c>
      <c r="C535" s="45" t="n">
        <f aca="false">ROUND(MAX(0,'Model Inputs &amp; Assumptions'!$S$29*EXP('Model Inputs &amp; Assumptions'!$T$29*P535-'Model Inputs &amp; Assumptions'!$T$29^2/2)),0)</f>
        <v>230545</v>
      </c>
      <c r="D535" s="46" t="n">
        <f aca="false">MIN(1,'Model Inputs &amp; Assumptions'!$U$29*EXP('Model Inputs &amp; Assumptions'!$V$29*Q535-'Model Inputs &amp; Assumptions'!$V$29^2/2))</f>
        <v>0</v>
      </c>
      <c r="E535" s="45" t="n">
        <f aca="false">ROUND(C535*D535,0)</f>
        <v>0</v>
      </c>
      <c r="F535" s="47" t="n">
        <f aca="false">MIN(1,'Model Inputs &amp; Assumptions'!$W$29*EXP('Model Inputs &amp; Assumptions'!$X$29*R535-'Model Inputs &amp; Assumptions'!$X$29^2/2))</f>
        <v>0.00200098579938829</v>
      </c>
      <c r="G535" s="45" t="n">
        <f aca="false">ROUND(C535*F535,0)</f>
        <v>461</v>
      </c>
      <c r="H535" s="48" t="n">
        <f aca="false">MAX(0,(C535*'Model Inputs &amp; Assumptions'!$N$29+E535*'Model Inputs &amp; Assumptions'!$O$29+G535*'Model Inputs &amp; Assumptions'!$P$29)*EXP('Model Inputs &amp; Assumptions'!$Q$29*S535-'Model Inputs &amp; Assumptions'!$Q$29^2/2))</f>
        <v>14.6396861350795</v>
      </c>
      <c r="I535" s="49" t="n">
        <f aca="false">IF('Model Inputs &amp; Assumptions'!$H$29="Fixed",'Model Inputs &amp; Assumptions'!$I$29*'Model Inputs &amp; Assumptions'!$K$29,IF('Model Inputs &amp; Assumptions'!$H$29="CPM",'Model Inputs &amp; Assumptions'!$I$29*'Model Inputs &amp; Assumptions'!$K$29*C535/1000,IF('Model Inputs &amp; Assumptions'!$H$29="CPC",'Model Inputs &amp; Assumptions'!$I$29*'Model Inputs &amp; Assumptions'!$K$29*G535,0)))</f>
        <v>6500</v>
      </c>
      <c r="J535" s="50" t="n">
        <f aca="false">H535*INDEX('Model Inputs &amp; Assumptions'!$D$40:$D$42,MATCH('Model Inputs &amp; Assumptions'!$L$29,'Model Inputs &amp; Assumptions'!$A$40:$A$42,0))*INDEX('Model Inputs &amp; Assumptions'!$H$40:$H$42,MATCH('Model Inputs &amp; Assumptions'!$L$29,'Model Inputs &amp; Assumptions'!$A$40:$A$42,0))</f>
        <v>124437.332148175</v>
      </c>
      <c r="K535" s="49" t="n">
        <f aca="false">H535*INDEX('Model Inputs &amp; Assumptions'!$G$40:$G$42,MATCH('Model Inputs &amp; Assumptions'!$L$29,'Model Inputs &amp; Assumptions'!$A$40:$A$42,0))*INDEX('Model Inputs &amp; Assumptions'!$H$40:$H$42,MATCH('Model Inputs &amp; Assumptions'!$L$29,'Model Inputs &amp; Assumptions'!$A$40:$A$42,0))</f>
        <v>2799.83997333395</v>
      </c>
      <c r="L535" s="51" t="n">
        <f aca="false">IFERROR(K535/I535,0)</f>
        <v>0.430744611282146</v>
      </c>
      <c r="M535" s="49" t="n">
        <f aca="false">IFERROR(I535/H535,0)</f>
        <v>443.998589862167</v>
      </c>
      <c r="N535" s="52" t="str">
        <f aca="false">'Model Inputs &amp; Assumptions'!$L$29</f>
        <v>PRD-EUAI</v>
      </c>
      <c r="P535" s="53" t="n">
        <v>0.801718</v>
      </c>
      <c r="Q535" s="53" t="n">
        <v>-0.047707</v>
      </c>
      <c r="R535" s="53" t="n">
        <v>-1.397016</v>
      </c>
      <c r="S535" s="53" t="n">
        <v>-1.363099</v>
      </c>
    </row>
    <row r="536" customFormat="false" ht="15" hidden="false" customHeight="false" outlineLevel="0" collapsed="false">
      <c r="A536" s="43" t="n">
        <v>33</v>
      </c>
      <c r="B536" s="44" t="str">
        <f aca="false">'Model Inputs &amp; Assumptions'!$B$29</f>
        <v>Handelsblatt — Native Explainer</v>
      </c>
      <c r="C536" s="45" t="n">
        <f aca="false">ROUND(MAX(0,'Model Inputs &amp; Assumptions'!$S$29*EXP('Model Inputs &amp; Assumptions'!$T$29*P536-'Model Inputs &amp; Assumptions'!$T$29^2/2)),0)</f>
        <v>198063</v>
      </c>
      <c r="D536" s="46" t="n">
        <f aca="false">MIN(1,'Model Inputs &amp; Assumptions'!$U$29*EXP('Model Inputs &amp; Assumptions'!$V$29*Q536-'Model Inputs &amp; Assumptions'!$V$29^2/2))</f>
        <v>0</v>
      </c>
      <c r="E536" s="45" t="n">
        <f aca="false">ROUND(C536*D536,0)</f>
        <v>0</v>
      </c>
      <c r="F536" s="47" t="n">
        <f aca="false">MIN(1,'Model Inputs &amp; Assumptions'!$W$29*EXP('Model Inputs &amp; Assumptions'!$X$29*R536-'Model Inputs &amp; Assumptions'!$X$29^2/2))</f>
        <v>0.00252674122422413</v>
      </c>
      <c r="G536" s="45" t="n">
        <f aca="false">ROUND(C536*F536,0)</f>
        <v>500</v>
      </c>
      <c r="H536" s="48" t="n">
        <f aca="false">MAX(0,(C536*'Model Inputs &amp; Assumptions'!$N$29+E536*'Model Inputs &amp; Assumptions'!$O$29+G536*'Model Inputs &amp; Assumptions'!$P$29)*EXP('Model Inputs &amp; Assumptions'!$Q$29*S536-'Model Inputs &amp; Assumptions'!$Q$29^2/2))</f>
        <v>31.8947756888125</v>
      </c>
      <c r="I536" s="49" t="n">
        <f aca="false">IF('Model Inputs &amp; Assumptions'!$H$29="Fixed",'Model Inputs &amp; Assumptions'!$I$29*'Model Inputs &amp; Assumptions'!$K$29,IF('Model Inputs &amp; Assumptions'!$H$29="CPM",'Model Inputs &amp; Assumptions'!$I$29*'Model Inputs &amp; Assumptions'!$K$29*C536/1000,IF('Model Inputs &amp; Assumptions'!$H$29="CPC",'Model Inputs &amp; Assumptions'!$I$29*'Model Inputs &amp; Assumptions'!$K$29*G536,0)))</f>
        <v>6500</v>
      </c>
      <c r="J536" s="50" t="n">
        <f aca="false">H536*INDEX('Model Inputs &amp; Assumptions'!$D$40:$D$42,MATCH('Model Inputs &amp; Assumptions'!$L$29,'Model Inputs &amp; Assumptions'!$A$40:$A$42,0))*INDEX('Model Inputs &amp; Assumptions'!$H$40:$H$42,MATCH('Model Inputs &amp; Assumptions'!$L$29,'Model Inputs &amp; Assumptions'!$A$40:$A$42,0))</f>
        <v>271105.593354906</v>
      </c>
      <c r="K536" s="49" t="n">
        <f aca="false">H536*INDEX('Model Inputs &amp; Assumptions'!$G$40:$G$42,MATCH('Model Inputs &amp; Assumptions'!$L$29,'Model Inputs &amp; Assumptions'!$A$40:$A$42,0))*INDEX('Model Inputs &amp; Assumptions'!$H$40:$H$42,MATCH('Model Inputs &amp; Assumptions'!$L$29,'Model Inputs &amp; Assumptions'!$A$40:$A$42,0))</f>
        <v>6099.87585048539</v>
      </c>
      <c r="L536" s="51" t="n">
        <f aca="false">IFERROR(K536/I536,0)</f>
        <v>0.938442438536214</v>
      </c>
      <c r="M536" s="49" t="n">
        <f aca="false">IFERROR(I536/H536,0)</f>
        <v>203.795131322399</v>
      </c>
      <c r="N536" s="52" t="str">
        <f aca="false">'Model Inputs &amp; Assumptions'!$L$29</f>
        <v>PRD-EUAI</v>
      </c>
      <c r="P536" s="53" t="n">
        <v>0.111437</v>
      </c>
      <c r="Q536" s="53" t="n">
        <v>0.785036</v>
      </c>
      <c r="R536" s="53" t="n">
        <v>-0.499745</v>
      </c>
      <c r="S536" s="53" t="n">
        <v>0.961888</v>
      </c>
    </row>
    <row r="537" customFormat="false" ht="15" hidden="false" customHeight="false" outlineLevel="0" collapsed="false">
      <c r="A537" s="43" t="n">
        <v>34</v>
      </c>
      <c r="B537" s="44" t="str">
        <f aca="false">'Model Inputs &amp; Assumptions'!$B$29</f>
        <v>Handelsblatt — Native Explainer</v>
      </c>
      <c r="C537" s="45" t="n">
        <f aca="false">ROUND(MAX(0,'Model Inputs &amp; Assumptions'!$S$29*EXP('Model Inputs &amp; Assumptions'!$T$29*P537-'Model Inputs &amp; Assumptions'!$T$29^2/2)),0)</f>
        <v>233805</v>
      </c>
      <c r="D537" s="46" t="n">
        <f aca="false">MIN(1,'Model Inputs &amp; Assumptions'!$U$29*EXP('Model Inputs &amp; Assumptions'!$V$29*Q537-'Model Inputs &amp; Assumptions'!$V$29^2/2))</f>
        <v>0</v>
      </c>
      <c r="E537" s="45" t="n">
        <f aca="false">ROUND(C537*D537,0)</f>
        <v>0</v>
      </c>
      <c r="F537" s="47" t="n">
        <f aca="false">MIN(1,'Model Inputs &amp; Assumptions'!$W$29*EXP('Model Inputs &amp; Assumptions'!$X$29*R537-'Model Inputs &amp; Assumptions'!$X$29^2/2))</f>
        <v>0.00305143953761813</v>
      </c>
      <c r="G537" s="45" t="n">
        <f aca="false">ROUND(C537*F537,0)</f>
        <v>713</v>
      </c>
      <c r="H537" s="48" t="n">
        <f aca="false">MAX(0,(C537*'Model Inputs &amp; Assumptions'!$N$29+E537*'Model Inputs &amp; Assumptions'!$O$29+G537*'Model Inputs &amp; Assumptions'!$P$29)*EXP('Model Inputs &amp; Assumptions'!$Q$29*S537-'Model Inputs &amp; Assumptions'!$Q$29^2/2))</f>
        <v>40.9754762236585</v>
      </c>
      <c r="I537" s="49" t="n">
        <f aca="false">IF('Model Inputs &amp; Assumptions'!$H$29="Fixed",'Model Inputs &amp; Assumptions'!$I$29*'Model Inputs &amp; Assumptions'!$K$29,IF('Model Inputs &amp; Assumptions'!$H$29="CPM",'Model Inputs &amp; Assumptions'!$I$29*'Model Inputs &amp; Assumptions'!$K$29*C537/1000,IF('Model Inputs &amp; Assumptions'!$H$29="CPC",'Model Inputs &amp; Assumptions'!$I$29*'Model Inputs &amp; Assumptions'!$K$29*G537,0)))</f>
        <v>6500</v>
      </c>
      <c r="J537" s="50" t="n">
        <f aca="false">H537*INDEX('Model Inputs &amp; Assumptions'!$D$40:$D$42,MATCH('Model Inputs &amp; Assumptions'!$L$29,'Model Inputs &amp; Assumptions'!$A$40:$A$42,0))*INDEX('Model Inputs &amp; Assumptions'!$H$40:$H$42,MATCH('Model Inputs &amp; Assumptions'!$L$29,'Model Inputs &amp; Assumptions'!$A$40:$A$42,0))</f>
        <v>348291.547901097</v>
      </c>
      <c r="K537" s="49" t="n">
        <f aca="false">H537*INDEX('Model Inputs &amp; Assumptions'!$G$40:$G$42,MATCH('Model Inputs &amp; Assumptions'!$L$29,'Model Inputs &amp; Assumptions'!$A$40:$A$42,0))*INDEX('Model Inputs &amp; Assumptions'!$H$40:$H$42,MATCH('Model Inputs &amp; Assumptions'!$L$29,'Model Inputs &amp; Assumptions'!$A$40:$A$42,0))</f>
        <v>7836.55982777469</v>
      </c>
      <c r="L537" s="51" t="n">
        <f aca="false">IFERROR(K537/I537,0)</f>
        <v>1.20562458888841</v>
      </c>
      <c r="M537" s="49" t="n">
        <f aca="false">IFERROR(I537/H537,0)</f>
        <v>158.631469333528</v>
      </c>
      <c r="N537" s="52" t="str">
        <f aca="false">'Model Inputs &amp; Assumptions'!$L$29</f>
        <v>PRD-EUAI</v>
      </c>
      <c r="P537" s="53" t="n">
        <v>0.865543</v>
      </c>
      <c r="Q537" s="53" t="n">
        <v>-0.697765</v>
      </c>
      <c r="R537" s="53" t="n">
        <v>0.225959</v>
      </c>
      <c r="S537" s="53" t="n">
        <v>0.614082</v>
      </c>
    </row>
    <row r="538" customFormat="false" ht="15" hidden="false" customHeight="false" outlineLevel="0" collapsed="false">
      <c r="A538" s="43" t="n">
        <v>35</v>
      </c>
      <c r="B538" s="44" t="str">
        <f aca="false">'Model Inputs &amp; Assumptions'!$B$29</f>
        <v>Handelsblatt — Native Explainer</v>
      </c>
      <c r="C538" s="45" t="n">
        <f aca="false">ROUND(MAX(0,'Model Inputs &amp; Assumptions'!$S$29*EXP('Model Inputs &amp; Assumptions'!$T$29*P538-'Model Inputs &amp; Assumptions'!$T$29^2/2)),0)</f>
        <v>267114</v>
      </c>
      <c r="D538" s="46" t="n">
        <f aca="false">MIN(1,'Model Inputs &amp; Assumptions'!$U$29*EXP('Model Inputs &amp; Assumptions'!$V$29*Q538-'Model Inputs &amp; Assumptions'!$V$29^2/2))</f>
        <v>0</v>
      </c>
      <c r="E538" s="45" t="n">
        <f aca="false">ROUND(C538*D538,0)</f>
        <v>0</v>
      </c>
      <c r="F538" s="47" t="n">
        <f aca="false">MIN(1,'Model Inputs &amp; Assumptions'!$W$29*EXP('Model Inputs &amp; Assumptions'!$X$29*R538-'Model Inputs &amp; Assumptions'!$X$29^2/2))</f>
        <v>0.00371627684438708</v>
      </c>
      <c r="G538" s="45" t="n">
        <f aca="false">ROUND(C538*F538,0)</f>
        <v>993</v>
      </c>
      <c r="H538" s="48" t="n">
        <f aca="false">MAX(0,(C538*'Model Inputs &amp; Assumptions'!$N$29+E538*'Model Inputs &amp; Assumptions'!$O$29+G538*'Model Inputs &amp; Assumptions'!$P$29)*EXP('Model Inputs &amp; Assumptions'!$Q$29*S538-'Model Inputs &amp; Assumptions'!$Q$29^2/2))</f>
        <v>46.627718900853</v>
      </c>
      <c r="I538" s="49" t="n">
        <f aca="false">IF('Model Inputs &amp; Assumptions'!$H$29="Fixed",'Model Inputs &amp; Assumptions'!$I$29*'Model Inputs &amp; Assumptions'!$K$29,IF('Model Inputs &amp; Assumptions'!$H$29="CPM",'Model Inputs &amp; Assumptions'!$I$29*'Model Inputs &amp; Assumptions'!$K$29*C538/1000,IF('Model Inputs &amp; Assumptions'!$H$29="CPC",'Model Inputs &amp; Assumptions'!$I$29*'Model Inputs &amp; Assumptions'!$K$29*G538,0)))</f>
        <v>6500</v>
      </c>
      <c r="J538" s="50" t="n">
        <f aca="false">H538*INDEX('Model Inputs &amp; Assumptions'!$D$40:$D$42,MATCH('Model Inputs &amp; Assumptions'!$L$29,'Model Inputs &amp; Assumptions'!$A$40:$A$42,0))*INDEX('Model Inputs &amp; Assumptions'!$H$40:$H$42,MATCH('Model Inputs &amp; Assumptions'!$L$29,'Model Inputs &amp; Assumptions'!$A$40:$A$42,0))</f>
        <v>396335.610657251</v>
      </c>
      <c r="K538" s="49" t="n">
        <f aca="false">H538*INDEX('Model Inputs &amp; Assumptions'!$G$40:$G$42,MATCH('Model Inputs &amp; Assumptions'!$L$29,'Model Inputs &amp; Assumptions'!$A$40:$A$42,0))*INDEX('Model Inputs &amp; Assumptions'!$H$40:$H$42,MATCH('Model Inputs &amp; Assumptions'!$L$29,'Model Inputs &amp; Assumptions'!$A$40:$A$42,0))</f>
        <v>8917.55123978814</v>
      </c>
      <c r="L538" s="51" t="n">
        <f aca="false">IFERROR(K538/I538,0)</f>
        <v>1.37193095996741</v>
      </c>
      <c r="M538" s="49" t="n">
        <f aca="false">IFERROR(I538/H538,0)</f>
        <v>139.402058544217</v>
      </c>
      <c r="N538" s="52" t="str">
        <f aca="false">'Model Inputs &amp; Assumptions'!$L$29</f>
        <v>PRD-EUAI</v>
      </c>
      <c r="P538" s="53" t="n">
        <v>1.470952</v>
      </c>
      <c r="Q538" s="53" t="n">
        <v>0.659001</v>
      </c>
      <c r="R538" s="53" t="n">
        <v>0.98407</v>
      </c>
      <c r="S538" s="53" t="n">
        <v>-0.059344</v>
      </c>
    </row>
    <row r="539" customFormat="false" ht="15" hidden="false" customHeight="false" outlineLevel="0" collapsed="false">
      <c r="A539" s="43" t="n">
        <v>36</v>
      </c>
      <c r="B539" s="44" t="str">
        <f aca="false">'Model Inputs &amp; Assumptions'!$B$29</f>
        <v>Handelsblatt — Native Explainer</v>
      </c>
      <c r="C539" s="45" t="n">
        <f aca="false">ROUND(MAX(0,'Model Inputs &amp; Assumptions'!$S$29*EXP('Model Inputs &amp; Assumptions'!$T$29*P539-'Model Inputs &amp; Assumptions'!$T$29^2/2)),0)</f>
        <v>205147</v>
      </c>
      <c r="D539" s="46" t="n">
        <f aca="false">MIN(1,'Model Inputs &amp; Assumptions'!$U$29*EXP('Model Inputs &amp; Assumptions'!$V$29*Q539-'Model Inputs &amp; Assumptions'!$V$29^2/2))</f>
        <v>0</v>
      </c>
      <c r="E539" s="45" t="n">
        <f aca="false">ROUND(C539*D539,0)</f>
        <v>0</v>
      </c>
      <c r="F539" s="47" t="n">
        <f aca="false">MIN(1,'Model Inputs &amp; Assumptions'!$W$29*EXP('Model Inputs &amp; Assumptions'!$X$29*R539-'Model Inputs &amp; Assumptions'!$X$29^2/2))</f>
        <v>0.00271462271026814</v>
      </c>
      <c r="G539" s="45" t="n">
        <f aca="false">ROUND(C539*F539,0)</f>
        <v>557</v>
      </c>
      <c r="H539" s="48" t="n">
        <f aca="false">MAX(0,(C539*'Model Inputs &amp; Assumptions'!$N$29+E539*'Model Inputs &amp; Assumptions'!$O$29+G539*'Model Inputs &amp; Assumptions'!$P$29)*EXP('Model Inputs &amp; Assumptions'!$Q$29*S539-'Model Inputs &amp; Assumptions'!$Q$29^2/2))</f>
        <v>38.0255334271088</v>
      </c>
      <c r="I539" s="49" t="n">
        <f aca="false">IF('Model Inputs &amp; Assumptions'!$H$29="Fixed",'Model Inputs &amp; Assumptions'!$I$29*'Model Inputs &amp; Assumptions'!$K$29,IF('Model Inputs &amp; Assumptions'!$H$29="CPM",'Model Inputs &amp; Assumptions'!$I$29*'Model Inputs &amp; Assumptions'!$K$29*C539/1000,IF('Model Inputs &amp; Assumptions'!$H$29="CPC",'Model Inputs &amp; Assumptions'!$I$29*'Model Inputs &amp; Assumptions'!$K$29*G539,0)))</f>
        <v>6500</v>
      </c>
      <c r="J539" s="50" t="n">
        <f aca="false">H539*INDEX('Model Inputs &amp; Assumptions'!$D$40:$D$42,MATCH('Model Inputs &amp; Assumptions'!$L$29,'Model Inputs &amp; Assumptions'!$A$40:$A$42,0))*INDEX('Model Inputs &amp; Assumptions'!$H$40:$H$42,MATCH('Model Inputs &amp; Assumptions'!$L$29,'Model Inputs &amp; Assumptions'!$A$40:$A$42,0))</f>
        <v>323217.034130425</v>
      </c>
      <c r="K539" s="49" t="n">
        <f aca="false">H539*INDEX('Model Inputs &amp; Assumptions'!$G$40:$G$42,MATCH('Model Inputs &amp; Assumptions'!$L$29,'Model Inputs &amp; Assumptions'!$A$40:$A$42,0))*INDEX('Model Inputs &amp; Assumptions'!$H$40:$H$42,MATCH('Model Inputs &amp; Assumptions'!$L$29,'Model Inputs &amp; Assumptions'!$A$40:$A$42,0))</f>
        <v>7272.38326793456</v>
      </c>
      <c r="L539" s="51" t="n">
        <f aca="false">IFERROR(K539/I539,0)</f>
        <v>1.11882819506686</v>
      </c>
      <c r="M539" s="49" t="n">
        <f aca="false">IFERROR(I539/H539,0)</f>
        <v>170.937772969309</v>
      </c>
      <c r="N539" s="52" t="str">
        <f aca="false">'Model Inputs &amp; Assumptions'!$L$29</f>
        <v>PRD-EUAI</v>
      </c>
      <c r="P539" s="53" t="n">
        <v>0.271187</v>
      </c>
      <c r="Q539" s="53" t="n">
        <v>-1.12534</v>
      </c>
      <c r="R539" s="53" t="n">
        <v>-0.223889</v>
      </c>
      <c r="S539" s="53" t="n">
        <v>1.188083</v>
      </c>
    </row>
    <row r="540" customFormat="false" ht="15" hidden="false" customHeight="false" outlineLevel="0" collapsed="false">
      <c r="A540" s="43" t="n">
        <v>37</v>
      </c>
      <c r="B540" s="44" t="str">
        <f aca="false">'Model Inputs &amp; Assumptions'!$B$29</f>
        <v>Handelsblatt — Native Explainer</v>
      </c>
      <c r="C540" s="45" t="n">
        <f aca="false">ROUND(MAX(0,'Model Inputs &amp; Assumptions'!$S$29*EXP('Model Inputs &amp; Assumptions'!$T$29*P540-'Model Inputs &amp; Assumptions'!$T$29^2/2)),0)</f>
        <v>141448</v>
      </c>
      <c r="D540" s="46" t="n">
        <f aca="false">MIN(1,'Model Inputs &amp; Assumptions'!$U$29*EXP('Model Inputs &amp; Assumptions'!$V$29*Q540-'Model Inputs &amp; Assumptions'!$V$29^2/2))</f>
        <v>0</v>
      </c>
      <c r="E540" s="45" t="n">
        <f aca="false">ROUND(C540*D540,0)</f>
        <v>0</v>
      </c>
      <c r="F540" s="47" t="n">
        <f aca="false">MIN(1,'Model Inputs &amp; Assumptions'!$W$29*EXP('Model Inputs &amp; Assumptions'!$X$29*R540-'Model Inputs &amp; Assumptions'!$X$29^2/2))</f>
        <v>0.00177209322141109</v>
      </c>
      <c r="G540" s="45" t="n">
        <f aca="false">ROUND(C540*F540,0)</f>
        <v>251</v>
      </c>
      <c r="H540" s="48" t="n">
        <f aca="false">MAX(0,(C540*'Model Inputs &amp; Assumptions'!$N$29+E540*'Model Inputs &amp; Assumptions'!$O$29+G540*'Model Inputs &amp; Assumptions'!$P$29)*EXP('Model Inputs &amp; Assumptions'!$Q$29*S540-'Model Inputs &amp; Assumptions'!$Q$29^2/2))</f>
        <v>11.9873097043622</v>
      </c>
      <c r="I540" s="49" t="n">
        <f aca="false">IF('Model Inputs &amp; Assumptions'!$H$29="Fixed",'Model Inputs &amp; Assumptions'!$I$29*'Model Inputs &amp; Assumptions'!$K$29,IF('Model Inputs &amp; Assumptions'!$H$29="CPM",'Model Inputs &amp; Assumptions'!$I$29*'Model Inputs &amp; Assumptions'!$K$29*C540/1000,IF('Model Inputs &amp; Assumptions'!$H$29="CPC",'Model Inputs &amp; Assumptions'!$I$29*'Model Inputs &amp; Assumptions'!$K$29*G540,0)))</f>
        <v>6500</v>
      </c>
      <c r="J540" s="50" t="n">
        <f aca="false">H540*INDEX('Model Inputs &amp; Assumptions'!$D$40:$D$42,MATCH('Model Inputs &amp; Assumptions'!$L$29,'Model Inputs &amp; Assumptions'!$A$40:$A$42,0))*INDEX('Model Inputs &amp; Assumptions'!$H$40:$H$42,MATCH('Model Inputs &amp; Assumptions'!$L$29,'Model Inputs &amp; Assumptions'!$A$40:$A$42,0))</f>
        <v>101892.132487078</v>
      </c>
      <c r="K540" s="49" t="n">
        <f aca="false">H540*INDEX('Model Inputs &amp; Assumptions'!$G$40:$G$42,MATCH('Model Inputs &amp; Assumptions'!$L$29,'Model Inputs &amp; Assumptions'!$A$40:$A$42,0))*INDEX('Model Inputs &amp; Assumptions'!$H$40:$H$42,MATCH('Model Inputs &amp; Assumptions'!$L$29,'Model Inputs &amp; Assumptions'!$A$40:$A$42,0))</f>
        <v>2292.57298095927</v>
      </c>
      <c r="L540" s="51" t="n">
        <f aca="false">IFERROR(K540/I540,0)</f>
        <v>0.352703535532195</v>
      </c>
      <c r="M540" s="49" t="n">
        <f aca="false">IFERROR(I540/H540,0)</f>
        <v>542.240098930176</v>
      </c>
      <c r="N540" s="52" t="str">
        <f aca="false">'Model Inputs &amp; Assumptions'!$L$29</f>
        <v>PRD-EUAI</v>
      </c>
      <c r="P540" s="53" t="n">
        <v>-1.418787</v>
      </c>
      <c r="Q540" s="53" t="n">
        <v>-0.931034</v>
      </c>
      <c r="R540" s="53" t="n">
        <v>-1.864241</v>
      </c>
      <c r="S540" s="53" t="n">
        <v>-0.002907</v>
      </c>
    </row>
    <row r="541" customFormat="false" ht="15" hidden="false" customHeight="false" outlineLevel="0" collapsed="false">
      <c r="A541" s="43" t="n">
        <v>38</v>
      </c>
      <c r="B541" s="44" t="str">
        <f aca="false">'Model Inputs &amp; Assumptions'!$B$29</f>
        <v>Handelsblatt — Native Explainer</v>
      </c>
      <c r="C541" s="45" t="n">
        <f aca="false">ROUND(MAX(0,'Model Inputs &amp; Assumptions'!$S$29*EXP('Model Inputs &amp; Assumptions'!$T$29*P541-'Model Inputs &amp; Assumptions'!$T$29^2/2)),0)</f>
        <v>266422</v>
      </c>
      <c r="D541" s="46" t="n">
        <f aca="false">MIN(1,'Model Inputs &amp; Assumptions'!$U$29*EXP('Model Inputs &amp; Assumptions'!$V$29*Q541-'Model Inputs &amp; Assumptions'!$V$29^2/2))</f>
        <v>0</v>
      </c>
      <c r="E541" s="45" t="n">
        <f aca="false">ROUND(C541*D541,0)</f>
        <v>0</v>
      </c>
      <c r="F541" s="47" t="n">
        <f aca="false">MIN(1,'Model Inputs &amp; Assumptions'!$W$29*EXP('Model Inputs &amp; Assumptions'!$X$29*R541-'Model Inputs &amp; Assumptions'!$X$29^2/2))</f>
        <v>0.0024410389279336</v>
      </c>
      <c r="G541" s="45" t="n">
        <f aca="false">ROUND(C541*F541,0)</f>
        <v>650</v>
      </c>
      <c r="H541" s="48" t="n">
        <f aca="false">MAX(0,(C541*'Model Inputs &amp; Assumptions'!$N$29+E541*'Model Inputs &amp; Assumptions'!$O$29+G541*'Model Inputs &amp; Assumptions'!$P$29)*EXP('Model Inputs &amp; Assumptions'!$Q$29*S541-'Model Inputs &amp; Assumptions'!$Q$29^2/2))</f>
        <v>36.0294582777346</v>
      </c>
      <c r="I541" s="49" t="n">
        <f aca="false">IF('Model Inputs &amp; Assumptions'!$H$29="Fixed",'Model Inputs &amp; Assumptions'!$I$29*'Model Inputs &amp; Assumptions'!$K$29,IF('Model Inputs &amp; Assumptions'!$H$29="CPM",'Model Inputs &amp; Assumptions'!$I$29*'Model Inputs &amp; Assumptions'!$K$29*C541/1000,IF('Model Inputs &amp; Assumptions'!$H$29="CPC",'Model Inputs &amp; Assumptions'!$I$29*'Model Inputs &amp; Assumptions'!$K$29*G541,0)))</f>
        <v>6500</v>
      </c>
      <c r="J541" s="50" t="n">
        <f aca="false">H541*INDEX('Model Inputs &amp; Assumptions'!$D$40:$D$42,MATCH('Model Inputs &amp; Assumptions'!$L$29,'Model Inputs &amp; Assumptions'!$A$40:$A$42,0))*INDEX('Model Inputs &amp; Assumptions'!$H$40:$H$42,MATCH('Model Inputs &amp; Assumptions'!$L$29,'Model Inputs &amp; Assumptions'!$A$40:$A$42,0))</f>
        <v>306250.395360744</v>
      </c>
      <c r="K541" s="49" t="n">
        <f aca="false">H541*INDEX('Model Inputs &amp; Assumptions'!$G$40:$G$42,MATCH('Model Inputs &amp; Assumptions'!$L$29,'Model Inputs &amp; Assumptions'!$A$40:$A$42,0))*INDEX('Model Inputs &amp; Assumptions'!$H$40:$H$42,MATCH('Model Inputs &amp; Assumptions'!$L$29,'Model Inputs &amp; Assumptions'!$A$40:$A$42,0))</f>
        <v>6890.63389561675</v>
      </c>
      <c r="L541" s="51" t="n">
        <f aca="false">IFERROR(K541/I541,0)</f>
        <v>1.06009752240258</v>
      </c>
      <c r="M541" s="49" t="n">
        <f aca="false">IFERROR(I541/H541,0)</f>
        <v>180.407930363384</v>
      </c>
      <c r="N541" s="52" t="str">
        <f aca="false">'Model Inputs &amp; Assumptions'!$L$29</f>
        <v>PRD-EUAI</v>
      </c>
      <c r="P541" s="53" t="n">
        <v>1.459153</v>
      </c>
      <c r="Q541" s="53" t="n">
        <v>-1.503827</v>
      </c>
      <c r="R541" s="53" t="n">
        <v>-0.632463</v>
      </c>
      <c r="S541" s="53" t="n">
        <v>0.493656</v>
      </c>
    </row>
    <row r="542" customFormat="false" ht="15" hidden="false" customHeight="false" outlineLevel="0" collapsed="false">
      <c r="A542" s="43" t="n">
        <v>39</v>
      </c>
      <c r="B542" s="44" t="str">
        <f aca="false">'Model Inputs &amp; Assumptions'!$B$29</f>
        <v>Handelsblatt — Native Explainer</v>
      </c>
      <c r="C542" s="45" t="n">
        <f aca="false">ROUND(MAX(0,'Model Inputs &amp; Assumptions'!$S$29*EXP('Model Inputs &amp; Assumptions'!$T$29*P542-'Model Inputs &amp; Assumptions'!$T$29^2/2)),0)</f>
        <v>178799</v>
      </c>
      <c r="D542" s="46" t="n">
        <f aca="false">MIN(1,'Model Inputs &amp; Assumptions'!$U$29*EXP('Model Inputs &amp; Assumptions'!$V$29*Q542-'Model Inputs &amp; Assumptions'!$V$29^2/2))</f>
        <v>0</v>
      </c>
      <c r="E542" s="45" t="n">
        <f aca="false">ROUND(C542*D542,0)</f>
        <v>0</v>
      </c>
      <c r="F542" s="47" t="n">
        <f aca="false">MIN(1,'Model Inputs &amp; Assumptions'!$W$29*EXP('Model Inputs &amp; Assumptions'!$X$29*R542-'Model Inputs &amp; Assumptions'!$X$29^2/2))</f>
        <v>0.00242054499369199</v>
      </c>
      <c r="G542" s="45" t="n">
        <f aca="false">ROUND(C542*F542,0)</f>
        <v>433</v>
      </c>
      <c r="H542" s="48" t="n">
        <f aca="false">MAX(0,(C542*'Model Inputs &amp; Assumptions'!$N$29+E542*'Model Inputs &amp; Assumptions'!$O$29+G542*'Model Inputs &amp; Assumptions'!$P$29)*EXP('Model Inputs &amp; Assumptions'!$Q$29*S542-'Model Inputs &amp; Assumptions'!$Q$29^2/2))</f>
        <v>21.0337828955483</v>
      </c>
      <c r="I542" s="49" t="n">
        <f aca="false">IF('Model Inputs &amp; Assumptions'!$H$29="Fixed",'Model Inputs &amp; Assumptions'!$I$29*'Model Inputs &amp; Assumptions'!$K$29,IF('Model Inputs &amp; Assumptions'!$H$29="CPM",'Model Inputs &amp; Assumptions'!$I$29*'Model Inputs &amp; Assumptions'!$K$29*C542/1000,IF('Model Inputs &amp; Assumptions'!$H$29="CPC",'Model Inputs &amp; Assumptions'!$I$29*'Model Inputs &amp; Assumptions'!$K$29*G542,0)))</f>
        <v>6500</v>
      </c>
      <c r="J542" s="50" t="n">
        <f aca="false">H542*INDEX('Model Inputs &amp; Assumptions'!$D$40:$D$42,MATCH('Model Inputs &amp; Assumptions'!$L$29,'Model Inputs &amp; Assumptions'!$A$40:$A$42,0))*INDEX('Model Inputs &amp; Assumptions'!$H$40:$H$42,MATCH('Model Inputs &amp; Assumptions'!$L$29,'Model Inputs &amp; Assumptions'!$A$40:$A$42,0))</f>
        <v>178787.15461216</v>
      </c>
      <c r="K542" s="49" t="n">
        <f aca="false">H542*INDEX('Model Inputs &amp; Assumptions'!$G$40:$G$42,MATCH('Model Inputs &amp; Assumptions'!$L$29,'Model Inputs &amp; Assumptions'!$A$40:$A$42,0))*INDEX('Model Inputs &amp; Assumptions'!$H$40:$H$42,MATCH('Model Inputs &amp; Assumptions'!$L$29,'Model Inputs &amp; Assumptions'!$A$40:$A$42,0))</f>
        <v>4022.71097877361</v>
      </c>
      <c r="L542" s="51" t="n">
        <f aca="false">IFERROR(K542/I542,0)</f>
        <v>0.618878612119016</v>
      </c>
      <c r="M542" s="49" t="n">
        <f aca="false">IFERROR(I542/H542,0)</f>
        <v>309.026675433438</v>
      </c>
      <c r="N542" s="52" t="str">
        <f aca="false">'Model Inputs &amp; Assumptions'!$L$29</f>
        <v>PRD-EUAI</v>
      </c>
      <c r="P542" s="53" t="n">
        <v>-0.353649</v>
      </c>
      <c r="Q542" s="53" t="n">
        <v>0.569077</v>
      </c>
      <c r="R542" s="53" t="n">
        <v>-0.66489</v>
      </c>
      <c r="S542" s="53" t="n">
        <v>0.053748</v>
      </c>
    </row>
    <row r="543" customFormat="false" ht="15" hidden="false" customHeight="false" outlineLevel="0" collapsed="false">
      <c r="A543" s="43" t="n">
        <v>40</v>
      </c>
      <c r="B543" s="44" t="str">
        <f aca="false">'Model Inputs &amp; Assumptions'!$B$29</f>
        <v>Handelsblatt — Native Explainer</v>
      </c>
      <c r="C543" s="45" t="n">
        <f aca="false">ROUND(MAX(0,'Model Inputs &amp; Assumptions'!$S$29*EXP('Model Inputs &amp; Assumptions'!$T$29*P543-'Model Inputs &amp; Assumptions'!$T$29^2/2)),0)</f>
        <v>241144</v>
      </c>
      <c r="D543" s="46" t="n">
        <f aca="false">MIN(1,'Model Inputs &amp; Assumptions'!$U$29*EXP('Model Inputs &amp; Assumptions'!$V$29*Q543-'Model Inputs &amp; Assumptions'!$V$29^2/2))</f>
        <v>0</v>
      </c>
      <c r="E543" s="45" t="n">
        <f aca="false">ROUND(C543*D543,0)</f>
        <v>0</v>
      </c>
      <c r="F543" s="47" t="n">
        <f aca="false">MIN(1,'Model Inputs &amp; Assumptions'!$W$29*EXP('Model Inputs &amp; Assumptions'!$X$29*R543-'Model Inputs &amp; Assumptions'!$X$29^2/2))</f>
        <v>0.00479797473572459</v>
      </c>
      <c r="G543" s="45" t="n">
        <f aca="false">ROUND(C543*F543,0)</f>
        <v>1157</v>
      </c>
      <c r="H543" s="48" t="n">
        <f aca="false">MAX(0,(C543*'Model Inputs &amp; Assumptions'!$N$29+E543*'Model Inputs &amp; Assumptions'!$O$29+G543*'Model Inputs &amp; Assumptions'!$P$29)*EXP('Model Inputs &amp; Assumptions'!$Q$29*S543-'Model Inputs &amp; Assumptions'!$Q$29^2/2))</f>
        <v>50.6825339714508</v>
      </c>
      <c r="I543" s="49" t="n">
        <f aca="false">IF('Model Inputs &amp; Assumptions'!$H$29="Fixed",'Model Inputs &amp; Assumptions'!$I$29*'Model Inputs &amp; Assumptions'!$K$29,IF('Model Inputs &amp; Assumptions'!$H$29="CPM",'Model Inputs &amp; Assumptions'!$I$29*'Model Inputs &amp; Assumptions'!$K$29*C543/1000,IF('Model Inputs &amp; Assumptions'!$H$29="CPC",'Model Inputs &amp; Assumptions'!$I$29*'Model Inputs &amp; Assumptions'!$K$29*G543,0)))</f>
        <v>6500</v>
      </c>
      <c r="J543" s="50" t="n">
        <f aca="false">H543*INDEX('Model Inputs &amp; Assumptions'!$D$40:$D$42,MATCH('Model Inputs &amp; Assumptions'!$L$29,'Model Inputs &amp; Assumptions'!$A$40:$A$42,0))*INDEX('Model Inputs &amp; Assumptions'!$H$40:$H$42,MATCH('Model Inputs &amp; Assumptions'!$L$29,'Model Inputs &amp; Assumptions'!$A$40:$A$42,0))</f>
        <v>430801.538757332</v>
      </c>
      <c r="K543" s="49" t="n">
        <f aca="false">H543*INDEX('Model Inputs &amp; Assumptions'!$G$40:$G$42,MATCH('Model Inputs &amp; Assumptions'!$L$29,'Model Inputs &amp; Assumptions'!$A$40:$A$42,0))*INDEX('Model Inputs &amp; Assumptions'!$H$40:$H$42,MATCH('Model Inputs &amp; Assumptions'!$L$29,'Model Inputs &amp; Assumptions'!$A$40:$A$42,0))</f>
        <v>9693.03462203997</v>
      </c>
      <c r="L543" s="51" t="n">
        <f aca="false">IFERROR(K543/I543,0)</f>
        <v>1.49123609569846</v>
      </c>
      <c r="M543" s="49" t="n">
        <f aca="false">IFERROR(I543/H543,0)</f>
        <v>128.249309785131</v>
      </c>
      <c r="N543" s="52" t="str">
        <f aca="false">'Model Inputs &amp; Assumptions'!$L$29</f>
        <v>PRD-EUAI</v>
      </c>
      <c r="P543" s="53" t="n">
        <v>1.006033</v>
      </c>
      <c r="Q543" s="53" t="n">
        <v>-0.309931</v>
      </c>
      <c r="R543" s="53" t="n">
        <v>1.966653</v>
      </c>
      <c r="S543" s="53" t="n">
        <v>-0.290907</v>
      </c>
    </row>
    <row r="544" customFormat="false" ht="15" hidden="false" customHeight="false" outlineLevel="0" collapsed="false">
      <c r="A544" s="43" t="n">
        <v>41</v>
      </c>
      <c r="B544" s="44" t="str">
        <f aca="false">'Model Inputs &amp; Assumptions'!$B$29</f>
        <v>Handelsblatt — Native Explainer</v>
      </c>
      <c r="C544" s="45" t="n">
        <f aca="false">ROUND(MAX(0,'Model Inputs &amp; Assumptions'!$S$29*EXP('Model Inputs &amp; Assumptions'!$T$29*P544-'Model Inputs &amp; Assumptions'!$T$29^2/2)),0)</f>
        <v>205447</v>
      </c>
      <c r="D544" s="46" t="n">
        <f aca="false">MIN(1,'Model Inputs &amp; Assumptions'!$U$29*EXP('Model Inputs &amp; Assumptions'!$V$29*Q544-'Model Inputs &amp; Assumptions'!$V$29^2/2))</f>
        <v>0</v>
      </c>
      <c r="E544" s="45" t="n">
        <f aca="false">ROUND(C544*D544,0)</f>
        <v>0</v>
      </c>
      <c r="F544" s="47" t="n">
        <f aca="false">MIN(1,'Model Inputs &amp; Assumptions'!$W$29*EXP('Model Inputs &amp; Assumptions'!$X$29*R544-'Model Inputs &amp; Assumptions'!$X$29^2/2))</f>
        <v>0.00337510217796543</v>
      </c>
      <c r="G544" s="45" t="n">
        <f aca="false">ROUND(C544*F544,0)</f>
        <v>693</v>
      </c>
      <c r="H544" s="48" t="n">
        <f aca="false">MAX(0,(C544*'Model Inputs &amp; Assumptions'!$N$29+E544*'Model Inputs &amp; Assumptions'!$O$29+G544*'Model Inputs &amp; Assumptions'!$P$29)*EXP('Model Inputs &amp; Assumptions'!$Q$29*S544-'Model Inputs &amp; Assumptions'!$Q$29^2/2))</f>
        <v>44.1271096835577</v>
      </c>
      <c r="I544" s="49" t="n">
        <f aca="false">IF('Model Inputs &amp; Assumptions'!$H$29="Fixed",'Model Inputs &amp; Assumptions'!$I$29*'Model Inputs &amp; Assumptions'!$K$29,IF('Model Inputs &amp; Assumptions'!$H$29="CPM",'Model Inputs &amp; Assumptions'!$I$29*'Model Inputs &amp; Assumptions'!$K$29*C544/1000,IF('Model Inputs &amp; Assumptions'!$H$29="CPC",'Model Inputs &amp; Assumptions'!$I$29*'Model Inputs &amp; Assumptions'!$K$29*G544,0)))</f>
        <v>6500</v>
      </c>
      <c r="J544" s="50" t="n">
        <f aca="false">H544*INDEX('Model Inputs &amp; Assumptions'!$D$40:$D$42,MATCH('Model Inputs &amp; Assumptions'!$L$29,'Model Inputs &amp; Assumptions'!$A$40:$A$42,0))*INDEX('Model Inputs &amp; Assumptions'!$H$40:$H$42,MATCH('Model Inputs &amp; Assumptions'!$L$29,'Model Inputs &amp; Assumptions'!$A$40:$A$42,0))</f>
        <v>375080.43231024</v>
      </c>
      <c r="K544" s="49" t="n">
        <f aca="false">H544*INDEX('Model Inputs &amp; Assumptions'!$G$40:$G$42,MATCH('Model Inputs &amp; Assumptions'!$L$29,'Model Inputs &amp; Assumptions'!$A$40:$A$42,0))*INDEX('Model Inputs &amp; Assumptions'!$H$40:$H$42,MATCH('Model Inputs &amp; Assumptions'!$L$29,'Model Inputs &amp; Assumptions'!$A$40:$A$42,0))</f>
        <v>8439.3097269804</v>
      </c>
      <c r="L544" s="51" t="n">
        <f aca="false">IFERROR(K544/I544,0)</f>
        <v>1.29835534261237</v>
      </c>
      <c r="M544" s="49" t="n">
        <f aca="false">IFERROR(I544/H544,0)</f>
        <v>147.301739148848</v>
      </c>
      <c r="N544" s="52" t="str">
        <f aca="false">'Model Inputs &amp; Assumptions'!$L$29</f>
        <v>PRD-EUAI</v>
      </c>
      <c r="P544" s="53" t="n">
        <v>0.277814</v>
      </c>
      <c r="Q544" s="53" t="n">
        <v>0.086472</v>
      </c>
      <c r="R544" s="53" t="n">
        <v>0.613698</v>
      </c>
      <c r="S544" s="53" t="n">
        <v>0.955922</v>
      </c>
    </row>
    <row r="545" customFormat="false" ht="15" hidden="false" customHeight="false" outlineLevel="0" collapsed="false">
      <c r="A545" s="43" t="n">
        <v>42</v>
      </c>
      <c r="B545" s="44" t="str">
        <f aca="false">'Model Inputs &amp; Assumptions'!$B$29</f>
        <v>Handelsblatt — Native Explainer</v>
      </c>
      <c r="C545" s="45" t="n">
        <f aca="false">ROUND(MAX(0,'Model Inputs &amp; Assumptions'!$S$29*EXP('Model Inputs &amp; Assumptions'!$T$29*P545-'Model Inputs &amp; Assumptions'!$T$29^2/2)),0)</f>
        <v>161174</v>
      </c>
      <c r="D545" s="46" t="n">
        <f aca="false">MIN(1,'Model Inputs &amp; Assumptions'!$U$29*EXP('Model Inputs &amp; Assumptions'!$V$29*Q545-'Model Inputs &amp; Assumptions'!$V$29^2/2))</f>
        <v>0</v>
      </c>
      <c r="E545" s="45" t="n">
        <f aca="false">ROUND(C545*D545,0)</f>
        <v>0</v>
      </c>
      <c r="F545" s="47" t="n">
        <f aca="false">MIN(1,'Model Inputs &amp; Assumptions'!$W$29*EXP('Model Inputs &amp; Assumptions'!$X$29*R545-'Model Inputs &amp; Assumptions'!$X$29^2/2))</f>
        <v>0.00311172557260939</v>
      </c>
      <c r="G545" s="45" t="n">
        <f aca="false">ROUND(C545*F545,0)</f>
        <v>502</v>
      </c>
      <c r="H545" s="48" t="n">
        <f aca="false">MAX(0,(C545*'Model Inputs &amp; Assumptions'!$N$29+E545*'Model Inputs &amp; Assumptions'!$O$29+G545*'Model Inputs &amp; Assumptions'!$P$29)*EXP('Model Inputs &amp; Assumptions'!$Q$29*S545-'Model Inputs &amp; Assumptions'!$Q$29^2/2))</f>
        <v>27.9505714865413</v>
      </c>
      <c r="I545" s="49" t="n">
        <f aca="false">IF('Model Inputs &amp; Assumptions'!$H$29="Fixed",'Model Inputs &amp; Assumptions'!$I$29*'Model Inputs &amp; Assumptions'!$K$29,IF('Model Inputs &amp; Assumptions'!$H$29="CPM",'Model Inputs &amp; Assumptions'!$I$29*'Model Inputs &amp; Assumptions'!$K$29*C545/1000,IF('Model Inputs &amp; Assumptions'!$H$29="CPC",'Model Inputs &amp; Assumptions'!$I$29*'Model Inputs &amp; Assumptions'!$K$29*G545,0)))</f>
        <v>6500</v>
      </c>
      <c r="J545" s="50" t="n">
        <f aca="false">H545*INDEX('Model Inputs &amp; Assumptions'!$D$40:$D$42,MATCH('Model Inputs &amp; Assumptions'!$L$29,'Model Inputs &amp; Assumptions'!$A$40:$A$42,0))*INDEX('Model Inputs &amp; Assumptions'!$H$40:$H$42,MATCH('Model Inputs &amp; Assumptions'!$L$29,'Model Inputs &amp; Assumptions'!$A$40:$A$42,0))</f>
        <v>237579.857635601</v>
      </c>
      <c r="K545" s="49" t="n">
        <f aca="false">H545*INDEX('Model Inputs &amp; Assumptions'!$G$40:$G$42,MATCH('Model Inputs &amp; Assumptions'!$L$29,'Model Inputs &amp; Assumptions'!$A$40:$A$42,0))*INDEX('Model Inputs &amp; Assumptions'!$H$40:$H$42,MATCH('Model Inputs &amp; Assumptions'!$L$29,'Model Inputs &amp; Assumptions'!$A$40:$A$42,0))</f>
        <v>5345.54679680101</v>
      </c>
      <c r="L545" s="51" t="n">
        <f aca="false">IFERROR(K545/I545,0)</f>
        <v>0.822391814892464</v>
      </c>
      <c r="M545" s="49" t="n">
        <f aca="false">IFERROR(I545/H545,0)</f>
        <v>232.553384574976</v>
      </c>
      <c r="N545" s="52" t="str">
        <f aca="false">'Model Inputs &amp; Assumptions'!$L$29</f>
        <v>PRD-EUAI</v>
      </c>
      <c r="P545" s="53" t="n">
        <v>-0.825361</v>
      </c>
      <c r="Q545" s="53" t="n">
        <v>0.096487</v>
      </c>
      <c r="R545" s="53" t="n">
        <v>0.301205</v>
      </c>
      <c r="S545" s="53" t="n">
        <v>0.508566</v>
      </c>
    </row>
    <row r="546" customFormat="false" ht="15" hidden="false" customHeight="false" outlineLevel="0" collapsed="false">
      <c r="A546" s="43" t="n">
        <v>43</v>
      </c>
      <c r="B546" s="44" t="str">
        <f aca="false">'Model Inputs &amp; Assumptions'!$B$29</f>
        <v>Handelsblatt — Native Explainer</v>
      </c>
      <c r="C546" s="45" t="n">
        <f aca="false">ROUND(MAX(0,'Model Inputs &amp; Assumptions'!$S$29*EXP('Model Inputs &amp; Assumptions'!$T$29*P546-'Model Inputs &amp; Assumptions'!$T$29^2/2)),0)</f>
        <v>162094</v>
      </c>
      <c r="D546" s="46" t="n">
        <f aca="false">MIN(1,'Model Inputs &amp; Assumptions'!$U$29*EXP('Model Inputs &amp; Assumptions'!$V$29*Q546-'Model Inputs &amp; Assumptions'!$V$29^2/2))</f>
        <v>0</v>
      </c>
      <c r="E546" s="45" t="n">
        <f aca="false">ROUND(C546*D546,0)</f>
        <v>0</v>
      </c>
      <c r="F546" s="47" t="n">
        <f aca="false">MIN(1,'Model Inputs &amp; Assumptions'!$W$29*EXP('Model Inputs &amp; Assumptions'!$X$29*R546-'Model Inputs &amp; Assumptions'!$X$29^2/2))</f>
        <v>0.00250975068322792</v>
      </c>
      <c r="G546" s="45" t="n">
        <f aca="false">ROUND(C546*F546,0)</f>
        <v>407</v>
      </c>
      <c r="H546" s="48" t="n">
        <f aca="false">MAX(0,(C546*'Model Inputs &amp; Assumptions'!$N$29+E546*'Model Inputs &amp; Assumptions'!$O$29+G546*'Model Inputs &amp; Assumptions'!$P$29)*EXP('Model Inputs &amp; Assumptions'!$Q$29*S546-'Model Inputs &amp; Assumptions'!$Q$29^2/2))</f>
        <v>16.0263479047217</v>
      </c>
      <c r="I546" s="49" t="n">
        <f aca="false">IF('Model Inputs &amp; Assumptions'!$H$29="Fixed",'Model Inputs &amp; Assumptions'!$I$29*'Model Inputs &amp; Assumptions'!$K$29,IF('Model Inputs &amp; Assumptions'!$H$29="CPM",'Model Inputs &amp; Assumptions'!$I$29*'Model Inputs &amp; Assumptions'!$K$29*C546/1000,IF('Model Inputs &amp; Assumptions'!$H$29="CPC",'Model Inputs &amp; Assumptions'!$I$29*'Model Inputs &amp; Assumptions'!$K$29*G546,0)))</f>
        <v>6500</v>
      </c>
      <c r="J546" s="50" t="n">
        <f aca="false">H546*INDEX('Model Inputs &amp; Assumptions'!$D$40:$D$42,MATCH('Model Inputs &amp; Assumptions'!$L$29,'Model Inputs &amp; Assumptions'!$A$40:$A$42,0))*INDEX('Model Inputs &amp; Assumptions'!$H$40:$H$42,MATCH('Model Inputs &amp; Assumptions'!$L$29,'Model Inputs &amp; Assumptions'!$A$40:$A$42,0))</f>
        <v>136223.957190134</v>
      </c>
      <c r="K546" s="49" t="n">
        <f aca="false">H546*INDEX('Model Inputs &amp; Assumptions'!$G$40:$G$42,MATCH('Model Inputs &amp; Assumptions'!$L$29,'Model Inputs &amp; Assumptions'!$A$40:$A$42,0))*INDEX('Model Inputs &amp; Assumptions'!$H$40:$H$42,MATCH('Model Inputs &amp; Assumptions'!$L$29,'Model Inputs &amp; Assumptions'!$A$40:$A$42,0))</f>
        <v>3065.03903677802</v>
      </c>
      <c r="L546" s="51" t="n">
        <f aca="false">IFERROR(K546/I546,0)</f>
        <v>0.471544467196619</v>
      </c>
      <c r="M546" s="49" t="n">
        <f aca="false">IFERROR(I546/H546,0)</f>
        <v>405.582110075432</v>
      </c>
      <c r="N546" s="52" t="str">
        <f aca="false">'Model Inputs &amp; Assumptions'!$L$29</f>
        <v>PRD-EUAI</v>
      </c>
      <c r="P546" s="53" t="n">
        <v>-0.799507</v>
      </c>
      <c r="Q546" s="53" t="n">
        <v>-0.186376</v>
      </c>
      <c r="R546" s="53" t="n">
        <v>-0.525695</v>
      </c>
      <c r="S546" s="53" t="n">
        <v>-0.646156</v>
      </c>
    </row>
    <row r="547" customFormat="false" ht="15" hidden="false" customHeight="false" outlineLevel="0" collapsed="false">
      <c r="A547" s="43" t="n">
        <v>44</v>
      </c>
      <c r="B547" s="44" t="str">
        <f aca="false">'Model Inputs &amp; Assumptions'!$B$29</f>
        <v>Handelsblatt — Native Explainer</v>
      </c>
      <c r="C547" s="45" t="n">
        <f aca="false">ROUND(MAX(0,'Model Inputs &amp; Assumptions'!$S$29*EXP('Model Inputs &amp; Assumptions'!$T$29*P547-'Model Inputs &amp; Assumptions'!$T$29^2/2)),0)</f>
        <v>154680</v>
      </c>
      <c r="D547" s="46" t="n">
        <f aca="false">MIN(1,'Model Inputs &amp; Assumptions'!$U$29*EXP('Model Inputs &amp; Assumptions'!$V$29*Q547-'Model Inputs &amp; Assumptions'!$V$29^2/2))</f>
        <v>0</v>
      </c>
      <c r="E547" s="45" t="n">
        <f aca="false">ROUND(C547*D547,0)</f>
        <v>0</v>
      </c>
      <c r="F547" s="47" t="n">
        <f aca="false">MIN(1,'Model Inputs &amp; Assumptions'!$W$29*EXP('Model Inputs &amp; Assumptions'!$X$29*R547-'Model Inputs &amp; Assumptions'!$X$29^2/2))</f>
        <v>0.00319282542777293</v>
      </c>
      <c r="G547" s="45" t="n">
        <f aca="false">ROUND(C547*F547,0)</f>
        <v>494</v>
      </c>
      <c r="H547" s="48" t="n">
        <f aca="false">MAX(0,(C547*'Model Inputs &amp; Assumptions'!$N$29+E547*'Model Inputs &amp; Assumptions'!$O$29+G547*'Model Inputs &amp; Assumptions'!$P$29)*EXP('Model Inputs &amp; Assumptions'!$Q$29*S547-'Model Inputs &amp; Assumptions'!$Q$29^2/2))</f>
        <v>36.2034509223165</v>
      </c>
      <c r="I547" s="49" t="n">
        <f aca="false">IF('Model Inputs &amp; Assumptions'!$H$29="Fixed",'Model Inputs &amp; Assumptions'!$I$29*'Model Inputs &amp; Assumptions'!$K$29,IF('Model Inputs &amp; Assumptions'!$H$29="CPM",'Model Inputs &amp; Assumptions'!$I$29*'Model Inputs &amp; Assumptions'!$K$29*C547/1000,IF('Model Inputs &amp; Assumptions'!$H$29="CPC",'Model Inputs &amp; Assumptions'!$I$29*'Model Inputs &amp; Assumptions'!$K$29*G547,0)))</f>
        <v>6500</v>
      </c>
      <c r="J547" s="50" t="n">
        <f aca="false">H547*INDEX('Model Inputs &amp; Assumptions'!$D$40:$D$42,MATCH('Model Inputs &amp; Assumptions'!$L$29,'Model Inputs &amp; Assumptions'!$A$40:$A$42,0))*INDEX('Model Inputs &amp; Assumptions'!$H$40:$H$42,MATCH('Model Inputs &amp; Assumptions'!$L$29,'Model Inputs &amp; Assumptions'!$A$40:$A$42,0))</f>
        <v>307729.33283969</v>
      </c>
      <c r="K547" s="49" t="n">
        <f aca="false">H547*INDEX('Model Inputs &amp; Assumptions'!$G$40:$G$42,MATCH('Model Inputs &amp; Assumptions'!$L$29,'Model Inputs &amp; Assumptions'!$A$40:$A$42,0))*INDEX('Model Inputs &amp; Assumptions'!$H$40:$H$42,MATCH('Model Inputs &amp; Assumptions'!$L$29,'Model Inputs &amp; Assumptions'!$A$40:$A$42,0))</f>
        <v>6923.90998889303</v>
      </c>
      <c r="L547" s="51" t="n">
        <f aca="false">IFERROR(K547/I547,0)</f>
        <v>1.06521692136816</v>
      </c>
      <c r="M547" s="49" t="n">
        <f aca="false">IFERROR(I547/H547,0)</f>
        <v>179.540895533615</v>
      </c>
      <c r="N547" s="52" t="str">
        <f aca="false">'Model Inputs &amp; Assumptions'!$L$29</f>
        <v>PRD-EUAI</v>
      </c>
      <c r="P547" s="53" t="n">
        <v>-1.012301</v>
      </c>
      <c r="Q547" s="53" t="n">
        <v>-0.003566</v>
      </c>
      <c r="R547" s="53" t="n">
        <v>0.400162</v>
      </c>
      <c r="S547" s="53" t="n">
        <v>1.424504</v>
      </c>
    </row>
    <row r="548" customFormat="false" ht="15" hidden="false" customHeight="false" outlineLevel="0" collapsed="false">
      <c r="A548" s="43" t="n">
        <v>45</v>
      </c>
      <c r="B548" s="44" t="str">
        <f aca="false">'Model Inputs &amp; Assumptions'!$B$29</f>
        <v>Handelsblatt — Native Explainer</v>
      </c>
      <c r="C548" s="45" t="n">
        <f aca="false">ROUND(MAX(0,'Model Inputs &amp; Assumptions'!$S$29*EXP('Model Inputs &amp; Assumptions'!$T$29*P548-'Model Inputs &amp; Assumptions'!$T$29^2/2)),0)</f>
        <v>146698</v>
      </c>
      <c r="D548" s="46" t="n">
        <f aca="false">MIN(1,'Model Inputs &amp; Assumptions'!$U$29*EXP('Model Inputs &amp; Assumptions'!$V$29*Q548-'Model Inputs &amp; Assumptions'!$V$29^2/2))</f>
        <v>0</v>
      </c>
      <c r="E548" s="45" t="n">
        <f aca="false">ROUND(C548*D548,0)</f>
        <v>0</v>
      </c>
      <c r="F548" s="47" t="n">
        <f aca="false">MIN(1,'Model Inputs &amp; Assumptions'!$W$29*EXP('Model Inputs &amp; Assumptions'!$X$29*R548-'Model Inputs &amp; Assumptions'!$X$29^2/2))</f>
        <v>0.00194368465586505</v>
      </c>
      <c r="G548" s="45" t="n">
        <f aca="false">ROUND(C548*F548,0)</f>
        <v>285</v>
      </c>
      <c r="H548" s="48" t="n">
        <f aca="false">MAX(0,(C548*'Model Inputs &amp; Assumptions'!$N$29+E548*'Model Inputs &amp; Assumptions'!$O$29+G548*'Model Inputs &amp; Assumptions'!$P$29)*EXP('Model Inputs &amp; Assumptions'!$Q$29*S548-'Model Inputs &amp; Assumptions'!$Q$29^2/2))</f>
        <v>10.7752259619295</v>
      </c>
      <c r="I548" s="49" t="n">
        <f aca="false">IF('Model Inputs &amp; Assumptions'!$H$29="Fixed",'Model Inputs &amp; Assumptions'!$I$29*'Model Inputs &amp; Assumptions'!$K$29,IF('Model Inputs &amp; Assumptions'!$H$29="CPM",'Model Inputs &amp; Assumptions'!$I$29*'Model Inputs &amp; Assumptions'!$K$29*C548/1000,IF('Model Inputs &amp; Assumptions'!$H$29="CPC",'Model Inputs &amp; Assumptions'!$I$29*'Model Inputs &amp; Assumptions'!$K$29*G548,0)))</f>
        <v>6500</v>
      </c>
      <c r="J548" s="50" t="n">
        <f aca="false">H548*INDEX('Model Inputs &amp; Assumptions'!$D$40:$D$42,MATCH('Model Inputs &amp; Assumptions'!$L$29,'Model Inputs &amp; Assumptions'!$A$40:$A$42,0))*INDEX('Model Inputs &amp; Assumptions'!$H$40:$H$42,MATCH('Model Inputs &amp; Assumptions'!$L$29,'Model Inputs &amp; Assumptions'!$A$40:$A$42,0))</f>
        <v>91589.4206764009</v>
      </c>
      <c r="K548" s="49" t="n">
        <f aca="false">H548*INDEX('Model Inputs &amp; Assumptions'!$G$40:$G$42,MATCH('Model Inputs &amp; Assumptions'!$L$29,'Model Inputs &amp; Assumptions'!$A$40:$A$42,0))*INDEX('Model Inputs &amp; Assumptions'!$H$40:$H$42,MATCH('Model Inputs &amp; Assumptions'!$L$29,'Model Inputs &amp; Assumptions'!$A$40:$A$42,0))</f>
        <v>2060.76196521902</v>
      </c>
      <c r="L548" s="51" t="n">
        <f aca="false">IFERROR(K548/I548,0)</f>
        <v>0.317040302341388</v>
      </c>
      <c r="M548" s="49" t="n">
        <f aca="false">IFERROR(I548/H548,0)</f>
        <v>603.235609440161</v>
      </c>
      <c r="N548" s="52" t="str">
        <f aca="false">'Model Inputs &amp; Assumptions'!$L$29</f>
        <v>PRD-EUAI</v>
      </c>
      <c r="P548" s="53" t="n">
        <v>-1.253151</v>
      </c>
      <c r="Q548" s="53" t="n">
        <v>0.5649</v>
      </c>
      <c r="R548" s="53" t="n">
        <v>-1.508764</v>
      </c>
      <c r="S548" s="53" t="n">
        <v>-0.781691</v>
      </c>
    </row>
    <row r="549" customFormat="false" ht="15" hidden="false" customHeight="false" outlineLevel="0" collapsed="false">
      <c r="A549" s="43" t="n">
        <v>46</v>
      </c>
      <c r="B549" s="44" t="str">
        <f aca="false">'Model Inputs &amp; Assumptions'!$B$29</f>
        <v>Handelsblatt — Native Explainer</v>
      </c>
      <c r="C549" s="45" t="n">
        <f aca="false">ROUND(MAX(0,'Model Inputs &amp; Assumptions'!$S$29*EXP('Model Inputs &amp; Assumptions'!$T$29*P549-'Model Inputs &amp; Assumptions'!$T$29^2/2)),0)</f>
        <v>132763</v>
      </c>
      <c r="D549" s="46" t="n">
        <f aca="false">MIN(1,'Model Inputs &amp; Assumptions'!$U$29*EXP('Model Inputs &amp; Assumptions'!$V$29*Q549-'Model Inputs &amp; Assumptions'!$V$29^2/2))</f>
        <v>0</v>
      </c>
      <c r="E549" s="45" t="n">
        <f aca="false">ROUND(C549*D549,0)</f>
        <v>0</v>
      </c>
      <c r="F549" s="47" t="n">
        <f aca="false">MIN(1,'Model Inputs &amp; Assumptions'!$W$29*EXP('Model Inputs &amp; Assumptions'!$X$29*R549-'Model Inputs &amp; Assumptions'!$X$29^2/2))</f>
        <v>0.00417984121435586</v>
      </c>
      <c r="G549" s="45" t="n">
        <f aca="false">ROUND(C549*F549,0)</f>
        <v>555</v>
      </c>
      <c r="H549" s="48" t="n">
        <f aca="false">MAX(0,(C549*'Model Inputs &amp; Assumptions'!$N$29+E549*'Model Inputs &amp; Assumptions'!$O$29+G549*'Model Inputs &amp; Assumptions'!$P$29)*EXP('Model Inputs &amp; Assumptions'!$Q$29*S549-'Model Inputs &amp; Assumptions'!$Q$29^2/2))</f>
        <v>24.2898153281644</v>
      </c>
      <c r="I549" s="49" t="n">
        <f aca="false">IF('Model Inputs &amp; Assumptions'!$H$29="Fixed",'Model Inputs &amp; Assumptions'!$I$29*'Model Inputs &amp; Assumptions'!$K$29,IF('Model Inputs &amp; Assumptions'!$H$29="CPM",'Model Inputs &amp; Assumptions'!$I$29*'Model Inputs &amp; Assumptions'!$K$29*C549/1000,IF('Model Inputs &amp; Assumptions'!$H$29="CPC",'Model Inputs &amp; Assumptions'!$I$29*'Model Inputs &amp; Assumptions'!$K$29*G549,0)))</f>
        <v>6500</v>
      </c>
      <c r="J549" s="50" t="n">
        <f aca="false">H549*INDEX('Model Inputs &amp; Assumptions'!$D$40:$D$42,MATCH('Model Inputs &amp; Assumptions'!$L$29,'Model Inputs &amp; Assumptions'!$A$40:$A$42,0))*INDEX('Model Inputs &amp; Assumptions'!$H$40:$H$42,MATCH('Model Inputs &amp; Assumptions'!$L$29,'Model Inputs &amp; Assumptions'!$A$40:$A$42,0))</f>
        <v>206463.430289398</v>
      </c>
      <c r="K549" s="49" t="n">
        <f aca="false">H549*INDEX('Model Inputs &amp; Assumptions'!$G$40:$G$42,MATCH('Model Inputs &amp; Assumptions'!$L$29,'Model Inputs &amp; Assumptions'!$A$40:$A$42,0))*INDEX('Model Inputs &amp; Assumptions'!$H$40:$H$42,MATCH('Model Inputs &amp; Assumptions'!$L$29,'Model Inputs &amp; Assumptions'!$A$40:$A$42,0))</f>
        <v>4645.42718151145</v>
      </c>
      <c r="L549" s="51" t="n">
        <f aca="false">IFERROR(K549/I549,0)</f>
        <v>0.714681104847915</v>
      </c>
      <c r="M549" s="49" t="n">
        <f aca="false">IFERROR(I549/H549,0)</f>
        <v>267.601869844731</v>
      </c>
      <c r="N549" s="52" t="str">
        <f aca="false">'Model Inputs &amp; Assumptions'!$L$29</f>
        <v>PRD-EUAI</v>
      </c>
      <c r="P549" s="53" t="n">
        <v>-1.70684</v>
      </c>
      <c r="Q549" s="53" t="n">
        <v>-0.423013</v>
      </c>
      <c r="R549" s="53" t="n">
        <v>1.436189</v>
      </c>
      <c r="S549" s="53" t="n">
        <v>-0.293929</v>
      </c>
    </row>
    <row r="550" customFormat="false" ht="15" hidden="false" customHeight="false" outlineLevel="0" collapsed="false">
      <c r="A550" s="43" t="n">
        <v>47</v>
      </c>
      <c r="B550" s="44" t="str">
        <f aca="false">'Model Inputs &amp; Assumptions'!$B$29</f>
        <v>Handelsblatt — Native Explainer</v>
      </c>
      <c r="C550" s="45" t="n">
        <f aca="false">ROUND(MAX(0,'Model Inputs &amp; Assumptions'!$S$29*EXP('Model Inputs &amp; Assumptions'!$T$29*P550-'Model Inputs &amp; Assumptions'!$T$29^2/2)),0)</f>
        <v>191340</v>
      </c>
      <c r="D550" s="46" t="n">
        <f aca="false">MIN(1,'Model Inputs &amp; Assumptions'!$U$29*EXP('Model Inputs &amp; Assumptions'!$V$29*Q550-'Model Inputs &amp; Assumptions'!$V$29^2/2))</f>
        <v>0</v>
      </c>
      <c r="E550" s="45" t="n">
        <f aca="false">ROUND(C550*D550,0)</f>
        <v>0</v>
      </c>
      <c r="F550" s="47" t="n">
        <f aca="false">MIN(1,'Model Inputs &amp; Assumptions'!$W$29*EXP('Model Inputs &amp; Assumptions'!$X$29*R550-'Model Inputs &amp; Assumptions'!$X$29^2/2))</f>
        <v>0.00257979417551482</v>
      </c>
      <c r="G550" s="45" t="n">
        <f aca="false">ROUND(C550*F550,0)</f>
        <v>494</v>
      </c>
      <c r="H550" s="48" t="n">
        <f aca="false">MAX(0,(C550*'Model Inputs &amp; Assumptions'!$N$29+E550*'Model Inputs &amp; Assumptions'!$O$29+G550*'Model Inputs &amp; Assumptions'!$P$29)*EXP('Model Inputs &amp; Assumptions'!$Q$29*S550-'Model Inputs &amp; Assumptions'!$Q$29^2/2))</f>
        <v>20.8663881860812</v>
      </c>
      <c r="I550" s="49" t="n">
        <f aca="false">IF('Model Inputs &amp; Assumptions'!$H$29="Fixed",'Model Inputs &amp; Assumptions'!$I$29*'Model Inputs &amp; Assumptions'!$K$29,IF('Model Inputs &amp; Assumptions'!$H$29="CPM",'Model Inputs &amp; Assumptions'!$I$29*'Model Inputs &amp; Assumptions'!$K$29*C550/1000,IF('Model Inputs &amp; Assumptions'!$H$29="CPC",'Model Inputs &amp; Assumptions'!$I$29*'Model Inputs &amp; Assumptions'!$K$29*G550,0)))</f>
        <v>6500</v>
      </c>
      <c r="J550" s="50" t="n">
        <f aca="false">H550*INDEX('Model Inputs &amp; Assumptions'!$D$40:$D$42,MATCH('Model Inputs &amp; Assumptions'!$L$29,'Model Inputs &amp; Assumptions'!$A$40:$A$42,0))*INDEX('Model Inputs &amp; Assumptions'!$H$40:$H$42,MATCH('Model Inputs &amp; Assumptions'!$L$29,'Model Inputs &amp; Assumptions'!$A$40:$A$42,0))</f>
        <v>177364.299581691</v>
      </c>
      <c r="K550" s="49" t="n">
        <f aca="false">H550*INDEX('Model Inputs &amp; Assumptions'!$G$40:$G$42,MATCH('Model Inputs &amp; Assumptions'!$L$29,'Model Inputs &amp; Assumptions'!$A$40:$A$42,0))*INDEX('Model Inputs &amp; Assumptions'!$H$40:$H$42,MATCH('Model Inputs &amp; Assumptions'!$L$29,'Model Inputs &amp; Assumptions'!$A$40:$A$42,0))</f>
        <v>3990.69674058804</v>
      </c>
      <c r="L550" s="51" t="n">
        <f aca="false">IFERROR(K550/I550,0)</f>
        <v>0.613953344705852</v>
      </c>
      <c r="M550" s="49" t="n">
        <f aca="false">IFERROR(I550/H550,0)</f>
        <v>311.505754711099</v>
      </c>
      <c r="N550" s="52" t="str">
        <f aca="false">'Model Inputs &amp; Assumptions'!$L$29</f>
        <v>PRD-EUAI</v>
      </c>
      <c r="P550" s="53" t="n">
        <v>-0.045523</v>
      </c>
      <c r="Q550" s="53" t="n">
        <v>-1.416098</v>
      </c>
      <c r="R550" s="53" t="n">
        <v>-0.419825</v>
      </c>
      <c r="S550" s="53" t="n">
        <v>-0.412212</v>
      </c>
    </row>
    <row r="551" customFormat="false" ht="15" hidden="false" customHeight="false" outlineLevel="0" collapsed="false">
      <c r="A551" s="43" t="n">
        <v>48</v>
      </c>
      <c r="B551" s="44" t="str">
        <f aca="false">'Model Inputs &amp; Assumptions'!$B$29</f>
        <v>Handelsblatt — Native Explainer</v>
      </c>
      <c r="C551" s="45" t="n">
        <f aca="false">ROUND(MAX(0,'Model Inputs &amp; Assumptions'!$S$29*EXP('Model Inputs &amp; Assumptions'!$T$29*P551-'Model Inputs &amp; Assumptions'!$T$29^2/2)),0)</f>
        <v>163884</v>
      </c>
      <c r="D551" s="46" t="n">
        <f aca="false">MIN(1,'Model Inputs &amp; Assumptions'!$U$29*EXP('Model Inputs &amp; Assumptions'!$V$29*Q551-'Model Inputs &amp; Assumptions'!$V$29^2/2))</f>
        <v>0</v>
      </c>
      <c r="E551" s="45" t="n">
        <f aca="false">ROUND(C551*D551,0)</f>
        <v>0</v>
      </c>
      <c r="F551" s="47" t="n">
        <f aca="false">MIN(1,'Model Inputs &amp; Assumptions'!$W$29*EXP('Model Inputs &amp; Assumptions'!$X$29*R551-'Model Inputs &amp; Assumptions'!$X$29^2/2))</f>
        <v>0.00379051373037089</v>
      </c>
      <c r="G551" s="45" t="n">
        <f aca="false">ROUND(C551*F551,0)</f>
        <v>621</v>
      </c>
      <c r="H551" s="48" t="n">
        <f aca="false">MAX(0,(C551*'Model Inputs &amp; Assumptions'!$N$29+E551*'Model Inputs &amp; Assumptions'!$O$29+G551*'Model Inputs &amp; Assumptions'!$P$29)*EXP('Model Inputs &amp; Assumptions'!$Q$29*S551-'Model Inputs &amp; Assumptions'!$Q$29^2/2))</f>
        <v>28.6004344531351</v>
      </c>
      <c r="I551" s="49" t="n">
        <f aca="false">IF('Model Inputs &amp; Assumptions'!$H$29="Fixed",'Model Inputs &amp; Assumptions'!$I$29*'Model Inputs &amp; Assumptions'!$K$29,IF('Model Inputs &amp; Assumptions'!$H$29="CPM",'Model Inputs &amp; Assumptions'!$I$29*'Model Inputs &amp; Assumptions'!$K$29*C551/1000,IF('Model Inputs &amp; Assumptions'!$H$29="CPC",'Model Inputs &amp; Assumptions'!$I$29*'Model Inputs &amp; Assumptions'!$K$29*G551,0)))</f>
        <v>6500</v>
      </c>
      <c r="J551" s="50" t="n">
        <f aca="false">H551*INDEX('Model Inputs &amp; Assumptions'!$D$40:$D$42,MATCH('Model Inputs &amp; Assumptions'!$L$29,'Model Inputs &amp; Assumptions'!$A$40:$A$42,0))*INDEX('Model Inputs &amp; Assumptions'!$H$40:$H$42,MATCH('Model Inputs &amp; Assumptions'!$L$29,'Model Inputs &amp; Assumptions'!$A$40:$A$42,0))</f>
        <v>243103.692851648</v>
      </c>
      <c r="K551" s="49" t="n">
        <f aca="false">H551*INDEX('Model Inputs &amp; Assumptions'!$G$40:$G$42,MATCH('Model Inputs &amp; Assumptions'!$L$29,'Model Inputs &amp; Assumptions'!$A$40:$A$42,0))*INDEX('Model Inputs &amp; Assumptions'!$H$40:$H$42,MATCH('Model Inputs &amp; Assumptions'!$L$29,'Model Inputs &amp; Assumptions'!$A$40:$A$42,0))</f>
        <v>5469.83308916208</v>
      </c>
      <c r="L551" s="51" t="n">
        <f aca="false">IFERROR(K551/I551,0)</f>
        <v>0.841512782948012</v>
      </c>
      <c r="M551" s="49" t="n">
        <f aca="false">IFERROR(I551/H551,0)</f>
        <v>227.269274900385</v>
      </c>
      <c r="N551" s="52" t="str">
        <f aca="false">'Model Inputs &amp; Assumptions'!$L$29</f>
        <v>PRD-EUAI</v>
      </c>
      <c r="P551" s="53" t="n">
        <v>-0.749588</v>
      </c>
      <c r="Q551" s="53" t="n">
        <v>-1.007844</v>
      </c>
      <c r="R551" s="53" t="n">
        <v>1.060144</v>
      </c>
      <c r="S551" s="53" t="n">
        <v>-0.123923</v>
      </c>
    </row>
    <row r="552" customFormat="false" ht="15" hidden="false" customHeight="false" outlineLevel="0" collapsed="false">
      <c r="A552" s="43" t="n">
        <v>49</v>
      </c>
      <c r="B552" s="44" t="str">
        <f aca="false">'Model Inputs &amp; Assumptions'!$B$29</f>
        <v>Handelsblatt — Native Explainer</v>
      </c>
      <c r="C552" s="45" t="n">
        <f aca="false">ROUND(MAX(0,'Model Inputs &amp; Assumptions'!$S$29*EXP('Model Inputs &amp; Assumptions'!$T$29*P552-'Model Inputs &amp; Assumptions'!$T$29^2/2)),0)</f>
        <v>150865</v>
      </c>
      <c r="D552" s="46" t="n">
        <f aca="false">MIN(1,'Model Inputs &amp; Assumptions'!$U$29*EXP('Model Inputs &amp; Assumptions'!$V$29*Q552-'Model Inputs &amp; Assumptions'!$V$29^2/2))</f>
        <v>0</v>
      </c>
      <c r="E552" s="45" t="n">
        <f aca="false">ROUND(C552*D552,0)</f>
        <v>0</v>
      </c>
      <c r="F552" s="47" t="n">
        <f aca="false">MIN(1,'Model Inputs &amp; Assumptions'!$W$29*EXP('Model Inputs &amp; Assumptions'!$X$29*R552-'Model Inputs &amp; Assumptions'!$X$29^2/2))</f>
        <v>0.00439345546272389</v>
      </c>
      <c r="G552" s="45" t="n">
        <f aca="false">ROUND(C552*F552,0)</f>
        <v>663</v>
      </c>
      <c r="H552" s="48" t="n">
        <f aca="false">MAX(0,(C552*'Model Inputs &amp; Assumptions'!$N$29+E552*'Model Inputs &amp; Assumptions'!$O$29+G552*'Model Inputs &amp; Assumptions'!$P$29)*EXP('Model Inputs &amp; Assumptions'!$Q$29*S552-'Model Inputs &amp; Assumptions'!$Q$29^2/2))</f>
        <v>27.7154610084954</v>
      </c>
      <c r="I552" s="49" t="n">
        <f aca="false">IF('Model Inputs &amp; Assumptions'!$H$29="Fixed",'Model Inputs &amp; Assumptions'!$I$29*'Model Inputs &amp; Assumptions'!$K$29,IF('Model Inputs &amp; Assumptions'!$H$29="CPM",'Model Inputs &amp; Assumptions'!$I$29*'Model Inputs &amp; Assumptions'!$K$29*C552/1000,IF('Model Inputs &amp; Assumptions'!$H$29="CPC",'Model Inputs &amp; Assumptions'!$I$29*'Model Inputs &amp; Assumptions'!$K$29*G552,0)))</f>
        <v>6500</v>
      </c>
      <c r="J552" s="50" t="n">
        <f aca="false">H552*INDEX('Model Inputs &amp; Assumptions'!$D$40:$D$42,MATCH('Model Inputs &amp; Assumptions'!$L$29,'Model Inputs &amp; Assumptions'!$A$40:$A$42,0))*INDEX('Model Inputs &amp; Assumptions'!$H$40:$H$42,MATCH('Model Inputs &amp; Assumptions'!$L$29,'Model Inputs &amp; Assumptions'!$A$40:$A$42,0))</f>
        <v>235581.418572211</v>
      </c>
      <c r="K552" s="49" t="n">
        <f aca="false">H552*INDEX('Model Inputs &amp; Assumptions'!$G$40:$G$42,MATCH('Model Inputs &amp; Assumptions'!$L$29,'Model Inputs &amp; Assumptions'!$A$40:$A$42,0))*INDEX('Model Inputs &amp; Assumptions'!$H$40:$H$42,MATCH('Model Inputs &amp; Assumptions'!$L$29,'Model Inputs &amp; Assumptions'!$A$40:$A$42,0))</f>
        <v>5300.58191787475</v>
      </c>
      <c r="L552" s="51" t="n">
        <f aca="false">IFERROR(K552/I552,0)</f>
        <v>0.8154741412115</v>
      </c>
      <c r="M552" s="49" t="n">
        <f aca="false">IFERROR(I552/H552,0)</f>
        <v>234.526136801679</v>
      </c>
      <c r="N552" s="52" t="str">
        <f aca="false">'Model Inputs &amp; Assumptions'!$L$29</f>
        <v>PRD-EUAI</v>
      </c>
      <c r="P552" s="53" t="n">
        <v>-1.125836</v>
      </c>
      <c r="Q552" s="53" t="n">
        <v>-0.08816</v>
      </c>
      <c r="R552" s="53" t="n">
        <v>1.627892</v>
      </c>
      <c r="S552" s="53" t="n">
        <v>-0.446841</v>
      </c>
    </row>
    <row r="553" customFormat="false" ht="15" hidden="false" customHeight="false" outlineLevel="0" collapsed="false">
      <c r="A553" s="43" t="n">
        <v>50</v>
      </c>
      <c r="B553" s="44" t="str">
        <f aca="false">'Model Inputs &amp; Assumptions'!$B$29</f>
        <v>Handelsblatt — Native Explainer</v>
      </c>
      <c r="C553" s="45" t="n">
        <f aca="false">ROUND(MAX(0,'Model Inputs &amp; Assumptions'!$S$29*EXP('Model Inputs &amp; Assumptions'!$T$29*P553-'Model Inputs &amp; Assumptions'!$T$29^2/2)),0)</f>
        <v>146637</v>
      </c>
      <c r="D553" s="46" t="n">
        <f aca="false">MIN(1,'Model Inputs &amp; Assumptions'!$U$29*EXP('Model Inputs &amp; Assumptions'!$V$29*Q553-'Model Inputs &amp; Assumptions'!$V$29^2/2))</f>
        <v>0</v>
      </c>
      <c r="E553" s="45" t="n">
        <f aca="false">ROUND(C553*D553,0)</f>
        <v>0</v>
      </c>
      <c r="F553" s="47" t="n">
        <f aca="false">MIN(1,'Model Inputs &amp; Assumptions'!$W$29*EXP('Model Inputs &amp; Assumptions'!$X$29*R553-'Model Inputs &amp; Assumptions'!$X$29^2/2))</f>
        <v>0.00293121021032906</v>
      </c>
      <c r="G553" s="45" t="n">
        <f aca="false">ROUND(C553*F553,0)</f>
        <v>430</v>
      </c>
      <c r="H553" s="48" t="n">
        <f aca="false">MAX(0,(C553*'Model Inputs &amp; Assumptions'!$N$29+E553*'Model Inputs &amp; Assumptions'!$O$29+G553*'Model Inputs &amp; Assumptions'!$P$29)*EXP('Model Inputs &amp; Assumptions'!$Q$29*S553-'Model Inputs &amp; Assumptions'!$Q$29^2/2))</f>
        <v>18.2032916047455</v>
      </c>
      <c r="I553" s="49" t="n">
        <f aca="false">IF('Model Inputs &amp; Assumptions'!$H$29="Fixed",'Model Inputs &amp; Assumptions'!$I$29*'Model Inputs &amp; Assumptions'!$K$29,IF('Model Inputs &amp; Assumptions'!$H$29="CPM",'Model Inputs &amp; Assumptions'!$I$29*'Model Inputs &amp; Assumptions'!$K$29*C553/1000,IF('Model Inputs &amp; Assumptions'!$H$29="CPC",'Model Inputs &amp; Assumptions'!$I$29*'Model Inputs &amp; Assumptions'!$K$29*G553,0)))</f>
        <v>6500</v>
      </c>
      <c r="J553" s="50" t="n">
        <f aca="false">H553*INDEX('Model Inputs &amp; Assumptions'!$D$40:$D$42,MATCH('Model Inputs &amp; Assumptions'!$L$29,'Model Inputs &amp; Assumptions'!$A$40:$A$42,0))*INDEX('Model Inputs &amp; Assumptions'!$H$40:$H$42,MATCH('Model Inputs &amp; Assumptions'!$L$29,'Model Inputs &amp; Assumptions'!$A$40:$A$42,0))</f>
        <v>154727.978640336</v>
      </c>
      <c r="K553" s="49" t="n">
        <f aca="false">H553*INDEX('Model Inputs &amp; Assumptions'!$G$40:$G$42,MATCH('Model Inputs &amp; Assumptions'!$L$29,'Model Inputs &amp; Assumptions'!$A$40:$A$42,0))*INDEX('Model Inputs &amp; Assumptions'!$H$40:$H$42,MATCH('Model Inputs &amp; Assumptions'!$L$29,'Model Inputs &amp; Assumptions'!$A$40:$A$42,0))</f>
        <v>3481.37951940757</v>
      </c>
      <c r="L553" s="51" t="n">
        <f aca="false">IFERROR(K553/I553,0)</f>
        <v>0.535596849139626</v>
      </c>
      <c r="M553" s="49" t="n">
        <f aca="false">IFERROR(I553/H553,0)</f>
        <v>357.078276892818</v>
      </c>
      <c r="N553" s="52" t="str">
        <f aca="false">'Model Inputs &amp; Assumptions'!$L$29</f>
        <v>PRD-EUAI</v>
      </c>
      <c r="P553" s="53" t="n">
        <v>-1.255045</v>
      </c>
      <c r="Q553" s="53" t="n">
        <v>0.333772</v>
      </c>
      <c r="R553" s="53" t="n">
        <v>0.071351</v>
      </c>
      <c r="S553" s="53" t="n">
        <v>-0.404835</v>
      </c>
    </row>
    <row r="554" customFormat="false" ht="15" hidden="false" customHeight="false" outlineLevel="0" collapsed="false">
      <c r="A554" s="43" t="n">
        <v>51</v>
      </c>
      <c r="B554" s="44" t="str">
        <f aca="false">'Model Inputs &amp; Assumptions'!$B$29</f>
        <v>Handelsblatt — Native Explainer</v>
      </c>
      <c r="C554" s="45" t="n">
        <f aca="false">ROUND(MAX(0,'Model Inputs &amp; Assumptions'!$S$29*EXP('Model Inputs &amp; Assumptions'!$T$29*P554-'Model Inputs &amp; Assumptions'!$T$29^2/2)),0)</f>
        <v>183395</v>
      </c>
      <c r="D554" s="46" t="n">
        <f aca="false">MIN(1,'Model Inputs &amp; Assumptions'!$U$29*EXP('Model Inputs &amp; Assumptions'!$V$29*Q554-'Model Inputs &amp; Assumptions'!$V$29^2/2))</f>
        <v>0</v>
      </c>
      <c r="E554" s="45" t="n">
        <f aca="false">ROUND(C554*D554,0)</f>
        <v>0</v>
      </c>
      <c r="F554" s="47" t="n">
        <f aca="false">MIN(1,'Model Inputs &amp; Assumptions'!$W$29*EXP('Model Inputs &amp; Assumptions'!$X$29*R554-'Model Inputs &amp; Assumptions'!$X$29^2/2))</f>
        <v>0.00394314717097663</v>
      </c>
      <c r="G554" s="45" t="n">
        <f aca="false">ROUND(C554*F554,0)</f>
        <v>723</v>
      </c>
      <c r="H554" s="48" t="n">
        <f aca="false">MAX(0,(C554*'Model Inputs &amp; Assumptions'!$N$29+E554*'Model Inputs &amp; Assumptions'!$O$29+G554*'Model Inputs &amp; Assumptions'!$P$29)*EXP('Model Inputs &amp; Assumptions'!$Q$29*S554-'Model Inputs &amp; Assumptions'!$Q$29^2/2))</f>
        <v>41.5207975963621</v>
      </c>
      <c r="I554" s="49" t="n">
        <f aca="false">IF('Model Inputs &amp; Assumptions'!$H$29="Fixed",'Model Inputs &amp; Assumptions'!$I$29*'Model Inputs &amp; Assumptions'!$K$29,IF('Model Inputs &amp; Assumptions'!$H$29="CPM",'Model Inputs &amp; Assumptions'!$I$29*'Model Inputs &amp; Assumptions'!$K$29*C554/1000,IF('Model Inputs &amp; Assumptions'!$H$29="CPC",'Model Inputs &amp; Assumptions'!$I$29*'Model Inputs &amp; Assumptions'!$K$29*G554,0)))</f>
        <v>6500</v>
      </c>
      <c r="J554" s="50" t="n">
        <f aca="false">H554*INDEX('Model Inputs &amp; Assumptions'!$D$40:$D$42,MATCH('Model Inputs &amp; Assumptions'!$L$29,'Model Inputs &amp; Assumptions'!$A$40:$A$42,0))*INDEX('Model Inputs &amp; Assumptions'!$H$40:$H$42,MATCH('Model Inputs &amp; Assumptions'!$L$29,'Model Inputs &amp; Assumptions'!$A$40:$A$42,0))</f>
        <v>352926.779569077</v>
      </c>
      <c r="K554" s="49" t="n">
        <f aca="false">H554*INDEX('Model Inputs &amp; Assumptions'!$G$40:$G$42,MATCH('Model Inputs &amp; Assumptions'!$L$29,'Model Inputs &amp; Assumptions'!$A$40:$A$42,0))*INDEX('Model Inputs &amp; Assumptions'!$H$40:$H$42,MATCH('Model Inputs &amp; Assumptions'!$L$29,'Model Inputs &amp; Assumptions'!$A$40:$A$42,0))</f>
        <v>7940.85254030424</v>
      </c>
      <c r="L554" s="51" t="n">
        <f aca="false">IFERROR(K554/I554,0)</f>
        <v>1.22166962158527</v>
      </c>
      <c r="M554" s="49" t="n">
        <f aca="false">IFERROR(I554/H554,0)</f>
        <v>156.548052452863</v>
      </c>
      <c r="N554" s="52" t="str">
        <f aca="false">'Model Inputs &amp; Assumptions'!$L$29</f>
        <v>PRD-EUAI</v>
      </c>
      <c r="P554" s="53" t="n">
        <v>-0.238305</v>
      </c>
      <c r="Q554" s="53" t="n">
        <v>-0.836849</v>
      </c>
      <c r="R554" s="53" t="n">
        <v>1.211981</v>
      </c>
      <c r="S554" s="53" t="n">
        <v>0.611725</v>
      </c>
    </row>
    <row r="555" customFormat="false" ht="15" hidden="false" customHeight="false" outlineLevel="0" collapsed="false">
      <c r="A555" s="43" t="n">
        <v>52</v>
      </c>
      <c r="B555" s="44" t="str">
        <f aca="false">'Model Inputs &amp; Assumptions'!$B$29</f>
        <v>Handelsblatt — Native Explainer</v>
      </c>
      <c r="C555" s="45" t="n">
        <f aca="false">ROUND(MAX(0,'Model Inputs &amp; Assumptions'!$S$29*EXP('Model Inputs &amp; Assumptions'!$T$29*P555-'Model Inputs &amp; Assumptions'!$T$29^2/2)),0)</f>
        <v>190928</v>
      </c>
      <c r="D555" s="46" t="n">
        <f aca="false">MIN(1,'Model Inputs &amp; Assumptions'!$U$29*EXP('Model Inputs &amp; Assumptions'!$V$29*Q555-'Model Inputs &amp; Assumptions'!$V$29^2/2))</f>
        <v>0</v>
      </c>
      <c r="E555" s="45" t="n">
        <f aca="false">ROUND(C555*D555,0)</f>
        <v>0</v>
      </c>
      <c r="F555" s="47" t="n">
        <f aca="false">MIN(1,'Model Inputs &amp; Assumptions'!$W$29*EXP('Model Inputs &amp; Assumptions'!$X$29*R555-'Model Inputs &amp; Assumptions'!$X$29^2/2))</f>
        <v>0.00355602638976876</v>
      </c>
      <c r="G555" s="45" t="n">
        <f aca="false">ROUND(C555*F555,0)</f>
        <v>679</v>
      </c>
      <c r="H555" s="48" t="n">
        <f aca="false">MAX(0,(C555*'Model Inputs &amp; Assumptions'!$N$29+E555*'Model Inputs &amp; Assumptions'!$O$29+G555*'Model Inputs &amp; Assumptions'!$P$29)*EXP('Model Inputs &amp; Assumptions'!$Q$29*S555-'Model Inputs &amp; Assumptions'!$Q$29^2/2))</f>
        <v>31.2808833073587</v>
      </c>
      <c r="I555" s="49" t="n">
        <f aca="false">IF('Model Inputs &amp; Assumptions'!$H$29="Fixed",'Model Inputs &amp; Assumptions'!$I$29*'Model Inputs &amp; Assumptions'!$K$29,IF('Model Inputs &amp; Assumptions'!$H$29="CPM",'Model Inputs &amp; Assumptions'!$I$29*'Model Inputs &amp; Assumptions'!$K$29*C555/1000,IF('Model Inputs &amp; Assumptions'!$H$29="CPC",'Model Inputs &amp; Assumptions'!$I$29*'Model Inputs &amp; Assumptions'!$K$29*G555,0)))</f>
        <v>6500</v>
      </c>
      <c r="J555" s="50" t="n">
        <f aca="false">H555*INDEX('Model Inputs &amp; Assumptions'!$D$40:$D$42,MATCH('Model Inputs &amp; Assumptions'!$L$29,'Model Inputs &amp; Assumptions'!$A$40:$A$42,0))*INDEX('Model Inputs &amp; Assumptions'!$H$40:$H$42,MATCH('Model Inputs &amp; Assumptions'!$L$29,'Model Inputs &amp; Assumptions'!$A$40:$A$42,0))</f>
        <v>265887.508112549</v>
      </c>
      <c r="K555" s="49" t="n">
        <f aca="false">H555*INDEX('Model Inputs &amp; Assumptions'!$G$40:$G$42,MATCH('Model Inputs &amp; Assumptions'!$L$29,'Model Inputs &amp; Assumptions'!$A$40:$A$42,0))*INDEX('Model Inputs &amp; Assumptions'!$H$40:$H$42,MATCH('Model Inputs &amp; Assumptions'!$L$29,'Model Inputs &amp; Assumptions'!$A$40:$A$42,0))</f>
        <v>5982.46893253235</v>
      </c>
      <c r="L555" s="51" t="n">
        <f aca="false">IFERROR(K555/I555,0)</f>
        <v>0.920379835774207</v>
      </c>
      <c r="M555" s="49" t="n">
        <f aca="false">IFERROR(I555/H555,0)</f>
        <v>207.794643652883</v>
      </c>
      <c r="N555" s="52" t="str">
        <f aca="false">'Model Inputs &amp; Assumptions'!$L$29</f>
        <v>PRD-EUAI</v>
      </c>
      <c r="P555" s="53" t="n">
        <v>-0.055323</v>
      </c>
      <c r="Q555" s="53" t="n">
        <v>-2.295061</v>
      </c>
      <c r="R555" s="53" t="n">
        <v>0.814537</v>
      </c>
      <c r="S555" s="53" t="n">
        <v>-0.122939</v>
      </c>
    </row>
    <row r="556" customFormat="false" ht="15" hidden="false" customHeight="false" outlineLevel="0" collapsed="false">
      <c r="A556" s="43" t="n">
        <v>53</v>
      </c>
      <c r="B556" s="44" t="str">
        <f aca="false">'Model Inputs &amp; Assumptions'!$B$29</f>
        <v>Handelsblatt — Native Explainer</v>
      </c>
      <c r="C556" s="45" t="n">
        <f aca="false">ROUND(MAX(0,'Model Inputs &amp; Assumptions'!$S$29*EXP('Model Inputs &amp; Assumptions'!$T$29*P556-'Model Inputs &amp; Assumptions'!$T$29^2/2)),0)</f>
        <v>297767</v>
      </c>
      <c r="D556" s="46" t="n">
        <f aca="false">MIN(1,'Model Inputs &amp; Assumptions'!$U$29*EXP('Model Inputs &amp; Assumptions'!$V$29*Q556-'Model Inputs &amp; Assumptions'!$V$29^2/2))</f>
        <v>0</v>
      </c>
      <c r="E556" s="45" t="n">
        <f aca="false">ROUND(C556*D556,0)</f>
        <v>0</v>
      </c>
      <c r="F556" s="47" t="n">
        <f aca="false">MIN(1,'Model Inputs &amp; Assumptions'!$W$29*EXP('Model Inputs &amp; Assumptions'!$X$29*R556-'Model Inputs &amp; Assumptions'!$X$29^2/2))</f>
        <v>0.00349786932493527</v>
      </c>
      <c r="G556" s="45" t="n">
        <f aca="false">ROUND(C556*F556,0)</f>
        <v>1042</v>
      </c>
      <c r="H556" s="48" t="n">
        <f aca="false">MAX(0,(C556*'Model Inputs &amp; Assumptions'!$N$29+E556*'Model Inputs &amp; Assumptions'!$O$29+G556*'Model Inputs &amp; Assumptions'!$P$29)*EXP('Model Inputs &amp; Assumptions'!$Q$29*S556-'Model Inputs &amp; Assumptions'!$Q$29^2/2))</f>
        <v>34.4602866277397</v>
      </c>
      <c r="I556" s="49" t="n">
        <f aca="false">IF('Model Inputs &amp; Assumptions'!$H$29="Fixed",'Model Inputs &amp; Assumptions'!$I$29*'Model Inputs &amp; Assumptions'!$K$29,IF('Model Inputs &amp; Assumptions'!$H$29="CPM",'Model Inputs &amp; Assumptions'!$I$29*'Model Inputs &amp; Assumptions'!$K$29*C556/1000,IF('Model Inputs &amp; Assumptions'!$H$29="CPC",'Model Inputs &amp; Assumptions'!$I$29*'Model Inputs &amp; Assumptions'!$K$29*G556,0)))</f>
        <v>6500</v>
      </c>
      <c r="J556" s="50" t="n">
        <f aca="false">H556*INDEX('Model Inputs &amp; Assumptions'!$D$40:$D$42,MATCH('Model Inputs &amp; Assumptions'!$L$29,'Model Inputs &amp; Assumptions'!$A$40:$A$42,0))*INDEX('Model Inputs &amp; Assumptions'!$H$40:$H$42,MATCH('Model Inputs &amp; Assumptions'!$L$29,'Model Inputs &amp; Assumptions'!$A$40:$A$42,0))</f>
        <v>292912.436335787</v>
      </c>
      <c r="K556" s="49" t="n">
        <f aca="false">H556*INDEX('Model Inputs &amp; Assumptions'!$G$40:$G$42,MATCH('Model Inputs &amp; Assumptions'!$L$29,'Model Inputs &amp; Assumptions'!$A$40:$A$42,0))*INDEX('Model Inputs &amp; Assumptions'!$H$40:$H$42,MATCH('Model Inputs &amp; Assumptions'!$L$29,'Model Inputs &amp; Assumptions'!$A$40:$A$42,0))</f>
        <v>6590.52981755522</v>
      </c>
      <c r="L556" s="51" t="n">
        <f aca="false">IFERROR(K556/I556,0)</f>
        <v>1.01392766423926</v>
      </c>
      <c r="M556" s="49" t="n">
        <f aca="false">IFERROR(I556/H556,0)</f>
        <v>188.622923257047</v>
      </c>
      <c r="N556" s="52" t="str">
        <f aca="false">'Model Inputs &amp; Assumptions'!$L$29</f>
        <v>PRD-EUAI</v>
      </c>
      <c r="P556" s="53" t="n">
        <v>1.964743</v>
      </c>
      <c r="Q556" s="53" t="n">
        <v>0.32537</v>
      </c>
      <c r="R556" s="53" t="n">
        <v>0.751115</v>
      </c>
      <c r="S556" s="53" t="n">
        <v>-1.227858</v>
      </c>
    </row>
    <row r="557" customFormat="false" ht="15" hidden="false" customHeight="false" outlineLevel="0" collapsed="false">
      <c r="A557" s="43" t="n">
        <v>54</v>
      </c>
      <c r="B557" s="44" t="str">
        <f aca="false">'Model Inputs &amp; Assumptions'!$B$29</f>
        <v>Handelsblatt — Native Explainer</v>
      </c>
      <c r="C557" s="45" t="n">
        <f aca="false">ROUND(MAX(0,'Model Inputs &amp; Assumptions'!$S$29*EXP('Model Inputs &amp; Assumptions'!$T$29*P557-'Model Inputs &amp; Assumptions'!$T$29^2/2)),0)</f>
        <v>187388</v>
      </c>
      <c r="D557" s="46" t="n">
        <f aca="false">MIN(1,'Model Inputs &amp; Assumptions'!$U$29*EXP('Model Inputs &amp; Assumptions'!$V$29*Q557-'Model Inputs &amp; Assumptions'!$V$29^2/2))</f>
        <v>0</v>
      </c>
      <c r="E557" s="45" t="n">
        <f aca="false">ROUND(C557*D557,0)</f>
        <v>0</v>
      </c>
      <c r="F557" s="47" t="n">
        <f aca="false">MIN(1,'Model Inputs &amp; Assumptions'!$W$29*EXP('Model Inputs &amp; Assumptions'!$X$29*R557-'Model Inputs &amp; Assumptions'!$X$29^2/2))</f>
        <v>0.00302173907657935</v>
      </c>
      <c r="G557" s="45" t="n">
        <f aca="false">ROUND(C557*F557,0)</f>
        <v>566</v>
      </c>
      <c r="H557" s="48" t="n">
        <f aca="false">MAX(0,(C557*'Model Inputs &amp; Assumptions'!$N$29+E557*'Model Inputs &amp; Assumptions'!$O$29+G557*'Model Inputs &amp; Assumptions'!$P$29)*EXP('Model Inputs &amp; Assumptions'!$Q$29*S557-'Model Inputs &amp; Assumptions'!$Q$29^2/2))</f>
        <v>37.9777250382233</v>
      </c>
      <c r="I557" s="49" t="n">
        <f aca="false">IF('Model Inputs &amp; Assumptions'!$H$29="Fixed",'Model Inputs &amp; Assumptions'!$I$29*'Model Inputs &amp; Assumptions'!$K$29,IF('Model Inputs &amp; Assumptions'!$H$29="CPM",'Model Inputs &amp; Assumptions'!$I$29*'Model Inputs &amp; Assumptions'!$K$29*C557/1000,IF('Model Inputs &amp; Assumptions'!$H$29="CPC",'Model Inputs &amp; Assumptions'!$I$29*'Model Inputs &amp; Assumptions'!$K$29*G557,0)))</f>
        <v>6500</v>
      </c>
      <c r="J557" s="50" t="n">
        <f aca="false">H557*INDEX('Model Inputs &amp; Assumptions'!$D$40:$D$42,MATCH('Model Inputs &amp; Assumptions'!$L$29,'Model Inputs &amp; Assumptions'!$A$40:$A$42,0))*INDEX('Model Inputs &amp; Assumptions'!$H$40:$H$42,MATCH('Model Inputs &amp; Assumptions'!$L$29,'Model Inputs &amp; Assumptions'!$A$40:$A$42,0))</f>
        <v>322810.662824898</v>
      </c>
      <c r="K557" s="49" t="n">
        <f aca="false">H557*INDEX('Model Inputs &amp; Assumptions'!$G$40:$G$42,MATCH('Model Inputs &amp; Assumptions'!$L$29,'Model Inputs &amp; Assumptions'!$A$40:$A$42,0))*INDEX('Model Inputs &amp; Assumptions'!$H$40:$H$42,MATCH('Model Inputs &amp; Assumptions'!$L$29,'Model Inputs &amp; Assumptions'!$A$40:$A$42,0))</f>
        <v>7263.23991356021</v>
      </c>
      <c r="L557" s="51" t="n">
        <f aca="false">IFERROR(K557/I557,0)</f>
        <v>1.11742152516311</v>
      </c>
      <c r="M557" s="49" t="n">
        <f aca="false">IFERROR(I557/H557,0)</f>
        <v>171.152958568686</v>
      </c>
      <c r="N557" s="52" t="str">
        <f aca="false">'Model Inputs &amp; Assumptions'!$L$29</f>
        <v>PRD-EUAI</v>
      </c>
      <c r="P557" s="53" t="n">
        <v>-0.140399</v>
      </c>
      <c r="Q557" s="53" t="n">
        <v>-0.379236</v>
      </c>
      <c r="R557" s="53" t="n">
        <v>0.18834</v>
      </c>
      <c r="S557" s="53" t="n">
        <v>1.13046</v>
      </c>
    </row>
    <row r="558" customFormat="false" ht="15" hidden="false" customHeight="false" outlineLevel="0" collapsed="false">
      <c r="A558" s="43" t="n">
        <v>55</v>
      </c>
      <c r="B558" s="44" t="str">
        <f aca="false">'Model Inputs &amp; Assumptions'!$B$29</f>
        <v>Handelsblatt — Native Explainer</v>
      </c>
      <c r="C558" s="45" t="n">
        <f aca="false">ROUND(MAX(0,'Model Inputs &amp; Assumptions'!$S$29*EXP('Model Inputs &amp; Assumptions'!$T$29*P558-'Model Inputs &amp; Assumptions'!$T$29^2/2)),0)</f>
        <v>285356</v>
      </c>
      <c r="D558" s="46" t="n">
        <f aca="false">MIN(1,'Model Inputs &amp; Assumptions'!$U$29*EXP('Model Inputs &amp; Assumptions'!$V$29*Q558-'Model Inputs &amp; Assumptions'!$V$29^2/2))</f>
        <v>0</v>
      </c>
      <c r="E558" s="45" t="n">
        <f aca="false">ROUND(C558*D558,0)</f>
        <v>0</v>
      </c>
      <c r="F558" s="47" t="n">
        <f aca="false">MIN(1,'Model Inputs &amp; Assumptions'!$W$29*EXP('Model Inputs &amp; Assumptions'!$X$29*R558-'Model Inputs &amp; Assumptions'!$X$29^2/2))</f>
        <v>0.00206781773900542</v>
      </c>
      <c r="G558" s="45" t="n">
        <f aca="false">ROUND(C558*F558,0)</f>
        <v>590</v>
      </c>
      <c r="H558" s="48" t="n">
        <f aca="false">MAX(0,(C558*'Model Inputs &amp; Assumptions'!$N$29+E558*'Model Inputs &amp; Assumptions'!$O$29+G558*'Model Inputs &amp; Assumptions'!$P$29)*EXP('Model Inputs &amp; Assumptions'!$Q$29*S558-'Model Inputs &amp; Assumptions'!$Q$29^2/2))</f>
        <v>32.3454047630052</v>
      </c>
      <c r="I558" s="49" t="n">
        <f aca="false">IF('Model Inputs &amp; Assumptions'!$H$29="Fixed",'Model Inputs &amp; Assumptions'!$I$29*'Model Inputs &amp; Assumptions'!$K$29,IF('Model Inputs &amp; Assumptions'!$H$29="CPM",'Model Inputs &amp; Assumptions'!$I$29*'Model Inputs &amp; Assumptions'!$K$29*C558/1000,IF('Model Inputs &amp; Assumptions'!$H$29="CPC",'Model Inputs &amp; Assumptions'!$I$29*'Model Inputs &amp; Assumptions'!$K$29*G558,0)))</f>
        <v>6500</v>
      </c>
      <c r="J558" s="50" t="n">
        <f aca="false">H558*INDEX('Model Inputs &amp; Assumptions'!$D$40:$D$42,MATCH('Model Inputs &amp; Assumptions'!$L$29,'Model Inputs &amp; Assumptions'!$A$40:$A$42,0))*INDEX('Model Inputs &amp; Assumptions'!$H$40:$H$42,MATCH('Model Inputs &amp; Assumptions'!$L$29,'Model Inputs &amp; Assumptions'!$A$40:$A$42,0))</f>
        <v>274935.940485544</v>
      </c>
      <c r="K558" s="49" t="n">
        <f aca="false">H558*INDEX('Model Inputs &amp; Assumptions'!$G$40:$G$42,MATCH('Model Inputs &amp; Assumptions'!$L$29,'Model Inputs &amp; Assumptions'!$A$40:$A$42,0))*INDEX('Model Inputs &amp; Assumptions'!$H$40:$H$42,MATCH('Model Inputs &amp; Assumptions'!$L$29,'Model Inputs &amp; Assumptions'!$A$40:$A$42,0))</f>
        <v>6186.05866092474</v>
      </c>
      <c r="L558" s="51" t="n">
        <f aca="false">IFERROR(K558/I558,0)</f>
        <v>0.95170133244996</v>
      </c>
      <c r="M558" s="49" t="n">
        <f aca="false">IFERROR(I558/H558,0)</f>
        <v>200.955902318289</v>
      </c>
      <c r="N558" s="52" t="str">
        <f aca="false">'Model Inputs &amp; Assumptions'!$L$29</f>
        <v>PRD-EUAI</v>
      </c>
      <c r="P558" s="53" t="n">
        <v>1.771222</v>
      </c>
      <c r="Q558" s="53" t="n">
        <v>-0.5309</v>
      </c>
      <c r="R558" s="53" t="n">
        <v>-1.270655</v>
      </c>
      <c r="S558" s="53" t="n">
        <v>0.456939</v>
      </c>
    </row>
    <row r="559" customFormat="false" ht="15" hidden="false" customHeight="false" outlineLevel="0" collapsed="false">
      <c r="A559" s="43" t="n">
        <v>56</v>
      </c>
      <c r="B559" s="44" t="str">
        <f aca="false">'Model Inputs &amp; Assumptions'!$B$29</f>
        <v>Handelsblatt — Native Explainer</v>
      </c>
      <c r="C559" s="45" t="n">
        <f aca="false">ROUND(MAX(0,'Model Inputs &amp; Assumptions'!$S$29*EXP('Model Inputs &amp; Assumptions'!$T$29*P559-'Model Inputs &amp; Assumptions'!$T$29^2/2)),0)</f>
        <v>217572</v>
      </c>
      <c r="D559" s="46" t="n">
        <f aca="false">MIN(1,'Model Inputs &amp; Assumptions'!$U$29*EXP('Model Inputs &amp; Assumptions'!$V$29*Q559-'Model Inputs &amp; Assumptions'!$V$29^2/2))</f>
        <v>0</v>
      </c>
      <c r="E559" s="45" t="n">
        <f aca="false">ROUND(C559*D559,0)</f>
        <v>0</v>
      </c>
      <c r="F559" s="47" t="n">
        <f aca="false">MIN(1,'Model Inputs &amp; Assumptions'!$W$29*EXP('Model Inputs &amp; Assumptions'!$X$29*R559-'Model Inputs &amp; Assumptions'!$X$29^2/2))</f>
        <v>0.0022347260298271</v>
      </c>
      <c r="G559" s="45" t="n">
        <f aca="false">ROUND(C559*F559,0)</f>
        <v>486</v>
      </c>
      <c r="H559" s="48" t="n">
        <f aca="false">MAX(0,(C559*'Model Inputs &amp; Assumptions'!$N$29+E559*'Model Inputs &amp; Assumptions'!$O$29+G559*'Model Inputs &amp; Assumptions'!$P$29)*EXP('Model Inputs &amp; Assumptions'!$Q$29*S559-'Model Inputs &amp; Assumptions'!$Q$29^2/2))</f>
        <v>24.5989424049759</v>
      </c>
      <c r="I559" s="49" t="n">
        <f aca="false">IF('Model Inputs &amp; Assumptions'!$H$29="Fixed",'Model Inputs &amp; Assumptions'!$I$29*'Model Inputs &amp; Assumptions'!$K$29,IF('Model Inputs &amp; Assumptions'!$H$29="CPM",'Model Inputs &amp; Assumptions'!$I$29*'Model Inputs &amp; Assumptions'!$K$29*C559/1000,IF('Model Inputs &amp; Assumptions'!$H$29="CPC",'Model Inputs &amp; Assumptions'!$I$29*'Model Inputs &amp; Assumptions'!$K$29*G559,0)))</f>
        <v>6500</v>
      </c>
      <c r="J559" s="50" t="n">
        <f aca="false">H559*INDEX('Model Inputs &amp; Assumptions'!$D$40:$D$42,MATCH('Model Inputs &amp; Assumptions'!$L$29,'Model Inputs &amp; Assumptions'!$A$40:$A$42,0))*INDEX('Model Inputs &amp; Assumptions'!$H$40:$H$42,MATCH('Model Inputs &amp; Assumptions'!$L$29,'Model Inputs &amp; Assumptions'!$A$40:$A$42,0))</f>
        <v>209091.010442295</v>
      </c>
      <c r="K559" s="49" t="n">
        <f aca="false">H559*INDEX('Model Inputs &amp; Assumptions'!$G$40:$G$42,MATCH('Model Inputs &amp; Assumptions'!$L$29,'Model Inputs &amp; Assumptions'!$A$40:$A$42,0))*INDEX('Model Inputs &amp; Assumptions'!$H$40:$H$42,MATCH('Model Inputs &amp; Assumptions'!$L$29,'Model Inputs &amp; Assumptions'!$A$40:$A$42,0))</f>
        <v>4704.54773495164</v>
      </c>
      <c r="L559" s="51" t="n">
        <f aca="false">IFERROR(K559/I559,0)</f>
        <v>0.723776574607945</v>
      </c>
      <c r="M559" s="49" t="n">
        <f aca="false">IFERROR(I559/H559,0)</f>
        <v>264.239002351791</v>
      </c>
      <c r="N559" s="52" t="str">
        <f aca="false">'Model Inputs &amp; Assumptions'!$L$29</f>
        <v>PRD-EUAI</v>
      </c>
      <c r="P559" s="53" t="n">
        <v>0.538463</v>
      </c>
      <c r="Q559" s="53" t="n">
        <v>0.353629</v>
      </c>
      <c r="R559" s="53" t="n">
        <v>-0.972098</v>
      </c>
      <c r="S559" s="53" t="n">
        <v>0.190757</v>
      </c>
    </row>
    <row r="560" customFormat="false" ht="15" hidden="false" customHeight="false" outlineLevel="0" collapsed="false">
      <c r="A560" s="43" t="n">
        <v>57</v>
      </c>
      <c r="B560" s="44" t="str">
        <f aca="false">'Model Inputs &amp; Assumptions'!$B$29</f>
        <v>Handelsblatt — Native Explainer</v>
      </c>
      <c r="C560" s="45" t="n">
        <f aca="false">ROUND(MAX(0,'Model Inputs &amp; Assumptions'!$S$29*EXP('Model Inputs &amp; Assumptions'!$T$29*P560-'Model Inputs &amp; Assumptions'!$T$29^2/2)),0)</f>
        <v>214727</v>
      </c>
      <c r="D560" s="46" t="n">
        <f aca="false">MIN(1,'Model Inputs &amp; Assumptions'!$U$29*EXP('Model Inputs &amp; Assumptions'!$V$29*Q560-'Model Inputs &amp; Assumptions'!$V$29^2/2))</f>
        <v>0</v>
      </c>
      <c r="E560" s="45" t="n">
        <f aca="false">ROUND(C560*D560,0)</f>
        <v>0</v>
      </c>
      <c r="F560" s="47" t="n">
        <f aca="false">MIN(1,'Model Inputs &amp; Assumptions'!$W$29*EXP('Model Inputs &amp; Assumptions'!$X$29*R560-'Model Inputs &amp; Assumptions'!$X$29^2/2))</f>
        <v>0.00250885817383819</v>
      </c>
      <c r="G560" s="45" t="n">
        <f aca="false">ROUND(C560*F560,0)</f>
        <v>539</v>
      </c>
      <c r="H560" s="48" t="n">
        <f aca="false">MAX(0,(C560*'Model Inputs &amp; Assumptions'!$N$29+E560*'Model Inputs &amp; Assumptions'!$O$29+G560*'Model Inputs &amp; Assumptions'!$P$29)*EXP('Model Inputs &amp; Assumptions'!$Q$29*S560-'Model Inputs &amp; Assumptions'!$Q$29^2/2))</f>
        <v>32.7244726591686</v>
      </c>
      <c r="I560" s="49" t="n">
        <f aca="false">IF('Model Inputs &amp; Assumptions'!$H$29="Fixed",'Model Inputs &amp; Assumptions'!$I$29*'Model Inputs &amp; Assumptions'!$K$29,IF('Model Inputs &amp; Assumptions'!$H$29="CPM",'Model Inputs &amp; Assumptions'!$I$29*'Model Inputs &amp; Assumptions'!$K$29*C560/1000,IF('Model Inputs &amp; Assumptions'!$H$29="CPC",'Model Inputs &amp; Assumptions'!$I$29*'Model Inputs &amp; Assumptions'!$K$29*G560,0)))</f>
        <v>6500</v>
      </c>
      <c r="J560" s="50" t="n">
        <f aca="false">H560*INDEX('Model Inputs &amp; Assumptions'!$D$40:$D$42,MATCH('Model Inputs &amp; Assumptions'!$L$29,'Model Inputs &amp; Assumptions'!$A$40:$A$42,0))*INDEX('Model Inputs &amp; Assumptions'!$H$40:$H$42,MATCH('Model Inputs &amp; Assumptions'!$L$29,'Model Inputs &amp; Assumptions'!$A$40:$A$42,0))</f>
        <v>278158.017602933</v>
      </c>
      <c r="K560" s="49" t="n">
        <f aca="false">H560*INDEX('Model Inputs &amp; Assumptions'!$G$40:$G$42,MATCH('Model Inputs &amp; Assumptions'!$L$29,'Model Inputs &amp; Assumptions'!$A$40:$A$42,0))*INDEX('Model Inputs &amp; Assumptions'!$H$40:$H$42,MATCH('Model Inputs &amp; Assumptions'!$L$29,'Model Inputs &amp; Assumptions'!$A$40:$A$42,0))</f>
        <v>6258.55539606599</v>
      </c>
      <c r="L560" s="51" t="n">
        <f aca="false">IFERROR(K560/I560,0)</f>
        <v>0.962854676317845</v>
      </c>
      <c r="M560" s="49" t="n">
        <f aca="false">IFERROR(I560/H560,0)</f>
        <v>198.628105262343</v>
      </c>
      <c r="N560" s="52" t="str">
        <f aca="false">'Model Inputs &amp; Assumptions'!$L$29</f>
        <v>PRD-EUAI</v>
      </c>
      <c r="P560" s="53" t="n">
        <v>0.478639</v>
      </c>
      <c r="Q560" s="53" t="n">
        <v>-0.057243</v>
      </c>
      <c r="R560" s="53" t="n">
        <v>-0.527063</v>
      </c>
      <c r="S560" s="53" t="n">
        <v>0.797133</v>
      </c>
    </row>
    <row r="561" customFormat="false" ht="15" hidden="false" customHeight="false" outlineLevel="0" collapsed="false">
      <c r="A561" s="43" t="n">
        <v>58</v>
      </c>
      <c r="B561" s="44" t="str">
        <f aca="false">'Model Inputs &amp; Assumptions'!$B$29</f>
        <v>Handelsblatt — Native Explainer</v>
      </c>
      <c r="C561" s="45" t="n">
        <f aca="false">ROUND(MAX(0,'Model Inputs &amp; Assumptions'!$S$29*EXP('Model Inputs &amp; Assumptions'!$T$29*P561-'Model Inputs &amp; Assumptions'!$T$29^2/2)),0)</f>
        <v>192012</v>
      </c>
      <c r="D561" s="46" t="n">
        <f aca="false">MIN(1,'Model Inputs &amp; Assumptions'!$U$29*EXP('Model Inputs &amp; Assumptions'!$V$29*Q561-'Model Inputs &amp; Assumptions'!$V$29^2/2))</f>
        <v>0</v>
      </c>
      <c r="E561" s="45" t="n">
        <f aca="false">ROUND(C561*D561,0)</f>
        <v>0</v>
      </c>
      <c r="F561" s="47" t="n">
        <f aca="false">MIN(1,'Model Inputs &amp; Assumptions'!$W$29*EXP('Model Inputs &amp; Assumptions'!$X$29*R561-'Model Inputs &amp; Assumptions'!$X$29^2/2))</f>
        <v>0.00183467919171457</v>
      </c>
      <c r="G561" s="45" t="n">
        <f aca="false">ROUND(C561*F561,0)</f>
        <v>352</v>
      </c>
      <c r="H561" s="48" t="n">
        <f aca="false">MAX(0,(C561*'Model Inputs &amp; Assumptions'!$N$29+E561*'Model Inputs &amp; Assumptions'!$O$29+G561*'Model Inputs &amp; Assumptions'!$P$29)*EXP('Model Inputs &amp; Assumptions'!$Q$29*S561-'Model Inputs &amp; Assumptions'!$Q$29^2/2))</f>
        <v>14.3929269523075</v>
      </c>
      <c r="I561" s="49" t="n">
        <f aca="false">IF('Model Inputs &amp; Assumptions'!$H$29="Fixed",'Model Inputs &amp; Assumptions'!$I$29*'Model Inputs &amp; Assumptions'!$K$29,IF('Model Inputs &amp; Assumptions'!$H$29="CPM",'Model Inputs &amp; Assumptions'!$I$29*'Model Inputs &amp; Assumptions'!$K$29*C561/1000,IF('Model Inputs &amp; Assumptions'!$H$29="CPC",'Model Inputs &amp; Assumptions'!$I$29*'Model Inputs &amp; Assumptions'!$K$29*G561,0)))</f>
        <v>6500</v>
      </c>
      <c r="J561" s="50" t="n">
        <f aca="false">H561*INDEX('Model Inputs &amp; Assumptions'!$D$40:$D$42,MATCH('Model Inputs &amp; Assumptions'!$L$29,'Model Inputs &amp; Assumptions'!$A$40:$A$42,0))*INDEX('Model Inputs &amp; Assumptions'!$H$40:$H$42,MATCH('Model Inputs &amp; Assumptions'!$L$29,'Model Inputs &amp; Assumptions'!$A$40:$A$42,0))</f>
        <v>122339.879094613</v>
      </c>
      <c r="K561" s="49" t="n">
        <f aca="false">H561*INDEX('Model Inputs &amp; Assumptions'!$G$40:$G$42,MATCH('Model Inputs &amp; Assumptions'!$L$29,'Model Inputs &amp; Assumptions'!$A$40:$A$42,0))*INDEX('Model Inputs &amp; Assumptions'!$H$40:$H$42,MATCH('Model Inputs &amp; Assumptions'!$L$29,'Model Inputs &amp; Assumptions'!$A$40:$A$42,0))</f>
        <v>2752.6472796288</v>
      </c>
      <c r="L561" s="51" t="n">
        <f aca="false">IFERROR(K561/I561,0)</f>
        <v>0.42348419686597</v>
      </c>
      <c r="M561" s="49" t="n">
        <f aca="false">IFERROR(I561/H561,0)</f>
        <v>451.610712785416</v>
      </c>
      <c r="N561" s="52" t="str">
        <f aca="false">'Model Inputs &amp; Assumptions'!$L$29</f>
        <v>PRD-EUAI</v>
      </c>
      <c r="P561" s="53" t="n">
        <v>-0.029592</v>
      </c>
      <c r="Q561" s="53" t="n">
        <v>-1.2427</v>
      </c>
      <c r="R561" s="53" t="n">
        <v>-1.730748</v>
      </c>
      <c r="S561" s="53" t="n">
        <v>-0.52054</v>
      </c>
    </row>
    <row r="562" customFormat="false" ht="15" hidden="false" customHeight="false" outlineLevel="0" collapsed="false">
      <c r="A562" s="43" t="n">
        <v>59</v>
      </c>
      <c r="B562" s="44" t="str">
        <f aca="false">'Model Inputs &amp; Assumptions'!$B$29</f>
        <v>Handelsblatt — Native Explainer</v>
      </c>
      <c r="C562" s="45" t="n">
        <f aca="false">ROUND(MAX(0,'Model Inputs &amp; Assumptions'!$S$29*EXP('Model Inputs &amp; Assumptions'!$T$29*P562-'Model Inputs &amp; Assumptions'!$T$29^2/2)),0)</f>
        <v>159471</v>
      </c>
      <c r="D562" s="46" t="n">
        <f aca="false">MIN(1,'Model Inputs &amp; Assumptions'!$U$29*EXP('Model Inputs &amp; Assumptions'!$V$29*Q562-'Model Inputs &amp; Assumptions'!$V$29^2/2))</f>
        <v>0</v>
      </c>
      <c r="E562" s="45" t="n">
        <f aca="false">ROUND(C562*D562,0)</f>
        <v>0</v>
      </c>
      <c r="F562" s="47" t="n">
        <f aca="false">MIN(1,'Model Inputs &amp; Assumptions'!$W$29*EXP('Model Inputs &amp; Assumptions'!$X$29*R562-'Model Inputs &amp; Assumptions'!$X$29^2/2))</f>
        <v>0.00315364062305293</v>
      </c>
      <c r="G562" s="45" t="n">
        <f aca="false">ROUND(C562*F562,0)</f>
        <v>503</v>
      </c>
      <c r="H562" s="48" t="n">
        <f aca="false">MAX(0,(C562*'Model Inputs &amp; Assumptions'!$N$29+E562*'Model Inputs &amp; Assumptions'!$O$29+G562*'Model Inputs &amp; Assumptions'!$P$29)*EXP('Model Inputs &amp; Assumptions'!$Q$29*S562-'Model Inputs &amp; Assumptions'!$Q$29^2/2))</f>
        <v>27.5330498705059</v>
      </c>
      <c r="I562" s="49" t="n">
        <f aca="false">IF('Model Inputs &amp; Assumptions'!$H$29="Fixed",'Model Inputs &amp; Assumptions'!$I$29*'Model Inputs &amp; Assumptions'!$K$29,IF('Model Inputs &amp; Assumptions'!$H$29="CPM",'Model Inputs &amp; Assumptions'!$I$29*'Model Inputs &amp; Assumptions'!$K$29*C562/1000,IF('Model Inputs &amp; Assumptions'!$H$29="CPC",'Model Inputs &amp; Assumptions'!$I$29*'Model Inputs &amp; Assumptions'!$K$29*G562,0)))</f>
        <v>6500</v>
      </c>
      <c r="J562" s="50" t="n">
        <f aca="false">H562*INDEX('Model Inputs &amp; Assumptions'!$D$40:$D$42,MATCH('Model Inputs &amp; Assumptions'!$L$29,'Model Inputs &amp; Assumptions'!$A$40:$A$42,0))*INDEX('Model Inputs &amp; Assumptions'!$H$40:$H$42,MATCH('Model Inputs &amp; Assumptions'!$L$29,'Model Inputs &amp; Assumptions'!$A$40:$A$42,0))</f>
        <v>234030.9238993</v>
      </c>
      <c r="K562" s="49" t="n">
        <f aca="false">H562*INDEX('Model Inputs &amp; Assumptions'!$G$40:$G$42,MATCH('Model Inputs &amp; Assumptions'!$L$29,'Model Inputs &amp; Assumptions'!$A$40:$A$42,0))*INDEX('Model Inputs &amp; Assumptions'!$H$40:$H$42,MATCH('Model Inputs &amp; Assumptions'!$L$29,'Model Inputs &amp; Assumptions'!$A$40:$A$42,0))</f>
        <v>5265.69578773425</v>
      </c>
      <c r="L562" s="51" t="n">
        <f aca="false">IFERROR(K562/I562,0)</f>
        <v>0.810107044266807</v>
      </c>
      <c r="M562" s="49" t="n">
        <f aca="false">IFERROR(I562/H562,0)</f>
        <v>236.07991234429</v>
      </c>
      <c r="N562" s="52" t="str">
        <f aca="false">'Model Inputs &amp; Assumptions'!$L$29</f>
        <v>PRD-EUAI</v>
      </c>
      <c r="P562" s="53" t="n">
        <v>-0.873653</v>
      </c>
      <c r="Q562" s="53" t="n">
        <v>-0.11505</v>
      </c>
      <c r="R562" s="53" t="n">
        <v>0.352667</v>
      </c>
      <c r="S562" s="53" t="n">
        <v>0.451764</v>
      </c>
    </row>
    <row r="563" customFormat="false" ht="15" hidden="false" customHeight="false" outlineLevel="0" collapsed="false">
      <c r="A563" s="43" t="n">
        <v>60</v>
      </c>
      <c r="B563" s="44" t="str">
        <f aca="false">'Model Inputs &amp; Assumptions'!$B$29</f>
        <v>Handelsblatt — Native Explainer</v>
      </c>
      <c r="C563" s="45" t="n">
        <f aca="false">ROUND(MAX(0,'Model Inputs &amp; Assumptions'!$S$29*EXP('Model Inputs &amp; Assumptions'!$T$29*P563-'Model Inputs &amp; Assumptions'!$T$29^2/2)),0)</f>
        <v>228446</v>
      </c>
      <c r="D563" s="46" t="n">
        <f aca="false">MIN(1,'Model Inputs &amp; Assumptions'!$U$29*EXP('Model Inputs &amp; Assumptions'!$V$29*Q563-'Model Inputs &amp; Assumptions'!$V$29^2/2))</f>
        <v>0</v>
      </c>
      <c r="E563" s="45" t="n">
        <f aca="false">ROUND(C563*D563,0)</f>
        <v>0</v>
      </c>
      <c r="F563" s="47" t="n">
        <f aca="false">MIN(1,'Model Inputs &amp; Assumptions'!$W$29*EXP('Model Inputs &amp; Assumptions'!$X$29*R563-'Model Inputs &amp; Assumptions'!$X$29^2/2))</f>
        <v>0.00241789314278369</v>
      </c>
      <c r="G563" s="45" t="n">
        <f aca="false">ROUND(C563*F563,0)</f>
        <v>552</v>
      </c>
      <c r="H563" s="48" t="n">
        <f aca="false">MAX(0,(C563*'Model Inputs &amp; Assumptions'!$N$29+E563*'Model Inputs &amp; Assumptions'!$O$29+G563*'Model Inputs &amp; Assumptions'!$P$29)*EXP('Model Inputs &amp; Assumptions'!$Q$29*S563-'Model Inputs &amp; Assumptions'!$Q$29^2/2))</f>
        <v>19.9721893371499</v>
      </c>
      <c r="I563" s="49" t="n">
        <f aca="false">IF('Model Inputs &amp; Assumptions'!$H$29="Fixed",'Model Inputs &amp; Assumptions'!$I$29*'Model Inputs &amp; Assumptions'!$K$29,IF('Model Inputs &amp; Assumptions'!$H$29="CPM",'Model Inputs &amp; Assumptions'!$I$29*'Model Inputs &amp; Assumptions'!$K$29*C563/1000,IF('Model Inputs &amp; Assumptions'!$H$29="CPC",'Model Inputs &amp; Assumptions'!$I$29*'Model Inputs &amp; Assumptions'!$K$29*G563,0)))</f>
        <v>6500</v>
      </c>
      <c r="J563" s="50" t="n">
        <f aca="false">H563*INDEX('Model Inputs &amp; Assumptions'!$D$40:$D$42,MATCH('Model Inputs &amp; Assumptions'!$L$29,'Model Inputs &amp; Assumptions'!$A$40:$A$42,0))*INDEX('Model Inputs &amp; Assumptions'!$H$40:$H$42,MATCH('Model Inputs &amp; Assumptions'!$L$29,'Model Inputs &amp; Assumptions'!$A$40:$A$42,0))</f>
        <v>169763.609365774</v>
      </c>
      <c r="K563" s="49" t="n">
        <f aca="false">H563*INDEX('Model Inputs &amp; Assumptions'!$G$40:$G$42,MATCH('Model Inputs &amp; Assumptions'!$L$29,'Model Inputs &amp; Assumptions'!$A$40:$A$42,0))*INDEX('Model Inputs &amp; Assumptions'!$H$40:$H$42,MATCH('Model Inputs &amp; Assumptions'!$L$29,'Model Inputs &amp; Assumptions'!$A$40:$A$42,0))</f>
        <v>3819.68121072992</v>
      </c>
      <c r="L563" s="51" t="n">
        <f aca="false">IFERROR(K563/I563,0)</f>
        <v>0.587643263189219</v>
      </c>
      <c r="M563" s="49" t="n">
        <f aca="false">IFERROR(I563/H563,0)</f>
        <v>325.452552560648</v>
      </c>
      <c r="N563" s="52" t="str">
        <f aca="false">'Model Inputs &amp; Assumptions'!$L$29</f>
        <v>PRD-EUAI</v>
      </c>
      <c r="P563" s="53" t="n">
        <v>0.760143</v>
      </c>
      <c r="Q563" s="53" t="n">
        <v>1.410467</v>
      </c>
      <c r="R563" s="53" t="n">
        <v>-0.669106</v>
      </c>
      <c r="S563" s="53" t="n">
        <v>-0.92825</v>
      </c>
    </row>
    <row r="564" customFormat="false" ht="15" hidden="false" customHeight="false" outlineLevel="0" collapsed="false">
      <c r="A564" s="43" t="n">
        <v>61</v>
      </c>
      <c r="B564" s="44" t="str">
        <f aca="false">'Model Inputs &amp; Assumptions'!$B$29</f>
        <v>Handelsblatt — Native Explainer</v>
      </c>
      <c r="C564" s="45" t="n">
        <f aca="false">ROUND(MAX(0,'Model Inputs &amp; Assumptions'!$S$29*EXP('Model Inputs &amp; Assumptions'!$T$29*P564-'Model Inputs &amp; Assumptions'!$T$29^2/2)),0)</f>
        <v>195799</v>
      </c>
      <c r="D564" s="46" t="n">
        <f aca="false">MIN(1,'Model Inputs &amp; Assumptions'!$U$29*EXP('Model Inputs &amp; Assumptions'!$V$29*Q564-'Model Inputs &amp; Assumptions'!$V$29^2/2))</f>
        <v>0</v>
      </c>
      <c r="E564" s="45" t="n">
        <f aca="false">ROUND(C564*D564,0)</f>
        <v>0</v>
      </c>
      <c r="F564" s="47" t="n">
        <f aca="false">MIN(1,'Model Inputs &amp; Assumptions'!$W$29*EXP('Model Inputs &amp; Assumptions'!$X$29*R564-'Model Inputs &amp; Assumptions'!$X$29^2/2))</f>
        <v>0.00433882597488973</v>
      </c>
      <c r="G564" s="45" t="n">
        <f aca="false">ROUND(C564*F564,0)</f>
        <v>850</v>
      </c>
      <c r="H564" s="48" t="n">
        <f aca="false">MAX(0,(C564*'Model Inputs &amp; Assumptions'!$N$29+E564*'Model Inputs &amp; Assumptions'!$O$29+G564*'Model Inputs &amp; Assumptions'!$P$29)*EXP('Model Inputs &amp; Assumptions'!$Q$29*S564-'Model Inputs &amp; Assumptions'!$Q$29^2/2))</f>
        <v>27.2914284290068</v>
      </c>
      <c r="I564" s="49" t="n">
        <f aca="false">IF('Model Inputs &amp; Assumptions'!$H$29="Fixed",'Model Inputs &amp; Assumptions'!$I$29*'Model Inputs &amp; Assumptions'!$K$29,IF('Model Inputs &amp; Assumptions'!$H$29="CPM",'Model Inputs &amp; Assumptions'!$I$29*'Model Inputs &amp; Assumptions'!$K$29*C564/1000,IF('Model Inputs &amp; Assumptions'!$H$29="CPC",'Model Inputs &amp; Assumptions'!$I$29*'Model Inputs &amp; Assumptions'!$K$29*G564,0)))</f>
        <v>6500</v>
      </c>
      <c r="J564" s="50" t="n">
        <f aca="false">H564*INDEX('Model Inputs &amp; Assumptions'!$D$40:$D$42,MATCH('Model Inputs &amp; Assumptions'!$L$29,'Model Inputs &amp; Assumptions'!$A$40:$A$42,0))*INDEX('Model Inputs &amp; Assumptions'!$H$40:$H$42,MATCH('Model Inputs &amp; Assumptions'!$L$29,'Model Inputs &amp; Assumptions'!$A$40:$A$42,0))</f>
        <v>231977.141646558</v>
      </c>
      <c r="K564" s="49" t="n">
        <f aca="false">H564*INDEX('Model Inputs &amp; Assumptions'!$G$40:$G$42,MATCH('Model Inputs &amp; Assumptions'!$L$29,'Model Inputs &amp; Assumptions'!$A$40:$A$42,0))*INDEX('Model Inputs &amp; Assumptions'!$H$40:$H$42,MATCH('Model Inputs &amp; Assumptions'!$L$29,'Model Inputs &amp; Assumptions'!$A$40:$A$42,0))</f>
        <v>5219.48568704755</v>
      </c>
      <c r="L564" s="51" t="n">
        <f aca="false">IFERROR(K564/I564,0)</f>
        <v>0.802997798007316</v>
      </c>
      <c r="M564" s="49" t="n">
        <f aca="false">IFERROR(I564/H564,0)</f>
        <v>238.170017993322</v>
      </c>
      <c r="N564" s="52" t="str">
        <f aca="false">'Model Inputs &amp; Assumptions'!$L$29</f>
        <v>PRD-EUAI</v>
      </c>
      <c r="P564" s="53" t="n">
        <v>0.059179</v>
      </c>
      <c r="Q564" s="53" t="n">
        <v>1.530797</v>
      </c>
      <c r="R564" s="53" t="n">
        <v>1.579768</v>
      </c>
      <c r="S564" s="53" t="n">
        <v>-1.326438</v>
      </c>
    </row>
    <row r="565" customFormat="false" ht="15" hidden="false" customHeight="false" outlineLevel="0" collapsed="false">
      <c r="A565" s="43" t="n">
        <v>62</v>
      </c>
      <c r="B565" s="44" t="str">
        <f aca="false">'Model Inputs &amp; Assumptions'!$B$29</f>
        <v>Handelsblatt — Native Explainer</v>
      </c>
      <c r="C565" s="45" t="n">
        <f aca="false">ROUND(MAX(0,'Model Inputs &amp; Assumptions'!$S$29*EXP('Model Inputs &amp; Assumptions'!$T$29*P565-'Model Inputs &amp; Assumptions'!$T$29^2/2)),0)</f>
        <v>252332</v>
      </c>
      <c r="D565" s="46" t="n">
        <f aca="false">MIN(1,'Model Inputs &amp; Assumptions'!$U$29*EXP('Model Inputs &amp; Assumptions'!$V$29*Q565-'Model Inputs &amp; Assumptions'!$V$29^2/2))</f>
        <v>0</v>
      </c>
      <c r="E565" s="45" t="n">
        <f aca="false">ROUND(C565*D565,0)</f>
        <v>0</v>
      </c>
      <c r="F565" s="47" t="n">
        <f aca="false">MIN(1,'Model Inputs &amp; Assumptions'!$W$29*EXP('Model Inputs &amp; Assumptions'!$X$29*R565-'Model Inputs &amp; Assumptions'!$X$29^2/2))</f>
        <v>0.0024436303913044</v>
      </c>
      <c r="G565" s="45" t="n">
        <f aca="false">ROUND(C565*F565,0)</f>
        <v>617</v>
      </c>
      <c r="H565" s="48" t="n">
        <f aca="false">MAX(0,(C565*'Model Inputs &amp; Assumptions'!$N$29+E565*'Model Inputs &amp; Assumptions'!$O$29+G565*'Model Inputs &amp; Assumptions'!$P$29)*EXP('Model Inputs &amp; Assumptions'!$Q$29*S565-'Model Inputs &amp; Assumptions'!$Q$29^2/2))</f>
        <v>34.6650526200174</v>
      </c>
      <c r="I565" s="49" t="n">
        <f aca="false">IF('Model Inputs &amp; Assumptions'!$H$29="Fixed",'Model Inputs &amp; Assumptions'!$I$29*'Model Inputs &amp; Assumptions'!$K$29,IF('Model Inputs &amp; Assumptions'!$H$29="CPM",'Model Inputs &amp; Assumptions'!$I$29*'Model Inputs &amp; Assumptions'!$K$29*C565/1000,IF('Model Inputs &amp; Assumptions'!$H$29="CPC",'Model Inputs &amp; Assumptions'!$I$29*'Model Inputs &amp; Assumptions'!$K$29*G565,0)))</f>
        <v>6500</v>
      </c>
      <c r="J565" s="50" t="n">
        <f aca="false">H565*INDEX('Model Inputs &amp; Assumptions'!$D$40:$D$42,MATCH('Model Inputs &amp; Assumptions'!$L$29,'Model Inputs &amp; Assumptions'!$A$40:$A$42,0))*INDEX('Model Inputs &amp; Assumptions'!$H$40:$H$42,MATCH('Model Inputs &amp; Assumptions'!$L$29,'Model Inputs &amp; Assumptions'!$A$40:$A$42,0))</f>
        <v>294652.947270148</v>
      </c>
      <c r="K565" s="49" t="n">
        <f aca="false">H565*INDEX('Model Inputs &amp; Assumptions'!$G$40:$G$42,MATCH('Model Inputs &amp; Assumptions'!$L$29,'Model Inputs &amp; Assumptions'!$A$40:$A$42,0))*INDEX('Model Inputs &amp; Assumptions'!$H$40:$H$42,MATCH('Model Inputs &amp; Assumptions'!$L$29,'Model Inputs &amp; Assumptions'!$A$40:$A$42,0))</f>
        <v>6629.69131357832</v>
      </c>
      <c r="L565" s="51" t="n">
        <f aca="false">IFERROR(K565/I565,0)</f>
        <v>1.01995250978128</v>
      </c>
      <c r="M565" s="49" t="n">
        <f aca="false">IFERROR(I565/H565,0)</f>
        <v>187.508730226089</v>
      </c>
      <c r="N565" s="52" t="str">
        <f aca="false">'Model Inputs &amp; Assumptions'!$L$29</f>
        <v>PRD-EUAI</v>
      </c>
      <c r="P565" s="53" t="n">
        <v>1.212167</v>
      </c>
      <c r="Q565" s="53" t="n">
        <v>0.038649</v>
      </c>
      <c r="R565" s="53" t="n">
        <v>-0.628382</v>
      </c>
      <c r="S565" s="53" t="n">
        <v>0.538651</v>
      </c>
    </row>
    <row r="566" customFormat="false" ht="15" hidden="false" customHeight="false" outlineLevel="0" collapsed="false">
      <c r="A566" s="43" t="n">
        <v>63</v>
      </c>
      <c r="B566" s="44" t="str">
        <f aca="false">'Model Inputs &amp; Assumptions'!$B$29</f>
        <v>Handelsblatt — Native Explainer</v>
      </c>
      <c r="C566" s="45" t="n">
        <f aca="false">ROUND(MAX(0,'Model Inputs &amp; Assumptions'!$S$29*EXP('Model Inputs &amp; Assumptions'!$T$29*P566-'Model Inputs &amp; Assumptions'!$T$29^2/2)),0)</f>
        <v>268306</v>
      </c>
      <c r="D566" s="46" t="n">
        <f aca="false">MIN(1,'Model Inputs &amp; Assumptions'!$U$29*EXP('Model Inputs &amp; Assumptions'!$V$29*Q566-'Model Inputs &amp; Assumptions'!$V$29^2/2))</f>
        <v>0</v>
      </c>
      <c r="E566" s="45" t="n">
        <f aca="false">ROUND(C566*D566,0)</f>
        <v>0</v>
      </c>
      <c r="F566" s="47" t="n">
        <f aca="false">MIN(1,'Model Inputs &amp; Assumptions'!$W$29*EXP('Model Inputs &amp; Assumptions'!$X$29*R566-'Model Inputs &amp; Assumptions'!$X$29^2/2))</f>
        <v>0.00377002095130171</v>
      </c>
      <c r="G566" s="45" t="n">
        <f aca="false">ROUND(C566*F566,0)</f>
        <v>1012</v>
      </c>
      <c r="H566" s="48" t="n">
        <f aca="false">MAX(0,(C566*'Model Inputs &amp; Assumptions'!$N$29+E566*'Model Inputs &amp; Assumptions'!$O$29+G566*'Model Inputs &amp; Assumptions'!$P$29)*EXP('Model Inputs &amp; Assumptions'!$Q$29*S566-'Model Inputs &amp; Assumptions'!$Q$29^2/2))</f>
        <v>32.5086392241719</v>
      </c>
      <c r="I566" s="49" t="n">
        <f aca="false">IF('Model Inputs &amp; Assumptions'!$H$29="Fixed",'Model Inputs &amp; Assumptions'!$I$29*'Model Inputs &amp; Assumptions'!$K$29,IF('Model Inputs &amp; Assumptions'!$H$29="CPM",'Model Inputs &amp; Assumptions'!$I$29*'Model Inputs &amp; Assumptions'!$K$29*C566/1000,IF('Model Inputs &amp; Assumptions'!$H$29="CPC",'Model Inputs &amp; Assumptions'!$I$29*'Model Inputs &amp; Assumptions'!$K$29*G566,0)))</f>
        <v>6500</v>
      </c>
      <c r="J566" s="50" t="n">
        <f aca="false">H566*INDEX('Model Inputs &amp; Assumptions'!$D$40:$D$42,MATCH('Model Inputs &amp; Assumptions'!$L$29,'Model Inputs &amp; Assumptions'!$A$40:$A$42,0))*INDEX('Model Inputs &amp; Assumptions'!$H$40:$H$42,MATCH('Model Inputs &amp; Assumptions'!$L$29,'Model Inputs &amp; Assumptions'!$A$40:$A$42,0))</f>
        <v>276323.433405461</v>
      </c>
      <c r="K566" s="49" t="n">
        <f aca="false">H566*INDEX('Model Inputs &amp; Assumptions'!$G$40:$G$42,MATCH('Model Inputs &amp; Assumptions'!$L$29,'Model Inputs &amp; Assumptions'!$A$40:$A$42,0))*INDEX('Model Inputs &amp; Assumptions'!$H$40:$H$42,MATCH('Model Inputs &amp; Assumptions'!$L$29,'Model Inputs &amp; Assumptions'!$A$40:$A$42,0))</f>
        <v>6217.27725162287</v>
      </c>
      <c r="L566" s="51" t="n">
        <f aca="false">IFERROR(K566/I566,0)</f>
        <v>0.956504192557365</v>
      </c>
      <c r="M566" s="49" t="n">
        <f aca="false">IFERROR(I566/H566,0)</f>
        <v>199.946849672099</v>
      </c>
      <c r="N566" s="52" t="str">
        <f aca="false">'Model Inputs &amp; Assumptions'!$L$29</f>
        <v>PRD-EUAI</v>
      </c>
      <c r="P566" s="53" t="n">
        <v>1.491185</v>
      </c>
      <c r="Q566" s="53" t="n">
        <v>1.786035</v>
      </c>
      <c r="R566" s="53" t="n">
        <v>1.039294</v>
      </c>
      <c r="S566" s="53" t="n">
        <v>-1.324819</v>
      </c>
    </row>
    <row r="567" customFormat="false" ht="15" hidden="false" customHeight="false" outlineLevel="0" collapsed="false">
      <c r="A567" s="43" t="n">
        <v>64</v>
      </c>
      <c r="B567" s="44" t="str">
        <f aca="false">'Model Inputs &amp; Assumptions'!$B$29</f>
        <v>Handelsblatt — Native Explainer</v>
      </c>
      <c r="C567" s="45" t="n">
        <f aca="false">ROUND(MAX(0,'Model Inputs &amp; Assumptions'!$S$29*EXP('Model Inputs &amp; Assumptions'!$T$29*P567-'Model Inputs &amp; Assumptions'!$T$29^2/2)),0)</f>
        <v>161701</v>
      </c>
      <c r="D567" s="46" t="n">
        <f aca="false">MIN(1,'Model Inputs &amp; Assumptions'!$U$29*EXP('Model Inputs &amp; Assumptions'!$V$29*Q567-'Model Inputs &amp; Assumptions'!$V$29^2/2))</f>
        <v>0</v>
      </c>
      <c r="E567" s="45" t="n">
        <f aca="false">ROUND(C567*D567,0)</f>
        <v>0</v>
      </c>
      <c r="F567" s="47" t="n">
        <f aca="false">MIN(1,'Model Inputs &amp; Assumptions'!$W$29*EXP('Model Inputs &amp; Assumptions'!$X$29*R567-'Model Inputs &amp; Assumptions'!$X$29^2/2))</f>
        <v>0.00277978347733603</v>
      </c>
      <c r="G567" s="45" t="n">
        <f aca="false">ROUND(C567*F567,0)</f>
        <v>449</v>
      </c>
      <c r="H567" s="48" t="n">
        <f aca="false">MAX(0,(C567*'Model Inputs &amp; Assumptions'!$N$29+E567*'Model Inputs &amp; Assumptions'!$O$29+G567*'Model Inputs &amp; Assumptions'!$P$29)*EXP('Model Inputs &amp; Assumptions'!$Q$29*S567-'Model Inputs &amp; Assumptions'!$Q$29^2/2))</f>
        <v>31.5338513293018</v>
      </c>
      <c r="I567" s="49" t="n">
        <f aca="false">IF('Model Inputs &amp; Assumptions'!$H$29="Fixed",'Model Inputs &amp; Assumptions'!$I$29*'Model Inputs &amp; Assumptions'!$K$29,IF('Model Inputs &amp; Assumptions'!$H$29="CPM",'Model Inputs &amp; Assumptions'!$I$29*'Model Inputs &amp; Assumptions'!$K$29*C567/1000,IF('Model Inputs &amp; Assumptions'!$H$29="CPC",'Model Inputs &amp; Assumptions'!$I$29*'Model Inputs &amp; Assumptions'!$K$29*G567,0)))</f>
        <v>6500</v>
      </c>
      <c r="J567" s="50" t="n">
        <f aca="false">H567*INDEX('Model Inputs &amp; Assumptions'!$D$40:$D$42,MATCH('Model Inputs &amp; Assumptions'!$L$29,'Model Inputs &amp; Assumptions'!$A$40:$A$42,0))*INDEX('Model Inputs &amp; Assumptions'!$H$40:$H$42,MATCH('Model Inputs &amp; Assumptions'!$L$29,'Model Inputs &amp; Assumptions'!$A$40:$A$42,0))</f>
        <v>268037.736299065</v>
      </c>
      <c r="K567" s="49" t="n">
        <f aca="false">H567*INDEX('Model Inputs &amp; Assumptions'!$G$40:$G$42,MATCH('Model Inputs &amp; Assumptions'!$L$29,'Model Inputs &amp; Assumptions'!$A$40:$A$42,0))*INDEX('Model Inputs &amp; Assumptions'!$H$40:$H$42,MATCH('Model Inputs &amp; Assumptions'!$L$29,'Model Inputs &amp; Assumptions'!$A$40:$A$42,0))</f>
        <v>6030.84906672897</v>
      </c>
      <c r="L567" s="51" t="n">
        <f aca="false">IFERROR(K567/I567,0)</f>
        <v>0.927822933342918</v>
      </c>
      <c r="M567" s="49" t="n">
        <f aca="false">IFERROR(I567/H567,0)</f>
        <v>206.127692178218</v>
      </c>
      <c r="N567" s="52" t="str">
        <f aca="false">'Model Inputs &amp; Assumptions'!$L$29</f>
        <v>PRD-EUAI</v>
      </c>
      <c r="P567" s="53" t="n">
        <v>-0.810544</v>
      </c>
      <c r="Q567" s="53" t="n">
        <v>-0.520068</v>
      </c>
      <c r="R567" s="53" t="n">
        <v>-0.132658</v>
      </c>
      <c r="S567" s="53" t="n">
        <v>1.28257</v>
      </c>
    </row>
    <row r="568" customFormat="false" ht="15" hidden="false" customHeight="false" outlineLevel="0" collapsed="false">
      <c r="A568" s="43" t="n">
        <v>65</v>
      </c>
      <c r="B568" s="44" t="str">
        <f aca="false">'Model Inputs &amp; Assumptions'!$B$29</f>
        <v>Handelsblatt — Native Explainer</v>
      </c>
      <c r="C568" s="45" t="n">
        <f aca="false">ROUND(MAX(0,'Model Inputs &amp; Assumptions'!$S$29*EXP('Model Inputs &amp; Assumptions'!$T$29*P568-'Model Inputs &amp; Assumptions'!$T$29^2/2)),0)</f>
        <v>178525</v>
      </c>
      <c r="D568" s="46" t="n">
        <f aca="false">MIN(1,'Model Inputs &amp; Assumptions'!$U$29*EXP('Model Inputs &amp; Assumptions'!$V$29*Q568-'Model Inputs &amp; Assumptions'!$V$29^2/2))</f>
        <v>0</v>
      </c>
      <c r="E568" s="45" t="n">
        <f aca="false">ROUND(C568*D568,0)</f>
        <v>0</v>
      </c>
      <c r="F568" s="47" t="n">
        <f aca="false">MIN(1,'Model Inputs &amp; Assumptions'!$W$29*EXP('Model Inputs &amp; Assumptions'!$X$29*R568-'Model Inputs &amp; Assumptions'!$X$29^2/2))</f>
        <v>0.00379929513531007</v>
      </c>
      <c r="G568" s="45" t="n">
        <f aca="false">ROUND(C568*F568,0)</f>
        <v>678</v>
      </c>
      <c r="H568" s="48" t="n">
        <f aca="false">MAX(0,(C568*'Model Inputs &amp; Assumptions'!$N$29+E568*'Model Inputs &amp; Assumptions'!$O$29+G568*'Model Inputs &amp; Assumptions'!$P$29)*EXP('Model Inputs &amp; Assumptions'!$Q$29*S568-'Model Inputs &amp; Assumptions'!$Q$29^2/2))</f>
        <v>52.4900020535241</v>
      </c>
      <c r="I568" s="49" t="n">
        <f aca="false">IF('Model Inputs &amp; Assumptions'!$H$29="Fixed",'Model Inputs &amp; Assumptions'!$I$29*'Model Inputs &amp; Assumptions'!$K$29,IF('Model Inputs &amp; Assumptions'!$H$29="CPM",'Model Inputs &amp; Assumptions'!$I$29*'Model Inputs &amp; Assumptions'!$K$29*C568/1000,IF('Model Inputs &amp; Assumptions'!$H$29="CPC",'Model Inputs &amp; Assumptions'!$I$29*'Model Inputs &amp; Assumptions'!$K$29*G568,0)))</f>
        <v>6500</v>
      </c>
      <c r="J568" s="50" t="n">
        <f aca="false">H568*INDEX('Model Inputs &amp; Assumptions'!$D$40:$D$42,MATCH('Model Inputs &amp; Assumptions'!$L$29,'Model Inputs &amp; Assumptions'!$A$40:$A$42,0))*INDEX('Model Inputs &amp; Assumptions'!$H$40:$H$42,MATCH('Model Inputs &amp; Assumptions'!$L$29,'Model Inputs &amp; Assumptions'!$A$40:$A$42,0))</f>
        <v>446165.017454955</v>
      </c>
      <c r="K568" s="49" t="n">
        <f aca="false">H568*INDEX('Model Inputs &amp; Assumptions'!$G$40:$G$42,MATCH('Model Inputs &amp; Assumptions'!$L$29,'Model Inputs &amp; Assumptions'!$A$40:$A$42,0))*INDEX('Model Inputs &amp; Assumptions'!$H$40:$H$42,MATCH('Model Inputs &amp; Assumptions'!$L$29,'Model Inputs &amp; Assumptions'!$A$40:$A$42,0))</f>
        <v>10038.7128927365</v>
      </c>
      <c r="L568" s="51" t="n">
        <f aca="false">IFERROR(K568/I568,0)</f>
        <v>1.54441736811331</v>
      </c>
      <c r="M568" s="49" t="n">
        <f aca="false">IFERROR(I568/H568,0)</f>
        <v>123.833106224152</v>
      </c>
      <c r="N568" s="52" t="str">
        <f aca="false">'Model Inputs &amp; Assumptions'!$L$29</f>
        <v>PRD-EUAI</v>
      </c>
      <c r="P568" s="53" t="n">
        <v>-0.360631</v>
      </c>
      <c r="Q568" s="53" t="n">
        <v>0.006701</v>
      </c>
      <c r="R568" s="53" t="n">
        <v>1.069044</v>
      </c>
      <c r="S568" s="53" t="n">
        <v>1.607359</v>
      </c>
    </row>
    <row r="569" customFormat="false" ht="15" hidden="false" customHeight="false" outlineLevel="0" collapsed="false">
      <c r="A569" s="43" t="n">
        <v>66</v>
      </c>
      <c r="B569" s="44" t="str">
        <f aca="false">'Model Inputs &amp; Assumptions'!$B$29</f>
        <v>Handelsblatt — Native Explainer</v>
      </c>
      <c r="C569" s="45" t="n">
        <f aca="false">ROUND(MAX(0,'Model Inputs &amp; Assumptions'!$S$29*EXP('Model Inputs &amp; Assumptions'!$T$29*P569-'Model Inputs &amp; Assumptions'!$T$29^2/2)),0)</f>
        <v>207784</v>
      </c>
      <c r="D569" s="46" t="n">
        <f aca="false">MIN(1,'Model Inputs &amp; Assumptions'!$U$29*EXP('Model Inputs &amp; Assumptions'!$V$29*Q569-'Model Inputs &amp; Assumptions'!$V$29^2/2))</f>
        <v>0</v>
      </c>
      <c r="E569" s="45" t="n">
        <f aca="false">ROUND(C569*D569,0)</f>
        <v>0</v>
      </c>
      <c r="F569" s="47" t="n">
        <f aca="false">MIN(1,'Model Inputs &amp; Assumptions'!$W$29*EXP('Model Inputs &amp; Assumptions'!$X$29*R569-'Model Inputs &amp; Assumptions'!$X$29^2/2))</f>
        <v>0.00443385468966953</v>
      </c>
      <c r="G569" s="45" t="n">
        <f aca="false">ROUND(C569*F569,0)</f>
        <v>921</v>
      </c>
      <c r="H569" s="48" t="n">
        <f aca="false">MAX(0,(C569*'Model Inputs &amp; Assumptions'!$N$29+E569*'Model Inputs &amp; Assumptions'!$O$29+G569*'Model Inputs &amp; Assumptions'!$P$29)*EXP('Model Inputs &amp; Assumptions'!$Q$29*S569-'Model Inputs &amp; Assumptions'!$Q$29^2/2))</f>
        <v>83.5629853189686</v>
      </c>
      <c r="I569" s="49" t="n">
        <f aca="false">IF('Model Inputs &amp; Assumptions'!$H$29="Fixed",'Model Inputs &amp; Assumptions'!$I$29*'Model Inputs &amp; Assumptions'!$K$29,IF('Model Inputs &amp; Assumptions'!$H$29="CPM",'Model Inputs &amp; Assumptions'!$I$29*'Model Inputs &amp; Assumptions'!$K$29*C569/1000,IF('Model Inputs &amp; Assumptions'!$H$29="CPC",'Model Inputs &amp; Assumptions'!$I$29*'Model Inputs &amp; Assumptions'!$K$29*G569,0)))</f>
        <v>6500</v>
      </c>
      <c r="J569" s="50" t="n">
        <f aca="false">H569*INDEX('Model Inputs &amp; Assumptions'!$D$40:$D$42,MATCH('Model Inputs &amp; Assumptions'!$L$29,'Model Inputs &amp; Assumptions'!$A$40:$A$42,0))*INDEX('Model Inputs &amp; Assumptions'!$H$40:$H$42,MATCH('Model Inputs &amp; Assumptions'!$L$29,'Model Inputs &amp; Assumptions'!$A$40:$A$42,0))</f>
        <v>710285.375211233</v>
      </c>
      <c r="K569" s="49" t="n">
        <f aca="false">H569*INDEX('Model Inputs &amp; Assumptions'!$G$40:$G$42,MATCH('Model Inputs &amp; Assumptions'!$L$29,'Model Inputs &amp; Assumptions'!$A$40:$A$42,0))*INDEX('Model Inputs &amp; Assumptions'!$H$40:$H$42,MATCH('Model Inputs &amp; Assumptions'!$L$29,'Model Inputs &amp; Assumptions'!$A$40:$A$42,0))</f>
        <v>15981.4209422528</v>
      </c>
      <c r="L569" s="51" t="n">
        <f aca="false">IFERROR(K569/I569,0)</f>
        <v>2.45868014496196</v>
      </c>
      <c r="M569" s="49" t="n">
        <f aca="false">IFERROR(I569/H569,0)</f>
        <v>77.7856364895153</v>
      </c>
      <c r="N569" s="52" t="str">
        <f aca="false">'Model Inputs &amp; Assumptions'!$L$29</f>
        <v>PRD-EUAI</v>
      </c>
      <c r="P569" s="53" t="n">
        <v>0.329241</v>
      </c>
      <c r="Q569" s="53" t="n">
        <v>-1.776477</v>
      </c>
      <c r="R569" s="53" t="n">
        <v>1.663097</v>
      </c>
      <c r="S569" s="53" t="n">
        <v>2.136243</v>
      </c>
    </row>
    <row r="570" customFormat="false" ht="15" hidden="false" customHeight="false" outlineLevel="0" collapsed="false">
      <c r="A570" s="43" t="n">
        <v>67</v>
      </c>
      <c r="B570" s="44" t="str">
        <f aca="false">'Model Inputs &amp; Assumptions'!$B$29</f>
        <v>Handelsblatt — Native Explainer</v>
      </c>
      <c r="C570" s="45" t="n">
        <f aca="false">ROUND(MAX(0,'Model Inputs &amp; Assumptions'!$S$29*EXP('Model Inputs &amp; Assumptions'!$T$29*P570-'Model Inputs &amp; Assumptions'!$T$29^2/2)),0)</f>
        <v>206076</v>
      </c>
      <c r="D570" s="46" t="n">
        <f aca="false">MIN(1,'Model Inputs &amp; Assumptions'!$U$29*EXP('Model Inputs &amp; Assumptions'!$V$29*Q570-'Model Inputs &amp; Assumptions'!$V$29^2/2))</f>
        <v>0</v>
      </c>
      <c r="E570" s="45" t="n">
        <f aca="false">ROUND(C570*D570,0)</f>
        <v>0</v>
      </c>
      <c r="F570" s="47" t="n">
        <f aca="false">MIN(1,'Model Inputs &amp; Assumptions'!$W$29*EXP('Model Inputs &amp; Assumptions'!$X$29*R570-'Model Inputs &amp; Assumptions'!$X$29^2/2))</f>
        <v>0.00210599424032354</v>
      </c>
      <c r="G570" s="45" t="n">
        <f aca="false">ROUND(C570*F570,0)</f>
        <v>434</v>
      </c>
      <c r="H570" s="48" t="n">
        <f aca="false">MAX(0,(C570*'Model Inputs &amp; Assumptions'!$N$29+E570*'Model Inputs &amp; Assumptions'!$O$29+G570*'Model Inputs &amp; Assumptions'!$P$29)*EXP('Model Inputs &amp; Assumptions'!$Q$29*S570-'Model Inputs &amp; Assumptions'!$Q$29^2/2))</f>
        <v>25.3568335192884</v>
      </c>
      <c r="I570" s="49" t="n">
        <f aca="false">IF('Model Inputs &amp; Assumptions'!$H$29="Fixed",'Model Inputs &amp; Assumptions'!$I$29*'Model Inputs &amp; Assumptions'!$K$29,IF('Model Inputs &amp; Assumptions'!$H$29="CPM",'Model Inputs &amp; Assumptions'!$I$29*'Model Inputs &amp; Assumptions'!$K$29*C570/1000,IF('Model Inputs &amp; Assumptions'!$H$29="CPC",'Model Inputs &amp; Assumptions'!$I$29*'Model Inputs &amp; Assumptions'!$K$29*G570,0)))</f>
        <v>6500</v>
      </c>
      <c r="J570" s="50" t="n">
        <f aca="false">H570*INDEX('Model Inputs &amp; Assumptions'!$D$40:$D$42,MATCH('Model Inputs &amp; Assumptions'!$L$29,'Model Inputs &amp; Assumptions'!$A$40:$A$42,0))*INDEX('Model Inputs &amp; Assumptions'!$H$40:$H$42,MATCH('Model Inputs &amp; Assumptions'!$L$29,'Model Inputs &amp; Assumptions'!$A$40:$A$42,0))</f>
        <v>215533.084913951</v>
      </c>
      <c r="K570" s="49" t="n">
        <f aca="false">H570*INDEX('Model Inputs &amp; Assumptions'!$G$40:$G$42,MATCH('Model Inputs &amp; Assumptions'!$L$29,'Model Inputs &amp; Assumptions'!$A$40:$A$42,0))*INDEX('Model Inputs &amp; Assumptions'!$H$40:$H$42,MATCH('Model Inputs &amp; Assumptions'!$L$29,'Model Inputs &amp; Assumptions'!$A$40:$A$42,0))</f>
        <v>4849.4944105639</v>
      </c>
      <c r="L570" s="51" t="n">
        <f aca="false">IFERROR(K570/I570,0)</f>
        <v>0.746076063163677</v>
      </c>
      <c r="M570" s="49" t="n">
        <f aca="false">IFERROR(I570/H570,0)</f>
        <v>256.341155336119</v>
      </c>
      <c r="N570" s="52" t="str">
        <f aca="false">'Model Inputs &amp; Assumptions'!$L$29</f>
        <v>PRD-EUAI</v>
      </c>
      <c r="P570" s="53" t="n">
        <v>0.291712</v>
      </c>
      <c r="Q570" s="53" t="n">
        <v>-0.68933</v>
      </c>
      <c r="R570" s="53" t="n">
        <v>-1.200294</v>
      </c>
      <c r="S570" s="53" t="n">
        <v>0.66912</v>
      </c>
    </row>
    <row r="571" customFormat="false" ht="15" hidden="false" customHeight="false" outlineLevel="0" collapsed="false">
      <c r="A571" s="43" t="n">
        <v>68</v>
      </c>
      <c r="B571" s="44" t="str">
        <f aca="false">'Model Inputs &amp; Assumptions'!$B$29</f>
        <v>Handelsblatt — Native Explainer</v>
      </c>
      <c r="C571" s="45" t="n">
        <f aca="false">ROUND(MAX(0,'Model Inputs &amp; Assumptions'!$S$29*EXP('Model Inputs &amp; Assumptions'!$T$29*P571-'Model Inputs &amp; Assumptions'!$T$29^2/2)),0)</f>
        <v>251250</v>
      </c>
      <c r="D571" s="46" t="n">
        <f aca="false">MIN(1,'Model Inputs &amp; Assumptions'!$U$29*EXP('Model Inputs &amp; Assumptions'!$V$29*Q571-'Model Inputs &amp; Assumptions'!$V$29^2/2))</f>
        <v>0</v>
      </c>
      <c r="E571" s="45" t="n">
        <f aca="false">ROUND(C571*D571,0)</f>
        <v>0</v>
      </c>
      <c r="F571" s="47" t="n">
        <f aca="false">MIN(1,'Model Inputs &amp; Assumptions'!$W$29*EXP('Model Inputs &amp; Assumptions'!$X$29*R571-'Model Inputs &amp; Assumptions'!$X$29^2/2))</f>
        <v>0.00271808051675115</v>
      </c>
      <c r="G571" s="45" t="n">
        <f aca="false">ROUND(C571*F571,0)</f>
        <v>683</v>
      </c>
      <c r="H571" s="48" t="n">
        <f aca="false">MAX(0,(C571*'Model Inputs &amp; Assumptions'!$N$29+E571*'Model Inputs &amp; Assumptions'!$O$29+G571*'Model Inputs &amp; Assumptions'!$P$29)*EXP('Model Inputs &amp; Assumptions'!$Q$29*S571-'Model Inputs &amp; Assumptions'!$Q$29^2/2))</f>
        <v>57.238187313949</v>
      </c>
      <c r="I571" s="49" t="n">
        <f aca="false">IF('Model Inputs &amp; Assumptions'!$H$29="Fixed",'Model Inputs &amp; Assumptions'!$I$29*'Model Inputs &amp; Assumptions'!$K$29,IF('Model Inputs &amp; Assumptions'!$H$29="CPM",'Model Inputs &amp; Assumptions'!$I$29*'Model Inputs &amp; Assumptions'!$K$29*C571/1000,IF('Model Inputs &amp; Assumptions'!$H$29="CPC",'Model Inputs &amp; Assumptions'!$I$29*'Model Inputs &amp; Assumptions'!$K$29*G571,0)))</f>
        <v>6500</v>
      </c>
      <c r="J571" s="50" t="n">
        <f aca="false">H571*INDEX('Model Inputs &amp; Assumptions'!$D$40:$D$42,MATCH('Model Inputs &amp; Assumptions'!$L$29,'Model Inputs &amp; Assumptions'!$A$40:$A$42,0))*INDEX('Model Inputs &amp; Assumptions'!$H$40:$H$42,MATCH('Model Inputs &amp; Assumptions'!$L$29,'Model Inputs &amp; Assumptions'!$A$40:$A$42,0))</f>
        <v>486524.592168566</v>
      </c>
      <c r="K571" s="49" t="n">
        <f aca="false">H571*INDEX('Model Inputs &amp; Assumptions'!$G$40:$G$42,MATCH('Model Inputs &amp; Assumptions'!$L$29,'Model Inputs &amp; Assumptions'!$A$40:$A$42,0))*INDEX('Model Inputs &amp; Assumptions'!$H$40:$H$42,MATCH('Model Inputs &amp; Assumptions'!$L$29,'Model Inputs &amp; Assumptions'!$A$40:$A$42,0))</f>
        <v>10946.8033237927</v>
      </c>
      <c r="L571" s="51" t="n">
        <f aca="false">IFERROR(K571/I571,0)</f>
        <v>1.68412358827581</v>
      </c>
      <c r="M571" s="49" t="n">
        <f aca="false">IFERROR(I571/H571,0)</f>
        <v>113.56054943438</v>
      </c>
      <c r="N571" s="52" t="str">
        <f aca="false">'Model Inputs &amp; Assumptions'!$L$29</f>
        <v>PRD-EUAI</v>
      </c>
      <c r="P571" s="53" t="n">
        <v>1.192641</v>
      </c>
      <c r="Q571" s="53" t="n">
        <v>1.23958</v>
      </c>
      <c r="R571" s="53" t="n">
        <v>-0.218993</v>
      </c>
      <c r="S571" s="53" t="n">
        <v>1.871529</v>
      </c>
    </row>
    <row r="572" customFormat="false" ht="15" hidden="false" customHeight="false" outlineLevel="0" collapsed="false">
      <c r="A572" s="43" t="n">
        <v>69</v>
      </c>
      <c r="B572" s="44" t="str">
        <f aca="false">'Model Inputs &amp; Assumptions'!$B$29</f>
        <v>Handelsblatt — Native Explainer</v>
      </c>
      <c r="C572" s="45" t="n">
        <f aca="false">ROUND(MAX(0,'Model Inputs &amp; Assumptions'!$S$29*EXP('Model Inputs &amp; Assumptions'!$T$29*P572-'Model Inputs &amp; Assumptions'!$T$29^2/2)),0)</f>
        <v>222072</v>
      </c>
      <c r="D572" s="46" t="n">
        <f aca="false">MIN(1,'Model Inputs &amp; Assumptions'!$U$29*EXP('Model Inputs &amp; Assumptions'!$V$29*Q572-'Model Inputs &amp; Assumptions'!$V$29^2/2))</f>
        <v>0</v>
      </c>
      <c r="E572" s="45" t="n">
        <f aca="false">ROUND(C572*D572,0)</f>
        <v>0</v>
      </c>
      <c r="F572" s="47" t="n">
        <f aca="false">MIN(1,'Model Inputs &amp; Assumptions'!$W$29*EXP('Model Inputs &amp; Assumptions'!$X$29*R572-'Model Inputs &amp; Assumptions'!$X$29^2/2))</f>
        <v>0.00178590644527762</v>
      </c>
      <c r="G572" s="45" t="n">
        <f aca="false">ROUND(C572*F572,0)</f>
        <v>397</v>
      </c>
      <c r="H572" s="48" t="n">
        <f aca="false">MAX(0,(C572*'Model Inputs &amp; Assumptions'!$N$29+E572*'Model Inputs &amp; Assumptions'!$O$29+G572*'Model Inputs &amp; Assumptions'!$P$29)*EXP('Model Inputs &amp; Assumptions'!$Q$29*S572-'Model Inputs &amp; Assumptions'!$Q$29^2/2))</f>
        <v>19.2410267102655</v>
      </c>
      <c r="I572" s="49" t="n">
        <f aca="false">IF('Model Inputs &amp; Assumptions'!$H$29="Fixed",'Model Inputs &amp; Assumptions'!$I$29*'Model Inputs &amp; Assumptions'!$K$29,IF('Model Inputs &amp; Assumptions'!$H$29="CPM",'Model Inputs &amp; Assumptions'!$I$29*'Model Inputs &amp; Assumptions'!$K$29*C572/1000,IF('Model Inputs &amp; Assumptions'!$H$29="CPC",'Model Inputs &amp; Assumptions'!$I$29*'Model Inputs &amp; Assumptions'!$K$29*G572,0)))</f>
        <v>6500</v>
      </c>
      <c r="J572" s="50" t="n">
        <f aca="false">H572*INDEX('Model Inputs &amp; Assumptions'!$D$40:$D$42,MATCH('Model Inputs &amp; Assumptions'!$L$29,'Model Inputs &amp; Assumptions'!$A$40:$A$42,0))*INDEX('Model Inputs &amp; Assumptions'!$H$40:$H$42,MATCH('Model Inputs &amp; Assumptions'!$L$29,'Model Inputs &amp; Assumptions'!$A$40:$A$42,0))</f>
        <v>163548.727037256</v>
      </c>
      <c r="K572" s="49" t="n">
        <f aca="false">H572*INDEX('Model Inputs &amp; Assumptions'!$G$40:$G$42,MATCH('Model Inputs &amp; Assumptions'!$L$29,'Model Inputs &amp; Assumptions'!$A$40:$A$42,0))*INDEX('Model Inputs &amp; Assumptions'!$H$40:$H$42,MATCH('Model Inputs &amp; Assumptions'!$L$29,'Model Inputs &amp; Assumptions'!$A$40:$A$42,0))</f>
        <v>3679.84635833827</v>
      </c>
      <c r="L572" s="51" t="n">
        <f aca="false">IFERROR(K572/I572,0)</f>
        <v>0.566130208975118</v>
      </c>
      <c r="M572" s="49" t="n">
        <f aca="false">IFERROR(I572/H572,0)</f>
        <v>337.819810651379</v>
      </c>
      <c r="N572" s="52" t="str">
        <f aca="false">'Model Inputs &amp; Assumptions'!$L$29</f>
        <v>PRD-EUAI</v>
      </c>
      <c r="P572" s="53" t="n">
        <v>0.631518</v>
      </c>
      <c r="Q572" s="53" t="n">
        <v>-1.763619</v>
      </c>
      <c r="R572" s="53" t="n">
        <v>-1.834377</v>
      </c>
      <c r="S572" s="53" t="n">
        <v>0.046136</v>
      </c>
    </row>
    <row r="573" customFormat="false" ht="15" hidden="false" customHeight="false" outlineLevel="0" collapsed="false">
      <c r="A573" s="43" t="n">
        <v>70</v>
      </c>
      <c r="B573" s="44" t="str">
        <f aca="false">'Model Inputs &amp; Assumptions'!$B$29</f>
        <v>Handelsblatt — Native Explainer</v>
      </c>
      <c r="C573" s="45" t="n">
        <f aca="false">ROUND(MAX(0,'Model Inputs &amp; Assumptions'!$S$29*EXP('Model Inputs &amp; Assumptions'!$T$29*P573-'Model Inputs &amp; Assumptions'!$T$29^2/2)),0)</f>
        <v>230470</v>
      </c>
      <c r="D573" s="46" t="n">
        <f aca="false">MIN(1,'Model Inputs &amp; Assumptions'!$U$29*EXP('Model Inputs &amp; Assumptions'!$V$29*Q573-'Model Inputs &amp; Assumptions'!$V$29^2/2))</f>
        <v>0</v>
      </c>
      <c r="E573" s="45" t="n">
        <f aca="false">ROUND(C573*D573,0)</f>
        <v>0</v>
      </c>
      <c r="F573" s="47" t="n">
        <f aca="false">MIN(1,'Model Inputs &amp; Assumptions'!$W$29*EXP('Model Inputs &amp; Assumptions'!$X$29*R573-'Model Inputs &amp; Assumptions'!$X$29^2/2))</f>
        <v>0.00272552235272592</v>
      </c>
      <c r="G573" s="45" t="n">
        <f aca="false">ROUND(C573*F573,0)</f>
        <v>628</v>
      </c>
      <c r="H573" s="48" t="n">
        <f aca="false">MAX(0,(C573*'Model Inputs &amp; Assumptions'!$N$29+E573*'Model Inputs &amp; Assumptions'!$O$29+G573*'Model Inputs &amp; Assumptions'!$P$29)*EXP('Model Inputs &amp; Assumptions'!$Q$29*S573-'Model Inputs &amp; Assumptions'!$Q$29^2/2))</f>
        <v>19.8188061586816</v>
      </c>
      <c r="I573" s="49" t="n">
        <f aca="false">IF('Model Inputs &amp; Assumptions'!$H$29="Fixed",'Model Inputs &amp; Assumptions'!$I$29*'Model Inputs &amp; Assumptions'!$K$29,IF('Model Inputs &amp; Assumptions'!$H$29="CPM",'Model Inputs &amp; Assumptions'!$I$29*'Model Inputs &amp; Assumptions'!$K$29*C573/1000,IF('Model Inputs &amp; Assumptions'!$H$29="CPC",'Model Inputs &amp; Assumptions'!$I$29*'Model Inputs &amp; Assumptions'!$K$29*G573,0)))</f>
        <v>6500</v>
      </c>
      <c r="J573" s="50" t="n">
        <f aca="false">H573*INDEX('Model Inputs &amp; Assumptions'!$D$40:$D$42,MATCH('Model Inputs &amp; Assumptions'!$L$29,'Model Inputs &amp; Assumptions'!$A$40:$A$42,0))*INDEX('Model Inputs &amp; Assumptions'!$H$40:$H$42,MATCH('Model Inputs &amp; Assumptions'!$L$29,'Model Inputs &amp; Assumptions'!$A$40:$A$42,0))</f>
        <v>168459.852348793</v>
      </c>
      <c r="K573" s="49" t="n">
        <f aca="false">H573*INDEX('Model Inputs &amp; Assumptions'!$G$40:$G$42,MATCH('Model Inputs &amp; Assumptions'!$L$29,'Model Inputs &amp; Assumptions'!$A$40:$A$42,0))*INDEX('Model Inputs &amp; Assumptions'!$H$40:$H$42,MATCH('Model Inputs &amp; Assumptions'!$L$29,'Model Inputs &amp; Assumptions'!$A$40:$A$42,0))</f>
        <v>3790.34667784785</v>
      </c>
      <c r="L573" s="51" t="n">
        <f aca="false">IFERROR(K573/I573,0)</f>
        <v>0.583130258130438</v>
      </c>
      <c r="M573" s="49" t="n">
        <f aca="false">IFERROR(I573/H573,0)</f>
        <v>327.971319158026</v>
      </c>
      <c r="N573" s="52" t="str">
        <f aca="false">'Model Inputs &amp; Assumptions'!$L$29</f>
        <v>PRD-EUAI</v>
      </c>
      <c r="P573" s="53" t="n">
        <v>0.800244</v>
      </c>
      <c r="Q573" s="53" t="n">
        <v>-0.19804</v>
      </c>
      <c r="R573" s="53" t="n">
        <v>-0.208477</v>
      </c>
      <c r="S573" s="53" t="n">
        <v>-1.383922</v>
      </c>
    </row>
    <row r="574" customFormat="false" ht="15" hidden="false" customHeight="false" outlineLevel="0" collapsed="false">
      <c r="A574" s="43" t="n">
        <v>71</v>
      </c>
      <c r="B574" s="44" t="str">
        <f aca="false">'Model Inputs &amp; Assumptions'!$B$29</f>
        <v>Handelsblatt — Native Explainer</v>
      </c>
      <c r="C574" s="45" t="n">
        <f aca="false">ROUND(MAX(0,'Model Inputs &amp; Assumptions'!$S$29*EXP('Model Inputs &amp; Assumptions'!$T$29*P574-'Model Inputs &amp; Assumptions'!$T$29^2/2)),0)</f>
        <v>200381</v>
      </c>
      <c r="D574" s="46" t="n">
        <f aca="false">MIN(1,'Model Inputs &amp; Assumptions'!$U$29*EXP('Model Inputs &amp; Assumptions'!$V$29*Q574-'Model Inputs &amp; Assumptions'!$V$29^2/2))</f>
        <v>0</v>
      </c>
      <c r="E574" s="45" t="n">
        <f aca="false">ROUND(C574*D574,0)</f>
        <v>0</v>
      </c>
      <c r="F574" s="47" t="n">
        <f aca="false">MIN(1,'Model Inputs &amp; Assumptions'!$W$29*EXP('Model Inputs &amp; Assumptions'!$X$29*R574-'Model Inputs &amp; Assumptions'!$X$29^2/2))</f>
        <v>0.00276073535943325</v>
      </c>
      <c r="G574" s="45" t="n">
        <f aca="false">ROUND(C574*F574,0)</f>
        <v>553</v>
      </c>
      <c r="H574" s="48" t="n">
        <f aca="false">MAX(0,(C574*'Model Inputs &amp; Assumptions'!$N$29+E574*'Model Inputs &amp; Assumptions'!$O$29+G574*'Model Inputs &amp; Assumptions'!$P$29)*EXP('Model Inputs &amp; Assumptions'!$Q$29*S574-'Model Inputs &amp; Assumptions'!$Q$29^2/2))</f>
        <v>27.628259061832</v>
      </c>
      <c r="I574" s="49" t="n">
        <f aca="false">IF('Model Inputs &amp; Assumptions'!$H$29="Fixed",'Model Inputs &amp; Assumptions'!$I$29*'Model Inputs &amp; Assumptions'!$K$29,IF('Model Inputs &amp; Assumptions'!$H$29="CPM",'Model Inputs &amp; Assumptions'!$I$29*'Model Inputs &amp; Assumptions'!$K$29*C574/1000,IF('Model Inputs &amp; Assumptions'!$H$29="CPC",'Model Inputs &amp; Assumptions'!$I$29*'Model Inputs &amp; Assumptions'!$K$29*G574,0)))</f>
        <v>6500</v>
      </c>
      <c r="J574" s="50" t="n">
        <f aca="false">H574*INDEX('Model Inputs &amp; Assumptions'!$D$40:$D$42,MATCH('Model Inputs &amp; Assumptions'!$L$29,'Model Inputs &amp; Assumptions'!$A$40:$A$42,0))*INDEX('Model Inputs &amp; Assumptions'!$H$40:$H$42,MATCH('Model Inputs &amp; Assumptions'!$L$29,'Model Inputs &amp; Assumptions'!$A$40:$A$42,0))</f>
        <v>234840.202025572</v>
      </c>
      <c r="K574" s="49" t="n">
        <f aca="false">H574*INDEX('Model Inputs &amp; Assumptions'!$G$40:$G$42,MATCH('Model Inputs &amp; Assumptions'!$L$29,'Model Inputs &amp; Assumptions'!$A$40:$A$42,0))*INDEX('Model Inputs &amp; Assumptions'!$H$40:$H$42,MATCH('Model Inputs &amp; Assumptions'!$L$29,'Model Inputs &amp; Assumptions'!$A$40:$A$42,0))</f>
        <v>5283.90454557537</v>
      </c>
      <c r="L574" s="51" t="n">
        <f aca="false">IFERROR(K574/I574,0)</f>
        <v>0.812908391626979</v>
      </c>
      <c r="M574" s="49" t="n">
        <f aca="false">IFERROR(I574/H574,0)</f>
        <v>235.266362077068</v>
      </c>
      <c r="N574" s="52" t="str">
        <f aca="false">'Model Inputs &amp; Assumptions'!$L$29</f>
        <v>PRD-EUAI</v>
      </c>
      <c r="P574" s="53" t="n">
        <v>0.164336</v>
      </c>
      <c r="Q574" s="53" t="n">
        <v>-0.144168</v>
      </c>
      <c r="R574" s="53" t="n">
        <v>-0.159104</v>
      </c>
      <c r="S574" s="53" t="n">
        <v>0.147378</v>
      </c>
    </row>
    <row r="575" customFormat="false" ht="15" hidden="false" customHeight="false" outlineLevel="0" collapsed="false">
      <c r="A575" s="43" t="n">
        <v>72</v>
      </c>
      <c r="B575" s="44" t="str">
        <f aca="false">'Model Inputs &amp; Assumptions'!$B$29</f>
        <v>Handelsblatt — Native Explainer</v>
      </c>
      <c r="C575" s="45" t="n">
        <f aca="false">ROUND(MAX(0,'Model Inputs &amp; Assumptions'!$S$29*EXP('Model Inputs &amp; Assumptions'!$T$29*P575-'Model Inputs &amp; Assumptions'!$T$29^2/2)),0)</f>
        <v>176795</v>
      </c>
      <c r="D575" s="46" t="n">
        <f aca="false">MIN(1,'Model Inputs &amp; Assumptions'!$U$29*EXP('Model Inputs &amp; Assumptions'!$V$29*Q575-'Model Inputs &amp; Assumptions'!$V$29^2/2))</f>
        <v>0</v>
      </c>
      <c r="E575" s="45" t="n">
        <f aca="false">ROUND(C575*D575,0)</f>
        <v>0</v>
      </c>
      <c r="F575" s="47" t="n">
        <f aca="false">MIN(1,'Model Inputs &amp; Assumptions'!$W$29*EXP('Model Inputs &amp; Assumptions'!$X$29*R575-'Model Inputs &amp; Assumptions'!$X$29^2/2))</f>
        <v>0.00350852330742439</v>
      </c>
      <c r="G575" s="45" t="n">
        <f aca="false">ROUND(C575*F575,0)</f>
        <v>620</v>
      </c>
      <c r="H575" s="48" t="n">
        <f aca="false">MAX(0,(C575*'Model Inputs &amp; Assumptions'!$N$29+E575*'Model Inputs &amp; Assumptions'!$O$29+G575*'Model Inputs &amp; Assumptions'!$P$29)*EXP('Model Inputs &amp; Assumptions'!$Q$29*S575-'Model Inputs &amp; Assumptions'!$Q$29^2/2))</f>
        <v>28.8694604481353</v>
      </c>
      <c r="I575" s="49" t="n">
        <f aca="false">IF('Model Inputs &amp; Assumptions'!$H$29="Fixed",'Model Inputs &amp; Assumptions'!$I$29*'Model Inputs &amp; Assumptions'!$K$29,IF('Model Inputs &amp; Assumptions'!$H$29="CPM",'Model Inputs &amp; Assumptions'!$I$29*'Model Inputs &amp; Assumptions'!$K$29*C575/1000,IF('Model Inputs &amp; Assumptions'!$H$29="CPC",'Model Inputs &amp; Assumptions'!$I$29*'Model Inputs &amp; Assumptions'!$K$29*G575,0)))</f>
        <v>6500</v>
      </c>
      <c r="J575" s="50" t="n">
        <f aca="false">H575*INDEX('Model Inputs &amp; Assumptions'!$D$40:$D$42,MATCH('Model Inputs &amp; Assumptions'!$L$29,'Model Inputs &amp; Assumptions'!$A$40:$A$42,0))*INDEX('Model Inputs &amp; Assumptions'!$H$40:$H$42,MATCH('Model Inputs &amp; Assumptions'!$L$29,'Model Inputs &amp; Assumptions'!$A$40:$A$42,0))</f>
        <v>245390.41380915</v>
      </c>
      <c r="K575" s="49" t="n">
        <f aca="false">H575*INDEX('Model Inputs &amp; Assumptions'!$G$40:$G$42,MATCH('Model Inputs &amp; Assumptions'!$L$29,'Model Inputs &amp; Assumptions'!$A$40:$A$42,0))*INDEX('Model Inputs &amp; Assumptions'!$H$40:$H$42,MATCH('Model Inputs &amp; Assumptions'!$L$29,'Model Inputs &amp; Assumptions'!$A$40:$A$42,0))</f>
        <v>5521.28431070588</v>
      </c>
      <c r="L575" s="51" t="n">
        <f aca="false">IFERROR(K575/I575,0)</f>
        <v>0.849428355493213</v>
      </c>
      <c r="M575" s="49" t="n">
        <f aca="false">IFERROR(I575/H575,0)</f>
        <v>225.151419496648</v>
      </c>
      <c r="N575" s="52" t="str">
        <f aca="false">'Model Inputs &amp; Assumptions'!$L$29</f>
        <v>PRD-EUAI</v>
      </c>
      <c r="P575" s="53" t="n">
        <v>-0.404897</v>
      </c>
      <c r="Q575" s="53" t="n">
        <v>1.832138</v>
      </c>
      <c r="R575" s="53" t="n">
        <v>0.762812</v>
      </c>
      <c r="S575" s="53" t="n">
        <v>-0.087343</v>
      </c>
    </row>
    <row r="576" customFormat="false" ht="15" hidden="false" customHeight="false" outlineLevel="0" collapsed="false">
      <c r="A576" s="43" t="n">
        <v>73</v>
      </c>
      <c r="B576" s="44" t="str">
        <f aca="false">'Model Inputs &amp; Assumptions'!$B$29</f>
        <v>Handelsblatt — Native Explainer</v>
      </c>
      <c r="C576" s="45" t="n">
        <f aca="false">ROUND(MAX(0,'Model Inputs &amp; Assumptions'!$S$29*EXP('Model Inputs &amp; Assumptions'!$T$29*P576-'Model Inputs &amp; Assumptions'!$T$29^2/2)),0)</f>
        <v>236612</v>
      </c>
      <c r="D576" s="46" t="n">
        <f aca="false">MIN(1,'Model Inputs &amp; Assumptions'!$U$29*EXP('Model Inputs &amp; Assumptions'!$V$29*Q576-'Model Inputs &amp; Assumptions'!$V$29^2/2))</f>
        <v>0</v>
      </c>
      <c r="E576" s="45" t="n">
        <f aca="false">ROUND(C576*D576,0)</f>
        <v>0</v>
      </c>
      <c r="F576" s="47" t="n">
        <f aca="false">MIN(1,'Model Inputs &amp; Assumptions'!$W$29*EXP('Model Inputs &amp; Assumptions'!$X$29*R576-'Model Inputs &amp; Assumptions'!$X$29^2/2))</f>
        <v>0.00316599182337268</v>
      </c>
      <c r="G576" s="45" t="n">
        <f aca="false">ROUND(C576*F576,0)</f>
        <v>749</v>
      </c>
      <c r="H576" s="48" t="n">
        <f aca="false">MAX(0,(C576*'Model Inputs &amp; Assumptions'!$N$29+E576*'Model Inputs &amp; Assumptions'!$O$29+G576*'Model Inputs &amp; Assumptions'!$P$29)*EXP('Model Inputs &amp; Assumptions'!$Q$29*S576-'Model Inputs &amp; Assumptions'!$Q$29^2/2))</f>
        <v>13.4752559353716</v>
      </c>
      <c r="I576" s="49" t="n">
        <f aca="false">IF('Model Inputs &amp; Assumptions'!$H$29="Fixed",'Model Inputs &amp; Assumptions'!$I$29*'Model Inputs &amp; Assumptions'!$K$29,IF('Model Inputs &amp; Assumptions'!$H$29="CPM",'Model Inputs &amp; Assumptions'!$I$29*'Model Inputs &amp; Assumptions'!$K$29*C576/1000,IF('Model Inputs &amp; Assumptions'!$H$29="CPC",'Model Inputs &amp; Assumptions'!$I$29*'Model Inputs &amp; Assumptions'!$K$29*G576,0)))</f>
        <v>6500</v>
      </c>
      <c r="J576" s="50" t="n">
        <f aca="false">H576*INDEX('Model Inputs &amp; Assumptions'!$D$40:$D$42,MATCH('Model Inputs &amp; Assumptions'!$L$29,'Model Inputs &amp; Assumptions'!$A$40:$A$42,0))*INDEX('Model Inputs &amp; Assumptions'!$H$40:$H$42,MATCH('Model Inputs &amp; Assumptions'!$L$29,'Model Inputs &amp; Assumptions'!$A$40:$A$42,0))</f>
        <v>114539.675450658</v>
      </c>
      <c r="K576" s="49" t="n">
        <f aca="false">H576*INDEX('Model Inputs &amp; Assumptions'!$G$40:$G$42,MATCH('Model Inputs &amp; Assumptions'!$L$29,'Model Inputs &amp; Assumptions'!$A$40:$A$42,0))*INDEX('Model Inputs &amp; Assumptions'!$H$40:$H$42,MATCH('Model Inputs &amp; Assumptions'!$L$29,'Model Inputs &amp; Assumptions'!$A$40:$A$42,0))</f>
        <v>2577.14269763981</v>
      </c>
      <c r="L576" s="51" t="n">
        <f aca="false">IFERROR(K576/I576,0)</f>
        <v>0.396483491944587</v>
      </c>
      <c r="M576" s="49" t="n">
        <f aca="false">IFERROR(I576/H576,0)</f>
        <v>482.365606350969</v>
      </c>
      <c r="N576" s="52" t="str">
        <f aca="false">'Model Inputs &amp; Assumptions'!$L$29</f>
        <v>PRD-EUAI</v>
      </c>
      <c r="P576" s="53" t="n">
        <v>0.919786</v>
      </c>
      <c r="Q576" s="53" t="n">
        <v>-0.564749</v>
      </c>
      <c r="R576" s="53" t="n">
        <v>0.367701</v>
      </c>
      <c r="S576" s="53" t="n">
        <v>-3.257172</v>
      </c>
    </row>
    <row r="577" customFormat="false" ht="15" hidden="false" customHeight="false" outlineLevel="0" collapsed="false">
      <c r="A577" s="43" t="n">
        <v>74</v>
      </c>
      <c r="B577" s="44" t="str">
        <f aca="false">'Model Inputs &amp; Assumptions'!$B$29</f>
        <v>Handelsblatt — Native Explainer</v>
      </c>
      <c r="C577" s="45" t="n">
        <f aca="false">ROUND(MAX(0,'Model Inputs &amp; Assumptions'!$S$29*EXP('Model Inputs &amp; Assumptions'!$T$29*P577-'Model Inputs &amp; Assumptions'!$T$29^2/2)),0)</f>
        <v>210500</v>
      </c>
      <c r="D577" s="46" t="n">
        <f aca="false">MIN(1,'Model Inputs &amp; Assumptions'!$U$29*EXP('Model Inputs &amp; Assumptions'!$V$29*Q577-'Model Inputs &amp; Assumptions'!$V$29^2/2))</f>
        <v>0</v>
      </c>
      <c r="E577" s="45" t="n">
        <f aca="false">ROUND(C577*D577,0)</f>
        <v>0</v>
      </c>
      <c r="F577" s="47" t="n">
        <f aca="false">MIN(1,'Model Inputs &amp; Assumptions'!$W$29*EXP('Model Inputs &amp; Assumptions'!$X$29*R577-'Model Inputs &amp; Assumptions'!$X$29^2/2))</f>
        <v>0.00224927274341501</v>
      </c>
      <c r="G577" s="45" t="n">
        <f aca="false">ROUND(C577*F577,0)</f>
        <v>473</v>
      </c>
      <c r="H577" s="48" t="n">
        <f aca="false">MAX(0,(C577*'Model Inputs &amp; Assumptions'!$N$29+E577*'Model Inputs &amp; Assumptions'!$O$29+G577*'Model Inputs &amp; Assumptions'!$P$29)*EXP('Model Inputs &amp; Assumptions'!$Q$29*S577-'Model Inputs &amp; Assumptions'!$Q$29^2/2))</f>
        <v>27.0695780174977</v>
      </c>
      <c r="I577" s="49" t="n">
        <f aca="false">IF('Model Inputs &amp; Assumptions'!$H$29="Fixed",'Model Inputs &amp; Assumptions'!$I$29*'Model Inputs &amp; Assumptions'!$K$29,IF('Model Inputs &amp; Assumptions'!$H$29="CPM",'Model Inputs &amp; Assumptions'!$I$29*'Model Inputs &amp; Assumptions'!$K$29*C577/1000,IF('Model Inputs &amp; Assumptions'!$H$29="CPC",'Model Inputs &amp; Assumptions'!$I$29*'Model Inputs &amp; Assumptions'!$K$29*G577,0)))</f>
        <v>6500</v>
      </c>
      <c r="J577" s="50" t="n">
        <f aca="false">H577*INDEX('Model Inputs &amp; Assumptions'!$D$40:$D$42,MATCH('Model Inputs &amp; Assumptions'!$L$29,'Model Inputs &amp; Assumptions'!$A$40:$A$42,0))*INDEX('Model Inputs &amp; Assumptions'!$H$40:$H$42,MATCH('Model Inputs &amp; Assumptions'!$L$29,'Model Inputs &amp; Assumptions'!$A$40:$A$42,0))</f>
        <v>230091.41314873</v>
      </c>
      <c r="K577" s="49" t="n">
        <f aca="false">H577*INDEX('Model Inputs &amp; Assumptions'!$G$40:$G$42,MATCH('Model Inputs &amp; Assumptions'!$L$29,'Model Inputs &amp; Assumptions'!$A$40:$A$42,0))*INDEX('Model Inputs &amp; Assumptions'!$H$40:$H$42,MATCH('Model Inputs &amp; Assumptions'!$L$29,'Model Inputs &amp; Assumptions'!$A$40:$A$42,0))</f>
        <v>5177.05679584643</v>
      </c>
      <c r="L577" s="51" t="n">
        <f aca="false">IFERROR(K577/I577,0)</f>
        <v>0.796470276284066</v>
      </c>
      <c r="M577" s="49" t="n">
        <f aca="false">IFERROR(I577/H577,0)</f>
        <v>240.121955199982</v>
      </c>
      <c r="N577" s="52" t="str">
        <f aca="false">'Model Inputs &amp; Assumptions'!$L$29</f>
        <v>PRD-EUAI</v>
      </c>
      <c r="P577" s="53" t="n">
        <v>0.388276</v>
      </c>
      <c r="Q577" s="53" t="n">
        <v>-2.185004</v>
      </c>
      <c r="R577" s="53" t="n">
        <v>-0.947143</v>
      </c>
      <c r="S577" s="53" t="n">
        <v>0.600158</v>
      </c>
    </row>
    <row r="578" customFormat="false" ht="15" hidden="false" customHeight="false" outlineLevel="0" collapsed="false">
      <c r="A578" s="43" t="n">
        <v>75</v>
      </c>
      <c r="B578" s="44" t="str">
        <f aca="false">'Model Inputs &amp; Assumptions'!$B$29</f>
        <v>Handelsblatt — Native Explainer</v>
      </c>
      <c r="C578" s="45" t="n">
        <f aca="false">ROUND(MAX(0,'Model Inputs &amp; Assumptions'!$S$29*EXP('Model Inputs &amp; Assumptions'!$T$29*P578-'Model Inputs &amp; Assumptions'!$T$29^2/2)),0)</f>
        <v>199629</v>
      </c>
      <c r="D578" s="46" t="n">
        <f aca="false">MIN(1,'Model Inputs &amp; Assumptions'!$U$29*EXP('Model Inputs &amp; Assumptions'!$V$29*Q578-'Model Inputs &amp; Assumptions'!$V$29^2/2))</f>
        <v>0</v>
      </c>
      <c r="E578" s="45" t="n">
        <f aca="false">ROUND(C578*D578,0)</f>
        <v>0</v>
      </c>
      <c r="F578" s="47" t="n">
        <f aca="false">MIN(1,'Model Inputs &amp; Assumptions'!$W$29*EXP('Model Inputs &amp; Assumptions'!$X$29*R578-'Model Inputs &amp; Assumptions'!$X$29^2/2))</f>
        <v>0.00268230735860963</v>
      </c>
      <c r="G578" s="45" t="n">
        <f aca="false">ROUND(C578*F578,0)</f>
        <v>535</v>
      </c>
      <c r="H578" s="48" t="n">
        <f aca="false">MAX(0,(C578*'Model Inputs &amp; Assumptions'!$N$29+E578*'Model Inputs &amp; Assumptions'!$O$29+G578*'Model Inputs &amp; Assumptions'!$P$29)*EXP('Model Inputs &amp; Assumptions'!$Q$29*S578-'Model Inputs &amp; Assumptions'!$Q$29^2/2))</f>
        <v>38.1716797683049</v>
      </c>
      <c r="I578" s="49" t="n">
        <f aca="false">IF('Model Inputs &amp; Assumptions'!$H$29="Fixed",'Model Inputs &amp; Assumptions'!$I$29*'Model Inputs &amp; Assumptions'!$K$29,IF('Model Inputs &amp; Assumptions'!$H$29="CPM",'Model Inputs &amp; Assumptions'!$I$29*'Model Inputs &amp; Assumptions'!$K$29*C578/1000,IF('Model Inputs &amp; Assumptions'!$H$29="CPC",'Model Inputs &amp; Assumptions'!$I$29*'Model Inputs &amp; Assumptions'!$K$29*G578,0)))</f>
        <v>6500</v>
      </c>
      <c r="J578" s="50" t="n">
        <f aca="false">H578*INDEX('Model Inputs &amp; Assumptions'!$D$40:$D$42,MATCH('Model Inputs &amp; Assumptions'!$L$29,'Model Inputs &amp; Assumptions'!$A$40:$A$42,0))*INDEX('Model Inputs &amp; Assumptions'!$H$40:$H$42,MATCH('Model Inputs &amp; Assumptions'!$L$29,'Model Inputs &amp; Assumptions'!$A$40:$A$42,0))</f>
        <v>324459.278030592</v>
      </c>
      <c r="K578" s="49" t="n">
        <f aca="false">H578*INDEX('Model Inputs &amp; Assumptions'!$G$40:$G$42,MATCH('Model Inputs &amp; Assumptions'!$L$29,'Model Inputs &amp; Assumptions'!$A$40:$A$42,0))*INDEX('Model Inputs &amp; Assumptions'!$H$40:$H$42,MATCH('Model Inputs &amp; Assumptions'!$L$29,'Model Inputs &amp; Assumptions'!$A$40:$A$42,0))</f>
        <v>7300.33375568832</v>
      </c>
      <c r="L578" s="51" t="n">
        <f aca="false">IFERROR(K578/I578,0)</f>
        <v>1.12312827010589</v>
      </c>
      <c r="M578" s="49" t="n">
        <f aca="false">IFERROR(I578/H578,0)</f>
        <v>170.283310544723</v>
      </c>
      <c r="N578" s="52" t="str">
        <f aca="false">'Model Inputs &amp; Assumptions'!$L$29</f>
        <v>PRD-EUAI</v>
      </c>
      <c r="P578" s="53" t="n">
        <v>0.147251</v>
      </c>
      <c r="Q578" s="53" t="n">
        <v>-0.037267</v>
      </c>
      <c r="R578" s="53" t="n">
        <v>-0.269949</v>
      </c>
      <c r="S578" s="53" t="n">
        <v>1.335198</v>
      </c>
    </row>
    <row r="579" customFormat="false" ht="15" hidden="false" customHeight="false" outlineLevel="0" collapsed="false">
      <c r="A579" s="43" t="n">
        <v>76</v>
      </c>
      <c r="B579" s="44" t="str">
        <f aca="false">'Model Inputs &amp; Assumptions'!$B$29</f>
        <v>Handelsblatt — Native Explainer</v>
      </c>
      <c r="C579" s="45" t="n">
        <f aca="false">ROUND(MAX(0,'Model Inputs &amp; Assumptions'!$S$29*EXP('Model Inputs &amp; Assumptions'!$T$29*P579-'Model Inputs &amp; Assumptions'!$T$29^2/2)),0)</f>
        <v>194156</v>
      </c>
      <c r="D579" s="46" t="n">
        <f aca="false">MIN(1,'Model Inputs &amp; Assumptions'!$U$29*EXP('Model Inputs &amp; Assumptions'!$V$29*Q579-'Model Inputs &amp; Assumptions'!$V$29^2/2))</f>
        <v>0</v>
      </c>
      <c r="E579" s="45" t="n">
        <f aca="false">ROUND(C579*D579,0)</f>
        <v>0</v>
      </c>
      <c r="F579" s="47" t="n">
        <f aca="false">MIN(1,'Model Inputs &amp; Assumptions'!$W$29*EXP('Model Inputs &amp; Assumptions'!$X$29*R579-'Model Inputs &amp; Assumptions'!$X$29^2/2))</f>
        <v>0.00299638229350773</v>
      </c>
      <c r="G579" s="45" t="n">
        <f aca="false">ROUND(C579*F579,0)</f>
        <v>582</v>
      </c>
      <c r="H579" s="48" t="n">
        <f aca="false">MAX(0,(C579*'Model Inputs &amp; Assumptions'!$N$29+E579*'Model Inputs &amp; Assumptions'!$O$29+G579*'Model Inputs &amp; Assumptions'!$P$29)*EXP('Model Inputs &amp; Assumptions'!$Q$29*S579-'Model Inputs &amp; Assumptions'!$Q$29^2/2))</f>
        <v>22.9291808932945</v>
      </c>
      <c r="I579" s="49" t="n">
        <f aca="false">IF('Model Inputs &amp; Assumptions'!$H$29="Fixed",'Model Inputs &amp; Assumptions'!$I$29*'Model Inputs &amp; Assumptions'!$K$29,IF('Model Inputs &amp; Assumptions'!$H$29="CPM",'Model Inputs &amp; Assumptions'!$I$29*'Model Inputs &amp; Assumptions'!$K$29*C579/1000,IF('Model Inputs &amp; Assumptions'!$H$29="CPC",'Model Inputs &amp; Assumptions'!$I$29*'Model Inputs &amp; Assumptions'!$K$29*G579,0)))</f>
        <v>6500</v>
      </c>
      <c r="J579" s="50" t="n">
        <f aca="false">H579*INDEX('Model Inputs &amp; Assumptions'!$D$40:$D$42,MATCH('Model Inputs &amp; Assumptions'!$L$29,'Model Inputs &amp; Assumptions'!$A$40:$A$42,0))*INDEX('Model Inputs &amp; Assumptions'!$H$40:$H$42,MATCH('Model Inputs &amp; Assumptions'!$L$29,'Model Inputs &amp; Assumptions'!$A$40:$A$42,0))</f>
        <v>194898.037593003</v>
      </c>
      <c r="K579" s="49" t="n">
        <f aca="false">H579*INDEX('Model Inputs &amp; Assumptions'!$G$40:$G$42,MATCH('Model Inputs &amp; Assumptions'!$L$29,'Model Inputs &amp; Assumptions'!$A$40:$A$42,0))*INDEX('Model Inputs &amp; Assumptions'!$H$40:$H$42,MATCH('Model Inputs &amp; Assumptions'!$L$29,'Model Inputs &amp; Assumptions'!$A$40:$A$42,0))</f>
        <v>4385.20584584257</v>
      </c>
      <c r="L579" s="51" t="n">
        <f aca="false">IFERROR(K579/I579,0)</f>
        <v>0.674647053206549</v>
      </c>
      <c r="M579" s="49" t="n">
        <f aca="false">IFERROR(I579/H579,0)</f>
        <v>283.481561345303</v>
      </c>
      <c r="N579" s="52" t="str">
        <f aca="false">'Model Inputs &amp; Assumptions'!$L$29</f>
        <v>PRD-EUAI</v>
      </c>
      <c r="P579" s="53" t="n">
        <v>0.020894</v>
      </c>
      <c r="Q579" s="53" t="n">
        <v>-0.208199</v>
      </c>
      <c r="R579" s="53" t="n">
        <v>0.155929</v>
      </c>
      <c r="S579" s="53" t="n">
        <v>-0.644426</v>
      </c>
    </row>
    <row r="580" customFormat="false" ht="15" hidden="false" customHeight="false" outlineLevel="0" collapsed="false">
      <c r="A580" s="43" t="n">
        <v>77</v>
      </c>
      <c r="B580" s="44" t="str">
        <f aca="false">'Model Inputs &amp; Assumptions'!$B$29</f>
        <v>Handelsblatt — Native Explainer</v>
      </c>
      <c r="C580" s="45" t="n">
        <f aca="false">ROUND(MAX(0,'Model Inputs &amp; Assumptions'!$S$29*EXP('Model Inputs &amp; Assumptions'!$T$29*P580-'Model Inputs &amp; Assumptions'!$T$29^2/2)),0)</f>
        <v>180562</v>
      </c>
      <c r="D580" s="46" t="n">
        <f aca="false">MIN(1,'Model Inputs &amp; Assumptions'!$U$29*EXP('Model Inputs &amp; Assumptions'!$V$29*Q580-'Model Inputs &amp; Assumptions'!$V$29^2/2))</f>
        <v>0</v>
      </c>
      <c r="E580" s="45" t="n">
        <f aca="false">ROUND(C580*D580,0)</f>
        <v>0</v>
      </c>
      <c r="F580" s="47" t="n">
        <f aca="false">MIN(1,'Model Inputs &amp; Assumptions'!$W$29*EXP('Model Inputs &amp; Assumptions'!$X$29*R580-'Model Inputs &amp; Assumptions'!$X$29^2/2))</f>
        <v>0.00316056199662435</v>
      </c>
      <c r="G580" s="45" t="n">
        <f aca="false">ROUND(C580*F580,0)</f>
        <v>571</v>
      </c>
      <c r="H580" s="48" t="n">
        <f aca="false">MAX(0,(C580*'Model Inputs &amp; Assumptions'!$N$29+E580*'Model Inputs &amp; Assumptions'!$O$29+G580*'Model Inputs &amp; Assumptions'!$P$29)*EXP('Model Inputs &amp; Assumptions'!$Q$29*S580-'Model Inputs &amp; Assumptions'!$Q$29^2/2))</f>
        <v>22.1535872528322</v>
      </c>
      <c r="I580" s="49" t="n">
        <f aca="false">IF('Model Inputs &amp; Assumptions'!$H$29="Fixed",'Model Inputs &amp; Assumptions'!$I$29*'Model Inputs &amp; Assumptions'!$K$29,IF('Model Inputs &amp; Assumptions'!$H$29="CPM",'Model Inputs &amp; Assumptions'!$I$29*'Model Inputs &amp; Assumptions'!$K$29*C580/1000,IF('Model Inputs &amp; Assumptions'!$H$29="CPC",'Model Inputs &amp; Assumptions'!$I$29*'Model Inputs &amp; Assumptions'!$K$29*G580,0)))</f>
        <v>6500</v>
      </c>
      <c r="J580" s="50" t="n">
        <f aca="false">H580*INDEX('Model Inputs &amp; Assumptions'!$D$40:$D$42,MATCH('Model Inputs &amp; Assumptions'!$L$29,'Model Inputs &amp; Assumptions'!$A$40:$A$42,0))*INDEX('Model Inputs &amp; Assumptions'!$H$40:$H$42,MATCH('Model Inputs &amp; Assumptions'!$L$29,'Model Inputs &amp; Assumptions'!$A$40:$A$42,0))</f>
        <v>188305.491649074</v>
      </c>
      <c r="K580" s="49" t="n">
        <f aca="false">H580*INDEX('Model Inputs &amp; Assumptions'!$G$40:$G$42,MATCH('Model Inputs &amp; Assumptions'!$L$29,'Model Inputs &amp; Assumptions'!$A$40:$A$42,0))*INDEX('Model Inputs &amp; Assumptions'!$H$40:$H$42,MATCH('Model Inputs &amp; Assumptions'!$L$29,'Model Inputs &amp; Assumptions'!$A$40:$A$42,0))</f>
        <v>4236.87356210416</v>
      </c>
      <c r="L580" s="51" t="n">
        <f aca="false">IFERROR(K580/I580,0)</f>
        <v>0.651826701862178</v>
      </c>
      <c r="M580" s="49" t="n">
        <f aca="false">IFERROR(I580/H580,0)</f>
        <v>293.406206670616</v>
      </c>
      <c r="N580" s="52" t="str">
        <f aca="false">'Model Inputs &amp; Assumptions'!$L$29</f>
        <v>PRD-EUAI</v>
      </c>
      <c r="P580" s="53" t="n">
        <v>-0.309065</v>
      </c>
      <c r="Q580" s="53" t="n">
        <v>1.213289</v>
      </c>
      <c r="R580" s="53" t="n">
        <v>0.361099</v>
      </c>
      <c r="S580" s="53" t="n">
        <v>-0.695525</v>
      </c>
    </row>
    <row r="581" customFormat="false" ht="15" hidden="false" customHeight="false" outlineLevel="0" collapsed="false">
      <c r="A581" s="43" t="n">
        <v>78</v>
      </c>
      <c r="B581" s="44" t="str">
        <f aca="false">'Model Inputs &amp; Assumptions'!$B$29</f>
        <v>Handelsblatt — Native Explainer</v>
      </c>
      <c r="C581" s="45" t="n">
        <f aca="false">ROUND(MAX(0,'Model Inputs &amp; Assumptions'!$S$29*EXP('Model Inputs &amp; Assumptions'!$T$29*P581-'Model Inputs &amp; Assumptions'!$T$29^2/2)),0)</f>
        <v>155272</v>
      </c>
      <c r="D581" s="46" t="n">
        <f aca="false">MIN(1,'Model Inputs &amp; Assumptions'!$U$29*EXP('Model Inputs &amp; Assumptions'!$V$29*Q581-'Model Inputs &amp; Assumptions'!$V$29^2/2))</f>
        <v>0</v>
      </c>
      <c r="E581" s="45" t="n">
        <f aca="false">ROUND(C581*D581,0)</f>
        <v>0</v>
      </c>
      <c r="F581" s="47" t="n">
        <f aca="false">MIN(1,'Model Inputs &amp; Assumptions'!$W$29*EXP('Model Inputs &amp; Assumptions'!$X$29*R581-'Model Inputs &amp; Assumptions'!$X$29^2/2))</f>
        <v>0.0040835591091015</v>
      </c>
      <c r="G581" s="45" t="n">
        <f aca="false">ROUND(C581*F581,0)</f>
        <v>634</v>
      </c>
      <c r="H581" s="48" t="n">
        <f aca="false">MAX(0,(C581*'Model Inputs &amp; Assumptions'!$N$29+E581*'Model Inputs &amp; Assumptions'!$O$29+G581*'Model Inputs &amp; Assumptions'!$P$29)*EXP('Model Inputs &amp; Assumptions'!$Q$29*S581-'Model Inputs &amp; Assumptions'!$Q$29^2/2))</f>
        <v>23.915102924426</v>
      </c>
      <c r="I581" s="49" t="n">
        <f aca="false">IF('Model Inputs &amp; Assumptions'!$H$29="Fixed",'Model Inputs &amp; Assumptions'!$I$29*'Model Inputs &amp; Assumptions'!$K$29,IF('Model Inputs &amp; Assumptions'!$H$29="CPM",'Model Inputs &amp; Assumptions'!$I$29*'Model Inputs &amp; Assumptions'!$K$29*C581/1000,IF('Model Inputs &amp; Assumptions'!$H$29="CPC",'Model Inputs &amp; Assumptions'!$I$29*'Model Inputs &amp; Assumptions'!$K$29*G581,0)))</f>
        <v>6500</v>
      </c>
      <c r="J581" s="50" t="n">
        <f aca="false">H581*INDEX('Model Inputs &amp; Assumptions'!$D$40:$D$42,MATCH('Model Inputs &amp; Assumptions'!$L$29,'Model Inputs &amp; Assumptions'!$A$40:$A$42,0))*INDEX('Model Inputs &amp; Assumptions'!$H$40:$H$42,MATCH('Model Inputs &amp; Assumptions'!$L$29,'Model Inputs &amp; Assumptions'!$A$40:$A$42,0))</f>
        <v>203278.374857621</v>
      </c>
      <c r="K581" s="49" t="n">
        <f aca="false">H581*INDEX('Model Inputs &amp; Assumptions'!$G$40:$G$42,MATCH('Model Inputs &amp; Assumptions'!$L$29,'Model Inputs &amp; Assumptions'!$A$40:$A$42,0))*INDEX('Model Inputs &amp; Assumptions'!$H$40:$H$42,MATCH('Model Inputs &amp; Assumptions'!$L$29,'Model Inputs &amp; Assumptions'!$A$40:$A$42,0))</f>
        <v>4573.76343429648</v>
      </c>
      <c r="L581" s="51" t="n">
        <f aca="false">IFERROR(K581/I581,0)</f>
        <v>0.703655912968689</v>
      </c>
      <c r="M581" s="49" t="n">
        <f aca="false">IFERROR(I581/H581,0)</f>
        <v>271.794774228679</v>
      </c>
      <c r="N581" s="52" t="str">
        <f aca="false">'Model Inputs &amp; Assumptions'!$L$29</f>
        <v>PRD-EUAI</v>
      </c>
      <c r="P581" s="53" t="n">
        <v>-0.994941</v>
      </c>
      <c r="Q581" s="53" t="n">
        <v>1.277998</v>
      </c>
      <c r="R581" s="53" t="n">
        <v>1.346557</v>
      </c>
      <c r="S581" s="53" t="n">
        <v>-0.789355</v>
      </c>
    </row>
    <row r="582" customFormat="false" ht="15" hidden="false" customHeight="false" outlineLevel="0" collapsed="false">
      <c r="A582" s="43" t="n">
        <v>79</v>
      </c>
      <c r="B582" s="44" t="str">
        <f aca="false">'Model Inputs &amp; Assumptions'!$B$29</f>
        <v>Handelsblatt — Native Explainer</v>
      </c>
      <c r="C582" s="45" t="n">
        <f aca="false">ROUND(MAX(0,'Model Inputs &amp; Assumptions'!$S$29*EXP('Model Inputs &amp; Assumptions'!$T$29*P582-'Model Inputs &amp; Assumptions'!$T$29^2/2)),0)</f>
        <v>131961</v>
      </c>
      <c r="D582" s="46" t="n">
        <f aca="false">MIN(1,'Model Inputs &amp; Assumptions'!$U$29*EXP('Model Inputs &amp; Assumptions'!$V$29*Q582-'Model Inputs &amp; Assumptions'!$V$29^2/2))</f>
        <v>0</v>
      </c>
      <c r="E582" s="45" t="n">
        <f aca="false">ROUND(C582*D582,0)</f>
        <v>0</v>
      </c>
      <c r="F582" s="47" t="n">
        <f aca="false">MIN(1,'Model Inputs &amp; Assumptions'!$W$29*EXP('Model Inputs &amp; Assumptions'!$X$29*R582-'Model Inputs &amp; Assumptions'!$X$29^2/2))</f>
        <v>0.00296655200943761</v>
      </c>
      <c r="G582" s="45" t="n">
        <f aca="false">ROUND(C582*F582,0)</f>
        <v>391</v>
      </c>
      <c r="H582" s="48" t="n">
        <f aca="false">MAX(0,(C582*'Model Inputs &amp; Assumptions'!$N$29+E582*'Model Inputs &amp; Assumptions'!$O$29+G582*'Model Inputs &amp; Assumptions'!$P$29)*EXP('Model Inputs &amp; Assumptions'!$Q$29*S582-'Model Inputs &amp; Assumptions'!$Q$29^2/2))</f>
        <v>14.1787361266707</v>
      </c>
      <c r="I582" s="49" t="n">
        <f aca="false">IF('Model Inputs &amp; Assumptions'!$H$29="Fixed",'Model Inputs &amp; Assumptions'!$I$29*'Model Inputs &amp; Assumptions'!$K$29,IF('Model Inputs &amp; Assumptions'!$H$29="CPM",'Model Inputs &amp; Assumptions'!$I$29*'Model Inputs &amp; Assumptions'!$K$29*C582/1000,IF('Model Inputs &amp; Assumptions'!$H$29="CPC",'Model Inputs &amp; Assumptions'!$I$29*'Model Inputs &amp; Assumptions'!$K$29*G582,0)))</f>
        <v>6500</v>
      </c>
      <c r="J582" s="50" t="n">
        <f aca="false">H582*INDEX('Model Inputs &amp; Assumptions'!$D$40:$D$42,MATCH('Model Inputs &amp; Assumptions'!$L$29,'Model Inputs &amp; Assumptions'!$A$40:$A$42,0))*INDEX('Model Inputs &amp; Assumptions'!$H$40:$H$42,MATCH('Model Inputs &amp; Assumptions'!$L$29,'Model Inputs &amp; Assumptions'!$A$40:$A$42,0))</f>
        <v>120519.257076701</v>
      </c>
      <c r="K582" s="49" t="n">
        <f aca="false">H582*INDEX('Model Inputs &amp; Assumptions'!$G$40:$G$42,MATCH('Model Inputs &amp; Assumptions'!$L$29,'Model Inputs &amp; Assumptions'!$A$40:$A$42,0))*INDEX('Model Inputs &amp; Assumptions'!$H$40:$H$42,MATCH('Model Inputs &amp; Assumptions'!$L$29,'Model Inputs &amp; Assumptions'!$A$40:$A$42,0))</f>
        <v>2711.68328422578</v>
      </c>
      <c r="L582" s="51" t="n">
        <f aca="false">IFERROR(K582/I582,0)</f>
        <v>0.417182043727043</v>
      </c>
      <c r="M582" s="49" t="n">
        <f aca="false">IFERROR(I582/H582,0)</f>
        <v>458.432962002393</v>
      </c>
      <c r="N582" s="52" t="str">
        <f aca="false">'Model Inputs &amp; Assumptions'!$L$29</f>
        <v>PRD-EUAI</v>
      </c>
      <c r="P582" s="53" t="n">
        <v>-1.734365</v>
      </c>
      <c r="Q582" s="53" t="n">
        <v>-0.079248</v>
      </c>
      <c r="R582" s="53" t="n">
        <v>0.117447</v>
      </c>
      <c r="S582" s="53" t="n">
        <v>-0.920773</v>
      </c>
    </row>
    <row r="583" customFormat="false" ht="15" hidden="false" customHeight="false" outlineLevel="0" collapsed="false">
      <c r="A583" s="43" t="n">
        <v>80</v>
      </c>
      <c r="B583" s="44" t="str">
        <f aca="false">'Model Inputs &amp; Assumptions'!$B$29</f>
        <v>Handelsblatt — Native Explainer</v>
      </c>
      <c r="C583" s="45" t="n">
        <f aca="false">ROUND(MAX(0,'Model Inputs &amp; Assumptions'!$S$29*EXP('Model Inputs &amp; Assumptions'!$T$29*P583-'Model Inputs &amp; Assumptions'!$T$29^2/2)),0)</f>
        <v>246823</v>
      </c>
      <c r="D583" s="46" t="n">
        <f aca="false">MIN(1,'Model Inputs &amp; Assumptions'!$U$29*EXP('Model Inputs &amp; Assumptions'!$V$29*Q583-'Model Inputs &amp; Assumptions'!$V$29^2/2))</f>
        <v>0</v>
      </c>
      <c r="E583" s="45" t="n">
        <f aca="false">ROUND(C583*D583,0)</f>
        <v>0</v>
      </c>
      <c r="F583" s="47" t="n">
        <f aca="false">MIN(1,'Model Inputs &amp; Assumptions'!$W$29*EXP('Model Inputs &amp; Assumptions'!$X$29*R583-'Model Inputs &amp; Assumptions'!$X$29^2/2))</f>
        <v>0.00251375064531543</v>
      </c>
      <c r="G583" s="45" t="n">
        <f aca="false">ROUND(C583*F583,0)</f>
        <v>620</v>
      </c>
      <c r="H583" s="48" t="n">
        <f aca="false">MAX(0,(C583*'Model Inputs &amp; Assumptions'!$N$29+E583*'Model Inputs &amp; Assumptions'!$O$29+G583*'Model Inputs &amp; Assumptions'!$P$29)*EXP('Model Inputs &amp; Assumptions'!$Q$29*S583-'Model Inputs &amp; Assumptions'!$Q$29^2/2))</f>
        <v>19.4798657106172</v>
      </c>
      <c r="I583" s="49" t="n">
        <f aca="false">IF('Model Inputs &amp; Assumptions'!$H$29="Fixed",'Model Inputs &amp; Assumptions'!$I$29*'Model Inputs &amp; Assumptions'!$K$29,IF('Model Inputs &amp; Assumptions'!$H$29="CPM",'Model Inputs &amp; Assumptions'!$I$29*'Model Inputs &amp; Assumptions'!$K$29*C583/1000,IF('Model Inputs &amp; Assumptions'!$H$29="CPC",'Model Inputs &amp; Assumptions'!$I$29*'Model Inputs &amp; Assumptions'!$K$29*G583,0)))</f>
        <v>6500</v>
      </c>
      <c r="J583" s="50" t="n">
        <f aca="false">H583*INDEX('Model Inputs &amp; Assumptions'!$D$40:$D$42,MATCH('Model Inputs &amp; Assumptions'!$L$29,'Model Inputs &amp; Assumptions'!$A$40:$A$42,0))*INDEX('Model Inputs &amp; Assumptions'!$H$40:$H$42,MATCH('Model Inputs &amp; Assumptions'!$L$29,'Model Inputs &amp; Assumptions'!$A$40:$A$42,0))</f>
        <v>165578.858540246</v>
      </c>
      <c r="K583" s="49" t="n">
        <f aca="false">H583*INDEX('Model Inputs &amp; Assumptions'!$G$40:$G$42,MATCH('Model Inputs &amp; Assumptions'!$L$29,'Model Inputs &amp; Assumptions'!$A$40:$A$42,0))*INDEX('Model Inputs &amp; Assumptions'!$H$40:$H$42,MATCH('Model Inputs &amp; Assumptions'!$L$29,'Model Inputs &amp; Assumptions'!$A$40:$A$42,0))</f>
        <v>3725.52431715554</v>
      </c>
      <c r="L583" s="51" t="n">
        <f aca="false">IFERROR(K583/I583,0)</f>
        <v>0.573157587254699</v>
      </c>
      <c r="M583" s="49" t="n">
        <f aca="false">IFERROR(I583/H583,0)</f>
        <v>333.677864958651</v>
      </c>
      <c r="N583" s="52" t="str">
        <f aca="false">'Model Inputs &amp; Assumptions'!$L$29</f>
        <v>PRD-EUAI</v>
      </c>
      <c r="P583" s="53" t="n">
        <v>1.111832</v>
      </c>
      <c r="Q583" s="53" t="n">
        <v>-0.066979</v>
      </c>
      <c r="R583" s="53" t="n">
        <v>-0.51957</v>
      </c>
      <c r="S583" s="53" t="n">
        <v>-1.398686</v>
      </c>
    </row>
    <row r="584" customFormat="false" ht="15" hidden="false" customHeight="false" outlineLevel="0" collapsed="false">
      <c r="A584" s="43" t="n">
        <v>81</v>
      </c>
      <c r="B584" s="44" t="str">
        <f aca="false">'Model Inputs &amp; Assumptions'!$B$29</f>
        <v>Handelsblatt — Native Explainer</v>
      </c>
      <c r="C584" s="45" t="n">
        <f aca="false">ROUND(MAX(0,'Model Inputs &amp; Assumptions'!$S$29*EXP('Model Inputs &amp; Assumptions'!$T$29*P584-'Model Inputs &amp; Assumptions'!$T$29^2/2)),0)</f>
        <v>227694</v>
      </c>
      <c r="D584" s="46" t="n">
        <f aca="false">MIN(1,'Model Inputs &amp; Assumptions'!$U$29*EXP('Model Inputs &amp; Assumptions'!$V$29*Q584-'Model Inputs &amp; Assumptions'!$V$29^2/2))</f>
        <v>0</v>
      </c>
      <c r="E584" s="45" t="n">
        <f aca="false">ROUND(C584*D584,0)</f>
        <v>0</v>
      </c>
      <c r="F584" s="47" t="n">
        <f aca="false">MIN(1,'Model Inputs &amp; Assumptions'!$W$29*EXP('Model Inputs &amp; Assumptions'!$X$29*R584-'Model Inputs &amp; Assumptions'!$X$29^2/2))</f>
        <v>0.00220951036971663</v>
      </c>
      <c r="G584" s="45" t="n">
        <f aca="false">ROUND(C584*F584,0)</f>
        <v>503</v>
      </c>
      <c r="H584" s="48" t="n">
        <f aca="false">MAX(0,(C584*'Model Inputs &amp; Assumptions'!$N$29+E584*'Model Inputs &amp; Assumptions'!$O$29+G584*'Model Inputs &amp; Assumptions'!$P$29)*EXP('Model Inputs &amp; Assumptions'!$Q$29*S584-'Model Inputs &amp; Assumptions'!$Q$29^2/2))</f>
        <v>32.9744393619157</v>
      </c>
      <c r="I584" s="49" t="n">
        <f aca="false">IF('Model Inputs &amp; Assumptions'!$H$29="Fixed",'Model Inputs &amp; Assumptions'!$I$29*'Model Inputs &amp; Assumptions'!$K$29,IF('Model Inputs &amp; Assumptions'!$H$29="CPM",'Model Inputs &amp; Assumptions'!$I$29*'Model Inputs &amp; Assumptions'!$K$29*C584/1000,IF('Model Inputs &amp; Assumptions'!$H$29="CPC",'Model Inputs &amp; Assumptions'!$I$29*'Model Inputs &amp; Assumptions'!$K$29*G584,0)))</f>
        <v>6500</v>
      </c>
      <c r="J584" s="50" t="n">
        <f aca="false">H584*INDEX('Model Inputs &amp; Assumptions'!$D$40:$D$42,MATCH('Model Inputs &amp; Assumptions'!$L$29,'Model Inputs &amp; Assumptions'!$A$40:$A$42,0))*INDEX('Model Inputs &amp; Assumptions'!$H$40:$H$42,MATCH('Model Inputs &amp; Assumptions'!$L$29,'Model Inputs &amp; Assumptions'!$A$40:$A$42,0))</f>
        <v>280282.734576283</v>
      </c>
      <c r="K584" s="49" t="n">
        <f aca="false">H584*INDEX('Model Inputs &amp; Assumptions'!$G$40:$G$42,MATCH('Model Inputs &amp; Assumptions'!$L$29,'Model Inputs &amp; Assumptions'!$A$40:$A$42,0))*INDEX('Model Inputs &amp; Assumptions'!$H$40:$H$42,MATCH('Model Inputs &amp; Assumptions'!$L$29,'Model Inputs &amp; Assumptions'!$A$40:$A$42,0))</f>
        <v>6306.36152796637</v>
      </c>
      <c r="L584" s="51" t="n">
        <f aca="false">IFERROR(K584/I584,0)</f>
        <v>0.97020946584098</v>
      </c>
      <c r="M584" s="49" t="n">
        <f aca="false">IFERROR(I584/H584,0)</f>
        <v>197.122381025446</v>
      </c>
      <c r="N584" s="52" t="str">
        <f aca="false">'Model Inputs &amp; Assumptions'!$L$29</f>
        <v>PRD-EUAI</v>
      </c>
      <c r="P584" s="53" t="n">
        <v>0.745171</v>
      </c>
      <c r="Q584" s="53" t="n">
        <v>-0.414104</v>
      </c>
      <c r="R584" s="53" t="n">
        <v>-1.015743</v>
      </c>
      <c r="S584" s="53" t="n">
        <v>1.052916</v>
      </c>
    </row>
    <row r="585" customFormat="false" ht="15" hidden="false" customHeight="false" outlineLevel="0" collapsed="false">
      <c r="A585" s="43" t="n">
        <v>82</v>
      </c>
      <c r="B585" s="44" t="str">
        <f aca="false">'Model Inputs &amp; Assumptions'!$B$29</f>
        <v>Handelsblatt — Native Explainer</v>
      </c>
      <c r="C585" s="45" t="n">
        <f aca="false">ROUND(MAX(0,'Model Inputs &amp; Assumptions'!$S$29*EXP('Model Inputs &amp; Assumptions'!$T$29*P585-'Model Inputs &amp; Assumptions'!$T$29^2/2)),0)</f>
        <v>152436</v>
      </c>
      <c r="D585" s="46" t="n">
        <f aca="false">MIN(1,'Model Inputs &amp; Assumptions'!$U$29*EXP('Model Inputs &amp; Assumptions'!$V$29*Q585-'Model Inputs &amp; Assumptions'!$V$29^2/2))</f>
        <v>0</v>
      </c>
      <c r="E585" s="45" t="n">
        <f aca="false">ROUND(C585*D585,0)</f>
        <v>0</v>
      </c>
      <c r="F585" s="47" t="n">
        <f aca="false">MIN(1,'Model Inputs &amp; Assumptions'!$W$29*EXP('Model Inputs &amp; Assumptions'!$X$29*R585-'Model Inputs &amp; Assumptions'!$X$29^2/2))</f>
        <v>0.00301249668625834</v>
      </c>
      <c r="G585" s="45" t="n">
        <f aca="false">ROUND(C585*F585,0)</f>
        <v>459</v>
      </c>
      <c r="H585" s="48" t="n">
        <f aca="false">MAX(0,(C585*'Model Inputs &amp; Assumptions'!$N$29+E585*'Model Inputs &amp; Assumptions'!$O$29+G585*'Model Inputs &amp; Assumptions'!$P$29)*EXP('Model Inputs &amp; Assumptions'!$Q$29*S585-'Model Inputs &amp; Assumptions'!$Q$29^2/2))</f>
        <v>28.1598424513434</v>
      </c>
      <c r="I585" s="49" t="n">
        <f aca="false">IF('Model Inputs &amp; Assumptions'!$H$29="Fixed",'Model Inputs &amp; Assumptions'!$I$29*'Model Inputs &amp; Assumptions'!$K$29,IF('Model Inputs &amp; Assumptions'!$H$29="CPM",'Model Inputs &amp; Assumptions'!$I$29*'Model Inputs &amp; Assumptions'!$K$29*C585/1000,IF('Model Inputs &amp; Assumptions'!$H$29="CPC",'Model Inputs &amp; Assumptions'!$I$29*'Model Inputs &amp; Assumptions'!$K$29*G585,0)))</f>
        <v>6500</v>
      </c>
      <c r="J585" s="50" t="n">
        <f aca="false">H585*INDEX('Model Inputs &amp; Assumptions'!$D$40:$D$42,MATCH('Model Inputs &amp; Assumptions'!$L$29,'Model Inputs &amp; Assumptions'!$A$40:$A$42,0))*INDEX('Model Inputs &amp; Assumptions'!$H$40:$H$42,MATCH('Model Inputs &amp; Assumptions'!$L$29,'Model Inputs &amp; Assumptions'!$A$40:$A$42,0))</f>
        <v>239358.660836418</v>
      </c>
      <c r="K585" s="49" t="n">
        <f aca="false">H585*INDEX('Model Inputs &amp; Assumptions'!$G$40:$G$42,MATCH('Model Inputs &amp; Assumptions'!$L$29,'Model Inputs &amp; Assumptions'!$A$40:$A$42,0))*INDEX('Model Inputs &amp; Assumptions'!$H$40:$H$42,MATCH('Model Inputs &amp; Assumptions'!$L$29,'Model Inputs &amp; Assumptions'!$A$40:$A$42,0))</f>
        <v>5385.56986881942</v>
      </c>
      <c r="L585" s="51" t="n">
        <f aca="false">IFERROR(K585/I585,0)</f>
        <v>0.828549210587602</v>
      </c>
      <c r="M585" s="49" t="n">
        <f aca="false">IFERROR(I585/H585,0)</f>
        <v>230.825155049471</v>
      </c>
      <c r="N585" s="52" t="str">
        <f aca="false">'Model Inputs &amp; Assumptions'!$L$29</f>
        <v>PRD-EUAI</v>
      </c>
      <c r="P585" s="53" t="n">
        <v>-1.078748</v>
      </c>
      <c r="Q585" s="53" t="n">
        <v>1.099039</v>
      </c>
      <c r="R585" s="53" t="n">
        <v>0.176558</v>
      </c>
      <c r="S585" s="53" t="n">
        <v>0.83193</v>
      </c>
    </row>
    <row r="586" customFormat="false" ht="15" hidden="false" customHeight="false" outlineLevel="0" collapsed="false">
      <c r="A586" s="43" t="n">
        <v>83</v>
      </c>
      <c r="B586" s="44" t="str">
        <f aca="false">'Model Inputs &amp; Assumptions'!$B$29</f>
        <v>Handelsblatt — Native Explainer</v>
      </c>
      <c r="C586" s="45" t="n">
        <f aca="false">ROUND(MAX(0,'Model Inputs &amp; Assumptions'!$S$29*EXP('Model Inputs &amp; Assumptions'!$T$29*P586-'Model Inputs &amp; Assumptions'!$T$29^2/2)),0)</f>
        <v>168113</v>
      </c>
      <c r="D586" s="46" t="n">
        <f aca="false">MIN(1,'Model Inputs &amp; Assumptions'!$U$29*EXP('Model Inputs &amp; Assumptions'!$V$29*Q586-'Model Inputs &amp; Assumptions'!$V$29^2/2))</f>
        <v>0</v>
      </c>
      <c r="E586" s="45" t="n">
        <f aca="false">ROUND(C586*D586,0)</f>
        <v>0</v>
      </c>
      <c r="F586" s="47" t="n">
        <f aca="false">MIN(1,'Model Inputs &amp; Assumptions'!$W$29*EXP('Model Inputs &amp; Assumptions'!$X$29*R586-'Model Inputs &amp; Assumptions'!$X$29^2/2))</f>
        <v>0.00343557792946386</v>
      </c>
      <c r="G586" s="45" t="n">
        <f aca="false">ROUND(C586*F586,0)</f>
        <v>578</v>
      </c>
      <c r="H586" s="48" t="n">
        <f aca="false">MAX(0,(C586*'Model Inputs &amp; Assumptions'!$N$29+E586*'Model Inputs &amp; Assumptions'!$O$29+G586*'Model Inputs &amp; Assumptions'!$P$29)*EXP('Model Inputs &amp; Assumptions'!$Q$29*S586-'Model Inputs &amp; Assumptions'!$Q$29^2/2))</f>
        <v>28.7606805348084</v>
      </c>
      <c r="I586" s="49" t="n">
        <f aca="false">IF('Model Inputs &amp; Assumptions'!$H$29="Fixed",'Model Inputs &amp; Assumptions'!$I$29*'Model Inputs &amp; Assumptions'!$K$29,IF('Model Inputs &amp; Assumptions'!$H$29="CPM",'Model Inputs &amp; Assumptions'!$I$29*'Model Inputs &amp; Assumptions'!$K$29*C586/1000,IF('Model Inputs &amp; Assumptions'!$H$29="CPC",'Model Inputs &amp; Assumptions'!$I$29*'Model Inputs &amp; Assumptions'!$K$29*G586,0)))</f>
        <v>6500</v>
      </c>
      <c r="J586" s="50" t="n">
        <f aca="false">H586*INDEX('Model Inputs &amp; Assumptions'!$D$40:$D$42,MATCH('Model Inputs &amp; Assumptions'!$L$29,'Model Inputs &amp; Assumptions'!$A$40:$A$42,0))*INDEX('Model Inputs &amp; Assumptions'!$H$40:$H$42,MATCH('Model Inputs &amp; Assumptions'!$L$29,'Model Inputs &amp; Assumptions'!$A$40:$A$42,0))</f>
        <v>244465.784545872</v>
      </c>
      <c r="K586" s="49" t="n">
        <f aca="false">H586*INDEX('Model Inputs &amp; Assumptions'!$G$40:$G$42,MATCH('Model Inputs &amp; Assumptions'!$L$29,'Model Inputs &amp; Assumptions'!$A$40:$A$42,0))*INDEX('Model Inputs &amp; Assumptions'!$H$40:$H$42,MATCH('Model Inputs &amp; Assumptions'!$L$29,'Model Inputs &amp; Assumptions'!$A$40:$A$42,0))</f>
        <v>5500.48015228211</v>
      </c>
      <c r="L586" s="51" t="n">
        <f aca="false">IFERROR(K586/I586,0)</f>
        <v>0.846227715735709</v>
      </c>
      <c r="M586" s="49" t="n">
        <f aca="false">IFERROR(I586/H586,0)</f>
        <v>226.002997117304</v>
      </c>
      <c r="N586" s="52" t="str">
        <f aca="false">'Model Inputs &amp; Assumptions'!$L$29</f>
        <v>PRD-EUAI</v>
      </c>
      <c r="P586" s="53" t="n">
        <v>-0.633777</v>
      </c>
      <c r="Q586" s="53" t="n">
        <v>-0.658616</v>
      </c>
      <c r="R586" s="53" t="n">
        <v>0.682004</v>
      </c>
      <c r="S586" s="53" t="n">
        <v>0.133892</v>
      </c>
    </row>
    <row r="587" customFormat="false" ht="15" hidden="false" customHeight="false" outlineLevel="0" collapsed="false">
      <c r="A587" s="43" t="n">
        <v>84</v>
      </c>
      <c r="B587" s="44" t="str">
        <f aca="false">'Model Inputs &amp; Assumptions'!$B$29</f>
        <v>Handelsblatt — Native Explainer</v>
      </c>
      <c r="C587" s="45" t="n">
        <f aca="false">ROUND(MAX(0,'Model Inputs &amp; Assumptions'!$S$29*EXP('Model Inputs &amp; Assumptions'!$T$29*P587-'Model Inputs &amp; Assumptions'!$T$29^2/2)),0)</f>
        <v>322364</v>
      </c>
      <c r="D587" s="46" t="n">
        <f aca="false">MIN(1,'Model Inputs &amp; Assumptions'!$U$29*EXP('Model Inputs &amp; Assumptions'!$V$29*Q587-'Model Inputs &amp; Assumptions'!$V$29^2/2))</f>
        <v>0</v>
      </c>
      <c r="E587" s="45" t="n">
        <f aca="false">ROUND(C587*D587,0)</f>
        <v>0</v>
      </c>
      <c r="F587" s="47" t="n">
        <f aca="false">MIN(1,'Model Inputs &amp; Assumptions'!$W$29*EXP('Model Inputs &amp; Assumptions'!$X$29*R587-'Model Inputs &amp; Assumptions'!$X$29^2/2))</f>
        <v>0.00215844677810191</v>
      </c>
      <c r="G587" s="45" t="n">
        <f aca="false">ROUND(C587*F587,0)</f>
        <v>696</v>
      </c>
      <c r="H587" s="48" t="n">
        <f aca="false">MAX(0,(C587*'Model Inputs &amp; Assumptions'!$N$29+E587*'Model Inputs &amp; Assumptions'!$O$29+G587*'Model Inputs &amp; Assumptions'!$P$29)*EXP('Model Inputs &amp; Assumptions'!$Q$29*S587-'Model Inputs &amp; Assumptions'!$Q$29^2/2))</f>
        <v>16.1010677035211</v>
      </c>
      <c r="I587" s="49" t="n">
        <f aca="false">IF('Model Inputs &amp; Assumptions'!$H$29="Fixed",'Model Inputs &amp; Assumptions'!$I$29*'Model Inputs &amp; Assumptions'!$K$29,IF('Model Inputs &amp; Assumptions'!$H$29="CPM",'Model Inputs &amp; Assumptions'!$I$29*'Model Inputs &amp; Assumptions'!$K$29*C587/1000,IF('Model Inputs &amp; Assumptions'!$H$29="CPC",'Model Inputs &amp; Assumptions'!$I$29*'Model Inputs &amp; Assumptions'!$K$29*G587,0)))</f>
        <v>6500</v>
      </c>
      <c r="J587" s="50" t="n">
        <f aca="false">H587*INDEX('Model Inputs &amp; Assumptions'!$D$40:$D$42,MATCH('Model Inputs &amp; Assumptions'!$L$29,'Model Inputs &amp; Assumptions'!$A$40:$A$42,0))*INDEX('Model Inputs &amp; Assumptions'!$H$40:$H$42,MATCH('Model Inputs &amp; Assumptions'!$L$29,'Model Inputs &amp; Assumptions'!$A$40:$A$42,0))</f>
        <v>136859.075479929</v>
      </c>
      <c r="K587" s="49" t="n">
        <f aca="false">H587*INDEX('Model Inputs &amp; Assumptions'!$G$40:$G$42,MATCH('Model Inputs &amp; Assumptions'!$L$29,'Model Inputs &amp; Assumptions'!$A$40:$A$42,0))*INDEX('Model Inputs &amp; Assumptions'!$H$40:$H$42,MATCH('Model Inputs &amp; Assumptions'!$L$29,'Model Inputs &amp; Assumptions'!$A$40:$A$42,0))</f>
        <v>3079.3291982984</v>
      </c>
      <c r="L587" s="51" t="n">
        <f aca="false">IFERROR(K587/I587,0)</f>
        <v>0.47374295358437</v>
      </c>
      <c r="M587" s="49" t="n">
        <f aca="false">IFERROR(I587/H587,0)</f>
        <v>403.699935910371</v>
      </c>
      <c r="N587" s="52" t="str">
        <f aca="false">'Model Inputs &amp; Assumptions'!$L$29</f>
        <v>PRD-EUAI</v>
      </c>
      <c r="P587" s="53" t="n">
        <v>2.325518</v>
      </c>
      <c r="Q587" s="53" t="n">
        <v>0.047092</v>
      </c>
      <c r="R587" s="53" t="n">
        <v>-1.105674</v>
      </c>
      <c r="S587" s="53" t="n">
        <v>-2.419106</v>
      </c>
    </row>
    <row r="588" customFormat="false" ht="15" hidden="false" customHeight="false" outlineLevel="0" collapsed="false">
      <c r="A588" s="43" t="n">
        <v>85</v>
      </c>
      <c r="B588" s="44" t="str">
        <f aca="false">'Model Inputs &amp; Assumptions'!$B$29</f>
        <v>Handelsblatt — Native Explainer</v>
      </c>
      <c r="C588" s="45" t="n">
        <f aca="false">ROUND(MAX(0,'Model Inputs &amp; Assumptions'!$S$29*EXP('Model Inputs &amp; Assumptions'!$T$29*P588-'Model Inputs &amp; Assumptions'!$T$29^2/2)),0)</f>
        <v>168808</v>
      </c>
      <c r="D588" s="46" t="n">
        <f aca="false">MIN(1,'Model Inputs &amp; Assumptions'!$U$29*EXP('Model Inputs &amp; Assumptions'!$V$29*Q588-'Model Inputs &amp; Assumptions'!$V$29^2/2))</f>
        <v>0</v>
      </c>
      <c r="E588" s="45" t="n">
        <f aca="false">ROUND(C588*D588,0)</f>
        <v>0</v>
      </c>
      <c r="F588" s="47" t="n">
        <f aca="false">MIN(1,'Model Inputs &amp; Assumptions'!$W$29*EXP('Model Inputs &amp; Assumptions'!$X$29*R588-'Model Inputs &amp; Assumptions'!$X$29^2/2))</f>
        <v>0.00545923744993347</v>
      </c>
      <c r="G588" s="45" t="n">
        <f aca="false">ROUND(C588*F588,0)</f>
        <v>922</v>
      </c>
      <c r="H588" s="48" t="n">
        <f aca="false">MAX(0,(C588*'Model Inputs &amp; Assumptions'!$N$29+E588*'Model Inputs &amp; Assumptions'!$O$29+G588*'Model Inputs &amp; Assumptions'!$P$29)*EXP('Model Inputs &amp; Assumptions'!$Q$29*S588-'Model Inputs &amp; Assumptions'!$Q$29^2/2))</f>
        <v>26.0178736522997</v>
      </c>
      <c r="I588" s="49" t="n">
        <f aca="false">IF('Model Inputs &amp; Assumptions'!$H$29="Fixed",'Model Inputs &amp; Assumptions'!$I$29*'Model Inputs &amp; Assumptions'!$K$29,IF('Model Inputs &amp; Assumptions'!$H$29="CPM",'Model Inputs &amp; Assumptions'!$I$29*'Model Inputs &amp; Assumptions'!$K$29*C588/1000,IF('Model Inputs &amp; Assumptions'!$H$29="CPC",'Model Inputs &amp; Assumptions'!$I$29*'Model Inputs &amp; Assumptions'!$K$29*G588,0)))</f>
        <v>6500</v>
      </c>
      <c r="J588" s="50" t="n">
        <f aca="false">H588*INDEX('Model Inputs &amp; Assumptions'!$D$40:$D$42,MATCH('Model Inputs &amp; Assumptions'!$L$29,'Model Inputs &amp; Assumptions'!$A$40:$A$42,0))*INDEX('Model Inputs &amp; Assumptions'!$H$40:$H$42,MATCH('Model Inputs &amp; Assumptions'!$L$29,'Model Inputs &amp; Assumptions'!$A$40:$A$42,0))</f>
        <v>221151.926044548</v>
      </c>
      <c r="K588" s="49" t="n">
        <f aca="false">H588*INDEX('Model Inputs &amp; Assumptions'!$G$40:$G$42,MATCH('Model Inputs &amp; Assumptions'!$L$29,'Model Inputs &amp; Assumptions'!$A$40:$A$42,0))*INDEX('Model Inputs &amp; Assumptions'!$H$40:$H$42,MATCH('Model Inputs &amp; Assumptions'!$L$29,'Model Inputs &amp; Assumptions'!$A$40:$A$42,0))</f>
        <v>4975.91833600232</v>
      </c>
      <c r="L588" s="51" t="n">
        <f aca="false">IFERROR(K588/I588,0)</f>
        <v>0.765525897846511</v>
      </c>
      <c r="M588" s="49" t="n">
        <f aca="false">IFERROR(I588/H588,0)</f>
        <v>249.828256023738</v>
      </c>
      <c r="N588" s="52" t="str">
        <f aca="false">'Model Inputs &amp; Assumptions'!$L$29</f>
        <v>PRD-EUAI</v>
      </c>
      <c r="P588" s="53" t="n">
        <v>-0.615028</v>
      </c>
      <c r="Q588" s="53" t="n">
        <v>0.399553</v>
      </c>
      <c r="R588" s="53" t="n">
        <v>2.46325</v>
      </c>
      <c r="S588" s="53" t="n">
        <v>-1.756764</v>
      </c>
    </row>
    <row r="589" customFormat="false" ht="15" hidden="false" customHeight="false" outlineLevel="0" collapsed="false">
      <c r="A589" s="43" t="n">
        <v>86</v>
      </c>
      <c r="B589" s="44" t="str">
        <f aca="false">'Model Inputs &amp; Assumptions'!$B$29</f>
        <v>Handelsblatt — Native Explainer</v>
      </c>
      <c r="C589" s="45" t="n">
        <f aca="false">ROUND(MAX(0,'Model Inputs &amp; Assumptions'!$S$29*EXP('Model Inputs &amp; Assumptions'!$T$29*P589-'Model Inputs &amp; Assumptions'!$T$29^2/2)),0)</f>
        <v>241355</v>
      </c>
      <c r="D589" s="46" t="n">
        <f aca="false">MIN(1,'Model Inputs &amp; Assumptions'!$U$29*EXP('Model Inputs &amp; Assumptions'!$V$29*Q589-'Model Inputs &amp; Assumptions'!$V$29^2/2))</f>
        <v>0</v>
      </c>
      <c r="E589" s="45" t="n">
        <f aca="false">ROUND(C589*D589,0)</f>
        <v>0</v>
      </c>
      <c r="F589" s="47" t="n">
        <f aca="false">MIN(1,'Model Inputs &amp; Assumptions'!$W$29*EXP('Model Inputs &amp; Assumptions'!$X$29*R589-'Model Inputs &amp; Assumptions'!$X$29^2/2))</f>
        <v>0.0023704988513956</v>
      </c>
      <c r="G589" s="45" t="n">
        <f aca="false">ROUND(C589*F589,0)</f>
        <v>572</v>
      </c>
      <c r="H589" s="48" t="n">
        <f aca="false">MAX(0,(C589*'Model Inputs &amp; Assumptions'!$N$29+E589*'Model Inputs &amp; Assumptions'!$O$29+G589*'Model Inputs &amp; Assumptions'!$P$29)*EXP('Model Inputs &amp; Assumptions'!$Q$29*S589-'Model Inputs &amp; Assumptions'!$Q$29^2/2))</f>
        <v>31.1445172288247</v>
      </c>
      <c r="I589" s="49" t="n">
        <f aca="false">IF('Model Inputs &amp; Assumptions'!$H$29="Fixed",'Model Inputs &amp; Assumptions'!$I$29*'Model Inputs &amp; Assumptions'!$K$29,IF('Model Inputs &amp; Assumptions'!$H$29="CPM",'Model Inputs &amp; Assumptions'!$I$29*'Model Inputs &amp; Assumptions'!$K$29*C589/1000,IF('Model Inputs &amp; Assumptions'!$H$29="CPC",'Model Inputs &amp; Assumptions'!$I$29*'Model Inputs &amp; Assumptions'!$K$29*G589,0)))</f>
        <v>6500</v>
      </c>
      <c r="J589" s="50" t="n">
        <f aca="false">H589*INDEX('Model Inputs &amp; Assumptions'!$D$40:$D$42,MATCH('Model Inputs &amp; Assumptions'!$L$29,'Model Inputs &amp; Assumptions'!$A$40:$A$42,0))*INDEX('Model Inputs &amp; Assumptions'!$H$40:$H$42,MATCH('Model Inputs &amp; Assumptions'!$L$29,'Model Inputs &amp; Assumptions'!$A$40:$A$42,0))</f>
        <v>264728.39644501</v>
      </c>
      <c r="K589" s="49" t="n">
        <f aca="false">H589*INDEX('Model Inputs &amp; Assumptions'!$G$40:$G$42,MATCH('Model Inputs &amp; Assumptions'!$L$29,'Model Inputs &amp; Assumptions'!$A$40:$A$42,0))*INDEX('Model Inputs &amp; Assumptions'!$H$40:$H$42,MATCH('Model Inputs &amp; Assumptions'!$L$29,'Model Inputs &amp; Assumptions'!$A$40:$A$42,0))</f>
        <v>5956.38892001272</v>
      </c>
      <c r="L589" s="51" t="n">
        <f aca="false">IFERROR(K589/I589,0)</f>
        <v>0.916367526155804</v>
      </c>
      <c r="M589" s="49" t="n">
        <f aca="false">IFERROR(I589/H589,0)</f>
        <v>208.704471231429</v>
      </c>
      <c r="N589" s="52" t="str">
        <f aca="false">'Model Inputs &amp; Assumptions'!$L$29</f>
        <v>PRD-EUAI</v>
      </c>
      <c r="P589" s="53" t="n">
        <v>1.010002</v>
      </c>
      <c r="Q589" s="53" t="n">
        <v>-0.22372</v>
      </c>
      <c r="R589" s="53" t="n">
        <v>-0.745245</v>
      </c>
      <c r="S589" s="53" t="n">
        <v>0.434105</v>
      </c>
    </row>
    <row r="590" customFormat="false" ht="15" hidden="false" customHeight="false" outlineLevel="0" collapsed="false">
      <c r="A590" s="43" t="n">
        <v>87</v>
      </c>
      <c r="B590" s="44" t="str">
        <f aca="false">'Model Inputs &amp; Assumptions'!$B$29</f>
        <v>Handelsblatt — Native Explainer</v>
      </c>
      <c r="C590" s="45" t="n">
        <f aca="false">ROUND(MAX(0,'Model Inputs &amp; Assumptions'!$S$29*EXP('Model Inputs &amp; Assumptions'!$T$29*P590-'Model Inputs &amp; Assumptions'!$T$29^2/2)),0)</f>
        <v>200596</v>
      </c>
      <c r="D590" s="46" t="n">
        <f aca="false">MIN(1,'Model Inputs &amp; Assumptions'!$U$29*EXP('Model Inputs &amp; Assumptions'!$V$29*Q590-'Model Inputs &amp; Assumptions'!$V$29^2/2))</f>
        <v>0</v>
      </c>
      <c r="E590" s="45" t="n">
        <f aca="false">ROUND(C590*D590,0)</f>
        <v>0</v>
      </c>
      <c r="F590" s="47" t="n">
        <f aca="false">MIN(1,'Model Inputs &amp; Assumptions'!$W$29*EXP('Model Inputs &amp; Assumptions'!$X$29*R590-'Model Inputs &amp; Assumptions'!$X$29^2/2))</f>
        <v>0.00163654262133163</v>
      </c>
      <c r="G590" s="45" t="n">
        <f aca="false">ROUND(C590*F590,0)</f>
        <v>328</v>
      </c>
      <c r="H590" s="48" t="n">
        <f aca="false">MAX(0,(C590*'Model Inputs &amp; Assumptions'!$N$29+E590*'Model Inputs &amp; Assumptions'!$O$29+G590*'Model Inputs &amp; Assumptions'!$P$29)*EXP('Model Inputs &amp; Assumptions'!$Q$29*S590-'Model Inputs &amp; Assumptions'!$Q$29^2/2))</f>
        <v>15.6057452986684</v>
      </c>
      <c r="I590" s="49" t="n">
        <f aca="false">IF('Model Inputs &amp; Assumptions'!$H$29="Fixed",'Model Inputs &amp; Assumptions'!$I$29*'Model Inputs &amp; Assumptions'!$K$29,IF('Model Inputs &amp; Assumptions'!$H$29="CPM",'Model Inputs &amp; Assumptions'!$I$29*'Model Inputs &amp; Assumptions'!$K$29*C590/1000,IF('Model Inputs &amp; Assumptions'!$H$29="CPC",'Model Inputs &amp; Assumptions'!$I$29*'Model Inputs &amp; Assumptions'!$K$29*G590,0)))</f>
        <v>6500</v>
      </c>
      <c r="J590" s="50" t="n">
        <f aca="false">H590*INDEX('Model Inputs &amp; Assumptions'!$D$40:$D$42,MATCH('Model Inputs &amp; Assumptions'!$L$29,'Model Inputs &amp; Assumptions'!$A$40:$A$42,0))*INDEX('Model Inputs &amp; Assumptions'!$H$40:$H$42,MATCH('Model Inputs &amp; Assumptions'!$L$29,'Model Inputs &amp; Assumptions'!$A$40:$A$42,0))</f>
        <v>132648.835038681</v>
      </c>
      <c r="K590" s="49" t="n">
        <f aca="false">H590*INDEX('Model Inputs &amp; Assumptions'!$G$40:$G$42,MATCH('Model Inputs &amp; Assumptions'!$L$29,'Model Inputs &amp; Assumptions'!$A$40:$A$42,0))*INDEX('Model Inputs &amp; Assumptions'!$H$40:$H$42,MATCH('Model Inputs &amp; Assumptions'!$L$29,'Model Inputs &amp; Assumptions'!$A$40:$A$42,0))</f>
        <v>2984.59878837033</v>
      </c>
      <c r="L590" s="51" t="n">
        <f aca="false">IFERROR(K590/I590,0)</f>
        <v>0.459169044364666</v>
      </c>
      <c r="M590" s="49" t="n">
        <f aca="false">IFERROR(I590/H590,0)</f>
        <v>416.513269670923</v>
      </c>
      <c r="N590" s="52" t="str">
        <f aca="false">'Model Inputs &amp; Assumptions'!$L$29</f>
        <v>PRD-EUAI</v>
      </c>
      <c r="P590" s="53" t="n">
        <v>0.169212</v>
      </c>
      <c r="Q590" s="53" t="n">
        <v>0.210732</v>
      </c>
      <c r="R590" s="53" t="n">
        <v>-2.170301</v>
      </c>
      <c r="S590" s="53" t="n">
        <v>-0.015474</v>
      </c>
    </row>
    <row r="591" customFormat="false" ht="15" hidden="false" customHeight="false" outlineLevel="0" collapsed="false">
      <c r="A591" s="43" t="n">
        <v>88</v>
      </c>
      <c r="B591" s="44" t="str">
        <f aca="false">'Model Inputs &amp; Assumptions'!$B$29</f>
        <v>Handelsblatt — Native Explainer</v>
      </c>
      <c r="C591" s="45" t="n">
        <f aca="false">ROUND(MAX(0,'Model Inputs &amp; Assumptions'!$S$29*EXP('Model Inputs &amp; Assumptions'!$T$29*P591-'Model Inputs &amp; Assumptions'!$T$29^2/2)),0)</f>
        <v>174720</v>
      </c>
      <c r="D591" s="46" t="n">
        <f aca="false">MIN(1,'Model Inputs &amp; Assumptions'!$U$29*EXP('Model Inputs &amp; Assumptions'!$V$29*Q591-'Model Inputs &amp; Assumptions'!$V$29^2/2))</f>
        <v>0</v>
      </c>
      <c r="E591" s="45" t="n">
        <f aca="false">ROUND(C591*D591,0)</f>
        <v>0</v>
      </c>
      <c r="F591" s="47" t="n">
        <f aca="false">MIN(1,'Model Inputs &amp; Assumptions'!$W$29*EXP('Model Inputs &amp; Assumptions'!$X$29*R591-'Model Inputs &amp; Assumptions'!$X$29^2/2))</f>
        <v>0.00294740552054995</v>
      </c>
      <c r="G591" s="45" t="n">
        <f aca="false">ROUND(C591*F591,0)</f>
        <v>515</v>
      </c>
      <c r="H591" s="48" t="n">
        <f aca="false">MAX(0,(C591*'Model Inputs &amp; Assumptions'!$N$29+E591*'Model Inputs &amp; Assumptions'!$O$29+G591*'Model Inputs &amp; Assumptions'!$P$29)*EXP('Model Inputs &amp; Assumptions'!$Q$29*S591-'Model Inputs &amp; Assumptions'!$Q$29^2/2))</f>
        <v>28.448912278783</v>
      </c>
      <c r="I591" s="49" t="n">
        <f aca="false">IF('Model Inputs &amp; Assumptions'!$H$29="Fixed",'Model Inputs &amp; Assumptions'!$I$29*'Model Inputs &amp; Assumptions'!$K$29,IF('Model Inputs &amp; Assumptions'!$H$29="CPM",'Model Inputs &amp; Assumptions'!$I$29*'Model Inputs &amp; Assumptions'!$K$29*C591/1000,IF('Model Inputs &amp; Assumptions'!$H$29="CPC",'Model Inputs &amp; Assumptions'!$I$29*'Model Inputs &amp; Assumptions'!$K$29*G591,0)))</f>
        <v>6500</v>
      </c>
      <c r="J591" s="50" t="n">
        <f aca="false">H591*INDEX('Model Inputs &amp; Assumptions'!$D$40:$D$42,MATCH('Model Inputs &amp; Assumptions'!$L$29,'Model Inputs &amp; Assumptions'!$A$40:$A$42,0))*INDEX('Model Inputs &amp; Assumptions'!$H$40:$H$42,MATCH('Model Inputs &amp; Assumptions'!$L$29,'Model Inputs &amp; Assumptions'!$A$40:$A$42,0))</f>
        <v>241815.754369655</v>
      </c>
      <c r="K591" s="49" t="n">
        <f aca="false">H591*INDEX('Model Inputs &amp; Assumptions'!$G$40:$G$42,MATCH('Model Inputs &amp; Assumptions'!$L$29,'Model Inputs &amp; Assumptions'!$A$40:$A$42,0))*INDEX('Model Inputs &amp; Assumptions'!$H$40:$H$42,MATCH('Model Inputs &amp; Assumptions'!$L$29,'Model Inputs &amp; Assumptions'!$A$40:$A$42,0))</f>
        <v>5440.85447331725</v>
      </c>
      <c r="L591" s="51" t="n">
        <f aca="false">IFERROR(K591/I591,0)</f>
        <v>0.837054534356499</v>
      </c>
      <c r="M591" s="49" t="n">
        <f aca="false">IFERROR(I591/H591,0)</f>
        <v>228.47973716196</v>
      </c>
      <c r="N591" s="52" t="str">
        <f aca="false">'Model Inputs &amp; Assumptions'!$L$29</f>
        <v>PRD-EUAI</v>
      </c>
      <c r="P591" s="53" t="n">
        <v>-0.458569</v>
      </c>
      <c r="Q591" s="53" t="n">
        <v>0.816551</v>
      </c>
      <c r="R591" s="53" t="n">
        <v>0.092543</v>
      </c>
      <c r="S591" s="53" t="n">
        <v>0.482251</v>
      </c>
    </row>
    <row r="592" customFormat="false" ht="15" hidden="false" customHeight="false" outlineLevel="0" collapsed="false">
      <c r="A592" s="43" t="n">
        <v>89</v>
      </c>
      <c r="B592" s="44" t="str">
        <f aca="false">'Model Inputs &amp; Assumptions'!$B$29</f>
        <v>Handelsblatt — Native Explainer</v>
      </c>
      <c r="C592" s="45" t="n">
        <f aca="false">ROUND(MAX(0,'Model Inputs &amp; Assumptions'!$S$29*EXP('Model Inputs &amp; Assumptions'!$T$29*P592-'Model Inputs &amp; Assumptions'!$T$29^2/2)),0)</f>
        <v>148600</v>
      </c>
      <c r="D592" s="46" t="n">
        <f aca="false">MIN(1,'Model Inputs &amp; Assumptions'!$U$29*EXP('Model Inputs &amp; Assumptions'!$V$29*Q592-'Model Inputs &amp; Assumptions'!$V$29^2/2))</f>
        <v>0</v>
      </c>
      <c r="E592" s="45" t="n">
        <f aca="false">ROUND(C592*D592,0)</f>
        <v>0</v>
      </c>
      <c r="F592" s="47" t="n">
        <f aca="false">MIN(1,'Model Inputs &amp; Assumptions'!$W$29*EXP('Model Inputs &amp; Assumptions'!$X$29*R592-'Model Inputs &amp; Assumptions'!$X$29^2/2))</f>
        <v>0.00284614645651276</v>
      </c>
      <c r="G592" s="45" t="n">
        <f aca="false">ROUND(C592*F592,0)</f>
        <v>423</v>
      </c>
      <c r="H592" s="48" t="n">
        <f aca="false">MAX(0,(C592*'Model Inputs &amp; Assumptions'!$N$29+E592*'Model Inputs &amp; Assumptions'!$O$29+G592*'Model Inputs &amp; Assumptions'!$P$29)*EXP('Model Inputs &amp; Assumptions'!$Q$29*S592-'Model Inputs &amp; Assumptions'!$Q$29^2/2))</f>
        <v>16.931302125321</v>
      </c>
      <c r="I592" s="49" t="n">
        <f aca="false">IF('Model Inputs &amp; Assumptions'!$H$29="Fixed",'Model Inputs &amp; Assumptions'!$I$29*'Model Inputs &amp; Assumptions'!$K$29,IF('Model Inputs &amp; Assumptions'!$H$29="CPM",'Model Inputs &amp; Assumptions'!$I$29*'Model Inputs &amp; Assumptions'!$K$29*C592/1000,IF('Model Inputs &amp; Assumptions'!$H$29="CPC",'Model Inputs &amp; Assumptions'!$I$29*'Model Inputs &amp; Assumptions'!$K$29*G592,0)))</f>
        <v>6500</v>
      </c>
      <c r="J592" s="50" t="n">
        <f aca="false">H592*INDEX('Model Inputs &amp; Assumptions'!$D$40:$D$42,MATCH('Model Inputs &amp; Assumptions'!$L$29,'Model Inputs &amp; Assumptions'!$A$40:$A$42,0))*INDEX('Model Inputs &amp; Assumptions'!$H$40:$H$42,MATCH('Model Inputs &amp; Assumptions'!$L$29,'Model Inputs &amp; Assumptions'!$A$40:$A$42,0))</f>
        <v>143916.068065228</v>
      </c>
      <c r="K592" s="49" t="n">
        <f aca="false">H592*INDEX('Model Inputs &amp; Assumptions'!$G$40:$G$42,MATCH('Model Inputs &amp; Assumptions'!$L$29,'Model Inputs &amp; Assumptions'!$A$40:$A$42,0))*INDEX('Model Inputs &amp; Assumptions'!$H$40:$H$42,MATCH('Model Inputs &amp; Assumptions'!$L$29,'Model Inputs &amp; Assumptions'!$A$40:$A$42,0))</f>
        <v>3238.11153146764</v>
      </c>
      <c r="L592" s="51" t="n">
        <f aca="false">IFERROR(K592/I592,0)</f>
        <v>0.498171004841175</v>
      </c>
      <c r="M592" s="49" t="n">
        <f aca="false">IFERROR(I592/H592,0)</f>
        <v>383.904318279169</v>
      </c>
      <c r="N592" s="52" t="str">
        <f aca="false">'Model Inputs &amp; Assumptions'!$L$29</f>
        <v>PRD-EUAI</v>
      </c>
      <c r="P592" s="53" t="n">
        <v>-1.194598</v>
      </c>
      <c r="Q592" s="53" t="n">
        <v>-0.11065</v>
      </c>
      <c r="R592" s="53" t="n">
        <v>-0.041916</v>
      </c>
      <c r="S592" s="53" t="n">
        <v>-0.591586</v>
      </c>
    </row>
    <row r="593" customFormat="false" ht="15" hidden="false" customHeight="false" outlineLevel="0" collapsed="false">
      <c r="A593" s="43" t="n">
        <v>90</v>
      </c>
      <c r="B593" s="44" t="str">
        <f aca="false">'Model Inputs &amp; Assumptions'!$B$29</f>
        <v>Handelsblatt — Native Explainer</v>
      </c>
      <c r="C593" s="45" t="n">
        <f aca="false">ROUND(MAX(0,'Model Inputs &amp; Assumptions'!$S$29*EXP('Model Inputs &amp; Assumptions'!$T$29*P593-'Model Inputs &amp; Assumptions'!$T$29^2/2)),0)</f>
        <v>167589</v>
      </c>
      <c r="D593" s="46" t="n">
        <f aca="false">MIN(1,'Model Inputs &amp; Assumptions'!$U$29*EXP('Model Inputs &amp; Assumptions'!$V$29*Q593-'Model Inputs &amp; Assumptions'!$V$29^2/2))</f>
        <v>0</v>
      </c>
      <c r="E593" s="45" t="n">
        <f aca="false">ROUND(C593*D593,0)</f>
        <v>0</v>
      </c>
      <c r="F593" s="47" t="n">
        <f aca="false">MIN(1,'Model Inputs &amp; Assumptions'!$W$29*EXP('Model Inputs &amp; Assumptions'!$X$29*R593-'Model Inputs &amp; Assumptions'!$X$29^2/2))</f>
        <v>0.00263057880209609</v>
      </c>
      <c r="G593" s="45" t="n">
        <f aca="false">ROUND(C593*F593,0)</f>
        <v>441</v>
      </c>
      <c r="H593" s="48" t="n">
        <f aca="false">MAX(0,(C593*'Model Inputs &amp; Assumptions'!$N$29+E593*'Model Inputs &amp; Assumptions'!$O$29+G593*'Model Inputs &amp; Assumptions'!$P$29)*EXP('Model Inputs &amp; Assumptions'!$Q$29*S593-'Model Inputs &amp; Assumptions'!$Q$29^2/2))</f>
        <v>22.224629301046</v>
      </c>
      <c r="I593" s="49" t="n">
        <f aca="false">IF('Model Inputs &amp; Assumptions'!$H$29="Fixed",'Model Inputs &amp; Assumptions'!$I$29*'Model Inputs &amp; Assumptions'!$K$29,IF('Model Inputs &amp; Assumptions'!$H$29="CPM",'Model Inputs &amp; Assumptions'!$I$29*'Model Inputs &amp; Assumptions'!$K$29*C593/1000,IF('Model Inputs &amp; Assumptions'!$H$29="CPC",'Model Inputs &amp; Assumptions'!$I$29*'Model Inputs &amp; Assumptions'!$K$29*G593,0)))</f>
        <v>6500</v>
      </c>
      <c r="J593" s="50" t="n">
        <f aca="false">H593*INDEX('Model Inputs &amp; Assumptions'!$D$40:$D$42,MATCH('Model Inputs &amp; Assumptions'!$L$29,'Model Inputs &amp; Assumptions'!$A$40:$A$42,0))*INDEX('Model Inputs &amp; Assumptions'!$H$40:$H$42,MATCH('Model Inputs &amp; Assumptions'!$L$29,'Model Inputs &amp; Assumptions'!$A$40:$A$42,0))</f>
        <v>188909.349058891</v>
      </c>
      <c r="K593" s="49" t="n">
        <f aca="false">H593*INDEX('Model Inputs &amp; Assumptions'!$G$40:$G$42,MATCH('Model Inputs &amp; Assumptions'!$L$29,'Model Inputs &amp; Assumptions'!$A$40:$A$42,0))*INDEX('Model Inputs &amp; Assumptions'!$H$40:$H$42,MATCH('Model Inputs &amp; Assumptions'!$L$29,'Model Inputs &amp; Assumptions'!$A$40:$A$42,0))</f>
        <v>4250.46035382504</v>
      </c>
      <c r="L593" s="51" t="n">
        <f aca="false">IFERROR(K593/I593,0)</f>
        <v>0.653916977511544</v>
      </c>
      <c r="M593" s="49" t="n">
        <f aca="false">IFERROR(I593/H593,0)</f>
        <v>292.468320256486</v>
      </c>
      <c r="N593" s="52" t="str">
        <f aca="false">'Model Inputs &amp; Assumptions'!$L$29</f>
        <v>PRD-EUAI</v>
      </c>
      <c r="P593" s="53" t="n">
        <v>-0.647958</v>
      </c>
      <c r="Q593" s="53" t="n">
        <v>2.127448</v>
      </c>
      <c r="R593" s="53" t="n">
        <v>-0.344847</v>
      </c>
      <c r="S593" s="53" t="n">
        <v>0.176295</v>
      </c>
    </row>
    <row r="594" customFormat="false" ht="15" hidden="false" customHeight="false" outlineLevel="0" collapsed="false">
      <c r="A594" s="43" t="n">
        <v>91</v>
      </c>
      <c r="B594" s="44" t="str">
        <f aca="false">'Model Inputs &amp; Assumptions'!$B$29</f>
        <v>Handelsblatt — Native Explainer</v>
      </c>
      <c r="C594" s="45" t="n">
        <f aca="false">ROUND(MAX(0,'Model Inputs &amp; Assumptions'!$S$29*EXP('Model Inputs &amp; Assumptions'!$T$29*P594-'Model Inputs &amp; Assumptions'!$T$29^2/2)),0)</f>
        <v>193879</v>
      </c>
      <c r="D594" s="46" t="n">
        <f aca="false">MIN(1,'Model Inputs &amp; Assumptions'!$U$29*EXP('Model Inputs &amp; Assumptions'!$V$29*Q594-'Model Inputs &amp; Assumptions'!$V$29^2/2))</f>
        <v>0</v>
      </c>
      <c r="E594" s="45" t="n">
        <f aca="false">ROUND(C594*D594,0)</f>
        <v>0</v>
      </c>
      <c r="F594" s="47" t="n">
        <f aca="false">MIN(1,'Model Inputs &amp; Assumptions'!$W$29*EXP('Model Inputs &amp; Assumptions'!$X$29*R594-'Model Inputs &amp; Assumptions'!$X$29^2/2))</f>
        <v>0.00578263429257848</v>
      </c>
      <c r="G594" s="45" t="n">
        <f aca="false">ROUND(C594*F594,0)</f>
        <v>1121</v>
      </c>
      <c r="H594" s="48" t="n">
        <f aca="false">MAX(0,(C594*'Model Inputs &amp; Assumptions'!$N$29+E594*'Model Inputs &amp; Assumptions'!$O$29+G594*'Model Inputs &amp; Assumptions'!$P$29)*EXP('Model Inputs &amp; Assumptions'!$Q$29*S594-'Model Inputs &amp; Assumptions'!$Q$29^2/2))</f>
        <v>80.9229080919851</v>
      </c>
      <c r="I594" s="49" t="n">
        <f aca="false">IF('Model Inputs &amp; Assumptions'!$H$29="Fixed",'Model Inputs &amp; Assumptions'!$I$29*'Model Inputs &amp; Assumptions'!$K$29,IF('Model Inputs &amp; Assumptions'!$H$29="CPM",'Model Inputs &amp; Assumptions'!$I$29*'Model Inputs &amp; Assumptions'!$K$29*C594/1000,IF('Model Inputs &amp; Assumptions'!$H$29="CPC",'Model Inputs &amp; Assumptions'!$I$29*'Model Inputs &amp; Assumptions'!$K$29*G594,0)))</f>
        <v>6500</v>
      </c>
      <c r="J594" s="50" t="n">
        <f aca="false">H594*INDEX('Model Inputs &amp; Assumptions'!$D$40:$D$42,MATCH('Model Inputs &amp; Assumptions'!$L$29,'Model Inputs &amp; Assumptions'!$A$40:$A$42,0))*INDEX('Model Inputs &amp; Assumptions'!$H$40:$H$42,MATCH('Model Inputs &amp; Assumptions'!$L$29,'Model Inputs &amp; Assumptions'!$A$40:$A$42,0))</f>
        <v>687844.718781874</v>
      </c>
      <c r="K594" s="49" t="n">
        <f aca="false">H594*INDEX('Model Inputs &amp; Assumptions'!$G$40:$G$42,MATCH('Model Inputs &amp; Assumptions'!$L$29,'Model Inputs &amp; Assumptions'!$A$40:$A$42,0))*INDEX('Model Inputs &amp; Assumptions'!$H$40:$H$42,MATCH('Model Inputs &amp; Assumptions'!$L$29,'Model Inputs &amp; Assumptions'!$A$40:$A$42,0))</f>
        <v>15476.5061725922</v>
      </c>
      <c r="L594" s="51" t="n">
        <f aca="false">IFERROR(K594/I594,0)</f>
        <v>2.38100094962956</v>
      </c>
      <c r="M594" s="49" t="n">
        <f aca="false">IFERROR(I594/H594,0)</f>
        <v>80.3233614962458</v>
      </c>
      <c r="N594" s="52" t="str">
        <f aca="false">'Model Inputs &amp; Assumptions'!$L$29</f>
        <v>PRD-EUAI</v>
      </c>
      <c r="P594" s="53" t="n">
        <v>0.0144</v>
      </c>
      <c r="Q594" s="53" t="n">
        <v>-0.11311</v>
      </c>
      <c r="R594" s="53" t="n">
        <v>2.684597</v>
      </c>
      <c r="S594" s="53" t="n">
        <v>1.374176</v>
      </c>
    </row>
    <row r="595" customFormat="false" ht="15" hidden="false" customHeight="false" outlineLevel="0" collapsed="false">
      <c r="A595" s="43" t="n">
        <v>92</v>
      </c>
      <c r="B595" s="44" t="str">
        <f aca="false">'Model Inputs &amp; Assumptions'!$B$29</f>
        <v>Handelsblatt — Native Explainer</v>
      </c>
      <c r="C595" s="45" t="n">
        <f aca="false">ROUND(MAX(0,'Model Inputs &amp; Assumptions'!$S$29*EXP('Model Inputs &amp; Assumptions'!$T$29*P595-'Model Inputs &amp; Assumptions'!$T$29^2/2)),0)</f>
        <v>164199</v>
      </c>
      <c r="D595" s="46" t="n">
        <f aca="false">MIN(1,'Model Inputs &amp; Assumptions'!$U$29*EXP('Model Inputs &amp; Assumptions'!$V$29*Q595-'Model Inputs &amp; Assumptions'!$V$29^2/2))</f>
        <v>0</v>
      </c>
      <c r="E595" s="45" t="n">
        <f aca="false">ROUND(C595*D595,0)</f>
        <v>0</v>
      </c>
      <c r="F595" s="47" t="n">
        <f aca="false">MIN(1,'Model Inputs &amp; Assumptions'!$W$29*EXP('Model Inputs &amp; Assumptions'!$X$29*R595-'Model Inputs &amp; Assumptions'!$X$29^2/2))</f>
        <v>0.00310312435010495</v>
      </c>
      <c r="G595" s="45" t="n">
        <f aca="false">ROUND(C595*F595,0)</f>
        <v>510</v>
      </c>
      <c r="H595" s="48" t="n">
        <f aca="false">MAX(0,(C595*'Model Inputs &amp; Assumptions'!$N$29+E595*'Model Inputs &amp; Assumptions'!$O$29+G595*'Model Inputs &amp; Assumptions'!$P$29)*EXP('Model Inputs &amp; Assumptions'!$Q$29*S595-'Model Inputs &amp; Assumptions'!$Q$29^2/2))</f>
        <v>16.0124533226943</v>
      </c>
      <c r="I595" s="49" t="n">
        <f aca="false">IF('Model Inputs &amp; Assumptions'!$H$29="Fixed",'Model Inputs &amp; Assumptions'!$I$29*'Model Inputs &amp; Assumptions'!$K$29,IF('Model Inputs &amp; Assumptions'!$H$29="CPM",'Model Inputs &amp; Assumptions'!$I$29*'Model Inputs &amp; Assumptions'!$K$29*C595/1000,IF('Model Inputs &amp; Assumptions'!$H$29="CPC",'Model Inputs &amp; Assumptions'!$I$29*'Model Inputs &amp; Assumptions'!$K$29*G595,0)))</f>
        <v>6500</v>
      </c>
      <c r="J595" s="50" t="n">
        <f aca="false">H595*INDEX('Model Inputs &amp; Assumptions'!$D$40:$D$42,MATCH('Model Inputs &amp; Assumptions'!$L$29,'Model Inputs &amp; Assumptions'!$A$40:$A$42,0))*INDEX('Model Inputs &amp; Assumptions'!$H$40:$H$42,MATCH('Model Inputs &amp; Assumptions'!$L$29,'Model Inputs &amp; Assumptions'!$A$40:$A$42,0))</f>
        <v>136105.853242901</v>
      </c>
      <c r="K595" s="49" t="n">
        <f aca="false">H595*INDEX('Model Inputs &amp; Assumptions'!$G$40:$G$42,MATCH('Model Inputs &amp; Assumptions'!$L$29,'Model Inputs &amp; Assumptions'!$A$40:$A$42,0))*INDEX('Model Inputs &amp; Assumptions'!$H$40:$H$42,MATCH('Model Inputs &amp; Assumptions'!$L$29,'Model Inputs &amp; Assumptions'!$A$40:$A$42,0))</f>
        <v>3062.38169796528</v>
      </c>
      <c r="L595" s="51" t="n">
        <f aca="false">IFERROR(K595/I595,0)</f>
        <v>0.471135645840812</v>
      </c>
      <c r="M595" s="49" t="n">
        <f aca="false">IFERROR(I595/H595,0)</f>
        <v>405.93404826902</v>
      </c>
      <c r="N595" s="52" t="str">
        <f aca="false">'Model Inputs &amp; Assumptions'!$L$29</f>
        <v>PRD-EUAI</v>
      </c>
      <c r="P595" s="53" t="n">
        <v>-0.740862</v>
      </c>
      <c r="Q595" s="53" t="n">
        <v>1.121279</v>
      </c>
      <c r="R595" s="53" t="n">
        <v>0.290559</v>
      </c>
      <c r="S595" s="53" t="n">
        <v>-1.401039</v>
      </c>
    </row>
    <row r="596" customFormat="false" ht="15" hidden="false" customHeight="false" outlineLevel="0" collapsed="false">
      <c r="A596" s="43" t="n">
        <v>93</v>
      </c>
      <c r="B596" s="44" t="str">
        <f aca="false">'Model Inputs &amp; Assumptions'!$B$29</f>
        <v>Handelsblatt — Native Explainer</v>
      </c>
      <c r="C596" s="45" t="n">
        <f aca="false">ROUND(MAX(0,'Model Inputs &amp; Assumptions'!$S$29*EXP('Model Inputs &amp; Assumptions'!$T$29*P596-'Model Inputs &amp; Assumptions'!$T$29^2/2)),0)</f>
        <v>142181</v>
      </c>
      <c r="D596" s="46" t="n">
        <f aca="false">MIN(1,'Model Inputs &amp; Assumptions'!$U$29*EXP('Model Inputs &amp; Assumptions'!$V$29*Q596-'Model Inputs &amp; Assumptions'!$V$29^2/2))</f>
        <v>0</v>
      </c>
      <c r="E596" s="45" t="n">
        <f aca="false">ROUND(C596*D596,0)</f>
        <v>0</v>
      </c>
      <c r="F596" s="47" t="n">
        <f aca="false">MIN(1,'Model Inputs &amp; Assumptions'!$W$29*EXP('Model Inputs &amp; Assumptions'!$X$29*R596-'Model Inputs &amp; Assumptions'!$X$29^2/2))</f>
        <v>0.00212470812248756</v>
      </c>
      <c r="G596" s="45" t="n">
        <f aca="false">ROUND(C596*F596,0)</f>
        <v>302</v>
      </c>
      <c r="H596" s="48" t="n">
        <f aca="false">MAX(0,(C596*'Model Inputs &amp; Assumptions'!$N$29+E596*'Model Inputs &amp; Assumptions'!$O$29+G596*'Model Inputs &amp; Assumptions'!$P$29)*EXP('Model Inputs &amp; Assumptions'!$Q$29*S596-'Model Inputs &amp; Assumptions'!$Q$29^2/2))</f>
        <v>13.9742345372609</v>
      </c>
      <c r="I596" s="49" t="n">
        <f aca="false">IF('Model Inputs &amp; Assumptions'!$H$29="Fixed",'Model Inputs &amp; Assumptions'!$I$29*'Model Inputs &amp; Assumptions'!$K$29,IF('Model Inputs &amp; Assumptions'!$H$29="CPM",'Model Inputs &amp; Assumptions'!$I$29*'Model Inputs &amp; Assumptions'!$K$29*C596/1000,IF('Model Inputs &amp; Assumptions'!$H$29="CPC",'Model Inputs &amp; Assumptions'!$I$29*'Model Inputs &amp; Assumptions'!$K$29*G596,0)))</f>
        <v>6500</v>
      </c>
      <c r="J596" s="50" t="n">
        <f aca="false">H596*INDEX('Model Inputs &amp; Assumptions'!$D$40:$D$42,MATCH('Model Inputs &amp; Assumptions'!$L$29,'Model Inputs &amp; Assumptions'!$A$40:$A$42,0))*INDEX('Model Inputs &amp; Assumptions'!$H$40:$H$42,MATCH('Model Inputs &amp; Assumptions'!$L$29,'Model Inputs &amp; Assumptions'!$A$40:$A$42,0))</f>
        <v>118780.993566718</v>
      </c>
      <c r="K596" s="49" t="n">
        <f aca="false">H596*INDEX('Model Inputs &amp; Assumptions'!$G$40:$G$42,MATCH('Model Inputs &amp; Assumptions'!$L$29,'Model Inputs &amp; Assumptions'!$A$40:$A$42,0))*INDEX('Model Inputs &amp; Assumptions'!$H$40:$H$42,MATCH('Model Inputs &amp; Assumptions'!$L$29,'Model Inputs &amp; Assumptions'!$A$40:$A$42,0))</f>
        <v>2672.57235525115</v>
      </c>
      <c r="L596" s="51" t="n">
        <f aca="false">IFERROR(K596/I596,0)</f>
        <v>0.411164977730946</v>
      </c>
      <c r="M596" s="49" t="n">
        <f aca="false">IFERROR(I596/H596,0)</f>
        <v>465.141756614174</v>
      </c>
      <c r="N596" s="52" t="str">
        <f aca="false">'Model Inputs &amp; Assumptions'!$L$29</f>
        <v>PRD-EUAI</v>
      </c>
      <c r="P596" s="53" t="n">
        <v>-1.395296</v>
      </c>
      <c r="Q596" s="53" t="n">
        <v>-0.438831</v>
      </c>
      <c r="R596" s="53" t="n">
        <v>-1.166268</v>
      </c>
      <c r="S596" s="53" t="n">
        <v>-0.108265</v>
      </c>
    </row>
    <row r="597" customFormat="false" ht="15" hidden="false" customHeight="false" outlineLevel="0" collapsed="false">
      <c r="A597" s="43" t="n">
        <v>94</v>
      </c>
      <c r="B597" s="44" t="str">
        <f aca="false">'Model Inputs &amp; Assumptions'!$B$29</f>
        <v>Handelsblatt — Native Explainer</v>
      </c>
      <c r="C597" s="45" t="n">
        <f aca="false">ROUND(MAX(0,'Model Inputs &amp; Assumptions'!$S$29*EXP('Model Inputs &amp; Assumptions'!$T$29*P597-'Model Inputs &amp; Assumptions'!$T$29^2/2)),0)</f>
        <v>195670</v>
      </c>
      <c r="D597" s="46" t="n">
        <f aca="false">MIN(1,'Model Inputs &amp; Assumptions'!$U$29*EXP('Model Inputs &amp; Assumptions'!$V$29*Q597-'Model Inputs &amp; Assumptions'!$V$29^2/2))</f>
        <v>0</v>
      </c>
      <c r="E597" s="45" t="n">
        <f aca="false">ROUND(C597*D597,0)</f>
        <v>0</v>
      </c>
      <c r="F597" s="47" t="n">
        <f aca="false">MIN(1,'Model Inputs &amp; Assumptions'!$W$29*EXP('Model Inputs &amp; Assumptions'!$X$29*R597-'Model Inputs &amp; Assumptions'!$X$29^2/2))</f>
        <v>0.00283874723046378</v>
      </c>
      <c r="G597" s="45" t="n">
        <f aca="false">ROUND(C597*F597,0)</f>
        <v>555</v>
      </c>
      <c r="H597" s="48" t="n">
        <f aca="false">MAX(0,(C597*'Model Inputs &amp; Assumptions'!$N$29+E597*'Model Inputs &amp; Assumptions'!$O$29+G597*'Model Inputs &amp; Assumptions'!$P$29)*EXP('Model Inputs &amp; Assumptions'!$Q$29*S597-'Model Inputs &amp; Assumptions'!$Q$29^2/2))</f>
        <v>22.6842452162878</v>
      </c>
      <c r="I597" s="49" t="n">
        <f aca="false">IF('Model Inputs &amp; Assumptions'!$H$29="Fixed",'Model Inputs &amp; Assumptions'!$I$29*'Model Inputs &amp; Assumptions'!$K$29,IF('Model Inputs &amp; Assumptions'!$H$29="CPM",'Model Inputs &amp; Assumptions'!$I$29*'Model Inputs &amp; Assumptions'!$K$29*C597/1000,IF('Model Inputs &amp; Assumptions'!$H$29="CPC",'Model Inputs &amp; Assumptions'!$I$29*'Model Inputs &amp; Assumptions'!$K$29*G597,0)))</f>
        <v>6500</v>
      </c>
      <c r="J597" s="50" t="n">
        <f aca="false">H597*INDEX('Model Inputs &amp; Assumptions'!$D$40:$D$42,MATCH('Model Inputs &amp; Assumptions'!$L$29,'Model Inputs &amp; Assumptions'!$A$40:$A$42,0))*INDEX('Model Inputs &amp; Assumptions'!$H$40:$H$42,MATCH('Model Inputs &amp; Assumptions'!$L$29,'Model Inputs &amp; Assumptions'!$A$40:$A$42,0))</f>
        <v>192816.084338446</v>
      </c>
      <c r="K597" s="49" t="n">
        <f aca="false">H597*INDEX('Model Inputs &amp; Assumptions'!$G$40:$G$42,MATCH('Model Inputs &amp; Assumptions'!$L$29,'Model Inputs &amp; Assumptions'!$A$40:$A$42,0))*INDEX('Model Inputs &amp; Assumptions'!$H$40:$H$42,MATCH('Model Inputs &amp; Assumptions'!$L$29,'Model Inputs &amp; Assumptions'!$A$40:$A$42,0))</f>
        <v>4338.36189761504</v>
      </c>
      <c r="L597" s="51" t="n">
        <f aca="false">IFERROR(K597/I597,0)</f>
        <v>0.667440291940775</v>
      </c>
      <c r="M597" s="49" t="n">
        <f aca="false">IFERROR(I597/H597,0)</f>
        <v>286.542485236972</v>
      </c>
      <c r="N597" s="52" t="str">
        <f aca="false">'Model Inputs &amp; Assumptions'!$L$29</f>
        <v>PRD-EUAI</v>
      </c>
      <c r="P597" s="53" t="n">
        <v>0.056186</v>
      </c>
      <c r="Q597" s="53" t="n">
        <v>0.325096</v>
      </c>
      <c r="R597" s="53" t="n">
        <v>-0.051928</v>
      </c>
      <c r="S597" s="53" t="n">
        <v>-0.521884</v>
      </c>
    </row>
    <row r="598" customFormat="false" ht="15" hidden="false" customHeight="false" outlineLevel="0" collapsed="false">
      <c r="A598" s="43" t="n">
        <v>95</v>
      </c>
      <c r="B598" s="44" t="str">
        <f aca="false">'Model Inputs &amp; Assumptions'!$B$29</f>
        <v>Handelsblatt — Native Explainer</v>
      </c>
      <c r="C598" s="45" t="n">
        <f aca="false">ROUND(MAX(0,'Model Inputs &amp; Assumptions'!$S$29*EXP('Model Inputs &amp; Assumptions'!$T$29*P598-'Model Inputs &amp; Assumptions'!$T$29^2/2)),0)</f>
        <v>171670</v>
      </c>
      <c r="D598" s="46" t="n">
        <f aca="false">MIN(1,'Model Inputs &amp; Assumptions'!$U$29*EXP('Model Inputs &amp; Assumptions'!$V$29*Q598-'Model Inputs &amp; Assumptions'!$V$29^2/2))</f>
        <v>0</v>
      </c>
      <c r="E598" s="45" t="n">
        <f aca="false">ROUND(C598*D598,0)</f>
        <v>0</v>
      </c>
      <c r="F598" s="47" t="n">
        <f aca="false">MIN(1,'Model Inputs &amp; Assumptions'!$W$29*EXP('Model Inputs &amp; Assumptions'!$X$29*R598-'Model Inputs &amp; Assumptions'!$X$29^2/2))</f>
        <v>0.00315928772534218</v>
      </c>
      <c r="G598" s="45" t="n">
        <f aca="false">ROUND(C598*F598,0)</f>
        <v>542</v>
      </c>
      <c r="H598" s="48" t="n">
        <f aca="false">MAX(0,(C598*'Model Inputs &amp; Assumptions'!$N$29+E598*'Model Inputs &amp; Assumptions'!$O$29+G598*'Model Inputs &amp; Assumptions'!$P$29)*EXP('Model Inputs &amp; Assumptions'!$Q$29*S598-'Model Inputs &amp; Assumptions'!$Q$29^2/2))</f>
        <v>44.0251573237676</v>
      </c>
      <c r="I598" s="49" t="n">
        <f aca="false">IF('Model Inputs &amp; Assumptions'!$H$29="Fixed",'Model Inputs &amp; Assumptions'!$I$29*'Model Inputs &amp; Assumptions'!$K$29,IF('Model Inputs &amp; Assumptions'!$H$29="CPM",'Model Inputs &amp; Assumptions'!$I$29*'Model Inputs &amp; Assumptions'!$K$29*C598/1000,IF('Model Inputs &amp; Assumptions'!$H$29="CPC",'Model Inputs &amp; Assumptions'!$I$29*'Model Inputs &amp; Assumptions'!$K$29*G598,0)))</f>
        <v>6500</v>
      </c>
      <c r="J598" s="50" t="n">
        <f aca="false">H598*INDEX('Model Inputs &amp; Assumptions'!$D$40:$D$42,MATCH('Model Inputs &amp; Assumptions'!$L$29,'Model Inputs &amp; Assumptions'!$A$40:$A$42,0))*INDEX('Model Inputs &amp; Assumptions'!$H$40:$H$42,MATCH('Model Inputs &amp; Assumptions'!$L$29,'Model Inputs &amp; Assumptions'!$A$40:$A$42,0))</f>
        <v>374213.837252025</v>
      </c>
      <c r="K598" s="49" t="n">
        <f aca="false">H598*INDEX('Model Inputs &amp; Assumptions'!$G$40:$G$42,MATCH('Model Inputs &amp; Assumptions'!$L$29,'Model Inputs &amp; Assumptions'!$A$40:$A$42,0))*INDEX('Model Inputs &amp; Assumptions'!$H$40:$H$42,MATCH('Model Inputs &amp; Assumptions'!$L$29,'Model Inputs &amp; Assumptions'!$A$40:$A$42,0))</f>
        <v>8419.81133817056</v>
      </c>
      <c r="L598" s="51" t="n">
        <f aca="false">IFERROR(K598/I598,0)</f>
        <v>1.29535559048778</v>
      </c>
      <c r="M598" s="49" t="n">
        <f aca="false">IFERROR(I598/H598,0)</f>
        <v>147.642856837467</v>
      </c>
      <c r="N598" s="52" t="str">
        <f aca="false">'Model Inputs &amp; Assumptions'!$L$29</f>
        <v>PRD-EUAI</v>
      </c>
      <c r="P598" s="53" t="n">
        <v>-0.538607</v>
      </c>
      <c r="Q598" s="53" t="n">
        <v>-1.490902</v>
      </c>
      <c r="R598" s="53" t="n">
        <v>0.359548</v>
      </c>
      <c r="S598" s="53" t="n">
        <v>1.767425</v>
      </c>
    </row>
    <row r="599" customFormat="false" ht="15" hidden="false" customHeight="false" outlineLevel="0" collapsed="false">
      <c r="A599" s="43" t="n">
        <v>96</v>
      </c>
      <c r="B599" s="44" t="str">
        <f aca="false">'Model Inputs &amp; Assumptions'!$B$29</f>
        <v>Handelsblatt — Native Explainer</v>
      </c>
      <c r="C599" s="45" t="n">
        <f aca="false">ROUND(MAX(0,'Model Inputs &amp; Assumptions'!$S$29*EXP('Model Inputs &amp; Assumptions'!$T$29*P599-'Model Inputs &amp; Assumptions'!$T$29^2/2)),0)</f>
        <v>209734</v>
      </c>
      <c r="D599" s="46" t="n">
        <f aca="false">MIN(1,'Model Inputs &amp; Assumptions'!$U$29*EXP('Model Inputs &amp; Assumptions'!$V$29*Q599-'Model Inputs &amp; Assumptions'!$V$29^2/2))</f>
        <v>0</v>
      </c>
      <c r="E599" s="45" t="n">
        <f aca="false">ROUND(C599*D599,0)</f>
        <v>0</v>
      </c>
      <c r="F599" s="47" t="n">
        <f aca="false">MIN(1,'Model Inputs &amp; Assumptions'!$W$29*EXP('Model Inputs &amp; Assumptions'!$X$29*R599-'Model Inputs &amp; Assumptions'!$X$29^2/2))</f>
        <v>0.00232500599799534</v>
      </c>
      <c r="G599" s="45" t="n">
        <f aca="false">ROUND(C599*F599,0)</f>
        <v>488</v>
      </c>
      <c r="H599" s="48" t="n">
        <f aca="false">MAX(0,(C599*'Model Inputs &amp; Assumptions'!$N$29+E599*'Model Inputs &amp; Assumptions'!$O$29+G599*'Model Inputs &amp; Assumptions'!$P$29)*EXP('Model Inputs &amp; Assumptions'!$Q$29*S599-'Model Inputs &amp; Assumptions'!$Q$29^2/2))</f>
        <v>21.7349862604067</v>
      </c>
      <c r="I599" s="49" t="n">
        <f aca="false">IF('Model Inputs &amp; Assumptions'!$H$29="Fixed",'Model Inputs &amp; Assumptions'!$I$29*'Model Inputs &amp; Assumptions'!$K$29,IF('Model Inputs &amp; Assumptions'!$H$29="CPM",'Model Inputs &amp; Assumptions'!$I$29*'Model Inputs &amp; Assumptions'!$K$29*C599/1000,IF('Model Inputs &amp; Assumptions'!$H$29="CPC",'Model Inputs &amp; Assumptions'!$I$29*'Model Inputs &amp; Assumptions'!$K$29*G599,0)))</f>
        <v>6500</v>
      </c>
      <c r="J599" s="50" t="n">
        <f aca="false">H599*INDEX('Model Inputs &amp; Assumptions'!$D$40:$D$42,MATCH('Model Inputs &amp; Assumptions'!$L$29,'Model Inputs &amp; Assumptions'!$A$40:$A$42,0))*INDEX('Model Inputs &amp; Assumptions'!$H$40:$H$42,MATCH('Model Inputs &amp; Assumptions'!$L$29,'Model Inputs &amp; Assumptions'!$A$40:$A$42,0))</f>
        <v>184747.383213457</v>
      </c>
      <c r="K599" s="49" t="n">
        <f aca="false">H599*INDEX('Model Inputs &amp; Assumptions'!$G$40:$G$42,MATCH('Model Inputs &amp; Assumptions'!$L$29,'Model Inputs &amp; Assumptions'!$A$40:$A$42,0))*INDEX('Model Inputs &amp; Assumptions'!$H$40:$H$42,MATCH('Model Inputs &amp; Assumptions'!$L$29,'Model Inputs &amp; Assumptions'!$A$40:$A$42,0))</f>
        <v>4156.81612230278</v>
      </c>
      <c r="L599" s="51" t="n">
        <f aca="false">IFERROR(K599/I599,0)</f>
        <v>0.639510172661966</v>
      </c>
      <c r="M599" s="49" t="n">
        <f aca="false">IFERROR(I599/H599,0)</f>
        <v>299.057009842268</v>
      </c>
      <c r="N599" s="52" t="str">
        <f aca="false">'Model Inputs &amp; Assumptions'!$L$29</f>
        <v>PRD-EUAI</v>
      </c>
      <c r="P599" s="53" t="n">
        <v>0.371691</v>
      </c>
      <c r="Q599" s="53" t="n">
        <v>-2.326924</v>
      </c>
      <c r="R599" s="53" t="n">
        <v>-0.819775</v>
      </c>
      <c r="S599" s="53" t="n">
        <v>-0.235533</v>
      </c>
    </row>
    <row r="600" customFormat="false" ht="15" hidden="false" customHeight="false" outlineLevel="0" collapsed="false">
      <c r="A600" s="43" t="n">
        <v>97</v>
      </c>
      <c r="B600" s="44" t="str">
        <f aca="false">'Model Inputs &amp; Assumptions'!$B$29</f>
        <v>Handelsblatt — Native Explainer</v>
      </c>
      <c r="C600" s="45" t="n">
        <f aca="false">ROUND(MAX(0,'Model Inputs &amp; Assumptions'!$S$29*EXP('Model Inputs &amp; Assumptions'!$T$29*P600-'Model Inputs &amp; Assumptions'!$T$29^2/2)),0)</f>
        <v>178882</v>
      </c>
      <c r="D600" s="46" t="n">
        <f aca="false">MIN(1,'Model Inputs &amp; Assumptions'!$U$29*EXP('Model Inputs &amp; Assumptions'!$V$29*Q600-'Model Inputs &amp; Assumptions'!$V$29^2/2))</f>
        <v>0</v>
      </c>
      <c r="E600" s="45" t="n">
        <f aca="false">ROUND(C600*D600,0)</f>
        <v>0</v>
      </c>
      <c r="F600" s="47" t="n">
        <f aca="false">MIN(1,'Model Inputs &amp; Assumptions'!$W$29*EXP('Model Inputs &amp; Assumptions'!$X$29*R600-'Model Inputs &amp; Assumptions'!$X$29^2/2))</f>
        <v>0.00265978645319968</v>
      </c>
      <c r="G600" s="45" t="n">
        <f aca="false">ROUND(C600*F600,0)</f>
        <v>476</v>
      </c>
      <c r="H600" s="48" t="n">
        <f aca="false">MAX(0,(C600*'Model Inputs &amp; Assumptions'!$N$29+E600*'Model Inputs &amp; Assumptions'!$O$29+G600*'Model Inputs &amp; Assumptions'!$P$29)*EXP('Model Inputs &amp; Assumptions'!$Q$29*S600-'Model Inputs &amp; Assumptions'!$Q$29^2/2))</f>
        <v>18.1504377826729</v>
      </c>
      <c r="I600" s="49" t="n">
        <f aca="false">IF('Model Inputs &amp; Assumptions'!$H$29="Fixed",'Model Inputs &amp; Assumptions'!$I$29*'Model Inputs &amp; Assumptions'!$K$29,IF('Model Inputs &amp; Assumptions'!$H$29="CPM",'Model Inputs &amp; Assumptions'!$I$29*'Model Inputs &amp; Assumptions'!$K$29*C600/1000,IF('Model Inputs &amp; Assumptions'!$H$29="CPC",'Model Inputs &amp; Assumptions'!$I$29*'Model Inputs &amp; Assumptions'!$K$29*G600,0)))</f>
        <v>6500</v>
      </c>
      <c r="J600" s="50" t="n">
        <f aca="false">H600*INDEX('Model Inputs &amp; Assumptions'!$D$40:$D$42,MATCH('Model Inputs &amp; Assumptions'!$L$29,'Model Inputs &amp; Assumptions'!$A$40:$A$42,0))*INDEX('Model Inputs &amp; Assumptions'!$H$40:$H$42,MATCH('Model Inputs &amp; Assumptions'!$L$29,'Model Inputs &amp; Assumptions'!$A$40:$A$42,0))</f>
        <v>154278.721152719</v>
      </c>
      <c r="K600" s="49" t="n">
        <f aca="false">H600*INDEX('Model Inputs &amp; Assumptions'!$G$40:$G$42,MATCH('Model Inputs &amp; Assumptions'!$L$29,'Model Inputs &amp; Assumptions'!$A$40:$A$42,0))*INDEX('Model Inputs &amp; Assumptions'!$H$40:$H$42,MATCH('Model Inputs &amp; Assumptions'!$L$29,'Model Inputs &amp; Assumptions'!$A$40:$A$42,0))</f>
        <v>3471.27122593619</v>
      </c>
      <c r="L600" s="51" t="n">
        <f aca="false">IFERROR(K600/I600,0)</f>
        <v>0.534041727067105</v>
      </c>
      <c r="M600" s="49" t="n">
        <f aca="false">IFERROR(I600/H600,0)</f>
        <v>358.118083862702</v>
      </c>
      <c r="N600" s="52" t="str">
        <f aca="false">'Model Inputs &amp; Assumptions'!$L$29</f>
        <v>PRD-EUAI</v>
      </c>
      <c r="P600" s="53" t="n">
        <v>-0.351555</v>
      </c>
      <c r="Q600" s="53" t="n">
        <v>1.357082</v>
      </c>
      <c r="R600" s="53" t="n">
        <v>-0.302378</v>
      </c>
      <c r="S600" s="53" t="n">
        <v>-0.753303</v>
      </c>
    </row>
    <row r="601" customFormat="false" ht="15" hidden="false" customHeight="false" outlineLevel="0" collapsed="false">
      <c r="A601" s="43" t="n">
        <v>98</v>
      </c>
      <c r="B601" s="44" t="str">
        <f aca="false">'Model Inputs &amp; Assumptions'!$B$29</f>
        <v>Handelsblatt — Native Explainer</v>
      </c>
      <c r="C601" s="45" t="n">
        <f aca="false">ROUND(MAX(0,'Model Inputs &amp; Assumptions'!$S$29*EXP('Model Inputs &amp; Assumptions'!$T$29*P601-'Model Inputs &amp; Assumptions'!$T$29^2/2)),0)</f>
        <v>221061</v>
      </c>
      <c r="D601" s="46" t="n">
        <f aca="false">MIN(1,'Model Inputs &amp; Assumptions'!$U$29*EXP('Model Inputs &amp; Assumptions'!$V$29*Q601-'Model Inputs &amp; Assumptions'!$V$29^2/2))</f>
        <v>0</v>
      </c>
      <c r="E601" s="45" t="n">
        <f aca="false">ROUND(C601*D601,0)</f>
        <v>0</v>
      </c>
      <c r="F601" s="47" t="n">
        <f aca="false">MIN(1,'Model Inputs &amp; Assumptions'!$W$29*EXP('Model Inputs &amp; Assumptions'!$X$29*R601-'Model Inputs &amp; Assumptions'!$X$29^2/2))</f>
        <v>0.00287373471664407</v>
      </c>
      <c r="G601" s="45" t="n">
        <f aca="false">ROUND(C601*F601,0)</f>
        <v>635</v>
      </c>
      <c r="H601" s="48" t="n">
        <f aca="false">MAX(0,(C601*'Model Inputs &amp; Assumptions'!$N$29+E601*'Model Inputs &amp; Assumptions'!$O$29+G601*'Model Inputs &amp; Assumptions'!$P$29)*EXP('Model Inputs &amp; Assumptions'!$Q$29*S601-'Model Inputs &amp; Assumptions'!$Q$29^2/2))</f>
        <v>18.9053117081304</v>
      </c>
      <c r="I601" s="49" t="n">
        <f aca="false">IF('Model Inputs &amp; Assumptions'!$H$29="Fixed",'Model Inputs &amp; Assumptions'!$I$29*'Model Inputs &amp; Assumptions'!$K$29,IF('Model Inputs &amp; Assumptions'!$H$29="CPM",'Model Inputs &amp; Assumptions'!$I$29*'Model Inputs &amp; Assumptions'!$K$29*C601/1000,IF('Model Inputs &amp; Assumptions'!$H$29="CPC",'Model Inputs &amp; Assumptions'!$I$29*'Model Inputs &amp; Assumptions'!$K$29*G601,0)))</f>
        <v>6500</v>
      </c>
      <c r="J601" s="50" t="n">
        <f aca="false">H601*INDEX('Model Inputs &amp; Assumptions'!$D$40:$D$42,MATCH('Model Inputs &amp; Assumptions'!$L$29,'Model Inputs &amp; Assumptions'!$A$40:$A$42,0))*INDEX('Model Inputs &amp; Assumptions'!$H$40:$H$42,MATCH('Model Inputs &amp; Assumptions'!$L$29,'Model Inputs &amp; Assumptions'!$A$40:$A$42,0))</f>
        <v>160695.149519108</v>
      </c>
      <c r="K601" s="49" t="n">
        <f aca="false">H601*INDEX('Model Inputs &amp; Assumptions'!$G$40:$G$42,MATCH('Model Inputs &amp; Assumptions'!$L$29,'Model Inputs &amp; Assumptions'!$A$40:$A$42,0))*INDEX('Model Inputs &amp; Assumptions'!$H$40:$H$42,MATCH('Model Inputs &amp; Assumptions'!$L$29,'Model Inputs &amp; Assumptions'!$A$40:$A$42,0))</f>
        <v>3615.64086417994</v>
      </c>
      <c r="L601" s="51" t="n">
        <f aca="false">IFERROR(K601/I601,0)</f>
        <v>0.556252440643067</v>
      </c>
      <c r="M601" s="49" t="n">
        <f aca="false">IFERROR(I601/H601,0)</f>
        <v>343.818716155027</v>
      </c>
      <c r="N601" s="52" t="str">
        <f aca="false">'Model Inputs &amp; Assumptions'!$L$29</f>
        <v>PRD-EUAI</v>
      </c>
      <c r="P601" s="53" t="n">
        <v>0.61079</v>
      </c>
      <c r="Q601" s="53" t="n">
        <v>-1.898167</v>
      </c>
      <c r="R601" s="53" t="n">
        <v>-0.004814</v>
      </c>
      <c r="S601" s="53" t="n">
        <v>-1.578166</v>
      </c>
    </row>
    <row r="602" customFormat="false" ht="15" hidden="false" customHeight="false" outlineLevel="0" collapsed="false">
      <c r="A602" s="43" t="n">
        <v>99</v>
      </c>
      <c r="B602" s="44" t="str">
        <f aca="false">'Model Inputs &amp; Assumptions'!$B$29</f>
        <v>Handelsblatt — Native Explainer</v>
      </c>
      <c r="C602" s="45" t="n">
        <f aca="false">ROUND(MAX(0,'Model Inputs &amp; Assumptions'!$S$29*EXP('Model Inputs &amp; Assumptions'!$T$29*P602-'Model Inputs &amp; Assumptions'!$T$29^2/2)),0)</f>
        <v>211215</v>
      </c>
      <c r="D602" s="46" t="n">
        <f aca="false">MIN(1,'Model Inputs &amp; Assumptions'!$U$29*EXP('Model Inputs &amp; Assumptions'!$V$29*Q602-'Model Inputs &amp; Assumptions'!$V$29^2/2))</f>
        <v>0</v>
      </c>
      <c r="E602" s="45" t="n">
        <f aca="false">ROUND(C602*D602,0)</f>
        <v>0</v>
      </c>
      <c r="F602" s="47" t="n">
        <f aca="false">MIN(1,'Model Inputs &amp; Assumptions'!$W$29*EXP('Model Inputs &amp; Assumptions'!$X$29*R602-'Model Inputs &amp; Assumptions'!$X$29^2/2))</f>
        <v>0.00184720336146518</v>
      </c>
      <c r="G602" s="45" t="n">
        <f aca="false">ROUND(C602*F602,0)</f>
        <v>390</v>
      </c>
      <c r="H602" s="48" t="n">
        <f aca="false">MAX(0,(C602*'Model Inputs &amp; Assumptions'!$N$29+E602*'Model Inputs &amp; Assumptions'!$O$29+G602*'Model Inputs &amp; Assumptions'!$P$29)*EXP('Model Inputs &amp; Assumptions'!$Q$29*S602-'Model Inputs &amp; Assumptions'!$Q$29^2/2))</f>
        <v>13.3553661858691</v>
      </c>
      <c r="I602" s="49" t="n">
        <f aca="false">IF('Model Inputs &amp; Assumptions'!$H$29="Fixed",'Model Inputs &amp; Assumptions'!$I$29*'Model Inputs &amp; Assumptions'!$K$29,IF('Model Inputs &amp; Assumptions'!$H$29="CPM",'Model Inputs &amp; Assumptions'!$I$29*'Model Inputs &amp; Assumptions'!$K$29*C602/1000,IF('Model Inputs &amp; Assumptions'!$H$29="CPC",'Model Inputs &amp; Assumptions'!$I$29*'Model Inputs &amp; Assumptions'!$K$29*G602,0)))</f>
        <v>6500</v>
      </c>
      <c r="J602" s="50" t="n">
        <f aca="false">H602*INDEX('Model Inputs &amp; Assumptions'!$D$40:$D$42,MATCH('Model Inputs &amp; Assumptions'!$L$29,'Model Inputs &amp; Assumptions'!$A$40:$A$42,0))*INDEX('Model Inputs &amp; Assumptions'!$H$40:$H$42,MATCH('Model Inputs &amp; Assumptions'!$L$29,'Model Inputs &amp; Assumptions'!$A$40:$A$42,0))</f>
        <v>113520.612579887</v>
      </c>
      <c r="K602" s="49" t="n">
        <f aca="false">H602*INDEX('Model Inputs &amp; Assumptions'!$G$40:$G$42,MATCH('Model Inputs &amp; Assumptions'!$L$29,'Model Inputs &amp; Assumptions'!$A$40:$A$42,0))*INDEX('Model Inputs &amp; Assumptions'!$H$40:$H$42,MATCH('Model Inputs &amp; Assumptions'!$L$29,'Model Inputs &amp; Assumptions'!$A$40:$A$42,0))</f>
        <v>2554.21378304746</v>
      </c>
      <c r="L602" s="51" t="n">
        <f aca="false">IFERROR(K602/I602,0)</f>
        <v>0.392955966622686</v>
      </c>
      <c r="M602" s="49" t="n">
        <f aca="false">IFERROR(I602/H602,0)</f>
        <v>486.695752818629</v>
      </c>
      <c r="N602" s="52" t="str">
        <f aca="false">'Model Inputs &amp; Assumptions'!$L$29</f>
        <v>PRD-EUAI</v>
      </c>
      <c r="P602" s="53" t="n">
        <v>0.403686</v>
      </c>
      <c r="Q602" s="53" t="n">
        <v>0.945851</v>
      </c>
      <c r="R602" s="53" t="n">
        <v>-1.704582</v>
      </c>
      <c r="S602" s="53" t="n">
        <v>-1.111654</v>
      </c>
    </row>
    <row r="603" customFormat="false" ht="15" hidden="false" customHeight="false" outlineLevel="0" collapsed="false">
      <c r="A603" s="43" t="n">
        <v>100</v>
      </c>
      <c r="B603" s="44" t="str">
        <f aca="false">'Model Inputs &amp; Assumptions'!$B$29</f>
        <v>Handelsblatt — Native Explainer</v>
      </c>
      <c r="C603" s="45" t="n">
        <f aca="false">ROUND(MAX(0,'Model Inputs &amp; Assumptions'!$S$29*EXP('Model Inputs &amp; Assumptions'!$T$29*P603-'Model Inputs &amp; Assumptions'!$T$29^2/2)),0)</f>
        <v>193334</v>
      </c>
      <c r="D603" s="46" t="n">
        <f aca="false">MIN(1,'Model Inputs &amp; Assumptions'!$U$29*EXP('Model Inputs &amp; Assumptions'!$V$29*Q603-'Model Inputs &amp; Assumptions'!$V$29^2/2))</f>
        <v>0</v>
      </c>
      <c r="E603" s="45" t="n">
        <f aca="false">ROUND(C603*D603,0)</f>
        <v>0</v>
      </c>
      <c r="F603" s="47" t="n">
        <f aca="false">MIN(1,'Model Inputs &amp; Assumptions'!$W$29*EXP('Model Inputs &amp; Assumptions'!$X$29*R603-'Model Inputs &amp; Assumptions'!$X$29^2/2))</f>
        <v>0.00412515988410666</v>
      </c>
      <c r="G603" s="45" t="n">
        <f aca="false">ROUND(C603*F603,0)</f>
        <v>798</v>
      </c>
      <c r="H603" s="48" t="n">
        <f aca="false">MAX(0,(C603*'Model Inputs &amp; Assumptions'!$N$29+E603*'Model Inputs &amp; Assumptions'!$O$29+G603*'Model Inputs &amp; Assumptions'!$P$29)*EXP('Model Inputs &amp; Assumptions'!$Q$29*S603-'Model Inputs &amp; Assumptions'!$Q$29^2/2))</f>
        <v>29.2844548458832</v>
      </c>
      <c r="I603" s="49" t="n">
        <f aca="false">IF('Model Inputs &amp; Assumptions'!$H$29="Fixed",'Model Inputs &amp; Assumptions'!$I$29*'Model Inputs &amp; Assumptions'!$K$29,IF('Model Inputs &amp; Assumptions'!$H$29="CPM",'Model Inputs &amp; Assumptions'!$I$29*'Model Inputs &amp; Assumptions'!$K$29*C603/1000,IF('Model Inputs &amp; Assumptions'!$H$29="CPC",'Model Inputs &amp; Assumptions'!$I$29*'Model Inputs &amp; Assumptions'!$K$29*G603,0)))</f>
        <v>6500</v>
      </c>
      <c r="J603" s="50" t="n">
        <f aca="false">H603*INDEX('Model Inputs &amp; Assumptions'!$D$40:$D$42,MATCH('Model Inputs &amp; Assumptions'!$L$29,'Model Inputs &amp; Assumptions'!$A$40:$A$42,0))*INDEX('Model Inputs &amp; Assumptions'!$H$40:$H$42,MATCH('Model Inputs &amp; Assumptions'!$L$29,'Model Inputs &amp; Assumptions'!$A$40:$A$42,0))</f>
        <v>248917.866190007</v>
      </c>
      <c r="K603" s="49" t="n">
        <f aca="false">H603*INDEX('Model Inputs &amp; Assumptions'!$G$40:$G$42,MATCH('Model Inputs &amp; Assumptions'!$L$29,'Model Inputs &amp; Assumptions'!$A$40:$A$42,0))*INDEX('Model Inputs &amp; Assumptions'!$H$40:$H$42,MATCH('Model Inputs &amp; Assumptions'!$L$29,'Model Inputs &amp; Assumptions'!$A$40:$A$42,0))</f>
        <v>5600.65198927517</v>
      </c>
      <c r="L603" s="51" t="n">
        <f aca="false">IFERROR(K603/I603,0)</f>
        <v>0.861638767580795</v>
      </c>
      <c r="M603" s="49" t="n">
        <f aca="false">IFERROR(I603/H603,0)</f>
        <v>221.960764993164</v>
      </c>
      <c r="N603" s="52" t="str">
        <f aca="false">'Model Inputs &amp; Assumptions'!$L$29</f>
        <v>PRD-EUAI</v>
      </c>
      <c r="P603" s="53" t="n">
        <v>0.001601</v>
      </c>
      <c r="Q603" s="53" t="n">
        <v>1.797812</v>
      </c>
      <c r="R603" s="53" t="n">
        <v>1.385541</v>
      </c>
      <c r="S603" s="53" t="n">
        <v>-0.881065</v>
      </c>
    </row>
    <row r="604" customFormat="false" ht="15" hidden="false" customHeight="false" outlineLevel="0" collapsed="false">
      <c r="A604" s="43" t="n">
        <v>101</v>
      </c>
      <c r="B604" s="44" t="str">
        <f aca="false">'Model Inputs &amp; Assumptions'!$B$29</f>
        <v>Handelsblatt — Native Explainer</v>
      </c>
      <c r="C604" s="45" t="n">
        <f aca="false">ROUND(MAX(0,'Model Inputs &amp; Assumptions'!$S$29*EXP('Model Inputs &amp; Assumptions'!$T$29*P604-'Model Inputs &amp; Assumptions'!$T$29^2/2)),0)</f>
        <v>142790</v>
      </c>
      <c r="D604" s="46" t="n">
        <f aca="false">MIN(1,'Model Inputs &amp; Assumptions'!$U$29*EXP('Model Inputs &amp; Assumptions'!$V$29*Q604-'Model Inputs &amp; Assumptions'!$V$29^2/2))</f>
        <v>0</v>
      </c>
      <c r="E604" s="45" t="n">
        <f aca="false">ROUND(C604*D604,0)</f>
        <v>0</v>
      </c>
      <c r="F604" s="47" t="n">
        <f aca="false">MIN(1,'Model Inputs &amp; Assumptions'!$W$29*EXP('Model Inputs &amp; Assumptions'!$X$29*R604-'Model Inputs &amp; Assumptions'!$X$29^2/2))</f>
        <v>0.00311891579185857</v>
      </c>
      <c r="G604" s="45" t="n">
        <f aca="false">ROUND(C604*F604,0)</f>
        <v>445</v>
      </c>
      <c r="H604" s="48" t="n">
        <f aca="false">MAX(0,(C604*'Model Inputs &amp; Assumptions'!$N$29+E604*'Model Inputs &amp; Assumptions'!$O$29+G604*'Model Inputs &amp; Assumptions'!$P$29)*EXP('Model Inputs &amp; Assumptions'!$Q$29*S604-'Model Inputs &amp; Assumptions'!$Q$29^2/2))</f>
        <v>22.1587468150432</v>
      </c>
      <c r="I604" s="49" t="n">
        <f aca="false">IF('Model Inputs &amp; Assumptions'!$H$29="Fixed",'Model Inputs &amp; Assumptions'!$I$29*'Model Inputs &amp; Assumptions'!$K$29,IF('Model Inputs &amp; Assumptions'!$H$29="CPM",'Model Inputs &amp; Assumptions'!$I$29*'Model Inputs &amp; Assumptions'!$K$29*C604/1000,IF('Model Inputs &amp; Assumptions'!$H$29="CPC",'Model Inputs &amp; Assumptions'!$I$29*'Model Inputs &amp; Assumptions'!$K$29*G604,0)))</f>
        <v>6500</v>
      </c>
      <c r="J604" s="50" t="n">
        <f aca="false">H604*INDEX('Model Inputs &amp; Assumptions'!$D$40:$D$42,MATCH('Model Inputs &amp; Assumptions'!$L$29,'Model Inputs &amp; Assumptions'!$A$40:$A$42,0))*INDEX('Model Inputs &amp; Assumptions'!$H$40:$H$42,MATCH('Model Inputs &amp; Assumptions'!$L$29,'Model Inputs &amp; Assumptions'!$A$40:$A$42,0))</f>
        <v>188349.347927867</v>
      </c>
      <c r="K604" s="49" t="n">
        <f aca="false">H604*INDEX('Model Inputs &amp; Assumptions'!$G$40:$G$42,MATCH('Model Inputs &amp; Assumptions'!$L$29,'Model Inputs &amp; Assumptions'!$A$40:$A$42,0))*INDEX('Model Inputs &amp; Assumptions'!$H$40:$H$42,MATCH('Model Inputs &amp; Assumptions'!$L$29,'Model Inputs &amp; Assumptions'!$A$40:$A$42,0))</f>
        <v>4237.860328377</v>
      </c>
      <c r="L604" s="51" t="n">
        <f aca="false">IFERROR(K604/I604,0)</f>
        <v>0.651978512058</v>
      </c>
      <c r="M604" s="49" t="n">
        <f aca="false">IFERROR(I604/H604,0)</f>
        <v>293.337888385785</v>
      </c>
      <c r="N604" s="52" t="str">
        <f aca="false">'Model Inputs &amp; Assumptions'!$L$29</f>
        <v>PRD-EUAI</v>
      </c>
      <c r="P604" s="53" t="n">
        <v>-1.375871</v>
      </c>
      <c r="Q604" s="53" t="n">
        <v>-1.85029</v>
      </c>
      <c r="R604" s="53" t="n">
        <v>0.310082</v>
      </c>
      <c r="S604" s="53" t="n">
        <v>0.136301</v>
      </c>
    </row>
    <row r="605" customFormat="false" ht="15" hidden="false" customHeight="false" outlineLevel="0" collapsed="false">
      <c r="A605" s="43" t="n">
        <v>102</v>
      </c>
      <c r="B605" s="44" t="str">
        <f aca="false">'Model Inputs &amp; Assumptions'!$B$29</f>
        <v>Handelsblatt — Native Explainer</v>
      </c>
      <c r="C605" s="45" t="n">
        <f aca="false">ROUND(MAX(0,'Model Inputs &amp; Assumptions'!$S$29*EXP('Model Inputs &amp; Assumptions'!$T$29*P605-'Model Inputs &amp; Assumptions'!$T$29^2/2)),0)</f>
        <v>177651</v>
      </c>
      <c r="D605" s="46" t="n">
        <f aca="false">MIN(1,'Model Inputs &amp; Assumptions'!$U$29*EXP('Model Inputs &amp; Assumptions'!$V$29*Q605-'Model Inputs &amp; Assumptions'!$V$29^2/2))</f>
        <v>0</v>
      </c>
      <c r="E605" s="45" t="n">
        <f aca="false">ROUND(C605*D605,0)</f>
        <v>0</v>
      </c>
      <c r="F605" s="47" t="n">
        <f aca="false">MIN(1,'Model Inputs &amp; Assumptions'!$W$29*EXP('Model Inputs &amp; Assumptions'!$X$29*R605-'Model Inputs &amp; Assumptions'!$X$29^2/2))</f>
        <v>0.00301174407786359</v>
      </c>
      <c r="G605" s="45" t="n">
        <f aca="false">ROUND(C605*F605,0)</f>
        <v>535</v>
      </c>
      <c r="H605" s="48" t="n">
        <f aca="false">MAX(0,(C605*'Model Inputs &amp; Assumptions'!$N$29+E605*'Model Inputs &amp; Assumptions'!$O$29+G605*'Model Inputs &amp; Assumptions'!$P$29)*EXP('Model Inputs &amp; Assumptions'!$Q$29*S605-'Model Inputs &amp; Assumptions'!$Q$29^2/2))</f>
        <v>23.6411555704517</v>
      </c>
      <c r="I605" s="49" t="n">
        <f aca="false">IF('Model Inputs &amp; Assumptions'!$H$29="Fixed",'Model Inputs &amp; Assumptions'!$I$29*'Model Inputs &amp; Assumptions'!$K$29,IF('Model Inputs &amp; Assumptions'!$H$29="CPM",'Model Inputs &amp; Assumptions'!$I$29*'Model Inputs &amp; Assumptions'!$K$29*C605/1000,IF('Model Inputs &amp; Assumptions'!$H$29="CPC",'Model Inputs &amp; Assumptions'!$I$29*'Model Inputs &amp; Assumptions'!$K$29*G605,0)))</f>
        <v>6500</v>
      </c>
      <c r="J605" s="50" t="n">
        <f aca="false">H605*INDEX('Model Inputs &amp; Assumptions'!$D$40:$D$42,MATCH('Model Inputs &amp; Assumptions'!$L$29,'Model Inputs &amp; Assumptions'!$A$40:$A$42,0))*INDEX('Model Inputs &amp; Assumptions'!$H$40:$H$42,MATCH('Model Inputs &amp; Assumptions'!$L$29,'Model Inputs &amp; Assumptions'!$A$40:$A$42,0))</f>
        <v>200949.82234884</v>
      </c>
      <c r="K605" s="49" t="n">
        <f aca="false">H605*INDEX('Model Inputs &amp; Assumptions'!$G$40:$G$42,MATCH('Model Inputs &amp; Assumptions'!$L$29,'Model Inputs &amp; Assumptions'!$A$40:$A$42,0))*INDEX('Model Inputs &amp; Assumptions'!$H$40:$H$42,MATCH('Model Inputs &amp; Assumptions'!$L$29,'Model Inputs &amp; Assumptions'!$A$40:$A$42,0))</f>
        <v>4521.37100284889</v>
      </c>
      <c r="L605" s="51" t="n">
        <f aca="false">IFERROR(K605/I605,0)</f>
        <v>0.69559553889983</v>
      </c>
      <c r="M605" s="49" t="n">
        <f aca="false">IFERROR(I605/H605,0)</f>
        <v>274.944258990628</v>
      </c>
      <c r="N605" s="52" t="str">
        <f aca="false">'Model Inputs &amp; Assumptions'!$L$29</f>
        <v>PRD-EUAI</v>
      </c>
      <c r="P605" s="53" t="n">
        <v>-0.382929</v>
      </c>
      <c r="Q605" s="53" t="n">
        <v>0.626382</v>
      </c>
      <c r="R605" s="53" t="n">
        <v>0.175597</v>
      </c>
      <c r="S605" s="53" t="n">
        <v>-0.261818</v>
      </c>
    </row>
    <row r="606" customFormat="false" ht="15" hidden="false" customHeight="false" outlineLevel="0" collapsed="false">
      <c r="A606" s="43" t="n">
        <v>103</v>
      </c>
      <c r="B606" s="44" t="str">
        <f aca="false">'Model Inputs &amp; Assumptions'!$B$29</f>
        <v>Handelsblatt — Native Explainer</v>
      </c>
      <c r="C606" s="45" t="n">
        <f aca="false">ROUND(MAX(0,'Model Inputs &amp; Assumptions'!$S$29*EXP('Model Inputs &amp; Assumptions'!$T$29*P606-'Model Inputs &amp; Assumptions'!$T$29^2/2)),0)</f>
        <v>164052</v>
      </c>
      <c r="D606" s="46" t="n">
        <f aca="false">MIN(1,'Model Inputs &amp; Assumptions'!$U$29*EXP('Model Inputs &amp; Assumptions'!$V$29*Q606-'Model Inputs &amp; Assumptions'!$V$29^2/2))</f>
        <v>0</v>
      </c>
      <c r="E606" s="45" t="n">
        <f aca="false">ROUND(C606*D606,0)</f>
        <v>0</v>
      </c>
      <c r="F606" s="47" t="n">
        <f aca="false">MIN(1,'Model Inputs &amp; Assumptions'!$W$29*EXP('Model Inputs &amp; Assumptions'!$X$29*R606-'Model Inputs &amp; Assumptions'!$X$29^2/2))</f>
        <v>0.00627349401634682</v>
      </c>
      <c r="G606" s="45" t="n">
        <f aca="false">ROUND(C606*F606,0)</f>
        <v>1029</v>
      </c>
      <c r="H606" s="48" t="n">
        <f aca="false">MAX(0,(C606*'Model Inputs &amp; Assumptions'!$N$29+E606*'Model Inputs &amp; Assumptions'!$O$29+G606*'Model Inputs &amp; Assumptions'!$P$29)*EXP('Model Inputs &amp; Assumptions'!$Q$29*S606-'Model Inputs &amp; Assumptions'!$Q$29^2/2))</f>
        <v>52.7115640033792</v>
      </c>
      <c r="I606" s="49" t="n">
        <f aca="false">IF('Model Inputs &amp; Assumptions'!$H$29="Fixed",'Model Inputs &amp; Assumptions'!$I$29*'Model Inputs &amp; Assumptions'!$K$29,IF('Model Inputs &amp; Assumptions'!$H$29="CPM",'Model Inputs &amp; Assumptions'!$I$29*'Model Inputs &amp; Assumptions'!$K$29*C606/1000,IF('Model Inputs &amp; Assumptions'!$H$29="CPC",'Model Inputs &amp; Assumptions'!$I$29*'Model Inputs &amp; Assumptions'!$K$29*G606,0)))</f>
        <v>6500</v>
      </c>
      <c r="J606" s="50" t="n">
        <f aca="false">H606*INDEX('Model Inputs &amp; Assumptions'!$D$40:$D$42,MATCH('Model Inputs &amp; Assumptions'!$L$29,'Model Inputs &amp; Assumptions'!$A$40:$A$42,0))*INDEX('Model Inputs &amp; Assumptions'!$H$40:$H$42,MATCH('Model Inputs &amp; Assumptions'!$L$29,'Model Inputs &amp; Assumptions'!$A$40:$A$42,0))</f>
        <v>448048.294028723</v>
      </c>
      <c r="K606" s="49" t="n">
        <f aca="false">H606*INDEX('Model Inputs &amp; Assumptions'!$G$40:$G$42,MATCH('Model Inputs &amp; Assumptions'!$L$29,'Model Inputs &amp; Assumptions'!$A$40:$A$42,0))*INDEX('Model Inputs &amp; Assumptions'!$H$40:$H$42,MATCH('Model Inputs &amp; Assumptions'!$L$29,'Model Inputs &amp; Assumptions'!$A$40:$A$42,0))</f>
        <v>10081.0866156463</v>
      </c>
      <c r="L606" s="51" t="n">
        <f aca="false">IFERROR(K606/I606,0)</f>
        <v>1.55093640240712</v>
      </c>
      <c r="M606" s="49" t="n">
        <f aca="false">IFERROR(I606/H606,0)</f>
        <v>123.312599861072</v>
      </c>
      <c r="N606" s="52" t="str">
        <f aca="false">'Model Inputs &amp; Assumptions'!$L$29</f>
        <v>PRD-EUAI</v>
      </c>
      <c r="P606" s="53" t="n">
        <v>-0.744918</v>
      </c>
      <c r="Q606" s="53" t="n">
        <v>-1.812006</v>
      </c>
      <c r="R606" s="53" t="n">
        <v>2.997959</v>
      </c>
      <c r="S606" s="53" t="n">
        <v>0.230748</v>
      </c>
    </row>
    <row r="607" customFormat="false" ht="15" hidden="false" customHeight="false" outlineLevel="0" collapsed="false">
      <c r="A607" s="43" t="n">
        <v>104</v>
      </c>
      <c r="B607" s="44" t="str">
        <f aca="false">'Model Inputs &amp; Assumptions'!$B$29</f>
        <v>Handelsblatt — Native Explainer</v>
      </c>
      <c r="C607" s="45" t="n">
        <f aca="false">ROUND(MAX(0,'Model Inputs &amp; Assumptions'!$S$29*EXP('Model Inputs &amp; Assumptions'!$T$29*P607-'Model Inputs &amp; Assumptions'!$T$29^2/2)),0)</f>
        <v>153489</v>
      </c>
      <c r="D607" s="46" t="n">
        <f aca="false">MIN(1,'Model Inputs &amp; Assumptions'!$U$29*EXP('Model Inputs &amp; Assumptions'!$V$29*Q607-'Model Inputs &amp; Assumptions'!$V$29^2/2))</f>
        <v>0</v>
      </c>
      <c r="E607" s="45" t="n">
        <f aca="false">ROUND(C607*D607,0)</f>
        <v>0</v>
      </c>
      <c r="F607" s="47" t="n">
        <f aca="false">MIN(1,'Model Inputs &amp; Assumptions'!$W$29*EXP('Model Inputs &amp; Assumptions'!$X$29*R607-'Model Inputs &amp; Assumptions'!$X$29^2/2))</f>
        <v>0.00331252347744879</v>
      </c>
      <c r="G607" s="45" t="n">
        <f aca="false">ROUND(C607*F607,0)</f>
        <v>508</v>
      </c>
      <c r="H607" s="48" t="n">
        <f aca="false">MAX(0,(C607*'Model Inputs &amp; Assumptions'!$N$29+E607*'Model Inputs &amp; Assumptions'!$O$29+G607*'Model Inputs &amp; Assumptions'!$P$29)*EXP('Model Inputs &amp; Assumptions'!$Q$29*S607-'Model Inputs &amp; Assumptions'!$Q$29^2/2))</f>
        <v>28.4509506285955</v>
      </c>
      <c r="I607" s="49" t="n">
        <f aca="false">IF('Model Inputs &amp; Assumptions'!$H$29="Fixed",'Model Inputs &amp; Assumptions'!$I$29*'Model Inputs &amp; Assumptions'!$K$29,IF('Model Inputs &amp; Assumptions'!$H$29="CPM",'Model Inputs &amp; Assumptions'!$I$29*'Model Inputs &amp; Assumptions'!$K$29*C607/1000,IF('Model Inputs &amp; Assumptions'!$H$29="CPC",'Model Inputs &amp; Assumptions'!$I$29*'Model Inputs &amp; Assumptions'!$K$29*G607,0)))</f>
        <v>6500</v>
      </c>
      <c r="J607" s="50" t="n">
        <f aca="false">H607*INDEX('Model Inputs &amp; Assumptions'!$D$40:$D$42,MATCH('Model Inputs &amp; Assumptions'!$L$29,'Model Inputs &amp; Assumptions'!$A$40:$A$42,0))*INDEX('Model Inputs &amp; Assumptions'!$H$40:$H$42,MATCH('Model Inputs &amp; Assumptions'!$L$29,'Model Inputs &amp; Assumptions'!$A$40:$A$42,0))</f>
        <v>241833.080343062</v>
      </c>
      <c r="K607" s="49" t="n">
        <f aca="false">H607*INDEX('Model Inputs &amp; Assumptions'!$G$40:$G$42,MATCH('Model Inputs &amp; Assumptions'!$L$29,'Model Inputs &amp; Assumptions'!$A$40:$A$42,0))*INDEX('Model Inputs &amp; Assumptions'!$H$40:$H$42,MATCH('Model Inputs &amp; Assumptions'!$L$29,'Model Inputs &amp; Assumptions'!$A$40:$A$42,0))</f>
        <v>5441.24430771889</v>
      </c>
      <c r="L607" s="51" t="n">
        <f aca="false">IFERROR(K607/I607,0)</f>
        <v>0.837114508879829</v>
      </c>
      <c r="M607" s="49" t="n">
        <f aca="false">IFERROR(I607/H607,0)</f>
        <v>228.463367880122</v>
      </c>
      <c r="N607" s="52" t="str">
        <f aca="false">'Model Inputs &amp; Assumptions'!$L$29</f>
        <v>PRD-EUAI</v>
      </c>
      <c r="P607" s="53" t="n">
        <v>-1.047435</v>
      </c>
      <c r="Q607" s="53" t="n">
        <v>0.719526</v>
      </c>
      <c r="R607" s="53" t="n">
        <v>0.541716</v>
      </c>
      <c r="S607" s="53" t="n">
        <v>0.528108</v>
      </c>
    </row>
    <row r="608" customFormat="false" ht="15" hidden="false" customHeight="false" outlineLevel="0" collapsed="false">
      <c r="A608" s="43" t="n">
        <v>105</v>
      </c>
      <c r="B608" s="44" t="str">
        <f aca="false">'Model Inputs &amp; Assumptions'!$B$29</f>
        <v>Handelsblatt — Native Explainer</v>
      </c>
      <c r="C608" s="45" t="n">
        <f aca="false">ROUND(MAX(0,'Model Inputs &amp; Assumptions'!$S$29*EXP('Model Inputs &amp; Assumptions'!$T$29*P608-'Model Inputs &amp; Assumptions'!$T$29^2/2)),0)</f>
        <v>235698</v>
      </c>
      <c r="D608" s="46" t="n">
        <f aca="false">MIN(1,'Model Inputs &amp; Assumptions'!$U$29*EXP('Model Inputs &amp; Assumptions'!$V$29*Q608-'Model Inputs &amp; Assumptions'!$V$29^2/2))</f>
        <v>0</v>
      </c>
      <c r="E608" s="45" t="n">
        <f aca="false">ROUND(C608*D608,0)</f>
        <v>0</v>
      </c>
      <c r="F608" s="47" t="n">
        <f aca="false">MIN(1,'Model Inputs &amp; Assumptions'!$W$29*EXP('Model Inputs &amp; Assumptions'!$X$29*R608-'Model Inputs &amp; Assumptions'!$X$29^2/2))</f>
        <v>0.00310827123553716</v>
      </c>
      <c r="G608" s="45" t="n">
        <f aca="false">ROUND(C608*F608,0)</f>
        <v>733</v>
      </c>
      <c r="H608" s="48" t="n">
        <f aca="false">MAX(0,(C608*'Model Inputs &amp; Assumptions'!$N$29+E608*'Model Inputs &amp; Assumptions'!$O$29+G608*'Model Inputs &amp; Assumptions'!$P$29)*EXP('Model Inputs &amp; Assumptions'!$Q$29*S608-'Model Inputs &amp; Assumptions'!$Q$29^2/2))</f>
        <v>23.5264431350727</v>
      </c>
      <c r="I608" s="49" t="n">
        <f aca="false">IF('Model Inputs &amp; Assumptions'!$H$29="Fixed",'Model Inputs &amp; Assumptions'!$I$29*'Model Inputs &amp; Assumptions'!$K$29,IF('Model Inputs &amp; Assumptions'!$H$29="CPM",'Model Inputs &amp; Assumptions'!$I$29*'Model Inputs &amp; Assumptions'!$K$29*C608/1000,IF('Model Inputs &amp; Assumptions'!$H$29="CPC",'Model Inputs &amp; Assumptions'!$I$29*'Model Inputs &amp; Assumptions'!$K$29*G608,0)))</f>
        <v>6500</v>
      </c>
      <c r="J608" s="50" t="n">
        <f aca="false">H608*INDEX('Model Inputs &amp; Assumptions'!$D$40:$D$42,MATCH('Model Inputs &amp; Assumptions'!$L$29,'Model Inputs &amp; Assumptions'!$A$40:$A$42,0))*INDEX('Model Inputs &amp; Assumptions'!$H$40:$H$42,MATCH('Model Inputs &amp; Assumptions'!$L$29,'Model Inputs &amp; Assumptions'!$A$40:$A$42,0))</f>
        <v>199974.766648118</v>
      </c>
      <c r="K608" s="49" t="n">
        <f aca="false">H608*INDEX('Model Inputs &amp; Assumptions'!$G$40:$G$42,MATCH('Model Inputs &amp; Assumptions'!$L$29,'Model Inputs &amp; Assumptions'!$A$40:$A$42,0))*INDEX('Model Inputs &amp; Assumptions'!$H$40:$H$42,MATCH('Model Inputs &amp; Assumptions'!$L$29,'Model Inputs &amp; Assumptions'!$A$40:$A$42,0))</f>
        <v>4499.43224958265</v>
      </c>
      <c r="L608" s="51" t="n">
        <f aca="false">IFERROR(K608/I608,0)</f>
        <v>0.692220346089639</v>
      </c>
      <c r="M608" s="49" t="n">
        <f aca="false">IFERROR(I608/H608,0)</f>
        <v>276.284857965204</v>
      </c>
      <c r="N608" s="52" t="str">
        <f aca="false">'Model Inputs &amp; Assumptions'!$L$29</f>
        <v>PRD-EUAI</v>
      </c>
      <c r="P608" s="53" t="n">
        <v>0.902197</v>
      </c>
      <c r="Q608" s="53" t="n">
        <v>1.168521</v>
      </c>
      <c r="R608" s="53" t="n">
        <v>0.296933</v>
      </c>
      <c r="S608" s="53" t="n">
        <v>-1.327628</v>
      </c>
    </row>
    <row r="609" customFormat="false" ht="15" hidden="false" customHeight="false" outlineLevel="0" collapsed="false">
      <c r="A609" s="43" t="n">
        <v>106</v>
      </c>
      <c r="B609" s="44" t="str">
        <f aca="false">'Model Inputs &amp; Assumptions'!$B$29</f>
        <v>Handelsblatt — Native Explainer</v>
      </c>
      <c r="C609" s="45" t="n">
        <f aca="false">ROUND(MAX(0,'Model Inputs &amp; Assumptions'!$S$29*EXP('Model Inputs &amp; Assumptions'!$T$29*P609-'Model Inputs &amp; Assumptions'!$T$29^2/2)),0)</f>
        <v>268072</v>
      </c>
      <c r="D609" s="46" t="n">
        <f aca="false">MIN(1,'Model Inputs &amp; Assumptions'!$U$29*EXP('Model Inputs &amp; Assumptions'!$V$29*Q609-'Model Inputs &amp; Assumptions'!$V$29^2/2))</f>
        <v>0</v>
      </c>
      <c r="E609" s="45" t="n">
        <f aca="false">ROUND(C609*D609,0)</f>
        <v>0</v>
      </c>
      <c r="F609" s="47" t="n">
        <f aca="false">MIN(1,'Model Inputs &amp; Assumptions'!$W$29*EXP('Model Inputs &amp; Assumptions'!$X$29*R609-'Model Inputs &amp; Assumptions'!$X$29^2/2))</f>
        <v>0.00245697205247165</v>
      </c>
      <c r="G609" s="45" t="n">
        <f aca="false">ROUND(C609*F609,0)</f>
        <v>659</v>
      </c>
      <c r="H609" s="48" t="n">
        <f aca="false">MAX(0,(C609*'Model Inputs &amp; Assumptions'!$N$29+E609*'Model Inputs &amp; Assumptions'!$O$29+G609*'Model Inputs &amp; Assumptions'!$P$29)*EXP('Model Inputs &amp; Assumptions'!$Q$29*S609-'Model Inputs &amp; Assumptions'!$Q$29^2/2))</f>
        <v>38.5463094358737</v>
      </c>
      <c r="I609" s="49" t="n">
        <f aca="false">IF('Model Inputs &amp; Assumptions'!$H$29="Fixed",'Model Inputs &amp; Assumptions'!$I$29*'Model Inputs &amp; Assumptions'!$K$29,IF('Model Inputs &amp; Assumptions'!$H$29="CPM",'Model Inputs &amp; Assumptions'!$I$29*'Model Inputs &amp; Assumptions'!$K$29*C609/1000,IF('Model Inputs &amp; Assumptions'!$H$29="CPC",'Model Inputs &amp; Assumptions'!$I$29*'Model Inputs &amp; Assumptions'!$K$29*G609,0)))</f>
        <v>6500</v>
      </c>
      <c r="J609" s="50" t="n">
        <f aca="false">H609*INDEX('Model Inputs &amp; Assumptions'!$D$40:$D$42,MATCH('Model Inputs &amp; Assumptions'!$L$29,'Model Inputs &amp; Assumptions'!$A$40:$A$42,0))*INDEX('Model Inputs &amp; Assumptions'!$H$40:$H$42,MATCH('Model Inputs &amp; Assumptions'!$L$29,'Model Inputs &amp; Assumptions'!$A$40:$A$42,0))</f>
        <v>327643.630204926</v>
      </c>
      <c r="K609" s="49" t="n">
        <f aca="false">H609*INDEX('Model Inputs &amp; Assumptions'!$G$40:$G$42,MATCH('Model Inputs &amp; Assumptions'!$L$29,'Model Inputs &amp; Assumptions'!$A$40:$A$42,0))*INDEX('Model Inputs &amp; Assumptions'!$H$40:$H$42,MATCH('Model Inputs &amp; Assumptions'!$L$29,'Model Inputs &amp; Assumptions'!$A$40:$A$42,0))</f>
        <v>7371.98167961084</v>
      </c>
      <c r="L609" s="51" t="n">
        <f aca="false">IFERROR(K609/I609,0)</f>
        <v>1.13415102763244</v>
      </c>
      <c r="M609" s="49" t="n">
        <f aca="false">IFERROR(I609/H609,0)</f>
        <v>168.628335504168</v>
      </c>
      <c r="N609" s="52" t="str">
        <f aca="false">'Model Inputs &amp; Assumptions'!$L$29</f>
        <v>PRD-EUAI</v>
      </c>
      <c r="P609" s="53" t="n">
        <v>1.487224</v>
      </c>
      <c r="Q609" s="53" t="n">
        <v>-1.223205</v>
      </c>
      <c r="R609" s="53" t="n">
        <v>-0.60744</v>
      </c>
      <c r="S609" s="53" t="n">
        <v>0.672897</v>
      </c>
    </row>
    <row r="610" customFormat="false" ht="15" hidden="false" customHeight="false" outlineLevel="0" collapsed="false">
      <c r="A610" s="43" t="n">
        <v>107</v>
      </c>
      <c r="B610" s="44" t="str">
        <f aca="false">'Model Inputs &amp; Assumptions'!$B$29</f>
        <v>Handelsblatt — Native Explainer</v>
      </c>
      <c r="C610" s="45" t="n">
        <f aca="false">ROUND(MAX(0,'Model Inputs &amp; Assumptions'!$S$29*EXP('Model Inputs &amp; Assumptions'!$T$29*P610-'Model Inputs &amp; Assumptions'!$T$29^2/2)),0)</f>
        <v>200900</v>
      </c>
      <c r="D610" s="46" t="n">
        <f aca="false">MIN(1,'Model Inputs &amp; Assumptions'!$U$29*EXP('Model Inputs &amp; Assumptions'!$V$29*Q610-'Model Inputs &amp; Assumptions'!$V$29^2/2))</f>
        <v>0</v>
      </c>
      <c r="E610" s="45" t="n">
        <f aca="false">ROUND(C610*D610,0)</f>
        <v>0</v>
      </c>
      <c r="F610" s="47" t="n">
        <f aca="false">MIN(1,'Model Inputs &amp; Assumptions'!$W$29*EXP('Model Inputs &amp; Assumptions'!$X$29*R610-'Model Inputs &amp; Assumptions'!$X$29^2/2))</f>
        <v>0.00278345744110446</v>
      </c>
      <c r="G610" s="45" t="n">
        <f aca="false">ROUND(C610*F610,0)</f>
        <v>559</v>
      </c>
      <c r="H610" s="48" t="n">
        <f aca="false">MAX(0,(C610*'Model Inputs &amp; Assumptions'!$N$29+E610*'Model Inputs &amp; Assumptions'!$O$29+G610*'Model Inputs &amp; Assumptions'!$P$29)*EXP('Model Inputs &amp; Assumptions'!$Q$29*S610-'Model Inputs &amp; Assumptions'!$Q$29^2/2))</f>
        <v>25.4432453621131</v>
      </c>
      <c r="I610" s="49" t="n">
        <f aca="false">IF('Model Inputs &amp; Assumptions'!$H$29="Fixed",'Model Inputs &amp; Assumptions'!$I$29*'Model Inputs &amp; Assumptions'!$K$29,IF('Model Inputs &amp; Assumptions'!$H$29="CPM",'Model Inputs &amp; Assumptions'!$I$29*'Model Inputs &amp; Assumptions'!$K$29*C610/1000,IF('Model Inputs &amp; Assumptions'!$H$29="CPC",'Model Inputs &amp; Assumptions'!$I$29*'Model Inputs &amp; Assumptions'!$K$29*G610,0)))</f>
        <v>6500</v>
      </c>
      <c r="J610" s="50" t="n">
        <f aca="false">H610*INDEX('Model Inputs &amp; Assumptions'!$D$40:$D$42,MATCH('Model Inputs &amp; Assumptions'!$L$29,'Model Inputs &amp; Assumptions'!$A$40:$A$42,0))*INDEX('Model Inputs &amp; Assumptions'!$H$40:$H$42,MATCH('Model Inputs &amp; Assumptions'!$L$29,'Model Inputs &amp; Assumptions'!$A$40:$A$42,0))</f>
        <v>216267.585577962</v>
      </c>
      <c r="K610" s="49" t="n">
        <f aca="false">H610*INDEX('Model Inputs &amp; Assumptions'!$G$40:$G$42,MATCH('Model Inputs &amp; Assumptions'!$L$29,'Model Inputs &amp; Assumptions'!$A$40:$A$42,0))*INDEX('Model Inputs &amp; Assumptions'!$H$40:$H$42,MATCH('Model Inputs &amp; Assumptions'!$L$29,'Model Inputs &amp; Assumptions'!$A$40:$A$42,0))</f>
        <v>4866.02067550414</v>
      </c>
      <c r="L610" s="51" t="n">
        <f aca="false">IFERROR(K610/I610,0)</f>
        <v>0.748618565462175</v>
      </c>
      <c r="M610" s="49" t="n">
        <f aca="false">IFERROR(I610/H610,0)</f>
        <v>255.47055446311</v>
      </c>
      <c r="N610" s="52" t="str">
        <f aca="false">'Model Inputs &amp; Assumptions'!$L$29</f>
        <v>PRD-EUAI</v>
      </c>
      <c r="P610" s="53" t="n">
        <v>0.176085</v>
      </c>
      <c r="Q610" s="53" t="n">
        <v>0.309821</v>
      </c>
      <c r="R610" s="53" t="n">
        <v>-0.127578</v>
      </c>
      <c r="S610" s="53" t="n">
        <v>-0.163223</v>
      </c>
    </row>
    <row r="611" customFormat="false" ht="15" hidden="false" customHeight="false" outlineLevel="0" collapsed="false">
      <c r="A611" s="43" t="n">
        <v>108</v>
      </c>
      <c r="B611" s="44" t="str">
        <f aca="false">'Model Inputs &amp; Assumptions'!$B$29</f>
        <v>Handelsblatt — Native Explainer</v>
      </c>
      <c r="C611" s="45" t="n">
        <f aca="false">ROUND(MAX(0,'Model Inputs &amp; Assumptions'!$S$29*EXP('Model Inputs &amp; Assumptions'!$T$29*P611-'Model Inputs &amp; Assumptions'!$T$29^2/2)),0)</f>
        <v>153307</v>
      </c>
      <c r="D611" s="46" t="n">
        <f aca="false">MIN(1,'Model Inputs &amp; Assumptions'!$U$29*EXP('Model Inputs &amp; Assumptions'!$V$29*Q611-'Model Inputs &amp; Assumptions'!$V$29^2/2))</f>
        <v>0</v>
      </c>
      <c r="E611" s="45" t="n">
        <f aca="false">ROUND(C611*D611,0)</f>
        <v>0</v>
      </c>
      <c r="F611" s="47" t="n">
        <f aca="false">MIN(1,'Model Inputs &amp; Assumptions'!$W$29*EXP('Model Inputs &amp; Assumptions'!$X$29*R611-'Model Inputs &amp; Assumptions'!$X$29^2/2))</f>
        <v>0.00353665879710103</v>
      </c>
      <c r="G611" s="45" t="n">
        <f aca="false">ROUND(C611*F611,0)</f>
        <v>542</v>
      </c>
      <c r="H611" s="48" t="n">
        <f aca="false">MAX(0,(C611*'Model Inputs &amp; Assumptions'!$N$29+E611*'Model Inputs &amp; Assumptions'!$O$29+G611*'Model Inputs &amp; Assumptions'!$P$29)*EXP('Model Inputs &amp; Assumptions'!$Q$29*S611-'Model Inputs &amp; Assumptions'!$Q$29^2/2))</f>
        <v>29.0862521514121</v>
      </c>
      <c r="I611" s="49" t="n">
        <f aca="false">IF('Model Inputs &amp; Assumptions'!$H$29="Fixed",'Model Inputs &amp; Assumptions'!$I$29*'Model Inputs &amp; Assumptions'!$K$29,IF('Model Inputs &amp; Assumptions'!$H$29="CPM",'Model Inputs &amp; Assumptions'!$I$29*'Model Inputs &amp; Assumptions'!$K$29*C611/1000,IF('Model Inputs &amp; Assumptions'!$H$29="CPC",'Model Inputs &amp; Assumptions'!$I$29*'Model Inputs &amp; Assumptions'!$K$29*G611,0)))</f>
        <v>6500</v>
      </c>
      <c r="J611" s="50" t="n">
        <f aca="false">H611*INDEX('Model Inputs &amp; Assumptions'!$D$40:$D$42,MATCH('Model Inputs &amp; Assumptions'!$L$29,'Model Inputs &amp; Assumptions'!$A$40:$A$42,0))*INDEX('Model Inputs &amp; Assumptions'!$H$40:$H$42,MATCH('Model Inputs &amp; Assumptions'!$L$29,'Model Inputs &amp; Assumptions'!$A$40:$A$42,0))</f>
        <v>247233.143287003</v>
      </c>
      <c r="K611" s="49" t="n">
        <f aca="false">H611*INDEX('Model Inputs &amp; Assumptions'!$G$40:$G$42,MATCH('Model Inputs &amp; Assumptions'!$L$29,'Model Inputs &amp; Assumptions'!$A$40:$A$42,0))*INDEX('Model Inputs &amp; Assumptions'!$H$40:$H$42,MATCH('Model Inputs &amp; Assumptions'!$L$29,'Model Inputs &amp; Assumptions'!$A$40:$A$42,0))</f>
        <v>5562.74572395757</v>
      </c>
      <c r="L611" s="51" t="n">
        <f aca="false">IFERROR(K611/I611,0)</f>
        <v>0.855807034455011</v>
      </c>
      <c r="M611" s="49" t="n">
        <f aca="false">IFERROR(I611/H611,0)</f>
        <v>223.473274114638</v>
      </c>
      <c r="N611" s="52" t="str">
        <f aca="false">'Model Inputs &amp; Assumptions'!$L$29</f>
        <v>PRD-EUAI</v>
      </c>
      <c r="P611" s="53" t="n">
        <v>-1.05284</v>
      </c>
      <c r="Q611" s="53" t="n">
        <v>0.227</v>
      </c>
      <c r="R611" s="53" t="n">
        <v>0.793532</v>
      </c>
      <c r="S611" s="53" t="n">
        <v>0.385773</v>
      </c>
    </row>
    <row r="612" customFormat="false" ht="15" hidden="false" customHeight="false" outlineLevel="0" collapsed="false">
      <c r="A612" s="43" t="n">
        <v>109</v>
      </c>
      <c r="B612" s="44" t="str">
        <f aca="false">'Model Inputs &amp; Assumptions'!$B$29</f>
        <v>Handelsblatt — Native Explainer</v>
      </c>
      <c r="C612" s="45" t="n">
        <f aca="false">ROUND(MAX(0,'Model Inputs &amp; Assumptions'!$S$29*EXP('Model Inputs &amp; Assumptions'!$T$29*P612-'Model Inputs &amp; Assumptions'!$T$29^2/2)),0)</f>
        <v>256156</v>
      </c>
      <c r="D612" s="46" t="n">
        <f aca="false">MIN(1,'Model Inputs &amp; Assumptions'!$U$29*EXP('Model Inputs &amp; Assumptions'!$V$29*Q612-'Model Inputs &amp; Assumptions'!$V$29^2/2))</f>
        <v>0</v>
      </c>
      <c r="E612" s="45" t="n">
        <f aca="false">ROUND(C612*D612,0)</f>
        <v>0</v>
      </c>
      <c r="F612" s="47" t="n">
        <f aca="false">MIN(1,'Model Inputs &amp; Assumptions'!$W$29*EXP('Model Inputs &amp; Assumptions'!$X$29*R612-'Model Inputs &amp; Assumptions'!$X$29^2/2))</f>
        <v>0.00223753823394815</v>
      </c>
      <c r="G612" s="45" t="n">
        <f aca="false">ROUND(C612*F612,0)</f>
        <v>573</v>
      </c>
      <c r="H612" s="48" t="n">
        <f aca="false">MAX(0,(C612*'Model Inputs &amp; Assumptions'!$N$29+E612*'Model Inputs &amp; Assumptions'!$O$29+G612*'Model Inputs &amp; Assumptions'!$P$29)*EXP('Model Inputs &amp; Assumptions'!$Q$29*S612-'Model Inputs &amp; Assumptions'!$Q$29^2/2))</f>
        <v>50.806385380953</v>
      </c>
      <c r="I612" s="49" t="n">
        <f aca="false">IF('Model Inputs &amp; Assumptions'!$H$29="Fixed",'Model Inputs &amp; Assumptions'!$I$29*'Model Inputs &amp; Assumptions'!$K$29,IF('Model Inputs &amp; Assumptions'!$H$29="CPM",'Model Inputs &amp; Assumptions'!$I$29*'Model Inputs &amp; Assumptions'!$K$29*C612/1000,IF('Model Inputs &amp; Assumptions'!$H$29="CPC",'Model Inputs &amp; Assumptions'!$I$29*'Model Inputs &amp; Assumptions'!$K$29*G612,0)))</f>
        <v>6500</v>
      </c>
      <c r="J612" s="50" t="n">
        <f aca="false">H612*INDEX('Model Inputs &amp; Assumptions'!$D$40:$D$42,MATCH('Model Inputs &amp; Assumptions'!$L$29,'Model Inputs &amp; Assumptions'!$A$40:$A$42,0))*INDEX('Model Inputs &amp; Assumptions'!$H$40:$H$42,MATCH('Model Inputs &amp; Assumptions'!$L$29,'Model Inputs &amp; Assumptions'!$A$40:$A$42,0))</f>
        <v>431854.2757381</v>
      </c>
      <c r="K612" s="49" t="n">
        <f aca="false">H612*INDEX('Model Inputs &amp; Assumptions'!$G$40:$G$42,MATCH('Model Inputs &amp; Assumptions'!$L$29,'Model Inputs &amp; Assumptions'!$A$40:$A$42,0))*INDEX('Model Inputs &amp; Assumptions'!$H$40:$H$42,MATCH('Model Inputs &amp; Assumptions'!$L$29,'Model Inputs &amp; Assumptions'!$A$40:$A$42,0))</f>
        <v>9716.72120410726</v>
      </c>
      <c r="L612" s="51" t="n">
        <f aca="false">IFERROR(K612/I612,0)</f>
        <v>1.49488018524727</v>
      </c>
      <c r="M612" s="49" t="n">
        <f aca="false">IFERROR(I612/H612,0)</f>
        <v>127.936674716419</v>
      </c>
      <c r="N612" s="52" t="str">
        <f aca="false">'Model Inputs &amp; Assumptions'!$L$29</f>
        <v>PRD-EUAI</v>
      </c>
      <c r="P612" s="53" t="n">
        <v>1.280551</v>
      </c>
      <c r="Q612" s="53" t="n">
        <v>0.105555</v>
      </c>
      <c r="R612" s="53" t="n">
        <v>-0.967261</v>
      </c>
      <c r="S612" s="53" t="n">
        <v>2.059562</v>
      </c>
    </row>
    <row r="613" customFormat="false" ht="15" hidden="false" customHeight="false" outlineLevel="0" collapsed="false">
      <c r="A613" s="43" t="n">
        <v>110</v>
      </c>
      <c r="B613" s="44" t="str">
        <f aca="false">'Model Inputs &amp; Assumptions'!$B$29</f>
        <v>Handelsblatt — Native Explainer</v>
      </c>
      <c r="C613" s="45" t="n">
        <f aca="false">ROUND(MAX(0,'Model Inputs &amp; Assumptions'!$S$29*EXP('Model Inputs &amp; Assumptions'!$T$29*P613-'Model Inputs &amp; Assumptions'!$T$29^2/2)),0)</f>
        <v>258187</v>
      </c>
      <c r="D613" s="46" t="n">
        <f aca="false">MIN(1,'Model Inputs &amp; Assumptions'!$U$29*EXP('Model Inputs &amp; Assumptions'!$V$29*Q613-'Model Inputs &amp; Assumptions'!$V$29^2/2))</f>
        <v>0</v>
      </c>
      <c r="E613" s="45" t="n">
        <f aca="false">ROUND(C613*D613,0)</f>
        <v>0</v>
      </c>
      <c r="F613" s="47" t="n">
        <f aca="false">MIN(1,'Model Inputs &amp; Assumptions'!$W$29*EXP('Model Inputs &amp; Assumptions'!$X$29*R613-'Model Inputs &amp; Assumptions'!$X$29^2/2))</f>
        <v>0.00328007457631485</v>
      </c>
      <c r="G613" s="45" t="n">
        <f aca="false">ROUND(C613*F613,0)</f>
        <v>847</v>
      </c>
      <c r="H613" s="48" t="n">
        <f aca="false">MAX(0,(C613*'Model Inputs &amp; Assumptions'!$N$29+E613*'Model Inputs &amp; Assumptions'!$O$29+G613*'Model Inputs &amp; Assumptions'!$P$29)*EXP('Model Inputs &amp; Assumptions'!$Q$29*S613-'Model Inputs &amp; Assumptions'!$Q$29^2/2))</f>
        <v>50.570268325444</v>
      </c>
      <c r="I613" s="49" t="n">
        <f aca="false">IF('Model Inputs &amp; Assumptions'!$H$29="Fixed",'Model Inputs &amp; Assumptions'!$I$29*'Model Inputs &amp; Assumptions'!$K$29,IF('Model Inputs &amp; Assumptions'!$H$29="CPM",'Model Inputs &amp; Assumptions'!$I$29*'Model Inputs &amp; Assumptions'!$K$29*C613/1000,IF('Model Inputs &amp; Assumptions'!$H$29="CPC",'Model Inputs &amp; Assumptions'!$I$29*'Model Inputs &amp; Assumptions'!$K$29*G613,0)))</f>
        <v>6500</v>
      </c>
      <c r="J613" s="50" t="n">
        <f aca="false">H613*INDEX('Model Inputs &amp; Assumptions'!$D$40:$D$42,MATCH('Model Inputs &amp; Assumptions'!$L$29,'Model Inputs &amp; Assumptions'!$A$40:$A$42,0))*INDEX('Model Inputs &amp; Assumptions'!$H$40:$H$42,MATCH('Model Inputs &amp; Assumptions'!$L$29,'Model Inputs &amp; Assumptions'!$A$40:$A$42,0))</f>
        <v>429847.280766274</v>
      </c>
      <c r="K613" s="49" t="n">
        <f aca="false">H613*INDEX('Model Inputs &amp; Assumptions'!$G$40:$G$42,MATCH('Model Inputs &amp; Assumptions'!$L$29,'Model Inputs &amp; Assumptions'!$A$40:$A$42,0))*INDEX('Model Inputs &amp; Assumptions'!$H$40:$H$42,MATCH('Model Inputs &amp; Assumptions'!$L$29,'Model Inputs &amp; Assumptions'!$A$40:$A$42,0))</f>
        <v>9671.56381724116</v>
      </c>
      <c r="L613" s="51" t="n">
        <f aca="false">IFERROR(K613/I613,0)</f>
        <v>1.48793289496018</v>
      </c>
      <c r="M613" s="49" t="n">
        <f aca="false">IFERROR(I613/H613,0)</f>
        <v>128.534022366055</v>
      </c>
      <c r="N613" s="52" t="str">
        <f aca="false">'Model Inputs &amp; Assumptions'!$L$29</f>
        <v>PRD-EUAI</v>
      </c>
      <c r="P613" s="53" t="n">
        <v>1.316448</v>
      </c>
      <c r="Q613" s="53" t="n">
        <v>-1.420214</v>
      </c>
      <c r="R613" s="53" t="n">
        <v>0.503854</v>
      </c>
      <c r="S613" s="53" t="n">
        <v>0.741318</v>
      </c>
    </row>
    <row r="614" customFormat="false" ht="15" hidden="false" customHeight="false" outlineLevel="0" collapsed="false">
      <c r="A614" s="43" t="n">
        <v>111</v>
      </c>
      <c r="B614" s="44" t="str">
        <f aca="false">'Model Inputs &amp; Assumptions'!$B$29</f>
        <v>Handelsblatt — Native Explainer</v>
      </c>
      <c r="C614" s="45" t="n">
        <f aca="false">ROUND(MAX(0,'Model Inputs &amp; Assumptions'!$S$29*EXP('Model Inputs &amp; Assumptions'!$T$29*P614-'Model Inputs &amp; Assumptions'!$T$29^2/2)),0)</f>
        <v>223580</v>
      </c>
      <c r="D614" s="46" t="n">
        <f aca="false">MIN(1,'Model Inputs &amp; Assumptions'!$U$29*EXP('Model Inputs &amp; Assumptions'!$V$29*Q614-'Model Inputs &amp; Assumptions'!$V$29^2/2))</f>
        <v>0</v>
      </c>
      <c r="E614" s="45" t="n">
        <f aca="false">ROUND(C614*D614,0)</f>
        <v>0</v>
      </c>
      <c r="F614" s="47" t="n">
        <f aca="false">MIN(1,'Model Inputs &amp; Assumptions'!$W$29*EXP('Model Inputs &amp; Assumptions'!$X$29*R614-'Model Inputs &amp; Assumptions'!$X$29^2/2))</f>
        <v>0.00341006277023289</v>
      </c>
      <c r="G614" s="45" t="n">
        <f aca="false">ROUND(C614*F614,0)</f>
        <v>762</v>
      </c>
      <c r="H614" s="48" t="n">
        <f aca="false">MAX(0,(C614*'Model Inputs &amp; Assumptions'!$N$29+E614*'Model Inputs &amp; Assumptions'!$O$29+G614*'Model Inputs &amp; Assumptions'!$P$29)*EXP('Model Inputs &amp; Assumptions'!$Q$29*S614-'Model Inputs &amp; Assumptions'!$Q$29^2/2))</f>
        <v>39.2869216926087</v>
      </c>
      <c r="I614" s="49" t="n">
        <f aca="false">IF('Model Inputs &amp; Assumptions'!$H$29="Fixed",'Model Inputs &amp; Assumptions'!$I$29*'Model Inputs &amp; Assumptions'!$K$29,IF('Model Inputs &amp; Assumptions'!$H$29="CPM",'Model Inputs &amp; Assumptions'!$I$29*'Model Inputs &amp; Assumptions'!$K$29*C614/1000,IF('Model Inputs &amp; Assumptions'!$H$29="CPC",'Model Inputs &amp; Assumptions'!$I$29*'Model Inputs &amp; Assumptions'!$K$29*G614,0)))</f>
        <v>6500</v>
      </c>
      <c r="J614" s="50" t="n">
        <f aca="false">H614*INDEX('Model Inputs &amp; Assumptions'!$D$40:$D$42,MATCH('Model Inputs &amp; Assumptions'!$L$29,'Model Inputs &amp; Assumptions'!$A$40:$A$42,0))*INDEX('Model Inputs &amp; Assumptions'!$H$40:$H$42,MATCH('Model Inputs &amp; Assumptions'!$L$29,'Model Inputs &amp; Assumptions'!$A$40:$A$42,0))</f>
        <v>333938.834387174</v>
      </c>
      <c r="K614" s="49" t="n">
        <f aca="false">H614*INDEX('Model Inputs &amp; Assumptions'!$G$40:$G$42,MATCH('Model Inputs &amp; Assumptions'!$L$29,'Model Inputs &amp; Assumptions'!$A$40:$A$42,0))*INDEX('Model Inputs &amp; Assumptions'!$H$40:$H$42,MATCH('Model Inputs &amp; Assumptions'!$L$29,'Model Inputs &amp; Assumptions'!$A$40:$A$42,0))</f>
        <v>7513.62377371142</v>
      </c>
      <c r="L614" s="51" t="n">
        <f aca="false">IFERROR(K614/I614,0)</f>
        <v>1.15594211903253</v>
      </c>
      <c r="M614" s="49" t="n">
        <f aca="false">IFERROR(I614/H614,0)</f>
        <v>165.449460531872</v>
      </c>
      <c r="N614" s="52" t="str">
        <f aca="false">'Model Inputs &amp; Assumptions'!$L$29</f>
        <v>PRD-EUAI</v>
      </c>
      <c r="P614" s="53" t="n">
        <v>0.662292</v>
      </c>
      <c r="Q614" s="53" t="n">
        <v>0.878822</v>
      </c>
      <c r="R614" s="53" t="n">
        <v>0.653333</v>
      </c>
      <c r="S614" s="53" t="n">
        <v>0.252258</v>
      </c>
    </row>
    <row r="615" customFormat="false" ht="15" hidden="false" customHeight="false" outlineLevel="0" collapsed="false">
      <c r="A615" s="43" t="n">
        <v>112</v>
      </c>
      <c r="B615" s="44" t="str">
        <f aca="false">'Model Inputs &amp; Assumptions'!$B$29</f>
        <v>Handelsblatt — Native Explainer</v>
      </c>
      <c r="C615" s="45" t="n">
        <f aca="false">ROUND(MAX(0,'Model Inputs &amp; Assumptions'!$S$29*EXP('Model Inputs &amp; Assumptions'!$T$29*P615-'Model Inputs &amp; Assumptions'!$T$29^2/2)),0)</f>
        <v>198378</v>
      </c>
      <c r="D615" s="46" t="n">
        <f aca="false">MIN(1,'Model Inputs &amp; Assumptions'!$U$29*EXP('Model Inputs &amp; Assumptions'!$V$29*Q615-'Model Inputs &amp; Assumptions'!$V$29^2/2))</f>
        <v>0</v>
      </c>
      <c r="E615" s="45" t="n">
        <f aca="false">ROUND(C615*D615,0)</f>
        <v>0</v>
      </c>
      <c r="F615" s="47" t="n">
        <f aca="false">MIN(1,'Model Inputs &amp; Assumptions'!$W$29*EXP('Model Inputs &amp; Assumptions'!$X$29*R615-'Model Inputs &amp; Assumptions'!$X$29^2/2))</f>
        <v>0.00340751470077175</v>
      </c>
      <c r="G615" s="45" t="n">
        <f aca="false">ROUND(C615*F615,0)</f>
        <v>676</v>
      </c>
      <c r="H615" s="48" t="n">
        <f aca="false">MAX(0,(C615*'Model Inputs &amp; Assumptions'!$N$29+E615*'Model Inputs &amp; Assumptions'!$O$29+G615*'Model Inputs &amp; Assumptions'!$P$29)*EXP('Model Inputs &amp; Assumptions'!$Q$29*S615-'Model Inputs &amp; Assumptions'!$Q$29^2/2))</f>
        <v>26.8206121637087</v>
      </c>
      <c r="I615" s="49" t="n">
        <f aca="false">IF('Model Inputs &amp; Assumptions'!$H$29="Fixed",'Model Inputs &amp; Assumptions'!$I$29*'Model Inputs &amp; Assumptions'!$K$29,IF('Model Inputs &amp; Assumptions'!$H$29="CPM",'Model Inputs &amp; Assumptions'!$I$29*'Model Inputs &amp; Assumptions'!$K$29*C615/1000,IF('Model Inputs &amp; Assumptions'!$H$29="CPC",'Model Inputs &amp; Assumptions'!$I$29*'Model Inputs &amp; Assumptions'!$K$29*G615,0)))</f>
        <v>6500</v>
      </c>
      <c r="J615" s="50" t="n">
        <f aca="false">H615*INDEX('Model Inputs &amp; Assumptions'!$D$40:$D$42,MATCH('Model Inputs &amp; Assumptions'!$L$29,'Model Inputs &amp; Assumptions'!$A$40:$A$42,0))*INDEX('Model Inputs &amp; Assumptions'!$H$40:$H$42,MATCH('Model Inputs &amp; Assumptions'!$L$29,'Model Inputs &amp; Assumptions'!$A$40:$A$42,0))</f>
        <v>227975.203391524</v>
      </c>
      <c r="K615" s="49" t="n">
        <f aca="false">H615*INDEX('Model Inputs &amp; Assumptions'!$G$40:$G$42,MATCH('Model Inputs &amp; Assumptions'!$L$29,'Model Inputs &amp; Assumptions'!$A$40:$A$42,0))*INDEX('Model Inputs &amp; Assumptions'!$H$40:$H$42,MATCH('Model Inputs &amp; Assumptions'!$L$29,'Model Inputs &amp; Assumptions'!$A$40:$A$42,0))</f>
        <v>5129.44207630929</v>
      </c>
      <c r="L615" s="51" t="n">
        <f aca="false">IFERROR(K615/I615,0)</f>
        <v>0.789144934816814</v>
      </c>
      <c r="M615" s="49" t="n">
        <f aca="false">IFERROR(I615/H615,0)</f>
        <v>242.350918775643</v>
      </c>
      <c r="N615" s="52" t="str">
        <f aca="false">'Model Inputs &amp; Assumptions'!$L$29</f>
        <v>PRD-EUAI</v>
      </c>
      <c r="P615" s="53" t="n">
        <v>0.118678</v>
      </c>
      <c r="Q615" s="53" t="n">
        <v>1.503124</v>
      </c>
      <c r="R615" s="53" t="n">
        <v>0.650458</v>
      </c>
      <c r="S615" s="53" t="n">
        <v>-0.620967</v>
      </c>
    </row>
    <row r="616" customFormat="false" ht="15" hidden="false" customHeight="false" outlineLevel="0" collapsed="false">
      <c r="A616" s="43" t="n">
        <v>113</v>
      </c>
      <c r="B616" s="44" t="str">
        <f aca="false">'Model Inputs &amp; Assumptions'!$B$29</f>
        <v>Handelsblatt — Native Explainer</v>
      </c>
      <c r="C616" s="45" t="n">
        <f aca="false">ROUND(MAX(0,'Model Inputs &amp; Assumptions'!$S$29*EXP('Model Inputs &amp; Assumptions'!$T$29*P616-'Model Inputs &amp; Assumptions'!$T$29^2/2)),0)</f>
        <v>263399</v>
      </c>
      <c r="D616" s="46" t="n">
        <f aca="false">MIN(1,'Model Inputs &amp; Assumptions'!$U$29*EXP('Model Inputs &amp; Assumptions'!$V$29*Q616-'Model Inputs &amp; Assumptions'!$V$29^2/2))</f>
        <v>0</v>
      </c>
      <c r="E616" s="45" t="n">
        <f aca="false">ROUND(C616*D616,0)</f>
        <v>0</v>
      </c>
      <c r="F616" s="47" t="n">
        <f aca="false">MIN(1,'Model Inputs &amp; Assumptions'!$W$29*EXP('Model Inputs &amp; Assumptions'!$X$29*R616-'Model Inputs &amp; Assumptions'!$X$29^2/2))</f>
        <v>0.00233805801998796</v>
      </c>
      <c r="G616" s="45" t="n">
        <f aca="false">ROUND(C616*F616,0)</f>
        <v>616</v>
      </c>
      <c r="H616" s="48" t="n">
        <f aca="false">MAX(0,(C616*'Model Inputs &amp; Assumptions'!$N$29+E616*'Model Inputs &amp; Assumptions'!$O$29+G616*'Model Inputs &amp; Assumptions'!$P$29)*EXP('Model Inputs &amp; Assumptions'!$Q$29*S616-'Model Inputs &amp; Assumptions'!$Q$29^2/2))</f>
        <v>18.434988170143</v>
      </c>
      <c r="I616" s="49" t="n">
        <f aca="false">IF('Model Inputs &amp; Assumptions'!$H$29="Fixed",'Model Inputs &amp; Assumptions'!$I$29*'Model Inputs &amp; Assumptions'!$K$29,IF('Model Inputs &amp; Assumptions'!$H$29="CPM",'Model Inputs &amp; Assumptions'!$I$29*'Model Inputs &amp; Assumptions'!$K$29*C616/1000,IF('Model Inputs &amp; Assumptions'!$H$29="CPC",'Model Inputs &amp; Assumptions'!$I$29*'Model Inputs &amp; Assumptions'!$K$29*G616,0)))</f>
        <v>6500</v>
      </c>
      <c r="J616" s="50" t="n">
        <f aca="false">H616*INDEX('Model Inputs &amp; Assumptions'!$D$40:$D$42,MATCH('Model Inputs &amp; Assumptions'!$L$29,'Model Inputs &amp; Assumptions'!$A$40:$A$42,0))*INDEX('Model Inputs &amp; Assumptions'!$H$40:$H$42,MATCH('Model Inputs &amp; Assumptions'!$L$29,'Model Inputs &amp; Assumptions'!$A$40:$A$42,0))</f>
        <v>156697.399446216</v>
      </c>
      <c r="K616" s="49" t="n">
        <f aca="false">H616*INDEX('Model Inputs &amp; Assumptions'!$G$40:$G$42,MATCH('Model Inputs &amp; Assumptions'!$L$29,'Model Inputs &amp; Assumptions'!$A$40:$A$42,0))*INDEX('Model Inputs &amp; Assumptions'!$H$40:$H$42,MATCH('Model Inputs &amp; Assumptions'!$L$29,'Model Inputs &amp; Assumptions'!$A$40:$A$42,0))</f>
        <v>3525.69148753985</v>
      </c>
      <c r="L616" s="51" t="n">
        <f aca="false">IFERROR(K616/I616,0)</f>
        <v>0.542414075006131</v>
      </c>
      <c r="M616" s="49" t="n">
        <f aca="false">IFERROR(I616/H616,0)</f>
        <v>352.590407979067</v>
      </c>
      <c r="N616" s="52" t="str">
        <f aca="false">'Model Inputs &amp; Assumptions'!$L$29</f>
        <v>PRD-EUAI</v>
      </c>
      <c r="P616" s="53" t="n">
        <v>1.407294</v>
      </c>
      <c r="Q616" s="53" t="n">
        <v>1.463809</v>
      </c>
      <c r="R616" s="53" t="n">
        <v>-0.798244</v>
      </c>
      <c r="S616" s="53" t="n">
        <v>-1.560881</v>
      </c>
    </row>
    <row r="617" customFormat="false" ht="15" hidden="false" customHeight="false" outlineLevel="0" collapsed="false">
      <c r="A617" s="43" t="n">
        <v>114</v>
      </c>
      <c r="B617" s="44" t="str">
        <f aca="false">'Model Inputs &amp; Assumptions'!$B$29</f>
        <v>Handelsblatt — Native Explainer</v>
      </c>
      <c r="C617" s="45" t="n">
        <f aca="false">ROUND(MAX(0,'Model Inputs &amp; Assumptions'!$S$29*EXP('Model Inputs &amp; Assumptions'!$T$29*P617-'Model Inputs &amp; Assumptions'!$T$29^2/2)),0)</f>
        <v>193354</v>
      </c>
      <c r="D617" s="46" t="n">
        <f aca="false">MIN(1,'Model Inputs &amp; Assumptions'!$U$29*EXP('Model Inputs &amp; Assumptions'!$V$29*Q617-'Model Inputs &amp; Assumptions'!$V$29^2/2))</f>
        <v>0</v>
      </c>
      <c r="E617" s="45" t="n">
        <f aca="false">ROUND(C617*D617,0)</f>
        <v>0</v>
      </c>
      <c r="F617" s="47" t="n">
        <f aca="false">MIN(1,'Model Inputs &amp; Assumptions'!$W$29*EXP('Model Inputs &amp; Assumptions'!$X$29*R617-'Model Inputs &amp; Assumptions'!$X$29^2/2))</f>
        <v>0.0022131399938286</v>
      </c>
      <c r="G617" s="45" t="n">
        <f aca="false">ROUND(C617*F617,0)</f>
        <v>428</v>
      </c>
      <c r="H617" s="48" t="n">
        <f aca="false">MAX(0,(C617*'Model Inputs &amp; Assumptions'!$N$29+E617*'Model Inputs &amp; Assumptions'!$O$29+G617*'Model Inputs &amp; Assumptions'!$P$29)*EXP('Model Inputs &amp; Assumptions'!$Q$29*S617-'Model Inputs &amp; Assumptions'!$Q$29^2/2))</f>
        <v>17.3647575139117</v>
      </c>
      <c r="I617" s="49" t="n">
        <f aca="false">IF('Model Inputs &amp; Assumptions'!$H$29="Fixed",'Model Inputs &amp; Assumptions'!$I$29*'Model Inputs &amp; Assumptions'!$K$29,IF('Model Inputs &amp; Assumptions'!$H$29="CPM",'Model Inputs &amp; Assumptions'!$I$29*'Model Inputs &amp; Assumptions'!$K$29*C617/1000,IF('Model Inputs &amp; Assumptions'!$H$29="CPC",'Model Inputs &amp; Assumptions'!$I$29*'Model Inputs &amp; Assumptions'!$K$29*G617,0)))</f>
        <v>6500</v>
      </c>
      <c r="J617" s="50" t="n">
        <f aca="false">H617*INDEX('Model Inputs &amp; Assumptions'!$D$40:$D$42,MATCH('Model Inputs &amp; Assumptions'!$L$29,'Model Inputs &amp; Assumptions'!$A$40:$A$42,0))*INDEX('Model Inputs &amp; Assumptions'!$H$40:$H$42,MATCH('Model Inputs &amp; Assumptions'!$L$29,'Model Inputs &amp; Assumptions'!$A$40:$A$42,0))</f>
        <v>147600.43886825</v>
      </c>
      <c r="K617" s="49" t="n">
        <f aca="false">H617*INDEX('Model Inputs &amp; Assumptions'!$G$40:$G$42,MATCH('Model Inputs &amp; Assumptions'!$L$29,'Model Inputs &amp; Assumptions'!$A$40:$A$42,0))*INDEX('Model Inputs &amp; Assumptions'!$H$40:$H$42,MATCH('Model Inputs &amp; Assumptions'!$L$29,'Model Inputs &amp; Assumptions'!$A$40:$A$42,0))</f>
        <v>3321.00987453562</v>
      </c>
      <c r="L617" s="51" t="n">
        <f aca="false">IFERROR(K617/I617,0)</f>
        <v>0.510924596082403</v>
      </c>
      <c r="M617" s="49" t="n">
        <f aca="false">IFERROR(I617/H617,0)</f>
        <v>374.321380231918</v>
      </c>
      <c r="N617" s="52" t="str">
        <f aca="false">'Model Inputs &amp; Assumptions'!$L$29</f>
        <v>PRD-EUAI</v>
      </c>
      <c r="P617" s="53" t="n">
        <v>0.002081</v>
      </c>
      <c r="Q617" s="53" t="n">
        <v>0.050522</v>
      </c>
      <c r="R617" s="53" t="n">
        <v>-1.00943</v>
      </c>
      <c r="S617" s="53" t="n">
        <v>-0.546494</v>
      </c>
    </row>
    <row r="618" customFormat="false" ht="15" hidden="false" customHeight="false" outlineLevel="0" collapsed="false">
      <c r="A618" s="43" t="n">
        <v>115</v>
      </c>
      <c r="B618" s="44" t="str">
        <f aca="false">'Model Inputs &amp; Assumptions'!$B$29</f>
        <v>Handelsblatt — Native Explainer</v>
      </c>
      <c r="C618" s="45" t="n">
        <f aca="false">ROUND(MAX(0,'Model Inputs &amp; Assumptions'!$S$29*EXP('Model Inputs &amp; Assumptions'!$T$29*P618-'Model Inputs &amp; Assumptions'!$T$29^2/2)),0)</f>
        <v>258991</v>
      </c>
      <c r="D618" s="46" t="n">
        <f aca="false">MIN(1,'Model Inputs &amp; Assumptions'!$U$29*EXP('Model Inputs &amp; Assumptions'!$V$29*Q618-'Model Inputs &amp; Assumptions'!$V$29^2/2))</f>
        <v>0</v>
      </c>
      <c r="E618" s="45" t="n">
        <f aca="false">ROUND(C618*D618,0)</f>
        <v>0</v>
      </c>
      <c r="F618" s="47" t="n">
        <f aca="false">MIN(1,'Model Inputs &amp; Assumptions'!$W$29*EXP('Model Inputs &amp; Assumptions'!$X$29*R618-'Model Inputs &amp; Assumptions'!$X$29^2/2))</f>
        <v>0.00241538235305496</v>
      </c>
      <c r="G618" s="45" t="n">
        <f aca="false">ROUND(C618*F618,0)</f>
        <v>626</v>
      </c>
      <c r="H618" s="48" t="n">
        <f aca="false">MAX(0,(C618*'Model Inputs &amp; Assumptions'!$N$29+E618*'Model Inputs &amp; Assumptions'!$O$29+G618*'Model Inputs &amp; Assumptions'!$P$29)*EXP('Model Inputs &amp; Assumptions'!$Q$29*S618-'Model Inputs &amp; Assumptions'!$Q$29^2/2))</f>
        <v>62.2050009442503</v>
      </c>
      <c r="I618" s="49" t="n">
        <f aca="false">IF('Model Inputs &amp; Assumptions'!$H$29="Fixed",'Model Inputs &amp; Assumptions'!$I$29*'Model Inputs &amp; Assumptions'!$K$29,IF('Model Inputs &amp; Assumptions'!$H$29="CPM",'Model Inputs &amp; Assumptions'!$I$29*'Model Inputs &amp; Assumptions'!$K$29*C618/1000,IF('Model Inputs &amp; Assumptions'!$H$29="CPC",'Model Inputs &amp; Assumptions'!$I$29*'Model Inputs &amp; Assumptions'!$K$29*G618,0)))</f>
        <v>6500</v>
      </c>
      <c r="J618" s="50" t="n">
        <f aca="false">H618*INDEX('Model Inputs &amp; Assumptions'!$D$40:$D$42,MATCH('Model Inputs &amp; Assumptions'!$L$29,'Model Inputs &amp; Assumptions'!$A$40:$A$42,0))*INDEX('Model Inputs &amp; Assumptions'!$H$40:$H$42,MATCH('Model Inputs &amp; Assumptions'!$L$29,'Model Inputs &amp; Assumptions'!$A$40:$A$42,0))</f>
        <v>528742.508026128</v>
      </c>
      <c r="K618" s="49" t="n">
        <f aca="false">H618*INDEX('Model Inputs &amp; Assumptions'!$G$40:$G$42,MATCH('Model Inputs &amp; Assumptions'!$L$29,'Model Inputs &amp; Assumptions'!$A$40:$A$42,0))*INDEX('Model Inputs &amp; Assumptions'!$H$40:$H$42,MATCH('Model Inputs &amp; Assumptions'!$L$29,'Model Inputs &amp; Assumptions'!$A$40:$A$42,0))</f>
        <v>11896.7064305879</v>
      </c>
      <c r="L618" s="51" t="n">
        <f aca="false">IFERROR(K618/I618,0)</f>
        <v>1.83026252778275</v>
      </c>
      <c r="M618" s="49" t="n">
        <f aca="false">IFERROR(I618/H618,0)</f>
        <v>104.493206355313</v>
      </c>
      <c r="N618" s="52" t="str">
        <f aca="false">'Model Inputs &amp; Assumptions'!$L$29</f>
        <v>PRD-EUAI</v>
      </c>
      <c r="P618" s="53" t="n">
        <v>1.330571</v>
      </c>
      <c r="Q618" s="53" t="n">
        <v>-0.178004</v>
      </c>
      <c r="R618" s="53" t="n">
        <v>-0.673102</v>
      </c>
      <c r="S618" s="53" t="n">
        <v>2.439391</v>
      </c>
    </row>
    <row r="619" customFormat="false" ht="15" hidden="false" customHeight="false" outlineLevel="0" collapsed="false">
      <c r="A619" s="43" t="n">
        <v>116</v>
      </c>
      <c r="B619" s="44" t="str">
        <f aca="false">'Model Inputs &amp; Assumptions'!$B$29</f>
        <v>Handelsblatt — Native Explainer</v>
      </c>
      <c r="C619" s="45" t="n">
        <f aca="false">ROUND(MAX(0,'Model Inputs &amp; Assumptions'!$S$29*EXP('Model Inputs &amp; Assumptions'!$T$29*P619-'Model Inputs &amp; Assumptions'!$T$29^2/2)),0)</f>
        <v>243336</v>
      </c>
      <c r="D619" s="46" t="n">
        <f aca="false">MIN(1,'Model Inputs &amp; Assumptions'!$U$29*EXP('Model Inputs &amp; Assumptions'!$V$29*Q619-'Model Inputs &amp; Assumptions'!$V$29^2/2))</f>
        <v>0</v>
      </c>
      <c r="E619" s="45" t="n">
        <f aca="false">ROUND(C619*D619,0)</f>
        <v>0</v>
      </c>
      <c r="F619" s="47" t="n">
        <f aca="false">MIN(1,'Model Inputs &amp; Assumptions'!$W$29*EXP('Model Inputs &amp; Assumptions'!$X$29*R619-'Model Inputs &amp; Assumptions'!$X$29^2/2))</f>
        <v>0.0035465529750298</v>
      </c>
      <c r="G619" s="45" t="n">
        <f aca="false">ROUND(C619*F619,0)</f>
        <v>863</v>
      </c>
      <c r="H619" s="48" t="n">
        <f aca="false">MAX(0,(C619*'Model Inputs &amp; Assumptions'!$N$29+E619*'Model Inputs &amp; Assumptions'!$O$29+G619*'Model Inputs &amp; Assumptions'!$P$29)*EXP('Model Inputs &amp; Assumptions'!$Q$29*S619-'Model Inputs &amp; Assumptions'!$Q$29^2/2))</f>
        <v>112.924597534749</v>
      </c>
      <c r="I619" s="49" t="n">
        <f aca="false">IF('Model Inputs &amp; Assumptions'!$H$29="Fixed",'Model Inputs &amp; Assumptions'!$I$29*'Model Inputs &amp; Assumptions'!$K$29,IF('Model Inputs &amp; Assumptions'!$H$29="CPM",'Model Inputs &amp; Assumptions'!$I$29*'Model Inputs &amp; Assumptions'!$K$29*C619/1000,IF('Model Inputs &amp; Assumptions'!$H$29="CPC",'Model Inputs &amp; Assumptions'!$I$29*'Model Inputs &amp; Assumptions'!$K$29*G619,0)))</f>
        <v>6500</v>
      </c>
      <c r="J619" s="50" t="n">
        <f aca="false">H619*INDEX('Model Inputs &amp; Assumptions'!$D$40:$D$42,MATCH('Model Inputs &amp; Assumptions'!$L$29,'Model Inputs &amp; Assumptions'!$A$40:$A$42,0))*INDEX('Model Inputs &amp; Assumptions'!$H$40:$H$42,MATCH('Model Inputs &amp; Assumptions'!$L$29,'Model Inputs &amp; Assumptions'!$A$40:$A$42,0))</f>
        <v>959859.079045366</v>
      </c>
      <c r="K619" s="49" t="n">
        <f aca="false">H619*INDEX('Model Inputs &amp; Assumptions'!$G$40:$G$42,MATCH('Model Inputs &amp; Assumptions'!$L$29,'Model Inputs &amp; Assumptions'!$A$40:$A$42,0))*INDEX('Model Inputs &amp; Assumptions'!$H$40:$H$42,MATCH('Model Inputs &amp; Assumptions'!$L$29,'Model Inputs &amp; Assumptions'!$A$40:$A$42,0))</f>
        <v>21596.8292785207</v>
      </c>
      <c r="L619" s="51" t="n">
        <f aca="false">IFERROR(K619/I619,0)</f>
        <v>3.32258911977242</v>
      </c>
      <c r="M619" s="49" t="n">
        <f aca="false">IFERROR(I619/H619,0)</f>
        <v>57.5605327971156</v>
      </c>
      <c r="N619" s="52" t="str">
        <f aca="false">'Model Inputs &amp; Assumptions'!$L$29</f>
        <v>PRD-EUAI</v>
      </c>
      <c r="P619" s="53" t="n">
        <v>1.047157</v>
      </c>
      <c r="Q619" s="53" t="n">
        <v>0.224967</v>
      </c>
      <c r="R619" s="53" t="n">
        <v>0.804277</v>
      </c>
      <c r="S619" s="53" t="n">
        <v>3.356793</v>
      </c>
    </row>
    <row r="620" customFormat="false" ht="15" hidden="false" customHeight="false" outlineLevel="0" collapsed="false">
      <c r="A620" s="43" t="n">
        <v>117</v>
      </c>
      <c r="B620" s="44" t="str">
        <f aca="false">'Model Inputs &amp; Assumptions'!$B$29</f>
        <v>Handelsblatt — Native Explainer</v>
      </c>
      <c r="C620" s="45" t="n">
        <f aca="false">ROUND(MAX(0,'Model Inputs &amp; Assumptions'!$S$29*EXP('Model Inputs &amp; Assumptions'!$T$29*P620-'Model Inputs &amp; Assumptions'!$T$29^2/2)),0)</f>
        <v>242121</v>
      </c>
      <c r="D620" s="46" t="n">
        <f aca="false">MIN(1,'Model Inputs &amp; Assumptions'!$U$29*EXP('Model Inputs &amp; Assumptions'!$V$29*Q620-'Model Inputs &amp; Assumptions'!$V$29^2/2))</f>
        <v>0</v>
      </c>
      <c r="E620" s="45" t="n">
        <f aca="false">ROUND(C620*D620,0)</f>
        <v>0</v>
      </c>
      <c r="F620" s="47" t="n">
        <f aca="false">MIN(1,'Model Inputs &amp; Assumptions'!$W$29*EXP('Model Inputs &amp; Assumptions'!$X$29*R620-'Model Inputs &amp; Assumptions'!$X$29^2/2))</f>
        <v>0.00261073669158284</v>
      </c>
      <c r="G620" s="45" t="n">
        <f aca="false">ROUND(C620*F620,0)</f>
        <v>632</v>
      </c>
      <c r="H620" s="48" t="n">
        <f aca="false">MAX(0,(C620*'Model Inputs &amp; Assumptions'!$N$29+E620*'Model Inputs &amp; Assumptions'!$O$29+G620*'Model Inputs &amp; Assumptions'!$P$29)*EXP('Model Inputs &amp; Assumptions'!$Q$29*S620-'Model Inputs &amp; Assumptions'!$Q$29^2/2))</f>
        <v>26.4840090980572</v>
      </c>
      <c r="I620" s="49" t="n">
        <f aca="false">IF('Model Inputs &amp; Assumptions'!$H$29="Fixed",'Model Inputs &amp; Assumptions'!$I$29*'Model Inputs &amp; Assumptions'!$K$29,IF('Model Inputs &amp; Assumptions'!$H$29="CPM",'Model Inputs &amp; Assumptions'!$I$29*'Model Inputs &amp; Assumptions'!$K$29*C620/1000,IF('Model Inputs &amp; Assumptions'!$H$29="CPC",'Model Inputs &amp; Assumptions'!$I$29*'Model Inputs &amp; Assumptions'!$K$29*G620,0)))</f>
        <v>6500</v>
      </c>
      <c r="J620" s="50" t="n">
        <f aca="false">H620*INDEX('Model Inputs &amp; Assumptions'!$D$40:$D$42,MATCH('Model Inputs &amp; Assumptions'!$L$29,'Model Inputs &amp; Assumptions'!$A$40:$A$42,0))*INDEX('Model Inputs &amp; Assumptions'!$H$40:$H$42,MATCH('Model Inputs &amp; Assumptions'!$L$29,'Model Inputs &amp; Assumptions'!$A$40:$A$42,0))</f>
        <v>225114.077333486</v>
      </c>
      <c r="K620" s="49" t="n">
        <f aca="false">H620*INDEX('Model Inputs &amp; Assumptions'!$G$40:$G$42,MATCH('Model Inputs &amp; Assumptions'!$L$29,'Model Inputs &amp; Assumptions'!$A$40:$A$42,0))*INDEX('Model Inputs &amp; Assumptions'!$H$40:$H$42,MATCH('Model Inputs &amp; Assumptions'!$L$29,'Model Inputs &amp; Assumptions'!$A$40:$A$42,0))</f>
        <v>5065.06674000343</v>
      </c>
      <c r="L620" s="51" t="n">
        <f aca="false">IFERROR(K620/I620,0)</f>
        <v>0.779241036923605</v>
      </c>
      <c r="M620" s="49" t="n">
        <f aca="false">IFERROR(I620/H620,0)</f>
        <v>245.431119432625</v>
      </c>
      <c r="N620" s="52" t="str">
        <f aca="false">'Model Inputs &amp; Assumptions'!$L$29</f>
        <v>PRD-EUAI</v>
      </c>
      <c r="P620" s="53" t="n">
        <v>1.024406</v>
      </c>
      <c r="Q620" s="53" t="n">
        <v>1.219079</v>
      </c>
      <c r="R620" s="53" t="n">
        <v>-0.373968</v>
      </c>
      <c r="S620" s="53" t="n">
        <v>-0.43872</v>
      </c>
    </row>
    <row r="621" customFormat="false" ht="15" hidden="false" customHeight="false" outlineLevel="0" collapsed="false">
      <c r="A621" s="43" t="n">
        <v>118</v>
      </c>
      <c r="B621" s="44" t="str">
        <f aca="false">'Model Inputs &amp; Assumptions'!$B$29</f>
        <v>Handelsblatt — Native Explainer</v>
      </c>
      <c r="C621" s="45" t="n">
        <f aca="false">ROUND(MAX(0,'Model Inputs &amp; Assumptions'!$S$29*EXP('Model Inputs &amp; Assumptions'!$T$29*P621-'Model Inputs &amp; Assumptions'!$T$29^2/2)),0)</f>
        <v>286131</v>
      </c>
      <c r="D621" s="46" t="n">
        <f aca="false">MIN(1,'Model Inputs &amp; Assumptions'!$U$29*EXP('Model Inputs &amp; Assumptions'!$V$29*Q621-'Model Inputs &amp; Assumptions'!$V$29^2/2))</f>
        <v>0</v>
      </c>
      <c r="E621" s="45" t="n">
        <f aca="false">ROUND(C621*D621,0)</f>
        <v>0</v>
      </c>
      <c r="F621" s="47" t="n">
        <f aca="false">MIN(1,'Model Inputs &amp; Assumptions'!$W$29*EXP('Model Inputs &amp; Assumptions'!$X$29*R621-'Model Inputs &amp; Assumptions'!$X$29^2/2))</f>
        <v>0.00367562247332792</v>
      </c>
      <c r="G621" s="45" t="n">
        <f aca="false">ROUND(C621*F621,0)</f>
        <v>1052</v>
      </c>
      <c r="H621" s="48" t="n">
        <f aca="false">MAX(0,(C621*'Model Inputs &amp; Assumptions'!$N$29+E621*'Model Inputs &amp; Assumptions'!$O$29+G621*'Model Inputs &amp; Assumptions'!$P$29)*EXP('Model Inputs &amp; Assumptions'!$Q$29*S621-'Model Inputs &amp; Assumptions'!$Q$29^2/2))</f>
        <v>51.5981035932665</v>
      </c>
      <c r="I621" s="49" t="n">
        <f aca="false">IF('Model Inputs &amp; Assumptions'!$H$29="Fixed",'Model Inputs &amp; Assumptions'!$I$29*'Model Inputs &amp; Assumptions'!$K$29,IF('Model Inputs &amp; Assumptions'!$H$29="CPM",'Model Inputs &amp; Assumptions'!$I$29*'Model Inputs &amp; Assumptions'!$K$29*C621/1000,IF('Model Inputs &amp; Assumptions'!$H$29="CPC",'Model Inputs &amp; Assumptions'!$I$29*'Model Inputs &amp; Assumptions'!$K$29*G621,0)))</f>
        <v>6500</v>
      </c>
      <c r="J621" s="50" t="n">
        <f aca="false">H621*INDEX('Model Inputs &amp; Assumptions'!$D$40:$D$42,MATCH('Model Inputs &amp; Assumptions'!$L$29,'Model Inputs &amp; Assumptions'!$A$40:$A$42,0))*INDEX('Model Inputs &amp; Assumptions'!$H$40:$H$42,MATCH('Model Inputs &amp; Assumptions'!$L$29,'Model Inputs &amp; Assumptions'!$A$40:$A$42,0))</f>
        <v>438583.880542765</v>
      </c>
      <c r="K621" s="49" t="n">
        <f aca="false">H621*INDEX('Model Inputs &amp; Assumptions'!$G$40:$G$42,MATCH('Model Inputs &amp; Assumptions'!$L$29,'Model Inputs &amp; Assumptions'!$A$40:$A$42,0))*INDEX('Model Inputs &amp; Assumptions'!$H$40:$H$42,MATCH('Model Inputs &amp; Assumptions'!$L$29,'Model Inputs &amp; Assumptions'!$A$40:$A$42,0))</f>
        <v>9868.13731221222</v>
      </c>
      <c r="L621" s="51" t="n">
        <f aca="false">IFERROR(K621/I621,0)</f>
        <v>1.51817497110957</v>
      </c>
      <c r="M621" s="49" t="n">
        <f aca="false">IFERROR(I621/H621,0)</f>
        <v>125.973622039246</v>
      </c>
      <c r="N621" s="52" t="str">
        <f aca="false">'Model Inputs &amp; Assumptions'!$L$29</f>
        <v>PRD-EUAI</v>
      </c>
      <c r="P621" s="53" t="n">
        <v>1.78356</v>
      </c>
      <c r="Q621" s="53" t="n">
        <v>0.770901</v>
      </c>
      <c r="R621" s="53" t="n">
        <v>0.941763</v>
      </c>
      <c r="S621" s="53" t="n">
        <v>0.085896</v>
      </c>
    </row>
    <row r="622" customFormat="false" ht="15" hidden="false" customHeight="false" outlineLevel="0" collapsed="false">
      <c r="A622" s="43" t="n">
        <v>119</v>
      </c>
      <c r="B622" s="44" t="str">
        <f aca="false">'Model Inputs &amp; Assumptions'!$B$29</f>
        <v>Handelsblatt — Native Explainer</v>
      </c>
      <c r="C622" s="45" t="n">
        <f aca="false">ROUND(MAX(0,'Model Inputs &amp; Assumptions'!$S$29*EXP('Model Inputs &amp; Assumptions'!$T$29*P622-'Model Inputs &amp; Assumptions'!$T$29^2/2)),0)</f>
        <v>142880</v>
      </c>
      <c r="D622" s="46" t="n">
        <f aca="false">MIN(1,'Model Inputs &amp; Assumptions'!$U$29*EXP('Model Inputs &amp; Assumptions'!$V$29*Q622-'Model Inputs &amp; Assumptions'!$V$29^2/2))</f>
        <v>0</v>
      </c>
      <c r="E622" s="45" t="n">
        <f aca="false">ROUND(C622*D622,0)</f>
        <v>0</v>
      </c>
      <c r="F622" s="47" t="n">
        <f aca="false">MIN(1,'Model Inputs &amp; Assumptions'!$W$29*EXP('Model Inputs &amp; Assumptions'!$X$29*R622-'Model Inputs &amp; Assumptions'!$X$29^2/2))</f>
        <v>0.00359134620192507</v>
      </c>
      <c r="G622" s="45" t="n">
        <f aca="false">ROUND(C622*F622,0)</f>
        <v>513</v>
      </c>
      <c r="H622" s="48" t="n">
        <f aca="false">MAX(0,(C622*'Model Inputs &amp; Assumptions'!$N$29+E622*'Model Inputs &amp; Assumptions'!$O$29+G622*'Model Inputs &amp; Assumptions'!$P$29)*EXP('Model Inputs &amp; Assumptions'!$Q$29*S622-'Model Inputs &amp; Assumptions'!$Q$29^2/2))</f>
        <v>23.9529040599003</v>
      </c>
      <c r="I622" s="49" t="n">
        <f aca="false">IF('Model Inputs &amp; Assumptions'!$H$29="Fixed",'Model Inputs &amp; Assumptions'!$I$29*'Model Inputs &amp; Assumptions'!$K$29,IF('Model Inputs &amp; Assumptions'!$H$29="CPM",'Model Inputs &amp; Assumptions'!$I$29*'Model Inputs &amp; Assumptions'!$K$29*C622/1000,IF('Model Inputs &amp; Assumptions'!$H$29="CPC",'Model Inputs &amp; Assumptions'!$I$29*'Model Inputs &amp; Assumptions'!$K$29*G622,0)))</f>
        <v>6500</v>
      </c>
      <c r="J622" s="50" t="n">
        <f aca="false">H622*INDEX('Model Inputs &amp; Assumptions'!$D$40:$D$42,MATCH('Model Inputs &amp; Assumptions'!$L$29,'Model Inputs &amp; Assumptions'!$A$40:$A$42,0))*INDEX('Model Inputs &amp; Assumptions'!$H$40:$H$42,MATCH('Model Inputs &amp; Assumptions'!$L$29,'Model Inputs &amp; Assumptions'!$A$40:$A$42,0))</f>
        <v>203599.684509153</v>
      </c>
      <c r="K622" s="49" t="n">
        <f aca="false">H622*INDEX('Model Inputs &amp; Assumptions'!$G$40:$G$42,MATCH('Model Inputs &amp; Assumptions'!$L$29,'Model Inputs &amp; Assumptions'!$A$40:$A$42,0))*INDEX('Model Inputs &amp; Assumptions'!$H$40:$H$42,MATCH('Model Inputs &amp; Assumptions'!$L$29,'Model Inputs &amp; Assumptions'!$A$40:$A$42,0))</f>
        <v>4580.99290145594</v>
      </c>
      <c r="L622" s="51" t="n">
        <f aca="false">IFERROR(K622/I622,0)</f>
        <v>0.704768138685529</v>
      </c>
      <c r="M622" s="49" t="n">
        <f aca="false">IFERROR(I622/H622,0)</f>
        <v>271.365842895087</v>
      </c>
      <c r="N622" s="52" t="str">
        <f aca="false">'Model Inputs &amp; Assumptions'!$L$29</f>
        <v>PRD-EUAI</v>
      </c>
      <c r="P622" s="53" t="n">
        <v>-1.373024</v>
      </c>
      <c r="Q622" s="53" t="n">
        <v>0.418613</v>
      </c>
      <c r="R622" s="53" t="n">
        <v>0.85255</v>
      </c>
      <c r="S622" s="53" t="n">
        <v>-0.07818</v>
      </c>
    </row>
    <row r="623" customFormat="false" ht="15" hidden="false" customHeight="false" outlineLevel="0" collapsed="false">
      <c r="A623" s="43" t="n">
        <v>120</v>
      </c>
      <c r="B623" s="44" t="str">
        <f aca="false">'Model Inputs &amp; Assumptions'!$B$29</f>
        <v>Handelsblatt — Native Explainer</v>
      </c>
      <c r="C623" s="45" t="n">
        <f aca="false">ROUND(MAX(0,'Model Inputs &amp; Assumptions'!$S$29*EXP('Model Inputs &amp; Assumptions'!$T$29*P623-'Model Inputs &amp; Assumptions'!$T$29^2/2)),0)</f>
        <v>168635</v>
      </c>
      <c r="D623" s="46" t="n">
        <f aca="false">MIN(1,'Model Inputs &amp; Assumptions'!$U$29*EXP('Model Inputs &amp; Assumptions'!$V$29*Q623-'Model Inputs &amp; Assumptions'!$V$29^2/2))</f>
        <v>0</v>
      </c>
      <c r="E623" s="45" t="n">
        <f aca="false">ROUND(C623*D623,0)</f>
        <v>0</v>
      </c>
      <c r="F623" s="47" t="n">
        <f aca="false">MIN(1,'Model Inputs &amp; Assumptions'!$W$29*EXP('Model Inputs &amp; Assumptions'!$X$29*R623-'Model Inputs &amp; Assumptions'!$X$29^2/2))</f>
        <v>0.00146888307464395</v>
      </c>
      <c r="G623" s="45" t="n">
        <f aca="false">ROUND(C623*F623,0)</f>
        <v>248</v>
      </c>
      <c r="H623" s="48" t="n">
        <f aca="false">MAX(0,(C623*'Model Inputs &amp; Assumptions'!$N$29+E623*'Model Inputs &amp; Assumptions'!$O$29+G623*'Model Inputs &amp; Assumptions'!$P$29)*EXP('Model Inputs &amp; Assumptions'!$Q$29*S623-'Model Inputs &amp; Assumptions'!$Q$29^2/2))</f>
        <v>15.7934148673925</v>
      </c>
      <c r="I623" s="49" t="n">
        <f aca="false">IF('Model Inputs &amp; Assumptions'!$H$29="Fixed",'Model Inputs &amp; Assumptions'!$I$29*'Model Inputs &amp; Assumptions'!$K$29,IF('Model Inputs &amp; Assumptions'!$H$29="CPM",'Model Inputs &amp; Assumptions'!$I$29*'Model Inputs &amp; Assumptions'!$K$29*C623/1000,IF('Model Inputs &amp; Assumptions'!$H$29="CPC",'Model Inputs &amp; Assumptions'!$I$29*'Model Inputs &amp; Assumptions'!$K$29*G623,0)))</f>
        <v>6500</v>
      </c>
      <c r="J623" s="50" t="n">
        <f aca="false">H623*INDEX('Model Inputs &amp; Assumptions'!$D$40:$D$42,MATCH('Model Inputs &amp; Assumptions'!$L$29,'Model Inputs &amp; Assumptions'!$A$40:$A$42,0))*INDEX('Model Inputs &amp; Assumptions'!$H$40:$H$42,MATCH('Model Inputs &amp; Assumptions'!$L$29,'Model Inputs &amp; Assumptions'!$A$40:$A$42,0))</f>
        <v>134244.026372836</v>
      </c>
      <c r="K623" s="49" t="n">
        <f aca="false">H623*INDEX('Model Inputs &amp; Assumptions'!$G$40:$G$42,MATCH('Model Inputs &amp; Assumptions'!$L$29,'Model Inputs &amp; Assumptions'!$A$40:$A$42,0))*INDEX('Model Inputs &amp; Assumptions'!$H$40:$H$42,MATCH('Model Inputs &amp; Assumptions'!$L$29,'Model Inputs &amp; Assumptions'!$A$40:$A$42,0))</f>
        <v>3020.49059338882</v>
      </c>
      <c r="L623" s="51" t="n">
        <f aca="false">IFERROR(K623/I623,0)</f>
        <v>0.464690860521356</v>
      </c>
      <c r="M623" s="49" t="n">
        <f aca="false">IFERROR(I623/H623,0)</f>
        <v>411.563936905126</v>
      </c>
      <c r="N623" s="52" t="str">
        <f aca="false">'Model Inputs &amp; Assumptions'!$L$29</f>
        <v>PRD-EUAI</v>
      </c>
      <c r="P623" s="53" t="n">
        <v>-0.61969</v>
      </c>
      <c r="Q623" s="53" t="n">
        <v>1.351474</v>
      </c>
      <c r="R623" s="53" t="n">
        <v>-2.586007</v>
      </c>
      <c r="S623" s="53" t="n">
        <v>0.956322</v>
      </c>
    </row>
    <row r="624" customFormat="false" ht="15" hidden="false" customHeight="false" outlineLevel="0" collapsed="false">
      <c r="A624" s="43" t="n">
        <v>121</v>
      </c>
      <c r="B624" s="44" t="str">
        <f aca="false">'Model Inputs &amp; Assumptions'!$B$29</f>
        <v>Handelsblatt — Native Explainer</v>
      </c>
      <c r="C624" s="45" t="n">
        <f aca="false">ROUND(MAX(0,'Model Inputs &amp; Assumptions'!$S$29*EXP('Model Inputs &amp; Assumptions'!$T$29*P624-'Model Inputs &amp; Assumptions'!$T$29^2/2)),0)</f>
        <v>164708</v>
      </c>
      <c r="D624" s="46" t="n">
        <f aca="false">MIN(1,'Model Inputs &amp; Assumptions'!$U$29*EXP('Model Inputs &amp; Assumptions'!$V$29*Q624-'Model Inputs &amp; Assumptions'!$V$29^2/2))</f>
        <v>0</v>
      </c>
      <c r="E624" s="45" t="n">
        <f aca="false">ROUND(C624*D624,0)</f>
        <v>0</v>
      </c>
      <c r="F624" s="47" t="n">
        <f aca="false">MIN(1,'Model Inputs &amp; Assumptions'!$W$29*EXP('Model Inputs &amp; Assumptions'!$X$29*R624-'Model Inputs &amp; Assumptions'!$X$29^2/2))</f>
        <v>0.00309067445963671</v>
      </c>
      <c r="G624" s="45" t="n">
        <f aca="false">ROUND(C624*F624,0)</f>
        <v>509</v>
      </c>
      <c r="H624" s="48" t="n">
        <f aca="false">MAX(0,(C624*'Model Inputs &amp; Assumptions'!$N$29+E624*'Model Inputs &amp; Assumptions'!$O$29+G624*'Model Inputs &amp; Assumptions'!$P$29)*EXP('Model Inputs &amp; Assumptions'!$Q$29*S624-'Model Inputs &amp; Assumptions'!$Q$29^2/2))</f>
        <v>18.0378178036461</v>
      </c>
      <c r="I624" s="49" t="n">
        <f aca="false">IF('Model Inputs &amp; Assumptions'!$H$29="Fixed",'Model Inputs &amp; Assumptions'!$I$29*'Model Inputs &amp; Assumptions'!$K$29,IF('Model Inputs &amp; Assumptions'!$H$29="CPM",'Model Inputs &amp; Assumptions'!$I$29*'Model Inputs &amp; Assumptions'!$K$29*C624/1000,IF('Model Inputs &amp; Assumptions'!$H$29="CPC",'Model Inputs &amp; Assumptions'!$I$29*'Model Inputs &amp; Assumptions'!$K$29*G624,0)))</f>
        <v>6500</v>
      </c>
      <c r="J624" s="50" t="n">
        <f aca="false">H624*INDEX('Model Inputs &amp; Assumptions'!$D$40:$D$42,MATCH('Model Inputs &amp; Assumptions'!$L$29,'Model Inputs &amp; Assumptions'!$A$40:$A$42,0))*INDEX('Model Inputs &amp; Assumptions'!$H$40:$H$42,MATCH('Model Inputs &amp; Assumptions'!$L$29,'Model Inputs &amp; Assumptions'!$A$40:$A$42,0))</f>
        <v>153321.451330991</v>
      </c>
      <c r="K624" s="49" t="n">
        <f aca="false">H624*INDEX('Model Inputs &amp; Assumptions'!$G$40:$G$42,MATCH('Model Inputs &amp; Assumptions'!$L$29,'Model Inputs &amp; Assumptions'!$A$40:$A$42,0))*INDEX('Model Inputs &amp; Assumptions'!$H$40:$H$42,MATCH('Model Inputs &amp; Assumptions'!$L$29,'Model Inputs &amp; Assumptions'!$A$40:$A$42,0))</f>
        <v>3449.73265494731</v>
      </c>
      <c r="L624" s="51" t="n">
        <f aca="false">IFERROR(K624/I624,0)</f>
        <v>0.530728100761124</v>
      </c>
      <c r="M624" s="49" t="n">
        <f aca="false">IFERROR(I624/H624,0)</f>
        <v>360.354011264385</v>
      </c>
      <c r="N624" s="52" t="str">
        <f aca="false">'Model Inputs &amp; Assumptions'!$L$29</f>
        <v>PRD-EUAI</v>
      </c>
      <c r="P624" s="53" t="n">
        <v>-0.726793</v>
      </c>
      <c r="Q624" s="53" t="n">
        <v>-0.937519</v>
      </c>
      <c r="R624" s="53" t="n">
        <v>0.275097</v>
      </c>
      <c r="S624" s="53" t="n">
        <v>-0.997484</v>
      </c>
    </row>
    <row r="625" customFormat="false" ht="15" hidden="false" customHeight="false" outlineLevel="0" collapsed="false">
      <c r="A625" s="43" t="n">
        <v>122</v>
      </c>
      <c r="B625" s="44" t="str">
        <f aca="false">'Model Inputs &amp; Assumptions'!$B$29</f>
        <v>Handelsblatt — Native Explainer</v>
      </c>
      <c r="C625" s="45" t="n">
        <f aca="false">ROUND(MAX(0,'Model Inputs &amp; Assumptions'!$S$29*EXP('Model Inputs &amp; Assumptions'!$T$29*P625-'Model Inputs &amp; Assumptions'!$T$29^2/2)),0)</f>
        <v>146309</v>
      </c>
      <c r="D625" s="46" t="n">
        <f aca="false">MIN(1,'Model Inputs &amp; Assumptions'!$U$29*EXP('Model Inputs &amp; Assumptions'!$V$29*Q625-'Model Inputs &amp; Assumptions'!$V$29^2/2))</f>
        <v>0</v>
      </c>
      <c r="E625" s="45" t="n">
        <f aca="false">ROUND(C625*D625,0)</f>
        <v>0</v>
      </c>
      <c r="F625" s="47" t="n">
        <f aca="false">MIN(1,'Model Inputs &amp; Assumptions'!$W$29*EXP('Model Inputs &amp; Assumptions'!$X$29*R625-'Model Inputs &amp; Assumptions'!$X$29^2/2))</f>
        <v>0.00349948123458165</v>
      </c>
      <c r="G625" s="45" t="n">
        <f aca="false">ROUND(C625*F625,0)</f>
        <v>512</v>
      </c>
      <c r="H625" s="48" t="n">
        <f aca="false">MAX(0,(C625*'Model Inputs &amp; Assumptions'!$N$29+E625*'Model Inputs &amp; Assumptions'!$O$29+G625*'Model Inputs &amp; Assumptions'!$P$29)*EXP('Model Inputs &amp; Assumptions'!$Q$29*S625-'Model Inputs &amp; Assumptions'!$Q$29^2/2))</f>
        <v>25.9385492837396</v>
      </c>
      <c r="I625" s="49" t="n">
        <f aca="false">IF('Model Inputs &amp; Assumptions'!$H$29="Fixed",'Model Inputs &amp; Assumptions'!$I$29*'Model Inputs &amp; Assumptions'!$K$29,IF('Model Inputs &amp; Assumptions'!$H$29="CPM",'Model Inputs &amp; Assumptions'!$I$29*'Model Inputs &amp; Assumptions'!$K$29*C625/1000,IF('Model Inputs &amp; Assumptions'!$H$29="CPC",'Model Inputs &amp; Assumptions'!$I$29*'Model Inputs &amp; Assumptions'!$K$29*G625,0)))</f>
        <v>6500</v>
      </c>
      <c r="J625" s="50" t="n">
        <f aca="false">H625*INDEX('Model Inputs &amp; Assumptions'!$D$40:$D$42,MATCH('Model Inputs &amp; Assumptions'!$L$29,'Model Inputs &amp; Assumptions'!$A$40:$A$42,0))*INDEX('Model Inputs &amp; Assumptions'!$H$40:$H$42,MATCH('Model Inputs &amp; Assumptions'!$L$29,'Model Inputs &amp; Assumptions'!$A$40:$A$42,0))</f>
        <v>220477.668911787</v>
      </c>
      <c r="K625" s="49" t="n">
        <f aca="false">H625*INDEX('Model Inputs &amp; Assumptions'!$G$40:$G$42,MATCH('Model Inputs &amp; Assumptions'!$L$29,'Model Inputs &amp; Assumptions'!$A$40:$A$42,0))*INDEX('Model Inputs &amp; Assumptions'!$H$40:$H$42,MATCH('Model Inputs &amp; Assumptions'!$L$29,'Model Inputs &amp; Assumptions'!$A$40:$A$42,0))</f>
        <v>4960.74755051521</v>
      </c>
      <c r="L625" s="51" t="n">
        <f aca="false">IFERROR(K625/I625,0)</f>
        <v>0.763191930848493</v>
      </c>
      <c r="M625" s="49" t="n">
        <f aca="false">IFERROR(I625/H625,0)</f>
        <v>250.59227210038</v>
      </c>
      <c r="N625" s="52" t="str">
        <f aca="false">'Model Inputs &amp; Assumptions'!$L$29</f>
        <v>PRD-EUAI</v>
      </c>
      <c r="P625" s="53" t="n">
        <v>-1.265208</v>
      </c>
      <c r="Q625" s="53" t="n">
        <v>1.046772</v>
      </c>
      <c r="R625" s="53" t="n">
        <v>0.752887</v>
      </c>
      <c r="S625" s="53" t="n">
        <v>0.193793</v>
      </c>
    </row>
    <row r="626" customFormat="false" ht="15" hidden="false" customHeight="false" outlineLevel="0" collapsed="false">
      <c r="A626" s="43" t="n">
        <v>123</v>
      </c>
      <c r="B626" s="44" t="str">
        <f aca="false">'Model Inputs &amp; Assumptions'!$B$29</f>
        <v>Handelsblatt — Native Explainer</v>
      </c>
      <c r="C626" s="45" t="n">
        <f aca="false">ROUND(MAX(0,'Model Inputs &amp; Assumptions'!$S$29*EXP('Model Inputs &amp; Assumptions'!$T$29*P626-'Model Inputs &amp; Assumptions'!$T$29^2/2)),0)</f>
        <v>193803</v>
      </c>
      <c r="D626" s="46" t="n">
        <f aca="false">MIN(1,'Model Inputs &amp; Assumptions'!$U$29*EXP('Model Inputs &amp; Assumptions'!$V$29*Q626-'Model Inputs &amp; Assumptions'!$V$29^2/2))</f>
        <v>0</v>
      </c>
      <c r="E626" s="45" t="n">
        <f aca="false">ROUND(C626*D626,0)</f>
        <v>0</v>
      </c>
      <c r="F626" s="47" t="n">
        <f aca="false">MIN(1,'Model Inputs &amp; Assumptions'!$W$29*EXP('Model Inputs &amp; Assumptions'!$X$29*R626-'Model Inputs &amp; Assumptions'!$X$29^2/2))</f>
        <v>0.00370527136439988</v>
      </c>
      <c r="G626" s="45" t="n">
        <f aca="false">ROUND(C626*F626,0)</f>
        <v>718</v>
      </c>
      <c r="H626" s="48" t="n">
        <f aca="false">MAX(0,(C626*'Model Inputs &amp; Assumptions'!$N$29+E626*'Model Inputs &amp; Assumptions'!$O$29+G626*'Model Inputs &amp; Assumptions'!$P$29)*EXP('Model Inputs &amp; Assumptions'!$Q$29*S626-'Model Inputs &amp; Assumptions'!$Q$29^2/2))</f>
        <v>22.1894465561204</v>
      </c>
      <c r="I626" s="49" t="n">
        <f aca="false">IF('Model Inputs &amp; Assumptions'!$H$29="Fixed",'Model Inputs &amp; Assumptions'!$I$29*'Model Inputs &amp; Assumptions'!$K$29,IF('Model Inputs &amp; Assumptions'!$H$29="CPM",'Model Inputs &amp; Assumptions'!$I$29*'Model Inputs &amp; Assumptions'!$K$29*C626/1000,IF('Model Inputs &amp; Assumptions'!$H$29="CPC",'Model Inputs &amp; Assumptions'!$I$29*'Model Inputs &amp; Assumptions'!$K$29*G626,0)))</f>
        <v>6500</v>
      </c>
      <c r="J626" s="50" t="n">
        <f aca="false">H626*INDEX('Model Inputs &amp; Assumptions'!$D$40:$D$42,MATCH('Model Inputs &amp; Assumptions'!$L$29,'Model Inputs &amp; Assumptions'!$A$40:$A$42,0))*INDEX('Model Inputs &amp; Assumptions'!$H$40:$H$42,MATCH('Model Inputs &amp; Assumptions'!$L$29,'Model Inputs &amp; Assumptions'!$A$40:$A$42,0))</f>
        <v>188610.295727023</v>
      </c>
      <c r="K626" s="49" t="n">
        <f aca="false">H626*INDEX('Model Inputs &amp; Assumptions'!$G$40:$G$42,MATCH('Model Inputs &amp; Assumptions'!$L$29,'Model Inputs &amp; Assumptions'!$A$40:$A$42,0))*INDEX('Model Inputs &amp; Assumptions'!$H$40:$H$42,MATCH('Model Inputs &amp; Assumptions'!$L$29,'Model Inputs &amp; Assumptions'!$A$40:$A$42,0))</f>
        <v>4243.73165385803</v>
      </c>
      <c r="L626" s="51" t="n">
        <f aca="false">IFERROR(K626/I626,0)</f>
        <v>0.652881792901235</v>
      </c>
      <c r="M626" s="49" t="n">
        <f aca="false">IFERROR(I626/H626,0)</f>
        <v>292.932046933236</v>
      </c>
      <c r="N626" s="52" t="str">
        <f aca="false">'Model Inputs &amp; Assumptions'!$L$29</f>
        <v>PRD-EUAI</v>
      </c>
      <c r="P626" s="53" t="n">
        <v>0.012625</v>
      </c>
      <c r="Q626" s="53" t="n">
        <v>0.450261</v>
      </c>
      <c r="R626" s="53" t="n">
        <v>0.972663</v>
      </c>
      <c r="S626" s="53" t="n">
        <v>-1.453735</v>
      </c>
    </row>
    <row r="627" customFormat="false" ht="15" hidden="false" customHeight="false" outlineLevel="0" collapsed="false">
      <c r="A627" s="43" t="n">
        <v>124</v>
      </c>
      <c r="B627" s="44" t="str">
        <f aca="false">'Model Inputs &amp; Assumptions'!$B$29</f>
        <v>Handelsblatt — Native Explainer</v>
      </c>
      <c r="C627" s="45" t="n">
        <f aca="false">ROUND(MAX(0,'Model Inputs &amp; Assumptions'!$S$29*EXP('Model Inputs &amp; Assumptions'!$T$29*P627-'Model Inputs &amp; Assumptions'!$T$29^2/2)),0)</f>
        <v>104116</v>
      </c>
      <c r="D627" s="46" t="n">
        <f aca="false">MIN(1,'Model Inputs &amp; Assumptions'!$U$29*EXP('Model Inputs &amp; Assumptions'!$V$29*Q627-'Model Inputs &amp; Assumptions'!$V$29^2/2))</f>
        <v>0</v>
      </c>
      <c r="E627" s="45" t="n">
        <f aca="false">ROUND(C627*D627,0)</f>
        <v>0</v>
      </c>
      <c r="F627" s="47" t="n">
        <f aca="false">MIN(1,'Model Inputs &amp; Assumptions'!$W$29*EXP('Model Inputs &amp; Assumptions'!$X$29*R627-'Model Inputs &amp; Assumptions'!$X$29^2/2))</f>
        <v>0.00198475392424334</v>
      </c>
      <c r="G627" s="45" t="n">
        <f aca="false">ROUND(C627*F627,0)</f>
        <v>207</v>
      </c>
      <c r="H627" s="48" t="n">
        <f aca="false">MAX(0,(C627*'Model Inputs &amp; Assumptions'!$N$29+E627*'Model Inputs &amp; Assumptions'!$O$29+G627*'Model Inputs &amp; Assumptions'!$P$29)*EXP('Model Inputs &amp; Assumptions'!$Q$29*S627-'Model Inputs &amp; Assumptions'!$Q$29^2/2))</f>
        <v>7.60937408678725</v>
      </c>
      <c r="I627" s="49" t="n">
        <f aca="false">IF('Model Inputs &amp; Assumptions'!$H$29="Fixed",'Model Inputs &amp; Assumptions'!$I$29*'Model Inputs &amp; Assumptions'!$K$29,IF('Model Inputs &amp; Assumptions'!$H$29="CPM",'Model Inputs &amp; Assumptions'!$I$29*'Model Inputs &amp; Assumptions'!$K$29*C627/1000,IF('Model Inputs &amp; Assumptions'!$H$29="CPC",'Model Inputs &amp; Assumptions'!$I$29*'Model Inputs &amp; Assumptions'!$K$29*G627,0)))</f>
        <v>6500</v>
      </c>
      <c r="J627" s="50" t="n">
        <f aca="false">H627*INDEX('Model Inputs &amp; Assumptions'!$D$40:$D$42,MATCH('Model Inputs &amp; Assumptions'!$L$29,'Model Inputs &amp; Assumptions'!$A$40:$A$42,0))*INDEX('Model Inputs &amp; Assumptions'!$H$40:$H$42,MATCH('Model Inputs &amp; Assumptions'!$L$29,'Model Inputs &amp; Assumptions'!$A$40:$A$42,0))</f>
        <v>64679.6797376916</v>
      </c>
      <c r="K627" s="49" t="n">
        <f aca="false">H627*INDEX('Model Inputs &amp; Assumptions'!$G$40:$G$42,MATCH('Model Inputs &amp; Assumptions'!$L$29,'Model Inputs &amp; Assumptions'!$A$40:$A$42,0))*INDEX('Model Inputs &amp; Assumptions'!$H$40:$H$42,MATCH('Model Inputs &amp; Assumptions'!$L$29,'Model Inputs &amp; Assumptions'!$A$40:$A$42,0))</f>
        <v>1455.29279409806</v>
      </c>
      <c r="L627" s="51" t="n">
        <f aca="false">IFERROR(K627/I627,0)</f>
        <v>0.223891199092009</v>
      </c>
      <c r="M627" s="49" t="n">
        <f aca="false">IFERROR(I627/H627,0)</f>
        <v>854.209548100213</v>
      </c>
      <c r="N627" s="52" t="str">
        <f aca="false">'Model Inputs &amp; Assumptions'!$L$29</f>
        <v>PRD-EUAI</v>
      </c>
      <c r="P627" s="53" t="n">
        <v>-2.811662</v>
      </c>
      <c r="Q627" s="53" t="n">
        <v>-0.689786</v>
      </c>
      <c r="R627" s="53" t="n">
        <v>-1.428343</v>
      </c>
      <c r="S627" s="53" t="n">
        <v>-0.875352</v>
      </c>
    </row>
    <row r="628" customFormat="false" ht="15" hidden="false" customHeight="false" outlineLevel="0" collapsed="false">
      <c r="A628" s="43" t="n">
        <v>125</v>
      </c>
      <c r="B628" s="44" t="str">
        <f aca="false">'Model Inputs &amp; Assumptions'!$B$29</f>
        <v>Handelsblatt — Native Explainer</v>
      </c>
      <c r="C628" s="45" t="n">
        <f aca="false">ROUND(MAX(0,'Model Inputs &amp; Assumptions'!$S$29*EXP('Model Inputs &amp; Assumptions'!$T$29*P628-'Model Inputs &amp; Assumptions'!$T$29^2/2)),0)</f>
        <v>148292</v>
      </c>
      <c r="D628" s="46" t="n">
        <f aca="false">MIN(1,'Model Inputs &amp; Assumptions'!$U$29*EXP('Model Inputs &amp; Assumptions'!$V$29*Q628-'Model Inputs &amp; Assumptions'!$V$29^2/2))</f>
        <v>0</v>
      </c>
      <c r="E628" s="45" t="n">
        <f aca="false">ROUND(C628*D628,0)</f>
        <v>0</v>
      </c>
      <c r="F628" s="47" t="n">
        <f aca="false">MIN(1,'Model Inputs &amp; Assumptions'!$W$29*EXP('Model Inputs &amp; Assumptions'!$X$29*R628-'Model Inputs &amp; Assumptions'!$X$29^2/2))</f>
        <v>0.00286433055251374</v>
      </c>
      <c r="G628" s="45" t="n">
        <f aca="false">ROUND(C628*F628,0)</f>
        <v>425</v>
      </c>
      <c r="H628" s="48" t="n">
        <f aca="false">MAX(0,(C628*'Model Inputs &amp; Assumptions'!$N$29+E628*'Model Inputs &amp; Assumptions'!$O$29+G628*'Model Inputs &amp; Assumptions'!$P$29)*EXP('Model Inputs &amp; Assumptions'!$Q$29*S628-'Model Inputs &amp; Assumptions'!$Q$29^2/2))</f>
        <v>18.1486339854785</v>
      </c>
      <c r="I628" s="49" t="n">
        <f aca="false">IF('Model Inputs &amp; Assumptions'!$H$29="Fixed",'Model Inputs &amp; Assumptions'!$I$29*'Model Inputs &amp; Assumptions'!$K$29,IF('Model Inputs &amp; Assumptions'!$H$29="CPM",'Model Inputs &amp; Assumptions'!$I$29*'Model Inputs &amp; Assumptions'!$K$29*C628/1000,IF('Model Inputs &amp; Assumptions'!$H$29="CPC",'Model Inputs &amp; Assumptions'!$I$29*'Model Inputs &amp; Assumptions'!$K$29*G628,0)))</f>
        <v>6500</v>
      </c>
      <c r="J628" s="50" t="n">
        <f aca="false">H628*INDEX('Model Inputs &amp; Assumptions'!$D$40:$D$42,MATCH('Model Inputs &amp; Assumptions'!$L$29,'Model Inputs &amp; Assumptions'!$A$40:$A$42,0))*INDEX('Model Inputs &amp; Assumptions'!$H$40:$H$42,MATCH('Model Inputs &amp; Assumptions'!$L$29,'Model Inputs &amp; Assumptions'!$A$40:$A$42,0))</f>
        <v>154263.388876568</v>
      </c>
      <c r="K628" s="49" t="n">
        <f aca="false">H628*INDEX('Model Inputs &amp; Assumptions'!$G$40:$G$42,MATCH('Model Inputs &amp; Assumptions'!$L$29,'Model Inputs &amp; Assumptions'!$A$40:$A$42,0))*INDEX('Model Inputs &amp; Assumptions'!$H$40:$H$42,MATCH('Model Inputs &amp; Assumptions'!$L$29,'Model Inputs &amp; Assumptions'!$A$40:$A$42,0))</f>
        <v>3470.92624972277</v>
      </c>
      <c r="L628" s="51" t="n">
        <f aca="false">IFERROR(K628/I628,0)</f>
        <v>0.533988653803503</v>
      </c>
      <c r="M628" s="49" t="n">
        <f aca="false">IFERROR(I628/H628,0)</f>
        <v>358.153677307114</v>
      </c>
      <c r="N628" s="52" t="str">
        <f aca="false">'Model Inputs &amp; Assumptions'!$L$29</f>
        <v>PRD-EUAI</v>
      </c>
      <c r="P628" s="53" t="n">
        <v>-1.204022</v>
      </c>
      <c r="Q628" s="53" t="n">
        <v>1.691295</v>
      </c>
      <c r="R628" s="53" t="n">
        <v>-0.017421</v>
      </c>
      <c r="S628" s="53" t="n">
        <v>-0.375872</v>
      </c>
    </row>
    <row r="629" customFormat="false" ht="15" hidden="false" customHeight="false" outlineLevel="0" collapsed="false">
      <c r="A629" s="43" t="n">
        <v>126</v>
      </c>
      <c r="B629" s="44" t="str">
        <f aca="false">'Model Inputs &amp; Assumptions'!$B$29</f>
        <v>Handelsblatt — Native Explainer</v>
      </c>
      <c r="C629" s="45" t="n">
        <f aca="false">ROUND(MAX(0,'Model Inputs &amp; Assumptions'!$S$29*EXP('Model Inputs &amp; Assumptions'!$T$29*P629-'Model Inputs &amp; Assumptions'!$T$29^2/2)),0)</f>
        <v>201614</v>
      </c>
      <c r="D629" s="46" t="n">
        <f aca="false">MIN(1,'Model Inputs &amp; Assumptions'!$U$29*EXP('Model Inputs &amp; Assumptions'!$V$29*Q629-'Model Inputs &amp; Assumptions'!$V$29^2/2))</f>
        <v>0</v>
      </c>
      <c r="E629" s="45" t="n">
        <f aca="false">ROUND(C629*D629,0)</f>
        <v>0</v>
      </c>
      <c r="F629" s="47" t="n">
        <f aca="false">MIN(1,'Model Inputs &amp; Assumptions'!$W$29*EXP('Model Inputs &amp; Assumptions'!$X$29*R629-'Model Inputs &amp; Assumptions'!$X$29^2/2))</f>
        <v>0.00312741929734242</v>
      </c>
      <c r="G629" s="45" t="n">
        <f aca="false">ROUND(C629*F629,0)</f>
        <v>631</v>
      </c>
      <c r="H629" s="48" t="n">
        <f aca="false">MAX(0,(C629*'Model Inputs &amp; Assumptions'!$N$29+E629*'Model Inputs &amp; Assumptions'!$O$29+G629*'Model Inputs &amp; Assumptions'!$P$29)*EXP('Model Inputs &amp; Assumptions'!$Q$29*S629-'Model Inputs &amp; Assumptions'!$Q$29^2/2))</f>
        <v>18.4890800268331</v>
      </c>
      <c r="I629" s="49" t="n">
        <f aca="false">IF('Model Inputs &amp; Assumptions'!$H$29="Fixed",'Model Inputs &amp; Assumptions'!$I$29*'Model Inputs &amp; Assumptions'!$K$29,IF('Model Inputs &amp; Assumptions'!$H$29="CPM",'Model Inputs &amp; Assumptions'!$I$29*'Model Inputs &amp; Assumptions'!$K$29*C629/1000,IF('Model Inputs &amp; Assumptions'!$H$29="CPC",'Model Inputs &amp; Assumptions'!$I$29*'Model Inputs &amp; Assumptions'!$K$29*G629,0)))</f>
        <v>6500</v>
      </c>
      <c r="J629" s="50" t="n">
        <f aca="false">H629*INDEX('Model Inputs &amp; Assumptions'!$D$40:$D$42,MATCH('Model Inputs &amp; Assumptions'!$L$29,'Model Inputs &amp; Assumptions'!$A$40:$A$42,0))*INDEX('Model Inputs &amp; Assumptions'!$H$40:$H$42,MATCH('Model Inputs &amp; Assumptions'!$L$29,'Model Inputs &amp; Assumptions'!$A$40:$A$42,0))</f>
        <v>157157.180228081</v>
      </c>
      <c r="K629" s="49" t="n">
        <f aca="false">H629*INDEX('Model Inputs &amp; Assumptions'!$G$40:$G$42,MATCH('Model Inputs &amp; Assumptions'!$L$29,'Model Inputs &amp; Assumptions'!$A$40:$A$42,0))*INDEX('Model Inputs &amp; Assumptions'!$H$40:$H$42,MATCH('Model Inputs &amp; Assumptions'!$L$29,'Model Inputs &amp; Assumptions'!$A$40:$A$42,0))</f>
        <v>3536.03655513183</v>
      </c>
      <c r="L629" s="51" t="n">
        <f aca="false">IFERROR(K629/I629,0)</f>
        <v>0.544005623866435</v>
      </c>
      <c r="M629" s="49" t="n">
        <f aca="false">IFERROR(I629/H629,0)</f>
        <v>351.558865588044</v>
      </c>
      <c r="N629" s="52" t="str">
        <f aca="false">'Model Inputs &amp; Assumptions'!$L$29</f>
        <v>PRD-EUAI</v>
      </c>
      <c r="P629" s="53" t="n">
        <v>0.192222</v>
      </c>
      <c r="Q629" s="53" t="n">
        <v>0.153871</v>
      </c>
      <c r="R629" s="53" t="n">
        <v>0.320554</v>
      </c>
      <c r="S629" s="53" t="n">
        <v>-1.631311</v>
      </c>
    </row>
    <row r="630" customFormat="false" ht="15" hidden="false" customHeight="false" outlineLevel="0" collapsed="false">
      <c r="A630" s="43" t="n">
        <v>127</v>
      </c>
      <c r="B630" s="44" t="str">
        <f aca="false">'Model Inputs &amp; Assumptions'!$B$29</f>
        <v>Handelsblatt — Native Explainer</v>
      </c>
      <c r="C630" s="45" t="n">
        <f aca="false">ROUND(MAX(0,'Model Inputs &amp; Assumptions'!$S$29*EXP('Model Inputs &amp; Assumptions'!$T$29*P630-'Model Inputs &amp; Assumptions'!$T$29^2/2)),0)</f>
        <v>224425</v>
      </c>
      <c r="D630" s="46" t="n">
        <f aca="false">MIN(1,'Model Inputs &amp; Assumptions'!$U$29*EXP('Model Inputs &amp; Assumptions'!$V$29*Q630-'Model Inputs &amp; Assumptions'!$V$29^2/2))</f>
        <v>0</v>
      </c>
      <c r="E630" s="45" t="n">
        <f aca="false">ROUND(C630*D630,0)</f>
        <v>0</v>
      </c>
      <c r="F630" s="47" t="n">
        <f aca="false">MIN(1,'Model Inputs &amp; Assumptions'!$W$29*EXP('Model Inputs &amp; Assumptions'!$X$29*R630-'Model Inputs &amp; Assumptions'!$X$29^2/2))</f>
        <v>0.00241531390208903</v>
      </c>
      <c r="G630" s="45" t="n">
        <f aca="false">ROUND(C630*F630,0)</f>
        <v>542</v>
      </c>
      <c r="H630" s="48" t="n">
        <f aca="false">MAX(0,(C630*'Model Inputs &amp; Assumptions'!$N$29+E630*'Model Inputs &amp; Assumptions'!$O$29+G630*'Model Inputs &amp; Assumptions'!$P$29)*EXP('Model Inputs &amp; Assumptions'!$Q$29*S630-'Model Inputs &amp; Assumptions'!$Q$29^2/2))</f>
        <v>26.5607676821425</v>
      </c>
      <c r="I630" s="49" t="n">
        <f aca="false">IF('Model Inputs &amp; Assumptions'!$H$29="Fixed",'Model Inputs &amp; Assumptions'!$I$29*'Model Inputs &amp; Assumptions'!$K$29,IF('Model Inputs &amp; Assumptions'!$H$29="CPM",'Model Inputs &amp; Assumptions'!$I$29*'Model Inputs &amp; Assumptions'!$K$29*C630/1000,IF('Model Inputs &amp; Assumptions'!$H$29="CPC",'Model Inputs &amp; Assumptions'!$I$29*'Model Inputs &amp; Assumptions'!$K$29*G630,0)))</f>
        <v>6500</v>
      </c>
      <c r="J630" s="50" t="n">
        <f aca="false">H630*INDEX('Model Inputs &amp; Assumptions'!$D$40:$D$42,MATCH('Model Inputs &amp; Assumptions'!$L$29,'Model Inputs &amp; Assumptions'!$A$40:$A$42,0))*INDEX('Model Inputs &amp; Assumptions'!$H$40:$H$42,MATCH('Model Inputs &amp; Assumptions'!$L$29,'Model Inputs &amp; Assumptions'!$A$40:$A$42,0))</f>
        <v>225766.525298212</v>
      </c>
      <c r="K630" s="49" t="n">
        <f aca="false">H630*INDEX('Model Inputs &amp; Assumptions'!$G$40:$G$42,MATCH('Model Inputs &amp; Assumptions'!$L$29,'Model Inputs &amp; Assumptions'!$A$40:$A$42,0))*INDEX('Model Inputs &amp; Assumptions'!$H$40:$H$42,MATCH('Model Inputs &amp; Assumptions'!$L$29,'Model Inputs &amp; Assumptions'!$A$40:$A$42,0))</f>
        <v>5079.74681920976</v>
      </c>
      <c r="L630" s="51" t="n">
        <f aca="false">IFERROR(K630/I630,0)</f>
        <v>0.781499510647656</v>
      </c>
      <c r="M630" s="49" t="n">
        <f aca="false">IFERROR(I630/H630,0)</f>
        <v>244.72184229713</v>
      </c>
      <c r="N630" s="52" t="str">
        <f aca="false">'Model Inputs &amp; Assumptions'!$L$29</f>
        <v>PRD-EUAI</v>
      </c>
      <c r="P630" s="53" t="n">
        <v>0.679433</v>
      </c>
      <c r="Q630" s="53" t="n">
        <v>-1.280741</v>
      </c>
      <c r="R630" s="53" t="n">
        <v>-0.673211</v>
      </c>
      <c r="S630" s="53" t="n">
        <v>0.083005</v>
      </c>
    </row>
    <row r="631" customFormat="false" ht="15" hidden="false" customHeight="false" outlineLevel="0" collapsed="false">
      <c r="A631" s="43" t="n">
        <v>128</v>
      </c>
      <c r="B631" s="44" t="str">
        <f aca="false">'Model Inputs &amp; Assumptions'!$B$29</f>
        <v>Handelsblatt — Native Explainer</v>
      </c>
      <c r="C631" s="45" t="n">
        <f aca="false">ROUND(MAX(0,'Model Inputs &amp; Assumptions'!$S$29*EXP('Model Inputs &amp; Assumptions'!$T$29*P631-'Model Inputs &amp; Assumptions'!$T$29^2/2)),0)</f>
        <v>189570</v>
      </c>
      <c r="D631" s="46" t="n">
        <f aca="false">MIN(1,'Model Inputs &amp; Assumptions'!$U$29*EXP('Model Inputs &amp; Assumptions'!$V$29*Q631-'Model Inputs &amp; Assumptions'!$V$29^2/2))</f>
        <v>0</v>
      </c>
      <c r="E631" s="45" t="n">
        <f aca="false">ROUND(C631*D631,0)</f>
        <v>0</v>
      </c>
      <c r="F631" s="47" t="n">
        <f aca="false">MIN(1,'Model Inputs &amp; Assumptions'!$W$29*EXP('Model Inputs &amp; Assumptions'!$X$29*R631-'Model Inputs &amp; Assumptions'!$X$29^2/2))</f>
        <v>0.00260927362712903</v>
      </c>
      <c r="G631" s="45" t="n">
        <f aca="false">ROUND(C631*F631,0)</f>
        <v>495</v>
      </c>
      <c r="H631" s="48" t="n">
        <f aca="false">MAX(0,(C631*'Model Inputs &amp; Assumptions'!$N$29+E631*'Model Inputs &amp; Assumptions'!$O$29+G631*'Model Inputs &amp; Assumptions'!$P$29)*EXP('Model Inputs &amp; Assumptions'!$Q$29*S631-'Model Inputs &amp; Assumptions'!$Q$29^2/2))</f>
        <v>26.4646475865926</v>
      </c>
      <c r="I631" s="49" t="n">
        <f aca="false">IF('Model Inputs &amp; Assumptions'!$H$29="Fixed",'Model Inputs &amp; Assumptions'!$I$29*'Model Inputs &amp; Assumptions'!$K$29,IF('Model Inputs &amp; Assumptions'!$H$29="CPM",'Model Inputs &amp; Assumptions'!$I$29*'Model Inputs &amp; Assumptions'!$K$29*C631/1000,IF('Model Inputs &amp; Assumptions'!$H$29="CPC",'Model Inputs &amp; Assumptions'!$I$29*'Model Inputs &amp; Assumptions'!$K$29*G631,0)))</f>
        <v>6500</v>
      </c>
      <c r="J631" s="50" t="n">
        <f aca="false">H631*INDEX('Model Inputs &amp; Assumptions'!$D$40:$D$42,MATCH('Model Inputs &amp; Assumptions'!$L$29,'Model Inputs &amp; Assumptions'!$A$40:$A$42,0))*INDEX('Model Inputs &amp; Assumptions'!$H$40:$H$42,MATCH('Model Inputs &amp; Assumptions'!$L$29,'Model Inputs &amp; Assumptions'!$A$40:$A$42,0))</f>
        <v>224949.504486037</v>
      </c>
      <c r="K631" s="49" t="n">
        <f aca="false">H631*INDEX('Model Inputs &amp; Assumptions'!$G$40:$G$42,MATCH('Model Inputs &amp; Assumptions'!$L$29,'Model Inputs &amp; Assumptions'!$A$40:$A$42,0))*INDEX('Model Inputs &amp; Assumptions'!$H$40:$H$42,MATCH('Model Inputs &amp; Assumptions'!$L$29,'Model Inputs &amp; Assumptions'!$A$40:$A$42,0))</f>
        <v>5061.36385093583</v>
      </c>
      <c r="L631" s="51" t="n">
        <f aca="false">IFERROR(K631/I631,0)</f>
        <v>0.778671361682436</v>
      </c>
      <c r="M631" s="49" t="n">
        <f aca="false">IFERROR(I631/H631,0)</f>
        <v>245.610676610446</v>
      </c>
      <c r="N631" s="52" t="str">
        <f aca="false">'Model Inputs &amp; Assumptions'!$L$29</f>
        <v>PRD-EUAI</v>
      </c>
      <c r="P631" s="53" t="n">
        <v>-0.087767</v>
      </c>
      <c r="Q631" s="53" t="n">
        <v>0.453375</v>
      </c>
      <c r="R631" s="53" t="n">
        <v>-0.376124</v>
      </c>
      <c r="S631" s="53" t="n">
        <v>0.373281</v>
      </c>
    </row>
    <row r="632" customFormat="false" ht="15" hidden="false" customHeight="false" outlineLevel="0" collapsed="false">
      <c r="A632" s="43" t="n">
        <v>129</v>
      </c>
      <c r="B632" s="44" t="str">
        <f aca="false">'Model Inputs &amp; Assumptions'!$B$29</f>
        <v>Handelsblatt — Native Explainer</v>
      </c>
      <c r="C632" s="45" t="n">
        <f aca="false">ROUND(MAX(0,'Model Inputs &amp; Assumptions'!$S$29*EXP('Model Inputs &amp; Assumptions'!$T$29*P632-'Model Inputs &amp; Assumptions'!$T$29^2/2)),0)</f>
        <v>180810</v>
      </c>
      <c r="D632" s="46" t="n">
        <f aca="false">MIN(1,'Model Inputs &amp; Assumptions'!$U$29*EXP('Model Inputs &amp; Assumptions'!$V$29*Q632-'Model Inputs &amp; Assumptions'!$V$29^2/2))</f>
        <v>0</v>
      </c>
      <c r="E632" s="45" t="n">
        <f aca="false">ROUND(C632*D632,0)</f>
        <v>0</v>
      </c>
      <c r="F632" s="47" t="n">
        <f aca="false">MIN(1,'Model Inputs &amp; Assumptions'!$W$29*EXP('Model Inputs &amp; Assumptions'!$X$29*R632-'Model Inputs &amp; Assumptions'!$X$29^2/2))</f>
        <v>0.00246501442355655</v>
      </c>
      <c r="G632" s="45" t="n">
        <f aca="false">ROUND(C632*F632,0)</f>
        <v>446</v>
      </c>
      <c r="H632" s="48" t="n">
        <f aca="false">MAX(0,(C632*'Model Inputs &amp; Assumptions'!$N$29+E632*'Model Inputs &amp; Assumptions'!$O$29+G632*'Model Inputs &amp; Assumptions'!$P$29)*EXP('Model Inputs &amp; Assumptions'!$Q$29*S632-'Model Inputs &amp; Assumptions'!$Q$29^2/2))</f>
        <v>34.3582229931392</v>
      </c>
      <c r="I632" s="49" t="n">
        <f aca="false">IF('Model Inputs &amp; Assumptions'!$H$29="Fixed",'Model Inputs &amp; Assumptions'!$I$29*'Model Inputs &amp; Assumptions'!$K$29,IF('Model Inputs &amp; Assumptions'!$H$29="CPM",'Model Inputs &amp; Assumptions'!$I$29*'Model Inputs &amp; Assumptions'!$K$29*C632/1000,IF('Model Inputs &amp; Assumptions'!$H$29="CPC",'Model Inputs &amp; Assumptions'!$I$29*'Model Inputs &amp; Assumptions'!$K$29*G632,0)))</f>
        <v>6500</v>
      </c>
      <c r="J632" s="50" t="n">
        <f aca="false">H632*INDEX('Model Inputs &amp; Assumptions'!$D$40:$D$42,MATCH('Model Inputs &amp; Assumptions'!$L$29,'Model Inputs &amp; Assumptions'!$A$40:$A$42,0))*INDEX('Model Inputs &amp; Assumptions'!$H$40:$H$42,MATCH('Model Inputs &amp; Assumptions'!$L$29,'Model Inputs &amp; Assumptions'!$A$40:$A$42,0))</f>
        <v>292044.895441684</v>
      </c>
      <c r="K632" s="49" t="n">
        <f aca="false">H632*INDEX('Model Inputs &amp; Assumptions'!$G$40:$G$42,MATCH('Model Inputs &amp; Assumptions'!$L$29,'Model Inputs &amp; Assumptions'!$A$40:$A$42,0))*INDEX('Model Inputs &amp; Assumptions'!$H$40:$H$42,MATCH('Model Inputs &amp; Assumptions'!$L$29,'Model Inputs &amp; Assumptions'!$A$40:$A$42,0))</f>
        <v>6571.01014743788</v>
      </c>
      <c r="L632" s="51" t="n">
        <f aca="false">IFERROR(K632/I632,0)</f>
        <v>1.01092463806737</v>
      </c>
      <c r="M632" s="49" t="n">
        <f aca="false">IFERROR(I632/H632,0)</f>
        <v>189.183241557573</v>
      </c>
      <c r="N632" s="52" t="str">
        <f aca="false">'Model Inputs &amp; Assumptions'!$L$29</f>
        <v>PRD-EUAI</v>
      </c>
      <c r="P632" s="53" t="n">
        <v>-0.302831</v>
      </c>
      <c r="Q632" s="53" t="n">
        <v>-0.041813</v>
      </c>
      <c r="R632" s="53" t="n">
        <v>-0.594871</v>
      </c>
      <c r="S632" s="53" t="n">
        <v>1.590849</v>
      </c>
    </row>
    <row r="633" customFormat="false" ht="15" hidden="false" customHeight="false" outlineLevel="0" collapsed="false">
      <c r="A633" s="43" t="n">
        <v>130</v>
      </c>
      <c r="B633" s="44" t="str">
        <f aca="false">'Model Inputs &amp; Assumptions'!$B$29</f>
        <v>Handelsblatt — Native Explainer</v>
      </c>
      <c r="C633" s="45" t="n">
        <f aca="false">ROUND(MAX(0,'Model Inputs &amp; Assumptions'!$S$29*EXP('Model Inputs &amp; Assumptions'!$T$29*P633-'Model Inputs &amp; Assumptions'!$T$29^2/2)),0)</f>
        <v>229108</v>
      </c>
      <c r="D633" s="46" t="n">
        <f aca="false">MIN(1,'Model Inputs &amp; Assumptions'!$U$29*EXP('Model Inputs &amp; Assumptions'!$V$29*Q633-'Model Inputs &amp; Assumptions'!$V$29^2/2))</f>
        <v>0</v>
      </c>
      <c r="E633" s="45" t="n">
        <f aca="false">ROUND(C633*D633,0)</f>
        <v>0</v>
      </c>
      <c r="F633" s="47" t="n">
        <f aca="false">MIN(1,'Model Inputs &amp; Assumptions'!$W$29*EXP('Model Inputs &amp; Assumptions'!$X$29*R633-'Model Inputs &amp; Assumptions'!$X$29^2/2))</f>
        <v>0.00245906505514375</v>
      </c>
      <c r="G633" s="45" t="n">
        <f aca="false">ROUND(C633*F633,0)</f>
        <v>563</v>
      </c>
      <c r="H633" s="48" t="n">
        <f aca="false">MAX(0,(C633*'Model Inputs &amp; Assumptions'!$N$29+E633*'Model Inputs &amp; Assumptions'!$O$29+G633*'Model Inputs &amp; Assumptions'!$P$29)*EXP('Model Inputs &amp; Assumptions'!$Q$29*S633-'Model Inputs &amp; Assumptions'!$Q$29^2/2))</f>
        <v>25.1343906706695</v>
      </c>
      <c r="I633" s="49" t="n">
        <f aca="false">IF('Model Inputs &amp; Assumptions'!$H$29="Fixed",'Model Inputs &amp; Assumptions'!$I$29*'Model Inputs &amp; Assumptions'!$K$29,IF('Model Inputs &amp; Assumptions'!$H$29="CPM",'Model Inputs &amp; Assumptions'!$I$29*'Model Inputs &amp; Assumptions'!$K$29*C633/1000,IF('Model Inputs &amp; Assumptions'!$H$29="CPC",'Model Inputs &amp; Assumptions'!$I$29*'Model Inputs &amp; Assumptions'!$K$29*G633,0)))</f>
        <v>6500</v>
      </c>
      <c r="J633" s="50" t="n">
        <f aca="false">H633*INDEX('Model Inputs &amp; Assumptions'!$D$40:$D$42,MATCH('Model Inputs &amp; Assumptions'!$L$29,'Model Inputs &amp; Assumptions'!$A$40:$A$42,0))*INDEX('Model Inputs &amp; Assumptions'!$H$40:$H$42,MATCH('Model Inputs &amp; Assumptions'!$L$29,'Model Inputs &amp; Assumptions'!$A$40:$A$42,0))</f>
        <v>213642.32070069</v>
      </c>
      <c r="K633" s="49" t="n">
        <f aca="false">H633*INDEX('Model Inputs &amp; Assumptions'!$G$40:$G$42,MATCH('Model Inputs &amp; Assumptions'!$L$29,'Model Inputs &amp; Assumptions'!$A$40:$A$42,0))*INDEX('Model Inputs &amp; Assumptions'!$H$40:$H$42,MATCH('Model Inputs &amp; Assumptions'!$L$29,'Model Inputs &amp; Assumptions'!$A$40:$A$42,0))</f>
        <v>4806.95221576554</v>
      </c>
      <c r="L633" s="51" t="n">
        <f aca="false">IFERROR(K633/I633,0)</f>
        <v>0.739531110117775</v>
      </c>
      <c r="M633" s="49" t="n">
        <f aca="false">IFERROR(I633/H633,0)</f>
        <v>258.609810166799</v>
      </c>
      <c r="N633" s="52" t="str">
        <f aca="false">'Model Inputs &amp; Assumptions'!$L$29</f>
        <v>PRD-EUAI</v>
      </c>
      <c r="P633" s="53" t="n">
        <v>0.773297</v>
      </c>
      <c r="Q633" s="53" t="n">
        <v>-0.723046</v>
      </c>
      <c r="R633" s="53" t="n">
        <v>-0.604165</v>
      </c>
      <c r="S633" s="53" t="n">
        <v>-0.227701</v>
      </c>
    </row>
    <row r="634" customFormat="false" ht="15" hidden="false" customHeight="false" outlineLevel="0" collapsed="false">
      <c r="A634" s="43" t="n">
        <v>131</v>
      </c>
      <c r="B634" s="44" t="str">
        <f aca="false">'Model Inputs &amp; Assumptions'!$B$29</f>
        <v>Handelsblatt — Native Explainer</v>
      </c>
      <c r="C634" s="45" t="n">
        <f aca="false">ROUND(MAX(0,'Model Inputs &amp; Assumptions'!$S$29*EXP('Model Inputs &amp; Assumptions'!$T$29*P634-'Model Inputs &amp; Assumptions'!$T$29^2/2)),0)</f>
        <v>105139</v>
      </c>
      <c r="D634" s="46" t="n">
        <f aca="false">MIN(1,'Model Inputs &amp; Assumptions'!$U$29*EXP('Model Inputs &amp; Assumptions'!$V$29*Q634-'Model Inputs &amp; Assumptions'!$V$29^2/2))</f>
        <v>0</v>
      </c>
      <c r="E634" s="45" t="n">
        <f aca="false">ROUND(C634*D634,0)</f>
        <v>0</v>
      </c>
      <c r="F634" s="47" t="n">
        <f aca="false">MIN(1,'Model Inputs &amp; Assumptions'!$W$29*EXP('Model Inputs &amp; Assumptions'!$X$29*R634-'Model Inputs &amp; Assumptions'!$X$29^2/2))</f>
        <v>0.00197959563443914</v>
      </c>
      <c r="G634" s="45" t="n">
        <f aca="false">ROUND(C634*F634,0)</f>
        <v>208</v>
      </c>
      <c r="H634" s="48" t="n">
        <f aca="false">MAX(0,(C634*'Model Inputs &amp; Assumptions'!$N$29+E634*'Model Inputs &amp; Assumptions'!$O$29+G634*'Model Inputs &amp; Assumptions'!$P$29)*EXP('Model Inputs &amp; Assumptions'!$Q$29*S634-'Model Inputs &amp; Assumptions'!$Q$29^2/2))</f>
        <v>8.81487562384986</v>
      </c>
      <c r="I634" s="49" t="n">
        <f aca="false">IF('Model Inputs &amp; Assumptions'!$H$29="Fixed",'Model Inputs &amp; Assumptions'!$I$29*'Model Inputs &amp; Assumptions'!$K$29,IF('Model Inputs &amp; Assumptions'!$H$29="CPM",'Model Inputs &amp; Assumptions'!$I$29*'Model Inputs &amp; Assumptions'!$K$29*C634/1000,IF('Model Inputs &amp; Assumptions'!$H$29="CPC",'Model Inputs &amp; Assumptions'!$I$29*'Model Inputs &amp; Assumptions'!$K$29*G634,0)))</f>
        <v>6500</v>
      </c>
      <c r="J634" s="50" t="n">
        <f aca="false">H634*INDEX('Model Inputs &amp; Assumptions'!$D$40:$D$42,MATCH('Model Inputs &amp; Assumptions'!$L$29,'Model Inputs &amp; Assumptions'!$A$40:$A$42,0))*INDEX('Model Inputs &amp; Assumptions'!$H$40:$H$42,MATCH('Model Inputs &amp; Assumptions'!$L$29,'Model Inputs &amp; Assumptions'!$A$40:$A$42,0))</f>
        <v>74926.4428027238</v>
      </c>
      <c r="K634" s="49" t="n">
        <f aca="false">H634*INDEX('Model Inputs &amp; Assumptions'!$G$40:$G$42,MATCH('Model Inputs &amp; Assumptions'!$L$29,'Model Inputs &amp; Assumptions'!$A$40:$A$42,0))*INDEX('Model Inputs &amp; Assumptions'!$H$40:$H$42,MATCH('Model Inputs &amp; Assumptions'!$L$29,'Model Inputs &amp; Assumptions'!$A$40:$A$42,0))</f>
        <v>1685.84496306129</v>
      </c>
      <c r="L634" s="51" t="n">
        <f aca="false">IFERROR(K634/I634,0)</f>
        <v>0.25936076354789</v>
      </c>
      <c r="M634" s="49" t="n">
        <f aca="false">IFERROR(I634/H634,0)</f>
        <v>737.389871096236</v>
      </c>
      <c r="N634" s="52" t="str">
        <f aca="false">'Model Inputs &amp; Assumptions'!$L$29</f>
        <v>PRD-EUAI</v>
      </c>
      <c r="P634" s="53" t="n">
        <v>-2.76722</v>
      </c>
      <c r="Q634" s="53" t="n">
        <v>-0.5416</v>
      </c>
      <c r="R634" s="53" t="n">
        <v>-1.438352</v>
      </c>
      <c r="S634" s="53" t="n">
        <v>-0.401217</v>
      </c>
    </row>
    <row r="635" customFormat="false" ht="15" hidden="false" customHeight="false" outlineLevel="0" collapsed="false">
      <c r="A635" s="43" t="n">
        <v>132</v>
      </c>
      <c r="B635" s="44" t="str">
        <f aca="false">'Model Inputs &amp; Assumptions'!$B$29</f>
        <v>Handelsblatt — Native Explainer</v>
      </c>
      <c r="C635" s="45" t="n">
        <f aca="false">ROUND(MAX(0,'Model Inputs &amp; Assumptions'!$S$29*EXP('Model Inputs &amp; Assumptions'!$T$29*P635-'Model Inputs &amp; Assumptions'!$T$29^2/2)),0)</f>
        <v>121480</v>
      </c>
      <c r="D635" s="46" t="n">
        <f aca="false">MIN(1,'Model Inputs &amp; Assumptions'!$U$29*EXP('Model Inputs &amp; Assumptions'!$V$29*Q635-'Model Inputs &amp; Assumptions'!$V$29^2/2))</f>
        <v>0</v>
      </c>
      <c r="E635" s="45" t="n">
        <f aca="false">ROUND(C635*D635,0)</f>
        <v>0</v>
      </c>
      <c r="F635" s="47" t="n">
        <f aca="false">MIN(1,'Model Inputs &amp; Assumptions'!$W$29*EXP('Model Inputs &amp; Assumptions'!$X$29*R635-'Model Inputs &amp; Assumptions'!$X$29^2/2))</f>
        <v>0.00288990624036832</v>
      </c>
      <c r="G635" s="45" t="n">
        <f aca="false">ROUND(C635*F635,0)</f>
        <v>351</v>
      </c>
      <c r="H635" s="48" t="n">
        <f aca="false">MAX(0,(C635*'Model Inputs &amp; Assumptions'!$N$29+E635*'Model Inputs &amp; Assumptions'!$O$29+G635*'Model Inputs &amp; Assumptions'!$P$29)*EXP('Model Inputs &amp; Assumptions'!$Q$29*S635-'Model Inputs &amp; Assumptions'!$Q$29^2/2))</f>
        <v>16.1837321577678</v>
      </c>
      <c r="I635" s="49" t="n">
        <f aca="false">IF('Model Inputs &amp; Assumptions'!$H$29="Fixed",'Model Inputs &amp; Assumptions'!$I$29*'Model Inputs &amp; Assumptions'!$K$29,IF('Model Inputs &amp; Assumptions'!$H$29="CPM",'Model Inputs &amp; Assumptions'!$I$29*'Model Inputs &amp; Assumptions'!$K$29*C635/1000,IF('Model Inputs &amp; Assumptions'!$H$29="CPC",'Model Inputs &amp; Assumptions'!$I$29*'Model Inputs &amp; Assumptions'!$K$29*G635,0)))</f>
        <v>6500</v>
      </c>
      <c r="J635" s="50" t="n">
        <f aca="false">H635*INDEX('Model Inputs &amp; Assumptions'!$D$40:$D$42,MATCH('Model Inputs &amp; Assumptions'!$L$29,'Model Inputs &amp; Assumptions'!$A$40:$A$42,0))*INDEX('Model Inputs &amp; Assumptions'!$H$40:$H$42,MATCH('Model Inputs &amp; Assumptions'!$L$29,'Model Inputs &amp; Assumptions'!$A$40:$A$42,0))</f>
        <v>137561.723341027</v>
      </c>
      <c r="K635" s="49" t="n">
        <f aca="false">H635*INDEX('Model Inputs &amp; Assumptions'!$G$40:$G$42,MATCH('Model Inputs &amp; Assumptions'!$L$29,'Model Inputs &amp; Assumptions'!$A$40:$A$42,0))*INDEX('Model Inputs &amp; Assumptions'!$H$40:$H$42,MATCH('Model Inputs &amp; Assumptions'!$L$29,'Model Inputs &amp; Assumptions'!$A$40:$A$42,0))</f>
        <v>3095.1387751731</v>
      </c>
      <c r="L635" s="51" t="n">
        <f aca="false">IFERROR(K635/I635,0)</f>
        <v>0.476175196180476</v>
      </c>
      <c r="M635" s="49" t="n">
        <f aca="false">IFERROR(I635/H635,0)</f>
        <v>401.637887764977</v>
      </c>
      <c r="N635" s="52" t="str">
        <f aca="false">'Model Inputs &amp; Assumptions'!$L$29</f>
        <v>PRD-EUAI</v>
      </c>
      <c r="P635" s="53" t="n">
        <v>-2.110547</v>
      </c>
      <c r="Q635" s="53" t="n">
        <v>0.397896</v>
      </c>
      <c r="R635" s="53" t="n">
        <v>0.016769</v>
      </c>
      <c r="S635" s="53" t="n">
        <v>-0.120158</v>
      </c>
    </row>
    <row r="636" customFormat="false" ht="15" hidden="false" customHeight="false" outlineLevel="0" collapsed="false">
      <c r="A636" s="43" t="n">
        <v>133</v>
      </c>
      <c r="B636" s="44" t="str">
        <f aca="false">'Model Inputs &amp; Assumptions'!$B$29</f>
        <v>Handelsblatt — Native Explainer</v>
      </c>
      <c r="C636" s="45" t="n">
        <f aca="false">ROUND(MAX(0,'Model Inputs &amp; Assumptions'!$S$29*EXP('Model Inputs &amp; Assumptions'!$T$29*P636-'Model Inputs &amp; Assumptions'!$T$29^2/2)),0)</f>
        <v>240482</v>
      </c>
      <c r="D636" s="46" t="n">
        <f aca="false">MIN(1,'Model Inputs &amp; Assumptions'!$U$29*EXP('Model Inputs &amp; Assumptions'!$V$29*Q636-'Model Inputs &amp; Assumptions'!$V$29^2/2))</f>
        <v>0</v>
      </c>
      <c r="E636" s="45" t="n">
        <f aca="false">ROUND(C636*D636,0)</f>
        <v>0</v>
      </c>
      <c r="F636" s="47" t="n">
        <f aca="false">MIN(1,'Model Inputs &amp; Assumptions'!$W$29*EXP('Model Inputs &amp; Assumptions'!$X$29*R636-'Model Inputs &amp; Assumptions'!$X$29^2/2))</f>
        <v>0.00284609983701562</v>
      </c>
      <c r="G636" s="45" t="n">
        <f aca="false">ROUND(C636*F636,0)</f>
        <v>684</v>
      </c>
      <c r="H636" s="48" t="n">
        <f aca="false">MAX(0,(C636*'Model Inputs &amp; Assumptions'!$N$29+E636*'Model Inputs &amp; Assumptions'!$O$29+G636*'Model Inputs &amp; Assumptions'!$P$29)*EXP('Model Inputs &amp; Assumptions'!$Q$29*S636-'Model Inputs &amp; Assumptions'!$Q$29^2/2))</f>
        <v>35.2888674343731</v>
      </c>
      <c r="I636" s="49" t="n">
        <f aca="false">IF('Model Inputs &amp; Assumptions'!$H$29="Fixed",'Model Inputs &amp; Assumptions'!$I$29*'Model Inputs &amp; Assumptions'!$K$29,IF('Model Inputs &amp; Assumptions'!$H$29="CPM",'Model Inputs &amp; Assumptions'!$I$29*'Model Inputs &amp; Assumptions'!$K$29*C636/1000,IF('Model Inputs &amp; Assumptions'!$H$29="CPC",'Model Inputs &amp; Assumptions'!$I$29*'Model Inputs &amp; Assumptions'!$K$29*G636,0)))</f>
        <v>6500</v>
      </c>
      <c r="J636" s="50" t="n">
        <f aca="false">H636*INDEX('Model Inputs &amp; Assumptions'!$D$40:$D$42,MATCH('Model Inputs &amp; Assumptions'!$L$29,'Model Inputs &amp; Assumptions'!$A$40:$A$42,0))*INDEX('Model Inputs &amp; Assumptions'!$H$40:$H$42,MATCH('Model Inputs &amp; Assumptions'!$L$29,'Model Inputs &amp; Assumptions'!$A$40:$A$42,0))</f>
        <v>299955.373192171</v>
      </c>
      <c r="K636" s="49" t="n">
        <f aca="false">H636*INDEX('Model Inputs &amp; Assumptions'!$G$40:$G$42,MATCH('Model Inputs &amp; Assumptions'!$L$29,'Model Inputs &amp; Assumptions'!$A$40:$A$42,0))*INDEX('Model Inputs &amp; Assumptions'!$H$40:$H$42,MATCH('Model Inputs &amp; Assumptions'!$L$29,'Model Inputs &amp; Assumptions'!$A$40:$A$42,0))</f>
        <v>6748.99589682385</v>
      </c>
      <c r="L636" s="51" t="n">
        <f aca="false">IFERROR(K636/I636,0)</f>
        <v>1.03830706104982</v>
      </c>
      <c r="M636" s="49" t="n">
        <f aca="false">IFERROR(I636/H636,0)</f>
        <v>184.194066644051</v>
      </c>
      <c r="N636" s="52" t="str">
        <f aca="false">'Model Inputs &amp; Assumptions'!$L$29</f>
        <v>PRD-EUAI</v>
      </c>
      <c r="P636" s="53" t="n">
        <v>0.993541</v>
      </c>
      <c r="Q636" s="53" t="n">
        <v>-1.056076</v>
      </c>
      <c r="R636" s="53" t="n">
        <v>-0.041979</v>
      </c>
      <c r="S636" s="53" t="n">
        <v>0.254473</v>
      </c>
    </row>
    <row r="637" customFormat="false" ht="15" hidden="false" customHeight="false" outlineLevel="0" collapsed="false">
      <c r="A637" s="43" t="n">
        <v>134</v>
      </c>
      <c r="B637" s="44" t="str">
        <f aca="false">'Model Inputs &amp; Assumptions'!$B$29</f>
        <v>Handelsblatt — Native Explainer</v>
      </c>
      <c r="C637" s="45" t="n">
        <f aca="false">ROUND(MAX(0,'Model Inputs &amp; Assumptions'!$S$29*EXP('Model Inputs &amp; Assumptions'!$T$29*P637-'Model Inputs &amp; Assumptions'!$T$29^2/2)),0)</f>
        <v>213948</v>
      </c>
      <c r="D637" s="46" t="n">
        <f aca="false">MIN(1,'Model Inputs &amp; Assumptions'!$U$29*EXP('Model Inputs &amp; Assumptions'!$V$29*Q637-'Model Inputs &amp; Assumptions'!$V$29^2/2))</f>
        <v>0</v>
      </c>
      <c r="E637" s="45" t="n">
        <f aca="false">ROUND(C637*D637,0)</f>
        <v>0</v>
      </c>
      <c r="F637" s="47" t="n">
        <f aca="false">MIN(1,'Model Inputs &amp; Assumptions'!$W$29*EXP('Model Inputs &amp; Assumptions'!$X$29*R637-'Model Inputs &amp; Assumptions'!$X$29^2/2))</f>
        <v>0.00357592491017981</v>
      </c>
      <c r="G637" s="45" t="n">
        <f aca="false">ROUND(C637*F637,0)</f>
        <v>765</v>
      </c>
      <c r="H637" s="48" t="n">
        <f aca="false">MAX(0,(C637*'Model Inputs &amp; Assumptions'!$N$29+E637*'Model Inputs &amp; Assumptions'!$O$29+G637*'Model Inputs &amp; Assumptions'!$P$29)*EXP('Model Inputs &amp; Assumptions'!$Q$29*S637-'Model Inputs &amp; Assumptions'!$Q$29^2/2))</f>
        <v>37.9779929956923</v>
      </c>
      <c r="I637" s="49" t="n">
        <f aca="false">IF('Model Inputs &amp; Assumptions'!$H$29="Fixed",'Model Inputs &amp; Assumptions'!$I$29*'Model Inputs &amp; Assumptions'!$K$29,IF('Model Inputs &amp; Assumptions'!$H$29="CPM",'Model Inputs &amp; Assumptions'!$I$29*'Model Inputs &amp; Assumptions'!$K$29*C637/1000,IF('Model Inputs &amp; Assumptions'!$H$29="CPC",'Model Inputs &amp; Assumptions'!$I$29*'Model Inputs &amp; Assumptions'!$K$29*G637,0)))</f>
        <v>6500</v>
      </c>
      <c r="J637" s="50" t="n">
        <f aca="false">H637*INDEX('Model Inputs &amp; Assumptions'!$D$40:$D$42,MATCH('Model Inputs &amp; Assumptions'!$L$29,'Model Inputs &amp; Assumptions'!$A$40:$A$42,0))*INDEX('Model Inputs &amp; Assumptions'!$H$40:$H$42,MATCH('Model Inputs &amp; Assumptions'!$L$29,'Model Inputs &amp; Assumptions'!$A$40:$A$42,0))</f>
        <v>322812.940463384</v>
      </c>
      <c r="K637" s="49" t="n">
        <f aca="false">H637*INDEX('Model Inputs &amp; Assumptions'!$G$40:$G$42,MATCH('Model Inputs &amp; Assumptions'!$L$29,'Model Inputs &amp; Assumptions'!$A$40:$A$42,0))*INDEX('Model Inputs &amp; Assumptions'!$H$40:$H$42,MATCH('Model Inputs &amp; Assumptions'!$L$29,'Model Inputs &amp; Assumptions'!$A$40:$A$42,0))</f>
        <v>7263.29116042615</v>
      </c>
      <c r="L637" s="51" t="n">
        <f aca="false">IFERROR(K637/I637,0)</f>
        <v>1.11742940929633</v>
      </c>
      <c r="M637" s="49" t="n">
        <f aca="false">IFERROR(I637/H637,0)</f>
        <v>171.151750982135</v>
      </c>
      <c r="N637" s="52" t="str">
        <f aca="false">'Model Inputs &amp; Assumptions'!$L$29</f>
        <v>PRD-EUAI</v>
      </c>
      <c r="P637" s="53" t="n">
        <v>0.462121</v>
      </c>
      <c r="Q637" s="53" t="n">
        <v>-0.767838</v>
      </c>
      <c r="R637" s="53" t="n">
        <v>0.835999</v>
      </c>
      <c r="S637" s="53" t="n">
        <v>0.126211</v>
      </c>
    </row>
    <row r="638" customFormat="false" ht="15" hidden="false" customHeight="false" outlineLevel="0" collapsed="false">
      <c r="A638" s="43" t="n">
        <v>135</v>
      </c>
      <c r="B638" s="44" t="str">
        <f aca="false">'Model Inputs &amp; Assumptions'!$B$29</f>
        <v>Handelsblatt — Native Explainer</v>
      </c>
      <c r="C638" s="45" t="n">
        <f aca="false">ROUND(MAX(0,'Model Inputs &amp; Assumptions'!$S$29*EXP('Model Inputs &amp; Assumptions'!$T$29*P638-'Model Inputs &amp; Assumptions'!$T$29^2/2)),0)</f>
        <v>112446</v>
      </c>
      <c r="D638" s="46" t="n">
        <f aca="false">MIN(1,'Model Inputs &amp; Assumptions'!$U$29*EXP('Model Inputs &amp; Assumptions'!$V$29*Q638-'Model Inputs &amp; Assumptions'!$V$29^2/2))</f>
        <v>0</v>
      </c>
      <c r="E638" s="45" t="n">
        <f aca="false">ROUND(C638*D638,0)</f>
        <v>0</v>
      </c>
      <c r="F638" s="47" t="n">
        <f aca="false">MIN(1,'Model Inputs &amp; Assumptions'!$W$29*EXP('Model Inputs &amp; Assumptions'!$X$29*R638-'Model Inputs &amp; Assumptions'!$X$29^2/2))</f>
        <v>0.00315245274425938</v>
      </c>
      <c r="G638" s="45" t="n">
        <f aca="false">ROUND(C638*F638,0)</f>
        <v>354</v>
      </c>
      <c r="H638" s="48" t="n">
        <f aca="false">MAX(0,(C638*'Model Inputs &amp; Assumptions'!$N$29+E638*'Model Inputs &amp; Assumptions'!$O$29+G638*'Model Inputs &amp; Assumptions'!$P$29)*EXP('Model Inputs &amp; Assumptions'!$Q$29*S638-'Model Inputs &amp; Assumptions'!$Q$29^2/2))</f>
        <v>12.1189923722242</v>
      </c>
      <c r="I638" s="49" t="n">
        <f aca="false">IF('Model Inputs &amp; Assumptions'!$H$29="Fixed",'Model Inputs &amp; Assumptions'!$I$29*'Model Inputs &amp; Assumptions'!$K$29,IF('Model Inputs &amp; Assumptions'!$H$29="CPM",'Model Inputs &amp; Assumptions'!$I$29*'Model Inputs &amp; Assumptions'!$K$29*C638/1000,IF('Model Inputs &amp; Assumptions'!$H$29="CPC",'Model Inputs &amp; Assumptions'!$I$29*'Model Inputs &amp; Assumptions'!$K$29*G638,0)))</f>
        <v>6500</v>
      </c>
      <c r="J638" s="50" t="n">
        <f aca="false">H638*INDEX('Model Inputs &amp; Assumptions'!$D$40:$D$42,MATCH('Model Inputs &amp; Assumptions'!$L$29,'Model Inputs &amp; Assumptions'!$A$40:$A$42,0))*INDEX('Model Inputs &amp; Assumptions'!$H$40:$H$42,MATCH('Model Inputs &amp; Assumptions'!$L$29,'Model Inputs &amp; Assumptions'!$A$40:$A$42,0))</f>
        <v>103011.435163906</v>
      </c>
      <c r="K638" s="49" t="n">
        <f aca="false">H638*INDEX('Model Inputs &amp; Assumptions'!$G$40:$G$42,MATCH('Model Inputs &amp; Assumptions'!$L$29,'Model Inputs &amp; Assumptions'!$A$40:$A$42,0))*INDEX('Model Inputs &amp; Assumptions'!$H$40:$H$42,MATCH('Model Inputs &amp; Assumptions'!$L$29,'Model Inputs &amp; Assumptions'!$A$40:$A$42,0))</f>
        <v>2317.75729118788</v>
      </c>
      <c r="L638" s="51" t="n">
        <f aca="false">IFERROR(K638/I638,0)</f>
        <v>0.356578044798136</v>
      </c>
      <c r="M638" s="49" t="n">
        <f aca="false">IFERROR(I638/H638,0)</f>
        <v>536.348221069723</v>
      </c>
      <c r="N638" s="52" t="str">
        <f aca="false">'Model Inputs &amp; Assumptions'!$L$29</f>
        <v>PRD-EUAI</v>
      </c>
      <c r="P638" s="53" t="n">
        <v>-2.461791</v>
      </c>
      <c r="Q638" s="53" t="n">
        <v>0.819484</v>
      </c>
      <c r="R638" s="53" t="n">
        <v>0.351218</v>
      </c>
      <c r="S638" s="53" t="n">
        <v>-1.112636</v>
      </c>
    </row>
    <row r="639" customFormat="false" ht="15" hidden="false" customHeight="false" outlineLevel="0" collapsed="false">
      <c r="A639" s="43" t="n">
        <v>136</v>
      </c>
      <c r="B639" s="44" t="str">
        <f aca="false">'Model Inputs &amp; Assumptions'!$B$29</f>
        <v>Handelsblatt — Native Explainer</v>
      </c>
      <c r="C639" s="45" t="n">
        <f aca="false">ROUND(MAX(0,'Model Inputs &amp; Assumptions'!$S$29*EXP('Model Inputs &amp; Assumptions'!$T$29*P639-'Model Inputs &amp; Assumptions'!$T$29^2/2)),0)</f>
        <v>202972</v>
      </c>
      <c r="D639" s="46" t="n">
        <f aca="false">MIN(1,'Model Inputs &amp; Assumptions'!$U$29*EXP('Model Inputs &amp; Assumptions'!$V$29*Q639-'Model Inputs &amp; Assumptions'!$V$29^2/2))</f>
        <v>0</v>
      </c>
      <c r="E639" s="45" t="n">
        <f aca="false">ROUND(C639*D639,0)</f>
        <v>0</v>
      </c>
      <c r="F639" s="47" t="n">
        <f aca="false">MIN(1,'Model Inputs &amp; Assumptions'!$W$29*EXP('Model Inputs &amp; Assumptions'!$X$29*R639-'Model Inputs &amp; Assumptions'!$X$29^2/2))</f>
        <v>0.00398455532502024</v>
      </c>
      <c r="G639" s="45" t="n">
        <f aca="false">ROUND(C639*F639,0)</f>
        <v>809</v>
      </c>
      <c r="H639" s="48" t="n">
        <f aca="false">MAX(0,(C639*'Model Inputs &amp; Assumptions'!$N$29+E639*'Model Inputs &amp; Assumptions'!$O$29+G639*'Model Inputs &amp; Assumptions'!$P$29)*EXP('Model Inputs &amp; Assumptions'!$Q$29*S639-'Model Inputs &amp; Assumptions'!$Q$29^2/2))</f>
        <v>55.0222827175565</v>
      </c>
      <c r="I639" s="49" t="n">
        <f aca="false">IF('Model Inputs &amp; Assumptions'!$H$29="Fixed",'Model Inputs &amp; Assumptions'!$I$29*'Model Inputs &amp; Assumptions'!$K$29,IF('Model Inputs &amp; Assumptions'!$H$29="CPM",'Model Inputs &amp; Assumptions'!$I$29*'Model Inputs &amp; Assumptions'!$K$29*C639/1000,IF('Model Inputs &amp; Assumptions'!$H$29="CPC",'Model Inputs &amp; Assumptions'!$I$29*'Model Inputs &amp; Assumptions'!$K$29*G639,0)))</f>
        <v>6500</v>
      </c>
      <c r="J639" s="50" t="n">
        <f aca="false">H639*INDEX('Model Inputs &amp; Assumptions'!$D$40:$D$42,MATCH('Model Inputs &amp; Assumptions'!$L$29,'Model Inputs &amp; Assumptions'!$A$40:$A$42,0))*INDEX('Model Inputs &amp; Assumptions'!$H$40:$H$42,MATCH('Model Inputs &amp; Assumptions'!$L$29,'Model Inputs &amp; Assumptions'!$A$40:$A$42,0))</f>
        <v>467689.40309923</v>
      </c>
      <c r="K639" s="49" t="n">
        <f aca="false">H639*INDEX('Model Inputs &amp; Assumptions'!$G$40:$G$42,MATCH('Model Inputs &amp; Assumptions'!$L$29,'Model Inputs &amp; Assumptions'!$A$40:$A$42,0))*INDEX('Model Inputs &amp; Assumptions'!$H$40:$H$42,MATCH('Model Inputs &amp; Assumptions'!$L$29,'Model Inputs &amp; Assumptions'!$A$40:$A$42,0))</f>
        <v>10523.0115697327</v>
      </c>
      <c r="L639" s="51" t="n">
        <f aca="false">IFERROR(K639/I639,0)</f>
        <v>1.61892485688195</v>
      </c>
      <c r="M639" s="49" t="n">
        <f aca="false">IFERROR(I639/H639,0)</f>
        <v>118.133957352627</v>
      </c>
      <c r="N639" s="52" t="str">
        <f aca="false">'Model Inputs &amp; Assumptions'!$L$29</f>
        <v>PRD-EUAI</v>
      </c>
      <c r="P639" s="53" t="n">
        <v>0.222737</v>
      </c>
      <c r="Q639" s="53" t="n">
        <v>1.123006</v>
      </c>
      <c r="R639" s="53" t="n">
        <v>1.25216</v>
      </c>
      <c r="S639" s="53" t="n">
        <v>1.175572</v>
      </c>
    </row>
    <row r="640" customFormat="false" ht="15" hidden="false" customHeight="false" outlineLevel="0" collapsed="false">
      <c r="A640" s="43" t="n">
        <v>137</v>
      </c>
      <c r="B640" s="44" t="str">
        <f aca="false">'Model Inputs &amp; Assumptions'!$B$29</f>
        <v>Handelsblatt — Native Explainer</v>
      </c>
      <c r="C640" s="45" t="n">
        <f aca="false">ROUND(MAX(0,'Model Inputs &amp; Assumptions'!$S$29*EXP('Model Inputs &amp; Assumptions'!$T$29*P640-'Model Inputs &amp; Assumptions'!$T$29^2/2)),0)</f>
        <v>179157</v>
      </c>
      <c r="D640" s="46" t="n">
        <f aca="false">MIN(1,'Model Inputs &amp; Assumptions'!$U$29*EXP('Model Inputs &amp; Assumptions'!$V$29*Q640-'Model Inputs &amp; Assumptions'!$V$29^2/2))</f>
        <v>0</v>
      </c>
      <c r="E640" s="45" t="n">
        <f aca="false">ROUND(C640*D640,0)</f>
        <v>0</v>
      </c>
      <c r="F640" s="47" t="n">
        <f aca="false">MIN(1,'Model Inputs &amp; Assumptions'!$W$29*EXP('Model Inputs &amp; Assumptions'!$X$29*R640-'Model Inputs &amp; Assumptions'!$X$29^2/2))</f>
        <v>0.0020597303966397</v>
      </c>
      <c r="G640" s="45" t="n">
        <f aca="false">ROUND(C640*F640,0)</f>
        <v>369</v>
      </c>
      <c r="H640" s="48" t="n">
        <f aca="false">MAX(0,(C640*'Model Inputs &amp; Assumptions'!$N$29+E640*'Model Inputs &amp; Assumptions'!$O$29+G640*'Model Inputs &amp; Assumptions'!$P$29)*EXP('Model Inputs &amp; Assumptions'!$Q$29*S640-'Model Inputs &amp; Assumptions'!$Q$29^2/2))</f>
        <v>21.4300420242937</v>
      </c>
      <c r="I640" s="49" t="n">
        <f aca="false">IF('Model Inputs &amp; Assumptions'!$H$29="Fixed",'Model Inputs &amp; Assumptions'!$I$29*'Model Inputs &amp; Assumptions'!$K$29,IF('Model Inputs &amp; Assumptions'!$H$29="CPM",'Model Inputs &amp; Assumptions'!$I$29*'Model Inputs &amp; Assumptions'!$K$29*C640/1000,IF('Model Inputs &amp; Assumptions'!$H$29="CPC",'Model Inputs &amp; Assumptions'!$I$29*'Model Inputs &amp; Assumptions'!$K$29*G640,0)))</f>
        <v>6500</v>
      </c>
      <c r="J640" s="50" t="n">
        <f aca="false">H640*INDEX('Model Inputs &amp; Assumptions'!$D$40:$D$42,MATCH('Model Inputs &amp; Assumptions'!$L$29,'Model Inputs &amp; Assumptions'!$A$40:$A$42,0))*INDEX('Model Inputs &amp; Assumptions'!$H$40:$H$42,MATCH('Model Inputs &amp; Assumptions'!$L$29,'Model Inputs &amp; Assumptions'!$A$40:$A$42,0))</f>
        <v>182155.357206497</v>
      </c>
      <c r="K640" s="49" t="n">
        <f aca="false">H640*INDEX('Model Inputs &amp; Assumptions'!$G$40:$G$42,MATCH('Model Inputs &amp; Assumptions'!$L$29,'Model Inputs &amp; Assumptions'!$A$40:$A$42,0))*INDEX('Model Inputs &amp; Assumptions'!$H$40:$H$42,MATCH('Model Inputs &amp; Assumptions'!$L$29,'Model Inputs &amp; Assumptions'!$A$40:$A$42,0))</f>
        <v>4098.49553714617</v>
      </c>
      <c r="L640" s="51" t="n">
        <f aca="false">IFERROR(K640/I640,0)</f>
        <v>0.630537774945565</v>
      </c>
      <c r="M640" s="49" t="n">
        <f aca="false">IFERROR(I640/H640,0)</f>
        <v>303.31251766242</v>
      </c>
      <c r="N640" s="52" t="str">
        <f aca="false">'Model Inputs &amp; Assumptions'!$L$29</f>
        <v>PRD-EUAI</v>
      </c>
      <c r="P640" s="53" t="n">
        <v>-0.344578</v>
      </c>
      <c r="Q640" s="53" t="n">
        <v>1.489728</v>
      </c>
      <c r="R640" s="53" t="n">
        <v>-1.285727</v>
      </c>
      <c r="S640" s="53" t="n">
        <v>0.649098</v>
      </c>
    </row>
    <row r="641" customFormat="false" ht="15" hidden="false" customHeight="false" outlineLevel="0" collapsed="false">
      <c r="A641" s="43" t="n">
        <v>138</v>
      </c>
      <c r="B641" s="44" t="str">
        <f aca="false">'Model Inputs &amp; Assumptions'!$B$29</f>
        <v>Handelsblatt — Native Explainer</v>
      </c>
      <c r="C641" s="45" t="n">
        <f aca="false">ROUND(MAX(0,'Model Inputs &amp; Assumptions'!$S$29*EXP('Model Inputs &amp; Assumptions'!$T$29*P641-'Model Inputs &amp; Assumptions'!$T$29^2/2)),0)</f>
        <v>313823</v>
      </c>
      <c r="D641" s="46" t="n">
        <f aca="false">MIN(1,'Model Inputs &amp; Assumptions'!$U$29*EXP('Model Inputs &amp; Assumptions'!$V$29*Q641-'Model Inputs &amp; Assumptions'!$V$29^2/2))</f>
        <v>0</v>
      </c>
      <c r="E641" s="45" t="n">
        <f aca="false">ROUND(C641*D641,0)</f>
        <v>0</v>
      </c>
      <c r="F641" s="47" t="n">
        <f aca="false">MIN(1,'Model Inputs &amp; Assumptions'!$W$29*EXP('Model Inputs &amp; Assumptions'!$X$29*R641-'Model Inputs &amp; Assumptions'!$X$29^2/2))</f>
        <v>0.00233670280686222</v>
      </c>
      <c r="G641" s="45" t="n">
        <f aca="false">ROUND(C641*F641,0)</f>
        <v>733</v>
      </c>
      <c r="H641" s="48" t="n">
        <f aca="false">MAX(0,(C641*'Model Inputs &amp; Assumptions'!$N$29+E641*'Model Inputs &amp; Assumptions'!$O$29+G641*'Model Inputs &amp; Assumptions'!$P$29)*EXP('Model Inputs &amp; Assumptions'!$Q$29*S641-'Model Inputs &amp; Assumptions'!$Q$29^2/2))</f>
        <v>40.1846197178021</v>
      </c>
      <c r="I641" s="49" t="n">
        <f aca="false">IF('Model Inputs &amp; Assumptions'!$H$29="Fixed",'Model Inputs &amp; Assumptions'!$I$29*'Model Inputs &amp; Assumptions'!$K$29,IF('Model Inputs &amp; Assumptions'!$H$29="CPM",'Model Inputs &amp; Assumptions'!$I$29*'Model Inputs &amp; Assumptions'!$K$29*C641/1000,IF('Model Inputs &amp; Assumptions'!$H$29="CPC",'Model Inputs &amp; Assumptions'!$I$29*'Model Inputs &amp; Assumptions'!$K$29*G641,0)))</f>
        <v>6500</v>
      </c>
      <c r="J641" s="50" t="n">
        <f aca="false">H641*INDEX('Model Inputs &amp; Assumptions'!$D$40:$D$42,MATCH('Model Inputs &amp; Assumptions'!$L$29,'Model Inputs &amp; Assumptions'!$A$40:$A$42,0))*INDEX('Model Inputs &amp; Assumptions'!$H$40:$H$42,MATCH('Model Inputs &amp; Assumptions'!$L$29,'Model Inputs &amp; Assumptions'!$A$40:$A$42,0))</f>
        <v>341569.267601318</v>
      </c>
      <c r="K641" s="49" t="n">
        <f aca="false">H641*INDEX('Model Inputs &amp; Assumptions'!$G$40:$G$42,MATCH('Model Inputs &amp; Assumptions'!$L$29,'Model Inputs &amp; Assumptions'!$A$40:$A$42,0))*INDEX('Model Inputs &amp; Assumptions'!$H$40:$H$42,MATCH('Model Inputs &amp; Assumptions'!$L$29,'Model Inputs &amp; Assumptions'!$A$40:$A$42,0))</f>
        <v>7685.30852102965</v>
      </c>
      <c r="L641" s="51" t="n">
        <f aca="false">IFERROR(K641/I641,0)</f>
        <v>1.18235515708148</v>
      </c>
      <c r="M641" s="49" t="n">
        <f aca="false">IFERROR(I641/H641,0)</f>
        <v>161.753428193336</v>
      </c>
      <c r="N641" s="52" t="str">
        <f aca="false">'Model Inputs &amp; Assumptions'!$L$29</f>
        <v>PRD-EUAI</v>
      </c>
      <c r="P641" s="53" t="n">
        <v>2.203471</v>
      </c>
      <c r="Q641" s="53" t="n">
        <v>-0.144723</v>
      </c>
      <c r="R641" s="53" t="n">
        <v>-0.800474</v>
      </c>
      <c r="S641" s="53" t="n">
        <v>0.456903</v>
      </c>
    </row>
    <row r="642" customFormat="false" ht="15" hidden="false" customHeight="false" outlineLevel="0" collapsed="false">
      <c r="A642" s="43" t="n">
        <v>139</v>
      </c>
      <c r="B642" s="44" t="str">
        <f aca="false">'Model Inputs &amp; Assumptions'!$B$29</f>
        <v>Handelsblatt — Native Explainer</v>
      </c>
      <c r="C642" s="45" t="n">
        <f aca="false">ROUND(MAX(0,'Model Inputs &amp; Assumptions'!$S$29*EXP('Model Inputs &amp; Assumptions'!$T$29*P642-'Model Inputs &amp; Assumptions'!$T$29^2/2)),0)</f>
        <v>209323</v>
      </c>
      <c r="D642" s="46" t="n">
        <f aca="false">MIN(1,'Model Inputs &amp; Assumptions'!$U$29*EXP('Model Inputs &amp; Assumptions'!$V$29*Q642-'Model Inputs &amp; Assumptions'!$V$29^2/2))</f>
        <v>0</v>
      </c>
      <c r="E642" s="45" t="n">
        <f aca="false">ROUND(C642*D642,0)</f>
        <v>0</v>
      </c>
      <c r="F642" s="47" t="n">
        <f aca="false">MIN(1,'Model Inputs &amp; Assumptions'!$W$29*EXP('Model Inputs &amp; Assumptions'!$X$29*R642-'Model Inputs &amp; Assumptions'!$X$29^2/2))</f>
        <v>0.00367574288869254</v>
      </c>
      <c r="G642" s="45" t="n">
        <f aca="false">ROUND(C642*F642,0)</f>
        <v>769</v>
      </c>
      <c r="H642" s="48" t="n">
        <f aca="false">MAX(0,(C642*'Model Inputs &amp; Assumptions'!$N$29+E642*'Model Inputs &amp; Assumptions'!$O$29+G642*'Model Inputs &amp; Assumptions'!$P$29)*EXP('Model Inputs &amp; Assumptions'!$Q$29*S642-'Model Inputs &amp; Assumptions'!$Q$29^2/2))</f>
        <v>25.0862100798029</v>
      </c>
      <c r="I642" s="49" t="n">
        <f aca="false">IF('Model Inputs &amp; Assumptions'!$H$29="Fixed",'Model Inputs &amp; Assumptions'!$I$29*'Model Inputs &amp; Assumptions'!$K$29,IF('Model Inputs &amp; Assumptions'!$H$29="CPM",'Model Inputs &amp; Assumptions'!$I$29*'Model Inputs &amp; Assumptions'!$K$29*C642/1000,IF('Model Inputs &amp; Assumptions'!$H$29="CPC",'Model Inputs &amp; Assumptions'!$I$29*'Model Inputs &amp; Assumptions'!$K$29*G642,0)))</f>
        <v>6500</v>
      </c>
      <c r="J642" s="50" t="n">
        <f aca="false">H642*INDEX('Model Inputs &amp; Assumptions'!$D$40:$D$42,MATCH('Model Inputs &amp; Assumptions'!$L$29,'Model Inputs &amp; Assumptions'!$A$40:$A$42,0))*INDEX('Model Inputs &amp; Assumptions'!$H$40:$H$42,MATCH('Model Inputs &amp; Assumptions'!$L$29,'Model Inputs &amp; Assumptions'!$A$40:$A$42,0))</f>
        <v>213232.785678325</v>
      </c>
      <c r="K642" s="49" t="n">
        <f aca="false">H642*INDEX('Model Inputs &amp; Assumptions'!$G$40:$G$42,MATCH('Model Inputs &amp; Assumptions'!$L$29,'Model Inputs &amp; Assumptions'!$A$40:$A$42,0))*INDEX('Model Inputs &amp; Assumptions'!$H$40:$H$42,MATCH('Model Inputs &amp; Assumptions'!$L$29,'Model Inputs &amp; Assumptions'!$A$40:$A$42,0))</f>
        <v>4797.73767776231</v>
      </c>
      <c r="L642" s="51" t="n">
        <f aca="false">IFERROR(K642/I642,0)</f>
        <v>0.738113488886509</v>
      </c>
      <c r="M642" s="49" t="n">
        <f aca="false">IFERROR(I642/H642,0)</f>
        <v>259.106496330954</v>
      </c>
      <c r="N642" s="52" t="str">
        <f aca="false">'Model Inputs &amp; Assumptions'!$L$29</f>
        <v>PRD-EUAI</v>
      </c>
      <c r="P642" s="53" t="n">
        <v>0.362776</v>
      </c>
      <c r="Q642" s="53" t="n">
        <v>0.593446</v>
      </c>
      <c r="R642" s="53" t="n">
        <v>0.941889</v>
      </c>
      <c r="S642" s="53" t="n">
        <v>-1.273468</v>
      </c>
    </row>
    <row r="643" customFormat="false" ht="15" hidden="false" customHeight="false" outlineLevel="0" collapsed="false">
      <c r="A643" s="43" t="n">
        <v>140</v>
      </c>
      <c r="B643" s="44" t="str">
        <f aca="false">'Model Inputs &amp; Assumptions'!$B$29</f>
        <v>Handelsblatt — Native Explainer</v>
      </c>
      <c r="C643" s="45" t="n">
        <f aca="false">ROUND(MAX(0,'Model Inputs &amp; Assumptions'!$S$29*EXP('Model Inputs &amp; Assumptions'!$T$29*P643-'Model Inputs &amp; Assumptions'!$T$29^2/2)),0)</f>
        <v>224330</v>
      </c>
      <c r="D643" s="46" t="n">
        <f aca="false">MIN(1,'Model Inputs &amp; Assumptions'!$U$29*EXP('Model Inputs &amp; Assumptions'!$V$29*Q643-'Model Inputs &amp; Assumptions'!$V$29^2/2))</f>
        <v>0</v>
      </c>
      <c r="E643" s="45" t="n">
        <f aca="false">ROUND(C643*D643,0)</f>
        <v>0</v>
      </c>
      <c r="F643" s="47" t="n">
        <f aca="false">MIN(1,'Model Inputs &amp; Assumptions'!$W$29*EXP('Model Inputs &amp; Assumptions'!$X$29*R643-'Model Inputs &amp; Assumptions'!$X$29^2/2))</f>
        <v>0.00260193203333957</v>
      </c>
      <c r="G643" s="45" t="n">
        <f aca="false">ROUND(C643*F643,0)</f>
        <v>584</v>
      </c>
      <c r="H643" s="48" t="n">
        <f aca="false">MAX(0,(C643*'Model Inputs &amp; Assumptions'!$N$29+E643*'Model Inputs &amp; Assumptions'!$O$29+G643*'Model Inputs &amp; Assumptions'!$P$29)*EXP('Model Inputs &amp; Assumptions'!$Q$29*S643-'Model Inputs &amp; Assumptions'!$Q$29^2/2))</f>
        <v>22.9071733738387</v>
      </c>
      <c r="I643" s="49" t="n">
        <f aca="false">IF('Model Inputs &amp; Assumptions'!$H$29="Fixed",'Model Inputs &amp; Assumptions'!$I$29*'Model Inputs &amp; Assumptions'!$K$29,IF('Model Inputs &amp; Assumptions'!$H$29="CPM",'Model Inputs &amp; Assumptions'!$I$29*'Model Inputs &amp; Assumptions'!$K$29*C643/1000,IF('Model Inputs &amp; Assumptions'!$H$29="CPC",'Model Inputs &amp; Assumptions'!$I$29*'Model Inputs &amp; Assumptions'!$K$29*G643,0)))</f>
        <v>6500</v>
      </c>
      <c r="J643" s="50" t="n">
        <f aca="false">H643*INDEX('Model Inputs &amp; Assumptions'!$D$40:$D$42,MATCH('Model Inputs &amp; Assumptions'!$L$29,'Model Inputs &amp; Assumptions'!$A$40:$A$42,0))*INDEX('Model Inputs &amp; Assumptions'!$H$40:$H$42,MATCH('Model Inputs &amp; Assumptions'!$L$29,'Model Inputs &amp; Assumptions'!$A$40:$A$42,0))</f>
        <v>194710.973677629</v>
      </c>
      <c r="K643" s="49" t="n">
        <f aca="false">H643*INDEX('Model Inputs &amp; Assumptions'!$G$40:$G$42,MATCH('Model Inputs &amp; Assumptions'!$L$29,'Model Inputs &amp; Assumptions'!$A$40:$A$42,0))*INDEX('Model Inputs &amp; Assumptions'!$H$40:$H$42,MATCH('Model Inputs &amp; Assumptions'!$L$29,'Model Inputs &amp; Assumptions'!$A$40:$A$42,0))</f>
        <v>4380.99690774664</v>
      </c>
      <c r="L643" s="51" t="n">
        <f aca="false">IFERROR(K643/I643,0)</f>
        <v>0.673999524268715</v>
      </c>
      <c r="M643" s="49" t="n">
        <f aca="false">IFERROR(I643/H643,0)</f>
        <v>283.75390948162</v>
      </c>
      <c r="N643" s="52" t="str">
        <f aca="false">'Model Inputs &amp; Assumptions'!$L$29</f>
        <v>PRD-EUAI</v>
      </c>
      <c r="P643" s="53" t="n">
        <v>0.677503</v>
      </c>
      <c r="Q643" s="53" t="n">
        <v>1.466042</v>
      </c>
      <c r="R643" s="53" t="n">
        <v>-0.386961</v>
      </c>
      <c r="S643" s="53" t="n">
        <v>-0.659062</v>
      </c>
    </row>
    <row r="644" customFormat="false" ht="15" hidden="false" customHeight="false" outlineLevel="0" collapsed="false">
      <c r="A644" s="43" t="n">
        <v>141</v>
      </c>
      <c r="B644" s="44" t="str">
        <f aca="false">'Model Inputs &amp; Assumptions'!$B$29</f>
        <v>Handelsblatt — Native Explainer</v>
      </c>
      <c r="C644" s="45" t="n">
        <f aca="false">ROUND(MAX(0,'Model Inputs &amp; Assumptions'!$S$29*EXP('Model Inputs &amp; Assumptions'!$T$29*P644-'Model Inputs &amp; Assumptions'!$T$29^2/2)),0)</f>
        <v>225926</v>
      </c>
      <c r="D644" s="46" t="n">
        <f aca="false">MIN(1,'Model Inputs &amp; Assumptions'!$U$29*EXP('Model Inputs &amp; Assumptions'!$V$29*Q644-'Model Inputs &amp; Assumptions'!$V$29^2/2))</f>
        <v>0</v>
      </c>
      <c r="E644" s="45" t="n">
        <f aca="false">ROUND(C644*D644,0)</f>
        <v>0</v>
      </c>
      <c r="F644" s="47" t="n">
        <f aca="false">MIN(1,'Model Inputs &amp; Assumptions'!$W$29*EXP('Model Inputs &amp; Assumptions'!$X$29*R644-'Model Inputs &amp; Assumptions'!$X$29^2/2))</f>
        <v>0.00440047706459747</v>
      </c>
      <c r="G644" s="45" t="n">
        <f aca="false">ROUND(C644*F644,0)</f>
        <v>994</v>
      </c>
      <c r="H644" s="48" t="n">
        <f aca="false">MAX(0,(C644*'Model Inputs &amp; Assumptions'!$N$29+E644*'Model Inputs &amp; Assumptions'!$O$29+G644*'Model Inputs &amp; Assumptions'!$P$29)*EXP('Model Inputs &amp; Assumptions'!$Q$29*S644-'Model Inputs &amp; Assumptions'!$Q$29^2/2))</f>
        <v>32.2591922327952</v>
      </c>
      <c r="I644" s="49" t="n">
        <f aca="false">IF('Model Inputs &amp; Assumptions'!$H$29="Fixed",'Model Inputs &amp; Assumptions'!$I$29*'Model Inputs &amp; Assumptions'!$K$29,IF('Model Inputs &amp; Assumptions'!$H$29="CPM",'Model Inputs &amp; Assumptions'!$I$29*'Model Inputs &amp; Assumptions'!$K$29*C644/1000,IF('Model Inputs &amp; Assumptions'!$H$29="CPC",'Model Inputs &amp; Assumptions'!$I$29*'Model Inputs &amp; Assumptions'!$K$29*G644,0)))</f>
        <v>6500</v>
      </c>
      <c r="J644" s="50" t="n">
        <f aca="false">H644*INDEX('Model Inputs &amp; Assumptions'!$D$40:$D$42,MATCH('Model Inputs &amp; Assumptions'!$L$29,'Model Inputs &amp; Assumptions'!$A$40:$A$42,0))*INDEX('Model Inputs &amp; Assumptions'!$H$40:$H$42,MATCH('Model Inputs &amp; Assumptions'!$L$29,'Model Inputs &amp; Assumptions'!$A$40:$A$42,0))</f>
        <v>274203.133978759</v>
      </c>
      <c r="K644" s="49" t="n">
        <f aca="false">H644*INDEX('Model Inputs &amp; Assumptions'!$G$40:$G$42,MATCH('Model Inputs &amp; Assumptions'!$L$29,'Model Inputs &amp; Assumptions'!$A$40:$A$42,0))*INDEX('Model Inputs &amp; Assumptions'!$H$40:$H$42,MATCH('Model Inputs &amp; Assumptions'!$L$29,'Model Inputs &amp; Assumptions'!$A$40:$A$42,0))</f>
        <v>6169.57051452208</v>
      </c>
      <c r="L644" s="51" t="n">
        <f aca="false">IFERROR(K644/I644,0)</f>
        <v>0.949164694541859</v>
      </c>
      <c r="M644" s="49" t="n">
        <f aca="false">IFERROR(I644/H644,0)</f>
        <v>201.492955964099</v>
      </c>
      <c r="N644" s="52" t="str">
        <f aca="false">'Model Inputs &amp; Assumptions'!$L$29</f>
        <v>PRD-EUAI</v>
      </c>
      <c r="P644" s="53" t="n">
        <v>0.709724</v>
      </c>
      <c r="Q644" s="53" t="n">
        <v>0.242899</v>
      </c>
      <c r="R644" s="53" t="n">
        <v>1.634034</v>
      </c>
      <c r="S644" s="53" t="n">
        <v>-1.290673</v>
      </c>
    </row>
    <row r="645" customFormat="false" ht="15" hidden="false" customHeight="false" outlineLevel="0" collapsed="false">
      <c r="A645" s="43" t="n">
        <v>142</v>
      </c>
      <c r="B645" s="44" t="str">
        <f aca="false">'Model Inputs &amp; Assumptions'!$B$29</f>
        <v>Handelsblatt — Native Explainer</v>
      </c>
      <c r="C645" s="45" t="n">
        <f aca="false">ROUND(MAX(0,'Model Inputs &amp; Assumptions'!$S$29*EXP('Model Inputs &amp; Assumptions'!$T$29*P645-'Model Inputs &amp; Assumptions'!$T$29^2/2)),0)</f>
        <v>155974</v>
      </c>
      <c r="D645" s="46" t="n">
        <f aca="false">MIN(1,'Model Inputs &amp; Assumptions'!$U$29*EXP('Model Inputs &amp; Assumptions'!$V$29*Q645-'Model Inputs &amp; Assumptions'!$V$29^2/2))</f>
        <v>0</v>
      </c>
      <c r="E645" s="45" t="n">
        <f aca="false">ROUND(C645*D645,0)</f>
        <v>0</v>
      </c>
      <c r="F645" s="47" t="n">
        <f aca="false">MIN(1,'Model Inputs &amp; Assumptions'!$W$29*EXP('Model Inputs &amp; Assumptions'!$X$29*R645-'Model Inputs &amp; Assumptions'!$X$29^2/2))</f>
        <v>0.00150446542959143</v>
      </c>
      <c r="G645" s="45" t="n">
        <f aca="false">ROUND(C645*F645,0)</f>
        <v>235</v>
      </c>
      <c r="H645" s="48" t="n">
        <f aca="false">MAX(0,(C645*'Model Inputs &amp; Assumptions'!$N$29+E645*'Model Inputs &amp; Assumptions'!$O$29+G645*'Model Inputs &amp; Assumptions'!$P$29)*EXP('Model Inputs &amp; Assumptions'!$Q$29*S645-'Model Inputs &amp; Assumptions'!$Q$29^2/2))</f>
        <v>10.3631271588119</v>
      </c>
      <c r="I645" s="49" t="n">
        <f aca="false">IF('Model Inputs &amp; Assumptions'!$H$29="Fixed",'Model Inputs &amp; Assumptions'!$I$29*'Model Inputs &amp; Assumptions'!$K$29,IF('Model Inputs &amp; Assumptions'!$H$29="CPM",'Model Inputs &amp; Assumptions'!$I$29*'Model Inputs &amp; Assumptions'!$K$29*C645/1000,IF('Model Inputs &amp; Assumptions'!$H$29="CPC",'Model Inputs &amp; Assumptions'!$I$29*'Model Inputs &amp; Assumptions'!$K$29*G645,0)))</f>
        <v>6500</v>
      </c>
      <c r="J645" s="50" t="n">
        <f aca="false">H645*INDEX('Model Inputs &amp; Assumptions'!$D$40:$D$42,MATCH('Model Inputs &amp; Assumptions'!$L$29,'Model Inputs &amp; Assumptions'!$A$40:$A$42,0))*INDEX('Model Inputs &amp; Assumptions'!$H$40:$H$42,MATCH('Model Inputs &amp; Assumptions'!$L$29,'Model Inputs &amp; Assumptions'!$A$40:$A$42,0))</f>
        <v>88086.5808499011</v>
      </c>
      <c r="K645" s="49" t="n">
        <f aca="false">H645*INDEX('Model Inputs &amp; Assumptions'!$G$40:$G$42,MATCH('Model Inputs &amp; Assumptions'!$L$29,'Model Inputs &amp; Assumptions'!$A$40:$A$42,0))*INDEX('Model Inputs &amp; Assumptions'!$H$40:$H$42,MATCH('Model Inputs &amp; Assumptions'!$L$29,'Model Inputs &amp; Assumptions'!$A$40:$A$42,0))</f>
        <v>1981.94806912277</v>
      </c>
      <c r="L645" s="51" t="n">
        <f aca="false">IFERROR(K645/I645,0)</f>
        <v>0.30491508755735</v>
      </c>
      <c r="M645" s="49" t="n">
        <f aca="false">IFERROR(I645/H645,0)</f>
        <v>627.223800344182</v>
      </c>
      <c r="N645" s="52" t="str">
        <f aca="false">'Model Inputs &amp; Assumptions'!$L$29</f>
        <v>PRD-EUAI</v>
      </c>
      <c r="P645" s="53" t="n">
        <v>-0.97444</v>
      </c>
      <c r="Q645" s="53" t="n">
        <v>0.05938</v>
      </c>
      <c r="R645" s="53" t="n">
        <v>-2.493948</v>
      </c>
      <c r="S645" s="53" t="n">
        <v>-0.268664</v>
      </c>
    </row>
    <row r="646" customFormat="false" ht="15" hidden="false" customHeight="false" outlineLevel="0" collapsed="false">
      <c r="A646" s="43" t="n">
        <v>143</v>
      </c>
      <c r="B646" s="44" t="str">
        <f aca="false">'Model Inputs &amp; Assumptions'!$B$29</f>
        <v>Handelsblatt — Native Explainer</v>
      </c>
      <c r="C646" s="45" t="n">
        <f aca="false">ROUND(MAX(0,'Model Inputs &amp; Assumptions'!$S$29*EXP('Model Inputs &amp; Assumptions'!$T$29*P646-'Model Inputs &amp; Assumptions'!$T$29^2/2)),0)</f>
        <v>242253</v>
      </c>
      <c r="D646" s="46" t="n">
        <f aca="false">MIN(1,'Model Inputs &amp; Assumptions'!$U$29*EXP('Model Inputs &amp; Assumptions'!$V$29*Q646-'Model Inputs &amp; Assumptions'!$V$29^2/2))</f>
        <v>0</v>
      </c>
      <c r="E646" s="45" t="n">
        <f aca="false">ROUND(C646*D646,0)</f>
        <v>0</v>
      </c>
      <c r="F646" s="47" t="n">
        <f aca="false">MIN(1,'Model Inputs &amp; Assumptions'!$W$29*EXP('Model Inputs &amp; Assumptions'!$X$29*R646-'Model Inputs &amp; Assumptions'!$X$29^2/2))</f>
        <v>0.00372894345992202</v>
      </c>
      <c r="G646" s="45" t="n">
        <f aca="false">ROUND(C646*F646,0)</f>
        <v>903</v>
      </c>
      <c r="H646" s="48" t="n">
        <f aca="false">MAX(0,(C646*'Model Inputs &amp; Assumptions'!$N$29+E646*'Model Inputs &amp; Assumptions'!$O$29+G646*'Model Inputs &amp; Assumptions'!$P$29)*EXP('Model Inputs &amp; Assumptions'!$Q$29*S646-'Model Inputs &amp; Assumptions'!$Q$29^2/2))</f>
        <v>29.5113631251812</v>
      </c>
      <c r="I646" s="49" t="n">
        <f aca="false">IF('Model Inputs &amp; Assumptions'!$H$29="Fixed",'Model Inputs &amp; Assumptions'!$I$29*'Model Inputs &amp; Assumptions'!$K$29,IF('Model Inputs &amp; Assumptions'!$H$29="CPM",'Model Inputs &amp; Assumptions'!$I$29*'Model Inputs &amp; Assumptions'!$K$29*C646/1000,IF('Model Inputs &amp; Assumptions'!$H$29="CPC",'Model Inputs &amp; Assumptions'!$I$29*'Model Inputs &amp; Assumptions'!$K$29*G646,0)))</f>
        <v>6500</v>
      </c>
      <c r="J646" s="50" t="n">
        <f aca="false">H646*INDEX('Model Inputs &amp; Assumptions'!$D$40:$D$42,MATCH('Model Inputs &amp; Assumptions'!$L$29,'Model Inputs &amp; Assumptions'!$A$40:$A$42,0))*INDEX('Model Inputs &amp; Assumptions'!$H$40:$H$42,MATCH('Model Inputs &amp; Assumptions'!$L$29,'Model Inputs &amp; Assumptions'!$A$40:$A$42,0))</f>
        <v>250846.58656404</v>
      </c>
      <c r="K646" s="49" t="n">
        <f aca="false">H646*INDEX('Model Inputs &amp; Assumptions'!$G$40:$G$42,MATCH('Model Inputs &amp; Assumptions'!$L$29,'Model Inputs &amp; Assumptions'!$A$40:$A$42,0))*INDEX('Model Inputs &amp; Assumptions'!$H$40:$H$42,MATCH('Model Inputs &amp; Assumptions'!$L$29,'Model Inputs &amp; Assumptions'!$A$40:$A$42,0))</f>
        <v>5644.0481976909</v>
      </c>
      <c r="L646" s="51" t="n">
        <f aca="false">IFERROR(K646/I646,0)</f>
        <v>0.868315107337061</v>
      </c>
      <c r="M646" s="49" t="n">
        <f aca="false">IFERROR(I646/H646,0)</f>
        <v>220.254143206748</v>
      </c>
      <c r="N646" s="52" t="str">
        <f aca="false">'Model Inputs &amp; Assumptions'!$L$29</f>
        <v>PRD-EUAI</v>
      </c>
      <c r="P646" s="53" t="n">
        <v>1.026893</v>
      </c>
      <c r="Q646" s="53" t="n">
        <v>-1.353217</v>
      </c>
      <c r="R646" s="53" t="n">
        <v>0.997157</v>
      </c>
      <c r="S646" s="53" t="n">
        <v>-1.267383</v>
      </c>
    </row>
    <row r="647" customFormat="false" ht="15" hidden="false" customHeight="false" outlineLevel="0" collapsed="false">
      <c r="A647" s="43" t="n">
        <v>144</v>
      </c>
      <c r="B647" s="44" t="str">
        <f aca="false">'Model Inputs &amp; Assumptions'!$B$29</f>
        <v>Handelsblatt — Native Explainer</v>
      </c>
      <c r="C647" s="45" t="n">
        <f aca="false">ROUND(MAX(0,'Model Inputs &amp; Assumptions'!$S$29*EXP('Model Inputs &amp; Assumptions'!$T$29*P647-'Model Inputs &amp; Assumptions'!$T$29^2/2)),0)</f>
        <v>211098</v>
      </c>
      <c r="D647" s="46" t="n">
        <f aca="false">MIN(1,'Model Inputs &amp; Assumptions'!$U$29*EXP('Model Inputs &amp; Assumptions'!$V$29*Q647-'Model Inputs &amp; Assumptions'!$V$29^2/2))</f>
        <v>0</v>
      </c>
      <c r="E647" s="45" t="n">
        <f aca="false">ROUND(C647*D647,0)</f>
        <v>0</v>
      </c>
      <c r="F647" s="47" t="n">
        <f aca="false">MIN(1,'Model Inputs &amp; Assumptions'!$W$29*EXP('Model Inputs &amp; Assumptions'!$X$29*R647-'Model Inputs &amp; Assumptions'!$X$29^2/2))</f>
        <v>0.00292750562762414</v>
      </c>
      <c r="G647" s="45" t="n">
        <f aca="false">ROUND(C647*F647,0)</f>
        <v>618</v>
      </c>
      <c r="H647" s="48" t="n">
        <f aca="false">MAX(0,(C647*'Model Inputs &amp; Assumptions'!$N$29+E647*'Model Inputs &amp; Assumptions'!$O$29+G647*'Model Inputs &amp; Assumptions'!$P$29)*EXP('Model Inputs &amp; Assumptions'!$Q$29*S647-'Model Inputs &amp; Assumptions'!$Q$29^2/2))</f>
        <v>22.9323868399044</v>
      </c>
      <c r="I647" s="49" t="n">
        <f aca="false">IF('Model Inputs &amp; Assumptions'!$H$29="Fixed",'Model Inputs &amp; Assumptions'!$I$29*'Model Inputs &amp; Assumptions'!$K$29,IF('Model Inputs &amp; Assumptions'!$H$29="CPM",'Model Inputs &amp; Assumptions'!$I$29*'Model Inputs &amp; Assumptions'!$K$29*C647/1000,IF('Model Inputs &amp; Assumptions'!$H$29="CPC",'Model Inputs &amp; Assumptions'!$I$29*'Model Inputs &amp; Assumptions'!$K$29*G647,0)))</f>
        <v>6500</v>
      </c>
      <c r="J647" s="50" t="n">
        <f aca="false">H647*INDEX('Model Inputs &amp; Assumptions'!$D$40:$D$42,MATCH('Model Inputs &amp; Assumptions'!$L$29,'Model Inputs &amp; Assumptions'!$A$40:$A$42,0))*INDEX('Model Inputs &amp; Assumptions'!$H$40:$H$42,MATCH('Model Inputs &amp; Assumptions'!$L$29,'Model Inputs &amp; Assumptions'!$A$40:$A$42,0))</f>
        <v>194925.288139188</v>
      </c>
      <c r="K647" s="49" t="n">
        <f aca="false">H647*INDEX('Model Inputs &amp; Assumptions'!$G$40:$G$42,MATCH('Model Inputs &amp; Assumptions'!$L$29,'Model Inputs &amp; Assumptions'!$A$40:$A$42,0))*INDEX('Model Inputs &amp; Assumptions'!$H$40:$H$42,MATCH('Model Inputs &amp; Assumptions'!$L$29,'Model Inputs &amp; Assumptions'!$A$40:$A$42,0))</f>
        <v>4385.81898313172</v>
      </c>
      <c r="L647" s="51" t="n">
        <f aca="false">IFERROR(K647/I647,0)</f>
        <v>0.674741382020264</v>
      </c>
      <c r="M647" s="49" t="n">
        <f aca="false">IFERROR(I647/H647,0)</f>
        <v>283.441930636257</v>
      </c>
      <c r="N647" s="52" t="str">
        <f aca="false">'Model Inputs &amp; Assumptions'!$L$29</f>
        <v>PRD-EUAI</v>
      </c>
      <c r="P647" s="53" t="n">
        <v>0.401169</v>
      </c>
      <c r="Q647" s="53" t="n">
        <v>0.619373</v>
      </c>
      <c r="R647" s="53" t="n">
        <v>0.066487</v>
      </c>
      <c r="S647" s="53" t="n">
        <v>-0.84402</v>
      </c>
    </row>
    <row r="648" customFormat="false" ht="15" hidden="false" customHeight="false" outlineLevel="0" collapsed="false">
      <c r="A648" s="43" t="n">
        <v>145</v>
      </c>
      <c r="B648" s="44" t="str">
        <f aca="false">'Model Inputs &amp; Assumptions'!$B$29</f>
        <v>Handelsblatt — Native Explainer</v>
      </c>
      <c r="C648" s="45" t="n">
        <f aca="false">ROUND(MAX(0,'Model Inputs &amp; Assumptions'!$S$29*EXP('Model Inputs &amp; Assumptions'!$T$29*P648-'Model Inputs &amp; Assumptions'!$T$29^2/2)),0)</f>
        <v>202829</v>
      </c>
      <c r="D648" s="46" t="n">
        <f aca="false">MIN(1,'Model Inputs &amp; Assumptions'!$U$29*EXP('Model Inputs &amp; Assumptions'!$V$29*Q648-'Model Inputs &amp; Assumptions'!$V$29^2/2))</f>
        <v>0</v>
      </c>
      <c r="E648" s="45" t="n">
        <f aca="false">ROUND(C648*D648,0)</f>
        <v>0</v>
      </c>
      <c r="F648" s="47" t="n">
        <f aca="false">MIN(1,'Model Inputs &amp; Assumptions'!$W$29*EXP('Model Inputs &amp; Assumptions'!$X$29*R648-'Model Inputs &amp; Assumptions'!$X$29^2/2))</f>
        <v>0.00206414628333959</v>
      </c>
      <c r="G648" s="45" t="n">
        <f aca="false">ROUND(C648*F648,0)</f>
        <v>419</v>
      </c>
      <c r="H648" s="48" t="n">
        <f aca="false">MAX(0,(C648*'Model Inputs &amp; Assumptions'!$N$29+E648*'Model Inputs &amp; Assumptions'!$O$29+G648*'Model Inputs &amp; Assumptions'!$P$29)*EXP('Model Inputs &amp; Assumptions'!$Q$29*S648-'Model Inputs &amp; Assumptions'!$Q$29^2/2))</f>
        <v>15.5456778211961</v>
      </c>
      <c r="I648" s="49" t="n">
        <f aca="false">IF('Model Inputs &amp; Assumptions'!$H$29="Fixed",'Model Inputs &amp; Assumptions'!$I$29*'Model Inputs &amp; Assumptions'!$K$29,IF('Model Inputs &amp; Assumptions'!$H$29="CPM",'Model Inputs &amp; Assumptions'!$I$29*'Model Inputs &amp; Assumptions'!$K$29*C648/1000,IF('Model Inputs &amp; Assumptions'!$H$29="CPC",'Model Inputs &amp; Assumptions'!$I$29*'Model Inputs &amp; Assumptions'!$K$29*G648,0)))</f>
        <v>6500</v>
      </c>
      <c r="J648" s="50" t="n">
        <f aca="false">H648*INDEX('Model Inputs &amp; Assumptions'!$D$40:$D$42,MATCH('Model Inputs &amp; Assumptions'!$L$29,'Model Inputs &amp; Assumptions'!$A$40:$A$42,0))*INDEX('Model Inputs &amp; Assumptions'!$H$40:$H$42,MATCH('Model Inputs &amp; Assumptions'!$L$29,'Model Inputs &amp; Assumptions'!$A$40:$A$42,0))</f>
        <v>132138.261480167</v>
      </c>
      <c r="K648" s="49" t="n">
        <f aca="false">H648*INDEX('Model Inputs &amp; Assumptions'!$G$40:$G$42,MATCH('Model Inputs &amp; Assumptions'!$L$29,'Model Inputs &amp; Assumptions'!$A$40:$A$42,0))*INDEX('Model Inputs &amp; Assumptions'!$H$40:$H$42,MATCH('Model Inputs &amp; Assumptions'!$L$29,'Model Inputs &amp; Assumptions'!$A$40:$A$42,0))</f>
        <v>2973.11088330376</v>
      </c>
      <c r="L648" s="51" t="n">
        <f aca="false">IFERROR(K648/I648,0)</f>
        <v>0.457401674354424</v>
      </c>
      <c r="M648" s="49" t="n">
        <f aca="false">IFERROR(I648/H648,0)</f>
        <v>418.122649572567</v>
      </c>
      <c r="N648" s="52" t="str">
        <f aca="false">'Model Inputs &amp; Assumptions'!$L$29</f>
        <v>PRD-EUAI</v>
      </c>
      <c r="P648" s="53" t="n">
        <v>0.219531</v>
      </c>
      <c r="Q648" s="53" t="n">
        <v>-0.110221</v>
      </c>
      <c r="R648" s="53" t="n">
        <v>-1.27749</v>
      </c>
      <c r="S648" s="53" t="n">
        <v>-0.84452</v>
      </c>
    </row>
    <row r="649" customFormat="false" ht="15" hidden="false" customHeight="false" outlineLevel="0" collapsed="false">
      <c r="A649" s="43" t="n">
        <v>146</v>
      </c>
      <c r="B649" s="44" t="str">
        <f aca="false">'Model Inputs &amp; Assumptions'!$B$29</f>
        <v>Handelsblatt — Native Explainer</v>
      </c>
      <c r="C649" s="45" t="n">
        <f aca="false">ROUND(MAX(0,'Model Inputs &amp; Assumptions'!$S$29*EXP('Model Inputs &amp; Assumptions'!$T$29*P649-'Model Inputs &amp; Assumptions'!$T$29^2/2)),0)</f>
        <v>242017</v>
      </c>
      <c r="D649" s="46" t="n">
        <f aca="false">MIN(1,'Model Inputs &amp; Assumptions'!$U$29*EXP('Model Inputs &amp; Assumptions'!$V$29*Q649-'Model Inputs &amp; Assumptions'!$V$29^2/2))</f>
        <v>0</v>
      </c>
      <c r="E649" s="45" t="n">
        <f aca="false">ROUND(C649*D649,0)</f>
        <v>0</v>
      </c>
      <c r="F649" s="47" t="n">
        <f aca="false">MIN(1,'Model Inputs &amp; Assumptions'!$W$29*EXP('Model Inputs &amp; Assumptions'!$X$29*R649-'Model Inputs &amp; Assumptions'!$X$29^2/2))</f>
        <v>0.00416754093828757</v>
      </c>
      <c r="G649" s="45" t="n">
        <f aca="false">ROUND(C649*F649,0)</f>
        <v>1009</v>
      </c>
      <c r="H649" s="48" t="n">
        <f aca="false">MAX(0,(C649*'Model Inputs &amp; Assumptions'!$N$29+E649*'Model Inputs &amp; Assumptions'!$O$29+G649*'Model Inputs &amp; Assumptions'!$P$29)*EXP('Model Inputs &amp; Assumptions'!$Q$29*S649-'Model Inputs &amp; Assumptions'!$Q$29^2/2))</f>
        <v>35.7535207496855</v>
      </c>
      <c r="I649" s="49" t="n">
        <f aca="false">IF('Model Inputs &amp; Assumptions'!$H$29="Fixed",'Model Inputs &amp; Assumptions'!$I$29*'Model Inputs &amp; Assumptions'!$K$29,IF('Model Inputs &amp; Assumptions'!$H$29="CPM",'Model Inputs &amp; Assumptions'!$I$29*'Model Inputs &amp; Assumptions'!$K$29*C649/1000,IF('Model Inputs &amp; Assumptions'!$H$29="CPC",'Model Inputs &amp; Assumptions'!$I$29*'Model Inputs &amp; Assumptions'!$K$29*G649,0)))</f>
        <v>6500</v>
      </c>
      <c r="J649" s="50" t="n">
        <f aca="false">H649*INDEX('Model Inputs &amp; Assumptions'!$D$40:$D$42,MATCH('Model Inputs &amp; Assumptions'!$L$29,'Model Inputs &amp; Assumptions'!$A$40:$A$42,0))*INDEX('Model Inputs &amp; Assumptions'!$H$40:$H$42,MATCH('Model Inputs &amp; Assumptions'!$L$29,'Model Inputs &amp; Assumptions'!$A$40:$A$42,0))</f>
        <v>303904.926372327</v>
      </c>
      <c r="K649" s="49" t="n">
        <f aca="false">H649*INDEX('Model Inputs &amp; Assumptions'!$G$40:$G$42,MATCH('Model Inputs &amp; Assumptions'!$L$29,'Model Inputs &amp; Assumptions'!$A$40:$A$42,0))*INDEX('Model Inputs &amp; Assumptions'!$H$40:$H$42,MATCH('Model Inputs &amp; Assumptions'!$L$29,'Model Inputs &amp; Assumptions'!$A$40:$A$42,0))</f>
        <v>6837.86084337735</v>
      </c>
      <c r="L649" s="51" t="n">
        <f aca="false">IFERROR(K649/I649,0)</f>
        <v>1.05197859128882</v>
      </c>
      <c r="M649" s="49" t="n">
        <f aca="false">IFERROR(I649/H649,0)</f>
        <v>181.800277670757</v>
      </c>
      <c r="N649" s="52" t="str">
        <f aca="false">'Model Inputs &amp; Assumptions'!$L$29</f>
        <v>PRD-EUAI</v>
      </c>
      <c r="P649" s="53" t="n">
        <v>1.022463</v>
      </c>
      <c r="Q649" s="53" t="n">
        <v>0.004346</v>
      </c>
      <c r="R649" s="53" t="n">
        <v>1.424854</v>
      </c>
      <c r="S649" s="53" t="n">
        <v>-0.99778</v>
      </c>
    </row>
    <row r="650" customFormat="false" ht="15" hidden="false" customHeight="false" outlineLevel="0" collapsed="false">
      <c r="A650" s="43" t="n">
        <v>147</v>
      </c>
      <c r="B650" s="44" t="str">
        <f aca="false">'Model Inputs &amp; Assumptions'!$B$29</f>
        <v>Handelsblatt — Native Explainer</v>
      </c>
      <c r="C650" s="45" t="n">
        <f aca="false">ROUND(MAX(0,'Model Inputs &amp; Assumptions'!$S$29*EXP('Model Inputs &amp; Assumptions'!$T$29*P650-'Model Inputs &amp; Assumptions'!$T$29^2/2)),0)</f>
        <v>132310</v>
      </c>
      <c r="D650" s="46" t="n">
        <f aca="false">MIN(1,'Model Inputs &amp; Assumptions'!$U$29*EXP('Model Inputs &amp; Assumptions'!$V$29*Q650-'Model Inputs &amp; Assumptions'!$V$29^2/2))</f>
        <v>0</v>
      </c>
      <c r="E650" s="45" t="n">
        <f aca="false">ROUND(C650*D650,0)</f>
        <v>0</v>
      </c>
      <c r="F650" s="47" t="n">
        <f aca="false">MIN(1,'Model Inputs &amp; Assumptions'!$W$29*EXP('Model Inputs &amp; Assumptions'!$X$29*R650-'Model Inputs &amp; Assumptions'!$X$29^2/2))</f>
        <v>0.00241406454191344</v>
      </c>
      <c r="G650" s="45" t="n">
        <f aca="false">ROUND(C650*F650,0)</f>
        <v>319</v>
      </c>
      <c r="H650" s="48" t="n">
        <f aca="false">MAX(0,(C650*'Model Inputs &amp; Assumptions'!$N$29+E650*'Model Inputs &amp; Assumptions'!$O$29+G650*'Model Inputs &amp; Assumptions'!$P$29)*EXP('Model Inputs &amp; Assumptions'!$Q$29*S650-'Model Inputs &amp; Assumptions'!$Q$29^2/2))</f>
        <v>15.2405041318767</v>
      </c>
      <c r="I650" s="49" t="n">
        <f aca="false">IF('Model Inputs &amp; Assumptions'!$H$29="Fixed",'Model Inputs &amp; Assumptions'!$I$29*'Model Inputs &amp; Assumptions'!$K$29,IF('Model Inputs &amp; Assumptions'!$H$29="CPM",'Model Inputs &amp; Assumptions'!$I$29*'Model Inputs &amp; Assumptions'!$K$29*C650/1000,IF('Model Inputs &amp; Assumptions'!$H$29="CPC",'Model Inputs &amp; Assumptions'!$I$29*'Model Inputs &amp; Assumptions'!$K$29*G650,0)))</f>
        <v>6500</v>
      </c>
      <c r="J650" s="50" t="n">
        <f aca="false">H650*INDEX('Model Inputs &amp; Assumptions'!$D$40:$D$42,MATCH('Model Inputs &amp; Assumptions'!$L$29,'Model Inputs &amp; Assumptions'!$A$40:$A$42,0))*INDEX('Model Inputs &amp; Assumptions'!$H$40:$H$42,MATCH('Model Inputs &amp; Assumptions'!$L$29,'Model Inputs &amp; Assumptions'!$A$40:$A$42,0))</f>
        <v>129544.285120952</v>
      </c>
      <c r="K650" s="49" t="n">
        <f aca="false">H650*INDEX('Model Inputs &amp; Assumptions'!$G$40:$G$42,MATCH('Model Inputs &amp; Assumptions'!$L$29,'Model Inputs &amp; Assumptions'!$A$40:$A$42,0))*INDEX('Model Inputs &amp; Assumptions'!$H$40:$H$42,MATCH('Model Inputs &amp; Assumptions'!$L$29,'Model Inputs &amp; Assumptions'!$A$40:$A$42,0))</f>
        <v>2914.74641522142</v>
      </c>
      <c r="L650" s="51" t="n">
        <f aca="false">IFERROR(K650/I650,0)</f>
        <v>0.44842252541868</v>
      </c>
      <c r="M650" s="49" t="n">
        <f aca="false">IFERROR(I650/H650,0)</f>
        <v>426.495078099467</v>
      </c>
      <c r="N650" s="52" t="str">
        <f aca="false">'Model Inputs &amp; Assumptions'!$L$29</f>
        <v>PRD-EUAI</v>
      </c>
      <c r="P650" s="53" t="n">
        <v>-1.722365</v>
      </c>
      <c r="Q650" s="53" t="n">
        <v>-0.799833</v>
      </c>
      <c r="R650" s="53" t="n">
        <v>-0.675201</v>
      </c>
      <c r="S650" s="53" t="n">
        <v>-0.001674</v>
      </c>
    </row>
    <row r="651" customFormat="false" ht="15" hidden="false" customHeight="false" outlineLevel="0" collapsed="false">
      <c r="A651" s="43" t="n">
        <v>148</v>
      </c>
      <c r="B651" s="44" t="str">
        <f aca="false">'Model Inputs &amp; Assumptions'!$B$29</f>
        <v>Handelsblatt — Native Explainer</v>
      </c>
      <c r="C651" s="45" t="n">
        <f aca="false">ROUND(MAX(0,'Model Inputs &amp; Assumptions'!$S$29*EXP('Model Inputs &amp; Assumptions'!$T$29*P651-'Model Inputs &amp; Assumptions'!$T$29^2/2)),0)</f>
        <v>254726</v>
      </c>
      <c r="D651" s="46" t="n">
        <f aca="false">MIN(1,'Model Inputs &amp; Assumptions'!$U$29*EXP('Model Inputs &amp; Assumptions'!$V$29*Q651-'Model Inputs &amp; Assumptions'!$V$29^2/2))</f>
        <v>0</v>
      </c>
      <c r="E651" s="45" t="n">
        <f aca="false">ROUND(C651*D651,0)</f>
        <v>0</v>
      </c>
      <c r="F651" s="47" t="n">
        <f aca="false">MIN(1,'Model Inputs &amp; Assumptions'!$W$29*EXP('Model Inputs &amp; Assumptions'!$X$29*R651-'Model Inputs &amp; Assumptions'!$X$29^2/2))</f>
        <v>0.00211667397887881</v>
      </c>
      <c r="G651" s="45" t="n">
        <f aca="false">ROUND(C651*F651,0)</f>
        <v>539</v>
      </c>
      <c r="H651" s="48" t="n">
        <f aca="false">MAX(0,(C651*'Model Inputs &amp; Assumptions'!$N$29+E651*'Model Inputs &amp; Assumptions'!$O$29+G651*'Model Inputs &amp; Assumptions'!$P$29)*EXP('Model Inputs &amp; Assumptions'!$Q$29*S651-'Model Inputs &amp; Assumptions'!$Q$29^2/2))</f>
        <v>46.3272433509464</v>
      </c>
      <c r="I651" s="49" t="n">
        <f aca="false">IF('Model Inputs &amp; Assumptions'!$H$29="Fixed",'Model Inputs &amp; Assumptions'!$I$29*'Model Inputs &amp; Assumptions'!$K$29,IF('Model Inputs &amp; Assumptions'!$H$29="CPM",'Model Inputs &amp; Assumptions'!$I$29*'Model Inputs &amp; Assumptions'!$K$29*C651/1000,IF('Model Inputs &amp; Assumptions'!$H$29="CPC",'Model Inputs &amp; Assumptions'!$I$29*'Model Inputs &amp; Assumptions'!$K$29*G651,0)))</f>
        <v>6500</v>
      </c>
      <c r="J651" s="50" t="n">
        <f aca="false">H651*INDEX('Model Inputs &amp; Assumptions'!$D$40:$D$42,MATCH('Model Inputs &amp; Assumptions'!$L$29,'Model Inputs &amp; Assumptions'!$A$40:$A$42,0))*INDEX('Model Inputs &amp; Assumptions'!$H$40:$H$42,MATCH('Model Inputs &amp; Assumptions'!$L$29,'Model Inputs &amp; Assumptions'!$A$40:$A$42,0))</f>
        <v>393781.568483044</v>
      </c>
      <c r="K651" s="49" t="n">
        <f aca="false">H651*INDEX('Model Inputs &amp; Assumptions'!$G$40:$G$42,MATCH('Model Inputs &amp; Assumptions'!$L$29,'Model Inputs &amp; Assumptions'!$A$40:$A$42,0))*INDEX('Model Inputs &amp; Assumptions'!$H$40:$H$42,MATCH('Model Inputs &amp; Assumptions'!$L$29,'Model Inputs &amp; Assumptions'!$A$40:$A$42,0))</f>
        <v>8860.08529086849</v>
      </c>
      <c r="L651" s="51" t="n">
        <f aca="false">IFERROR(K651/I651,0)</f>
        <v>1.363090044749</v>
      </c>
      <c r="M651" s="49" t="n">
        <f aca="false">IFERROR(I651/H651,0)</f>
        <v>140.306211417762</v>
      </c>
      <c r="N651" s="52" t="str">
        <f aca="false">'Model Inputs &amp; Assumptions'!$L$29</f>
        <v>PRD-EUAI</v>
      </c>
      <c r="P651" s="53" t="n">
        <v>1.255097</v>
      </c>
      <c r="Q651" s="53" t="n">
        <v>3.366887</v>
      </c>
      <c r="R651" s="53" t="n">
        <v>-1.180839</v>
      </c>
      <c r="S651" s="53" t="n">
        <v>1.955823</v>
      </c>
    </row>
    <row r="652" customFormat="false" ht="15" hidden="false" customHeight="false" outlineLevel="0" collapsed="false">
      <c r="A652" s="43" t="n">
        <v>149</v>
      </c>
      <c r="B652" s="44" t="str">
        <f aca="false">'Model Inputs &amp; Assumptions'!$B$29</f>
        <v>Handelsblatt — Native Explainer</v>
      </c>
      <c r="C652" s="45" t="n">
        <f aca="false">ROUND(MAX(0,'Model Inputs &amp; Assumptions'!$S$29*EXP('Model Inputs &amp; Assumptions'!$T$29*P652-'Model Inputs &amp; Assumptions'!$T$29^2/2)),0)</f>
        <v>200278</v>
      </c>
      <c r="D652" s="46" t="n">
        <f aca="false">MIN(1,'Model Inputs &amp; Assumptions'!$U$29*EXP('Model Inputs &amp; Assumptions'!$V$29*Q652-'Model Inputs &amp; Assumptions'!$V$29^2/2))</f>
        <v>0</v>
      </c>
      <c r="E652" s="45" t="n">
        <f aca="false">ROUND(C652*D652,0)</f>
        <v>0</v>
      </c>
      <c r="F652" s="47" t="n">
        <f aca="false">MIN(1,'Model Inputs &amp; Assumptions'!$W$29*EXP('Model Inputs &amp; Assumptions'!$X$29*R652-'Model Inputs &amp; Assumptions'!$X$29^2/2))</f>
        <v>0.00168094823338082</v>
      </c>
      <c r="G652" s="45" t="n">
        <f aca="false">ROUND(C652*F652,0)</f>
        <v>337</v>
      </c>
      <c r="H652" s="48" t="n">
        <f aca="false">MAX(0,(C652*'Model Inputs &amp; Assumptions'!$N$29+E652*'Model Inputs &amp; Assumptions'!$O$29+G652*'Model Inputs &amp; Assumptions'!$P$29)*EXP('Model Inputs &amp; Assumptions'!$Q$29*S652-'Model Inputs &amp; Assumptions'!$Q$29^2/2))</f>
        <v>18.2344790797662</v>
      </c>
      <c r="I652" s="49" t="n">
        <f aca="false">IF('Model Inputs &amp; Assumptions'!$H$29="Fixed",'Model Inputs &amp; Assumptions'!$I$29*'Model Inputs &amp; Assumptions'!$K$29,IF('Model Inputs &amp; Assumptions'!$H$29="CPM",'Model Inputs &amp; Assumptions'!$I$29*'Model Inputs &amp; Assumptions'!$K$29*C652/1000,IF('Model Inputs &amp; Assumptions'!$H$29="CPC",'Model Inputs &amp; Assumptions'!$I$29*'Model Inputs &amp; Assumptions'!$K$29*G652,0)))</f>
        <v>6500</v>
      </c>
      <c r="J652" s="50" t="n">
        <f aca="false">H652*INDEX('Model Inputs &amp; Assumptions'!$D$40:$D$42,MATCH('Model Inputs &amp; Assumptions'!$L$29,'Model Inputs &amp; Assumptions'!$A$40:$A$42,0))*INDEX('Model Inputs &amp; Assumptions'!$H$40:$H$42,MATCH('Model Inputs &amp; Assumptions'!$L$29,'Model Inputs &amp; Assumptions'!$A$40:$A$42,0))</f>
        <v>154993.072178013</v>
      </c>
      <c r="K652" s="49" t="n">
        <f aca="false">H652*INDEX('Model Inputs &amp; Assumptions'!$G$40:$G$42,MATCH('Model Inputs &amp; Assumptions'!$L$29,'Model Inputs &amp; Assumptions'!$A$40:$A$42,0))*INDEX('Model Inputs &amp; Assumptions'!$H$40:$H$42,MATCH('Model Inputs &amp; Assumptions'!$L$29,'Model Inputs &amp; Assumptions'!$A$40:$A$42,0))</f>
        <v>3487.34412400528</v>
      </c>
      <c r="L652" s="51" t="n">
        <f aca="false">IFERROR(K652/I652,0)</f>
        <v>0.536514480616197</v>
      </c>
      <c r="M652" s="49" t="n">
        <f aca="false">IFERROR(I652/H652,0)</f>
        <v>356.46754544322</v>
      </c>
      <c r="N652" s="52" t="str">
        <f aca="false">'Model Inputs &amp; Assumptions'!$L$29</f>
        <v>PRD-EUAI</v>
      </c>
      <c r="P652" s="53" t="n">
        <v>0.162001</v>
      </c>
      <c r="Q652" s="53" t="n">
        <v>2.096007</v>
      </c>
      <c r="R652" s="53" t="n">
        <v>-2.067331</v>
      </c>
      <c r="S652" s="53" t="n">
        <v>0.413212</v>
      </c>
    </row>
    <row r="653" customFormat="false" ht="15" hidden="false" customHeight="false" outlineLevel="0" collapsed="false">
      <c r="A653" s="43" t="n">
        <v>150</v>
      </c>
      <c r="B653" s="44" t="str">
        <f aca="false">'Model Inputs &amp; Assumptions'!$B$29</f>
        <v>Handelsblatt — Native Explainer</v>
      </c>
      <c r="C653" s="45" t="n">
        <f aca="false">ROUND(MAX(0,'Model Inputs &amp; Assumptions'!$S$29*EXP('Model Inputs &amp; Assumptions'!$T$29*P653-'Model Inputs &amp; Assumptions'!$T$29^2/2)),0)</f>
        <v>255511</v>
      </c>
      <c r="D653" s="46" t="n">
        <f aca="false">MIN(1,'Model Inputs &amp; Assumptions'!$U$29*EXP('Model Inputs &amp; Assumptions'!$V$29*Q653-'Model Inputs &amp; Assumptions'!$V$29^2/2))</f>
        <v>0</v>
      </c>
      <c r="E653" s="45" t="n">
        <f aca="false">ROUND(C653*D653,0)</f>
        <v>0</v>
      </c>
      <c r="F653" s="47" t="n">
        <f aca="false">MIN(1,'Model Inputs &amp; Assumptions'!$W$29*EXP('Model Inputs &amp; Assumptions'!$X$29*R653-'Model Inputs &amp; Assumptions'!$X$29^2/2))</f>
        <v>0.00270780406641479</v>
      </c>
      <c r="G653" s="45" t="n">
        <f aca="false">ROUND(C653*F653,0)</f>
        <v>692</v>
      </c>
      <c r="H653" s="48" t="n">
        <f aca="false">MAX(0,(C653*'Model Inputs &amp; Assumptions'!$N$29+E653*'Model Inputs &amp; Assumptions'!$O$29+G653*'Model Inputs &amp; Assumptions'!$P$29)*EXP('Model Inputs &amp; Assumptions'!$Q$29*S653-'Model Inputs &amp; Assumptions'!$Q$29^2/2))</f>
        <v>30.1844618006726</v>
      </c>
      <c r="I653" s="49" t="n">
        <f aca="false">IF('Model Inputs &amp; Assumptions'!$H$29="Fixed",'Model Inputs &amp; Assumptions'!$I$29*'Model Inputs &amp; Assumptions'!$K$29,IF('Model Inputs &amp; Assumptions'!$H$29="CPM",'Model Inputs &amp; Assumptions'!$I$29*'Model Inputs &amp; Assumptions'!$K$29*C653/1000,IF('Model Inputs &amp; Assumptions'!$H$29="CPC",'Model Inputs &amp; Assumptions'!$I$29*'Model Inputs &amp; Assumptions'!$K$29*G653,0)))</f>
        <v>6500</v>
      </c>
      <c r="J653" s="50" t="n">
        <f aca="false">H653*INDEX('Model Inputs &amp; Assumptions'!$D$40:$D$42,MATCH('Model Inputs &amp; Assumptions'!$L$29,'Model Inputs &amp; Assumptions'!$A$40:$A$42,0))*INDEX('Model Inputs &amp; Assumptions'!$H$40:$H$42,MATCH('Model Inputs &amp; Assumptions'!$L$29,'Model Inputs &amp; Assumptions'!$A$40:$A$42,0))</f>
        <v>256567.925305717</v>
      </c>
      <c r="K653" s="49" t="n">
        <f aca="false">H653*INDEX('Model Inputs &amp; Assumptions'!$G$40:$G$42,MATCH('Model Inputs &amp; Assumptions'!$L$29,'Model Inputs &amp; Assumptions'!$A$40:$A$42,0))*INDEX('Model Inputs &amp; Assumptions'!$H$40:$H$42,MATCH('Model Inputs &amp; Assumptions'!$L$29,'Model Inputs &amp; Assumptions'!$A$40:$A$42,0))</f>
        <v>5772.77831937864</v>
      </c>
      <c r="L653" s="51" t="n">
        <f aca="false">IFERROR(K653/I653,0)</f>
        <v>0.888119741442867</v>
      </c>
      <c r="M653" s="49" t="n">
        <f aca="false">IFERROR(I653/H653,0)</f>
        <v>215.342583973293</v>
      </c>
      <c r="N653" s="52" t="str">
        <f aca="false">'Model Inputs &amp; Assumptions'!$L$29</f>
        <v>PRD-EUAI</v>
      </c>
      <c r="P653" s="53" t="n">
        <v>1.269085</v>
      </c>
      <c r="Q653" s="53" t="n">
        <v>-2.168612</v>
      </c>
      <c r="R653" s="53" t="n">
        <v>-0.233562</v>
      </c>
      <c r="S653" s="53" t="n">
        <v>-0.305088</v>
      </c>
    </row>
    <row r="654" customFormat="false" ht="15" hidden="false" customHeight="false" outlineLevel="0" collapsed="false">
      <c r="A654" s="43" t="n">
        <v>151</v>
      </c>
      <c r="B654" s="44" t="str">
        <f aca="false">'Model Inputs &amp; Assumptions'!$B$29</f>
        <v>Handelsblatt — Native Explainer</v>
      </c>
      <c r="C654" s="45" t="n">
        <f aca="false">ROUND(MAX(0,'Model Inputs &amp; Assumptions'!$S$29*EXP('Model Inputs &amp; Assumptions'!$T$29*P654-'Model Inputs &amp; Assumptions'!$T$29^2/2)),0)</f>
        <v>235229</v>
      </c>
      <c r="D654" s="46" t="n">
        <f aca="false">MIN(1,'Model Inputs &amp; Assumptions'!$U$29*EXP('Model Inputs &amp; Assumptions'!$V$29*Q654-'Model Inputs &amp; Assumptions'!$V$29^2/2))</f>
        <v>0</v>
      </c>
      <c r="E654" s="45" t="n">
        <f aca="false">ROUND(C654*D654,0)</f>
        <v>0</v>
      </c>
      <c r="F654" s="47" t="n">
        <f aca="false">MIN(1,'Model Inputs &amp; Assumptions'!$W$29*EXP('Model Inputs &amp; Assumptions'!$X$29*R654-'Model Inputs &amp; Assumptions'!$X$29^2/2))</f>
        <v>0.00216249735957838</v>
      </c>
      <c r="G654" s="45" t="n">
        <f aca="false">ROUND(C654*F654,0)</f>
        <v>509</v>
      </c>
      <c r="H654" s="48" t="n">
        <f aca="false">MAX(0,(C654*'Model Inputs &amp; Assumptions'!$N$29+E654*'Model Inputs &amp; Assumptions'!$O$29+G654*'Model Inputs &amp; Assumptions'!$P$29)*EXP('Model Inputs &amp; Assumptions'!$Q$29*S654-'Model Inputs &amp; Assumptions'!$Q$29^2/2))</f>
        <v>18.0503385890041</v>
      </c>
      <c r="I654" s="49" t="n">
        <f aca="false">IF('Model Inputs &amp; Assumptions'!$H$29="Fixed",'Model Inputs &amp; Assumptions'!$I$29*'Model Inputs &amp; Assumptions'!$K$29,IF('Model Inputs &amp; Assumptions'!$H$29="CPM",'Model Inputs &amp; Assumptions'!$I$29*'Model Inputs &amp; Assumptions'!$K$29*C654/1000,IF('Model Inputs &amp; Assumptions'!$H$29="CPC",'Model Inputs &amp; Assumptions'!$I$29*'Model Inputs &amp; Assumptions'!$K$29*G654,0)))</f>
        <v>6500</v>
      </c>
      <c r="J654" s="50" t="n">
        <f aca="false">H654*INDEX('Model Inputs &amp; Assumptions'!$D$40:$D$42,MATCH('Model Inputs &amp; Assumptions'!$L$29,'Model Inputs &amp; Assumptions'!$A$40:$A$42,0))*INDEX('Model Inputs &amp; Assumptions'!$H$40:$H$42,MATCH('Model Inputs &amp; Assumptions'!$L$29,'Model Inputs &amp; Assumptions'!$A$40:$A$42,0))</f>
        <v>153427.878006535</v>
      </c>
      <c r="K654" s="49" t="n">
        <f aca="false">H654*INDEX('Model Inputs &amp; Assumptions'!$G$40:$G$42,MATCH('Model Inputs &amp; Assumptions'!$L$29,'Model Inputs &amp; Assumptions'!$A$40:$A$42,0))*INDEX('Model Inputs &amp; Assumptions'!$H$40:$H$42,MATCH('Model Inputs &amp; Assumptions'!$L$29,'Model Inputs &amp; Assumptions'!$A$40:$A$42,0))</f>
        <v>3452.12725514703</v>
      </c>
      <c r="L654" s="51" t="n">
        <f aca="false">IFERROR(K654/I654,0)</f>
        <v>0.531096500791851</v>
      </c>
      <c r="M654" s="49" t="n">
        <f aca="false">IFERROR(I654/H654,0)</f>
        <v>360.104048350632</v>
      </c>
      <c r="N654" s="52" t="str">
        <f aca="false">'Model Inputs &amp; Assumptions'!$L$29</f>
        <v>PRD-EUAI</v>
      </c>
      <c r="P654" s="53" t="n">
        <v>0.893155</v>
      </c>
      <c r="Q654" s="53" t="n">
        <v>-0.134365</v>
      </c>
      <c r="R654" s="53" t="n">
        <v>-1.098463</v>
      </c>
      <c r="S654" s="53" t="n">
        <v>-0.995171</v>
      </c>
    </row>
    <row r="655" customFormat="false" ht="15" hidden="false" customHeight="false" outlineLevel="0" collapsed="false">
      <c r="A655" s="43" t="n">
        <v>152</v>
      </c>
      <c r="B655" s="44" t="str">
        <f aca="false">'Model Inputs &amp; Assumptions'!$B$29</f>
        <v>Handelsblatt — Native Explainer</v>
      </c>
      <c r="C655" s="45" t="n">
        <f aca="false">ROUND(MAX(0,'Model Inputs &amp; Assumptions'!$S$29*EXP('Model Inputs &amp; Assumptions'!$T$29*P655-'Model Inputs &amp; Assumptions'!$T$29^2/2)),0)</f>
        <v>208058</v>
      </c>
      <c r="D655" s="46" t="n">
        <f aca="false">MIN(1,'Model Inputs &amp; Assumptions'!$U$29*EXP('Model Inputs &amp; Assumptions'!$V$29*Q655-'Model Inputs &amp; Assumptions'!$V$29^2/2))</f>
        <v>0</v>
      </c>
      <c r="E655" s="45" t="n">
        <f aca="false">ROUND(C655*D655,0)</f>
        <v>0</v>
      </c>
      <c r="F655" s="47" t="n">
        <f aca="false">MIN(1,'Model Inputs &amp; Assumptions'!$W$29*EXP('Model Inputs &amp; Assumptions'!$X$29*R655-'Model Inputs &amp; Assumptions'!$X$29^2/2))</f>
        <v>0.00476200462273405</v>
      </c>
      <c r="G655" s="45" t="n">
        <f aca="false">ROUND(C655*F655,0)</f>
        <v>991</v>
      </c>
      <c r="H655" s="48" t="n">
        <f aca="false">MAX(0,(C655*'Model Inputs &amp; Assumptions'!$N$29+E655*'Model Inputs &amp; Assumptions'!$O$29+G655*'Model Inputs &amp; Assumptions'!$P$29)*EXP('Model Inputs &amp; Assumptions'!$Q$29*S655-'Model Inputs &amp; Assumptions'!$Q$29^2/2))</f>
        <v>98.0635228249359</v>
      </c>
      <c r="I655" s="49" t="n">
        <f aca="false">IF('Model Inputs &amp; Assumptions'!$H$29="Fixed",'Model Inputs &amp; Assumptions'!$I$29*'Model Inputs &amp; Assumptions'!$K$29,IF('Model Inputs &amp; Assumptions'!$H$29="CPM",'Model Inputs &amp; Assumptions'!$I$29*'Model Inputs &amp; Assumptions'!$K$29*C655/1000,IF('Model Inputs &amp; Assumptions'!$H$29="CPC",'Model Inputs &amp; Assumptions'!$I$29*'Model Inputs &amp; Assumptions'!$K$29*G655,0)))</f>
        <v>6500</v>
      </c>
      <c r="J655" s="50" t="n">
        <f aca="false">H655*INDEX('Model Inputs &amp; Assumptions'!$D$40:$D$42,MATCH('Model Inputs &amp; Assumptions'!$L$29,'Model Inputs &amp; Assumptions'!$A$40:$A$42,0))*INDEX('Model Inputs &amp; Assumptions'!$H$40:$H$42,MATCH('Model Inputs &amp; Assumptions'!$L$29,'Model Inputs &amp; Assumptions'!$A$40:$A$42,0))</f>
        <v>833539.944011955</v>
      </c>
      <c r="K655" s="49" t="n">
        <f aca="false">H655*INDEX('Model Inputs &amp; Assumptions'!$G$40:$G$42,MATCH('Model Inputs &amp; Assumptions'!$L$29,'Model Inputs &amp; Assumptions'!$A$40:$A$42,0))*INDEX('Model Inputs &amp; Assumptions'!$H$40:$H$42,MATCH('Model Inputs &amp; Assumptions'!$L$29,'Model Inputs &amp; Assumptions'!$A$40:$A$42,0))</f>
        <v>18754.648740269</v>
      </c>
      <c r="L655" s="51" t="n">
        <f aca="false">IFERROR(K655/I655,0)</f>
        <v>2.885330575426</v>
      </c>
      <c r="M655" s="49" t="n">
        <f aca="false">IFERROR(I655/H655,0)</f>
        <v>66.2835661289048</v>
      </c>
      <c r="N655" s="52" t="str">
        <f aca="false">'Model Inputs &amp; Assumptions'!$L$29</f>
        <v>PRD-EUAI</v>
      </c>
      <c r="P655" s="53" t="n">
        <v>0.33522</v>
      </c>
      <c r="Q655" s="53" t="n">
        <v>-0.572262</v>
      </c>
      <c r="R655" s="53" t="n">
        <v>1.93771</v>
      </c>
      <c r="S655" s="53" t="n">
        <v>2.425444</v>
      </c>
    </row>
    <row r="656" customFormat="false" ht="15" hidden="false" customHeight="false" outlineLevel="0" collapsed="false">
      <c r="A656" s="43" t="n">
        <v>153</v>
      </c>
      <c r="B656" s="44" t="str">
        <f aca="false">'Model Inputs &amp; Assumptions'!$B$29</f>
        <v>Handelsblatt — Native Explainer</v>
      </c>
      <c r="C656" s="45" t="n">
        <f aca="false">ROUND(MAX(0,'Model Inputs &amp; Assumptions'!$S$29*EXP('Model Inputs &amp; Assumptions'!$T$29*P656-'Model Inputs &amp; Assumptions'!$T$29^2/2)),0)</f>
        <v>205620</v>
      </c>
      <c r="D656" s="46" t="n">
        <f aca="false">MIN(1,'Model Inputs &amp; Assumptions'!$U$29*EXP('Model Inputs &amp; Assumptions'!$V$29*Q656-'Model Inputs &amp; Assumptions'!$V$29^2/2))</f>
        <v>0</v>
      </c>
      <c r="E656" s="45" t="n">
        <f aca="false">ROUND(C656*D656,0)</f>
        <v>0</v>
      </c>
      <c r="F656" s="47" t="n">
        <f aca="false">MIN(1,'Model Inputs &amp; Assumptions'!$W$29*EXP('Model Inputs &amp; Assumptions'!$X$29*R656-'Model Inputs &amp; Assumptions'!$X$29^2/2))</f>
        <v>0.00280205539862098</v>
      </c>
      <c r="G656" s="45" t="n">
        <f aca="false">ROUND(C656*F656,0)</f>
        <v>576</v>
      </c>
      <c r="H656" s="48" t="n">
        <f aca="false">MAX(0,(C656*'Model Inputs &amp; Assumptions'!$N$29+E656*'Model Inputs &amp; Assumptions'!$O$29+G656*'Model Inputs &amp; Assumptions'!$P$29)*EXP('Model Inputs &amp; Assumptions'!$Q$29*S656-'Model Inputs &amp; Assumptions'!$Q$29^2/2))</f>
        <v>38.1840651968799</v>
      </c>
      <c r="I656" s="49" t="n">
        <f aca="false">IF('Model Inputs &amp; Assumptions'!$H$29="Fixed",'Model Inputs &amp; Assumptions'!$I$29*'Model Inputs &amp; Assumptions'!$K$29,IF('Model Inputs &amp; Assumptions'!$H$29="CPM",'Model Inputs &amp; Assumptions'!$I$29*'Model Inputs &amp; Assumptions'!$K$29*C656/1000,IF('Model Inputs &amp; Assumptions'!$H$29="CPC",'Model Inputs &amp; Assumptions'!$I$29*'Model Inputs &amp; Assumptions'!$K$29*G656,0)))</f>
        <v>6500</v>
      </c>
      <c r="J656" s="50" t="n">
        <f aca="false">H656*INDEX('Model Inputs &amp; Assumptions'!$D$40:$D$42,MATCH('Model Inputs &amp; Assumptions'!$L$29,'Model Inputs &amp; Assumptions'!$A$40:$A$42,0))*INDEX('Model Inputs &amp; Assumptions'!$H$40:$H$42,MATCH('Model Inputs &amp; Assumptions'!$L$29,'Model Inputs &amp; Assumptions'!$A$40:$A$42,0))</f>
        <v>324564.554173479</v>
      </c>
      <c r="K656" s="49" t="n">
        <f aca="false">H656*INDEX('Model Inputs &amp; Assumptions'!$G$40:$G$42,MATCH('Model Inputs &amp; Assumptions'!$L$29,'Model Inputs &amp; Assumptions'!$A$40:$A$42,0))*INDEX('Model Inputs &amp; Assumptions'!$H$40:$H$42,MATCH('Model Inputs &amp; Assumptions'!$L$29,'Model Inputs &amp; Assumptions'!$A$40:$A$42,0))</f>
        <v>7302.70246890328</v>
      </c>
      <c r="L656" s="51" t="n">
        <f aca="false">IFERROR(K656/I656,0)</f>
        <v>1.12349268752358</v>
      </c>
      <c r="M656" s="49" t="n">
        <f aca="false">IFERROR(I656/H656,0)</f>
        <v>170.228077248599</v>
      </c>
      <c r="N656" s="52" t="str">
        <f aca="false">'Model Inputs &amp; Assumptions'!$L$29</f>
        <v>PRD-EUAI</v>
      </c>
      <c r="P656" s="53" t="n">
        <v>0.281649</v>
      </c>
      <c r="Q656" s="53" t="n">
        <v>0.52417</v>
      </c>
      <c r="R656" s="53" t="n">
        <v>-0.101965</v>
      </c>
      <c r="S656" s="53" t="n">
        <v>1.090143</v>
      </c>
    </row>
    <row r="657" customFormat="false" ht="15" hidden="false" customHeight="false" outlineLevel="0" collapsed="false">
      <c r="A657" s="43" t="n">
        <v>154</v>
      </c>
      <c r="B657" s="44" t="str">
        <f aca="false">'Model Inputs &amp; Assumptions'!$B$29</f>
        <v>Handelsblatt — Native Explainer</v>
      </c>
      <c r="C657" s="45" t="n">
        <f aca="false">ROUND(MAX(0,'Model Inputs &amp; Assumptions'!$S$29*EXP('Model Inputs &amp; Assumptions'!$T$29*P657-'Model Inputs &amp; Assumptions'!$T$29^2/2)),0)</f>
        <v>183939</v>
      </c>
      <c r="D657" s="46" t="n">
        <f aca="false">MIN(1,'Model Inputs &amp; Assumptions'!$U$29*EXP('Model Inputs &amp; Assumptions'!$V$29*Q657-'Model Inputs &amp; Assumptions'!$V$29^2/2))</f>
        <v>0</v>
      </c>
      <c r="E657" s="45" t="n">
        <f aca="false">ROUND(C657*D657,0)</f>
        <v>0</v>
      </c>
      <c r="F657" s="47" t="n">
        <f aca="false">MIN(1,'Model Inputs &amp; Assumptions'!$W$29*EXP('Model Inputs &amp; Assumptions'!$X$29*R657-'Model Inputs &amp; Assumptions'!$X$29^2/2))</f>
        <v>0.0029655996025045</v>
      </c>
      <c r="G657" s="45" t="n">
        <f aca="false">ROUND(C657*F657,0)</f>
        <v>545</v>
      </c>
      <c r="H657" s="48" t="n">
        <f aca="false">MAX(0,(C657*'Model Inputs &amp; Assumptions'!$N$29+E657*'Model Inputs &amp; Assumptions'!$O$29+G657*'Model Inputs &amp; Assumptions'!$P$29)*EXP('Model Inputs &amp; Assumptions'!$Q$29*S657-'Model Inputs &amp; Assumptions'!$Q$29^2/2))</f>
        <v>18.5983156675232</v>
      </c>
      <c r="I657" s="49" t="n">
        <f aca="false">IF('Model Inputs &amp; Assumptions'!$H$29="Fixed",'Model Inputs &amp; Assumptions'!$I$29*'Model Inputs &amp; Assumptions'!$K$29,IF('Model Inputs &amp; Assumptions'!$H$29="CPM",'Model Inputs &amp; Assumptions'!$I$29*'Model Inputs &amp; Assumptions'!$K$29*C657/1000,IF('Model Inputs &amp; Assumptions'!$H$29="CPC",'Model Inputs &amp; Assumptions'!$I$29*'Model Inputs &amp; Assumptions'!$K$29*G657,0)))</f>
        <v>6500</v>
      </c>
      <c r="J657" s="50" t="n">
        <f aca="false">H657*INDEX('Model Inputs &amp; Assumptions'!$D$40:$D$42,MATCH('Model Inputs &amp; Assumptions'!$L$29,'Model Inputs &amp; Assumptions'!$A$40:$A$42,0))*INDEX('Model Inputs &amp; Assumptions'!$H$40:$H$42,MATCH('Model Inputs &amp; Assumptions'!$L$29,'Model Inputs &amp; Assumptions'!$A$40:$A$42,0))</f>
        <v>158085.683173947</v>
      </c>
      <c r="K657" s="49" t="n">
        <f aca="false">H657*INDEX('Model Inputs &amp; Assumptions'!$G$40:$G$42,MATCH('Model Inputs &amp; Assumptions'!$L$29,'Model Inputs &amp; Assumptions'!$A$40:$A$42,0))*INDEX('Model Inputs &amp; Assumptions'!$H$40:$H$42,MATCH('Model Inputs &amp; Assumptions'!$L$29,'Model Inputs &amp; Assumptions'!$A$40:$A$42,0))</f>
        <v>3556.92787141381</v>
      </c>
      <c r="L657" s="51" t="n">
        <f aca="false">IFERROR(K657/I657,0)</f>
        <v>0.547219672525202</v>
      </c>
      <c r="M657" s="49" t="n">
        <f aca="false">IFERROR(I657/H657,0)</f>
        <v>349.494014199923</v>
      </c>
      <c r="N657" s="52" t="str">
        <f aca="false">'Model Inputs &amp; Assumptions'!$L$29</f>
        <v>PRD-EUAI</v>
      </c>
      <c r="P657" s="53" t="n">
        <v>-0.224825</v>
      </c>
      <c r="Q657" s="53" t="n">
        <v>-0.373463</v>
      </c>
      <c r="R657" s="53" t="n">
        <v>0.116212</v>
      </c>
      <c r="S657" s="53" t="n">
        <v>-1.123275</v>
      </c>
    </row>
    <row r="658" customFormat="false" ht="15" hidden="false" customHeight="false" outlineLevel="0" collapsed="false">
      <c r="A658" s="43" t="n">
        <v>155</v>
      </c>
      <c r="B658" s="44" t="str">
        <f aca="false">'Model Inputs &amp; Assumptions'!$B$29</f>
        <v>Handelsblatt — Native Explainer</v>
      </c>
      <c r="C658" s="45" t="n">
        <f aca="false">ROUND(MAX(0,'Model Inputs &amp; Assumptions'!$S$29*EXP('Model Inputs &amp; Assumptions'!$T$29*P658-'Model Inputs &amp; Assumptions'!$T$29^2/2)),0)</f>
        <v>258422</v>
      </c>
      <c r="D658" s="46" t="n">
        <f aca="false">MIN(1,'Model Inputs &amp; Assumptions'!$U$29*EXP('Model Inputs &amp; Assumptions'!$V$29*Q658-'Model Inputs &amp; Assumptions'!$V$29^2/2))</f>
        <v>0</v>
      </c>
      <c r="E658" s="45" t="n">
        <f aca="false">ROUND(C658*D658,0)</f>
        <v>0</v>
      </c>
      <c r="F658" s="47" t="n">
        <f aca="false">MIN(1,'Model Inputs &amp; Assumptions'!$W$29*EXP('Model Inputs &amp; Assumptions'!$X$29*R658-'Model Inputs &amp; Assumptions'!$X$29^2/2))</f>
        <v>0.00285111617744787</v>
      </c>
      <c r="G658" s="45" t="n">
        <f aca="false">ROUND(C658*F658,0)</f>
        <v>737</v>
      </c>
      <c r="H658" s="48" t="n">
        <f aca="false">MAX(0,(C658*'Model Inputs &amp; Assumptions'!$N$29+E658*'Model Inputs &amp; Assumptions'!$O$29+G658*'Model Inputs &amp; Assumptions'!$P$29)*EXP('Model Inputs &amp; Assumptions'!$Q$29*S658-'Model Inputs &amp; Assumptions'!$Q$29^2/2))</f>
        <v>24.3328482812744</v>
      </c>
      <c r="I658" s="49" t="n">
        <f aca="false">IF('Model Inputs &amp; Assumptions'!$H$29="Fixed",'Model Inputs &amp; Assumptions'!$I$29*'Model Inputs &amp; Assumptions'!$K$29,IF('Model Inputs &amp; Assumptions'!$H$29="CPM",'Model Inputs &amp; Assumptions'!$I$29*'Model Inputs &amp; Assumptions'!$K$29*C658/1000,IF('Model Inputs &amp; Assumptions'!$H$29="CPC",'Model Inputs &amp; Assumptions'!$I$29*'Model Inputs &amp; Assumptions'!$K$29*G658,0)))</f>
        <v>6500</v>
      </c>
      <c r="J658" s="50" t="n">
        <f aca="false">H658*INDEX('Model Inputs &amp; Assumptions'!$D$40:$D$42,MATCH('Model Inputs &amp; Assumptions'!$L$29,'Model Inputs &amp; Assumptions'!$A$40:$A$42,0))*INDEX('Model Inputs &amp; Assumptions'!$H$40:$H$42,MATCH('Model Inputs &amp; Assumptions'!$L$29,'Model Inputs &amp; Assumptions'!$A$40:$A$42,0))</f>
        <v>206829.210390832</v>
      </c>
      <c r="K658" s="49" t="n">
        <f aca="false">H658*INDEX('Model Inputs &amp; Assumptions'!$G$40:$G$42,MATCH('Model Inputs &amp; Assumptions'!$L$29,'Model Inputs &amp; Assumptions'!$A$40:$A$42,0))*INDEX('Model Inputs &amp; Assumptions'!$H$40:$H$42,MATCH('Model Inputs &amp; Assumptions'!$L$29,'Model Inputs &amp; Assumptions'!$A$40:$A$42,0))</f>
        <v>4653.65723379373</v>
      </c>
      <c r="L658" s="51" t="n">
        <f aca="false">IFERROR(K658/I658,0)</f>
        <v>0.715947266737496</v>
      </c>
      <c r="M658" s="49" t="n">
        <f aca="false">IFERROR(I658/H658,0)</f>
        <v>267.1286125185</v>
      </c>
      <c r="N658" s="52" t="str">
        <f aca="false">'Model Inputs &amp; Assumptions'!$L$29</f>
        <v>PRD-EUAI</v>
      </c>
      <c r="P658" s="53" t="n">
        <v>1.320568</v>
      </c>
      <c r="Q658" s="53" t="n">
        <v>0.16864</v>
      </c>
      <c r="R658" s="53" t="n">
        <v>-0.035206</v>
      </c>
      <c r="S658" s="53" t="n">
        <v>-1.233428</v>
      </c>
    </row>
    <row r="659" customFormat="false" ht="15" hidden="false" customHeight="false" outlineLevel="0" collapsed="false">
      <c r="A659" s="43" t="n">
        <v>156</v>
      </c>
      <c r="B659" s="44" t="str">
        <f aca="false">'Model Inputs &amp; Assumptions'!$B$29</f>
        <v>Handelsblatt — Native Explainer</v>
      </c>
      <c r="C659" s="45" t="n">
        <f aca="false">ROUND(MAX(0,'Model Inputs &amp; Assumptions'!$S$29*EXP('Model Inputs &amp; Assumptions'!$T$29*P659-'Model Inputs &amp; Assumptions'!$T$29^2/2)),0)</f>
        <v>181757</v>
      </c>
      <c r="D659" s="46" t="n">
        <f aca="false">MIN(1,'Model Inputs &amp; Assumptions'!$U$29*EXP('Model Inputs &amp; Assumptions'!$V$29*Q659-'Model Inputs &amp; Assumptions'!$V$29^2/2))</f>
        <v>0</v>
      </c>
      <c r="E659" s="45" t="n">
        <f aca="false">ROUND(C659*D659,0)</f>
        <v>0</v>
      </c>
      <c r="F659" s="47" t="n">
        <f aca="false">MIN(1,'Model Inputs &amp; Assumptions'!$W$29*EXP('Model Inputs &amp; Assumptions'!$X$29*R659-'Model Inputs &amp; Assumptions'!$X$29^2/2))</f>
        <v>0.00381542476316967</v>
      </c>
      <c r="G659" s="45" t="n">
        <f aca="false">ROUND(C659*F659,0)</f>
        <v>693</v>
      </c>
      <c r="H659" s="48" t="n">
        <f aca="false">MAX(0,(C659*'Model Inputs &amp; Assumptions'!$N$29+E659*'Model Inputs &amp; Assumptions'!$O$29+G659*'Model Inputs &amp; Assumptions'!$P$29)*EXP('Model Inputs &amp; Assumptions'!$Q$29*S659-'Model Inputs &amp; Assumptions'!$Q$29^2/2))</f>
        <v>22.6567093279748</v>
      </c>
      <c r="I659" s="49" t="n">
        <f aca="false">IF('Model Inputs &amp; Assumptions'!$H$29="Fixed",'Model Inputs &amp; Assumptions'!$I$29*'Model Inputs &amp; Assumptions'!$K$29,IF('Model Inputs &amp; Assumptions'!$H$29="CPM",'Model Inputs &amp; Assumptions'!$I$29*'Model Inputs &amp; Assumptions'!$K$29*C659/1000,IF('Model Inputs &amp; Assumptions'!$H$29="CPC",'Model Inputs &amp; Assumptions'!$I$29*'Model Inputs &amp; Assumptions'!$K$29*G659,0)))</f>
        <v>6500</v>
      </c>
      <c r="J659" s="50" t="n">
        <f aca="false">H659*INDEX('Model Inputs &amp; Assumptions'!$D$40:$D$42,MATCH('Model Inputs &amp; Assumptions'!$L$29,'Model Inputs &amp; Assumptions'!$A$40:$A$42,0))*INDEX('Model Inputs &amp; Assumptions'!$H$40:$H$42,MATCH('Model Inputs &amp; Assumptions'!$L$29,'Model Inputs &amp; Assumptions'!$A$40:$A$42,0))</f>
        <v>192582.029287786</v>
      </c>
      <c r="K659" s="49" t="n">
        <f aca="false">H659*INDEX('Model Inputs &amp; Assumptions'!$G$40:$G$42,MATCH('Model Inputs &amp; Assumptions'!$L$29,'Model Inputs &amp; Assumptions'!$A$40:$A$42,0))*INDEX('Model Inputs &amp; Assumptions'!$H$40:$H$42,MATCH('Model Inputs &amp; Assumptions'!$L$29,'Model Inputs &amp; Assumptions'!$A$40:$A$42,0))</f>
        <v>4333.09565897518</v>
      </c>
      <c r="L659" s="51" t="n">
        <f aca="false">IFERROR(K659/I659,0)</f>
        <v>0.666630101380797</v>
      </c>
      <c r="M659" s="49" t="n">
        <f aca="false">IFERROR(I659/H659,0)</f>
        <v>286.890735362628</v>
      </c>
      <c r="N659" s="52" t="str">
        <f aca="false">'Model Inputs &amp; Assumptions'!$L$29</f>
        <v>PRD-EUAI</v>
      </c>
      <c r="P659" s="53" t="n">
        <v>-0.279063</v>
      </c>
      <c r="Q659" s="53" t="n">
        <v>-0.405447</v>
      </c>
      <c r="R659" s="53" t="n">
        <v>1.085338</v>
      </c>
      <c r="S659" s="53" t="n">
        <v>-1.266139</v>
      </c>
    </row>
    <row r="660" customFormat="false" ht="15" hidden="false" customHeight="false" outlineLevel="0" collapsed="false">
      <c r="A660" s="43" t="n">
        <v>157</v>
      </c>
      <c r="B660" s="44" t="str">
        <f aca="false">'Model Inputs &amp; Assumptions'!$B$29</f>
        <v>Handelsblatt — Native Explainer</v>
      </c>
      <c r="C660" s="45" t="n">
        <f aca="false">ROUND(MAX(0,'Model Inputs &amp; Assumptions'!$S$29*EXP('Model Inputs &amp; Assumptions'!$T$29*P660-'Model Inputs &amp; Assumptions'!$T$29^2/2)),0)</f>
        <v>222202</v>
      </c>
      <c r="D660" s="46" t="n">
        <f aca="false">MIN(1,'Model Inputs &amp; Assumptions'!$U$29*EXP('Model Inputs &amp; Assumptions'!$V$29*Q660-'Model Inputs &amp; Assumptions'!$V$29^2/2))</f>
        <v>0</v>
      </c>
      <c r="E660" s="45" t="n">
        <f aca="false">ROUND(C660*D660,0)</f>
        <v>0</v>
      </c>
      <c r="F660" s="47" t="n">
        <f aca="false">MIN(1,'Model Inputs &amp; Assumptions'!$W$29*EXP('Model Inputs &amp; Assumptions'!$X$29*R660-'Model Inputs &amp; Assumptions'!$X$29^2/2))</f>
        <v>0.0025627920246716</v>
      </c>
      <c r="G660" s="45" t="n">
        <f aca="false">ROUND(C660*F660,0)</f>
        <v>569</v>
      </c>
      <c r="H660" s="48" t="n">
        <f aca="false">MAX(0,(C660*'Model Inputs &amp; Assumptions'!$N$29+E660*'Model Inputs &amp; Assumptions'!$O$29+G660*'Model Inputs &amp; Assumptions'!$P$29)*EXP('Model Inputs &amp; Assumptions'!$Q$29*S660-'Model Inputs &amp; Assumptions'!$Q$29^2/2))</f>
        <v>29.6483080748384</v>
      </c>
      <c r="I660" s="49" t="n">
        <f aca="false">IF('Model Inputs &amp; Assumptions'!$H$29="Fixed",'Model Inputs &amp; Assumptions'!$I$29*'Model Inputs &amp; Assumptions'!$K$29,IF('Model Inputs &amp; Assumptions'!$H$29="CPM",'Model Inputs &amp; Assumptions'!$I$29*'Model Inputs &amp; Assumptions'!$K$29*C660/1000,IF('Model Inputs &amp; Assumptions'!$H$29="CPC",'Model Inputs &amp; Assumptions'!$I$29*'Model Inputs &amp; Assumptions'!$K$29*G660,0)))</f>
        <v>6500</v>
      </c>
      <c r="J660" s="50" t="n">
        <f aca="false">H660*INDEX('Model Inputs &amp; Assumptions'!$D$40:$D$42,MATCH('Model Inputs &amp; Assumptions'!$L$29,'Model Inputs &amp; Assumptions'!$A$40:$A$42,0))*INDEX('Model Inputs &amp; Assumptions'!$H$40:$H$42,MATCH('Model Inputs &amp; Assumptions'!$L$29,'Model Inputs &amp; Assumptions'!$A$40:$A$42,0))</f>
        <v>252010.618636126</v>
      </c>
      <c r="K660" s="49" t="n">
        <f aca="false">H660*INDEX('Model Inputs &amp; Assumptions'!$G$40:$G$42,MATCH('Model Inputs &amp; Assumptions'!$L$29,'Model Inputs &amp; Assumptions'!$A$40:$A$42,0))*INDEX('Model Inputs &amp; Assumptions'!$H$40:$H$42,MATCH('Model Inputs &amp; Assumptions'!$L$29,'Model Inputs &amp; Assumptions'!$A$40:$A$42,0))</f>
        <v>5670.23891931284</v>
      </c>
      <c r="L660" s="51" t="n">
        <f aca="false">IFERROR(K660/I660,0)</f>
        <v>0.872344449125052</v>
      </c>
      <c r="M660" s="49" t="n">
        <f aca="false">IFERROR(I660/H660,0)</f>
        <v>219.236793667709</v>
      </c>
      <c r="N660" s="52" t="str">
        <f aca="false">'Model Inputs &amp; Assumptions'!$L$29</f>
        <v>PRD-EUAI</v>
      </c>
      <c r="P660" s="53" t="n">
        <v>0.634187</v>
      </c>
      <c r="Q660" s="53" t="n">
        <v>-0.16233</v>
      </c>
      <c r="R660" s="53" t="n">
        <v>-0.445257</v>
      </c>
      <c r="S660" s="53" t="n">
        <v>0.287523</v>
      </c>
    </row>
    <row r="661" customFormat="false" ht="15" hidden="false" customHeight="false" outlineLevel="0" collapsed="false">
      <c r="A661" s="43" t="n">
        <v>158</v>
      </c>
      <c r="B661" s="44" t="str">
        <f aca="false">'Model Inputs &amp; Assumptions'!$B$29</f>
        <v>Handelsblatt — Native Explainer</v>
      </c>
      <c r="C661" s="45" t="n">
        <f aca="false">ROUND(MAX(0,'Model Inputs &amp; Assumptions'!$S$29*EXP('Model Inputs &amp; Assumptions'!$T$29*P661-'Model Inputs &amp; Assumptions'!$T$29^2/2)),0)</f>
        <v>155852</v>
      </c>
      <c r="D661" s="46" t="n">
        <f aca="false">MIN(1,'Model Inputs &amp; Assumptions'!$U$29*EXP('Model Inputs &amp; Assumptions'!$V$29*Q661-'Model Inputs &amp; Assumptions'!$V$29^2/2))</f>
        <v>0</v>
      </c>
      <c r="E661" s="45" t="n">
        <f aca="false">ROUND(C661*D661,0)</f>
        <v>0</v>
      </c>
      <c r="F661" s="47" t="n">
        <f aca="false">MIN(1,'Model Inputs &amp; Assumptions'!$W$29*EXP('Model Inputs &amp; Assumptions'!$X$29*R661-'Model Inputs &amp; Assumptions'!$X$29^2/2))</f>
        <v>0.00277689111733723</v>
      </c>
      <c r="G661" s="45" t="n">
        <f aca="false">ROUND(C661*F661,0)</f>
        <v>433</v>
      </c>
      <c r="H661" s="48" t="n">
        <f aca="false">MAX(0,(C661*'Model Inputs &amp; Assumptions'!$N$29+E661*'Model Inputs &amp; Assumptions'!$O$29+G661*'Model Inputs &amp; Assumptions'!$P$29)*EXP('Model Inputs &amp; Assumptions'!$Q$29*S661-'Model Inputs &amp; Assumptions'!$Q$29^2/2))</f>
        <v>20.8879211072523</v>
      </c>
      <c r="I661" s="49" t="n">
        <f aca="false">IF('Model Inputs &amp; Assumptions'!$H$29="Fixed",'Model Inputs &amp; Assumptions'!$I$29*'Model Inputs &amp; Assumptions'!$K$29,IF('Model Inputs &amp; Assumptions'!$H$29="CPM",'Model Inputs &amp; Assumptions'!$I$29*'Model Inputs &amp; Assumptions'!$K$29*C661/1000,IF('Model Inputs &amp; Assumptions'!$H$29="CPC",'Model Inputs &amp; Assumptions'!$I$29*'Model Inputs &amp; Assumptions'!$K$29*G661,0)))</f>
        <v>6500</v>
      </c>
      <c r="J661" s="50" t="n">
        <f aca="false">H661*INDEX('Model Inputs &amp; Assumptions'!$D$40:$D$42,MATCH('Model Inputs &amp; Assumptions'!$L$29,'Model Inputs &amp; Assumptions'!$A$40:$A$42,0))*INDEX('Model Inputs &amp; Assumptions'!$H$40:$H$42,MATCH('Model Inputs &amp; Assumptions'!$L$29,'Model Inputs &amp; Assumptions'!$A$40:$A$42,0))</f>
        <v>177547.329411645</v>
      </c>
      <c r="K661" s="49" t="n">
        <f aca="false">H661*INDEX('Model Inputs &amp; Assumptions'!$G$40:$G$42,MATCH('Model Inputs &amp; Assumptions'!$L$29,'Model Inputs &amp; Assumptions'!$A$40:$A$42,0))*INDEX('Model Inputs &amp; Assumptions'!$H$40:$H$42,MATCH('Model Inputs &amp; Assumptions'!$L$29,'Model Inputs &amp; Assumptions'!$A$40:$A$42,0))</f>
        <v>3994.814911762</v>
      </c>
      <c r="L661" s="51" t="n">
        <f aca="false">IFERROR(K661/I661,0)</f>
        <v>0.614586909501847</v>
      </c>
      <c r="M661" s="49" t="n">
        <f aca="false">IFERROR(I661/H661,0)</f>
        <v>311.184629941138</v>
      </c>
      <c r="N661" s="52" t="str">
        <f aca="false">'Model Inputs &amp; Assumptions'!$L$29</f>
        <v>PRD-EUAI</v>
      </c>
      <c r="P661" s="53" t="n">
        <v>-0.977996</v>
      </c>
      <c r="Q661" s="53" t="n">
        <v>0.943462</v>
      </c>
      <c r="R661" s="53" t="n">
        <v>-0.136662</v>
      </c>
      <c r="S661" s="53" t="n">
        <v>0.030552</v>
      </c>
    </row>
    <row r="662" customFormat="false" ht="15" hidden="false" customHeight="false" outlineLevel="0" collapsed="false">
      <c r="A662" s="43" t="n">
        <v>159</v>
      </c>
      <c r="B662" s="44" t="str">
        <f aca="false">'Model Inputs &amp; Assumptions'!$B$29</f>
        <v>Handelsblatt — Native Explainer</v>
      </c>
      <c r="C662" s="45" t="n">
        <f aca="false">ROUND(MAX(0,'Model Inputs &amp; Assumptions'!$S$29*EXP('Model Inputs &amp; Assumptions'!$T$29*P662-'Model Inputs &amp; Assumptions'!$T$29^2/2)),0)</f>
        <v>191177</v>
      </c>
      <c r="D662" s="46" t="n">
        <f aca="false">MIN(1,'Model Inputs &amp; Assumptions'!$U$29*EXP('Model Inputs &amp; Assumptions'!$V$29*Q662-'Model Inputs &amp; Assumptions'!$V$29^2/2))</f>
        <v>0</v>
      </c>
      <c r="E662" s="45" t="n">
        <f aca="false">ROUND(C662*D662,0)</f>
        <v>0</v>
      </c>
      <c r="F662" s="47" t="n">
        <f aca="false">MIN(1,'Model Inputs &amp; Assumptions'!$W$29*EXP('Model Inputs &amp; Assumptions'!$X$29*R662-'Model Inputs &amp; Assumptions'!$X$29^2/2))</f>
        <v>0.0031261738317513</v>
      </c>
      <c r="G662" s="45" t="n">
        <f aca="false">ROUND(C662*F662,0)</f>
        <v>598</v>
      </c>
      <c r="H662" s="48" t="n">
        <f aca="false">MAX(0,(C662*'Model Inputs &amp; Assumptions'!$N$29+E662*'Model Inputs &amp; Assumptions'!$O$29+G662*'Model Inputs &amp; Assumptions'!$P$29)*EXP('Model Inputs &amp; Assumptions'!$Q$29*S662-'Model Inputs &amp; Assumptions'!$Q$29^2/2))</f>
        <v>41.5608982944308</v>
      </c>
      <c r="I662" s="49" t="n">
        <f aca="false">IF('Model Inputs &amp; Assumptions'!$H$29="Fixed",'Model Inputs &amp; Assumptions'!$I$29*'Model Inputs &amp; Assumptions'!$K$29,IF('Model Inputs &amp; Assumptions'!$H$29="CPM",'Model Inputs &amp; Assumptions'!$I$29*'Model Inputs &amp; Assumptions'!$K$29*C662/1000,IF('Model Inputs &amp; Assumptions'!$H$29="CPC",'Model Inputs &amp; Assumptions'!$I$29*'Model Inputs &amp; Assumptions'!$K$29*G662,0)))</f>
        <v>6500</v>
      </c>
      <c r="J662" s="50" t="n">
        <f aca="false">H662*INDEX('Model Inputs &amp; Assumptions'!$D$40:$D$42,MATCH('Model Inputs &amp; Assumptions'!$L$29,'Model Inputs &amp; Assumptions'!$A$40:$A$42,0))*INDEX('Model Inputs &amp; Assumptions'!$H$40:$H$42,MATCH('Model Inputs &amp; Assumptions'!$L$29,'Model Inputs &amp; Assumptions'!$A$40:$A$42,0))</f>
        <v>353267.635502662</v>
      </c>
      <c r="K662" s="49" t="n">
        <f aca="false">H662*INDEX('Model Inputs &amp; Assumptions'!$G$40:$G$42,MATCH('Model Inputs &amp; Assumptions'!$L$29,'Model Inputs &amp; Assumptions'!$A$40:$A$42,0))*INDEX('Model Inputs &amp; Assumptions'!$H$40:$H$42,MATCH('Model Inputs &amp; Assumptions'!$L$29,'Model Inputs &amp; Assumptions'!$A$40:$A$42,0))</f>
        <v>7948.5217988099</v>
      </c>
      <c r="L662" s="51" t="n">
        <f aca="false">IFERROR(K662/I662,0)</f>
        <v>1.22284950750922</v>
      </c>
      <c r="M662" s="49" t="n">
        <f aca="false">IFERROR(I662/H662,0)</f>
        <v>156.397004558273</v>
      </c>
      <c r="N662" s="52" t="str">
        <f aca="false">'Model Inputs &amp; Assumptions'!$L$29</f>
        <v>PRD-EUAI</v>
      </c>
      <c r="P662" s="53" t="n">
        <v>-0.049408</v>
      </c>
      <c r="Q662" s="53" t="n">
        <v>0.376803</v>
      </c>
      <c r="R662" s="53" t="n">
        <v>0.319022</v>
      </c>
      <c r="S662" s="53" t="n">
        <v>1.247671</v>
      </c>
    </row>
    <row r="663" customFormat="false" ht="15" hidden="false" customHeight="false" outlineLevel="0" collapsed="false">
      <c r="A663" s="43" t="n">
        <v>160</v>
      </c>
      <c r="B663" s="44" t="str">
        <f aca="false">'Model Inputs &amp; Assumptions'!$B$29</f>
        <v>Handelsblatt — Native Explainer</v>
      </c>
      <c r="C663" s="45" t="n">
        <f aca="false">ROUND(MAX(0,'Model Inputs &amp; Assumptions'!$S$29*EXP('Model Inputs &amp; Assumptions'!$T$29*P663-'Model Inputs &amp; Assumptions'!$T$29^2/2)),0)</f>
        <v>141647</v>
      </c>
      <c r="D663" s="46" t="n">
        <f aca="false">MIN(1,'Model Inputs &amp; Assumptions'!$U$29*EXP('Model Inputs &amp; Assumptions'!$V$29*Q663-'Model Inputs &amp; Assumptions'!$V$29^2/2))</f>
        <v>0</v>
      </c>
      <c r="E663" s="45" t="n">
        <f aca="false">ROUND(C663*D663,0)</f>
        <v>0</v>
      </c>
      <c r="F663" s="47" t="n">
        <f aca="false">MIN(1,'Model Inputs &amp; Assumptions'!$W$29*EXP('Model Inputs &amp; Assumptions'!$X$29*R663-'Model Inputs &amp; Assumptions'!$X$29^2/2))</f>
        <v>0.00285778222672892</v>
      </c>
      <c r="G663" s="45" t="n">
        <f aca="false">ROUND(C663*F663,0)</f>
        <v>405</v>
      </c>
      <c r="H663" s="48" t="n">
        <f aca="false">MAX(0,(C663*'Model Inputs &amp; Assumptions'!$N$29+E663*'Model Inputs &amp; Assumptions'!$O$29+G663*'Model Inputs &amp; Assumptions'!$P$29)*EXP('Model Inputs &amp; Assumptions'!$Q$29*S663-'Model Inputs &amp; Assumptions'!$Q$29^2/2))</f>
        <v>20.3616248309092</v>
      </c>
      <c r="I663" s="49" t="n">
        <f aca="false">IF('Model Inputs &amp; Assumptions'!$H$29="Fixed",'Model Inputs &amp; Assumptions'!$I$29*'Model Inputs &amp; Assumptions'!$K$29,IF('Model Inputs &amp; Assumptions'!$H$29="CPM",'Model Inputs &amp; Assumptions'!$I$29*'Model Inputs &amp; Assumptions'!$K$29*C663/1000,IF('Model Inputs &amp; Assumptions'!$H$29="CPC",'Model Inputs &amp; Assumptions'!$I$29*'Model Inputs &amp; Assumptions'!$K$29*G663,0)))</f>
        <v>6500</v>
      </c>
      <c r="J663" s="50" t="n">
        <f aca="false">H663*INDEX('Model Inputs &amp; Assumptions'!$D$40:$D$42,MATCH('Model Inputs &amp; Assumptions'!$L$29,'Model Inputs &amp; Assumptions'!$A$40:$A$42,0))*INDEX('Model Inputs &amp; Assumptions'!$H$40:$H$42,MATCH('Model Inputs &amp; Assumptions'!$L$29,'Model Inputs &amp; Assumptions'!$A$40:$A$42,0))</f>
        <v>173073.811062728</v>
      </c>
      <c r="K663" s="49" t="n">
        <f aca="false">H663*INDEX('Model Inputs &amp; Assumptions'!$G$40:$G$42,MATCH('Model Inputs &amp; Assumptions'!$L$29,'Model Inputs &amp; Assumptions'!$A$40:$A$42,0))*INDEX('Model Inputs &amp; Assumptions'!$H$40:$H$42,MATCH('Model Inputs &amp; Assumptions'!$L$29,'Model Inputs &amp; Assumptions'!$A$40:$A$42,0))</f>
        <v>3894.16074891139</v>
      </c>
      <c r="L663" s="51" t="n">
        <f aca="false">IFERROR(K663/I663,0)</f>
        <v>0.599101653678675</v>
      </c>
      <c r="M663" s="49" t="n">
        <f aca="false">IFERROR(I663/H663,0)</f>
        <v>319.227962109041</v>
      </c>
      <c r="N663" s="52" t="str">
        <f aca="false">'Model Inputs &amp; Assumptions'!$L$29</f>
        <v>PRD-EUAI</v>
      </c>
      <c r="P663" s="53" t="n">
        <v>-1.412391</v>
      </c>
      <c r="Q663" s="53" t="n">
        <v>-0.800902</v>
      </c>
      <c r="R663" s="53" t="n">
        <v>-0.026224</v>
      </c>
      <c r="S663" s="53" t="n">
        <v>0.168324</v>
      </c>
    </row>
    <row r="664" customFormat="false" ht="15" hidden="false" customHeight="false" outlineLevel="0" collapsed="false">
      <c r="A664" s="43" t="n">
        <v>161</v>
      </c>
      <c r="B664" s="44" t="str">
        <f aca="false">'Model Inputs &amp; Assumptions'!$B$29</f>
        <v>Handelsblatt — Native Explainer</v>
      </c>
      <c r="C664" s="45" t="n">
        <f aca="false">ROUND(MAX(0,'Model Inputs &amp; Assumptions'!$S$29*EXP('Model Inputs &amp; Assumptions'!$T$29*P664-'Model Inputs &amp; Assumptions'!$T$29^2/2)),0)</f>
        <v>384794</v>
      </c>
      <c r="D664" s="46" t="n">
        <f aca="false">MIN(1,'Model Inputs &amp; Assumptions'!$U$29*EXP('Model Inputs &amp; Assumptions'!$V$29*Q664-'Model Inputs &amp; Assumptions'!$V$29^2/2))</f>
        <v>0</v>
      </c>
      <c r="E664" s="45" t="n">
        <f aca="false">ROUND(C664*D664,0)</f>
        <v>0</v>
      </c>
      <c r="F664" s="47" t="n">
        <f aca="false">MIN(1,'Model Inputs &amp; Assumptions'!$W$29*EXP('Model Inputs &amp; Assumptions'!$X$29*R664-'Model Inputs &amp; Assumptions'!$X$29^2/2))</f>
        <v>0.00282009930485878</v>
      </c>
      <c r="G664" s="45" t="n">
        <f aca="false">ROUND(C664*F664,0)</f>
        <v>1085</v>
      </c>
      <c r="H664" s="48" t="n">
        <f aca="false">MAX(0,(C664*'Model Inputs &amp; Assumptions'!$N$29+E664*'Model Inputs &amp; Assumptions'!$O$29+G664*'Model Inputs &amp; Assumptions'!$P$29)*EXP('Model Inputs &amp; Assumptions'!$Q$29*S664-'Model Inputs &amp; Assumptions'!$Q$29^2/2))</f>
        <v>46.4782514495695</v>
      </c>
      <c r="I664" s="49" t="n">
        <f aca="false">IF('Model Inputs &amp; Assumptions'!$H$29="Fixed",'Model Inputs &amp; Assumptions'!$I$29*'Model Inputs &amp; Assumptions'!$K$29,IF('Model Inputs &amp; Assumptions'!$H$29="CPM",'Model Inputs &amp; Assumptions'!$I$29*'Model Inputs &amp; Assumptions'!$K$29*C664/1000,IF('Model Inputs &amp; Assumptions'!$H$29="CPC",'Model Inputs &amp; Assumptions'!$I$29*'Model Inputs &amp; Assumptions'!$K$29*G664,0)))</f>
        <v>6500</v>
      </c>
      <c r="J664" s="50" t="n">
        <f aca="false">H664*INDEX('Model Inputs &amp; Assumptions'!$D$40:$D$42,MATCH('Model Inputs &amp; Assumptions'!$L$29,'Model Inputs &amp; Assumptions'!$A$40:$A$42,0))*INDEX('Model Inputs &amp; Assumptions'!$H$40:$H$42,MATCH('Model Inputs &amp; Assumptions'!$L$29,'Model Inputs &amp; Assumptions'!$A$40:$A$42,0))</f>
        <v>395065.137321341</v>
      </c>
      <c r="K664" s="49" t="n">
        <f aca="false">H664*INDEX('Model Inputs &amp; Assumptions'!$G$40:$G$42,MATCH('Model Inputs &amp; Assumptions'!$L$29,'Model Inputs &amp; Assumptions'!$A$40:$A$42,0))*INDEX('Model Inputs &amp; Assumptions'!$H$40:$H$42,MATCH('Model Inputs &amp; Assumptions'!$L$29,'Model Inputs &amp; Assumptions'!$A$40:$A$42,0))</f>
        <v>8888.96558973016</v>
      </c>
      <c r="L664" s="51" t="n">
        <f aca="false">IFERROR(K664/I664,0)</f>
        <v>1.36753316765079</v>
      </c>
      <c r="M664" s="49" t="n">
        <f aca="false">IFERROR(I664/H664,0)</f>
        <v>139.850355753007</v>
      </c>
      <c r="N664" s="52" t="str">
        <f aca="false">'Model Inputs &amp; Assumptions'!$L$29</f>
        <v>PRD-EUAI</v>
      </c>
      <c r="P664" s="53" t="n">
        <v>3.130192</v>
      </c>
      <c r="Q664" s="53" t="n">
        <v>0.022555</v>
      </c>
      <c r="R664" s="53" t="n">
        <v>-0.077277</v>
      </c>
      <c r="S664" s="53" t="n">
        <v>-0.365395</v>
      </c>
    </row>
    <row r="665" customFormat="false" ht="15" hidden="false" customHeight="false" outlineLevel="0" collapsed="false">
      <c r="A665" s="43" t="n">
        <v>162</v>
      </c>
      <c r="B665" s="44" t="str">
        <f aca="false">'Model Inputs &amp; Assumptions'!$B$29</f>
        <v>Handelsblatt — Native Explainer</v>
      </c>
      <c r="C665" s="45" t="n">
        <f aca="false">ROUND(MAX(0,'Model Inputs &amp; Assumptions'!$S$29*EXP('Model Inputs &amp; Assumptions'!$T$29*P665-'Model Inputs &amp; Assumptions'!$T$29^2/2)),0)</f>
        <v>203346</v>
      </c>
      <c r="D665" s="46" t="n">
        <f aca="false">MIN(1,'Model Inputs &amp; Assumptions'!$U$29*EXP('Model Inputs &amp; Assumptions'!$V$29*Q665-'Model Inputs &amp; Assumptions'!$V$29^2/2))</f>
        <v>0</v>
      </c>
      <c r="E665" s="45" t="n">
        <f aca="false">ROUND(C665*D665,0)</f>
        <v>0</v>
      </c>
      <c r="F665" s="47" t="n">
        <f aca="false">MIN(1,'Model Inputs &amp; Assumptions'!$W$29*EXP('Model Inputs &amp; Assumptions'!$X$29*R665-'Model Inputs &amp; Assumptions'!$X$29^2/2))</f>
        <v>0.0035432893081621</v>
      </c>
      <c r="G665" s="45" t="n">
        <f aca="false">ROUND(C665*F665,0)</f>
        <v>721</v>
      </c>
      <c r="H665" s="48" t="n">
        <f aca="false">MAX(0,(C665*'Model Inputs &amp; Assumptions'!$N$29+E665*'Model Inputs &amp; Assumptions'!$O$29+G665*'Model Inputs &amp; Assumptions'!$P$29)*EXP('Model Inputs &amp; Assumptions'!$Q$29*S665-'Model Inputs &amp; Assumptions'!$Q$29^2/2))</f>
        <v>13.7518335419919</v>
      </c>
      <c r="I665" s="49" t="n">
        <f aca="false">IF('Model Inputs &amp; Assumptions'!$H$29="Fixed",'Model Inputs &amp; Assumptions'!$I$29*'Model Inputs &amp; Assumptions'!$K$29,IF('Model Inputs &amp; Assumptions'!$H$29="CPM",'Model Inputs &amp; Assumptions'!$I$29*'Model Inputs &amp; Assumptions'!$K$29*C665/1000,IF('Model Inputs &amp; Assumptions'!$H$29="CPC",'Model Inputs &amp; Assumptions'!$I$29*'Model Inputs &amp; Assumptions'!$K$29*G665,0)))</f>
        <v>6500</v>
      </c>
      <c r="J665" s="50" t="n">
        <f aca="false">H665*INDEX('Model Inputs &amp; Assumptions'!$D$40:$D$42,MATCH('Model Inputs &amp; Assumptions'!$L$29,'Model Inputs &amp; Assumptions'!$A$40:$A$42,0))*INDEX('Model Inputs &amp; Assumptions'!$H$40:$H$42,MATCH('Model Inputs &amp; Assumptions'!$L$29,'Model Inputs &amp; Assumptions'!$A$40:$A$42,0))</f>
        <v>116890.585106931</v>
      </c>
      <c r="K665" s="49" t="n">
        <f aca="false">H665*INDEX('Model Inputs &amp; Assumptions'!$G$40:$G$42,MATCH('Model Inputs &amp; Assumptions'!$L$29,'Model Inputs &amp; Assumptions'!$A$40:$A$42,0))*INDEX('Model Inputs &amp; Assumptions'!$H$40:$H$42,MATCH('Model Inputs &amp; Assumptions'!$L$29,'Model Inputs &amp; Assumptions'!$A$40:$A$42,0))</f>
        <v>2630.03816490595</v>
      </c>
      <c r="L665" s="51" t="n">
        <f aca="false">IFERROR(K665/I665,0)</f>
        <v>0.404621256139376</v>
      </c>
      <c r="M665" s="49" t="n">
        <f aca="false">IFERROR(I665/H665,0)</f>
        <v>472.66424365536</v>
      </c>
      <c r="N665" s="52" t="str">
        <f aca="false">'Model Inputs &amp; Assumptions'!$L$29</f>
        <v>PRD-EUAI</v>
      </c>
      <c r="P665" s="53" t="n">
        <v>0.231102</v>
      </c>
      <c r="Q665" s="53" t="n">
        <v>-0.268236</v>
      </c>
      <c r="R665" s="53" t="n">
        <v>0.800736</v>
      </c>
      <c r="S665" s="53" t="n">
        <v>-3.062449</v>
      </c>
    </row>
    <row r="666" customFormat="false" ht="15" hidden="false" customHeight="false" outlineLevel="0" collapsed="false">
      <c r="A666" s="43" t="n">
        <v>163</v>
      </c>
      <c r="B666" s="44" t="str">
        <f aca="false">'Model Inputs &amp; Assumptions'!$B$29</f>
        <v>Handelsblatt — Native Explainer</v>
      </c>
      <c r="C666" s="45" t="n">
        <f aca="false">ROUND(MAX(0,'Model Inputs &amp; Assumptions'!$S$29*EXP('Model Inputs &amp; Assumptions'!$T$29*P666-'Model Inputs &amp; Assumptions'!$T$29^2/2)),0)</f>
        <v>123041</v>
      </c>
      <c r="D666" s="46" t="n">
        <f aca="false">MIN(1,'Model Inputs &amp; Assumptions'!$U$29*EXP('Model Inputs &amp; Assumptions'!$V$29*Q666-'Model Inputs &amp; Assumptions'!$V$29^2/2))</f>
        <v>0</v>
      </c>
      <c r="E666" s="45" t="n">
        <f aca="false">ROUND(C666*D666,0)</f>
        <v>0</v>
      </c>
      <c r="F666" s="47" t="n">
        <f aca="false">MIN(1,'Model Inputs &amp; Assumptions'!$W$29*EXP('Model Inputs &amp; Assumptions'!$X$29*R666-'Model Inputs &amp; Assumptions'!$X$29^2/2))</f>
        <v>0.00365624322432022</v>
      </c>
      <c r="G666" s="45" t="n">
        <f aca="false">ROUND(C666*F666,0)</f>
        <v>450</v>
      </c>
      <c r="H666" s="48" t="n">
        <f aca="false">MAX(0,(C666*'Model Inputs &amp; Assumptions'!$N$29+E666*'Model Inputs &amp; Assumptions'!$O$29+G666*'Model Inputs &amp; Assumptions'!$P$29)*EXP('Model Inputs &amp; Assumptions'!$Q$29*S666-'Model Inputs &amp; Assumptions'!$Q$29^2/2))</f>
        <v>17.2293652355862</v>
      </c>
      <c r="I666" s="49" t="n">
        <f aca="false">IF('Model Inputs &amp; Assumptions'!$H$29="Fixed",'Model Inputs &amp; Assumptions'!$I$29*'Model Inputs &amp; Assumptions'!$K$29,IF('Model Inputs &amp; Assumptions'!$H$29="CPM",'Model Inputs &amp; Assumptions'!$I$29*'Model Inputs &amp; Assumptions'!$K$29*C666/1000,IF('Model Inputs &amp; Assumptions'!$H$29="CPC",'Model Inputs &amp; Assumptions'!$I$29*'Model Inputs &amp; Assumptions'!$K$29*G666,0)))</f>
        <v>6500</v>
      </c>
      <c r="J666" s="50" t="n">
        <f aca="false">H666*INDEX('Model Inputs &amp; Assumptions'!$D$40:$D$42,MATCH('Model Inputs &amp; Assumptions'!$L$29,'Model Inputs &amp; Assumptions'!$A$40:$A$42,0))*INDEX('Model Inputs &amp; Assumptions'!$H$40:$H$42,MATCH('Model Inputs &amp; Assumptions'!$L$29,'Model Inputs &amp; Assumptions'!$A$40:$A$42,0))</f>
        <v>146449.604502483</v>
      </c>
      <c r="K666" s="49" t="n">
        <f aca="false">H666*INDEX('Model Inputs &amp; Assumptions'!$G$40:$G$42,MATCH('Model Inputs &amp; Assumptions'!$L$29,'Model Inputs &amp; Assumptions'!$A$40:$A$42,0))*INDEX('Model Inputs &amp; Assumptions'!$H$40:$H$42,MATCH('Model Inputs &amp; Assumptions'!$L$29,'Model Inputs &amp; Assumptions'!$A$40:$A$42,0))</f>
        <v>3295.11610130586</v>
      </c>
      <c r="L666" s="51" t="n">
        <f aca="false">IFERROR(K666/I666,0)</f>
        <v>0.50694093866244</v>
      </c>
      <c r="M666" s="49" t="n">
        <f aca="false">IFERROR(I666/H666,0)</f>
        <v>377.262882939799</v>
      </c>
      <c r="N666" s="52" t="str">
        <f aca="false">'Model Inputs &amp; Assumptions'!$L$29</f>
        <v>PRD-EUAI</v>
      </c>
      <c r="P666" s="53" t="n">
        <v>-2.052502</v>
      </c>
      <c r="Q666" s="53" t="n">
        <v>1.424839</v>
      </c>
      <c r="R666" s="53" t="n">
        <v>0.921431</v>
      </c>
      <c r="S666" s="53" t="n">
        <v>-0.739667</v>
      </c>
    </row>
    <row r="667" customFormat="false" ht="15" hidden="false" customHeight="false" outlineLevel="0" collapsed="false">
      <c r="A667" s="43" t="n">
        <v>164</v>
      </c>
      <c r="B667" s="44" t="str">
        <f aca="false">'Model Inputs &amp; Assumptions'!$B$29</f>
        <v>Handelsblatt — Native Explainer</v>
      </c>
      <c r="C667" s="45" t="n">
        <f aca="false">ROUND(MAX(0,'Model Inputs &amp; Assumptions'!$S$29*EXP('Model Inputs &amp; Assumptions'!$T$29*P667-'Model Inputs &amp; Assumptions'!$T$29^2/2)),0)</f>
        <v>219126</v>
      </c>
      <c r="D667" s="46" t="n">
        <f aca="false">MIN(1,'Model Inputs &amp; Assumptions'!$U$29*EXP('Model Inputs &amp; Assumptions'!$V$29*Q667-'Model Inputs &amp; Assumptions'!$V$29^2/2))</f>
        <v>0</v>
      </c>
      <c r="E667" s="45" t="n">
        <f aca="false">ROUND(C667*D667,0)</f>
        <v>0</v>
      </c>
      <c r="F667" s="47" t="n">
        <f aca="false">MIN(1,'Model Inputs &amp; Assumptions'!$W$29*EXP('Model Inputs &amp; Assumptions'!$X$29*R667-'Model Inputs &amp; Assumptions'!$X$29^2/2))</f>
        <v>0.00251096534503294</v>
      </c>
      <c r="G667" s="45" t="n">
        <f aca="false">ROUND(C667*F667,0)</f>
        <v>550</v>
      </c>
      <c r="H667" s="48" t="n">
        <f aca="false">MAX(0,(C667*'Model Inputs &amp; Assumptions'!$N$29+E667*'Model Inputs &amp; Assumptions'!$O$29+G667*'Model Inputs &amp; Assumptions'!$P$29)*EXP('Model Inputs &amp; Assumptions'!$Q$29*S667-'Model Inputs &amp; Assumptions'!$Q$29^2/2))</f>
        <v>31.997241778808</v>
      </c>
      <c r="I667" s="49" t="n">
        <f aca="false">IF('Model Inputs &amp; Assumptions'!$H$29="Fixed",'Model Inputs &amp; Assumptions'!$I$29*'Model Inputs &amp; Assumptions'!$K$29,IF('Model Inputs &amp; Assumptions'!$H$29="CPM",'Model Inputs &amp; Assumptions'!$I$29*'Model Inputs &amp; Assumptions'!$K$29*C667/1000,IF('Model Inputs &amp; Assumptions'!$H$29="CPC",'Model Inputs &amp; Assumptions'!$I$29*'Model Inputs &amp; Assumptions'!$K$29*G667,0)))</f>
        <v>6500</v>
      </c>
      <c r="J667" s="50" t="n">
        <f aca="false">H667*INDEX('Model Inputs &amp; Assumptions'!$D$40:$D$42,MATCH('Model Inputs &amp; Assumptions'!$L$29,'Model Inputs &amp; Assumptions'!$A$40:$A$42,0))*INDEX('Model Inputs &amp; Assumptions'!$H$40:$H$42,MATCH('Model Inputs &amp; Assumptions'!$L$29,'Model Inputs &amp; Assumptions'!$A$40:$A$42,0))</f>
        <v>271976.555119868</v>
      </c>
      <c r="K667" s="49" t="n">
        <f aca="false">H667*INDEX('Model Inputs &amp; Assumptions'!$G$40:$G$42,MATCH('Model Inputs &amp; Assumptions'!$L$29,'Model Inputs &amp; Assumptions'!$A$40:$A$42,0))*INDEX('Model Inputs &amp; Assumptions'!$H$40:$H$42,MATCH('Model Inputs &amp; Assumptions'!$L$29,'Model Inputs &amp; Assumptions'!$A$40:$A$42,0))</f>
        <v>6119.47249019704</v>
      </c>
      <c r="L667" s="51" t="n">
        <f aca="false">IFERROR(K667/I667,0)</f>
        <v>0.941457306184159</v>
      </c>
      <c r="M667" s="49" t="n">
        <f aca="false">IFERROR(I667/H667,0)</f>
        <v>203.142509749231</v>
      </c>
      <c r="N667" s="52" t="str">
        <f aca="false">'Model Inputs &amp; Assumptions'!$L$29</f>
        <v>PRD-EUAI</v>
      </c>
      <c r="P667" s="53" t="n">
        <v>0.570816</v>
      </c>
      <c r="Q667" s="53" t="n">
        <v>0.773222</v>
      </c>
      <c r="R667" s="53" t="n">
        <v>-0.523834</v>
      </c>
      <c r="S667" s="53" t="n">
        <v>0.654879</v>
      </c>
    </row>
    <row r="668" customFormat="false" ht="15" hidden="false" customHeight="false" outlineLevel="0" collapsed="false">
      <c r="A668" s="43" t="n">
        <v>165</v>
      </c>
      <c r="B668" s="44" t="str">
        <f aca="false">'Model Inputs &amp; Assumptions'!$B$29</f>
        <v>Handelsblatt — Native Explainer</v>
      </c>
      <c r="C668" s="45" t="n">
        <f aca="false">ROUND(MAX(0,'Model Inputs &amp; Assumptions'!$S$29*EXP('Model Inputs &amp; Assumptions'!$T$29*P668-'Model Inputs &amp; Assumptions'!$T$29^2/2)),0)</f>
        <v>149499</v>
      </c>
      <c r="D668" s="46" t="n">
        <f aca="false">MIN(1,'Model Inputs &amp; Assumptions'!$U$29*EXP('Model Inputs &amp; Assumptions'!$V$29*Q668-'Model Inputs &amp; Assumptions'!$V$29^2/2))</f>
        <v>0</v>
      </c>
      <c r="E668" s="45" t="n">
        <f aca="false">ROUND(C668*D668,0)</f>
        <v>0</v>
      </c>
      <c r="F668" s="47" t="n">
        <f aca="false">MIN(1,'Model Inputs &amp; Assumptions'!$W$29*EXP('Model Inputs &amp; Assumptions'!$X$29*R668-'Model Inputs &amp; Assumptions'!$X$29^2/2))</f>
        <v>0.00303750252158856</v>
      </c>
      <c r="G668" s="45" t="n">
        <f aca="false">ROUND(C668*F668,0)</f>
        <v>454</v>
      </c>
      <c r="H668" s="48" t="n">
        <f aca="false">MAX(0,(C668*'Model Inputs &amp; Assumptions'!$N$29+E668*'Model Inputs &amp; Assumptions'!$O$29+G668*'Model Inputs &amp; Assumptions'!$P$29)*EXP('Model Inputs &amp; Assumptions'!$Q$29*S668-'Model Inputs &amp; Assumptions'!$Q$29^2/2))</f>
        <v>18.297051460475</v>
      </c>
      <c r="I668" s="49" t="n">
        <f aca="false">IF('Model Inputs &amp; Assumptions'!$H$29="Fixed",'Model Inputs &amp; Assumptions'!$I$29*'Model Inputs &amp; Assumptions'!$K$29,IF('Model Inputs &amp; Assumptions'!$H$29="CPM",'Model Inputs &amp; Assumptions'!$I$29*'Model Inputs &amp; Assumptions'!$K$29*C668/1000,IF('Model Inputs &amp; Assumptions'!$H$29="CPC",'Model Inputs &amp; Assumptions'!$I$29*'Model Inputs &amp; Assumptions'!$K$29*G668,0)))</f>
        <v>6500</v>
      </c>
      <c r="J668" s="50" t="n">
        <f aca="false">H668*INDEX('Model Inputs &amp; Assumptions'!$D$40:$D$42,MATCH('Model Inputs &amp; Assumptions'!$L$29,'Model Inputs &amp; Assumptions'!$A$40:$A$42,0))*INDEX('Model Inputs &amp; Assumptions'!$H$40:$H$42,MATCH('Model Inputs &amp; Assumptions'!$L$29,'Model Inputs &amp; Assumptions'!$A$40:$A$42,0))</f>
        <v>155524.937414038</v>
      </c>
      <c r="K668" s="49" t="n">
        <f aca="false">H668*INDEX('Model Inputs &amp; Assumptions'!$G$40:$G$42,MATCH('Model Inputs &amp; Assumptions'!$L$29,'Model Inputs &amp; Assumptions'!$A$40:$A$42,0))*INDEX('Model Inputs &amp; Assumptions'!$H$40:$H$42,MATCH('Model Inputs &amp; Assumptions'!$L$29,'Model Inputs &amp; Assumptions'!$A$40:$A$42,0))</f>
        <v>3499.31109181585</v>
      </c>
      <c r="L668" s="51" t="n">
        <f aca="false">IFERROR(K668/I668,0)</f>
        <v>0.538355552587054</v>
      </c>
      <c r="M668" s="49" t="n">
        <f aca="false">IFERROR(I668/H668,0)</f>
        <v>355.248495313094</v>
      </c>
      <c r="N668" s="52" t="str">
        <f aca="false">'Model Inputs &amp; Assumptions'!$L$29</f>
        <v>PRD-EUAI</v>
      </c>
      <c r="P668" s="53" t="n">
        <v>-1.167157</v>
      </c>
      <c r="Q668" s="53" t="n">
        <v>0.49466</v>
      </c>
      <c r="R668" s="53" t="n">
        <v>0.208352</v>
      </c>
      <c r="S668" s="53" t="n">
        <v>-0.56875</v>
      </c>
    </row>
    <row r="669" customFormat="false" ht="15" hidden="false" customHeight="false" outlineLevel="0" collapsed="false">
      <c r="A669" s="43" t="n">
        <v>166</v>
      </c>
      <c r="B669" s="44" t="str">
        <f aca="false">'Model Inputs &amp; Assumptions'!$B$29</f>
        <v>Handelsblatt — Native Explainer</v>
      </c>
      <c r="C669" s="45" t="n">
        <f aca="false">ROUND(MAX(0,'Model Inputs &amp; Assumptions'!$S$29*EXP('Model Inputs &amp; Assumptions'!$T$29*P669-'Model Inputs &amp; Assumptions'!$T$29^2/2)),0)</f>
        <v>166597</v>
      </c>
      <c r="D669" s="46" t="n">
        <f aca="false">MIN(1,'Model Inputs &amp; Assumptions'!$U$29*EXP('Model Inputs &amp; Assumptions'!$V$29*Q669-'Model Inputs &amp; Assumptions'!$V$29^2/2))</f>
        <v>0</v>
      </c>
      <c r="E669" s="45" t="n">
        <f aca="false">ROUND(C669*D669,0)</f>
        <v>0</v>
      </c>
      <c r="F669" s="47" t="n">
        <f aca="false">MIN(1,'Model Inputs &amp; Assumptions'!$W$29*EXP('Model Inputs &amp; Assumptions'!$X$29*R669-'Model Inputs &amp; Assumptions'!$X$29^2/2))</f>
        <v>0.00196288238748231</v>
      </c>
      <c r="G669" s="45" t="n">
        <f aca="false">ROUND(C669*F669,0)</f>
        <v>327</v>
      </c>
      <c r="H669" s="48" t="n">
        <f aca="false">MAX(0,(C669*'Model Inputs &amp; Assumptions'!$N$29+E669*'Model Inputs &amp; Assumptions'!$O$29+G669*'Model Inputs &amp; Assumptions'!$P$29)*EXP('Model Inputs &amp; Assumptions'!$Q$29*S669-'Model Inputs &amp; Assumptions'!$Q$29^2/2))</f>
        <v>12.3383697329054</v>
      </c>
      <c r="I669" s="49" t="n">
        <f aca="false">IF('Model Inputs &amp; Assumptions'!$H$29="Fixed",'Model Inputs &amp; Assumptions'!$I$29*'Model Inputs &amp; Assumptions'!$K$29,IF('Model Inputs &amp; Assumptions'!$H$29="CPM",'Model Inputs &amp; Assumptions'!$I$29*'Model Inputs &amp; Assumptions'!$K$29*C669/1000,IF('Model Inputs &amp; Assumptions'!$H$29="CPC",'Model Inputs &amp; Assumptions'!$I$29*'Model Inputs &amp; Assumptions'!$K$29*G669,0)))</f>
        <v>6500</v>
      </c>
      <c r="J669" s="50" t="n">
        <f aca="false">H669*INDEX('Model Inputs &amp; Assumptions'!$D$40:$D$42,MATCH('Model Inputs &amp; Assumptions'!$L$29,'Model Inputs &amp; Assumptions'!$A$40:$A$42,0))*INDEX('Model Inputs &amp; Assumptions'!$H$40:$H$42,MATCH('Model Inputs &amp; Assumptions'!$L$29,'Model Inputs &amp; Assumptions'!$A$40:$A$42,0))</f>
        <v>104876.142729696</v>
      </c>
      <c r="K669" s="49" t="n">
        <f aca="false">H669*INDEX('Model Inputs &amp; Assumptions'!$G$40:$G$42,MATCH('Model Inputs &amp; Assumptions'!$L$29,'Model Inputs &amp; Assumptions'!$A$40:$A$42,0))*INDEX('Model Inputs &amp; Assumptions'!$H$40:$H$42,MATCH('Model Inputs &amp; Assumptions'!$L$29,'Model Inputs &amp; Assumptions'!$A$40:$A$42,0))</f>
        <v>2359.71321141816</v>
      </c>
      <c r="L669" s="51" t="n">
        <f aca="false">IFERROR(K669/I669,0)</f>
        <v>0.363032801756641</v>
      </c>
      <c r="M669" s="49" t="n">
        <f aca="false">IFERROR(I669/H669,0)</f>
        <v>526.811899846462</v>
      </c>
      <c r="N669" s="52" t="str">
        <f aca="false">'Model Inputs &amp; Assumptions'!$L$29</f>
        <v>PRD-EUAI</v>
      </c>
      <c r="P669" s="53" t="n">
        <v>-0.674939</v>
      </c>
      <c r="Q669" s="53" t="n">
        <v>1.112566</v>
      </c>
      <c r="R669" s="53" t="n">
        <v>-1.470962</v>
      </c>
      <c r="S669" s="53" t="n">
        <v>-0.78838</v>
      </c>
    </row>
    <row r="670" customFormat="false" ht="15" hidden="false" customHeight="false" outlineLevel="0" collapsed="false">
      <c r="A670" s="43" t="n">
        <v>167</v>
      </c>
      <c r="B670" s="44" t="str">
        <f aca="false">'Model Inputs &amp; Assumptions'!$B$29</f>
        <v>Handelsblatt — Native Explainer</v>
      </c>
      <c r="C670" s="45" t="n">
        <f aca="false">ROUND(MAX(0,'Model Inputs &amp; Assumptions'!$S$29*EXP('Model Inputs &amp; Assumptions'!$T$29*P670-'Model Inputs &amp; Assumptions'!$T$29^2/2)),0)</f>
        <v>191268</v>
      </c>
      <c r="D670" s="46" t="n">
        <f aca="false">MIN(1,'Model Inputs &amp; Assumptions'!$U$29*EXP('Model Inputs &amp; Assumptions'!$V$29*Q670-'Model Inputs &amp; Assumptions'!$V$29^2/2))</f>
        <v>0</v>
      </c>
      <c r="E670" s="45" t="n">
        <f aca="false">ROUND(C670*D670,0)</f>
        <v>0</v>
      </c>
      <c r="F670" s="47" t="n">
        <f aca="false">MIN(1,'Model Inputs &amp; Assumptions'!$W$29*EXP('Model Inputs &amp; Assumptions'!$X$29*R670-'Model Inputs &amp; Assumptions'!$X$29^2/2))</f>
        <v>0.00369930327853004</v>
      </c>
      <c r="G670" s="45" t="n">
        <f aca="false">ROUND(C670*F670,0)</f>
        <v>708</v>
      </c>
      <c r="H670" s="48" t="n">
        <f aca="false">MAX(0,(C670*'Model Inputs &amp; Assumptions'!$N$29+E670*'Model Inputs &amp; Assumptions'!$O$29+G670*'Model Inputs &amp; Assumptions'!$P$29)*EXP('Model Inputs &amp; Assumptions'!$Q$29*S670-'Model Inputs &amp; Assumptions'!$Q$29^2/2))</f>
        <v>36.1238105572522</v>
      </c>
      <c r="I670" s="49" t="n">
        <f aca="false">IF('Model Inputs &amp; Assumptions'!$H$29="Fixed",'Model Inputs &amp; Assumptions'!$I$29*'Model Inputs &amp; Assumptions'!$K$29,IF('Model Inputs &amp; Assumptions'!$H$29="CPM",'Model Inputs &amp; Assumptions'!$I$29*'Model Inputs &amp; Assumptions'!$K$29*C670/1000,IF('Model Inputs &amp; Assumptions'!$H$29="CPC",'Model Inputs &amp; Assumptions'!$I$29*'Model Inputs &amp; Assumptions'!$K$29*G670,0)))</f>
        <v>6500</v>
      </c>
      <c r="J670" s="50" t="n">
        <f aca="false">H670*INDEX('Model Inputs &amp; Assumptions'!$D$40:$D$42,MATCH('Model Inputs &amp; Assumptions'!$L$29,'Model Inputs &amp; Assumptions'!$A$40:$A$42,0))*INDEX('Model Inputs &amp; Assumptions'!$H$40:$H$42,MATCH('Model Inputs &amp; Assumptions'!$L$29,'Model Inputs &amp; Assumptions'!$A$40:$A$42,0))</f>
        <v>307052.389736644</v>
      </c>
      <c r="K670" s="49" t="n">
        <f aca="false">H670*INDEX('Model Inputs &amp; Assumptions'!$G$40:$G$42,MATCH('Model Inputs &amp; Assumptions'!$L$29,'Model Inputs &amp; Assumptions'!$A$40:$A$42,0))*INDEX('Model Inputs &amp; Assumptions'!$H$40:$H$42,MATCH('Model Inputs &amp; Assumptions'!$L$29,'Model Inputs &amp; Assumptions'!$A$40:$A$42,0))</f>
        <v>6908.67876907449</v>
      </c>
      <c r="L670" s="51" t="n">
        <f aca="false">IFERROR(K670/I670,0)</f>
        <v>1.06287365678069</v>
      </c>
      <c r="M670" s="49" t="n">
        <f aca="false">IFERROR(I670/H670,0)</f>
        <v>179.936720399367</v>
      </c>
      <c r="N670" s="52" t="str">
        <f aca="false">'Model Inputs &amp; Assumptions'!$L$29</f>
        <v>PRD-EUAI</v>
      </c>
      <c r="P670" s="53" t="n">
        <v>-0.047224</v>
      </c>
      <c r="Q670" s="53" t="n">
        <v>-0.569828</v>
      </c>
      <c r="R670" s="53" t="n">
        <v>0.966463</v>
      </c>
      <c r="S670" s="53" t="n">
        <v>0.217468</v>
      </c>
    </row>
    <row r="671" customFormat="false" ht="15" hidden="false" customHeight="false" outlineLevel="0" collapsed="false">
      <c r="A671" s="43" t="n">
        <v>168</v>
      </c>
      <c r="B671" s="44" t="str">
        <f aca="false">'Model Inputs &amp; Assumptions'!$B$29</f>
        <v>Handelsblatt — Native Explainer</v>
      </c>
      <c r="C671" s="45" t="n">
        <f aca="false">ROUND(MAX(0,'Model Inputs &amp; Assumptions'!$S$29*EXP('Model Inputs &amp; Assumptions'!$T$29*P671-'Model Inputs &amp; Assumptions'!$T$29^2/2)),0)</f>
        <v>160398</v>
      </c>
      <c r="D671" s="46" t="n">
        <f aca="false">MIN(1,'Model Inputs &amp; Assumptions'!$U$29*EXP('Model Inputs &amp; Assumptions'!$V$29*Q671-'Model Inputs &amp; Assumptions'!$V$29^2/2))</f>
        <v>0</v>
      </c>
      <c r="E671" s="45" t="n">
        <f aca="false">ROUND(C671*D671,0)</f>
        <v>0</v>
      </c>
      <c r="F671" s="47" t="n">
        <f aca="false">MIN(1,'Model Inputs &amp; Assumptions'!$W$29*EXP('Model Inputs &amp; Assumptions'!$X$29*R671-'Model Inputs &amp; Assumptions'!$X$29^2/2))</f>
        <v>0.00207502648782683</v>
      </c>
      <c r="G671" s="45" t="n">
        <f aca="false">ROUND(C671*F671,0)</f>
        <v>333</v>
      </c>
      <c r="H671" s="48" t="n">
        <f aca="false">MAX(0,(C671*'Model Inputs &amp; Assumptions'!$N$29+E671*'Model Inputs &amp; Assumptions'!$O$29+G671*'Model Inputs &amp; Assumptions'!$P$29)*EXP('Model Inputs &amp; Assumptions'!$Q$29*S671-'Model Inputs &amp; Assumptions'!$Q$29^2/2))</f>
        <v>9.30756784877374</v>
      </c>
      <c r="I671" s="49" t="n">
        <f aca="false">IF('Model Inputs &amp; Assumptions'!$H$29="Fixed",'Model Inputs &amp; Assumptions'!$I$29*'Model Inputs &amp; Assumptions'!$K$29,IF('Model Inputs &amp; Assumptions'!$H$29="CPM",'Model Inputs &amp; Assumptions'!$I$29*'Model Inputs &amp; Assumptions'!$K$29*C671/1000,IF('Model Inputs &amp; Assumptions'!$H$29="CPC",'Model Inputs &amp; Assumptions'!$I$29*'Model Inputs &amp; Assumptions'!$K$29*G671,0)))</f>
        <v>6500</v>
      </c>
      <c r="J671" s="50" t="n">
        <f aca="false">H671*INDEX('Model Inputs &amp; Assumptions'!$D$40:$D$42,MATCH('Model Inputs &amp; Assumptions'!$L$29,'Model Inputs &amp; Assumptions'!$A$40:$A$42,0))*INDEX('Model Inputs &amp; Assumptions'!$H$40:$H$42,MATCH('Model Inputs &amp; Assumptions'!$L$29,'Model Inputs &amp; Assumptions'!$A$40:$A$42,0))</f>
        <v>79114.3267145768</v>
      </c>
      <c r="K671" s="49" t="n">
        <f aca="false">H671*INDEX('Model Inputs &amp; Assumptions'!$G$40:$G$42,MATCH('Model Inputs &amp; Assumptions'!$L$29,'Model Inputs &amp; Assumptions'!$A$40:$A$42,0))*INDEX('Model Inputs &amp; Assumptions'!$H$40:$H$42,MATCH('Model Inputs &amp; Assumptions'!$L$29,'Model Inputs &amp; Assumptions'!$A$40:$A$42,0))</f>
        <v>1780.07235107798</v>
      </c>
      <c r="L671" s="51" t="n">
        <f aca="false">IFERROR(K671/I671,0)</f>
        <v>0.273857284781227</v>
      </c>
      <c r="M671" s="49" t="n">
        <f aca="false">IFERROR(I671/H671,0)</f>
        <v>698.356445594578</v>
      </c>
      <c r="N671" s="52" t="str">
        <f aca="false">'Model Inputs &amp; Assumptions'!$L$29</f>
        <v>PRD-EUAI</v>
      </c>
      <c r="P671" s="53" t="n">
        <v>-0.847324</v>
      </c>
      <c r="Q671" s="53" t="n">
        <v>-1.171078</v>
      </c>
      <c r="R671" s="53" t="n">
        <v>-1.25727</v>
      </c>
      <c r="S671" s="53" t="n">
        <v>-1.788608</v>
      </c>
    </row>
    <row r="672" customFormat="false" ht="15" hidden="false" customHeight="false" outlineLevel="0" collapsed="false">
      <c r="A672" s="43" t="n">
        <v>169</v>
      </c>
      <c r="B672" s="44" t="str">
        <f aca="false">'Model Inputs &amp; Assumptions'!$B$29</f>
        <v>Handelsblatt — Native Explainer</v>
      </c>
      <c r="C672" s="45" t="n">
        <f aca="false">ROUND(MAX(0,'Model Inputs &amp; Assumptions'!$S$29*EXP('Model Inputs &amp; Assumptions'!$T$29*P672-'Model Inputs &amp; Assumptions'!$T$29^2/2)),0)</f>
        <v>173990</v>
      </c>
      <c r="D672" s="46" t="n">
        <f aca="false">MIN(1,'Model Inputs &amp; Assumptions'!$U$29*EXP('Model Inputs &amp; Assumptions'!$V$29*Q672-'Model Inputs &amp; Assumptions'!$V$29^2/2))</f>
        <v>0</v>
      </c>
      <c r="E672" s="45" t="n">
        <f aca="false">ROUND(C672*D672,0)</f>
        <v>0</v>
      </c>
      <c r="F672" s="47" t="n">
        <f aca="false">MIN(1,'Model Inputs &amp; Assumptions'!$W$29*EXP('Model Inputs &amp; Assumptions'!$X$29*R672-'Model Inputs &amp; Assumptions'!$X$29^2/2))</f>
        <v>0.00387373678549573</v>
      </c>
      <c r="G672" s="45" t="n">
        <f aca="false">ROUND(C672*F672,0)</f>
        <v>674</v>
      </c>
      <c r="H672" s="48" t="n">
        <f aca="false">MAX(0,(C672*'Model Inputs &amp; Assumptions'!$N$29+E672*'Model Inputs &amp; Assumptions'!$O$29+G672*'Model Inputs &amp; Assumptions'!$P$29)*EXP('Model Inputs &amp; Assumptions'!$Q$29*S672-'Model Inputs &amp; Assumptions'!$Q$29^2/2))</f>
        <v>40.5363514155945</v>
      </c>
      <c r="I672" s="49" t="n">
        <f aca="false">IF('Model Inputs &amp; Assumptions'!$H$29="Fixed",'Model Inputs &amp; Assumptions'!$I$29*'Model Inputs &amp; Assumptions'!$K$29,IF('Model Inputs &amp; Assumptions'!$H$29="CPM",'Model Inputs &amp; Assumptions'!$I$29*'Model Inputs &amp; Assumptions'!$K$29*C672/1000,IF('Model Inputs &amp; Assumptions'!$H$29="CPC",'Model Inputs &amp; Assumptions'!$I$29*'Model Inputs &amp; Assumptions'!$K$29*G672,0)))</f>
        <v>6500</v>
      </c>
      <c r="J672" s="50" t="n">
        <f aca="false">H672*INDEX('Model Inputs &amp; Assumptions'!$D$40:$D$42,MATCH('Model Inputs &amp; Assumptions'!$L$29,'Model Inputs &amp; Assumptions'!$A$40:$A$42,0))*INDEX('Model Inputs &amp; Assumptions'!$H$40:$H$42,MATCH('Model Inputs &amp; Assumptions'!$L$29,'Model Inputs &amp; Assumptions'!$A$40:$A$42,0))</f>
        <v>344558.987032554</v>
      </c>
      <c r="K672" s="49" t="n">
        <f aca="false">H672*INDEX('Model Inputs &amp; Assumptions'!$G$40:$G$42,MATCH('Model Inputs &amp; Assumptions'!$L$29,'Model Inputs &amp; Assumptions'!$A$40:$A$42,0))*INDEX('Model Inputs &amp; Assumptions'!$H$40:$H$42,MATCH('Model Inputs &amp; Assumptions'!$L$29,'Model Inputs &amp; Assumptions'!$A$40:$A$42,0))</f>
        <v>7752.57720823246</v>
      </c>
      <c r="L672" s="51" t="n">
        <f aca="false">IFERROR(K672/I672,0)</f>
        <v>1.19270418588192</v>
      </c>
      <c r="M672" s="49" t="n">
        <f aca="false">IFERROR(I672/H672,0)</f>
        <v>160.349902569165</v>
      </c>
      <c r="N672" s="52" t="str">
        <f aca="false">'Model Inputs &amp; Assumptions'!$L$29</f>
        <v>PRD-EUAI</v>
      </c>
      <c r="P672" s="53" t="n">
        <v>-0.477589</v>
      </c>
      <c r="Q672" s="53" t="n">
        <v>3.164509</v>
      </c>
      <c r="R672" s="53" t="n">
        <v>1.143675</v>
      </c>
      <c r="S672" s="53" t="n">
        <v>0.765671</v>
      </c>
    </row>
    <row r="673" customFormat="false" ht="15" hidden="false" customHeight="false" outlineLevel="0" collapsed="false">
      <c r="A673" s="43" t="n">
        <v>170</v>
      </c>
      <c r="B673" s="44" t="str">
        <f aca="false">'Model Inputs &amp; Assumptions'!$B$29</f>
        <v>Handelsblatt — Native Explainer</v>
      </c>
      <c r="C673" s="45" t="n">
        <f aca="false">ROUND(MAX(0,'Model Inputs &amp; Assumptions'!$S$29*EXP('Model Inputs &amp; Assumptions'!$T$29*P673-'Model Inputs &amp; Assumptions'!$T$29^2/2)),0)</f>
        <v>130537</v>
      </c>
      <c r="D673" s="46" t="n">
        <f aca="false">MIN(1,'Model Inputs &amp; Assumptions'!$U$29*EXP('Model Inputs &amp; Assumptions'!$V$29*Q673-'Model Inputs &amp; Assumptions'!$V$29^2/2))</f>
        <v>0</v>
      </c>
      <c r="E673" s="45" t="n">
        <f aca="false">ROUND(C673*D673,0)</f>
        <v>0</v>
      </c>
      <c r="F673" s="47" t="n">
        <f aca="false">MIN(1,'Model Inputs &amp; Assumptions'!$W$29*EXP('Model Inputs &amp; Assumptions'!$X$29*R673-'Model Inputs &amp; Assumptions'!$X$29^2/2))</f>
        <v>0.00298374462969653</v>
      </c>
      <c r="G673" s="45" t="n">
        <f aca="false">ROUND(C673*F673,0)</f>
        <v>389</v>
      </c>
      <c r="H673" s="48" t="n">
        <f aca="false">MAX(0,(C673*'Model Inputs &amp; Assumptions'!$N$29+E673*'Model Inputs &amp; Assumptions'!$O$29+G673*'Model Inputs &amp; Assumptions'!$P$29)*EXP('Model Inputs &amp; Assumptions'!$Q$29*S673-'Model Inputs &amp; Assumptions'!$Q$29^2/2))</f>
        <v>15.4692946688473</v>
      </c>
      <c r="I673" s="49" t="n">
        <f aca="false">IF('Model Inputs &amp; Assumptions'!$H$29="Fixed",'Model Inputs &amp; Assumptions'!$I$29*'Model Inputs &amp; Assumptions'!$K$29,IF('Model Inputs &amp; Assumptions'!$H$29="CPM",'Model Inputs &amp; Assumptions'!$I$29*'Model Inputs &amp; Assumptions'!$K$29*C673/1000,IF('Model Inputs &amp; Assumptions'!$H$29="CPC",'Model Inputs &amp; Assumptions'!$I$29*'Model Inputs &amp; Assumptions'!$K$29*G673,0)))</f>
        <v>6500</v>
      </c>
      <c r="J673" s="50" t="n">
        <f aca="false">H673*INDEX('Model Inputs &amp; Assumptions'!$D$40:$D$42,MATCH('Model Inputs &amp; Assumptions'!$L$29,'Model Inputs &amp; Assumptions'!$A$40:$A$42,0))*INDEX('Model Inputs &amp; Assumptions'!$H$40:$H$42,MATCH('Model Inputs &amp; Assumptions'!$L$29,'Model Inputs &amp; Assumptions'!$A$40:$A$42,0))</f>
        <v>131489.004685202</v>
      </c>
      <c r="K673" s="49" t="n">
        <f aca="false">H673*INDEX('Model Inputs &amp; Assumptions'!$G$40:$G$42,MATCH('Model Inputs &amp; Assumptions'!$L$29,'Model Inputs &amp; Assumptions'!$A$40:$A$42,0))*INDEX('Model Inputs &amp; Assumptions'!$H$40:$H$42,MATCH('Model Inputs &amp; Assumptions'!$L$29,'Model Inputs &amp; Assumptions'!$A$40:$A$42,0))</f>
        <v>2958.50260541705</v>
      </c>
      <c r="L673" s="51" t="n">
        <f aca="false">IFERROR(K673/I673,0)</f>
        <v>0.455154246987238</v>
      </c>
      <c r="M673" s="49" t="n">
        <f aca="false">IFERROR(I673/H673,0)</f>
        <v>420.187225025195</v>
      </c>
      <c r="N673" s="52" t="str">
        <f aca="false">'Model Inputs &amp; Assumptions'!$L$29</f>
        <v>PRD-EUAI</v>
      </c>
      <c r="P673" s="53" t="n">
        <v>-1.78368</v>
      </c>
      <c r="Q673" s="53" t="n">
        <v>-0.823946</v>
      </c>
      <c r="R673" s="53" t="n">
        <v>0.139673</v>
      </c>
      <c r="S673" s="53" t="n">
        <v>-0.6133</v>
      </c>
    </row>
    <row r="674" customFormat="false" ht="15" hidden="false" customHeight="false" outlineLevel="0" collapsed="false">
      <c r="A674" s="43" t="n">
        <v>171</v>
      </c>
      <c r="B674" s="44" t="str">
        <f aca="false">'Model Inputs &amp; Assumptions'!$B$29</f>
        <v>Handelsblatt — Native Explainer</v>
      </c>
      <c r="C674" s="45" t="n">
        <f aca="false">ROUND(MAX(0,'Model Inputs &amp; Assumptions'!$S$29*EXP('Model Inputs &amp; Assumptions'!$T$29*P674-'Model Inputs &amp; Assumptions'!$T$29^2/2)),0)</f>
        <v>198680</v>
      </c>
      <c r="D674" s="46" t="n">
        <f aca="false">MIN(1,'Model Inputs &amp; Assumptions'!$U$29*EXP('Model Inputs &amp; Assumptions'!$V$29*Q674-'Model Inputs &amp; Assumptions'!$V$29^2/2))</f>
        <v>0</v>
      </c>
      <c r="E674" s="45" t="n">
        <f aca="false">ROUND(C674*D674,0)</f>
        <v>0</v>
      </c>
      <c r="F674" s="47" t="n">
        <f aca="false">MIN(1,'Model Inputs &amp; Assumptions'!$W$29*EXP('Model Inputs &amp; Assumptions'!$X$29*R674-'Model Inputs &amp; Assumptions'!$X$29^2/2))</f>
        <v>0.00185313896448913</v>
      </c>
      <c r="G674" s="45" t="n">
        <f aca="false">ROUND(C674*F674,0)</f>
        <v>368</v>
      </c>
      <c r="H674" s="48" t="n">
        <f aca="false">MAX(0,(C674*'Model Inputs &amp; Assumptions'!$N$29+E674*'Model Inputs &amp; Assumptions'!$O$29+G674*'Model Inputs &amp; Assumptions'!$P$29)*EXP('Model Inputs &amp; Assumptions'!$Q$29*S674-'Model Inputs &amp; Assumptions'!$Q$29^2/2))</f>
        <v>17.5068260454324</v>
      </c>
      <c r="I674" s="49" t="n">
        <f aca="false">IF('Model Inputs &amp; Assumptions'!$H$29="Fixed",'Model Inputs &amp; Assumptions'!$I$29*'Model Inputs &amp; Assumptions'!$K$29,IF('Model Inputs &amp; Assumptions'!$H$29="CPM",'Model Inputs &amp; Assumptions'!$I$29*'Model Inputs &amp; Assumptions'!$K$29*C674/1000,IF('Model Inputs &amp; Assumptions'!$H$29="CPC",'Model Inputs &amp; Assumptions'!$I$29*'Model Inputs &amp; Assumptions'!$K$29*G674,0)))</f>
        <v>6500</v>
      </c>
      <c r="J674" s="50" t="n">
        <f aca="false">H674*INDEX('Model Inputs &amp; Assumptions'!$D$40:$D$42,MATCH('Model Inputs &amp; Assumptions'!$L$29,'Model Inputs &amp; Assumptions'!$A$40:$A$42,0))*INDEX('Model Inputs &amp; Assumptions'!$H$40:$H$42,MATCH('Model Inputs &amp; Assumptions'!$L$29,'Model Inputs &amp; Assumptions'!$A$40:$A$42,0))</f>
        <v>148808.021386176</v>
      </c>
      <c r="K674" s="49" t="n">
        <f aca="false">H674*INDEX('Model Inputs &amp; Assumptions'!$G$40:$G$42,MATCH('Model Inputs &amp; Assumptions'!$L$29,'Model Inputs &amp; Assumptions'!$A$40:$A$42,0))*INDEX('Model Inputs &amp; Assumptions'!$H$40:$H$42,MATCH('Model Inputs &amp; Assumptions'!$L$29,'Model Inputs &amp; Assumptions'!$A$40:$A$42,0))</f>
        <v>3348.18048118895</v>
      </c>
      <c r="L674" s="51" t="n">
        <f aca="false">IFERROR(K674/I674,0)</f>
        <v>0.515104689413685</v>
      </c>
      <c r="M674" s="49" t="n">
        <f aca="false">IFERROR(I674/H674,0)</f>
        <v>371.283748586505</v>
      </c>
      <c r="N674" s="52" t="str">
        <f aca="false">'Model Inputs &amp; Assumptions'!$L$29</f>
        <v>PRD-EUAI</v>
      </c>
      <c r="P674" s="53" t="n">
        <v>0.12558</v>
      </c>
      <c r="Q674" s="53" t="n">
        <v>-0.692778</v>
      </c>
      <c r="R674" s="53" t="n">
        <v>-1.692243</v>
      </c>
      <c r="S674" s="53" t="n">
        <v>-0.015866</v>
      </c>
    </row>
    <row r="675" customFormat="false" ht="15" hidden="false" customHeight="false" outlineLevel="0" collapsed="false">
      <c r="A675" s="43" t="n">
        <v>172</v>
      </c>
      <c r="B675" s="44" t="str">
        <f aca="false">'Model Inputs &amp; Assumptions'!$B$29</f>
        <v>Handelsblatt — Native Explainer</v>
      </c>
      <c r="C675" s="45" t="n">
        <f aca="false">ROUND(MAX(0,'Model Inputs &amp; Assumptions'!$S$29*EXP('Model Inputs &amp; Assumptions'!$T$29*P675-'Model Inputs &amp; Assumptions'!$T$29^2/2)),0)</f>
        <v>216602</v>
      </c>
      <c r="D675" s="46" t="n">
        <f aca="false">MIN(1,'Model Inputs &amp; Assumptions'!$U$29*EXP('Model Inputs &amp; Assumptions'!$V$29*Q675-'Model Inputs &amp; Assumptions'!$V$29^2/2))</f>
        <v>0</v>
      </c>
      <c r="E675" s="45" t="n">
        <f aca="false">ROUND(C675*D675,0)</f>
        <v>0</v>
      </c>
      <c r="F675" s="47" t="n">
        <f aca="false">MIN(1,'Model Inputs &amp; Assumptions'!$W$29*EXP('Model Inputs &amp; Assumptions'!$X$29*R675-'Model Inputs &amp; Assumptions'!$X$29^2/2))</f>
        <v>0.00184203087399462</v>
      </c>
      <c r="G675" s="45" t="n">
        <f aca="false">ROUND(C675*F675,0)</f>
        <v>399</v>
      </c>
      <c r="H675" s="48" t="n">
        <f aca="false">MAX(0,(C675*'Model Inputs &amp; Assumptions'!$N$29+E675*'Model Inputs &amp; Assumptions'!$O$29+G675*'Model Inputs &amp; Assumptions'!$P$29)*EXP('Model Inputs &amp; Assumptions'!$Q$29*S675-'Model Inputs &amp; Assumptions'!$Q$29^2/2))</f>
        <v>21.5782603661795</v>
      </c>
      <c r="I675" s="49" t="n">
        <f aca="false">IF('Model Inputs &amp; Assumptions'!$H$29="Fixed",'Model Inputs &amp; Assumptions'!$I$29*'Model Inputs &amp; Assumptions'!$K$29,IF('Model Inputs &amp; Assumptions'!$H$29="CPM",'Model Inputs &amp; Assumptions'!$I$29*'Model Inputs &amp; Assumptions'!$K$29*C675/1000,IF('Model Inputs &amp; Assumptions'!$H$29="CPC",'Model Inputs &amp; Assumptions'!$I$29*'Model Inputs &amp; Assumptions'!$K$29*G675,0)))</f>
        <v>6500</v>
      </c>
      <c r="J675" s="50" t="n">
        <f aca="false">H675*INDEX('Model Inputs &amp; Assumptions'!$D$40:$D$42,MATCH('Model Inputs &amp; Assumptions'!$L$29,'Model Inputs &amp; Assumptions'!$A$40:$A$42,0))*INDEX('Model Inputs &amp; Assumptions'!$H$40:$H$42,MATCH('Model Inputs &amp; Assumptions'!$L$29,'Model Inputs &amp; Assumptions'!$A$40:$A$42,0))</f>
        <v>183415.213112526</v>
      </c>
      <c r="K675" s="49" t="n">
        <f aca="false">H675*INDEX('Model Inputs &amp; Assumptions'!$G$40:$G$42,MATCH('Model Inputs &amp; Assumptions'!$L$29,'Model Inputs &amp; Assumptions'!$A$40:$A$42,0))*INDEX('Model Inputs &amp; Assumptions'!$H$40:$H$42,MATCH('Model Inputs &amp; Assumptions'!$L$29,'Model Inputs &amp; Assumptions'!$A$40:$A$42,0))</f>
        <v>4126.84229503183</v>
      </c>
      <c r="L675" s="51" t="n">
        <f aca="false">IFERROR(K675/I675,0)</f>
        <v>0.634898814620282</v>
      </c>
      <c r="M675" s="49" t="n">
        <f aca="false">IFERROR(I675/H675,0)</f>
        <v>301.229102332444</v>
      </c>
      <c r="N675" s="52" t="str">
        <f aca="false">'Model Inputs &amp; Assumptions'!$L$29</f>
        <v>PRD-EUAI</v>
      </c>
      <c r="P675" s="53" t="n">
        <v>0.518167</v>
      </c>
      <c r="Q675" s="53" t="n">
        <v>2.147678</v>
      </c>
      <c r="R675" s="53" t="n">
        <v>-1.715367</v>
      </c>
      <c r="S675" s="53" t="n">
        <v>0.411524</v>
      </c>
    </row>
    <row r="676" customFormat="false" ht="15" hidden="false" customHeight="false" outlineLevel="0" collapsed="false">
      <c r="A676" s="43" t="n">
        <v>173</v>
      </c>
      <c r="B676" s="44" t="str">
        <f aca="false">'Model Inputs &amp; Assumptions'!$B$29</f>
        <v>Handelsblatt — Native Explainer</v>
      </c>
      <c r="C676" s="45" t="n">
        <f aca="false">ROUND(MAX(0,'Model Inputs &amp; Assumptions'!$S$29*EXP('Model Inputs &amp; Assumptions'!$T$29*P676-'Model Inputs &amp; Assumptions'!$T$29^2/2)),0)</f>
        <v>153640</v>
      </c>
      <c r="D676" s="46" t="n">
        <f aca="false">MIN(1,'Model Inputs &amp; Assumptions'!$U$29*EXP('Model Inputs &amp; Assumptions'!$V$29*Q676-'Model Inputs &amp; Assumptions'!$V$29^2/2))</f>
        <v>0</v>
      </c>
      <c r="E676" s="45" t="n">
        <f aca="false">ROUND(C676*D676,0)</f>
        <v>0</v>
      </c>
      <c r="F676" s="47" t="n">
        <f aca="false">MIN(1,'Model Inputs &amp; Assumptions'!$W$29*EXP('Model Inputs &amp; Assumptions'!$X$29*R676-'Model Inputs &amp; Assumptions'!$X$29^2/2))</f>
        <v>0.00501391395589963</v>
      </c>
      <c r="G676" s="45" t="n">
        <f aca="false">ROUND(C676*F676,0)</f>
        <v>770</v>
      </c>
      <c r="H676" s="48" t="n">
        <f aca="false">MAX(0,(C676*'Model Inputs &amp; Assumptions'!$N$29+E676*'Model Inputs &amp; Assumptions'!$O$29+G676*'Model Inputs &amp; Assumptions'!$P$29)*EXP('Model Inputs &amp; Assumptions'!$Q$29*S676-'Model Inputs &amp; Assumptions'!$Q$29^2/2))</f>
        <v>25.6899031532999</v>
      </c>
      <c r="I676" s="49" t="n">
        <f aca="false">IF('Model Inputs &amp; Assumptions'!$H$29="Fixed",'Model Inputs &amp; Assumptions'!$I$29*'Model Inputs &amp; Assumptions'!$K$29,IF('Model Inputs &amp; Assumptions'!$H$29="CPM",'Model Inputs &amp; Assumptions'!$I$29*'Model Inputs &amp; Assumptions'!$K$29*C676/1000,IF('Model Inputs &amp; Assumptions'!$H$29="CPC",'Model Inputs &amp; Assumptions'!$I$29*'Model Inputs &amp; Assumptions'!$K$29*G676,0)))</f>
        <v>6500</v>
      </c>
      <c r="J676" s="50" t="n">
        <f aca="false">H676*INDEX('Model Inputs &amp; Assumptions'!$D$40:$D$42,MATCH('Model Inputs &amp; Assumptions'!$L$29,'Model Inputs &amp; Assumptions'!$A$40:$A$42,0))*INDEX('Model Inputs &amp; Assumptions'!$H$40:$H$42,MATCH('Model Inputs &amp; Assumptions'!$L$29,'Model Inputs &amp; Assumptions'!$A$40:$A$42,0))</f>
        <v>218364.176803049</v>
      </c>
      <c r="K676" s="49" t="n">
        <f aca="false">H676*INDEX('Model Inputs &amp; Assumptions'!$G$40:$G$42,MATCH('Model Inputs &amp; Assumptions'!$L$29,'Model Inputs &amp; Assumptions'!$A$40:$A$42,0))*INDEX('Model Inputs &amp; Assumptions'!$H$40:$H$42,MATCH('Model Inputs &amp; Assumptions'!$L$29,'Model Inputs &amp; Assumptions'!$A$40:$A$42,0))</f>
        <v>4913.1939780686</v>
      </c>
      <c r="L676" s="51" t="n">
        <f aca="false">IFERROR(K676/I676,0)</f>
        <v>0.755875996625938</v>
      </c>
      <c r="M676" s="49" t="n">
        <f aca="false">IFERROR(I676/H676,0)</f>
        <v>253.017691861757</v>
      </c>
      <c r="N676" s="52" t="str">
        <f aca="false">'Model Inputs &amp; Assumptions'!$L$29</f>
        <v>PRD-EUAI</v>
      </c>
      <c r="P676" s="53" t="n">
        <v>-1.042981</v>
      </c>
      <c r="Q676" s="53" t="n">
        <v>-0.954161</v>
      </c>
      <c r="R676" s="53" t="n">
        <v>2.135972</v>
      </c>
      <c r="S676" s="53" t="n">
        <v>-1.198534</v>
      </c>
    </row>
    <row r="677" customFormat="false" ht="15" hidden="false" customHeight="false" outlineLevel="0" collapsed="false">
      <c r="A677" s="43" t="n">
        <v>174</v>
      </c>
      <c r="B677" s="44" t="str">
        <f aca="false">'Model Inputs &amp; Assumptions'!$B$29</f>
        <v>Handelsblatt — Native Explainer</v>
      </c>
      <c r="C677" s="45" t="n">
        <f aca="false">ROUND(MAX(0,'Model Inputs &amp; Assumptions'!$S$29*EXP('Model Inputs &amp; Assumptions'!$T$29*P677-'Model Inputs &amp; Assumptions'!$T$29^2/2)),0)</f>
        <v>129598</v>
      </c>
      <c r="D677" s="46" t="n">
        <f aca="false">MIN(1,'Model Inputs &amp; Assumptions'!$U$29*EXP('Model Inputs &amp; Assumptions'!$V$29*Q677-'Model Inputs &amp; Assumptions'!$V$29^2/2))</f>
        <v>0</v>
      </c>
      <c r="E677" s="45" t="n">
        <f aca="false">ROUND(C677*D677,0)</f>
        <v>0</v>
      </c>
      <c r="F677" s="47" t="n">
        <f aca="false">MIN(1,'Model Inputs &amp; Assumptions'!$W$29*EXP('Model Inputs &amp; Assumptions'!$X$29*R677-'Model Inputs &amp; Assumptions'!$X$29^2/2))</f>
        <v>0.00387058260182688</v>
      </c>
      <c r="G677" s="45" t="n">
        <f aca="false">ROUND(C677*F677,0)</f>
        <v>502</v>
      </c>
      <c r="H677" s="48" t="n">
        <f aca="false">MAX(0,(C677*'Model Inputs &amp; Assumptions'!$N$29+E677*'Model Inputs &amp; Assumptions'!$O$29+G677*'Model Inputs &amp; Assumptions'!$P$29)*EXP('Model Inputs &amp; Assumptions'!$Q$29*S677-'Model Inputs &amp; Assumptions'!$Q$29^2/2))</f>
        <v>29.2363397102484</v>
      </c>
      <c r="I677" s="49" t="n">
        <f aca="false">IF('Model Inputs &amp; Assumptions'!$H$29="Fixed",'Model Inputs &amp; Assumptions'!$I$29*'Model Inputs &amp; Assumptions'!$K$29,IF('Model Inputs &amp; Assumptions'!$H$29="CPM",'Model Inputs &amp; Assumptions'!$I$29*'Model Inputs &amp; Assumptions'!$K$29*C677/1000,IF('Model Inputs &amp; Assumptions'!$H$29="CPC",'Model Inputs &amp; Assumptions'!$I$29*'Model Inputs &amp; Assumptions'!$K$29*G677,0)))</f>
        <v>6500</v>
      </c>
      <c r="J677" s="50" t="n">
        <f aca="false">H677*INDEX('Model Inputs &amp; Assumptions'!$D$40:$D$42,MATCH('Model Inputs &amp; Assumptions'!$L$29,'Model Inputs &amp; Assumptions'!$A$40:$A$42,0))*INDEX('Model Inputs &amp; Assumptions'!$H$40:$H$42,MATCH('Model Inputs &amp; Assumptions'!$L$29,'Model Inputs &amp; Assumptions'!$A$40:$A$42,0))</f>
        <v>248508.887537112</v>
      </c>
      <c r="K677" s="49" t="n">
        <f aca="false">H677*INDEX('Model Inputs &amp; Assumptions'!$G$40:$G$42,MATCH('Model Inputs &amp; Assumptions'!$L$29,'Model Inputs &amp; Assumptions'!$A$40:$A$42,0))*INDEX('Model Inputs &amp; Assumptions'!$H$40:$H$42,MATCH('Model Inputs &amp; Assumptions'!$L$29,'Model Inputs &amp; Assumptions'!$A$40:$A$42,0))</f>
        <v>5591.44996958502</v>
      </c>
      <c r="L677" s="51" t="n">
        <f aca="false">IFERROR(K677/I677,0)</f>
        <v>0.860223072243849</v>
      </c>
      <c r="M677" s="49" t="n">
        <f aca="false">IFERROR(I677/H677,0)</f>
        <v>222.326052591375</v>
      </c>
      <c r="N677" s="52" t="str">
        <f aca="false">'Model Inputs &amp; Assumptions'!$L$29</f>
        <v>PRD-EUAI</v>
      </c>
      <c r="P677" s="53" t="n">
        <v>-1.816503</v>
      </c>
      <c r="Q677" s="53" t="n">
        <v>-0.767223</v>
      </c>
      <c r="R677" s="53" t="n">
        <v>1.140542</v>
      </c>
      <c r="S677" s="53" t="n">
        <v>0.658482</v>
      </c>
    </row>
    <row r="678" customFormat="false" ht="15" hidden="false" customHeight="false" outlineLevel="0" collapsed="false">
      <c r="A678" s="43" t="n">
        <v>175</v>
      </c>
      <c r="B678" s="44" t="str">
        <f aca="false">'Model Inputs &amp; Assumptions'!$B$29</f>
        <v>Handelsblatt — Native Explainer</v>
      </c>
      <c r="C678" s="45" t="n">
        <f aca="false">ROUND(MAX(0,'Model Inputs &amp; Assumptions'!$S$29*EXP('Model Inputs &amp; Assumptions'!$T$29*P678-'Model Inputs &amp; Assumptions'!$T$29^2/2)),0)</f>
        <v>178632</v>
      </c>
      <c r="D678" s="46" t="n">
        <f aca="false">MIN(1,'Model Inputs &amp; Assumptions'!$U$29*EXP('Model Inputs &amp; Assumptions'!$V$29*Q678-'Model Inputs &amp; Assumptions'!$V$29^2/2))</f>
        <v>0</v>
      </c>
      <c r="E678" s="45" t="n">
        <f aca="false">ROUND(C678*D678,0)</f>
        <v>0</v>
      </c>
      <c r="F678" s="47" t="n">
        <f aca="false">MIN(1,'Model Inputs &amp; Assumptions'!$W$29*EXP('Model Inputs &amp; Assumptions'!$X$29*R678-'Model Inputs &amp; Assumptions'!$X$29^2/2))</f>
        <v>0.00313001425488778</v>
      </c>
      <c r="G678" s="45" t="n">
        <f aca="false">ROUND(C678*F678,0)</f>
        <v>559</v>
      </c>
      <c r="H678" s="48" t="n">
        <f aca="false">MAX(0,(C678*'Model Inputs &amp; Assumptions'!$N$29+E678*'Model Inputs &amp; Assumptions'!$O$29+G678*'Model Inputs &amp; Assumptions'!$P$29)*EXP('Model Inputs &amp; Assumptions'!$Q$29*S678-'Model Inputs &amp; Assumptions'!$Q$29^2/2))</f>
        <v>21.7564572732923</v>
      </c>
      <c r="I678" s="49" t="n">
        <f aca="false">IF('Model Inputs &amp; Assumptions'!$H$29="Fixed",'Model Inputs &amp; Assumptions'!$I$29*'Model Inputs &amp; Assumptions'!$K$29,IF('Model Inputs &amp; Assumptions'!$H$29="CPM",'Model Inputs &amp; Assumptions'!$I$29*'Model Inputs &amp; Assumptions'!$K$29*C678/1000,IF('Model Inputs &amp; Assumptions'!$H$29="CPC",'Model Inputs &amp; Assumptions'!$I$29*'Model Inputs &amp; Assumptions'!$K$29*G678,0)))</f>
        <v>6500</v>
      </c>
      <c r="J678" s="50" t="n">
        <f aca="false">H678*INDEX('Model Inputs &amp; Assumptions'!$D$40:$D$42,MATCH('Model Inputs &amp; Assumptions'!$L$29,'Model Inputs &amp; Assumptions'!$A$40:$A$42,0))*INDEX('Model Inputs &amp; Assumptions'!$H$40:$H$42,MATCH('Model Inputs &amp; Assumptions'!$L$29,'Model Inputs &amp; Assumptions'!$A$40:$A$42,0))</f>
        <v>184929.886822984</v>
      </c>
      <c r="K678" s="49" t="n">
        <f aca="false">H678*INDEX('Model Inputs &amp; Assumptions'!$G$40:$G$42,MATCH('Model Inputs &amp; Assumptions'!$L$29,'Model Inputs &amp; Assumptions'!$A$40:$A$42,0))*INDEX('Model Inputs &amp; Assumptions'!$H$40:$H$42,MATCH('Model Inputs &amp; Assumptions'!$L$29,'Model Inputs &amp; Assumptions'!$A$40:$A$42,0))</f>
        <v>4160.92245351715</v>
      </c>
      <c r="L678" s="51" t="n">
        <f aca="false">IFERROR(K678/I678,0)</f>
        <v>0.640141915925715</v>
      </c>
      <c r="M678" s="49" t="n">
        <f aca="false">IFERROR(I678/H678,0)</f>
        <v>298.761876455835</v>
      </c>
      <c r="N678" s="52" t="str">
        <f aca="false">'Model Inputs &amp; Assumptions'!$L$29</f>
        <v>PRD-EUAI</v>
      </c>
      <c r="P678" s="53" t="n">
        <v>-0.357898</v>
      </c>
      <c r="Q678" s="53" t="n">
        <v>2.683475</v>
      </c>
      <c r="R678" s="53" t="n">
        <v>0.323744</v>
      </c>
      <c r="S678" s="53" t="n">
        <v>-0.685022</v>
      </c>
    </row>
    <row r="679" customFormat="false" ht="15" hidden="false" customHeight="false" outlineLevel="0" collapsed="false">
      <c r="A679" s="43" t="n">
        <v>176</v>
      </c>
      <c r="B679" s="44" t="str">
        <f aca="false">'Model Inputs &amp; Assumptions'!$B$29</f>
        <v>Handelsblatt — Native Explainer</v>
      </c>
      <c r="C679" s="45" t="n">
        <f aca="false">ROUND(MAX(0,'Model Inputs &amp; Assumptions'!$S$29*EXP('Model Inputs &amp; Assumptions'!$T$29*P679-'Model Inputs &amp; Assumptions'!$T$29^2/2)),0)</f>
        <v>229248</v>
      </c>
      <c r="D679" s="46" t="n">
        <f aca="false">MIN(1,'Model Inputs &amp; Assumptions'!$U$29*EXP('Model Inputs &amp; Assumptions'!$V$29*Q679-'Model Inputs &amp; Assumptions'!$V$29^2/2))</f>
        <v>0</v>
      </c>
      <c r="E679" s="45" t="n">
        <f aca="false">ROUND(C679*D679,0)</f>
        <v>0</v>
      </c>
      <c r="F679" s="47" t="n">
        <f aca="false">MIN(1,'Model Inputs &amp; Assumptions'!$W$29*EXP('Model Inputs &amp; Assumptions'!$X$29*R679-'Model Inputs &amp; Assumptions'!$X$29^2/2))</f>
        <v>0.00328055218994259</v>
      </c>
      <c r="G679" s="45" t="n">
        <f aca="false">ROUND(C679*F679,0)</f>
        <v>752</v>
      </c>
      <c r="H679" s="48" t="n">
        <f aca="false">MAX(0,(C679*'Model Inputs &amp; Assumptions'!$N$29+E679*'Model Inputs &amp; Assumptions'!$O$29+G679*'Model Inputs &amp; Assumptions'!$P$29)*EXP('Model Inputs &amp; Assumptions'!$Q$29*S679-'Model Inputs &amp; Assumptions'!$Q$29^2/2))</f>
        <v>43.6671738956219</v>
      </c>
      <c r="I679" s="49" t="n">
        <f aca="false">IF('Model Inputs &amp; Assumptions'!$H$29="Fixed",'Model Inputs &amp; Assumptions'!$I$29*'Model Inputs &amp; Assumptions'!$K$29,IF('Model Inputs &amp; Assumptions'!$H$29="CPM",'Model Inputs &amp; Assumptions'!$I$29*'Model Inputs &amp; Assumptions'!$K$29*C679/1000,IF('Model Inputs &amp; Assumptions'!$H$29="CPC",'Model Inputs &amp; Assumptions'!$I$29*'Model Inputs &amp; Assumptions'!$K$29*G679,0)))</f>
        <v>6500</v>
      </c>
      <c r="J679" s="50" t="n">
        <f aca="false">H679*INDEX('Model Inputs &amp; Assumptions'!$D$40:$D$42,MATCH('Model Inputs &amp; Assumptions'!$L$29,'Model Inputs &amp; Assumptions'!$A$40:$A$42,0))*INDEX('Model Inputs &amp; Assumptions'!$H$40:$H$42,MATCH('Model Inputs &amp; Assumptions'!$L$29,'Model Inputs &amp; Assumptions'!$A$40:$A$42,0))</f>
        <v>371170.978112786</v>
      </c>
      <c r="K679" s="49" t="n">
        <f aca="false">H679*INDEX('Model Inputs &amp; Assumptions'!$G$40:$G$42,MATCH('Model Inputs &amp; Assumptions'!$L$29,'Model Inputs &amp; Assumptions'!$A$40:$A$42,0))*INDEX('Model Inputs &amp; Assumptions'!$H$40:$H$42,MATCH('Model Inputs &amp; Assumptions'!$L$29,'Model Inputs &amp; Assumptions'!$A$40:$A$42,0))</f>
        <v>8351.34700753768</v>
      </c>
      <c r="L679" s="51" t="n">
        <f aca="false">IFERROR(K679/I679,0)</f>
        <v>1.28482261654426</v>
      </c>
      <c r="M679" s="49" t="n">
        <f aca="false">IFERROR(I679/H679,0)</f>
        <v>148.853232763289</v>
      </c>
      <c r="N679" s="52" t="str">
        <f aca="false">'Model Inputs &amp; Assumptions'!$L$29</f>
        <v>PRD-EUAI</v>
      </c>
      <c r="P679" s="53" t="n">
        <v>0.77607</v>
      </c>
      <c r="Q679" s="53" t="n">
        <v>0.508662</v>
      </c>
      <c r="R679" s="53" t="n">
        <v>0.504414</v>
      </c>
      <c r="S679" s="53" t="n">
        <v>0.648642</v>
      </c>
    </row>
    <row r="680" customFormat="false" ht="15" hidden="false" customHeight="false" outlineLevel="0" collapsed="false">
      <c r="A680" s="43" t="n">
        <v>177</v>
      </c>
      <c r="B680" s="44" t="str">
        <f aca="false">'Model Inputs &amp; Assumptions'!$B$29</f>
        <v>Handelsblatt — Native Explainer</v>
      </c>
      <c r="C680" s="45" t="n">
        <f aca="false">ROUND(MAX(0,'Model Inputs &amp; Assumptions'!$S$29*EXP('Model Inputs &amp; Assumptions'!$T$29*P680-'Model Inputs &amp; Assumptions'!$T$29^2/2)),0)</f>
        <v>206483</v>
      </c>
      <c r="D680" s="46" t="n">
        <f aca="false">MIN(1,'Model Inputs &amp; Assumptions'!$U$29*EXP('Model Inputs &amp; Assumptions'!$V$29*Q680-'Model Inputs &amp; Assumptions'!$V$29^2/2))</f>
        <v>0</v>
      </c>
      <c r="E680" s="45" t="n">
        <f aca="false">ROUND(C680*D680,0)</f>
        <v>0</v>
      </c>
      <c r="F680" s="47" t="n">
        <f aca="false">MIN(1,'Model Inputs &amp; Assumptions'!$W$29*EXP('Model Inputs &amp; Assumptions'!$X$29*R680-'Model Inputs &amp; Assumptions'!$X$29^2/2))</f>
        <v>0.00287139702266836</v>
      </c>
      <c r="G680" s="45" t="n">
        <f aca="false">ROUND(C680*F680,0)</f>
        <v>593</v>
      </c>
      <c r="H680" s="48" t="n">
        <f aca="false">MAX(0,(C680*'Model Inputs &amp; Assumptions'!$N$29+E680*'Model Inputs &amp; Assumptions'!$O$29+G680*'Model Inputs &amp; Assumptions'!$P$29)*EXP('Model Inputs &amp; Assumptions'!$Q$29*S680-'Model Inputs &amp; Assumptions'!$Q$29^2/2))</f>
        <v>23.9607152693039</v>
      </c>
      <c r="I680" s="49" t="n">
        <f aca="false">IF('Model Inputs &amp; Assumptions'!$H$29="Fixed",'Model Inputs &amp; Assumptions'!$I$29*'Model Inputs &amp; Assumptions'!$K$29,IF('Model Inputs &amp; Assumptions'!$H$29="CPM",'Model Inputs &amp; Assumptions'!$I$29*'Model Inputs &amp; Assumptions'!$K$29*C680/1000,IF('Model Inputs &amp; Assumptions'!$H$29="CPC",'Model Inputs &amp; Assumptions'!$I$29*'Model Inputs &amp; Assumptions'!$K$29*G680,0)))</f>
        <v>6500</v>
      </c>
      <c r="J680" s="50" t="n">
        <f aca="false">H680*INDEX('Model Inputs &amp; Assumptions'!$D$40:$D$42,MATCH('Model Inputs &amp; Assumptions'!$L$29,'Model Inputs &amp; Assumptions'!$A$40:$A$42,0))*INDEX('Model Inputs &amp; Assumptions'!$H$40:$H$42,MATCH('Model Inputs &amp; Assumptions'!$L$29,'Model Inputs &amp; Assumptions'!$A$40:$A$42,0))</f>
        <v>203666.079789083</v>
      </c>
      <c r="K680" s="49" t="n">
        <f aca="false">H680*INDEX('Model Inputs &amp; Assumptions'!$G$40:$G$42,MATCH('Model Inputs &amp; Assumptions'!$L$29,'Model Inputs &amp; Assumptions'!$A$40:$A$42,0))*INDEX('Model Inputs &amp; Assumptions'!$H$40:$H$42,MATCH('Model Inputs &amp; Assumptions'!$L$29,'Model Inputs &amp; Assumptions'!$A$40:$A$42,0))</f>
        <v>4582.48679525438</v>
      </c>
      <c r="L680" s="51" t="n">
        <f aca="false">IFERROR(K680/I680,0)</f>
        <v>0.704997968500673</v>
      </c>
      <c r="M680" s="49" t="n">
        <f aca="false">IFERROR(I680/H680,0)</f>
        <v>271.277377446539</v>
      </c>
      <c r="N680" s="52" t="str">
        <f aca="false">'Model Inputs &amp; Assumptions'!$L$29</f>
        <v>PRD-EUAI</v>
      </c>
      <c r="P680" s="53" t="n">
        <v>0.300693</v>
      </c>
      <c r="Q680" s="53" t="n">
        <v>-1.808464</v>
      </c>
      <c r="R680" s="53" t="n">
        <v>-0.007944</v>
      </c>
      <c r="S680" s="53" t="n">
        <v>-0.560155</v>
      </c>
    </row>
    <row r="681" customFormat="false" ht="15" hidden="false" customHeight="false" outlineLevel="0" collapsed="false">
      <c r="A681" s="43" t="n">
        <v>178</v>
      </c>
      <c r="B681" s="44" t="str">
        <f aca="false">'Model Inputs &amp; Assumptions'!$B$29</f>
        <v>Handelsblatt — Native Explainer</v>
      </c>
      <c r="C681" s="45" t="n">
        <f aca="false">ROUND(MAX(0,'Model Inputs &amp; Assumptions'!$S$29*EXP('Model Inputs &amp; Assumptions'!$T$29*P681-'Model Inputs &amp; Assumptions'!$T$29^2/2)),0)</f>
        <v>203212</v>
      </c>
      <c r="D681" s="46" t="n">
        <f aca="false">MIN(1,'Model Inputs &amp; Assumptions'!$U$29*EXP('Model Inputs &amp; Assumptions'!$V$29*Q681-'Model Inputs &amp; Assumptions'!$V$29^2/2))</f>
        <v>0</v>
      </c>
      <c r="E681" s="45" t="n">
        <f aca="false">ROUND(C681*D681,0)</f>
        <v>0</v>
      </c>
      <c r="F681" s="47" t="n">
        <f aca="false">MIN(1,'Model Inputs &amp; Assumptions'!$W$29*EXP('Model Inputs &amp; Assumptions'!$X$29*R681-'Model Inputs &amp; Assumptions'!$X$29^2/2))</f>
        <v>0.00274381382304956</v>
      </c>
      <c r="G681" s="45" t="n">
        <f aca="false">ROUND(C681*F681,0)</f>
        <v>558</v>
      </c>
      <c r="H681" s="48" t="n">
        <f aca="false">MAX(0,(C681*'Model Inputs &amp; Assumptions'!$N$29+E681*'Model Inputs &amp; Assumptions'!$O$29+G681*'Model Inputs &amp; Assumptions'!$P$29)*EXP('Model Inputs &amp; Assumptions'!$Q$29*S681-'Model Inputs &amp; Assumptions'!$Q$29^2/2))</f>
        <v>28.8771460693243</v>
      </c>
      <c r="I681" s="49" t="n">
        <f aca="false">IF('Model Inputs &amp; Assumptions'!$H$29="Fixed",'Model Inputs &amp; Assumptions'!$I$29*'Model Inputs &amp; Assumptions'!$K$29,IF('Model Inputs &amp; Assumptions'!$H$29="CPM",'Model Inputs &amp; Assumptions'!$I$29*'Model Inputs &amp; Assumptions'!$K$29*C681/1000,IF('Model Inputs &amp; Assumptions'!$H$29="CPC",'Model Inputs &amp; Assumptions'!$I$29*'Model Inputs &amp; Assumptions'!$K$29*G681,0)))</f>
        <v>6500</v>
      </c>
      <c r="J681" s="50" t="n">
        <f aca="false">H681*INDEX('Model Inputs &amp; Assumptions'!$D$40:$D$42,MATCH('Model Inputs &amp; Assumptions'!$L$29,'Model Inputs &amp; Assumptions'!$A$40:$A$42,0))*INDEX('Model Inputs &amp; Assumptions'!$H$40:$H$42,MATCH('Model Inputs &amp; Assumptions'!$L$29,'Model Inputs &amp; Assumptions'!$A$40:$A$42,0))</f>
        <v>245455.741589256</v>
      </c>
      <c r="K681" s="49" t="n">
        <f aca="false">H681*INDEX('Model Inputs &amp; Assumptions'!$G$40:$G$42,MATCH('Model Inputs &amp; Assumptions'!$L$29,'Model Inputs &amp; Assumptions'!$A$40:$A$42,0))*INDEX('Model Inputs &amp; Assumptions'!$H$40:$H$42,MATCH('Model Inputs &amp; Assumptions'!$L$29,'Model Inputs &amp; Assumptions'!$A$40:$A$42,0))</f>
        <v>5522.75418575827</v>
      </c>
      <c r="L681" s="51" t="n">
        <f aca="false">IFERROR(K681/I681,0)</f>
        <v>0.849654490116657</v>
      </c>
      <c r="M681" s="49" t="n">
        <f aca="false">IFERROR(I681/H681,0)</f>
        <v>225.091495689903</v>
      </c>
      <c r="N681" s="52" t="str">
        <f aca="false">'Model Inputs &amp; Assumptions'!$L$29</f>
        <v>PRD-EUAI</v>
      </c>
      <c r="P681" s="53" t="n">
        <v>0.228109</v>
      </c>
      <c r="Q681" s="53" t="n">
        <v>0.87696</v>
      </c>
      <c r="R681" s="53" t="n">
        <v>-0.182751</v>
      </c>
      <c r="S681" s="53" t="n">
        <v>0.264746</v>
      </c>
    </row>
    <row r="682" customFormat="false" ht="15" hidden="false" customHeight="false" outlineLevel="0" collapsed="false">
      <c r="A682" s="43" t="n">
        <v>179</v>
      </c>
      <c r="B682" s="44" t="str">
        <f aca="false">'Model Inputs &amp; Assumptions'!$B$29</f>
        <v>Handelsblatt — Native Explainer</v>
      </c>
      <c r="C682" s="45" t="n">
        <f aca="false">ROUND(MAX(0,'Model Inputs &amp; Assumptions'!$S$29*EXP('Model Inputs &amp; Assumptions'!$T$29*P682-'Model Inputs &amp; Assumptions'!$T$29^2/2)),0)</f>
        <v>260662</v>
      </c>
      <c r="D682" s="46" t="n">
        <f aca="false">MIN(1,'Model Inputs &amp; Assumptions'!$U$29*EXP('Model Inputs &amp; Assumptions'!$V$29*Q682-'Model Inputs &amp; Assumptions'!$V$29^2/2))</f>
        <v>0</v>
      </c>
      <c r="E682" s="45" t="n">
        <f aca="false">ROUND(C682*D682,0)</f>
        <v>0</v>
      </c>
      <c r="F682" s="47" t="n">
        <f aca="false">MIN(1,'Model Inputs &amp; Assumptions'!$W$29*EXP('Model Inputs &amp; Assumptions'!$X$29*R682-'Model Inputs &amp; Assumptions'!$X$29^2/2))</f>
        <v>0.00288308130221534</v>
      </c>
      <c r="G682" s="45" t="n">
        <f aca="false">ROUND(C682*F682,0)</f>
        <v>752</v>
      </c>
      <c r="H682" s="48" t="n">
        <f aca="false">MAX(0,(C682*'Model Inputs &amp; Assumptions'!$N$29+E682*'Model Inputs &amp; Assumptions'!$O$29+G682*'Model Inputs &amp; Assumptions'!$P$29)*EXP('Model Inputs &amp; Assumptions'!$Q$29*S682-'Model Inputs &amp; Assumptions'!$Q$29^2/2))</f>
        <v>25.7763795276187</v>
      </c>
      <c r="I682" s="49" t="n">
        <f aca="false">IF('Model Inputs &amp; Assumptions'!$H$29="Fixed",'Model Inputs &amp; Assumptions'!$I$29*'Model Inputs &amp; Assumptions'!$K$29,IF('Model Inputs &amp; Assumptions'!$H$29="CPM",'Model Inputs &amp; Assumptions'!$I$29*'Model Inputs &amp; Assumptions'!$K$29*C682/1000,IF('Model Inputs &amp; Assumptions'!$H$29="CPC",'Model Inputs &amp; Assumptions'!$I$29*'Model Inputs &amp; Assumptions'!$K$29*G682,0)))</f>
        <v>6500</v>
      </c>
      <c r="J682" s="50" t="n">
        <f aca="false">H682*INDEX('Model Inputs &amp; Assumptions'!$D$40:$D$42,MATCH('Model Inputs &amp; Assumptions'!$L$29,'Model Inputs &amp; Assumptions'!$A$40:$A$42,0))*INDEX('Model Inputs &amp; Assumptions'!$H$40:$H$42,MATCH('Model Inputs &amp; Assumptions'!$L$29,'Model Inputs &amp; Assumptions'!$A$40:$A$42,0))</f>
        <v>219099.225984759</v>
      </c>
      <c r="K682" s="49" t="n">
        <f aca="false">H682*INDEX('Model Inputs &amp; Assumptions'!$G$40:$G$42,MATCH('Model Inputs &amp; Assumptions'!$L$29,'Model Inputs &amp; Assumptions'!$A$40:$A$42,0))*INDEX('Model Inputs &amp; Assumptions'!$H$40:$H$42,MATCH('Model Inputs &amp; Assumptions'!$L$29,'Model Inputs &amp; Assumptions'!$A$40:$A$42,0))</f>
        <v>4929.73258465708</v>
      </c>
      <c r="L682" s="51" t="n">
        <f aca="false">IFERROR(K682/I682,0)</f>
        <v>0.758420397639551</v>
      </c>
      <c r="M682" s="49" t="n">
        <f aca="false">IFERROR(I682/H682,0)</f>
        <v>252.168850673362</v>
      </c>
      <c r="N682" s="52" t="str">
        <f aca="false">'Model Inputs &amp; Assumptions'!$L$29</f>
        <v>PRD-EUAI</v>
      </c>
      <c r="P682" s="53" t="n">
        <v>1.359807</v>
      </c>
      <c r="Q682" s="53" t="n">
        <v>-1.568347</v>
      </c>
      <c r="R682" s="53" t="n">
        <v>0.007675</v>
      </c>
      <c r="S682" s="53" t="n">
        <v>-1.108485</v>
      </c>
    </row>
    <row r="683" customFormat="false" ht="15" hidden="false" customHeight="false" outlineLevel="0" collapsed="false">
      <c r="A683" s="43" t="n">
        <v>180</v>
      </c>
      <c r="B683" s="44" t="str">
        <f aca="false">'Model Inputs &amp; Assumptions'!$B$29</f>
        <v>Handelsblatt — Native Explainer</v>
      </c>
      <c r="C683" s="45" t="n">
        <f aca="false">ROUND(MAX(0,'Model Inputs &amp; Assumptions'!$S$29*EXP('Model Inputs &amp; Assumptions'!$T$29*P683-'Model Inputs &amp; Assumptions'!$T$29^2/2)),0)</f>
        <v>146030</v>
      </c>
      <c r="D683" s="46" t="n">
        <f aca="false">MIN(1,'Model Inputs &amp; Assumptions'!$U$29*EXP('Model Inputs &amp; Assumptions'!$V$29*Q683-'Model Inputs &amp; Assumptions'!$V$29^2/2))</f>
        <v>0</v>
      </c>
      <c r="E683" s="45" t="n">
        <f aca="false">ROUND(C683*D683,0)</f>
        <v>0</v>
      </c>
      <c r="F683" s="47" t="n">
        <f aca="false">MIN(1,'Model Inputs &amp; Assumptions'!$W$29*EXP('Model Inputs &amp; Assumptions'!$X$29*R683-'Model Inputs &amp; Assumptions'!$X$29^2/2))</f>
        <v>0.00313720187122291</v>
      </c>
      <c r="G683" s="45" t="n">
        <f aca="false">ROUND(C683*F683,0)</f>
        <v>458</v>
      </c>
      <c r="H683" s="48" t="n">
        <f aca="false">MAX(0,(C683*'Model Inputs &amp; Assumptions'!$N$29+E683*'Model Inputs &amp; Assumptions'!$O$29+G683*'Model Inputs &amp; Assumptions'!$P$29)*EXP('Model Inputs &amp; Assumptions'!$Q$29*S683-'Model Inputs &amp; Assumptions'!$Q$29^2/2))</f>
        <v>24.564075020856</v>
      </c>
      <c r="I683" s="49" t="n">
        <f aca="false">IF('Model Inputs &amp; Assumptions'!$H$29="Fixed",'Model Inputs &amp; Assumptions'!$I$29*'Model Inputs &amp; Assumptions'!$K$29,IF('Model Inputs &amp; Assumptions'!$H$29="CPM",'Model Inputs &amp; Assumptions'!$I$29*'Model Inputs &amp; Assumptions'!$K$29*C683/1000,IF('Model Inputs &amp; Assumptions'!$H$29="CPC",'Model Inputs &amp; Assumptions'!$I$29*'Model Inputs &amp; Assumptions'!$K$29*G683,0)))</f>
        <v>6500</v>
      </c>
      <c r="J683" s="50" t="n">
        <f aca="false">H683*INDEX('Model Inputs &amp; Assumptions'!$D$40:$D$42,MATCH('Model Inputs &amp; Assumptions'!$L$29,'Model Inputs &amp; Assumptions'!$A$40:$A$42,0))*INDEX('Model Inputs &amp; Assumptions'!$H$40:$H$42,MATCH('Model Inputs &amp; Assumptions'!$L$29,'Model Inputs &amp; Assumptions'!$A$40:$A$42,0))</f>
        <v>208794.637677276</v>
      </c>
      <c r="K683" s="49" t="n">
        <f aca="false">H683*INDEX('Model Inputs &amp; Assumptions'!$G$40:$G$42,MATCH('Model Inputs &amp; Assumptions'!$L$29,'Model Inputs &amp; Assumptions'!$A$40:$A$42,0))*INDEX('Model Inputs &amp; Assumptions'!$H$40:$H$42,MATCH('Model Inputs &amp; Assumptions'!$L$29,'Model Inputs &amp; Assumptions'!$A$40:$A$42,0))</f>
        <v>4697.87934773872</v>
      </c>
      <c r="L683" s="51" t="n">
        <f aca="false">IFERROR(K683/I683,0)</f>
        <v>0.722750668882879</v>
      </c>
      <c r="M683" s="49" t="n">
        <f aca="false">IFERROR(I683/H683,0)</f>
        <v>264.614075412211</v>
      </c>
      <c r="N683" s="52" t="str">
        <f aca="false">'Model Inputs &amp; Assumptions'!$L$29</f>
        <v>PRD-EUAI</v>
      </c>
      <c r="P683" s="53" t="n">
        <v>-1.273894</v>
      </c>
      <c r="Q683" s="53" t="n">
        <v>1.265337</v>
      </c>
      <c r="R683" s="53" t="n">
        <v>0.332566</v>
      </c>
      <c r="S683" s="53" t="n">
        <v>0.383827</v>
      </c>
    </row>
    <row r="684" customFormat="false" ht="15" hidden="false" customHeight="false" outlineLevel="0" collapsed="false">
      <c r="A684" s="43" t="n">
        <v>181</v>
      </c>
      <c r="B684" s="44" t="str">
        <f aca="false">'Model Inputs &amp; Assumptions'!$B$29</f>
        <v>Handelsblatt — Native Explainer</v>
      </c>
      <c r="C684" s="45" t="n">
        <f aca="false">ROUND(MAX(0,'Model Inputs &amp; Assumptions'!$S$29*EXP('Model Inputs &amp; Assumptions'!$T$29*P684-'Model Inputs &amp; Assumptions'!$T$29^2/2)),0)</f>
        <v>214510</v>
      </c>
      <c r="D684" s="46" t="n">
        <f aca="false">MIN(1,'Model Inputs &amp; Assumptions'!$U$29*EXP('Model Inputs &amp; Assumptions'!$V$29*Q684-'Model Inputs &amp; Assumptions'!$V$29^2/2))</f>
        <v>0</v>
      </c>
      <c r="E684" s="45" t="n">
        <f aca="false">ROUND(C684*D684,0)</f>
        <v>0</v>
      </c>
      <c r="F684" s="47" t="n">
        <f aca="false">MIN(1,'Model Inputs &amp; Assumptions'!$W$29*EXP('Model Inputs &amp; Assumptions'!$X$29*R684-'Model Inputs &amp; Assumptions'!$X$29^2/2))</f>
        <v>0.00323914180208567</v>
      </c>
      <c r="G684" s="45" t="n">
        <f aca="false">ROUND(C684*F684,0)</f>
        <v>695</v>
      </c>
      <c r="H684" s="48" t="n">
        <f aca="false">MAX(0,(C684*'Model Inputs &amp; Assumptions'!$N$29+E684*'Model Inputs &amp; Assumptions'!$O$29+G684*'Model Inputs &amp; Assumptions'!$P$29)*EXP('Model Inputs &amp; Assumptions'!$Q$29*S684-'Model Inputs &amp; Assumptions'!$Q$29^2/2))</f>
        <v>28.4446351613137</v>
      </c>
      <c r="I684" s="49" t="n">
        <f aca="false">IF('Model Inputs &amp; Assumptions'!$H$29="Fixed",'Model Inputs &amp; Assumptions'!$I$29*'Model Inputs &amp; Assumptions'!$K$29,IF('Model Inputs &amp; Assumptions'!$H$29="CPM",'Model Inputs &amp; Assumptions'!$I$29*'Model Inputs &amp; Assumptions'!$K$29*C684/1000,IF('Model Inputs &amp; Assumptions'!$H$29="CPC",'Model Inputs &amp; Assumptions'!$I$29*'Model Inputs &amp; Assumptions'!$K$29*G684,0)))</f>
        <v>6500</v>
      </c>
      <c r="J684" s="50" t="n">
        <f aca="false">H684*INDEX('Model Inputs &amp; Assumptions'!$D$40:$D$42,MATCH('Model Inputs &amp; Assumptions'!$L$29,'Model Inputs &amp; Assumptions'!$A$40:$A$42,0))*INDEX('Model Inputs &amp; Assumptions'!$H$40:$H$42,MATCH('Model Inputs &amp; Assumptions'!$L$29,'Model Inputs &amp; Assumptions'!$A$40:$A$42,0))</f>
        <v>241779.398871167</v>
      </c>
      <c r="K684" s="49" t="n">
        <f aca="false">H684*INDEX('Model Inputs &amp; Assumptions'!$G$40:$G$42,MATCH('Model Inputs &amp; Assumptions'!$L$29,'Model Inputs &amp; Assumptions'!$A$40:$A$42,0))*INDEX('Model Inputs &amp; Assumptions'!$H$40:$H$42,MATCH('Model Inputs &amp; Assumptions'!$L$29,'Model Inputs &amp; Assumptions'!$A$40:$A$42,0))</f>
        <v>5440.03647460125</v>
      </c>
      <c r="L684" s="51" t="n">
        <f aca="false">IFERROR(K684/I684,0)</f>
        <v>0.836928688400192</v>
      </c>
      <c r="M684" s="49" t="n">
        <f aca="false">IFERROR(I684/H684,0)</f>
        <v>228.514092838159</v>
      </c>
      <c r="N684" s="52" t="str">
        <f aca="false">'Model Inputs &amp; Assumptions'!$L$29</f>
        <v>PRD-EUAI</v>
      </c>
      <c r="P684" s="53" t="n">
        <v>0.474044</v>
      </c>
      <c r="Q684" s="53" t="n">
        <v>0.256708</v>
      </c>
      <c r="R684" s="53" t="n">
        <v>0.455555</v>
      </c>
      <c r="S684" s="53" t="n">
        <v>-0.5174</v>
      </c>
    </row>
    <row r="685" customFormat="false" ht="15" hidden="false" customHeight="false" outlineLevel="0" collapsed="false">
      <c r="A685" s="43" t="n">
        <v>182</v>
      </c>
      <c r="B685" s="44" t="str">
        <f aca="false">'Model Inputs &amp; Assumptions'!$B$29</f>
        <v>Handelsblatt — Native Explainer</v>
      </c>
      <c r="C685" s="45" t="n">
        <f aca="false">ROUND(MAX(0,'Model Inputs &amp; Assumptions'!$S$29*EXP('Model Inputs &amp; Assumptions'!$T$29*P685-'Model Inputs &amp; Assumptions'!$T$29^2/2)),0)</f>
        <v>235222</v>
      </c>
      <c r="D685" s="46" t="n">
        <f aca="false">MIN(1,'Model Inputs &amp; Assumptions'!$U$29*EXP('Model Inputs &amp; Assumptions'!$V$29*Q685-'Model Inputs &amp; Assumptions'!$V$29^2/2))</f>
        <v>0</v>
      </c>
      <c r="E685" s="45" t="n">
        <f aca="false">ROUND(C685*D685,0)</f>
        <v>0</v>
      </c>
      <c r="F685" s="47" t="n">
        <f aca="false">MIN(1,'Model Inputs &amp; Assumptions'!$W$29*EXP('Model Inputs &amp; Assumptions'!$X$29*R685-'Model Inputs &amp; Assumptions'!$X$29^2/2))</f>
        <v>0.00190115048020491</v>
      </c>
      <c r="G685" s="45" t="n">
        <f aca="false">ROUND(C685*F685,0)</f>
        <v>447</v>
      </c>
      <c r="H685" s="48" t="n">
        <f aca="false">MAX(0,(C685*'Model Inputs &amp; Assumptions'!$N$29+E685*'Model Inputs &amp; Assumptions'!$O$29+G685*'Model Inputs &amp; Assumptions'!$P$29)*EXP('Model Inputs &amp; Assumptions'!$Q$29*S685-'Model Inputs &amp; Assumptions'!$Q$29^2/2))</f>
        <v>18.8366778949421</v>
      </c>
      <c r="I685" s="49" t="n">
        <f aca="false">IF('Model Inputs &amp; Assumptions'!$H$29="Fixed",'Model Inputs &amp; Assumptions'!$I$29*'Model Inputs &amp; Assumptions'!$K$29,IF('Model Inputs &amp; Assumptions'!$H$29="CPM",'Model Inputs &amp; Assumptions'!$I$29*'Model Inputs &amp; Assumptions'!$K$29*C685/1000,IF('Model Inputs &amp; Assumptions'!$H$29="CPC",'Model Inputs &amp; Assumptions'!$I$29*'Model Inputs &amp; Assumptions'!$K$29*G685,0)))</f>
        <v>6500</v>
      </c>
      <c r="J685" s="50" t="n">
        <f aca="false">H685*INDEX('Model Inputs &amp; Assumptions'!$D$40:$D$42,MATCH('Model Inputs &amp; Assumptions'!$L$29,'Model Inputs &amp; Assumptions'!$A$40:$A$42,0))*INDEX('Model Inputs &amp; Assumptions'!$H$40:$H$42,MATCH('Model Inputs &amp; Assumptions'!$L$29,'Model Inputs &amp; Assumptions'!$A$40:$A$42,0))</f>
        <v>160111.762107008</v>
      </c>
      <c r="K685" s="49" t="n">
        <f aca="false">H685*INDEX('Model Inputs &amp; Assumptions'!$G$40:$G$42,MATCH('Model Inputs &amp; Assumptions'!$L$29,'Model Inputs &amp; Assumptions'!$A$40:$A$42,0))*INDEX('Model Inputs &amp; Assumptions'!$H$40:$H$42,MATCH('Model Inputs &amp; Assumptions'!$L$29,'Model Inputs &amp; Assumptions'!$A$40:$A$42,0))</f>
        <v>3602.51464740767</v>
      </c>
      <c r="L685" s="51" t="n">
        <f aca="false">IFERROR(K685/I685,0)</f>
        <v>0.554233022678104</v>
      </c>
      <c r="M685" s="49" t="n">
        <f aca="false">IFERROR(I685/H685,0)</f>
        <v>345.071463038891</v>
      </c>
      <c r="N685" s="52" t="str">
        <f aca="false">'Model Inputs &amp; Assumptions'!$L$29</f>
        <v>PRD-EUAI</v>
      </c>
      <c r="P685" s="53" t="n">
        <v>0.893006</v>
      </c>
      <c r="Q685" s="53" t="n">
        <v>0.194017</v>
      </c>
      <c r="R685" s="53" t="n">
        <v>-1.593865</v>
      </c>
      <c r="S685" s="53" t="n">
        <v>-0.420068</v>
      </c>
    </row>
    <row r="686" customFormat="false" ht="15" hidden="false" customHeight="false" outlineLevel="0" collapsed="false">
      <c r="A686" s="43" t="n">
        <v>183</v>
      </c>
      <c r="B686" s="44" t="str">
        <f aca="false">'Model Inputs &amp; Assumptions'!$B$29</f>
        <v>Handelsblatt — Native Explainer</v>
      </c>
      <c r="C686" s="45" t="n">
        <f aca="false">ROUND(MAX(0,'Model Inputs &amp; Assumptions'!$S$29*EXP('Model Inputs &amp; Assumptions'!$T$29*P686-'Model Inputs &amp; Assumptions'!$T$29^2/2)),0)</f>
        <v>203432</v>
      </c>
      <c r="D686" s="46" t="n">
        <f aca="false">MIN(1,'Model Inputs &amp; Assumptions'!$U$29*EXP('Model Inputs &amp; Assumptions'!$V$29*Q686-'Model Inputs &amp; Assumptions'!$V$29^2/2))</f>
        <v>0</v>
      </c>
      <c r="E686" s="45" t="n">
        <f aca="false">ROUND(C686*D686,0)</f>
        <v>0</v>
      </c>
      <c r="F686" s="47" t="n">
        <f aca="false">MIN(1,'Model Inputs &amp; Assumptions'!$W$29*EXP('Model Inputs &amp; Assumptions'!$X$29*R686-'Model Inputs &amp; Assumptions'!$X$29^2/2))</f>
        <v>0.00276897423355066</v>
      </c>
      <c r="G686" s="45" t="n">
        <f aca="false">ROUND(C686*F686,0)</f>
        <v>563</v>
      </c>
      <c r="H686" s="48" t="n">
        <f aca="false">MAX(0,(C686*'Model Inputs &amp; Assumptions'!$N$29+E686*'Model Inputs &amp; Assumptions'!$O$29+G686*'Model Inputs &amp; Assumptions'!$P$29)*EXP('Model Inputs &amp; Assumptions'!$Q$29*S686-'Model Inputs &amp; Assumptions'!$Q$29^2/2))</f>
        <v>25.7949478912916</v>
      </c>
      <c r="I686" s="49" t="n">
        <f aca="false">IF('Model Inputs &amp; Assumptions'!$H$29="Fixed",'Model Inputs &amp; Assumptions'!$I$29*'Model Inputs &amp; Assumptions'!$K$29,IF('Model Inputs &amp; Assumptions'!$H$29="CPM",'Model Inputs &amp; Assumptions'!$I$29*'Model Inputs &amp; Assumptions'!$K$29*C686/1000,IF('Model Inputs &amp; Assumptions'!$H$29="CPC",'Model Inputs &amp; Assumptions'!$I$29*'Model Inputs &amp; Assumptions'!$K$29*G686,0)))</f>
        <v>6500</v>
      </c>
      <c r="J686" s="50" t="n">
        <f aca="false">H686*INDEX('Model Inputs &amp; Assumptions'!$D$40:$D$42,MATCH('Model Inputs &amp; Assumptions'!$L$29,'Model Inputs &amp; Assumptions'!$A$40:$A$42,0))*INDEX('Model Inputs &amp; Assumptions'!$H$40:$H$42,MATCH('Model Inputs &amp; Assumptions'!$L$29,'Model Inputs &amp; Assumptions'!$A$40:$A$42,0))</f>
        <v>219257.057075979</v>
      </c>
      <c r="K686" s="49" t="n">
        <f aca="false">H686*INDEX('Model Inputs &amp; Assumptions'!$G$40:$G$42,MATCH('Model Inputs &amp; Assumptions'!$L$29,'Model Inputs &amp; Assumptions'!$A$40:$A$42,0))*INDEX('Model Inputs &amp; Assumptions'!$H$40:$H$42,MATCH('Model Inputs &amp; Assumptions'!$L$29,'Model Inputs &amp; Assumptions'!$A$40:$A$42,0))</f>
        <v>4933.28378420952</v>
      </c>
      <c r="L686" s="51" t="n">
        <f aca="false">IFERROR(K686/I686,0)</f>
        <v>0.758966736032234</v>
      </c>
      <c r="M686" s="49" t="n">
        <f aca="false">IFERROR(I686/H686,0)</f>
        <v>251.987328192836</v>
      </c>
      <c r="N686" s="52" t="str">
        <f aca="false">'Model Inputs &amp; Assumptions'!$L$29</f>
        <v>PRD-EUAI</v>
      </c>
      <c r="P686" s="53" t="n">
        <v>0.233032</v>
      </c>
      <c r="Q686" s="53" t="n">
        <v>-0.451782</v>
      </c>
      <c r="R686" s="53" t="n">
        <v>-0.147643</v>
      </c>
      <c r="S686" s="53" t="n">
        <v>-0.141229</v>
      </c>
    </row>
    <row r="687" customFormat="false" ht="15" hidden="false" customHeight="false" outlineLevel="0" collapsed="false">
      <c r="A687" s="43" t="n">
        <v>184</v>
      </c>
      <c r="B687" s="44" t="str">
        <f aca="false">'Model Inputs &amp; Assumptions'!$B$29</f>
        <v>Handelsblatt — Native Explainer</v>
      </c>
      <c r="C687" s="45" t="n">
        <f aca="false">ROUND(MAX(0,'Model Inputs &amp; Assumptions'!$S$29*EXP('Model Inputs &amp; Assumptions'!$T$29*P687-'Model Inputs &amp; Assumptions'!$T$29^2/2)),0)</f>
        <v>202757</v>
      </c>
      <c r="D687" s="46" t="n">
        <f aca="false">MIN(1,'Model Inputs &amp; Assumptions'!$U$29*EXP('Model Inputs &amp; Assumptions'!$V$29*Q687-'Model Inputs &amp; Assumptions'!$V$29^2/2))</f>
        <v>0</v>
      </c>
      <c r="E687" s="45" t="n">
        <f aca="false">ROUND(C687*D687,0)</f>
        <v>0</v>
      </c>
      <c r="F687" s="47" t="n">
        <f aca="false">MIN(1,'Model Inputs &amp; Assumptions'!$W$29*EXP('Model Inputs &amp; Assumptions'!$X$29*R687-'Model Inputs &amp; Assumptions'!$X$29^2/2))</f>
        <v>0.0046079682759892</v>
      </c>
      <c r="G687" s="45" t="n">
        <f aca="false">ROUND(C687*F687,0)</f>
        <v>934</v>
      </c>
      <c r="H687" s="48" t="n">
        <f aca="false">MAX(0,(C687*'Model Inputs &amp; Assumptions'!$N$29+E687*'Model Inputs &amp; Assumptions'!$O$29+G687*'Model Inputs &amp; Assumptions'!$P$29)*EXP('Model Inputs &amp; Assumptions'!$Q$29*S687-'Model Inputs &amp; Assumptions'!$Q$29^2/2))</f>
        <v>60.248216162729</v>
      </c>
      <c r="I687" s="49" t="n">
        <f aca="false">IF('Model Inputs &amp; Assumptions'!$H$29="Fixed",'Model Inputs &amp; Assumptions'!$I$29*'Model Inputs &amp; Assumptions'!$K$29,IF('Model Inputs &amp; Assumptions'!$H$29="CPM",'Model Inputs &amp; Assumptions'!$I$29*'Model Inputs &amp; Assumptions'!$K$29*C687/1000,IF('Model Inputs &amp; Assumptions'!$H$29="CPC",'Model Inputs &amp; Assumptions'!$I$29*'Model Inputs &amp; Assumptions'!$K$29*G687,0)))</f>
        <v>6500</v>
      </c>
      <c r="J687" s="50" t="n">
        <f aca="false">H687*INDEX('Model Inputs &amp; Assumptions'!$D$40:$D$42,MATCH('Model Inputs &amp; Assumptions'!$L$29,'Model Inputs &amp; Assumptions'!$A$40:$A$42,0))*INDEX('Model Inputs &amp; Assumptions'!$H$40:$H$42,MATCH('Model Inputs &amp; Assumptions'!$L$29,'Model Inputs &amp; Assumptions'!$A$40:$A$42,0))</f>
        <v>512109.837383197</v>
      </c>
      <c r="K687" s="49" t="n">
        <f aca="false">H687*INDEX('Model Inputs &amp; Assumptions'!$G$40:$G$42,MATCH('Model Inputs &amp; Assumptions'!$L$29,'Model Inputs &amp; Assumptions'!$A$40:$A$42,0))*INDEX('Model Inputs &amp; Assumptions'!$H$40:$H$42,MATCH('Model Inputs &amp; Assumptions'!$L$29,'Model Inputs &amp; Assumptions'!$A$40:$A$42,0))</f>
        <v>11522.4713411219</v>
      </c>
      <c r="L687" s="51" t="n">
        <f aca="false">IFERROR(K687/I687,0)</f>
        <v>1.77268789863414</v>
      </c>
      <c r="M687" s="49" t="n">
        <f aca="false">IFERROR(I687/H687,0)</f>
        <v>107.887011665933</v>
      </c>
      <c r="N687" s="52" t="str">
        <f aca="false">'Model Inputs &amp; Assumptions'!$L$29</f>
        <v>PRD-EUAI</v>
      </c>
      <c r="P687" s="53" t="n">
        <v>0.217924</v>
      </c>
      <c r="Q687" s="53" t="n">
        <v>-1.943874</v>
      </c>
      <c r="R687" s="53" t="n">
        <v>1.811242</v>
      </c>
      <c r="S687" s="53" t="n">
        <v>0.999096</v>
      </c>
    </row>
    <row r="688" customFormat="false" ht="15" hidden="false" customHeight="false" outlineLevel="0" collapsed="false">
      <c r="A688" s="43" t="n">
        <v>185</v>
      </c>
      <c r="B688" s="44" t="str">
        <f aca="false">'Model Inputs &amp; Assumptions'!$B$29</f>
        <v>Handelsblatt — Native Explainer</v>
      </c>
      <c r="C688" s="45" t="n">
        <f aca="false">ROUND(MAX(0,'Model Inputs &amp; Assumptions'!$S$29*EXP('Model Inputs &amp; Assumptions'!$T$29*P688-'Model Inputs &amp; Assumptions'!$T$29^2/2)),0)</f>
        <v>308291</v>
      </c>
      <c r="D688" s="46" t="n">
        <f aca="false">MIN(1,'Model Inputs &amp; Assumptions'!$U$29*EXP('Model Inputs &amp; Assumptions'!$V$29*Q688-'Model Inputs &amp; Assumptions'!$V$29^2/2))</f>
        <v>0</v>
      </c>
      <c r="E688" s="45" t="n">
        <f aca="false">ROUND(C688*D688,0)</f>
        <v>0</v>
      </c>
      <c r="F688" s="47" t="n">
        <f aca="false">MIN(1,'Model Inputs &amp; Assumptions'!$W$29*EXP('Model Inputs &amp; Assumptions'!$X$29*R688-'Model Inputs &amp; Assumptions'!$X$29^2/2))</f>
        <v>0.00346478741552505</v>
      </c>
      <c r="G688" s="45" t="n">
        <f aca="false">ROUND(C688*F688,0)</f>
        <v>1068</v>
      </c>
      <c r="H688" s="48" t="n">
        <f aca="false">MAX(0,(C688*'Model Inputs &amp; Assumptions'!$N$29+E688*'Model Inputs &amp; Assumptions'!$O$29+G688*'Model Inputs &amp; Assumptions'!$P$29)*EXP('Model Inputs &amp; Assumptions'!$Q$29*S688-'Model Inputs &amp; Assumptions'!$Q$29^2/2))</f>
        <v>75.5104113909887</v>
      </c>
      <c r="I688" s="49" t="n">
        <f aca="false">IF('Model Inputs &amp; Assumptions'!$H$29="Fixed",'Model Inputs &amp; Assumptions'!$I$29*'Model Inputs &amp; Assumptions'!$K$29,IF('Model Inputs &amp; Assumptions'!$H$29="CPM",'Model Inputs &amp; Assumptions'!$I$29*'Model Inputs &amp; Assumptions'!$K$29*C688/1000,IF('Model Inputs &amp; Assumptions'!$H$29="CPC",'Model Inputs &amp; Assumptions'!$I$29*'Model Inputs &amp; Assumptions'!$K$29*G688,0)))</f>
        <v>6500</v>
      </c>
      <c r="J688" s="50" t="n">
        <f aca="false">H688*INDEX('Model Inputs &amp; Assumptions'!$D$40:$D$42,MATCH('Model Inputs &amp; Assumptions'!$L$29,'Model Inputs &amp; Assumptions'!$A$40:$A$42,0))*INDEX('Model Inputs &amp; Assumptions'!$H$40:$H$42,MATCH('Model Inputs &amp; Assumptions'!$L$29,'Model Inputs &amp; Assumptions'!$A$40:$A$42,0))</f>
        <v>641838.496823404</v>
      </c>
      <c r="K688" s="49" t="n">
        <f aca="false">H688*INDEX('Model Inputs &amp; Assumptions'!$G$40:$G$42,MATCH('Model Inputs &amp; Assumptions'!$L$29,'Model Inputs &amp; Assumptions'!$A$40:$A$42,0))*INDEX('Model Inputs &amp; Assumptions'!$H$40:$H$42,MATCH('Model Inputs &amp; Assumptions'!$L$29,'Model Inputs &amp; Assumptions'!$A$40:$A$42,0))</f>
        <v>14441.3661785266</v>
      </c>
      <c r="L688" s="51" t="n">
        <f aca="false">IFERROR(K688/I688,0)</f>
        <v>2.22174864285025</v>
      </c>
      <c r="M688" s="49" t="n">
        <f aca="false">IFERROR(I688/H688,0)</f>
        <v>86.0808447505783</v>
      </c>
      <c r="N688" s="52" t="str">
        <f aca="false">'Model Inputs &amp; Assumptions'!$L$29</f>
        <v>PRD-EUAI</v>
      </c>
      <c r="P688" s="53" t="n">
        <v>2.122619</v>
      </c>
      <c r="Q688" s="53" t="n">
        <v>-1.679092</v>
      </c>
      <c r="R688" s="53" t="n">
        <v>0.714566</v>
      </c>
      <c r="S688" s="53" t="n">
        <v>1.304866</v>
      </c>
    </row>
    <row r="689" customFormat="false" ht="15" hidden="false" customHeight="false" outlineLevel="0" collapsed="false">
      <c r="A689" s="43" t="n">
        <v>186</v>
      </c>
      <c r="B689" s="44" t="str">
        <f aca="false">'Model Inputs &amp; Assumptions'!$B$29</f>
        <v>Handelsblatt — Native Explainer</v>
      </c>
      <c r="C689" s="45" t="n">
        <f aca="false">ROUND(MAX(0,'Model Inputs &amp; Assumptions'!$S$29*EXP('Model Inputs &amp; Assumptions'!$T$29*P689-'Model Inputs &amp; Assumptions'!$T$29^2/2)),0)</f>
        <v>182536</v>
      </c>
      <c r="D689" s="46" t="n">
        <f aca="false">MIN(1,'Model Inputs &amp; Assumptions'!$U$29*EXP('Model Inputs &amp; Assumptions'!$V$29*Q689-'Model Inputs &amp; Assumptions'!$V$29^2/2))</f>
        <v>0</v>
      </c>
      <c r="E689" s="45" t="n">
        <f aca="false">ROUND(C689*D689,0)</f>
        <v>0</v>
      </c>
      <c r="F689" s="47" t="n">
        <f aca="false">MIN(1,'Model Inputs &amp; Assumptions'!$W$29*EXP('Model Inputs &amp; Assumptions'!$X$29*R689-'Model Inputs &amp; Assumptions'!$X$29^2/2))</f>
        <v>0.00174217859967188</v>
      </c>
      <c r="G689" s="45" t="n">
        <f aca="false">ROUND(C689*F689,0)</f>
        <v>318</v>
      </c>
      <c r="H689" s="48" t="n">
        <f aca="false">MAX(0,(C689*'Model Inputs &amp; Assumptions'!$N$29+E689*'Model Inputs &amp; Assumptions'!$O$29+G689*'Model Inputs &amp; Assumptions'!$P$29)*EXP('Model Inputs &amp; Assumptions'!$Q$29*S689-'Model Inputs &amp; Assumptions'!$Q$29^2/2))</f>
        <v>16.4365006186817</v>
      </c>
      <c r="I689" s="49" t="n">
        <f aca="false">IF('Model Inputs &amp; Assumptions'!$H$29="Fixed",'Model Inputs &amp; Assumptions'!$I$29*'Model Inputs &amp; Assumptions'!$K$29,IF('Model Inputs &amp; Assumptions'!$H$29="CPM",'Model Inputs &amp; Assumptions'!$I$29*'Model Inputs &amp; Assumptions'!$K$29*C689/1000,IF('Model Inputs &amp; Assumptions'!$H$29="CPC",'Model Inputs &amp; Assumptions'!$I$29*'Model Inputs &amp; Assumptions'!$K$29*G689,0)))</f>
        <v>6500</v>
      </c>
      <c r="J689" s="50" t="n">
        <f aca="false">H689*INDEX('Model Inputs &amp; Assumptions'!$D$40:$D$42,MATCH('Model Inputs &amp; Assumptions'!$L$29,'Model Inputs &amp; Assumptions'!$A$40:$A$42,0))*INDEX('Model Inputs &amp; Assumptions'!$H$40:$H$42,MATCH('Model Inputs &amp; Assumptions'!$L$29,'Model Inputs &amp; Assumptions'!$A$40:$A$42,0))</f>
        <v>139710.255258794</v>
      </c>
      <c r="K689" s="49" t="n">
        <f aca="false">H689*INDEX('Model Inputs &amp; Assumptions'!$G$40:$G$42,MATCH('Model Inputs &amp; Assumptions'!$L$29,'Model Inputs &amp; Assumptions'!$A$40:$A$42,0))*INDEX('Model Inputs &amp; Assumptions'!$H$40:$H$42,MATCH('Model Inputs &amp; Assumptions'!$L$29,'Model Inputs &amp; Assumptions'!$A$40:$A$42,0))</f>
        <v>3143.48074332287</v>
      </c>
      <c r="L689" s="51" t="n">
        <f aca="false">IFERROR(K689/I689,0)</f>
        <v>0.483612422049673</v>
      </c>
      <c r="M689" s="49" t="n">
        <f aca="false">IFERROR(I689/H689,0)</f>
        <v>395.461305955364</v>
      </c>
      <c r="N689" s="52" t="str">
        <f aca="false">'Model Inputs &amp; Assumptions'!$L$29</f>
        <v>PRD-EUAI</v>
      </c>
      <c r="P689" s="53" t="n">
        <v>-0.259627</v>
      </c>
      <c r="Q689" s="53" t="n">
        <v>-1.347398</v>
      </c>
      <c r="R689" s="53" t="n">
        <v>-1.929722</v>
      </c>
      <c r="S689" s="53" t="n">
        <v>0.260618</v>
      </c>
    </row>
    <row r="690" customFormat="false" ht="15" hidden="false" customHeight="false" outlineLevel="0" collapsed="false">
      <c r="A690" s="43" t="n">
        <v>187</v>
      </c>
      <c r="B690" s="44" t="str">
        <f aca="false">'Model Inputs &amp; Assumptions'!$B$29</f>
        <v>Handelsblatt — Native Explainer</v>
      </c>
      <c r="C690" s="45" t="n">
        <f aca="false">ROUND(MAX(0,'Model Inputs &amp; Assumptions'!$S$29*EXP('Model Inputs &amp; Assumptions'!$T$29*P690-'Model Inputs &amp; Assumptions'!$T$29^2/2)),0)</f>
        <v>274454</v>
      </c>
      <c r="D690" s="46" t="n">
        <f aca="false">MIN(1,'Model Inputs &amp; Assumptions'!$U$29*EXP('Model Inputs &amp; Assumptions'!$V$29*Q690-'Model Inputs &amp; Assumptions'!$V$29^2/2))</f>
        <v>0</v>
      </c>
      <c r="E690" s="45" t="n">
        <f aca="false">ROUND(C690*D690,0)</f>
        <v>0</v>
      </c>
      <c r="F690" s="47" t="n">
        <f aca="false">MIN(1,'Model Inputs &amp; Assumptions'!$W$29*EXP('Model Inputs &amp; Assumptions'!$X$29*R690-'Model Inputs &amp; Assumptions'!$X$29^2/2))</f>
        <v>0.00253789124782892</v>
      </c>
      <c r="G690" s="45" t="n">
        <f aca="false">ROUND(C690*F690,0)</f>
        <v>697</v>
      </c>
      <c r="H690" s="48" t="n">
        <f aca="false">MAX(0,(C690*'Model Inputs &amp; Assumptions'!$N$29+E690*'Model Inputs &amp; Assumptions'!$O$29+G690*'Model Inputs &amp; Assumptions'!$P$29)*EXP('Model Inputs &amp; Assumptions'!$Q$29*S690-'Model Inputs &amp; Assumptions'!$Q$29^2/2))</f>
        <v>27.7377232585887</v>
      </c>
      <c r="I690" s="49" t="n">
        <f aca="false">IF('Model Inputs &amp; Assumptions'!$H$29="Fixed",'Model Inputs &amp; Assumptions'!$I$29*'Model Inputs &amp; Assumptions'!$K$29,IF('Model Inputs &amp; Assumptions'!$H$29="CPM",'Model Inputs &amp; Assumptions'!$I$29*'Model Inputs &amp; Assumptions'!$K$29*C690/1000,IF('Model Inputs &amp; Assumptions'!$H$29="CPC",'Model Inputs &amp; Assumptions'!$I$29*'Model Inputs &amp; Assumptions'!$K$29*G690,0)))</f>
        <v>6500</v>
      </c>
      <c r="J690" s="50" t="n">
        <f aca="false">H690*INDEX('Model Inputs &amp; Assumptions'!$D$40:$D$42,MATCH('Model Inputs &amp; Assumptions'!$L$29,'Model Inputs &amp; Assumptions'!$A$40:$A$42,0))*INDEX('Model Inputs &amp; Assumptions'!$H$40:$H$42,MATCH('Model Inputs &amp; Assumptions'!$L$29,'Model Inputs &amp; Assumptions'!$A$40:$A$42,0))</f>
        <v>235770.647698004</v>
      </c>
      <c r="K690" s="49" t="n">
        <f aca="false">H690*INDEX('Model Inputs &amp; Assumptions'!$G$40:$G$42,MATCH('Model Inputs &amp; Assumptions'!$L$29,'Model Inputs &amp; Assumptions'!$A$40:$A$42,0))*INDEX('Model Inputs &amp; Assumptions'!$H$40:$H$42,MATCH('Model Inputs &amp; Assumptions'!$L$29,'Model Inputs &amp; Assumptions'!$A$40:$A$42,0))</f>
        <v>5304.83957320508</v>
      </c>
      <c r="L690" s="51" t="n">
        <f aca="false">IFERROR(K690/I690,0)</f>
        <v>0.816129165108474</v>
      </c>
      <c r="M690" s="49" t="n">
        <f aca="false">IFERROR(I690/H690,0)</f>
        <v>234.337906518241</v>
      </c>
      <c r="N690" s="52" t="str">
        <f aca="false">'Model Inputs &amp; Assumptions'!$L$29</f>
        <v>PRD-EUAI</v>
      </c>
      <c r="P690" s="53" t="n">
        <v>1.594159</v>
      </c>
      <c r="Q690" s="53" t="n">
        <v>-1.246477</v>
      </c>
      <c r="R690" s="53" t="n">
        <v>-0.48281</v>
      </c>
      <c r="S690" s="53" t="n">
        <v>-0.610866</v>
      </c>
    </row>
    <row r="691" customFormat="false" ht="15" hidden="false" customHeight="false" outlineLevel="0" collapsed="false">
      <c r="A691" s="43" t="n">
        <v>188</v>
      </c>
      <c r="B691" s="44" t="str">
        <f aca="false">'Model Inputs &amp; Assumptions'!$B$29</f>
        <v>Handelsblatt — Native Explainer</v>
      </c>
      <c r="C691" s="45" t="n">
        <f aca="false">ROUND(MAX(0,'Model Inputs &amp; Assumptions'!$S$29*EXP('Model Inputs &amp; Assumptions'!$T$29*P691-'Model Inputs &amp; Assumptions'!$T$29^2/2)),0)</f>
        <v>185782</v>
      </c>
      <c r="D691" s="46" t="n">
        <f aca="false">MIN(1,'Model Inputs &amp; Assumptions'!$U$29*EXP('Model Inputs &amp; Assumptions'!$V$29*Q691-'Model Inputs &amp; Assumptions'!$V$29^2/2))</f>
        <v>0</v>
      </c>
      <c r="E691" s="45" t="n">
        <f aca="false">ROUND(C691*D691,0)</f>
        <v>0</v>
      </c>
      <c r="F691" s="47" t="n">
        <f aca="false">MIN(1,'Model Inputs &amp; Assumptions'!$W$29*EXP('Model Inputs &amp; Assumptions'!$X$29*R691-'Model Inputs &amp; Assumptions'!$X$29^2/2))</f>
        <v>0.00321057053728013</v>
      </c>
      <c r="G691" s="45" t="n">
        <f aca="false">ROUND(C691*F691,0)</f>
        <v>596</v>
      </c>
      <c r="H691" s="48" t="n">
        <f aca="false">MAX(0,(C691*'Model Inputs &amp; Assumptions'!$N$29+E691*'Model Inputs &amp; Assumptions'!$O$29+G691*'Model Inputs &amp; Assumptions'!$P$29)*EXP('Model Inputs &amp; Assumptions'!$Q$29*S691-'Model Inputs &amp; Assumptions'!$Q$29^2/2))</f>
        <v>25.9941053110562</v>
      </c>
      <c r="I691" s="49" t="n">
        <f aca="false">IF('Model Inputs &amp; Assumptions'!$H$29="Fixed",'Model Inputs &amp; Assumptions'!$I$29*'Model Inputs &amp; Assumptions'!$K$29,IF('Model Inputs &amp; Assumptions'!$H$29="CPM",'Model Inputs &amp; Assumptions'!$I$29*'Model Inputs &amp; Assumptions'!$K$29*C691/1000,IF('Model Inputs &amp; Assumptions'!$H$29="CPC",'Model Inputs &amp; Assumptions'!$I$29*'Model Inputs &amp; Assumptions'!$K$29*G691,0)))</f>
        <v>6500</v>
      </c>
      <c r="J691" s="50" t="n">
        <f aca="false">H691*INDEX('Model Inputs &amp; Assumptions'!$D$40:$D$42,MATCH('Model Inputs &amp; Assumptions'!$L$29,'Model Inputs &amp; Assumptions'!$A$40:$A$42,0))*INDEX('Model Inputs &amp; Assumptions'!$H$40:$H$42,MATCH('Model Inputs &amp; Assumptions'!$L$29,'Model Inputs &amp; Assumptions'!$A$40:$A$42,0))</f>
        <v>220949.895143978</v>
      </c>
      <c r="K691" s="49" t="n">
        <f aca="false">H691*INDEX('Model Inputs &amp; Assumptions'!$G$40:$G$42,MATCH('Model Inputs &amp; Assumptions'!$L$29,'Model Inputs &amp; Assumptions'!$A$40:$A$42,0))*INDEX('Model Inputs &amp; Assumptions'!$H$40:$H$42,MATCH('Model Inputs &amp; Assumptions'!$L$29,'Model Inputs &amp; Assumptions'!$A$40:$A$42,0))</f>
        <v>4971.3726407395</v>
      </c>
      <c r="L691" s="51" t="n">
        <f aca="false">IFERROR(K691/I691,0)</f>
        <v>0.76482656011377</v>
      </c>
      <c r="M691" s="49" t="n">
        <f aca="false">IFERROR(I691/H691,0)</f>
        <v>250.056692554651</v>
      </c>
      <c r="N691" s="52" t="str">
        <f aca="false">'Model Inputs &amp; Assumptions'!$L$29</f>
        <v>PRD-EUAI</v>
      </c>
      <c r="P691" s="53" t="n">
        <v>-0.179525</v>
      </c>
      <c r="Q691" s="53" t="n">
        <v>1.100311</v>
      </c>
      <c r="R691" s="53" t="n">
        <v>0.421479</v>
      </c>
      <c r="S691" s="53" t="n">
        <v>-0.305462</v>
      </c>
    </row>
    <row r="692" customFormat="false" ht="15" hidden="false" customHeight="false" outlineLevel="0" collapsed="false">
      <c r="A692" s="43" t="n">
        <v>189</v>
      </c>
      <c r="B692" s="44" t="str">
        <f aca="false">'Model Inputs &amp; Assumptions'!$B$29</f>
        <v>Handelsblatt — Native Explainer</v>
      </c>
      <c r="C692" s="45" t="n">
        <f aca="false">ROUND(MAX(0,'Model Inputs &amp; Assumptions'!$S$29*EXP('Model Inputs &amp; Assumptions'!$T$29*P692-'Model Inputs &amp; Assumptions'!$T$29^2/2)),0)</f>
        <v>166379</v>
      </c>
      <c r="D692" s="46" t="n">
        <f aca="false">MIN(1,'Model Inputs &amp; Assumptions'!$U$29*EXP('Model Inputs &amp; Assumptions'!$V$29*Q692-'Model Inputs &amp; Assumptions'!$V$29^2/2))</f>
        <v>0</v>
      </c>
      <c r="E692" s="45" t="n">
        <f aca="false">ROUND(C692*D692,0)</f>
        <v>0</v>
      </c>
      <c r="F692" s="47" t="n">
        <f aca="false">MIN(1,'Model Inputs &amp; Assumptions'!$W$29*EXP('Model Inputs &amp; Assumptions'!$X$29*R692-'Model Inputs &amp; Assumptions'!$X$29^2/2))</f>
        <v>0.00269200545678767</v>
      </c>
      <c r="G692" s="45" t="n">
        <f aca="false">ROUND(C692*F692,0)</f>
        <v>448</v>
      </c>
      <c r="H692" s="48" t="n">
        <f aca="false">MAX(0,(C692*'Model Inputs &amp; Assumptions'!$N$29+E692*'Model Inputs &amp; Assumptions'!$O$29+G692*'Model Inputs &amp; Assumptions'!$P$29)*EXP('Model Inputs &amp; Assumptions'!$Q$29*S692-'Model Inputs &amp; Assumptions'!$Q$29^2/2))</f>
        <v>17.165165333241</v>
      </c>
      <c r="I692" s="49" t="n">
        <f aca="false">IF('Model Inputs &amp; Assumptions'!$H$29="Fixed",'Model Inputs &amp; Assumptions'!$I$29*'Model Inputs &amp; Assumptions'!$K$29,IF('Model Inputs &amp; Assumptions'!$H$29="CPM",'Model Inputs &amp; Assumptions'!$I$29*'Model Inputs &amp; Assumptions'!$K$29*C692/1000,IF('Model Inputs &amp; Assumptions'!$H$29="CPC",'Model Inputs &amp; Assumptions'!$I$29*'Model Inputs &amp; Assumptions'!$K$29*G692,0)))</f>
        <v>6500</v>
      </c>
      <c r="J692" s="50" t="n">
        <f aca="false">H692*INDEX('Model Inputs &amp; Assumptions'!$D$40:$D$42,MATCH('Model Inputs &amp; Assumptions'!$L$29,'Model Inputs &amp; Assumptions'!$A$40:$A$42,0))*INDEX('Model Inputs &amp; Assumptions'!$H$40:$H$42,MATCH('Model Inputs &amp; Assumptions'!$L$29,'Model Inputs &amp; Assumptions'!$A$40:$A$42,0))</f>
        <v>145903.905332548</v>
      </c>
      <c r="K692" s="49" t="n">
        <f aca="false">H692*INDEX('Model Inputs &amp; Assumptions'!$G$40:$G$42,MATCH('Model Inputs &amp; Assumptions'!$L$29,'Model Inputs &amp; Assumptions'!$A$40:$A$42,0))*INDEX('Model Inputs &amp; Assumptions'!$H$40:$H$42,MATCH('Model Inputs &amp; Assumptions'!$L$29,'Model Inputs &amp; Assumptions'!$A$40:$A$42,0))</f>
        <v>3282.83786998234</v>
      </c>
      <c r="L692" s="51" t="n">
        <f aca="false">IFERROR(K692/I692,0)</f>
        <v>0.505051979997282</v>
      </c>
      <c r="M692" s="49" t="n">
        <f aca="false">IFERROR(I692/H692,0)</f>
        <v>378.673894122797</v>
      </c>
      <c r="N692" s="52" t="str">
        <f aca="false">'Model Inputs &amp; Assumptions'!$L$29</f>
        <v>PRD-EUAI</v>
      </c>
      <c r="P692" s="53" t="n">
        <v>-0.680913</v>
      </c>
      <c r="Q692" s="53" t="n">
        <v>-1.764831</v>
      </c>
      <c r="R692" s="53" t="n">
        <v>-0.256068</v>
      </c>
      <c r="S692" s="53" t="n">
        <v>-0.737263</v>
      </c>
    </row>
    <row r="693" customFormat="false" ht="15" hidden="false" customHeight="false" outlineLevel="0" collapsed="false">
      <c r="A693" s="43" t="n">
        <v>190</v>
      </c>
      <c r="B693" s="44" t="str">
        <f aca="false">'Model Inputs &amp; Assumptions'!$B$29</f>
        <v>Handelsblatt — Native Explainer</v>
      </c>
      <c r="C693" s="45" t="n">
        <f aca="false">ROUND(MAX(0,'Model Inputs &amp; Assumptions'!$S$29*EXP('Model Inputs &amp; Assumptions'!$T$29*P693-'Model Inputs &amp; Assumptions'!$T$29^2/2)),0)</f>
        <v>211774</v>
      </c>
      <c r="D693" s="46" t="n">
        <f aca="false">MIN(1,'Model Inputs &amp; Assumptions'!$U$29*EXP('Model Inputs &amp; Assumptions'!$V$29*Q693-'Model Inputs &amp; Assumptions'!$V$29^2/2))</f>
        <v>0</v>
      </c>
      <c r="E693" s="45" t="n">
        <f aca="false">ROUND(C693*D693,0)</f>
        <v>0</v>
      </c>
      <c r="F693" s="47" t="n">
        <f aca="false">MIN(1,'Model Inputs &amp; Assumptions'!$W$29*EXP('Model Inputs &amp; Assumptions'!$X$29*R693-'Model Inputs &amp; Assumptions'!$X$29^2/2))</f>
        <v>0.00238835737491184</v>
      </c>
      <c r="G693" s="45" t="n">
        <f aca="false">ROUND(C693*F693,0)</f>
        <v>506</v>
      </c>
      <c r="H693" s="48" t="n">
        <f aca="false">MAX(0,(C693*'Model Inputs &amp; Assumptions'!$N$29+E693*'Model Inputs &amp; Assumptions'!$O$29+G693*'Model Inputs &amp; Assumptions'!$P$29)*EXP('Model Inputs &amp; Assumptions'!$Q$29*S693-'Model Inputs &amp; Assumptions'!$Q$29^2/2))</f>
        <v>37.8368727118789</v>
      </c>
      <c r="I693" s="49" t="n">
        <f aca="false">IF('Model Inputs &amp; Assumptions'!$H$29="Fixed",'Model Inputs &amp; Assumptions'!$I$29*'Model Inputs &amp; Assumptions'!$K$29,IF('Model Inputs &amp; Assumptions'!$H$29="CPM",'Model Inputs &amp; Assumptions'!$I$29*'Model Inputs &amp; Assumptions'!$K$29*C693/1000,IF('Model Inputs &amp; Assumptions'!$H$29="CPC",'Model Inputs &amp; Assumptions'!$I$29*'Model Inputs &amp; Assumptions'!$K$29*G693,0)))</f>
        <v>6500</v>
      </c>
      <c r="J693" s="50" t="n">
        <f aca="false">H693*INDEX('Model Inputs &amp; Assumptions'!$D$40:$D$42,MATCH('Model Inputs &amp; Assumptions'!$L$29,'Model Inputs &amp; Assumptions'!$A$40:$A$42,0))*INDEX('Model Inputs &amp; Assumptions'!$H$40:$H$42,MATCH('Model Inputs &amp; Assumptions'!$L$29,'Model Inputs &amp; Assumptions'!$A$40:$A$42,0))</f>
        <v>321613.41805097</v>
      </c>
      <c r="K693" s="49" t="n">
        <f aca="false">H693*INDEX('Model Inputs &amp; Assumptions'!$G$40:$G$42,MATCH('Model Inputs &amp; Assumptions'!$L$29,'Model Inputs &amp; Assumptions'!$A$40:$A$42,0))*INDEX('Model Inputs &amp; Assumptions'!$H$40:$H$42,MATCH('Model Inputs &amp; Assumptions'!$L$29,'Model Inputs &amp; Assumptions'!$A$40:$A$42,0))</f>
        <v>7236.30190614683</v>
      </c>
      <c r="L693" s="51" t="n">
        <f aca="false">IFERROR(K693/I693,0)</f>
        <v>1.11327721633028</v>
      </c>
      <c r="M693" s="49" t="n">
        <f aca="false">IFERROR(I693/H693,0)</f>
        <v>171.790096118576</v>
      </c>
      <c r="N693" s="52" t="str">
        <f aca="false">'Model Inputs &amp; Assumptions'!$L$29</f>
        <v>PRD-EUAI</v>
      </c>
      <c r="P693" s="53" t="n">
        <v>0.415693</v>
      </c>
      <c r="Q693" s="53" t="n">
        <v>0.410941</v>
      </c>
      <c r="R693" s="53" t="n">
        <v>-0.716378</v>
      </c>
      <c r="S693" s="53" t="n">
        <v>1.491599</v>
      </c>
    </row>
    <row r="694" customFormat="false" ht="15" hidden="false" customHeight="false" outlineLevel="0" collapsed="false">
      <c r="A694" s="43" t="n">
        <v>191</v>
      </c>
      <c r="B694" s="44" t="str">
        <f aca="false">'Model Inputs &amp; Assumptions'!$B$29</f>
        <v>Handelsblatt — Native Explainer</v>
      </c>
      <c r="C694" s="45" t="n">
        <f aca="false">ROUND(MAX(0,'Model Inputs &amp; Assumptions'!$S$29*EXP('Model Inputs &amp; Assumptions'!$T$29*P694-'Model Inputs &amp; Assumptions'!$T$29^2/2)),0)</f>
        <v>169106</v>
      </c>
      <c r="D694" s="46" t="n">
        <f aca="false">MIN(1,'Model Inputs &amp; Assumptions'!$U$29*EXP('Model Inputs &amp; Assumptions'!$V$29*Q694-'Model Inputs &amp; Assumptions'!$V$29^2/2))</f>
        <v>0</v>
      </c>
      <c r="E694" s="45" t="n">
        <f aca="false">ROUND(C694*D694,0)</f>
        <v>0</v>
      </c>
      <c r="F694" s="47" t="n">
        <f aca="false">MIN(1,'Model Inputs &amp; Assumptions'!$W$29*EXP('Model Inputs &amp; Assumptions'!$X$29*R694-'Model Inputs &amp; Assumptions'!$X$29^2/2))</f>
        <v>0.00289027819523624</v>
      </c>
      <c r="G694" s="45" t="n">
        <f aca="false">ROUND(C694*F694,0)</f>
        <v>489</v>
      </c>
      <c r="H694" s="48" t="n">
        <f aca="false">MAX(0,(C694*'Model Inputs &amp; Assumptions'!$N$29+E694*'Model Inputs &amp; Assumptions'!$O$29+G694*'Model Inputs &amp; Assumptions'!$P$29)*EXP('Model Inputs &amp; Assumptions'!$Q$29*S694-'Model Inputs &amp; Assumptions'!$Q$29^2/2))</f>
        <v>23.230312890196</v>
      </c>
      <c r="I694" s="49" t="n">
        <f aca="false">IF('Model Inputs &amp; Assumptions'!$H$29="Fixed",'Model Inputs &amp; Assumptions'!$I$29*'Model Inputs &amp; Assumptions'!$K$29,IF('Model Inputs &amp; Assumptions'!$H$29="CPM",'Model Inputs &amp; Assumptions'!$I$29*'Model Inputs &amp; Assumptions'!$K$29*C694/1000,IF('Model Inputs &amp; Assumptions'!$H$29="CPC",'Model Inputs &amp; Assumptions'!$I$29*'Model Inputs &amp; Assumptions'!$K$29*G694,0)))</f>
        <v>6500</v>
      </c>
      <c r="J694" s="50" t="n">
        <f aca="false">H694*INDEX('Model Inputs &amp; Assumptions'!$D$40:$D$42,MATCH('Model Inputs &amp; Assumptions'!$L$29,'Model Inputs &amp; Assumptions'!$A$40:$A$42,0))*INDEX('Model Inputs &amp; Assumptions'!$H$40:$H$42,MATCH('Model Inputs &amp; Assumptions'!$L$29,'Model Inputs &amp; Assumptions'!$A$40:$A$42,0))</f>
        <v>197457.659566666</v>
      </c>
      <c r="K694" s="49" t="n">
        <f aca="false">H694*INDEX('Model Inputs &amp; Assumptions'!$G$40:$G$42,MATCH('Model Inputs &amp; Assumptions'!$L$29,'Model Inputs &amp; Assumptions'!$A$40:$A$42,0))*INDEX('Model Inputs &amp; Assumptions'!$H$40:$H$42,MATCH('Model Inputs &amp; Assumptions'!$L$29,'Model Inputs &amp; Assumptions'!$A$40:$A$42,0))</f>
        <v>4442.79734024999</v>
      </c>
      <c r="L694" s="51" t="n">
        <f aca="false">IFERROR(K694/I694,0)</f>
        <v>0.683507283115382</v>
      </c>
      <c r="M694" s="49" t="n">
        <f aca="false">IFERROR(I694/H694,0)</f>
        <v>279.806820972404</v>
      </c>
      <c r="N694" s="52" t="str">
        <f aca="false">'Model Inputs &amp; Assumptions'!$L$29</f>
        <v>PRD-EUAI</v>
      </c>
      <c r="P694" s="53" t="n">
        <v>-0.607008</v>
      </c>
      <c r="Q694" s="53" t="n">
        <v>0.167591</v>
      </c>
      <c r="R694" s="53" t="n">
        <v>0.017264</v>
      </c>
      <c r="S694" s="53" t="n">
        <v>-0.020574</v>
      </c>
    </row>
    <row r="695" customFormat="false" ht="15" hidden="false" customHeight="false" outlineLevel="0" collapsed="false">
      <c r="A695" s="43" t="n">
        <v>192</v>
      </c>
      <c r="B695" s="44" t="str">
        <f aca="false">'Model Inputs &amp; Assumptions'!$B$29</f>
        <v>Handelsblatt — Native Explainer</v>
      </c>
      <c r="C695" s="45" t="n">
        <f aca="false">ROUND(MAX(0,'Model Inputs &amp; Assumptions'!$S$29*EXP('Model Inputs &amp; Assumptions'!$T$29*P695-'Model Inputs &amp; Assumptions'!$T$29^2/2)),0)</f>
        <v>122615</v>
      </c>
      <c r="D695" s="46" t="n">
        <f aca="false">MIN(1,'Model Inputs &amp; Assumptions'!$U$29*EXP('Model Inputs &amp; Assumptions'!$V$29*Q695-'Model Inputs &amp; Assumptions'!$V$29^2/2))</f>
        <v>0</v>
      </c>
      <c r="E695" s="45" t="n">
        <f aca="false">ROUND(C695*D695,0)</f>
        <v>0</v>
      </c>
      <c r="F695" s="47" t="n">
        <f aca="false">MIN(1,'Model Inputs &amp; Assumptions'!$W$29*EXP('Model Inputs &amp; Assumptions'!$X$29*R695-'Model Inputs &amp; Assumptions'!$X$29^2/2))</f>
        <v>0.00263829960022547</v>
      </c>
      <c r="G695" s="45" t="n">
        <f aca="false">ROUND(C695*F695,0)</f>
        <v>323</v>
      </c>
      <c r="H695" s="48" t="n">
        <f aca="false">MAX(0,(C695*'Model Inputs &amp; Assumptions'!$N$29+E695*'Model Inputs &amp; Assumptions'!$O$29+G695*'Model Inputs &amp; Assumptions'!$P$29)*EXP('Model Inputs &amp; Assumptions'!$Q$29*S695-'Model Inputs &amp; Assumptions'!$Q$29^2/2))</f>
        <v>16.8090570232409</v>
      </c>
      <c r="I695" s="49" t="n">
        <f aca="false">IF('Model Inputs &amp; Assumptions'!$H$29="Fixed",'Model Inputs &amp; Assumptions'!$I$29*'Model Inputs &amp; Assumptions'!$K$29,IF('Model Inputs &amp; Assumptions'!$H$29="CPM",'Model Inputs &amp; Assumptions'!$I$29*'Model Inputs &amp; Assumptions'!$K$29*C695/1000,IF('Model Inputs &amp; Assumptions'!$H$29="CPC",'Model Inputs &amp; Assumptions'!$I$29*'Model Inputs &amp; Assumptions'!$K$29*G695,0)))</f>
        <v>6500</v>
      </c>
      <c r="J695" s="50" t="n">
        <f aca="false">H695*INDEX('Model Inputs &amp; Assumptions'!$D$40:$D$42,MATCH('Model Inputs &amp; Assumptions'!$L$29,'Model Inputs &amp; Assumptions'!$A$40:$A$42,0))*INDEX('Model Inputs &amp; Assumptions'!$H$40:$H$42,MATCH('Model Inputs &amp; Assumptions'!$L$29,'Model Inputs &amp; Assumptions'!$A$40:$A$42,0))</f>
        <v>142876.984697548</v>
      </c>
      <c r="K695" s="49" t="n">
        <f aca="false">H695*INDEX('Model Inputs &amp; Assumptions'!$G$40:$G$42,MATCH('Model Inputs &amp; Assumptions'!$L$29,'Model Inputs &amp; Assumptions'!$A$40:$A$42,0))*INDEX('Model Inputs &amp; Assumptions'!$H$40:$H$42,MATCH('Model Inputs &amp; Assumptions'!$L$29,'Model Inputs &amp; Assumptions'!$A$40:$A$42,0))</f>
        <v>3214.73215569483</v>
      </c>
      <c r="L695" s="51" t="n">
        <f aca="false">IFERROR(K695/I695,0)</f>
        <v>0.494574177799205</v>
      </c>
      <c r="M695" s="49" t="n">
        <f aca="false">IFERROR(I695/H695,0)</f>
        <v>386.696290637411</v>
      </c>
      <c r="N695" s="52" t="str">
        <f aca="false">'Model Inputs &amp; Assumptions'!$L$29</f>
        <v>PRD-EUAI</v>
      </c>
      <c r="P695" s="53" t="n">
        <v>-2.068267</v>
      </c>
      <c r="Q695" s="53" t="n">
        <v>-1.586601</v>
      </c>
      <c r="R695" s="53" t="n">
        <v>-0.333575</v>
      </c>
      <c r="S695" s="53" t="n">
        <v>0.283326</v>
      </c>
    </row>
    <row r="696" customFormat="false" ht="15" hidden="false" customHeight="false" outlineLevel="0" collapsed="false">
      <c r="A696" s="43" t="n">
        <v>193</v>
      </c>
      <c r="B696" s="44" t="str">
        <f aca="false">'Model Inputs &amp; Assumptions'!$B$29</f>
        <v>Handelsblatt — Native Explainer</v>
      </c>
      <c r="C696" s="45" t="n">
        <f aca="false">ROUND(MAX(0,'Model Inputs &amp; Assumptions'!$S$29*EXP('Model Inputs &amp; Assumptions'!$T$29*P696-'Model Inputs &amp; Assumptions'!$T$29^2/2)),0)</f>
        <v>193012</v>
      </c>
      <c r="D696" s="46" t="n">
        <f aca="false">MIN(1,'Model Inputs &amp; Assumptions'!$U$29*EXP('Model Inputs &amp; Assumptions'!$V$29*Q696-'Model Inputs &amp; Assumptions'!$V$29^2/2))</f>
        <v>0</v>
      </c>
      <c r="E696" s="45" t="n">
        <f aca="false">ROUND(C696*D696,0)</f>
        <v>0</v>
      </c>
      <c r="F696" s="47" t="n">
        <f aca="false">MIN(1,'Model Inputs &amp; Assumptions'!$W$29*EXP('Model Inputs &amp; Assumptions'!$X$29*R696-'Model Inputs &amp; Assumptions'!$X$29^2/2))</f>
        <v>0.00689262609877324</v>
      </c>
      <c r="G696" s="45" t="n">
        <f aca="false">ROUND(C696*F696,0)</f>
        <v>1330</v>
      </c>
      <c r="H696" s="48" t="n">
        <f aca="false">MAX(0,(C696*'Model Inputs &amp; Assumptions'!$N$29+E696*'Model Inputs &amp; Assumptions'!$O$29+G696*'Model Inputs &amp; Assumptions'!$P$29)*EXP('Model Inputs &amp; Assumptions'!$Q$29*S696-'Model Inputs &amp; Assumptions'!$Q$29^2/2))</f>
        <v>75.1877972864673</v>
      </c>
      <c r="I696" s="49" t="n">
        <f aca="false">IF('Model Inputs &amp; Assumptions'!$H$29="Fixed",'Model Inputs &amp; Assumptions'!$I$29*'Model Inputs &amp; Assumptions'!$K$29,IF('Model Inputs &amp; Assumptions'!$H$29="CPM",'Model Inputs &amp; Assumptions'!$I$29*'Model Inputs &amp; Assumptions'!$K$29*C696/1000,IF('Model Inputs &amp; Assumptions'!$H$29="CPC",'Model Inputs &amp; Assumptions'!$I$29*'Model Inputs &amp; Assumptions'!$K$29*G696,0)))</f>
        <v>6500</v>
      </c>
      <c r="J696" s="50" t="n">
        <f aca="false">H696*INDEX('Model Inputs &amp; Assumptions'!$D$40:$D$42,MATCH('Model Inputs &amp; Assumptions'!$L$29,'Model Inputs &amp; Assumptions'!$A$40:$A$42,0))*INDEX('Model Inputs &amp; Assumptions'!$H$40:$H$42,MATCH('Model Inputs &amp; Assumptions'!$L$29,'Model Inputs &amp; Assumptions'!$A$40:$A$42,0))</f>
        <v>639096.276934972</v>
      </c>
      <c r="K696" s="49" t="n">
        <f aca="false">H696*INDEX('Model Inputs &amp; Assumptions'!$G$40:$G$42,MATCH('Model Inputs &amp; Assumptions'!$L$29,'Model Inputs &amp; Assumptions'!$A$40:$A$42,0))*INDEX('Model Inputs &amp; Assumptions'!$H$40:$H$42,MATCH('Model Inputs &amp; Assumptions'!$L$29,'Model Inputs &amp; Assumptions'!$A$40:$A$42,0))</f>
        <v>14379.6662310369</v>
      </c>
      <c r="L696" s="51" t="n">
        <f aca="false">IFERROR(K696/I696,0)</f>
        <v>2.21225634323644</v>
      </c>
      <c r="M696" s="49" t="n">
        <f aca="false">IFERROR(I696/H696,0)</f>
        <v>86.4501984974349</v>
      </c>
      <c r="N696" s="52" t="str">
        <f aca="false">'Model Inputs &amp; Assumptions'!$L$29</f>
        <v>PRD-EUAI</v>
      </c>
      <c r="P696" s="53" t="n">
        <v>-0.005965</v>
      </c>
      <c r="Q696" s="53" t="n">
        <v>-0.221212</v>
      </c>
      <c r="R696" s="53" t="n">
        <v>3.359954</v>
      </c>
      <c r="S696" s="53" t="n">
        <v>0.55929</v>
      </c>
    </row>
    <row r="697" customFormat="false" ht="15" hidden="false" customHeight="false" outlineLevel="0" collapsed="false">
      <c r="A697" s="43" t="n">
        <v>194</v>
      </c>
      <c r="B697" s="44" t="str">
        <f aca="false">'Model Inputs &amp; Assumptions'!$B$29</f>
        <v>Handelsblatt — Native Explainer</v>
      </c>
      <c r="C697" s="45" t="n">
        <f aca="false">ROUND(MAX(0,'Model Inputs &amp; Assumptions'!$S$29*EXP('Model Inputs &amp; Assumptions'!$T$29*P697-'Model Inputs &amp; Assumptions'!$T$29^2/2)),0)</f>
        <v>155078</v>
      </c>
      <c r="D697" s="46" t="n">
        <f aca="false">MIN(1,'Model Inputs &amp; Assumptions'!$U$29*EXP('Model Inputs &amp; Assumptions'!$V$29*Q697-'Model Inputs &amp; Assumptions'!$V$29^2/2))</f>
        <v>0</v>
      </c>
      <c r="E697" s="45" t="n">
        <f aca="false">ROUND(C697*D697,0)</f>
        <v>0</v>
      </c>
      <c r="F697" s="47" t="n">
        <f aca="false">MIN(1,'Model Inputs &amp; Assumptions'!$W$29*EXP('Model Inputs &amp; Assumptions'!$X$29*R697-'Model Inputs &amp; Assumptions'!$X$29^2/2))</f>
        <v>0.00329208459233238</v>
      </c>
      <c r="G697" s="45" t="n">
        <f aca="false">ROUND(C697*F697,0)</f>
        <v>511</v>
      </c>
      <c r="H697" s="48" t="n">
        <f aca="false">MAX(0,(C697*'Model Inputs &amp; Assumptions'!$N$29+E697*'Model Inputs &amp; Assumptions'!$O$29+G697*'Model Inputs &amp; Assumptions'!$P$29)*EXP('Model Inputs &amp; Assumptions'!$Q$29*S697-'Model Inputs &amp; Assumptions'!$Q$29^2/2))</f>
        <v>28.9552031481808</v>
      </c>
      <c r="I697" s="49" t="n">
        <f aca="false">IF('Model Inputs &amp; Assumptions'!$H$29="Fixed",'Model Inputs &amp; Assumptions'!$I$29*'Model Inputs &amp; Assumptions'!$K$29,IF('Model Inputs &amp; Assumptions'!$H$29="CPM",'Model Inputs &amp; Assumptions'!$I$29*'Model Inputs &amp; Assumptions'!$K$29*C697/1000,IF('Model Inputs &amp; Assumptions'!$H$29="CPC",'Model Inputs &amp; Assumptions'!$I$29*'Model Inputs &amp; Assumptions'!$K$29*G697,0)))</f>
        <v>6500</v>
      </c>
      <c r="J697" s="50" t="n">
        <f aca="false">H697*INDEX('Model Inputs &amp; Assumptions'!$D$40:$D$42,MATCH('Model Inputs &amp; Assumptions'!$L$29,'Model Inputs &amp; Assumptions'!$A$40:$A$42,0))*INDEX('Model Inputs &amp; Assumptions'!$H$40:$H$42,MATCH('Model Inputs &amp; Assumptions'!$L$29,'Model Inputs &amp; Assumptions'!$A$40:$A$42,0))</f>
        <v>246119.226759536</v>
      </c>
      <c r="K697" s="49" t="n">
        <f aca="false">H697*INDEX('Model Inputs &amp; Assumptions'!$G$40:$G$42,MATCH('Model Inputs &amp; Assumptions'!$L$29,'Model Inputs &amp; Assumptions'!$A$40:$A$42,0))*INDEX('Model Inputs &amp; Assumptions'!$H$40:$H$42,MATCH('Model Inputs &amp; Assumptions'!$L$29,'Model Inputs &amp; Assumptions'!$A$40:$A$42,0))</f>
        <v>5537.68260208957</v>
      </c>
      <c r="L697" s="51" t="n">
        <f aca="false">IFERROR(K697/I697,0)</f>
        <v>0.851951169552241</v>
      </c>
      <c r="M697" s="49" t="n">
        <f aca="false">IFERROR(I697/H697,0)</f>
        <v>224.484696817207</v>
      </c>
      <c r="N697" s="52" t="str">
        <f aca="false">'Model Inputs &amp; Assumptions'!$L$29</f>
        <v>PRD-EUAI</v>
      </c>
      <c r="P697" s="53" t="n">
        <v>-1.000623</v>
      </c>
      <c r="Q697" s="53" t="n">
        <v>0.154998</v>
      </c>
      <c r="R697" s="53" t="n">
        <v>0.517911</v>
      </c>
      <c r="S697" s="53" t="n">
        <v>0.567042</v>
      </c>
    </row>
    <row r="698" customFormat="false" ht="15" hidden="false" customHeight="false" outlineLevel="0" collapsed="false">
      <c r="A698" s="43" t="n">
        <v>195</v>
      </c>
      <c r="B698" s="44" t="str">
        <f aca="false">'Model Inputs &amp; Assumptions'!$B$29</f>
        <v>Handelsblatt — Native Explainer</v>
      </c>
      <c r="C698" s="45" t="n">
        <f aca="false">ROUND(MAX(0,'Model Inputs &amp; Assumptions'!$S$29*EXP('Model Inputs &amp; Assumptions'!$T$29*P698-'Model Inputs &amp; Assumptions'!$T$29^2/2)),0)</f>
        <v>198103</v>
      </c>
      <c r="D698" s="46" t="n">
        <f aca="false">MIN(1,'Model Inputs &amp; Assumptions'!$U$29*EXP('Model Inputs &amp; Assumptions'!$V$29*Q698-'Model Inputs &amp; Assumptions'!$V$29^2/2))</f>
        <v>0</v>
      </c>
      <c r="E698" s="45" t="n">
        <f aca="false">ROUND(C698*D698,0)</f>
        <v>0</v>
      </c>
      <c r="F698" s="47" t="n">
        <f aca="false">MIN(1,'Model Inputs &amp; Assumptions'!$W$29*EXP('Model Inputs &amp; Assumptions'!$X$29*R698-'Model Inputs &amp; Assumptions'!$X$29^2/2))</f>
        <v>0.00247886659810311</v>
      </c>
      <c r="G698" s="45" t="n">
        <f aca="false">ROUND(C698*F698,0)</f>
        <v>491</v>
      </c>
      <c r="H698" s="48" t="n">
        <f aca="false">MAX(0,(C698*'Model Inputs &amp; Assumptions'!$N$29+E698*'Model Inputs &amp; Assumptions'!$O$29+G698*'Model Inputs &amp; Assumptions'!$P$29)*EXP('Model Inputs &amp; Assumptions'!$Q$29*S698-'Model Inputs &amp; Assumptions'!$Q$29^2/2))</f>
        <v>17.8845149927323</v>
      </c>
      <c r="I698" s="49" t="n">
        <f aca="false">IF('Model Inputs &amp; Assumptions'!$H$29="Fixed",'Model Inputs &amp; Assumptions'!$I$29*'Model Inputs &amp; Assumptions'!$K$29,IF('Model Inputs &amp; Assumptions'!$H$29="CPM",'Model Inputs &amp; Assumptions'!$I$29*'Model Inputs &amp; Assumptions'!$K$29*C698/1000,IF('Model Inputs &amp; Assumptions'!$H$29="CPC",'Model Inputs &amp; Assumptions'!$I$29*'Model Inputs &amp; Assumptions'!$K$29*G698,0)))</f>
        <v>6500</v>
      </c>
      <c r="J698" s="50" t="n">
        <f aca="false">H698*INDEX('Model Inputs &amp; Assumptions'!$D$40:$D$42,MATCH('Model Inputs &amp; Assumptions'!$L$29,'Model Inputs &amp; Assumptions'!$A$40:$A$42,0))*INDEX('Model Inputs &amp; Assumptions'!$H$40:$H$42,MATCH('Model Inputs &amp; Assumptions'!$L$29,'Model Inputs &amp; Assumptions'!$A$40:$A$42,0))</f>
        <v>152018.377438225</v>
      </c>
      <c r="K698" s="49" t="n">
        <f aca="false">H698*INDEX('Model Inputs &amp; Assumptions'!$G$40:$G$42,MATCH('Model Inputs &amp; Assumptions'!$L$29,'Model Inputs &amp; Assumptions'!$A$40:$A$42,0))*INDEX('Model Inputs &amp; Assumptions'!$H$40:$H$42,MATCH('Model Inputs &amp; Assumptions'!$L$29,'Model Inputs &amp; Assumptions'!$A$40:$A$42,0))</f>
        <v>3420.41349236006</v>
      </c>
      <c r="L698" s="51" t="n">
        <f aca="false">IFERROR(K698/I698,0)</f>
        <v>0.526217460363086</v>
      </c>
      <c r="M698" s="49" t="n">
        <f aca="false">IFERROR(I698/H698,0)</f>
        <v>363.442900332572</v>
      </c>
      <c r="N698" s="52" t="str">
        <f aca="false">'Model Inputs &amp; Assumptions'!$L$29</f>
        <v>PRD-EUAI</v>
      </c>
      <c r="P698" s="53" t="n">
        <v>0.112364</v>
      </c>
      <c r="Q698" s="53" t="n">
        <v>1.013881</v>
      </c>
      <c r="R698" s="53" t="n">
        <v>-0.573318</v>
      </c>
      <c r="S698" s="53" t="n">
        <v>-0.905922</v>
      </c>
    </row>
    <row r="699" customFormat="false" ht="15" hidden="false" customHeight="false" outlineLevel="0" collapsed="false">
      <c r="A699" s="43" t="n">
        <v>196</v>
      </c>
      <c r="B699" s="44" t="str">
        <f aca="false">'Model Inputs &amp; Assumptions'!$B$29</f>
        <v>Handelsblatt — Native Explainer</v>
      </c>
      <c r="C699" s="45" t="n">
        <f aca="false">ROUND(MAX(0,'Model Inputs &amp; Assumptions'!$S$29*EXP('Model Inputs &amp; Assumptions'!$T$29*P699-'Model Inputs &amp; Assumptions'!$T$29^2/2)),0)</f>
        <v>135185</v>
      </c>
      <c r="D699" s="46" t="n">
        <f aca="false">MIN(1,'Model Inputs &amp; Assumptions'!$U$29*EXP('Model Inputs &amp; Assumptions'!$V$29*Q699-'Model Inputs &amp; Assumptions'!$V$29^2/2))</f>
        <v>0</v>
      </c>
      <c r="E699" s="45" t="n">
        <f aca="false">ROUND(C699*D699,0)</f>
        <v>0</v>
      </c>
      <c r="F699" s="47" t="n">
        <f aca="false">MIN(1,'Model Inputs &amp; Assumptions'!$W$29*EXP('Model Inputs &amp; Assumptions'!$X$29*R699-'Model Inputs &amp; Assumptions'!$X$29^2/2))</f>
        <v>0.00292845113039408</v>
      </c>
      <c r="G699" s="45" t="n">
        <f aca="false">ROUND(C699*F699,0)</f>
        <v>396</v>
      </c>
      <c r="H699" s="48" t="n">
        <f aca="false">MAX(0,(C699*'Model Inputs &amp; Assumptions'!$N$29+E699*'Model Inputs &amp; Assumptions'!$O$29+G699*'Model Inputs &amp; Assumptions'!$P$29)*EXP('Model Inputs &amp; Assumptions'!$Q$29*S699-'Model Inputs &amp; Assumptions'!$Q$29^2/2))</f>
        <v>11.2999300756151</v>
      </c>
      <c r="I699" s="49" t="n">
        <f aca="false">IF('Model Inputs &amp; Assumptions'!$H$29="Fixed",'Model Inputs &amp; Assumptions'!$I$29*'Model Inputs &amp; Assumptions'!$K$29,IF('Model Inputs &amp; Assumptions'!$H$29="CPM",'Model Inputs &amp; Assumptions'!$I$29*'Model Inputs &amp; Assumptions'!$K$29*C699/1000,IF('Model Inputs &amp; Assumptions'!$H$29="CPC",'Model Inputs &amp; Assumptions'!$I$29*'Model Inputs &amp; Assumptions'!$K$29*G699,0)))</f>
        <v>6500</v>
      </c>
      <c r="J699" s="50" t="n">
        <f aca="false">H699*INDEX('Model Inputs &amp; Assumptions'!$D$40:$D$42,MATCH('Model Inputs &amp; Assumptions'!$L$29,'Model Inputs &amp; Assumptions'!$A$40:$A$42,0))*INDEX('Model Inputs &amp; Assumptions'!$H$40:$H$42,MATCH('Model Inputs &amp; Assumptions'!$L$29,'Model Inputs &amp; Assumptions'!$A$40:$A$42,0))</f>
        <v>96049.4056427287</v>
      </c>
      <c r="K699" s="49" t="n">
        <f aca="false">H699*INDEX('Model Inputs &amp; Assumptions'!$G$40:$G$42,MATCH('Model Inputs &amp; Assumptions'!$L$29,'Model Inputs &amp; Assumptions'!$A$40:$A$42,0))*INDEX('Model Inputs &amp; Assumptions'!$H$40:$H$42,MATCH('Model Inputs &amp; Assumptions'!$L$29,'Model Inputs &amp; Assumptions'!$A$40:$A$42,0))</f>
        <v>2161.1116269614</v>
      </c>
      <c r="L699" s="51" t="n">
        <f aca="false">IFERROR(K699/I699,0)</f>
        <v>0.332478711840215</v>
      </c>
      <c r="M699" s="49" t="n">
        <f aca="false">IFERROR(I699/H699,0)</f>
        <v>575.224798428335</v>
      </c>
      <c r="N699" s="52" t="str">
        <f aca="false">'Model Inputs &amp; Assumptions'!$L$29</f>
        <v>PRD-EUAI</v>
      </c>
      <c r="P699" s="53" t="n">
        <v>-1.624637</v>
      </c>
      <c r="Q699" s="53" t="n">
        <v>0.117192</v>
      </c>
      <c r="R699" s="53" t="n">
        <v>0.067729</v>
      </c>
      <c r="S699" s="53" t="n">
        <v>-1.719618</v>
      </c>
    </row>
    <row r="700" customFormat="false" ht="15" hidden="false" customHeight="false" outlineLevel="0" collapsed="false">
      <c r="A700" s="43" t="n">
        <v>197</v>
      </c>
      <c r="B700" s="44" t="str">
        <f aca="false">'Model Inputs &amp; Assumptions'!$B$29</f>
        <v>Handelsblatt — Native Explainer</v>
      </c>
      <c r="C700" s="45" t="n">
        <f aca="false">ROUND(MAX(0,'Model Inputs &amp; Assumptions'!$S$29*EXP('Model Inputs &amp; Assumptions'!$T$29*P700-'Model Inputs &amp; Assumptions'!$T$29^2/2)),0)</f>
        <v>278950</v>
      </c>
      <c r="D700" s="46" t="n">
        <f aca="false">MIN(1,'Model Inputs &amp; Assumptions'!$U$29*EXP('Model Inputs &amp; Assumptions'!$V$29*Q700-'Model Inputs &amp; Assumptions'!$V$29^2/2))</f>
        <v>0</v>
      </c>
      <c r="E700" s="45" t="n">
        <f aca="false">ROUND(C700*D700,0)</f>
        <v>0</v>
      </c>
      <c r="F700" s="47" t="n">
        <f aca="false">MIN(1,'Model Inputs &amp; Assumptions'!$W$29*EXP('Model Inputs &amp; Assumptions'!$X$29*R700-'Model Inputs &amp; Assumptions'!$X$29^2/2))</f>
        <v>0.00322187451863821</v>
      </c>
      <c r="G700" s="45" t="n">
        <f aca="false">ROUND(C700*F700,0)</f>
        <v>899</v>
      </c>
      <c r="H700" s="48" t="n">
        <f aca="false">MAX(0,(C700*'Model Inputs &amp; Assumptions'!$N$29+E700*'Model Inputs &amp; Assumptions'!$O$29+G700*'Model Inputs &amp; Assumptions'!$P$29)*EXP('Model Inputs &amp; Assumptions'!$Q$29*S700-'Model Inputs &amp; Assumptions'!$Q$29^2/2))</f>
        <v>37.482687545309</v>
      </c>
      <c r="I700" s="49" t="n">
        <f aca="false">IF('Model Inputs &amp; Assumptions'!$H$29="Fixed",'Model Inputs &amp; Assumptions'!$I$29*'Model Inputs &amp; Assumptions'!$K$29,IF('Model Inputs &amp; Assumptions'!$H$29="CPM",'Model Inputs &amp; Assumptions'!$I$29*'Model Inputs &amp; Assumptions'!$K$29*C700/1000,IF('Model Inputs &amp; Assumptions'!$H$29="CPC",'Model Inputs &amp; Assumptions'!$I$29*'Model Inputs &amp; Assumptions'!$K$29*G700,0)))</f>
        <v>6500</v>
      </c>
      <c r="J700" s="50" t="n">
        <f aca="false">H700*INDEX('Model Inputs &amp; Assumptions'!$D$40:$D$42,MATCH('Model Inputs &amp; Assumptions'!$L$29,'Model Inputs &amp; Assumptions'!$A$40:$A$42,0))*INDEX('Model Inputs &amp; Assumptions'!$H$40:$H$42,MATCH('Model Inputs &amp; Assumptions'!$L$29,'Model Inputs &amp; Assumptions'!$A$40:$A$42,0))</f>
        <v>318602.844135126</v>
      </c>
      <c r="K700" s="49" t="n">
        <f aca="false">H700*INDEX('Model Inputs &amp; Assumptions'!$G$40:$G$42,MATCH('Model Inputs &amp; Assumptions'!$L$29,'Model Inputs &amp; Assumptions'!$A$40:$A$42,0))*INDEX('Model Inputs &amp; Assumptions'!$H$40:$H$42,MATCH('Model Inputs &amp; Assumptions'!$L$29,'Model Inputs &amp; Assumptions'!$A$40:$A$42,0))</f>
        <v>7168.56399304034</v>
      </c>
      <c r="L700" s="51" t="n">
        <f aca="false">IFERROR(K700/I700,0)</f>
        <v>1.10285599892928</v>
      </c>
      <c r="M700" s="49" t="n">
        <f aca="false">IFERROR(I700/H700,0)</f>
        <v>173.41339230659</v>
      </c>
      <c r="N700" s="52" t="str">
        <f aca="false">'Model Inputs &amp; Assumptions'!$L$29</f>
        <v>PRD-EUAI</v>
      </c>
      <c r="P700" s="53" t="n">
        <v>1.668024</v>
      </c>
      <c r="Q700" s="53" t="n">
        <v>-1.916733</v>
      </c>
      <c r="R700" s="53" t="n">
        <v>0.434997</v>
      </c>
      <c r="S700" s="53" t="n">
        <v>-0.455572</v>
      </c>
    </row>
    <row r="701" customFormat="false" ht="15" hidden="false" customHeight="false" outlineLevel="0" collapsed="false">
      <c r="A701" s="43" t="n">
        <v>198</v>
      </c>
      <c r="B701" s="44" t="str">
        <f aca="false">'Model Inputs &amp; Assumptions'!$B$29</f>
        <v>Handelsblatt — Native Explainer</v>
      </c>
      <c r="C701" s="45" t="n">
        <f aca="false">ROUND(MAX(0,'Model Inputs &amp; Assumptions'!$S$29*EXP('Model Inputs &amp; Assumptions'!$T$29*P701-'Model Inputs &amp; Assumptions'!$T$29^2/2)),0)</f>
        <v>238129</v>
      </c>
      <c r="D701" s="46" t="n">
        <f aca="false">MIN(1,'Model Inputs &amp; Assumptions'!$U$29*EXP('Model Inputs &amp; Assumptions'!$V$29*Q701-'Model Inputs &amp; Assumptions'!$V$29^2/2))</f>
        <v>0</v>
      </c>
      <c r="E701" s="45" t="n">
        <f aca="false">ROUND(C701*D701,0)</f>
        <v>0</v>
      </c>
      <c r="F701" s="47" t="n">
        <f aca="false">MIN(1,'Model Inputs &amp; Assumptions'!$W$29*EXP('Model Inputs &amp; Assumptions'!$X$29*R701-'Model Inputs &amp; Assumptions'!$X$29^2/2))</f>
        <v>0.00232874784796883</v>
      </c>
      <c r="G701" s="45" t="n">
        <f aca="false">ROUND(C701*F701,0)</f>
        <v>555</v>
      </c>
      <c r="H701" s="48" t="n">
        <f aca="false">MAX(0,(C701*'Model Inputs &amp; Assumptions'!$N$29+E701*'Model Inputs &amp; Assumptions'!$O$29+G701*'Model Inputs &amp; Assumptions'!$P$29)*EXP('Model Inputs &amp; Assumptions'!$Q$29*S701-'Model Inputs &amp; Assumptions'!$Q$29^2/2))</f>
        <v>17.8733332627826</v>
      </c>
      <c r="I701" s="49" t="n">
        <f aca="false">IF('Model Inputs &amp; Assumptions'!$H$29="Fixed",'Model Inputs &amp; Assumptions'!$I$29*'Model Inputs &amp; Assumptions'!$K$29,IF('Model Inputs &amp; Assumptions'!$H$29="CPM",'Model Inputs &amp; Assumptions'!$I$29*'Model Inputs &amp; Assumptions'!$K$29*C701/1000,IF('Model Inputs &amp; Assumptions'!$H$29="CPC",'Model Inputs &amp; Assumptions'!$I$29*'Model Inputs &amp; Assumptions'!$K$29*G701,0)))</f>
        <v>6500</v>
      </c>
      <c r="J701" s="50" t="n">
        <f aca="false">H701*INDEX('Model Inputs &amp; Assumptions'!$D$40:$D$42,MATCH('Model Inputs &amp; Assumptions'!$L$29,'Model Inputs &amp; Assumptions'!$A$40:$A$42,0))*INDEX('Model Inputs &amp; Assumptions'!$H$40:$H$42,MATCH('Model Inputs &amp; Assumptions'!$L$29,'Model Inputs &amp; Assumptions'!$A$40:$A$42,0))</f>
        <v>151923.332733652</v>
      </c>
      <c r="K701" s="49" t="n">
        <f aca="false">H701*INDEX('Model Inputs &amp; Assumptions'!$G$40:$G$42,MATCH('Model Inputs &amp; Assumptions'!$L$29,'Model Inputs &amp; Assumptions'!$A$40:$A$42,0))*INDEX('Model Inputs &amp; Assumptions'!$H$40:$H$42,MATCH('Model Inputs &amp; Assumptions'!$L$29,'Model Inputs &amp; Assumptions'!$A$40:$A$42,0))</f>
        <v>3418.27498650718</v>
      </c>
      <c r="L701" s="51" t="n">
        <f aca="false">IFERROR(K701/I701,0)</f>
        <v>0.525888459462643</v>
      </c>
      <c r="M701" s="49" t="n">
        <f aca="false">IFERROR(I701/H701,0)</f>
        <v>363.670273721961</v>
      </c>
      <c r="N701" s="52" t="str">
        <f aca="false">'Model Inputs &amp; Assumptions'!$L$29</f>
        <v>PRD-EUAI</v>
      </c>
      <c r="P701" s="53" t="n">
        <v>0.948852</v>
      </c>
      <c r="Q701" s="53" t="n">
        <v>0.332216</v>
      </c>
      <c r="R701" s="53" t="n">
        <v>-0.81359</v>
      </c>
      <c r="S701" s="53" t="n">
        <v>-1.31642</v>
      </c>
    </row>
    <row r="702" customFormat="false" ht="15" hidden="false" customHeight="false" outlineLevel="0" collapsed="false">
      <c r="A702" s="43" t="n">
        <v>199</v>
      </c>
      <c r="B702" s="44" t="str">
        <f aca="false">'Model Inputs &amp; Assumptions'!$B$29</f>
        <v>Handelsblatt — Native Explainer</v>
      </c>
      <c r="C702" s="45" t="n">
        <f aca="false">ROUND(MAX(0,'Model Inputs &amp; Assumptions'!$S$29*EXP('Model Inputs &amp; Assumptions'!$T$29*P702-'Model Inputs &amp; Assumptions'!$T$29^2/2)),0)</f>
        <v>264793</v>
      </c>
      <c r="D702" s="46" t="n">
        <f aca="false">MIN(1,'Model Inputs &amp; Assumptions'!$U$29*EXP('Model Inputs &amp; Assumptions'!$V$29*Q702-'Model Inputs &amp; Assumptions'!$V$29^2/2))</f>
        <v>0</v>
      </c>
      <c r="E702" s="45" t="n">
        <f aca="false">ROUND(C702*D702,0)</f>
        <v>0</v>
      </c>
      <c r="F702" s="47" t="n">
        <f aca="false">MIN(1,'Model Inputs &amp; Assumptions'!$W$29*EXP('Model Inputs &amp; Assumptions'!$X$29*R702-'Model Inputs &amp; Assumptions'!$X$29^2/2))</f>
        <v>0.00285347000366433</v>
      </c>
      <c r="G702" s="45" t="n">
        <f aca="false">ROUND(C702*F702,0)</f>
        <v>756</v>
      </c>
      <c r="H702" s="48" t="n">
        <f aca="false">MAX(0,(C702*'Model Inputs &amp; Assumptions'!$N$29+E702*'Model Inputs &amp; Assumptions'!$O$29+G702*'Model Inputs &amp; Assumptions'!$P$29)*EXP('Model Inputs &amp; Assumptions'!$Q$29*S702-'Model Inputs &amp; Assumptions'!$Q$29^2/2))</f>
        <v>37.8587641502988</v>
      </c>
      <c r="I702" s="49" t="n">
        <f aca="false">IF('Model Inputs &amp; Assumptions'!$H$29="Fixed",'Model Inputs &amp; Assumptions'!$I$29*'Model Inputs &amp; Assumptions'!$K$29,IF('Model Inputs &amp; Assumptions'!$H$29="CPM",'Model Inputs &amp; Assumptions'!$I$29*'Model Inputs &amp; Assumptions'!$K$29*C702/1000,IF('Model Inputs &amp; Assumptions'!$H$29="CPC",'Model Inputs &amp; Assumptions'!$I$29*'Model Inputs &amp; Assumptions'!$K$29*G702,0)))</f>
        <v>6500</v>
      </c>
      <c r="J702" s="50" t="n">
        <f aca="false">H702*INDEX('Model Inputs &amp; Assumptions'!$D$40:$D$42,MATCH('Model Inputs &amp; Assumptions'!$L$29,'Model Inputs &amp; Assumptions'!$A$40:$A$42,0))*INDEX('Model Inputs &amp; Assumptions'!$H$40:$H$42,MATCH('Model Inputs &amp; Assumptions'!$L$29,'Model Inputs &amp; Assumptions'!$A$40:$A$42,0))</f>
        <v>321799.49527754</v>
      </c>
      <c r="K702" s="49" t="n">
        <f aca="false">H702*INDEX('Model Inputs &amp; Assumptions'!$G$40:$G$42,MATCH('Model Inputs &amp; Assumptions'!$L$29,'Model Inputs &amp; Assumptions'!$A$40:$A$42,0))*INDEX('Model Inputs &amp; Assumptions'!$H$40:$H$42,MATCH('Model Inputs &amp; Assumptions'!$L$29,'Model Inputs &amp; Assumptions'!$A$40:$A$42,0))</f>
        <v>7240.48864374465</v>
      </c>
      <c r="L702" s="51" t="n">
        <f aca="false">IFERROR(K702/I702,0)</f>
        <v>1.11392132980687</v>
      </c>
      <c r="M702" s="49" t="n">
        <f aca="false">IFERROR(I702/H702,0)</f>
        <v>171.69076027403</v>
      </c>
      <c r="N702" s="52" t="str">
        <f aca="false">'Model Inputs &amp; Assumptions'!$L$29</f>
        <v>PRD-EUAI</v>
      </c>
      <c r="P702" s="53" t="n">
        <v>1.43128</v>
      </c>
      <c r="Q702" s="53" t="n">
        <v>0.014071</v>
      </c>
      <c r="R702" s="53" t="n">
        <v>-0.032032</v>
      </c>
      <c r="S702" s="53" t="n">
        <v>0.155178</v>
      </c>
    </row>
    <row r="703" customFormat="false" ht="15" hidden="false" customHeight="false" outlineLevel="0" collapsed="false">
      <c r="A703" s="43" t="n">
        <v>200</v>
      </c>
      <c r="B703" s="44" t="str">
        <f aca="false">'Model Inputs &amp; Assumptions'!$B$29</f>
        <v>Handelsblatt — Native Explainer</v>
      </c>
      <c r="C703" s="45" t="n">
        <f aca="false">ROUND(MAX(0,'Model Inputs &amp; Assumptions'!$S$29*EXP('Model Inputs &amp; Assumptions'!$T$29*P703-'Model Inputs &amp; Assumptions'!$T$29^2/2)),0)</f>
        <v>199875</v>
      </c>
      <c r="D703" s="46" t="n">
        <f aca="false">MIN(1,'Model Inputs &amp; Assumptions'!$U$29*EXP('Model Inputs &amp; Assumptions'!$V$29*Q703-'Model Inputs &amp; Assumptions'!$V$29^2/2))</f>
        <v>0</v>
      </c>
      <c r="E703" s="45" t="n">
        <f aca="false">ROUND(C703*D703,0)</f>
        <v>0</v>
      </c>
      <c r="F703" s="47" t="n">
        <f aca="false">MIN(1,'Model Inputs &amp; Assumptions'!$W$29*EXP('Model Inputs &amp; Assumptions'!$X$29*R703-'Model Inputs &amp; Assumptions'!$X$29^2/2))</f>
        <v>0.00231063324457928</v>
      </c>
      <c r="G703" s="45" t="n">
        <f aca="false">ROUND(C703*F703,0)</f>
        <v>462</v>
      </c>
      <c r="H703" s="48" t="n">
        <f aca="false">MAX(0,(C703*'Model Inputs &amp; Assumptions'!$N$29+E703*'Model Inputs &amp; Assumptions'!$O$29+G703*'Model Inputs &amp; Assumptions'!$P$29)*EXP('Model Inputs &amp; Assumptions'!$Q$29*S703-'Model Inputs &amp; Assumptions'!$Q$29^2/2))</f>
        <v>27.204851395538</v>
      </c>
      <c r="I703" s="49" t="n">
        <f aca="false">IF('Model Inputs &amp; Assumptions'!$H$29="Fixed",'Model Inputs &amp; Assumptions'!$I$29*'Model Inputs &amp; Assumptions'!$K$29,IF('Model Inputs &amp; Assumptions'!$H$29="CPM",'Model Inputs &amp; Assumptions'!$I$29*'Model Inputs &amp; Assumptions'!$K$29*C703/1000,IF('Model Inputs &amp; Assumptions'!$H$29="CPC",'Model Inputs &amp; Assumptions'!$I$29*'Model Inputs &amp; Assumptions'!$K$29*G703,0)))</f>
        <v>6500</v>
      </c>
      <c r="J703" s="50" t="n">
        <f aca="false">H703*INDEX('Model Inputs &amp; Assumptions'!$D$40:$D$42,MATCH('Model Inputs &amp; Assumptions'!$L$29,'Model Inputs &amp; Assumptions'!$A$40:$A$42,0))*INDEX('Model Inputs &amp; Assumptions'!$H$40:$H$42,MATCH('Model Inputs &amp; Assumptions'!$L$29,'Model Inputs &amp; Assumptions'!$A$40:$A$42,0))</f>
        <v>231241.236862073</v>
      </c>
      <c r="K703" s="49" t="n">
        <f aca="false">H703*INDEX('Model Inputs &amp; Assumptions'!$G$40:$G$42,MATCH('Model Inputs &amp; Assumptions'!$L$29,'Model Inputs &amp; Assumptions'!$A$40:$A$42,0))*INDEX('Model Inputs &amp; Assumptions'!$H$40:$H$42,MATCH('Model Inputs &amp; Assumptions'!$L$29,'Model Inputs &amp; Assumptions'!$A$40:$A$42,0))</f>
        <v>5202.92782939664</v>
      </c>
      <c r="L703" s="51" t="n">
        <f aca="false">IFERROR(K703/I703,0)</f>
        <v>0.800450435291791</v>
      </c>
      <c r="M703" s="49" t="n">
        <f aca="false">IFERROR(I703/H703,0)</f>
        <v>238.92797301095</v>
      </c>
      <c r="N703" s="52" t="str">
        <f aca="false">'Model Inputs &amp; Assumptions'!$L$29</f>
        <v>PRD-EUAI</v>
      </c>
      <c r="P703" s="53" t="n">
        <v>0.152841</v>
      </c>
      <c r="Q703" s="53" t="n">
        <v>0.609863</v>
      </c>
      <c r="R703" s="53" t="n">
        <v>-0.843625</v>
      </c>
      <c r="S703" s="53" t="n">
        <v>0.695209</v>
      </c>
    </row>
    <row r="704" customFormat="false" ht="15" hidden="false" customHeight="false" outlineLevel="0" collapsed="false">
      <c r="A704" s="43" t="n">
        <v>201</v>
      </c>
      <c r="B704" s="44" t="str">
        <f aca="false">'Model Inputs &amp; Assumptions'!$B$29</f>
        <v>Handelsblatt — Native Explainer</v>
      </c>
      <c r="C704" s="45" t="n">
        <f aca="false">ROUND(MAX(0,'Model Inputs &amp; Assumptions'!$S$29*EXP('Model Inputs &amp; Assumptions'!$T$29*P704-'Model Inputs &amp; Assumptions'!$T$29^2/2)),0)</f>
        <v>187725</v>
      </c>
      <c r="D704" s="46" t="n">
        <f aca="false">MIN(1,'Model Inputs &amp; Assumptions'!$U$29*EXP('Model Inputs &amp; Assumptions'!$V$29*Q704-'Model Inputs &amp; Assumptions'!$V$29^2/2))</f>
        <v>0</v>
      </c>
      <c r="E704" s="45" t="n">
        <f aca="false">ROUND(C704*D704,0)</f>
        <v>0</v>
      </c>
      <c r="F704" s="47" t="n">
        <f aca="false">MIN(1,'Model Inputs &amp; Assumptions'!$W$29*EXP('Model Inputs &amp; Assumptions'!$X$29*R704-'Model Inputs &amp; Assumptions'!$X$29^2/2))</f>
        <v>0.00262726783135172</v>
      </c>
      <c r="G704" s="45" t="n">
        <f aca="false">ROUND(C704*F704,0)</f>
        <v>493</v>
      </c>
      <c r="H704" s="48" t="n">
        <f aca="false">MAX(0,(C704*'Model Inputs &amp; Assumptions'!$N$29+E704*'Model Inputs &amp; Assumptions'!$O$29+G704*'Model Inputs &amp; Assumptions'!$P$29)*EXP('Model Inputs &amp; Assumptions'!$Q$29*S704-'Model Inputs &amp; Assumptions'!$Q$29^2/2))</f>
        <v>24.5152702888156</v>
      </c>
      <c r="I704" s="49" t="n">
        <f aca="false">IF('Model Inputs &amp; Assumptions'!$H$29="Fixed",'Model Inputs &amp; Assumptions'!$I$29*'Model Inputs &amp; Assumptions'!$K$29,IF('Model Inputs &amp; Assumptions'!$H$29="CPM",'Model Inputs &amp; Assumptions'!$I$29*'Model Inputs &amp; Assumptions'!$K$29*C704/1000,IF('Model Inputs &amp; Assumptions'!$H$29="CPC",'Model Inputs &amp; Assumptions'!$I$29*'Model Inputs &amp; Assumptions'!$K$29*G704,0)))</f>
        <v>6500</v>
      </c>
      <c r="J704" s="50" t="n">
        <f aca="false">H704*INDEX('Model Inputs &amp; Assumptions'!$D$40:$D$42,MATCH('Model Inputs &amp; Assumptions'!$L$29,'Model Inputs &amp; Assumptions'!$A$40:$A$42,0))*INDEX('Model Inputs &amp; Assumptions'!$H$40:$H$42,MATCH('Model Inputs &amp; Assumptions'!$L$29,'Model Inputs &amp; Assumptions'!$A$40:$A$42,0))</f>
        <v>208379.797454933</v>
      </c>
      <c r="K704" s="49" t="n">
        <f aca="false">H704*INDEX('Model Inputs &amp; Assumptions'!$G$40:$G$42,MATCH('Model Inputs &amp; Assumptions'!$L$29,'Model Inputs &amp; Assumptions'!$A$40:$A$42,0))*INDEX('Model Inputs &amp; Assumptions'!$H$40:$H$42,MATCH('Model Inputs &amp; Assumptions'!$L$29,'Model Inputs &amp; Assumptions'!$A$40:$A$42,0))</f>
        <v>4688.54544273599</v>
      </c>
      <c r="L704" s="51" t="n">
        <f aca="false">IFERROR(K704/I704,0)</f>
        <v>0.721314683497844</v>
      </c>
      <c r="M704" s="49" t="n">
        <f aca="false">IFERROR(I704/H704,0)</f>
        <v>265.140866220245</v>
      </c>
      <c r="N704" s="52" t="str">
        <f aca="false">'Model Inputs &amp; Assumptions'!$L$29</f>
        <v>PRD-EUAI</v>
      </c>
      <c r="P704" s="53" t="n">
        <v>-0.132214</v>
      </c>
      <c r="Q704" s="53" t="n">
        <v>-0.107663</v>
      </c>
      <c r="R704" s="53" t="n">
        <v>-0.349691</v>
      </c>
      <c r="S704" s="53" t="n">
        <v>0.131731</v>
      </c>
    </row>
    <row r="705" customFormat="false" ht="15" hidden="false" customHeight="false" outlineLevel="0" collapsed="false">
      <c r="A705" s="43" t="n">
        <v>202</v>
      </c>
      <c r="B705" s="44" t="str">
        <f aca="false">'Model Inputs &amp; Assumptions'!$B$29</f>
        <v>Handelsblatt — Native Explainer</v>
      </c>
      <c r="C705" s="45" t="n">
        <f aca="false">ROUND(MAX(0,'Model Inputs &amp; Assumptions'!$S$29*EXP('Model Inputs &amp; Assumptions'!$T$29*P705-'Model Inputs &amp; Assumptions'!$T$29^2/2)),0)</f>
        <v>227058</v>
      </c>
      <c r="D705" s="46" t="n">
        <f aca="false">MIN(1,'Model Inputs &amp; Assumptions'!$U$29*EXP('Model Inputs &amp; Assumptions'!$V$29*Q705-'Model Inputs &amp; Assumptions'!$V$29^2/2))</f>
        <v>0</v>
      </c>
      <c r="E705" s="45" t="n">
        <f aca="false">ROUND(C705*D705,0)</f>
        <v>0</v>
      </c>
      <c r="F705" s="47" t="n">
        <f aca="false">MIN(1,'Model Inputs &amp; Assumptions'!$W$29*EXP('Model Inputs &amp; Assumptions'!$X$29*R705-'Model Inputs &amp; Assumptions'!$X$29^2/2))</f>
        <v>0.00488807320787806</v>
      </c>
      <c r="G705" s="45" t="n">
        <f aca="false">ROUND(C705*F705,0)</f>
        <v>1110</v>
      </c>
      <c r="H705" s="48" t="n">
        <f aca="false">MAX(0,(C705*'Model Inputs &amp; Assumptions'!$N$29+E705*'Model Inputs &amp; Assumptions'!$O$29+G705*'Model Inputs &amp; Assumptions'!$P$29)*EXP('Model Inputs &amp; Assumptions'!$Q$29*S705-'Model Inputs &amp; Assumptions'!$Q$29^2/2))</f>
        <v>37.0695441748745</v>
      </c>
      <c r="I705" s="49" t="n">
        <f aca="false">IF('Model Inputs &amp; Assumptions'!$H$29="Fixed",'Model Inputs &amp; Assumptions'!$I$29*'Model Inputs &amp; Assumptions'!$K$29,IF('Model Inputs &amp; Assumptions'!$H$29="CPM",'Model Inputs &amp; Assumptions'!$I$29*'Model Inputs &amp; Assumptions'!$K$29*C705/1000,IF('Model Inputs &amp; Assumptions'!$H$29="CPC",'Model Inputs &amp; Assumptions'!$I$29*'Model Inputs &amp; Assumptions'!$K$29*G705,0)))</f>
        <v>6500</v>
      </c>
      <c r="J705" s="50" t="n">
        <f aca="false">H705*INDEX('Model Inputs &amp; Assumptions'!$D$40:$D$42,MATCH('Model Inputs &amp; Assumptions'!$L$29,'Model Inputs &amp; Assumptions'!$A$40:$A$42,0))*INDEX('Model Inputs &amp; Assumptions'!$H$40:$H$42,MATCH('Model Inputs &amp; Assumptions'!$L$29,'Model Inputs &amp; Assumptions'!$A$40:$A$42,0))</f>
        <v>315091.125486433</v>
      </c>
      <c r="K705" s="49" t="n">
        <f aca="false">H705*INDEX('Model Inputs &amp; Assumptions'!$G$40:$G$42,MATCH('Model Inputs &amp; Assumptions'!$L$29,'Model Inputs &amp; Assumptions'!$A$40:$A$42,0))*INDEX('Model Inputs &amp; Assumptions'!$H$40:$H$42,MATCH('Model Inputs &amp; Assumptions'!$L$29,'Model Inputs &amp; Assumptions'!$A$40:$A$42,0))</f>
        <v>7089.55032344474</v>
      </c>
      <c r="L705" s="51" t="n">
        <f aca="false">IFERROR(K705/I705,0)</f>
        <v>1.09070004976073</v>
      </c>
      <c r="M705" s="49" t="n">
        <f aca="false">IFERROR(I705/H705,0)</f>
        <v>175.346100004263</v>
      </c>
      <c r="N705" s="52" t="str">
        <f aca="false">'Model Inputs &amp; Assumptions'!$L$29</f>
        <v>PRD-EUAI</v>
      </c>
      <c r="P705" s="53" t="n">
        <v>0.732447</v>
      </c>
      <c r="Q705" s="53" t="n">
        <v>0.863676</v>
      </c>
      <c r="R705" s="53" t="n">
        <v>2.038208</v>
      </c>
      <c r="S705" s="53" t="n">
        <v>-1.195291</v>
      </c>
    </row>
    <row r="706" customFormat="false" ht="15" hidden="false" customHeight="false" outlineLevel="0" collapsed="false">
      <c r="A706" s="43" t="n">
        <v>203</v>
      </c>
      <c r="B706" s="44" t="str">
        <f aca="false">'Model Inputs &amp; Assumptions'!$B$29</f>
        <v>Handelsblatt — Native Explainer</v>
      </c>
      <c r="C706" s="45" t="n">
        <f aca="false">ROUND(MAX(0,'Model Inputs &amp; Assumptions'!$S$29*EXP('Model Inputs &amp; Assumptions'!$T$29*P706-'Model Inputs &amp; Assumptions'!$T$29^2/2)),0)</f>
        <v>271539</v>
      </c>
      <c r="D706" s="46" t="n">
        <f aca="false">MIN(1,'Model Inputs &amp; Assumptions'!$U$29*EXP('Model Inputs &amp; Assumptions'!$V$29*Q706-'Model Inputs &amp; Assumptions'!$V$29^2/2))</f>
        <v>0</v>
      </c>
      <c r="E706" s="45" t="n">
        <f aca="false">ROUND(C706*D706,0)</f>
        <v>0</v>
      </c>
      <c r="F706" s="47" t="n">
        <f aca="false">MIN(1,'Model Inputs &amp; Assumptions'!$W$29*EXP('Model Inputs &amp; Assumptions'!$X$29*R706-'Model Inputs &amp; Assumptions'!$X$29^2/2))</f>
        <v>0.00208931792036412</v>
      </c>
      <c r="G706" s="45" t="n">
        <f aca="false">ROUND(C706*F706,0)</f>
        <v>567</v>
      </c>
      <c r="H706" s="48" t="n">
        <f aca="false">MAX(0,(C706*'Model Inputs &amp; Assumptions'!$N$29+E706*'Model Inputs &amp; Assumptions'!$O$29+G706*'Model Inputs &amp; Assumptions'!$P$29)*EXP('Model Inputs &amp; Assumptions'!$Q$29*S706-'Model Inputs &amp; Assumptions'!$Q$29^2/2))</f>
        <v>29.4560649706713</v>
      </c>
      <c r="I706" s="49" t="n">
        <f aca="false">IF('Model Inputs &amp; Assumptions'!$H$29="Fixed",'Model Inputs &amp; Assumptions'!$I$29*'Model Inputs &amp; Assumptions'!$K$29,IF('Model Inputs &amp; Assumptions'!$H$29="CPM",'Model Inputs &amp; Assumptions'!$I$29*'Model Inputs &amp; Assumptions'!$K$29*C706/1000,IF('Model Inputs &amp; Assumptions'!$H$29="CPC",'Model Inputs &amp; Assumptions'!$I$29*'Model Inputs &amp; Assumptions'!$K$29*G706,0)))</f>
        <v>6500</v>
      </c>
      <c r="J706" s="50" t="n">
        <f aca="false">H706*INDEX('Model Inputs &amp; Assumptions'!$D$40:$D$42,MATCH('Model Inputs &amp; Assumptions'!$L$29,'Model Inputs &amp; Assumptions'!$A$40:$A$42,0))*INDEX('Model Inputs &amp; Assumptions'!$H$40:$H$42,MATCH('Model Inputs &amp; Assumptions'!$L$29,'Model Inputs &amp; Assumptions'!$A$40:$A$42,0))</f>
        <v>250376.552250706</v>
      </c>
      <c r="K706" s="49" t="n">
        <f aca="false">H706*INDEX('Model Inputs &amp; Assumptions'!$G$40:$G$42,MATCH('Model Inputs &amp; Assumptions'!$L$29,'Model Inputs &amp; Assumptions'!$A$40:$A$42,0))*INDEX('Model Inputs &amp; Assumptions'!$H$40:$H$42,MATCH('Model Inputs &amp; Assumptions'!$L$29,'Model Inputs &amp; Assumptions'!$A$40:$A$42,0))</f>
        <v>5633.47242564088</v>
      </c>
      <c r="L706" s="51" t="n">
        <f aca="false">IFERROR(K706/I706,0)</f>
        <v>0.866688065483212</v>
      </c>
      <c r="M706" s="49" t="n">
        <f aca="false">IFERROR(I706/H706,0)</f>
        <v>220.667628431425</v>
      </c>
      <c r="N706" s="52" t="str">
        <f aca="false">'Model Inputs &amp; Assumptions'!$L$29</f>
        <v>PRD-EUAI</v>
      </c>
      <c r="P706" s="53" t="n">
        <v>1.545634</v>
      </c>
      <c r="Q706" s="53" t="n">
        <v>0.077658</v>
      </c>
      <c r="R706" s="53" t="n">
        <v>-1.230871</v>
      </c>
      <c r="S706" s="53" t="n">
        <v>0.277576</v>
      </c>
    </row>
    <row r="707" customFormat="false" ht="15" hidden="false" customHeight="false" outlineLevel="0" collapsed="false">
      <c r="A707" s="43" t="n">
        <v>204</v>
      </c>
      <c r="B707" s="44" t="str">
        <f aca="false">'Model Inputs &amp; Assumptions'!$B$29</f>
        <v>Handelsblatt — Native Explainer</v>
      </c>
      <c r="C707" s="45" t="n">
        <f aca="false">ROUND(MAX(0,'Model Inputs &amp; Assumptions'!$S$29*EXP('Model Inputs &amp; Assumptions'!$T$29*P707-'Model Inputs &amp; Assumptions'!$T$29^2/2)),0)</f>
        <v>234026</v>
      </c>
      <c r="D707" s="46" t="n">
        <f aca="false">MIN(1,'Model Inputs &amp; Assumptions'!$U$29*EXP('Model Inputs &amp; Assumptions'!$V$29*Q707-'Model Inputs &amp; Assumptions'!$V$29^2/2))</f>
        <v>0</v>
      </c>
      <c r="E707" s="45" t="n">
        <f aca="false">ROUND(C707*D707,0)</f>
        <v>0</v>
      </c>
      <c r="F707" s="47" t="n">
        <f aca="false">MIN(1,'Model Inputs &amp; Assumptions'!$W$29*EXP('Model Inputs &amp; Assumptions'!$X$29*R707-'Model Inputs &amp; Assumptions'!$X$29^2/2))</f>
        <v>0.00324874081204565</v>
      </c>
      <c r="G707" s="45" t="n">
        <f aca="false">ROUND(C707*F707,0)</f>
        <v>760</v>
      </c>
      <c r="H707" s="48" t="n">
        <f aca="false">MAX(0,(C707*'Model Inputs &amp; Assumptions'!$N$29+E707*'Model Inputs &amp; Assumptions'!$O$29+G707*'Model Inputs &amp; Assumptions'!$P$29)*EXP('Model Inputs &amp; Assumptions'!$Q$29*S707-'Model Inputs &amp; Assumptions'!$Q$29^2/2))</f>
        <v>33.4802750093686</v>
      </c>
      <c r="I707" s="49" t="n">
        <f aca="false">IF('Model Inputs &amp; Assumptions'!$H$29="Fixed",'Model Inputs &amp; Assumptions'!$I$29*'Model Inputs &amp; Assumptions'!$K$29,IF('Model Inputs &amp; Assumptions'!$H$29="CPM",'Model Inputs &amp; Assumptions'!$I$29*'Model Inputs &amp; Assumptions'!$K$29*C707/1000,IF('Model Inputs &amp; Assumptions'!$H$29="CPC",'Model Inputs &amp; Assumptions'!$I$29*'Model Inputs &amp; Assumptions'!$K$29*G707,0)))</f>
        <v>6500</v>
      </c>
      <c r="J707" s="50" t="n">
        <f aca="false">H707*INDEX('Model Inputs &amp; Assumptions'!$D$40:$D$42,MATCH('Model Inputs &amp; Assumptions'!$L$29,'Model Inputs &amp; Assumptions'!$A$40:$A$42,0))*INDEX('Model Inputs &amp; Assumptions'!$H$40:$H$42,MATCH('Model Inputs &amp; Assumptions'!$L$29,'Model Inputs &amp; Assumptions'!$A$40:$A$42,0))</f>
        <v>284582.337579633</v>
      </c>
      <c r="K707" s="49" t="n">
        <f aca="false">H707*INDEX('Model Inputs &amp; Assumptions'!$G$40:$G$42,MATCH('Model Inputs &amp; Assumptions'!$L$29,'Model Inputs &amp; Assumptions'!$A$40:$A$42,0))*INDEX('Model Inputs &amp; Assumptions'!$H$40:$H$42,MATCH('Model Inputs &amp; Assumptions'!$L$29,'Model Inputs &amp; Assumptions'!$A$40:$A$42,0))</f>
        <v>6403.10259554175</v>
      </c>
      <c r="L707" s="51" t="n">
        <f aca="false">IFERROR(K707/I707,0)</f>
        <v>0.985092707006422</v>
      </c>
      <c r="M707" s="49" t="n">
        <f aca="false">IFERROR(I707/H707,0)</f>
        <v>194.144163934769</v>
      </c>
      <c r="N707" s="52" t="str">
        <f aca="false">'Model Inputs &amp; Assumptions'!$L$29</f>
        <v>PRD-EUAI</v>
      </c>
      <c r="P707" s="53" t="n">
        <v>0.869848</v>
      </c>
      <c r="Q707" s="53" t="n">
        <v>0.076359</v>
      </c>
      <c r="R707" s="53" t="n">
        <v>0.466936</v>
      </c>
      <c r="S707" s="53" t="n">
        <v>-0.272099</v>
      </c>
    </row>
    <row r="708" customFormat="false" ht="15" hidden="false" customHeight="false" outlineLevel="0" collapsed="false">
      <c r="A708" s="43" t="n">
        <v>205</v>
      </c>
      <c r="B708" s="44" t="str">
        <f aca="false">'Model Inputs &amp; Assumptions'!$B$29</f>
        <v>Handelsblatt — Native Explainer</v>
      </c>
      <c r="C708" s="45" t="n">
        <f aca="false">ROUND(MAX(0,'Model Inputs &amp; Assumptions'!$S$29*EXP('Model Inputs &amp; Assumptions'!$T$29*P708-'Model Inputs &amp; Assumptions'!$T$29^2/2)),0)</f>
        <v>173496</v>
      </c>
      <c r="D708" s="46" t="n">
        <f aca="false">MIN(1,'Model Inputs &amp; Assumptions'!$U$29*EXP('Model Inputs &amp; Assumptions'!$V$29*Q708-'Model Inputs &amp; Assumptions'!$V$29^2/2))</f>
        <v>0</v>
      </c>
      <c r="E708" s="45" t="n">
        <f aca="false">ROUND(C708*D708,0)</f>
        <v>0</v>
      </c>
      <c r="F708" s="47" t="n">
        <f aca="false">MIN(1,'Model Inputs &amp; Assumptions'!$W$29*EXP('Model Inputs &amp; Assumptions'!$X$29*R708-'Model Inputs &amp; Assumptions'!$X$29^2/2))</f>
        <v>0.00280578506060369</v>
      </c>
      <c r="G708" s="45" t="n">
        <f aca="false">ROUND(C708*F708,0)</f>
        <v>487</v>
      </c>
      <c r="H708" s="48" t="n">
        <f aca="false">MAX(0,(C708*'Model Inputs &amp; Assumptions'!$N$29+E708*'Model Inputs &amp; Assumptions'!$O$29+G708*'Model Inputs &amp; Assumptions'!$P$29)*EXP('Model Inputs &amp; Assumptions'!$Q$29*S708-'Model Inputs &amp; Assumptions'!$Q$29^2/2))</f>
        <v>19.5700580862066</v>
      </c>
      <c r="I708" s="49" t="n">
        <f aca="false">IF('Model Inputs &amp; Assumptions'!$H$29="Fixed",'Model Inputs &amp; Assumptions'!$I$29*'Model Inputs &amp; Assumptions'!$K$29,IF('Model Inputs &amp; Assumptions'!$H$29="CPM",'Model Inputs &amp; Assumptions'!$I$29*'Model Inputs &amp; Assumptions'!$K$29*C708/1000,IF('Model Inputs &amp; Assumptions'!$H$29="CPC",'Model Inputs &amp; Assumptions'!$I$29*'Model Inputs &amp; Assumptions'!$K$29*G708,0)))</f>
        <v>6500</v>
      </c>
      <c r="J708" s="50" t="n">
        <f aca="false">H708*INDEX('Model Inputs &amp; Assumptions'!$D$40:$D$42,MATCH('Model Inputs &amp; Assumptions'!$L$29,'Model Inputs &amp; Assumptions'!$A$40:$A$42,0))*INDEX('Model Inputs &amp; Assumptions'!$H$40:$H$42,MATCH('Model Inputs &amp; Assumptions'!$L$29,'Model Inputs &amp; Assumptions'!$A$40:$A$42,0))</f>
        <v>166345.493732756</v>
      </c>
      <c r="K708" s="49" t="n">
        <f aca="false">H708*INDEX('Model Inputs &amp; Assumptions'!$G$40:$G$42,MATCH('Model Inputs &amp; Assumptions'!$L$29,'Model Inputs &amp; Assumptions'!$A$40:$A$42,0))*INDEX('Model Inputs &amp; Assumptions'!$H$40:$H$42,MATCH('Model Inputs &amp; Assumptions'!$L$29,'Model Inputs &amp; Assumptions'!$A$40:$A$42,0))</f>
        <v>3742.77360898702</v>
      </c>
      <c r="L708" s="51" t="n">
        <f aca="false">IFERROR(K708/I708,0)</f>
        <v>0.575811324459541</v>
      </c>
      <c r="M708" s="49" t="n">
        <f aca="false">IFERROR(I708/H708,0)</f>
        <v>332.140046358949</v>
      </c>
      <c r="N708" s="52" t="str">
        <f aca="false">'Model Inputs &amp; Assumptions'!$L$29</f>
        <v>PRD-EUAI</v>
      </c>
      <c r="P708" s="53" t="n">
        <v>-0.49051</v>
      </c>
      <c r="Q708" s="53" t="n">
        <v>0.670715</v>
      </c>
      <c r="R708" s="53" t="n">
        <v>-0.096849</v>
      </c>
      <c r="S708" s="53" t="n">
        <v>-0.578437</v>
      </c>
    </row>
    <row r="709" customFormat="false" ht="15" hidden="false" customHeight="false" outlineLevel="0" collapsed="false">
      <c r="A709" s="43" t="n">
        <v>206</v>
      </c>
      <c r="B709" s="44" t="str">
        <f aca="false">'Model Inputs &amp; Assumptions'!$B$29</f>
        <v>Handelsblatt — Native Explainer</v>
      </c>
      <c r="C709" s="45" t="n">
        <f aca="false">ROUND(MAX(0,'Model Inputs &amp; Assumptions'!$S$29*EXP('Model Inputs &amp; Assumptions'!$T$29*P709-'Model Inputs &amp; Assumptions'!$T$29^2/2)),0)</f>
        <v>229005</v>
      </c>
      <c r="D709" s="46" t="n">
        <f aca="false">MIN(1,'Model Inputs &amp; Assumptions'!$U$29*EXP('Model Inputs &amp; Assumptions'!$V$29*Q709-'Model Inputs &amp; Assumptions'!$V$29^2/2))</f>
        <v>0</v>
      </c>
      <c r="E709" s="45" t="n">
        <f aca="false">ROUND(C709*D709,0)</f>
        <v>0</v>
      </c>
      <c r="F709" s="47" t="n">
        <f aca="false">MIN(1,'Model Inputs &amp; Assumptions'!$W$29*EXP('Model Inputs &amp; Assumptions'!$X$29*R709-'Model Inputs &amp; Assumptions'!$X$29^2/2))</f>
        <v>0.00541607605855379</v>
      </c>
      <c r="G709" s="45" t="n">
        <f aca="false">ROUND(C709*F709,0)</f>
        <v>1240</v>
      </c>
      <c r="H709" s="48" t="n">
        <f aca="false">MAX(0,(C709*'Model Inputs &amp; Assumptions'!$N$29+E709*'Model Inputs &amp; Assumptions'!$O$29+G709*'Model Inputs &amp; Assumptions'!$P$29)*EXP('Model Inputs &amp; Assumptions'!$Q$29*S709-'Model Inputs &amp; Assumptions'!$Q$29^2/2))</f>
        <v>55.8001124738201</v>
      </c>
      <c r="I709" s="49" t="n">
        <f aca="false">IF('Model Inputs &amp; Assumptions'!$H$29="Fixed",'Model Inputs &amp; Assumptions'!$I$29*'Model Inputs &amp; Assumptions'!$K$29,IF('Model Inputs &amp; Assumptions'!$H$29="CPM",'Model Inputs &amp; Assumptions'!$I$29*'Model Inputs &amp; Assumptions'!$K$29*C709/1000,IF('Model Inputs &amp; Assumptions'!$H$29="CPC",'Model Inputs &amp; Assumptions'!$I$29*'Model Inputs &amp; Assumptions'!$K$29*G709,0)))</f>
        <v>6500</v>
      </c>
      <c r="J709" s="50" t="n">
        <f aca="false">H709*INDEX('Model Inputs &amp; Assumptions'!$D$40:$D$42,MATCH('Model Inputs &amp; Assumptions'!$L$29,'Model Inputs &amp; Assumptions'!$A$40:$A$42,0))*INDEX('Model Inputs &amp; Assumptions'!$H$40:$H$42,MATCH('Model Inputs &amp; Assumptions'!$L$29,'Model Inputs &amp; Assumptions'!$A$40:$A$42,0))</f>
        <v>474300.95602747</v>
      </c>
      <c r="K709" s="49" t="n">
        <f aca="false">H709*INDEX('Model Inputs &amp; Assumptions'!$G$40:$G$42,MATCH('Model Inputs &amp; Assumptions'!$L$29,'Model Inputs &amp; Assumptions'!$A$40:$A$42,0))*INDEX('Model Inputs &amp; Assumptions'!$H$40:$H$42,MATCH('Model Inputs &amp; Assumptions'!$L$29,'Model Inputs &amp; Assumptions'!$A$40:$A$42,0))</f>
        <v>10671.7715106181</v>
      </c>
      <c r="L709" s="51" t="n">
        <f aca="false">IFERROR(K709/I709,0)</f>
        <v>1.64181100163355</v>
      </c>
      <c r="M709" s="49" t="n">
        <f aca="false">IFERROR(I709/H709,0)</f>
        <v>116.487220398519</v>
      </c>
      <c r="N709" s="52" t="str">
        <f aca="false">'Model Inputs &amp; Assumptions'!$L$29</f>
        <v>PRD-EUAI</v>
      </c>
      <c r="P709" s="53" t="n">
        <v>0.771263</v>
      </c>
      <c r="Q709" s="53" t="n">
        <v>0.972837</v>
      </c>
      <c r="R709" s="53" t="n">
        <v>2.432721</v>
      </c>
      <c r="S709" s="53" t="n">
        <v>-0.201195</v>
      </c>
    </row>
    <row r="710" customFormat="false" ht="15" hidden="false" customHeight="false" outlineLevel="0" collapsed="false">
      <c r="A710" s="43" t="n">
        <v>207</v>
      </c>
      <c r="B710" s="44" t="str">
        <f aca="false">'Model Inputs &amp; Assumptions'!$B$29</f>
        <v>Handelsblatt — Native Explainer</v>
      </c>
      <c r="C710" s="45" t="n">
        <f aca="false">ROUND(MAX(0,'Model Inputs &amp; Assumptions'!$S$29*EXP('Model Inputs &amp; Assumptions'!$T$29*P710-'Model Inputs &amp; Assumptions'!$T$29^2/2)),0)</f>
        <v>158685</v>
      </c>
      <c r="D710" s="46" t="n">
        <f aca="false">MIN(1,'Model Inputs &amp; Assumptions'!$U$29*EXP('Model Inputs &amp; Assumptions'!$V$29*Q710-'Model Inputs &amp; Assumptions'!$V$29^2/2))</f>
        <v>0</v>
      </c>
      <c r="E710" s="45" t="n">
        <f aca="false">ROUND(C710*D710,0)</f>
        <v>0</v>
      </c>
      <c r="F710" s="47" t="n">
        <f aca="false">MIN(1,'Model Inputs &amp; Assumptions'!$W$29*EXP('Model Inputs &amp; Assumptions'!$X$29*R710-'Model Inputs &amp; Assumptions'!$X$29^2/2))</f>
        <v>0.00236333684747792</v>
      </c>
      <c r="G710" s="45" t="n">
        <f aca="false">ROUND(C710*F710,0)</f>
        <v>375</v>
      </c>
      <c r="H710" s="48" t="n">
        <f aca="false">MAX(0,(C710*'Model Inputs &amp; Assumptions'!$N$29+E710*'Model Inputs &amp; Assumptions'!$O$29+G710*'Model Inputs &amp; Assumptions'!$P$29)*EXP('Model Inputs &amp; Assumptions'!$Q$29*S710-'Model Inputs &amp; Assumptions'!$Q$29^2/2))</f>
        <v>9.8616110958964</v>
      </c>
      <c r="I710" s="49" t="n">
        <f aca="false">IF('Model Inputs &amp; Assumptions'!$H$29="Fixed",'Model Inputs &amp; Assumptions'!$I$29*'Model Inputs &amp; Assumptions'!$K$29,IF('Model Inputs &amp; Assumptions'!$H$29="CPM",'Model Inputs &amp; Assumptions'!$I$29*'Model Inputs &amp; Assumptions'!$K$29*C710/1000,IF('Model Inputs &amp; Assumptions'!$H$29="CPC",'Model Inputs &amp; Assumptions'!$I$29*'Model Inputs &amp; Assumptions'!$K$29*G710,0)))</f>
        <v>6500</v>
      </c>
      <c r="J710" s="50" t="n">
        <f aca="false">H710*INDEX('Model Inputs &amp; Assumptions'!$D$40:$D$42,MATCH('Model Inputs &amp; Assumptions'!$L$29,'Model Inputs &amp; Assumptions'!$A$40:$A$42,0))*INDEX('Model Inputs &amp; Assumptions'!$H$40:$H$42,MATCH('Model Inputs &amp; Assumptions'!$L$29,'Model Inputs &amp; Assumptions'!$A$40:$A$42,0))</f>
        <v>83823.6943151194</v>
      </c>
      <c r="K710" s="49" t="n">
        <f aca="false">H710*INDEX('Model Inputs &amp; Assumptions'!$G$40:$G$42,MATCH('Model Inputs &amp; Assumptions'!$L$29,'Model Inputs &amp; Assumptions'!$A$40:$A$42,0))*INDEX('Model Inputs &amp; Assumptions'!$H$40:$H$42,MATCH('Model Inputs &amp; Assumptions'!$L$29,'Model Inputs &amp; Assumptions'!$A$40:$A$42,0))</f>
        <v>1886.03312209019</v>
      </c>
      <c r="L710" s="51" t="n">
        <f aca="false">IFERROR(K710/I710,0)</f>
        <v>0.290158941860029</v>
      </c>
      <c r="M710" s="49" t="n">
        <f aca="false">IFERROR(I710/H710,0)</f>
        <v>659.121510348829</v>
      </c>
      <c r="N710" s="52" t="str">
        <f aca="false">'Model Inputs &amp; Assumptions'!$L$29</f>
        <v>PRD-EUAI</v>
      </c>
      <c r="P710" s="53" t="n">
        <v>-0.896113</v>
      </c>
      <c r="Q710" s="53" t="n">
        <v>-0.449532</v>
      </c>
      <c r="R710" s="53" t="n">
        <v>-0.756883</v>
      </c>
      <c r="S710" s="53" t="n">
        <v>-1.991814</v>
      </c>
    </row>
    <row r="711" customFormat="false" ht="15" hidden="false" customHeight="false" outlineLevel="0" collapsed="false">
      <c r="A711" s="43" t="n">
        <v>208</v>
      </c>
      <c r="B711" s="44" t="str">
        <f aca="false">'Model Inputs &amp; Assumptions'!$B$29</f>
        <v>Handelsblatt — Native Explainer</v>
      </c>
      <c r="C711" s="45" t="n">
        <f aca="false">ROUND(MAX(0,'Model Inputs &amp; Assumptions'!$S$29*EXP('Model Inputs &amp; Assumptions'!$T$29*P711-'Model Inputs &amp; Assumptions'!$T$29^2/2)),0)</f>
        <v>237484</v>
      </c>
      <c r="D711" s="46" t="n">
        <f aca="false">MIN(1,'Model Inputs &amp; Assumptions'!$U$29*EXP('Model Inputs &amp; Assumptions'!$V$29*Q711-'Model Inputs &amp; Assumptions'!$V$29^2/2))</f>
        <v>0</v>
      </c>
      <c r="E711" s="45" t="n">
        <f aca="false">ROUND(C711*D711,0)</f>
        <v>0</v>
      </c>
      <c r="F711" s="47" t="n">
        <f aca="false">MIN(1,'Model Inputs &amp; Assumptions'!$W$29*EXP('Model Inputs &amp; Assumptions'!$X$29*R711-'Model Inputs &amp; Assumptions'!$X$29^2/2))</f>
        <v>0.00299375178619706</v>
      </c>
      <c r="G711" s="45" t="n">
        <f aca="false">ROUND(C711*F711,0)</f>
        <v>711</v>
      </c>
      <c r="H711" s="48" t="n">
        <f aca="false">MAX(0,(C711*'Model Inputs &amp; Assumptions'!$N$29+E711*'Model Inputs &amp; Assumptions'!$O$29+G711*'Model Inputs &amp; Assumptions'!$P$29)*EXP('Model Inputs &amp; Assumptions'!$Q$29*S711-'Model Inputs &amp; Assumptions'!$Q$29^2/2))</f>
        <v>34.2361894704187</v>
      </c>
      <c r="I711" s="49" t="n">
        <f aca="false">IF('Model Inputs &amp; Assumptions'!$H$29="Fixed",'Model Inputs &amp; Assumptions'!$I$29*'Model Inputs &amp; Assumptions'!$K$29,IF('Model Inputs &amp; Assumptions'!$H$29="CPM",'Model Inputs &amp; Assumptions'!$I$29*'Model Inputs &amp; Assumptions'!$K$29*C711/1000,IF('Model Inputs &amp; Assumptions'!$H$29="CPC",'Model Inputs &amp; Assumptions'!$I$29*'Model Inputs &amp; Assumptions'!$K$29*G711,0)))</f>
        <v>6500</v>
      </c>
      <c r="J711" s="50" t="n">
        <f aca="false">H711*INDEX('Model Inputs &amp; Assumptions'!$D$40:$D$42,MATCH('Model Inputs &amp; Assumptions'!$L$29,'Model Inputs &amp; Assumptions'!$A$40:$A$42,0))*INDEX('Model Inputs &amp; Assumptions'!$H$40:$H$42,MATCH('Model Inputs &amp; Assumptions'!$L$29,'Model Inputs &amp; Assumptions'!$A$40:$A$42,0))</f>
        <v>291007.610498559</v>
      </c>
      <c r="K711" s="49" t="n">
        <f aca="false">H711*INDEX('Model Inputs &amp; Assumptions'!$G$40:$G$42,MATCH('Model Inputs &amp; Assumptions'!$L$29,'Model Inputs &amp; Assumptions'!$A$40:$A$42,0))*INDEX('Model Inputs &amp; Assumptions'!$H$40:$H$42,MATCH('Model Inputs &amp; Assumptions'!$L$29,'Model Inputs &amp; Assumptions'!$A$40:$A$42,0))</f>
        <v>6547.67123621757</v>
      </c>
      <c r="L711" s="51" t="n">
        <f aca="false">IFERROR(K711/I711,0)</f>
        <v>1.00733403634117</v>
      </c>
      <c r="M711" s="49" t="n">
        <f aca="false">IFERROR(I711/H711,0)</f>
        <v>189.857577626045</v>
      </c>
      <c r="N711" s="52" t="str">
        <f aca="false">'Model Inputs &amp; Assumptions'!$L$29</f>
        <v>PRD-EUAI</v>
      </c>
      <c r="P711" s="53" t="n">
        <v>0.936506</v>
      </c>
      <c r="Q711" s="53" t="n">
        <v>-0.676731</v>
      </c>
      <c r="R711" s="53" t="n">
        <v>0.152551</v>
      </c>
      <c r="S711" s="53" t="n">
        <v>0.024477</v>
      </c>
    </row>
    <row r="712" customFormat="false" ht="15" hidden="false" customHeight="false" outlineLevel="0" collapsed="false">
      <c r="A712" s="43" t="n">
        <v>209</v>
      </c>
      <c r="B712" s="44" t="str">
        <f aca="false">'Model Inputs &amp; Assumptions'!$B$29</f>
        <v>Handelsblatt — Native Explainer</v>
      </c>
      <c r="C712" s="45" t="n">
        <f aca="false">ROUND(MAX(0,'Model Inputs &amp; Assumptions'!$S$29*EXP('Model Inputs &amp; Assumptions'!$T$29*P712-'Model Inputs &amp; Assumptions'!$T$29^2/2)),0)</f>
        <v>235881</v>
      </c>
      <c r="D712" s="46" t="n">
        <f aca="false">MIN(1,'Model Inputs &amp; Assumptions'!$U$29*EXP('Model Inputs &amp; Assumptions'!$V$29*Q712-'Model Inputs &amp; Assumptions'!$V$29^2/2))</f>
        <v>0</v>
      </c>
      <c r="E712" s="45" t="n">
        <f aca="false">ROUND(C712*D712,0)</f>
        <v>0</v>
      </c>
      <c r="F712" s="47" t="n">
        <f aca="false">MIN(1,'Model Inputs &amp; Assumptions'!$W$29*EXP('Model Inputs &amp; Assumptions'!$X$29*R712-'Model Inputs &amp; Assumptions'!$X$29^2/2))</f>
        <v>0.00246221782537701</v>
      </c>
      <c r="G712" s="45" t="n">
        <f aca="false">ROUND(C712*F712,0)</f>
        <v>581</v>
      </c>
      <c r="H712" s="48" t="n">
        <f aca="false">MAX(0,(C712*'Model Inputs &amp; Assumptions'!$N$29+E712*'Model Inputs &amp; Assumptions'!$O$29+G712*'Model Inputs &amp; Assumptions'!$P$29)*EXP('Model Inputs &amp; Assumptions'!$Q$29*S712-'Model Inputs &amp; Assumptions'!$Q$29^2/2))</f>
        <v>34.0577251426106</v>
      </c>
      <c r="I712" s="49" t="n">
        <f aca="false">IF('Model Inputs &amp; Assumptions'!$H$29="Fixed",'Model Inputs &amp; Assumptions'!$I$29*'Model Inputs &amp; Assumptions'!$K$29,IF('Model Inputs &amp; Assumptions'!$H$29="CPM",'Model Inputs &amp; Assumptions'!$I$29*'Model Inputs &amp; Assumptions'!$K$29*C712/1000,IF('Model Inputs &amp; Assumptions'!$H$29="CPC",'Model Inputs &amp; Assumptions'!$I$29*'Model Inputs &amp; Assumptions'!$K$29*G712,0)))</f>
        <v>6500</v>
      </c>
      <c r="J712" s="50" t="n">
        <f aca="false">H712*INDEX('Model Inputs &amp; Assumptions'!$D$40:$D$42,MATCH('Model Inputs &amp; Assumptions'!$L$29,'Model Inputs &amp; Assumptions'!$A$40:$A$42,0))*INDEX('Model Inputs &amp; Assumptions'!$H$40:$H$42,MATCH('Model Inputs &amp; Assumptions'!$L$29,'Model Inputs &amp; Assumptions'!$A$40:$A$42,0))</f>
        <v>289490.66371219</v>
      </c>
      <c r="K712" s="49" t="n">
        <f aca="false">H712*INDEX('Model Inputs &amp; Assumptions'!$G$40:$G$42,MATCH('Model Inputs &amp; Assumptions'!$L$29,'Model Inputs &amp; Assumptions'!$A$40:$A$42,0))*INDEX('Model Inputs &amp; Assumptions'!$H$40:$H$42,MATCH('Model Inputs &amp; Assumptions'!$L$29,'Model Inputs &amp; Assumptions'!$A$40:$A$42,0))</f>
        <v>6513.53993352427</v>
      </c>
      <c r="L712" s="51" t="n">
        <f aca="false">IFERROR(K712/I712,0)</f>
        <v>1.00208306669604</v>
      </c>
      <c r="M712" s="49" t="n">
        <f aca="false">IFERROR(I712/H712,0)</f>
        <v>190.852441634972</v>
      </c>
      <c r="N712" s="52" t="str">
        <f aca="false">'Model Inputs &amp; Assumptions'!$L$29</f>
        <v>PRD-EUAI</v>
      </c>
      <c r="P712" s="53" t="n">
        <v>0.905721</v>
      </c>
      <c r="Q712" s="53" t="n">
        <v>-2.214708</v>
      </c>
      <c r="R712" s="53" t="n">
        <v>-0.599237</v>
      </c>
      <c r="S712" s="53" t="n">
        <v>0.680128</v>
      </c>
    </row>
    <row r="713" customFormat="false" ht="15" hidden="false" customHeight="false" outlineLevel="0" collapsed="false">
      <c r="A713" s="43" t="n">
        <v>210</v>
      </c>
      <c r="B713" s="44" t="str">
        <f aca="false">'Model Inputs &amp; Assumptions'!$B$29</f>
        <v>Handelsblatt — Native Explainer</v>
      </c>
      <c r="C713" s="45" t="n">
        <f aca="false">ROUND(MAX(0,'Model Inputs &amp; Assumptions'!$S$29*EXP('Model Inputs &amp; Assumptions'!$T$29*P713-'Model Inputs &amp; Assumptions'!$T$29^2/2)),0)</f>
        <v>200494</v>
      </c>
      <c r="D713" s="46" t="n">
        <f aca="false">MIN(1,'Model Inputs &amp; Assumptions'!$U$29*EXP('Model Inputs &amp; Assumptions'!$V$29*Q713-'Model Inputs &amp; Assumptions'!$V$29^2/2))</f>
        <v>0</v>
      </c>
      <c r="E713" s="45" t="n">
        <f aca="false">ROUND(C713*D713,0)</f>
        <v>0</v>
      </c>
      <c r="F713" s="47" t="n">
        <f aca="false">MIN(1,'Model Inputs &amp; Assumptions'!$W$29*EXP('Model Inputs &amp; Assumptions'!$X$29*R713-'Model Inputs &amp; Assumptions'!$X$29^2/2))</f>
        <v>0.00180250697324064</v>
      </c>
      <c r="G713" s="45" t="n">
        <f aca="false">ROUND(C713*F713,0)</f>
        <v>361</v>
      </c>
      <c r="H713" s="48" t="n">
        <f aca="false">MAX(0,(C713*'Model Inputs &amp; Assumptions'!$N$29+E713*'Model Inputs &amp; Assumptions'!$O$29+G713*'Model Inputs &amp; Assumptions'!$P$29)*EXP('Model Inputs &amp; Assumptions'!$Q$29*S713-'Model Inputs &amp; Assumptions'!$Q$29^2/2))</f>
        <v>36.0785348059588</v>
      </c>
      <c r="I713" s="49" t="n">
        <f aca="false">IF('Model Inputs &amp; Assumptions'!$H$29="Fixed",'Model Inputs &amp; Assumptions'!$I$29*'Model Inputs &amp; Assumptions'!$K$29,IF('Model Inputs &amp; Assumptions'!$H$29="CPM",'Model Inputs &amp; Assumptions'!$I$29*'Model Inputs &amp; Assumptions'!$K$29*C713/1000,IF('Model Inputs &amp; Assumptions'!$H$29="CPC",'Model Inputs &amp; Assumptions'!$I$29*'Model Inputs &amp; Assumptions'!$K$29*G713,0)))</f>
        <v>6500</v>
      </c>
      <c r="J713" s="50" t="n">
        <f aca="false">H713*INDEX('Model Inputs &amp; Assumptions'!$D$40:$D$42,MATCH('Model Inputs &amp; Assumptions'!$L$29,'Model Inputs &amp; Assumptions'!$A$40:$A$42,0))*INDEX('Model Inputs &amp; Assumptions'!$H$40:$H$42,MATCH('Model Inputs &amp; Assumptions'!$L$29,'Model Inputs &amp; Assumptions'!$A$40:$A$42,0))</f>
        <v>306667.54585065</v>
      </c>
      <c r="K713" s="49" t="n">
        <f aca="false">H713*INDEX('Model Inputs &amp; Assumptions'!$G$40:$G$42,MATCH('Model Inputs &amp; Assumptions'!$L$29,'Model Inputs &amp; Assumptions'!$A$40:$A$42,0))*INDEX('Model Inputs &amp; Assumptions'!$H$40:$H$42,MATCH('Model Inputs &amp; Assumptions'!$L$29,'Model Inputs &amp; Assumptions'!$A$40:$A$42,0))</f>
        <v>6900.01978163963</v>
      </c>
      <c r="L713" s="51" t="n">
        <f aca="false">IFERROR(K713/I713,0)</f>
        <v>1.06154150486764</v>
      </c>
      <c r="M713" s="49" t="n">
        <f aca="false">IFERROR(I713/H713,0)</f>
        <v>180.162526969539</v>
      </c>
      <c r="N713" s="52" t="str">
        <f aca="false">'Model Inputs &amp; Assumptions'!$L$29</f>
        <v>PRD-EUAI</v>
      </c>
      <c r="P713" s="53" t="n">
        <v>0.166907</v>
      </c>
      <c r="Q713" s="53" t="n">
        <v>1.002438</v>
      </c>
      <c r="R713" s="53" t="n">
        <v>-1.798791</v>
      </c>
      <c r="S713" s="53" t="n">
        <v>2.458508</v>
      </c>
    </row>
    <row r="714" customFormat="false" ht="15" hidden="false" customHeight="false" outlineLevel="0" collapsed="false">
      <c r="A714" s="43" t="n">
        <v>211</v>
      </c>
      <c r="B714" s="44" t="str">
        <f aca="false">'Model Inputs &amp; Assumptions'!$B$29</f>
        <v>Handelsblatt — Native Explainer</v>
      </c>
      <c r="C714" s="45" t="n">
        <f aca="false">ROUND(MAX(0,'Model Inputs &amp; Assumptions'!$S$29*EXP('Model Inputs &amp; Assumptions'!$T$29*P714-'Model Inputs &amp; Assumptions'!$T$29^2/2)),0)</f>
        <v>179224</v>
      </c>
      <c r="D714" s="46" t="n">
        <f aca="false">MIN(1,'Model Inputs &amp; Assumptions'!$U$29*EXP('Model Inputs &amp; Assumptions'!$V$29*Q714-'Model Inputs &amp; Assumptions'!$V$29^2/2))</f>
        <v>0</v>
      </c>
      <c r="E714" s="45" t="n">
        <f aca="false">ROUND(C714*D714,0)</f>
        <v>0</v>
      </c>
      <c r="F714" s="47" t="n">
        <f aca="false">MIN(1,'Model Inputs &amp; Assumptions'!$W$29*EXP('Model Inputs &amp; Assumptions'!$X$29*R714-'Model Inputs &amp; Assumptions'!$X$29^2/2))</f>
        <v>0.00400216753786166</v>
      </c>
      <c r="G714" s="45" t="n">
        <f aca="false">ROUND(C714*F714,0)</f>
        <v>717</v>
      </c>
      <c r="H714" s="48" t="n">
        <f aca="false">MAX(0,(C714*'Model Inputs &amp; Assumptions'!$N$29+E714*'Model Inputs &amp; Assumptions'!$O$29+G714*'Model Inputs &amp; Assumptions'!$P$29)*EXP('Model Inputs &amp; Assumptions'!$Q$29*S714-'Model Inputs &amp; Assumptions'!$Q$29^2/2))</f>
        <v>32.2847107589217</v>
      </c>
      <c r="I714" s="49" t="n">
        <f aca="false">IF('Model Inputs &amp; Assumptions'!$H$29="Fixed",'Model Inputs &amp; Assumptions'!$I$29*'Model Inputs &amp; Assumptions'!$K$29,IF('Model Inputs &amp; Assumptions'!$H$29="CPM",'Model Inputs &amp; Assumptions'!$I$29*'Model Inputs &amp; Assumptions'!$K$29*C714/1000,IF('Model Inputs &amp; Assumptions'!$H$29="CPC",'Model Inputs &amp; Assumptions'!$I$29*'Model Inputs &amp; Assumptions'!$K$29*G714,0)))</f>
        <v>6500</v>
      </c>
      <c r="J714" s="50" t="n">
        <f aca="false">H714*INDEX('Model Inputs &amp; Assumptions'!$D$40:$D$42,MATCH('Model Inputs &amp; Assumptions'!$L$29,'Model Inputs &amp; Assumptions'!$A$40:$A$42,0))*INDEX('Model Inputs &amp; Assumptions'!$H$40:$H$42,MATCH('Model Inputs &amp; Assumptions'!$L$29,'Model Inputs &amp; Assumptions'!$A$40:$A$42,0))</f>
        <v>274420.041450834</v>
      </c>
      <c r="K714" s="49" t="n">
        <f aca="false">H714*INDEX('Model Inputs &amp; Assumptions'!$G$40:$G$42,MATCH('Model Inputs &amp; Assumptions'!$L$29,'Model Inputs &amp; Assumptions'!$A$40:$A$42,0))*INDEX('Model Inputs &amp; Assumptions'!$H$40:$H$42,MATCH('Model Inputs &amp; Assumptions'!$L$29,'Model Inputs &amp; Assumptions'!$A$40:$A$42,0))</f>
        <v>6174.45093264377</v>
      </c>
      <c r="L714" s="51" t="n">
        <f aca="false">IFERROR(K714/I714,0)</f>
        <v>0.949915528099042</v>
      </c>
      <c r="M714" s="49" t="n">
        <f aca="false">IFERROR(I714/H714,0)</f>
        <v>201.333691620693</v>
      </c>
      <c r="N714" s="52" t="str">
        <f aca="false">'Model Inputs &amp; Assumptions'!$L$29</f>
        <v>PRD-EUAI</v>
      </c>
      <c r="P714" s="53" t="n">
        <v>-0.342877</v>
      </c>
      <c r="Q714" s="53" t="n">
        <v>-1.058292</v>
      </c>
      <c r="R714" s="53" t="n">
        <v>1.269123</v>
      </c>
      <c r="S714" s="53" t="n">
        <v>-0.199166</v>
      </c>
    </row>
    <row r="715" customFormat="false" ht="15" hidden="false" customHeight="false" outlineLevel="0" collapsed="false">
      <c r="A715" s="43" t="n">
        <v>212</v>
      </c>
      <c r="B715" s="44" t="str">
        <f aca="false">'Model Inputs &amp; Assumptions'!$B$29</f>
        <v>Handelsblatt — Native Explainer</v>
      </c>
      <c r="C715" s="45" t="n">
        <f aca="false">ROUND(MAX(0,'Model Inputs &amp; Assumptions'!$S$29*EXP('Model Inputs &amp; Assumptions'!$T$29*P715-'Model Inputs &amp; Assumptions'!$T$29^2/2)),0)</f>
        <v>176244</v>
      </c>
      <c r="D715" s="46" t="n">
        <f aca="false">MIN(1,'Model Inputs &amp; Assumptions'!$U$29*EXP('Model Inputs &amp; Assumptions'!$V$29*Q715-'Model Inputs &amp; Assumptions'!$V$29^2/2))</f>
        <v>0</v>
      </c>
      <c r="E715" s="45" t="n">
        <f aca="false">ROUND(C715*D715,0)</f>
        <v>0</v>
      </c>
      <c r="F715" s="47" t="n">
        <f aca="false">MIN(1,'Model Inputs &amp; Assumptions'!$W$29*EXP('Model Inputs &amp; Assumptions'!$X$29*R715-'Model Inputs &amp; Assumptions'!$X$29^2/2))</f>
        <v>0.00250515582657317</v>
      </c>
      <c r="G715" s="45" t="n">
        <f aca="false">ROUND(C715*F715,0)</f>
        <v>442</v>
      </c>
      <c r="H715" s="48" t="n">
        <f aca="false">MAX(0,(C715*'Model Inputs &amp; Assumptions'!$N$29+E715*'Model Inputs &amp; Assumptions'!$O$29+G715*'Model Inputs &amp; Assumptions'!$P$29)*EXP('Model Inputs &amp; Assumptions'!$Q$29*S715-'Model Inputs &amp; Assumptions'!$Q$29^2/2))</f>
        <v>24.405992795693</v>
      </c>
      <c r="I715" s="49" t="n">
        <f aca="false">IF('Model Inputs &amp; Assumptions'!$H$29="Fixed",'Model Inputs &amp; Assumptions'!$I$29*'Model Inputs &amp; Assumptions'!$K$29,IF('Model Inputs &amp; Assumptions'!$H$29="CPM",'Model Inputs &amp; Assumptions'!$I$29*'Model Inputs &amp; Assumptions'!$K$29*C715/1000,IF('Model Inputs &amp; Assumptions'!$H$29="CPC",'Model Inputs &amp; Assumptions'!$I$29*'Model Inputs &amp; Assumptions'!$K$29*G715,0)))</f>
        <v>6500</v>
      </c>
      <c r="J715" s="50" t="n">
        <f aca="false">H715*INDEX('Model Inputs &amp; Assumptions'!$D$40:$D$42,MATCH('Model Inputs &amp; Assumptions'!$L$29,'Model Inputs &amp; Assumptions'!$A$40:$A$42,0))*INDEX('Model Inputs &amp; Assumptions'!$H$40:$H$42,MATCH('Model Inputs &amp; Assumptions'!$L$29,'Model Inputs &amp; Assumptions'!$A$40:$A$42,0))</f>
        <v>207450.93876339</v>
      </c>
      <c r="K715" s="49" t="n">
        <f aca="false">H715*INDEX('Model Inputs &amp; Assumptions'!$G$40:$G$42,MATCH('Model Inputs &amp; Assumptions'!$L$29,'Model Inputs &amp; Assumptions'!$A$40:$A$42,0))*INDEX('Model Inputs &amp; Assumptions'!$H$40:$H$42,MATCH('Model Inputs &amp; Assumptions'!$L$29,'Model Inputs &amp; Assumptions'!$A$40:$A$42,0))</f>
        <v>4667.64612217629</v>
      </c>
      <c r="L715" s="51" t="n">
        <f aca="false">IFERROR(K715/I715,0)</f>
        <v>0.718099403411736</v>
      </c>
      <c r="M715" s="49" t="n">
        <f aca="false">IFERROR(I715/H715,0)</f>
        <v>266.328030759194</v>
      </c>
      <c r="N715" s="52" t="str">
        <f aca="false">'Model Inputs &amp; Assumptions'!$L$29</f>
        <v>PRD-EUAI</v>
      </c>
      <c r="P715" s="53" t="n">
        <v>-0.419081</v>
      </c>
      <c r="Q715" s="53" t="n">
        <v>1.668666</v>
      </c>
      <c r="R715" s="53" t="n">
        <v>-0.532743</v>
      </c>
      <c r="S715" s="53" t="n">
        <v>0.480837</v>
      </c>
    </row>
    <row r="716" customFormat="false" ht="15" hidden="false" customHeight="false" outlineLevel="0" collapsed="false">
      <c r="A716" s="43" t="n">
        <v>213</v>
      </c>
      <c r="B716" s="44" t="str">
        <f aca="false">'Model Inputs &amp; Assumptions'!$B$29</f>
        <v>Handelsblatt — Native Explainer</v>
      </c>
      <c r="C716" s="45" t="n">
        <f aca="false">ROUND(MAX(0,'Model Inputs &amp; Assumptions'!$S$29*EXP('Model Inputs &amp; Assumptions'!$T$29*P716-'Model Inputs &amp; Assumptions'!$T$29^2/2)),0)</f>
        <v>210021</v>
      </c>
      <c r="D716" s="46" t="n">
        <f aca="false">MIN(1,'Model Inputs &amp; Assumptions'!$U$29*EXP('Model Inputs &amp; Assumptions'!$V$29*Q716-'Model Inputs &amp; Assumptions'!$V$29^2/2))</f>
        <v>0</v>
      </c>
      <c r="E716" s="45" t="n">
        <f aca="false">ROUND(C716*D716,0)</f>
        <v>0</v>
      </c>
      <c r="F716" s="47" t="n">
        <f aca="false">MIN(1,'Model Inputs &amp; Assumptions'!$W$29*EXP('Model Inputs &amp; Assumptions'!$X$29*R716-'Model Inputs &amp; Assumptions'!$X$29^2/2))</f>
        <v>0.00340511372623462</v>
      </c>
      <c r="G716" s="45" t="n">
        <f aca="false">ROUND(C716*F716,0)</f>
        <v>715</v>
      </c>
      <c r="H716" s="48" t="n">
        <f aca="false">MAX(0,(C716*'Model Inputs &amp; Assumptions'!$N$29+E716*'Model Inputs &amp; Assumptions'!$O$29+G716*'Model Inputs &amp; Assumptions'!$P$29)*EXP('Model Inputs &amp; Assumptions'!$Q$29*S716-'Model Inputs &amp; Assumptions'!$Q$29^2/2))</f>
        <v>32.2773410683466</v>
      </c>
      <c r="I716" s="49" t="n">
        <f aca="false">IF('Model Inputs &amp; Assumptions'!$H$29="Fixed",'Model Inputs &amp; Assumptions'!$I$29*'Model Inputs &amp; Assumptions'!$K$29,IF('Model Inputs &amp; Assumptions'!$H$29="CPM",'Model Inputs &amp; Assumptions'!$I$29*'Model Inputs &amp; Assumptions'!$K$29*C716/1000,IF('Model Inputs &amp; Assumptions'!$H$29="CPC",'Model Inputs &amp; Assumptions'!$I$29*'Model Inputs &amp; Assumptions'!$K$29*G716,0)))</f>
        <v>6500</v>
      </c>
      <c r="J716" s="50" t="n">
        <f aca="false">H716*INDEX('Model Inputs &amp; Assumptions'!$D$40:$D$42,MATCH('Model Inputs &amp; Assumptions'!$L$29,'Model Inputs &amp; Assumptions'!$A$40:$A$42,0))*INDEX('Model Inputs &amp; Assumptions'!$H$40:$H$42,MATCH('Model Inputs &amp; Assumptions'!$L$29,'Model Inputs &amp; Assumptions'!$A$40:$A$42,0))</f>
        <v>274357.399080946</v>
      </c>
      <c r="K716" s="49" t="n">
        <f aca="false">H716*INDEX('Model Inputs &amp; Assumptions'!$G$40:$G$42,MATCH('Model Inputs &amp; Assumptions'!$L$29,'Model Inputs &amp; Assumptions'!$A$40:$A$42,0))*INDEX('Model Inputs &amp; Assumptions'!$H$40:$H$42,MATCH('Model Inputs &amp; Assumptions'!$L$29,'Model Inputs &amp; Assumptions'!$A$40:$A$42,0))</f>
        <v>6173.04147932128</v>
      </c>
      <c r="L716" s="51" t="n">
        <f aca="false">IFERROR(K716/I716,0)</f>
        <v>0.949698689126351</v>
      </c>
      <c r="M716" s="49" t="n">
        <f aca="false">IFERROR(I716/H716,0)</f>
        <v>201.379660927968</v>
      </c>
      <c r="N716" s="52" t="str">
        <f aca="false">'Model Inputs &amp; Assumptions'!$L$29</f>
        <v>PRD-EUAI</v>
      </c>
      <c r="P716" s="53" t="n">
        <v>0.377918</v>
      </c>
      <c r="Q716" s="53" t="n">
        <v>-2.580585</v>
      </c>
      <c r="R716" s="53" t="n">
        <v>0.647747</v>
      </c>
      <c r="S716" s="53" t="n">
        <v>-0.190616</v>
      </c>
    </row>
    <row r="717" customFormat="false" ht="15" hidden="false" customHeight="false" outlineLevel="0" collapsed="false">
      <c r="A717" s="43" t="n">
        <v>214</v>
      </c>
      <c r="B717" s="44" t="str">
        <f aca="false">'Model Inputs &amp; Assumptions'!$B$29</f>
        <v>Handelsblatt — Native Explainer</v>
      </c>
      <c r="C717" s="45" t="n">
        <f aca="false">ROUND(MAX(0,'Model Inputs &amp; Assumptions'!$S$29*EXP('Model Inputs &amp; Assumptions'!$T$29*P717-'Model Inputs &amp; Assumptions'!$T$29^2/2)),0)</f>
        <v>206704</v>
      </c>
      <c r="D717" s="46" t="n">
        <f aca="false">MIN(1,'Model Inputs &amp; Assumptions'!$U$29*EXP('Model Inputs &amp; Assumptions'!$V$29*Q717-'Model Inputs &amp; Assumptions'!$V$29^2/2))</f>
        <v>0</v>
      </c>
      <c r="E717" s="45" t="n">
        <f aca="false">ROUND(C717*D717,0)</f>
        <v>0</v>
      </c>
      <c r="F717" s="47" t="n">
        <f aca="false">MIN(1,'Model Inputs &amp; Assumptions'!$W$29*EXP('Model Inputs &amp; Assumptions'!$X$29*R717-'Model Inputs &amp; Assumptions'!$X$29^2/2))</f>
        <v>0.00393614090986171</v>
      </c>
      <c r="G717" s="45" t="n">
        <f aca="false">ROUND(C717*F717,0)</f>
        <v>814</v>
      </c>
      <c r="H717" s="48" t="n">
        <f aca="false">MAX(0,(C717*'Model Inputs &amp; Assumptions'!$N$29+E717*'Model Inputs &amp; Assumptions'!$O$29+G717*'Model Inputs &amp; Assumptions'!$P$29)*EXP('Model Inputs &amp; Assumptions'!$Q$29*S717-'Model Inputs &amp; Assumptions'!$Q$29^2/2))</f>
        <v>57.7877024377225</v>
      </c>
      <c r="I717" s="49" t="n">
        <f aca="false">IF('Model Inputs &amp; Assumptions'!$H$29="Fixed",'Model Inputs &amp; Assumptions'!$I$29*'Model Inputs &amp; Assumptions'!$K$29,IF('Model Inputs &amp; Assumptions'!$H$29="CPM",'Model Inputs &amp; Assumptions'!$I$29*'Model Inputs &amp; Assumptions'!$K$29*C717/1000,IF('Model Inputs &amp; Assumptions'!$H$29="CPC",'Model Inputs &amp; Assumptions'!$I$29*'Model Inputs &amp; Assumptions'!$K$29*G717,0)))</f>
        <v>6500</v>
      </c>
      <c r="J717" s="50" t="n">
        <f aca="false">H717*INDEX('Model Inputs &amp; Assumptions'!$D$40:$D$42,MATCH('Model Inputs &amp; Assumptions'!$L$29,'Model Inputs &amp; Assumptions'!$A$40:$A$42,0))*INDEX('Model Inputs &amp; Assumptions'!$H$40:$H$42,MATCH('Model Inputs &amp; Assumptions'!$L$29,'Model Inputs &amp; Assumptions'!$A$40:$A$42,0))</f>
        <v>491195.470720641</v>
      </c>
      <c r="K717" s="49" t="n">
        <f aca="false">H717*INDEX('Model Inputs &amp; Assumptions'!$G$40:$G$42,MATCH('Model Inputs &amp; Assumptions'!$L$29,'Model Inputs &amp; Assumptions'!$A$40:$A$42,0))*INDEX('Model Inputs &amp; Assumptions'!$H$40:$H$42,MATCH('Model Inputs &amp; Assumptions'!$L$29,'Model Inputs &amp; Assumptions'!$A$40:$A$42,0))</f>
        <v>11051.8980912144</v>
      </c>
      <c r="L717" s="51" t="n">
        <f aca="false">IFERROR(K717/I717,0)</f>
        <v>1.70029201403299</v>
      </c>
      <c r="M717" s="49" t="n">
        <f aca="false">IFERROR(I717/H717,0)</f>
        <v>112.480678860784</v>
      </c>
      <c r="N717" s="52" t="str">
        <f aca="false">'Model Inputs &amp; Assumptions'!$L$29</f>
        <v>PRD-EUAI</v>
      </c>
      <c r="P717" s="53" t="n">
        <v>0.30556</v>
      </c>
      <c r="Q717" s="53" t="n">
        <v>0.092475</v>
      </c>
      <c r="R717" s="53" t="n">
        <v>1.205141</v>
      </c>
      <c r="S717" s="53" t="n">
        <v>1.318493</v>
      </c>
    </row>
    <row r="718" customFormat="false" ht="15" hidden="false" customHeight="false" outlineLevel="0" collapsed="false">
      <c r="A718" s="43" t="n">
        <v>215</v>
      </c>
      <c r="B718" s="44" t="str">
        <f aca="false">'Model Inputs &amp; Assumptions'!$B$29</f>
        <v>Handelsblatt — Native Explainer</v>
      </c>
      <c r="C718" s="45" t="n">
        <f aca="false">ROUND(MAX(0,'Model Inputs &amp; Assumptions'!$S$29*EXP('Model Inputs &amp; Assumptions'!$T$29*P718-'Model Inputs &amp; Assumptions'!$T$29^2/2)),0)</f>
        <v>187308</v>
      </c>
      <c r="D718" s="46" t="n">
        <f aca="false">MIN(1,'Model Inputs &amp; Assumptions'!$U$29*EXP('Model Inputs &amp; Assumptions'!$V$29*Q718-'Model Inputs &amp; Assumptions'!$V$29^2/2))</f>
        <v>0</v>
      </c>
      <c r="E718" s="45" t="n">
        <f aca="false">ROUND(C718*D718,0)</f>
        <v>0</v>
      </c>
      <c r="F718" s="47" t="n">
        <f aca="false">MIN(1,'Model Inputs &amp; Assumptions'!$W$29*EXP('Model Inputs &amp; Assumptions'!$X$29*R718-'Model Inputs &amp; Assumptions'!$X$29^2/2))</f>
        <v>0.00266442661019388</v>
      </c>
      <c r="G718" s="45" t="n">
        <f aca="false">ROUND(C718*F718,0)</f>
        <v>499</v>
      </c>
      <c r="H718" s="48" t="n">
        <f aca="false">MAX(0,(C718*'Model Inputs &amp; Assumptions'!$N$29+E718*'Model Inputs &amp; Assumptions'!$O$29+G718*'Model Inputs &amp; Assumptions'!$P$29)*EXP('Model Inputs &amp; Assumptions'!$Q$29*S718-'Model Inputs &amp; Assumptions'!$Q$29^2/2))</f>
        <v>35.4324944774415</v>
      </c>
      <c r="I718" s="49" t="n">
        <f aca="false">IF('Model Inputs &amp; Assumptions'!$H$29="Fixed",'Model Inputs &amp; Assumptions'!$I$29*'Model Inputs &amp; Assumptions'!$K$29,IF('Model Inputs &amp; Assumptions'!$H$29="CPM",'Model Inputs &amp; Assumptions'!$I$29*'Model Inputs &amp; Assumptions'!$K$29*C718/1000,IF('Model Inputs &amp; Assumptions'!$H$29="CPC",'Model Inputs &amp; Assumptions'!$I$29*'Model Inputs &amp; Assumptions'!$K$29*G718,0)))</f>
        <v>6500</v>
      </c>
      <c r="J718" s="50" t="n">
        <f aca="false">H718*INDEX('Model Inputs &amp; Assumptions'!$D$40:$D$42,MATCH('Model Inputs &amp; Assumptions'!$L$29,'Model Inputs &amp; Assumptions'!$A$40:$A$42,0))*INDEX('Model Inputs &amp; Assumptions'!$H$40:$H$42,MATCH('Model Inputs &amp; Assumptions'!$L$29,'Model Inputs &amp; Assumptions'!$A$40:$A$42,0))</f>
        <v>301176.203058253</v>
      </c>
      <c r="K718" s="49" t="n">
        <f aca="false">H718*INDEX('Model Inputs &amp; Assumptions'!$G$40:$G$42,MATCH('Model Inputs &amp; Assumptions'!$L$29,'Model Inputs &amp; Assumptions'!$A$40:$A$42,0))*INDEX('Model Inputs &amp; Assumptions'!$H$40:$H$42,MATCH('Model Inputs &amp; Assumptions'!$L$29,'Model Inputs &amp; Assumptions'!$A$40:$A$42,0))</f>
        <v>6776.46456881069</v>
      </c>
      <c r="L718" s="51" t="n">
        <f aca="false">IFERROR(K718/I718,0)</f>
        <v>1.04253301058626</v>
      </c>
      <c r="M718" s="49" t="n">
        <f aca="false">IFERROR(I718/H718,0)</f>
        <v>183.447428578259</v>
      </c>
      <c r="N718" s="52" t="str">
        <f aca="false">'Model Inputs &amp; Assumptions'!$L$29</f>
        <v>PRD-EUAI</v>
      </c>
      <c r="P718" s="53" t="n">
        <v>-0.14232</v>
      </c>
      <c r="Q718" s="53" t="n">
        <v>-1.507922</v>
      </c>
      <c r="R718" s="53" t="n">
        <v>-0.295674</v>
      </c>
      <c r="S718" s="53" t="n">
        <v>1.319185</v>
      </c>
    </row>
    <row r="719" customFormat="false" ht="15" hidden="false" customHeight="false" outlineLevel="0" collapsed="false">
      <c r="A719" s="43" t="n">
        <v>216</v>
      </c>
      <c r="B719" s="44" t="str">
        <f aca="false">'Model Inputs &amp; Assumptions'!$B$29</f>
        <v>Handelsblatt — Native Explainer</v>
      </c>
      <c r="C719" s="45" t="n">
        <f aca="false">ROUND(MAX(0,'Model Inputs &amp; Assumptions'!$S$29*EXP('Model Inputs &amp; Assumptions'!$T$29*P719-'Model Inputs &amp; Assumptions'!$T$29^2/2)),0)</f>
        <v>198154</v>
      </c>
      <c r="D719" s="46" t="n">
        <f aca="false">MIN(1,'Model Inputs &amp; Assumptions'!$U$29*EXP('Model Inputs &amp; Assumptions'!$V$29*Q719-'Model Inputs &amp; Assumptions'!$V$29^2/2))</f>
        <v>0</v>
      </c>
      <c r="E719" s="45" t="n">
        <f aca="false">ROUND(C719*D719,0)</f>
        <v>0</v>
      </c>
      <c r="F719" s="47" t="n">
        <f aca="false">MIN(1,'Model Inputs &amp; Assumptions'!$W$29*EXP('Model Inputs &amp; Assumptions'!$X$29*R719-'Model Inputs &amp; Assumptions'!$X$29^2/2))</f>
        <v>0.00276894759614666</v>
      </c>
      <c r="G719" s="45" t="n">
        <f aca="false">ROUND(C719*F719,0)</f>
        <v>549</v>
      </c>
      <c r="H719" s="48" t="n">
        <f aca="false">MAX(0,(C719*'Model Inputs &amp; Assumptions'!$N$29+E719*'Model Inputs &amp; Assumptions'!$O$29+G719*'Model Inputs &amp; Assumptions'!$P$29)*EXP('Model Inputs &amp; Assumptions'!$Q$29*S719-'Model Inputs &amp; Assumptions'!$Q$29^2/2))</f>
        <v>25.7751968715555</v>
      </c>
      <c r="I719" s="49" t="n">
        <f aca="false">IF('Model Inputs &amp; Assumptions'!$H$29="Fixed",'Model Inputs &amp; Assumptions'!$I$29*'Model Inputs &amp; Assumptions'!$K$29,IF('Model Inputs &amp; Assumptions'!$H$29="CPM",'Model Inputs &amp; Assumptions'!$I$29*'Model Inputs &amp; Assumptions'!$K$29*C719/1000,IF('Model Inputs &amp; Assumptions'!$H$29="CPC",'Model Inputs &amp; Assumptions'!$I$29*'Model Inputs &amp; Assumptions'!$K$29*G719,0)))</f>
        <v>6500</v>
      </c>
      <c r="J719" s="50" t="n">
        <f aca="false">H719*INDEX('Model Inputs &amp; Assumptions'!$D$40:$D$42,MATCH('Model Inputs &amp; Assumptions'!$L$29,'Model Inputs &amp; Assumptions'!$A$40:$A$42,0))*INDEX('Model Inputs &amp; Assumptions'!$H$40:$H$42,MATCH('Model Inputs &amp; Assumptions'!$L$29,'Model Inputs &amp; Assumptions'!$A$40:$A$42,0))</f>
        <v>219089.173408221</v>
      </c>
      <c r="K719" s="49" t="n">
        <f aca="false">H719*INDEX('Model Inputs &amp; Assumptions'!$G$40:$G$42,MATCH('Model Inputs &amp; Assumptions'!$L$29,'Model Inputs &amp; Assumptions'!$A$40:$A$42,0))*INDEX('Model Inputs &amp; Assumptions'!$H$40:$H$42,MATCH('Model Inputs &amp; Assumptions'!$L$29,'Model Inputs &amp; Assumptions'!$A$40:$A$42,0))</f>
        <v>4929.50640168498</v>
      </c>
      <c r="L719" s="51" t="n">
        <f aca="false">IFERROR(K719/I719,0)</f>
        <v>0.758385600259228</v>
      </c>
      <c r="M719" s="49" t="n">
        <f aca="false">IFERROR(I719/H719,0)</f>
        <v>252.180421061038</v>
      </c>
      <c r="N719" s="52" t="str">
        <f aca="false">'Model Inputs &amp; Assumptions'!$L$29</f>
        <v>PRD-EUAI</v>
      </c>
      <c r="P719" s="53" t="n">
        <v>0.113524</v>
      </c>
      <c r="Q719" s="53" t="n">
        <v>0.104912</v>
      </c>
      <c r="R719" s="53" t="n">
        <v>-0.14768</v>
      </c>
      <c r="S719" s="53" t="n">
        <v>-0.059845</v>
      </c>
    </row>
    <row r="720" customFormat="false" ht="15" hidden="false" customHeight="false" outlineLevel="0" collapsed="false">
      <c r="A720" s="43" t="n">
        <v>217</v>
      </c>
      <c r="B720" s="44" t="str">
        <f aca="false">'Model Inputs &amp; Assumptions'!$B$29</f>
        <v>Handelsblatt — Native Explainer</v>
      </c>
      <c r="C720" s="45" t="n">
        <f aca="false">ROUND(MAX(0,'Model Inputs &amp; Assumptions'!$S$29*EXP('Model Inputs &amp; Assumptions'!$T$29*P720-'Model Inputs &amp; Assumptions'!$T$29^2/2)),0)</f>
        <v>259213</v>
      </c>
      <c r="D720" s="46" t="n">
        <f aca="false">MIN(1,'Model Inputs &amp; Assumptions'!$U$29*EXP('Model Inputs &amp; Assumptions'!$V$29*Q720-'Model Inputs &amp; Assumptions'!$V$29^2/2))</f>
        <v>0</v>
      </c>
      <c r="E720" s="45" t="n">
        <f aca="false">ROUND(C720*D720,0)</f>
        <v>0</v>
      </c>
      <c r="F720" s="47" t="n">
        <f aca="false">MIN(1,'Model Inputs &amp; Assumptions'!$W$29*EXP('Model Inputs &amp; Assumptions'!$X$29*R720-'Model Inputs &amp; Assumptions'!$X$29^2/2))</f>
        <v>0.00349554646196708</v>
      </c>
      <c r="G720" s="45" t="n">
        <f aca="false">ROUND(C720*F720,0)</f>
        <v>906</v>
      </c>
      <c r="H720" s="48" t="n">
        <f aca="false">MAX(0,(C720*'Model Inputs &amp; Assumptions'!$N$29+E720*'Model Inputs &amp; Assumptions'!$O$29+G720*'Model Inputs &amp; Assumptions'!$P$29)*EXP('Model Inputs &amp; Assumptions'!$Q$29*S720-'Model Inputs &amp; Assumptions'!$Q$29^2/2))</f>
        <v>44.9839442873095</v>
      </c>
      <c r="I720" s="49" t="n">
        <f aca="false">IF('Model Inputs &amp; Assumptions'!$H$29="Fixed",'Model Inputs &amp; Assumptions'!$I$29*'Model Inputs &amp; Assumptions'!$K$29,IF('Model Inputs &amp; Assumptions'!$H$29="CPM",'Model Inputs &amp; Assumptions'!$I$29*'Model Inputs &amp; Assumptions'!$K$29*C720/1000,IF('Model Inputs &amp; Assumptions'!$H$29="CPC",'Model Inputs &amp; Assumptions'!$I$29*'Model Inputs &amp; Assumptions'!$K$29*G720,0)))</f>
        <v>6500</v>
      </c>
      <c r="J720" s="50" t="n">
        <f aca="false">H720*INDEX('Model Inputs &amp; Assumptions'!$D$40:$D$42,MATCH('Model Inputs &amp; Assumptions'!$L$29,'Model Inputs &amp; Assumptions'!$A$40:$A$42,0))*INDEX('Model Inputs &amp; Assumptions'!$H$40:$H$42,MATCH('Model Inputs &amp; Assumptions'!$L$29,'Model Inputs &amp; Assumptions'!$A$40:$A$42,0))</f>
        <v>382363.526442131</v>
      </c>
      <c r="K720" s="49" t="n">
        <f aca="false">H720*INDEX('Model Inputs &amp; Assumptions'!$G$40:$G$42,MATCH('Model Inputs &amp; Assumptions'!$L$29,'Model Inputs &amp; Assumptions'!$A$40:$A$42,0))*INDEX('Model Inputs &amp; Assumptions'!$H$40:$H$42,MATCH('Model Inputs &amp; Assumptions'!$L$29,'Model Inputs &amp; Assumptions'!$A$40:$A$42,0))</f>
        <v>8603.17934494794</v>
      </c>
      <c r="L720" s="51" t="n">
        <f aca="false">IFERROR(K720/I720,0)</f>
        <v>1.32356605306891</v>
      </c>
      <c r="M720" s="49" t="n">
        <f aca="false">IFERROR(I720/H720,0)</f>
        <v>144.495999694578</v>
      </c>
      <c r="N720" s="52" t="str">
        <f aca="false">'Model Inputs &amp; Assumptions'!$L$29</f>
        <v>PRD-EUAI</v>
      </c>
      <c r="P720" s="53" t="n">
        <v>1.334475</v>
      </c>
      <c r="Q720" s="53" t="n">
        <v>0.46121</v>
      </c>
      <c r="R720" s="53" t="n">
        <v>0.74856</v>
      </c>
      <c r="S720" s="53" t="n">
        <v>0.126662</v>
      </c>
    </row>
    <row r="721" customFormat="false" ht="15" hidden="false" customHeight="false" outlineLevel="0" collapsed="false">
      <c r="A721" s="43" t="n">
        <v>218</v>
      </c>
      <c r="B721" s="44" t="str">
        <f aca="false">'Model Inputs &amp; Assumptions'!$B$29</f>
        <v>Handelsblatt — Native Explainer</v>
      </c>
      <c r="C721" s="45" t="n">
        <f aca="false">ROUND(MAX(0,'Model Inputs &amp; Assumptions'!$S$29*EXP('Model Inputs &amp; Assumptions'!$T$29*P721-'Model Inputs &amp; Assumptions'!$T$29^2/2)),0)</f>
        <v>197936</v>
      </c>
      <c r="D721" s="46" t="n">
        <f aca="false">MIN(1,'Model Inputs &amp; Assumptions'!$U$29*EXP('Model Inputs &amp; Assumptions'!$V$29*Q721-'Model Inputs &amp; Assumptions'!$V$29^2/2))</f>
        <v>0</v>
      </c>
      <c r="E721" s="45" t="n">
        <f aca="false">ROUND(C721*D721,0)</f>
        <v>0</v>
      </c>
      <c r="F721" s="47" t="n">
        <f aca="false">MIN(1,'Model Inputs &amp; Assumptions'!$W$29*EXP('Model Inputs &amp; Assumptions'!$X$29*R721-'Model Inputs &amp; Assumptions'!$X$29^2/2))</f>
        <v>0.00324376696773368</v>
      </c>
      <c r="G721" s="45" t="n">
        <f aca="false">ROUND(C721*F721,0)</f>
        <v>642</v>
      </c>
      <c r="H721" s="48" t="n">
        <f aca="false">MAX(0,(C721*'Model Inputs &amp; Assumptions'!$N$29+E721*'Model Inputs &amp; Assumptions'!$O$29+G721*'Model Inputs &amp; Assumptions'!$P$29)*EXP('Model Inputs &amp; Assumptions'!$Q$29*S721-'Model Inputs &amp; Assumptions'!$Q$29^2/2))</f>
        <v>25.383646551966</v>
      </c>
      <c r="I721" s="49" t="n">
        <f aca="false">IF('Model Inputs &amp; Assumptions'!$H$29="Fixed",'Model Inputs &amp; Assumptions'!$I$29*'Model Inputs &amp; Assumptions'!$K$29,IF('Model Inputs &amp; Assumptions'!$H$29="CPM",'Model Inputs &amp; Assumptions'!$I$29*'Model Inputs &amp; Assumptions'!$K$29*C721/1000,IF('Model Inputs &amp; Assumptions'!$H$29="CPC",'Model Inputs &amp; Assumptions'!$I$29*'Model Inputs &amp; Assumptions'!$K$29*G721,0)))</f>
        <v>6500</v>
      </c>
      <c r="J721" s="50" t="n">
        <f aca="false">H721*INDEX('Model Inputs &amp; Assumptions'!$D$40:$D$42,MATCH('Model Inputs &amp; Assumptions'!$L$29,'Model Inputs &amp; Assumptions'!$A$40:$A$42,0))*INDEX('Model Inputs &amp; Assumptions'!$H$40:$H$42,MATCH('Model Inputs &amp; Assumptions'!$L$29,'Model Inputs &amp; Assumptions'!$A$40:$A$42,0))</f>
        <v>215760.995691711</v>
      </c>
      <c r="K721" s="49" t="n">
        <f aca="false">H721*INDEX('Model Inputs &amp; Assumptions'!$G$40:$G$42,MATCH('Model Inputs &amp; Assumptions'!$L$29,'Model Inputs &amp; Assumptions'!$A$40:$A$42,0))*INDEX('Model Inputs &amp; Assumptions'!$H$40:$H$42,MATCH('Model Inputs &amp; Assumptions'!$L$29,'Model Inputs &amp; Assumptions'!$A$40:$A$42,0))</f>
        <v>4854.62240306349</v>
      </c>
      <c r="L721" s="51" t="n">
        <f aca="false">IFERROR(K721/I721,0)</f>
        <v>0.746864985086691</v>
      </c>
      <c r="M721" s="49" t="n">
        <f aca="false">IFERROR(I721/H721,0)</f>
        <v>256.070379277187</v>
      </c>
      <c r="N721" s="52" t="str">
        <f aca="false">'Model Inputs &amp; Assumptions'!$L$29</f>
        <v>PRD-EUAI</v>
      </c>
      <c r="P721" s="53" t="n">
        <v>0.108533</v>
      </c>
      <c r="Q721" s="53" t="n">
        <v>0.445099</v>
      </c>
      <c r="R721" s="53" t="n">
        <v>0.461043</v>
      </c>
      <c r="S721" s="53" t="n">
        <v>-0.632503</v>
      </c>
    </row>
    <row r="722" customFormat="false" ht="15" hidden="false" customHeight="false" outlineLevel="0" collapsed="false">
      <c r="A722" s="43" t="n">
        <v>219</v>
      </c>
      <c r="B722" s="44" t="str">
        <f aca="false">'Model Inputs &amp; Assumptions'!$B$29</f>
        <v>Handelsblatt — Native Explainer</v>
      </c>
      <c r="C722" s="45" t="n">
        <f aca="false">ROUND(MAX(0,'Model Inputs &amp; Assumptions'!$S$29*EXP('Model Inputs &amp; Assumptions'!$T$29*P722-'Model Inputs &amp; Assumptions'!$T$29^2/2)),0)</f>
        <v>186961</v>
      </c>
      <c r="D722" s="46" t="n">
        <f aca="false">MIN(1,'Model Inputs &amp; Assumptions'!$U$29*EXP('Model Inputs &amp; Assumptions'!$V$29*Q722-'Model Inputs &amp; Assumptions'!$V$29^2/2))</f>
        <v>0</v>
      </c>
      <c r="E722" s="45" t="n">
        <f aca="false">ROUND(C722*D722,0)</f>
        <v>0</v>
      </c>
      <c r="F722" s="47" t="n">
        <f aca="false">MIN(1,'Model Inputs &amp; Assumptions'!$W$29*EXP('Model Inputs &amp; Assumptions'!$X$29*R722-'Model Inputs &amp; Assumptions'!$X$29^2/2))</f>
        <v>0.00611339447099939</v>
      </c>
      <c r="G722" s="45" t="n">
        <f aca="false">ROUND(C722*F722,0)</f>
        <v>1143</v>
      </c>
      <c r="H722" s="48" t="n">
        <f aca="false">MAX(0,(C722*'Model Inputs &amp; Assumptions'!$N$29+E722*'Model Inputs &amp; Assumptions'!$O$29+G722*'Model Inputs &amp; Assumptions'!$P$29)*EXP('Model Inputs &amp; Assumptions'!$Q$29*S722-'Model Inputs &amp; Assumptions'!$Q$29^2/2))</f>
        <v>66.9378575832792</v>
      </c>
      <c r="I722" s="49" t="n">
        <f aca="false">IF('Model Inputs &amp; Assumptions'!$H$29="Fixed",'Model Inputs &amp; Assumptions'!$I$29*'Model Inputs &amp; Assumptions'!$K$29,IF('Model Inputs &amp; Assumptions'!$H$29="CPM",'Model Inputs &amp; Assumptions'!$I$29*'Model Inputs &amp; Assumptions'!$K$29*C722/1000,IF('Model Inputs &amp; Assumptions'!$H$29="CPC",'Model Inputs &amp; Assumptions'!$I$29*'Model Inputs &amp; Assumptions'!$K$29*G722,0)))</f>
        <v>6500</v>
      </c>
      <c r="J722" s="50" t="n">
        <f aca="false">H722*INDEX('Model Inputs &amp; Assumptions'!$D$40:$D$42,MATCH('Model Inputs &amp; Assumptions'!$L$29,'Model Inputs &amp; Assumptions'!$A$40:$A$42,0))*INDEX('Model Inputs &amp; Assumptions'!$H$40:$H$42,MATCH('Model Inputs &amp; Assumptions'!$L$29,'Model Inputs &amp; Assumptions'!$A$40:$A$42,0))</f>
        <v>568971.789457873</v>
      </c>
      <c r="K722" s="49" t="n">
        <f aca="false">H722*INDEX('Model Inputs &amp; Assumptions'!$G$40:$G$42,MATCH('Model Inputs &amp; Assumptions'!$L$29,'Model Inputs &amp; Assumptions'!$A$40:$A$42,0))*INDEX('Model Inputs &amp; Assumptions'!$H$40:$H$42,MATCH('Model Inputs &amp; Assumptions'!$L$29,'Model Inputs &amp; Assumptions'!$A$40:$A$42,0))</f>
        <v>12801.8652628021</v>
      </c>
      <c r="L722" s="51" t="n">
        <f aca="false">IFERROR(K722/I722,0)</f>
        <v>1.96951773273879</v>
      </c>
      <c r="M722" s="49" t="n">
        <f aca="false">IFERROR(I722/H722,0)</f>
        <v>97.1049901307818</v>
      </c>
      <c r="N722" s="52" t="str">
        <f aca="false">'Model Inputs &amp; Assumptions'!$L$29</f>
        <v>PRD-EUAI</v>
      </c>
      <c r="P722" s="53" t="n">
        <v>-0.150768</v>
      </c>
      <c r="Q722" s="53" t="n">
        <v>1.738107</v>
      </c>
      <c r="R722" s="53" t="n">
        <v>2.898531</v>
      </c>
      <c r="S722" s="53" t="n">
        <v>0.676951</v>
      </c>
    </row>
    <row r="723" customFormat="false" ht="15" hidden="false" customHeight="false" outlineLevel="0" collapsed="false">
      <c r="A723" s="43" t="n">
        <v>220</v>
      </c>
      <c r="B723" s="44" t="str">
        <f aca="false">'Model Inputs &amp; Assumptions'!$B$29</f>
        <v>Handelsblatt — Native Explainer</v>
      </c>
      <c r="C723" s="45" t="n">
        <f aca="false">ROUND(MAX(0,'Model Inputs &amp; Assumptions'!$S$29*EXP('Model Inputs &amp; Assumptions'!$T$29*P723-'Model Inputs &amp; Assumptions'!$T$29^2/2)),0)</f>
        <v>205818</v>
      </c>
      <c r="D723" s="46" t="n">
        <f aca="false">MIN(1,'Model Inputs &amp; Assumptions'!$U$29*EXP('Model Inputs &amp; Assumptions'!$V$29*Q723-'Model Inputs &amp; Assumptions'!$V$29^2/2))</f>
        <v>0</v>
      </c>
      <c r="E723" s="45" t="n">
        <f aca="false">ROUND(C723*D723,0)</f>
        <v>0</v>
      </c>
      <c r="F723" s="47" t="n">
        <f aca="false">MIN(1,'Model Inputs &amp; Assumptions'!$W$29*EXP('Model Inputs &amp; Assumptions'!$X$29*R723-'Model Inputs &amp; Assumptions'!$X$29^2/2))</f>
        <v>0.00356574667814008</v>
      </c>
      <c r="G723" s="45" t="n">
        <f aca="false">ROUND(C723*F723,0)</f>
        <v>734</v>
      </c>
      <c r="H723" s="48" t="n">
        <f aca="false">MAX(0,(C723*'Model Inputs &amp; Assumptions'!$N$29+E723*'Model Inputs &amp; Assumptions'!$O$29+G723*'Model Inputs &amp; Assumptions'!$P$29)*EXP('Model Inputs &amp; Assumptions'!$Q$29*S723-'Model Inputs &amp; Assumptions'!$Q$29^2/2))</f>
        <v>37.4179133024933</v>
      </c>
      <c r="I723" s="49" t="n">
        <f aca="false">IF('Model Inputs &amp; Assumptions'!$H$29="Fixed",'Model Inputs &amp; Assumptions'!$I$29*'Model Inputs &amp; Assumptions'!$K$29,IF('Model Inputs &amp; Assumptions'!$H$29="CPM",'Model Inputs &amp; Assumptions'!$I$29*'Model Inputs &amp; Assumptions'!$K$29*C723/1000,IF('Model Inputs &amp; Assumptions'!$H$29="CPC",'Model Inputs &amp; Assumptions'!$I$29*'Model Inputs &amp; Assumptions'!$K$29*G723,0)))</f>
        <v>6500</v>
      </c>
      <c r="J723" s="50" t="n">
        <f aca="false">H723*INDEX('Model Inputs &amp; Assumptions'!$D$40:$D$42,MATCH('Model Inputs &amp; Assumptions'!$L$29,'Model Inputs &amp; Assumptions'!$A$40:$A$42,0))*INDEX('Model Inputs &amp; Assumptions'!$H$40:$H$42,MATCH('Model Inputs &amp; Assumptions'!$L$29,'Model Inputs &amp; Assumptions'!$A$40:$A$42,0))</f>
        <v>318052.263071193</v>
      </c>
      <c r="K723" s="49" t="n">
        <f aca="false">H723*INDEX('Model Inputs &amp; Assumptions'!$G$40:$G$42,MATCH('Model Inputs &amp; Assumptions'!$L$29,'Model Inputs &amp; Assumptions'!$A$40:$A$42,0))*INDEX('Model Inputs &amp; Assumptions'!$H$40:$H$42,MATCH('Model Inputs &amp; Assumptions'!$L$29,'Model Inputs &amp; Assumptions'!$A$40:$A$42,0))</f>
        <v>7156.17591910185</v>
      </c>
      <c r="L723" s="51" t="n">
        <f aca="false">IFERROR(K723/I723,0)</f>
        <v>1.10095014140028</v>
      </c>
      <c r="M723" s="49" t="n">
        <f aca="false">IFERROR(I723/H723,0)</f>
        <v>173.713588661473</v>
      </c>
      <c r="N723" s="52" t="str">
        <f aca="false">'Model Inputs &amp; Assumptions'!$L$29</f>
        <v>PRD-EUAI</v>
      </c>
      <c r="P723" s="53" t="n">
        <v>0.286017</v>
      </c>
      <c r="Q723" s="53" t="n">
        <v>0.139738</v>
      </c>
      <c r="R723" s="53" t="n">
        <v>0.825036</v>
      </c>
      <c r="S723" s="53" t="n">
        <v>0.214576</v>
      </c>
    </row>
    <row r="724" customFormat="false" ht="15" hidden="false" customHeight="false" outlineLevel="0" collapsed="false">
      <c r="A724" s="43" t="n">
        <v>221</v>
      </c>
      <c r="B724" s="44" t="str">
        <f aca="false">'Model Inputs &amp; Assumptions'!$B$29</f>
        <v>Handelsblatt — Native Explainer</v>
      </c>
      <c r="C724" s="45" t="n">
        <f aca="false">ROUND(MAX(0,'Model Inputs &amp; Assumptions'!$S$29*EXP('Model Inputs &amp; Assumptions'!$T$29*P724-'Model Inputs &amp; Assumptions'!$T$29^2/2)),0)</f>
        <v>251907</v>
      </c>
      <c r="D724" s="46" t="n">
        <f aca="false">MIN(1,'Model Inputs &amp; Assumptions'!$U$29*EXP('Model Inputs &amp; Assumptions'!$V$29*Q724-'Model Inputs &amp; Assumptions'!$V$29^2/2))</f>
        <v>0</v>
      </c>
      <c r="E724" s="45" t="n">
        <f aca="false">ROUND(C724*D724,0)</f>
        <v>0</v>
      </c>
      <c r="F724" s="47" t="n">
        <f aca="false">MIN(1,'Model Inputs &amp; Assumptions'!$W$29*EXP('Model Inputs &amp; Assumptions'!$X$29*R724-'Model Inputs &amp; Assumptions'!$X$29^2/2))</f>
        <v>0.00221553156481122</v>
      </c>
      <c r="G724" s="45" t="n">
        <f aca="false">ROUND(C724*F724,0)</f>
        <v>558</v>
      </c>
      <c r="H724" s="48" t="n">
        <f aca="false">MAX(0,(C724*'Model Inputs &amp; Assumptions'!$N$29+E724*'Model Inputs &amp; Assumptions'!$O$29+G724*'Model Inputs &amp; Assumptions'!$P$29)*EXP('Model Inputs &amp; Assumptions'!$Q$29*S724-'Model Inputs &amp; Assumptions'!$Q$29^2/2))</f>
        <v>29.86875016377</v>
      </c>
      <c r="I724" s="49" t="n">
        <f aca="false">IF('Model Inputs &amp; Assumptions'!$H$29="Fixed",'Model Inputs &amp; Assumptions'!$I$29*'Model Inputs &amp; Assumptions'!$K$29,IF('Model Inputs &amp; Assumptions'!$H$29="CPM",'Model Inputs &amp; Assumptions'!$I$29*'Model Inputs &amp; Assumptions'!$K$29*C724/1000,IF('Model Inputs &amp; Assumptions'!$H$29="CPC",'Model Inputs &amp; Assumptions'!$I$29*'Model Inputs &amp; Assumptions'!$K$29*G724,0)))</f>
        <v>6500</v>
      </c>
      <c r="J724" s="50" t="n">
        <f aca="false">H724*INDEX('Model Inputs &amp; Assumptions'!$D$40:$D$42,MATCH('Model Inputs &amp; Assumptions'!$L$29,'Model Inputs &amp; Assumptions'!$A$40:$A$42,0))*INDEX('Model Inputs &amp; Assumptions'!$H$40:$H$42,MATCH('Model Inputs &amp; Assumptions'!$L$29,'Model Inputs &amp; Assumptions'!$A$40:$A$42,0))</f>
        <v>253884.376392045</v>
      </c>
      <c r="K724" s="49" t="n">
        <f aca="false">H724*INDEX('Model Inputs &amp; Assumptions'!$G$40:$G$42,MATCH('Model Inputs &amp; Assumptions'!$L$29,'Model Inputs &amp; Assumptions'!$A$40:$A$42,0))*INDEX('Model Inputs &amp; Assumptions'!$H$40:$H$42,MATCH('Model Inputs &amp; Assumptions'!$L$29,'Model Inputs &amp; Assumptions'!$A$40:$A$42,0))</f>
        <v>5712.39846882102</v>
      </c>
      <c r="L724" s="51" t="n">
        <f aca="false">IFERROR(K724/I724,0)</f>
        <v>0.878830533664772</v>
      </c>
      <c r="M724" s="49" t="n">
        <f aca="false">IFERROR(I724/H724,0)</f>
        <v>217.618747498994</v>
      </c>
      <c r="N724" s="52" t="str">
        <f aca="false">'Model Inputs &amp; Assumptions'!$L$29</f>
        <v>PRD-EUAI</v>
      </c>
      <c r="P724" s="53" t="n">
        <v>1.204509</v>
      </c>
      <c r="Q724" s="53" t="n">
        <v>0.121612</v>
      </c>
      <c r="R724" s="53" t="n">
        <v>-1.005276</v>
      </c>
      <c r="S724" s="53" t="n">
        <v>0.377287</v>
      </c>
    </row>
    <row r="725" customFormat="false" ht="15" hidden="false" customHeight="false" outlineLevel="0" collapsed="false">
      <c r="A725" s="43" t="n">
        <v>222</v>
      </c>
      <c r="B725" s="44" t="str">
        <f aca="false">'Model Inputs &amp; Assumptions'!$B$29</f>
        <v>Handelsblatt — Native Explainer</v>
      </c>
      <c r="C725" s="45" t="n">
        <f aca="false">ROUND(MAX(0,'Model Inputs &amp; Assumptions'!$S$29*EXP('Model Inputs &amp; Assumptions'!$T$29*P725-'Model Inputs &amp; Assumptions'!$T$29^2/2)),0)</f>
        <v>200738</v>
      </c>
      <c r="D725" s="46" t="n">
        <f aca="false">MIN(1,'Model Inputs &amp; Assumptions'!$U$29*EXP('Model Inputs &amp; Assumptions'!$V$29*Q725-'Model Inputs &amp; Assumptions'!$V$29^2/2))</f>
        <v>0</v>
      </c>
      <c r="E725" s="45" t="n">
        <f aca="false">ROUND(C725*D725,0)</f>
        <v>0</v>
      </c>
      <c r="F725" s="47" t="n">
        <f aca="false">MIN(1,'Model Inputs &amp; Assumptions'!$W$29*EXP('Model Inputs &amp; Assumptions'!$X$29*R725-'Model Inputs &amp; Assumptions'!$X$29^2/2))</f>
        <v>0.00302838198583398</v>
      </c>
      <c r="G725" s="45" t="n">
        <f aca="false">ROUND(C725*F725,0)</f>
        <v>608</v>
      </c>
      <c r="H725" s="48" t="n">
        <f aca="false">MAX(0,(C725*'Model Inputs &amp; Assumptions'!$N$29+E725*'Model Inputs &amp; Assumptions'!$O$29+G725*'Model Inputs &amp; Assumptions'!$P$29)*EXP('Model Inputs &amp; Assumptions'!$Q$29*S725-'Model Inputs &amp; Assumptions'!$Q$29^2/2))</f>
        <v>43.2866948030068</v>
      </c>
      <c r="I725" s="49" t="n">
        <f aca="false">IF('Model Inputs &amp; Assumptions'!$H$29="Fixed",'Model Inputs &amp; Assumptions'!$I$29*'Model Inputs &amp; Assumptions'!$K$29,IF('Model Inputs &amp; Assumptions'!$H$29="CPM",'Model Inputs &amp; Assumptions'!$I$29*'Model Inputs &amp; Assumptions'!$K$29*C725/1000,IF('Model Inputs &amp; Assumptions'!$H$29="CPC",'Model Inputs &amp; Assumptions'!$I$29*'Model Inputs &amp; Assumptions'!$K$29*G725,0)))</f>
        <v>6500</v>
      </c>
      <c r="J725" s="50" t="n">
        <f aca="false">H725*INDEX('Model Inputs &amp; Assumptions'!$D$40:$D$42,MATCH('Model Inputs &amp; Assumptions'!$L$29,'Model Inputs &amp; Assumptions'!$A$40:$A$42,0))*INDEX('Model Inputs &amp; Assumptions'!$H$40:$H$42,MATCH('Model Inputs &amp; Assumptions'!$L$29,'Model Inputs &amp; Assumptions'!$A$40:$A$42,0))</f>
        <v>367936.905825558</v>
      </c>
      <c r="K725" s="49" t="n">
        <f aca="false">H725*INDEX('Model Inputs &amp; Assumptions'!$G$40:$G$42,MATCH('Model Inputs &amp; Assumptions'!$L$29,'Model Inputs &amp; Assumptions'!$A$40:$A$42,0))*INDEX('Model Inputs &amp; Assumptions'!$H$40:$H$42,MATCH('Model Inputs &amp; Assumptions'!$L$29,'Model Inputs &amp; Assumptions'!$A$40:$A$42,0))</f>
        <v>8278.58038107504</v>
      </c>
      <c r="L725" s="51" t="n">
        <f aca="false">IFERROR(K725/I725,0)</f>
        <v>1.27362775093462</v>
      </c>
      <c r="M725" s="49" t="n">
        <f aca="false">IFERROR(I725/H725,0)</f>
        <v>150.161615008511</v>
      </c>
      <c r="N725" s="52" t="str">
        <f aca="false">'Model Inputs &amp; Assumptions'!$L$29</f>
        <v>PRD-EUAI</v>
      </c>
      <c r="P725" s="53" t="n">
        <v>0.172425</v>
      </c>
      <c r="Q725" s="53" t="n">
        <v>-0.352679</v>
      </c>
      <c r="R725" s="53" t="n">
        <v>0.196786</v>
      </c>
      <c r="S725" s="53" t="n">
        <v>1.328009</v>
      </c>
    </row>
    <row r="726" customFormat="false" ht="15" hidden="false" customHeight="false" outlineLevel="0" collapsed="false">
      <c r="A726" s="43" t="n">
        <v>223</v>
      </c>
      <c r="B726" s="44" t="str">
        <f aca="false">'Model Inputs &amp; Assumptions'!$B$29</f>
        <v>Handelsblatt — Native Explainer</v>
      </c>
      <c r="C726" s="45" t="n">
        <f aca="false">ROUND(MAX(0,'Model Inputs &amp; Assumptions'!$S$29*EXP('Model Inputs &amp; Assumptions'!$T$29*P726-'Model Inputs &amp; Assumptions'!$T$29^2/2)),0)</f>
        <v>174716</v>
      </c>
      <c r="D726" s="46" t="n">
        <f aca="false">MIN(1,'Model Inputs &amp; Assumptions'!$U$29*EXP('Model Inputs &amp; Assumptions'!$V$29*Q726-'Model Inputs &amp; Assumptions'!$V$29^2/2))</f>
        <v>0</v>
      </c>
      <c r="E726" s="45" t="n">
        <f aca="false">ROUND(C726*D726,0)</f>
        <v>0</v>
      </c>
      <c r="F726" s="47" t="n">
        <f aca="false">MIN(1,'Model Inputs &amp; Assumptions'!$W$29*EXP('Model Inputs &amp; Assumptions'!$X$29*R726-'Model Inputs &amp; Assumptions'!$X$29^2/2))</f>
        <v>0.00593004937225469</v>
      </c>
      <c r="G726" s="45" t="n">
        <f aca="false">ROUND(C726*F726,0)</f>
        <v>1036</v>
      </c>
      <c r="H726" s="48" t="n">
        <f aca="false">MAX(0,(C726*'Model Inputs &amp; Assumptions'!$N$29+E726*'Model Inputs &amp; Assumptions'!$O$29+G726*'Model Inputs &amp; Assumptions'!$P$29)*EXP('Model Inputs &amp; Assumptions'!$Q$29*S726-'Model Inputs &amp; Assumptions'!$Q$29^2/2))</f>
        <v>62.7656625505398</v>
      </c>
      <c r="I726" s="49" t="n">
        <f aca="false">IF('Model Inputs &amp; Assumptions'!$H$29="Fixed",'Model Inputs &amp; Assumptions'!$I$29*'Model Inputs &amp; Assumptions'!$K$29,IF('Model Inputs &amp; Assumptions'!$H$29="CPM",'Model Inputs &amp; Assumptions'!$I$29*'Model Inputs &amp; Assumptions'!$K$29*C726/1000,IF('Model Inputs &amp; Assumptions'!$H$29="CPC",'Model Inputs &amp; Assumptions'!$I$29*'Model Inputs &amp; Assumptions'!$K$29*G726,0)))</f>
        <v>6500</v>
      </c>
      <c r="J726" s="50" t="n">
        <f aca="false">H726*INDEX('Model Inputs &amp; Assumptions'!$D$40:$D$42,MATCH('Model Inputs &amp; Assumptions'!$L$29,'Model Inputs &amp; Assumptions'!$A$40:$A$42,0))*INDEX('Model Inputs &amp; Assumptions'!$H$40:$H$42,MATCH('Model Inputs &amp; Assumptions'!$L$29,'Model Inputs &amp; Assumptions'!$A$40:$A$42,0))</f>
        <v>533508.131679588</v>
      </c>
      <c r="K726" s="49" t="n">
        <f aca="false">H726*INDEX('Model Inputs &amp; Assumptions'!$G$40:$G$42,MATCH('Model Inputs &amp; Assumptions'!$L$29,'Model Inputs &amp; Assumptions'!$A$40:$A$42,0))*INDEX('Model Inputs &amp; Assumptions'!$H$40:$H$42,MATCH('Model Inputs &amp; Assumptions'!$L$29,'Model Inputs &amp; Assumptions'!$A$40:$A$42,0))</f>
        <v>12003.9329627907</v>
      </c>
      <c r="L726" s="51" t="n">
        <f aca="false">IFERROR(K726/I726,0)</f>
        <v>1.84675891735242</v>
      </c>
      <c r="M726" s="49" t="n">
        <f aca="false">IFERROR(I726/H726,0)</f>
        <v>103.559808593849</v>
      </c>
      <c r="N726" s="52" t="str">
        <f aca="false">'Model Inputs &amp; Assumptions'!$L$29</f>
        <v>PRD-EUAI</v>
      </c>
      <c r="P726" s="53" t="n">
        <v>-0.458661</v>
      </c>
      <c r="Q726" s="53" t="n">
        <v>1.036119</v>
      </c>
      <c r="R726" s="53" t="n">
        <v>2.781417</v>
      </c>
      <c r="S726" s="53" t="n">
        <v>0.79006</v>
      </c>
    </row>
    <row r="727" customFormat="false" ht="15" hidden="false" customHeight="false" outlineLevel="0" collapsed="false">
      <c r="A727" s="43" t="n">
        <v>224</v>
      </c>
      <c r="B727" s="44" t="str">
        <f aca="false">'Model Inputs &amp; Assumptions'!$B$29</f>
        <v>Handelsblatt — Native Explainer</v>
      </c>
      <c r="C727" s="45" t="n">
        <f aca="false">ROUND(MAX(0,'Model Inputs &amp; Assumptions'!$S$29*EXP('Model Inputs &amp; Assumptions'!$T$29*P727-'Model Inputs &amp; Assumptions'!$T$29^2/2)),0)</f>
        <v>122843</v>
      </c>
      <c r="D727" s="46" t="n">
        <f aca="false">MIN(1,'Model Inputs &amp; Assumptions'!$U$29*EXP('Model Inputs &amp; Assumptions'!$V$29*Q727-'Model Inputs &amp; Assumptions'!$V$29^2/2))</f>
        <v>0</v>
      </c>
      <c r="E727" s="45" t="n">
        <f aca="false">ROUND(C727*D727,0)</f>
        <v>0</v>
      </c>
      <c r="F727" s="47" t="n">
        <f aca="false">MIN(1,'Model Inputs &amp; Assumptions'!$W$29*EXP('Model Inputs &amp; Assumptions'!$X$29*R727-'Model Inputs &amp; Assumptions'!$X$29^2/2))</f>
        <v>0.00339348446342948</v>
      </c>
      <c r="G727" s="45" t="n">
        <f aca="false">ROUND(C727*F727,0)</f>
        <v>417</v>
      </c>
      <c r="H727" s="48" t="n">
        <f aca="false">MAX(0,(C727*'Model Inputs &amp; Assumptions'!$N$29+E727*'Model Inputs &amp; Assumptions'!$O$29+G727*'Model Inputs &amp; Assumptions'!$P$29)*EXP('Model Inputs &amp; Assumptions'!$Q$29*S727-'Model Inputs &amp; Assumptions'!$Q$29^2/2))</f>
        <v>19.6259554580685</v>
      </c>
      <c r="I727" s="49" t="n">
        <f aca="false">IF('Model Inputs &amp; Assumptions'!$H$29="Fixed",'Model Inputs &amp; Assumptions'!$I$29*'Model Inputs &amp; Assumptions'!$K$29,IF('Model Inputs &amp; Assumptions'!$H$29="CPM",'Model Inputs &amp; Assumptions'!$I$29*'Model Inputs &amp; Assumptions'!$K$29*C727/1000,IF('Model Inputs &amp; Assumptions'!$H$29="CPC",'Model Inputs &amp; Assumptions'!$I$29*'Model Inputs &amp; Assumptions'!$K$29*G727,0)))</f>
        <v>6500</v>
      </c>
      <c r="J727" s="50" t="n">
        <f aca="false">H727*INDEX('Model Inputs &amp; Assumptions'!$D$40:$D$42,MATCH('Model Inputs &amp; Assumptions'!$L$29,'Model Inputs &amp; Assumptions'!$A$40:$A$42,0))*INDEX('Model Inputs &amp; Assumptions'!$H$40:$H$42,MATCH('Model Inputs &amp; Assumptions'!$L$29,'Model Inputs &amp; Assumptions'!$A$40:$A$42,0))</f>
        <v>166820.621393582</v>
      </c>
      <c r="K727" s="49" t="n">
        <f aca="false">H727*INDEX('Model Inputs &amp; Assumptions'!$G$40:$G$42,MATCH('Model Inputs &amp; Assumptions'!$L$29,'Model Inputs &amp; Assumptions'!$A$40:$A$42,0))*INDEX('Model Inputs &amp; Assumptions'!$H$40:$H$42,MATCH('Model Inputs &amp; Assumptions'!$L$29,'Model Inputs &amp; Assumptions'!$A$40:$A$42,0))</f>
        <v>3753.4639813556</v>
      </c>
      <c r="L727" s="51" t="n">
        <f aca="false">IFERROR(K727/I727,0)</f>
        <v>0.577455997131631</v>
      </c>
      <c r="M727" s="49" t="n">
        <f aca="false">IFERROR(I727/H727,0)</f>
        <v>331.19406664748</v>
      </c>
      <c r="N727" s="52" t="str">
        <f aca="false">'Model Inputs &amp; Assumptions'!$L$29</f>
        <v>PRD-EUAI</v>
      </c>
      <c r="P727" s="53" t="n">
        <v>-2.059814</v>
      </c>
      <c r="Q727" s="53" t="n">
        <v>2.294513</v>
      </c>
      <c r="R727" s="53" t="n">
        <v>0.634589</v>
      </c>
      <c r="S727" s="53" t="n">
        <v>-0.05167</v>
      </c>
    </row>
    <row r="728" customFormat="false" ht="15" hidden="false" customHeight="false" outlineLevel="0" collapsed="false">
      <c r="A728" s="43" t="n">
        <v>225</v>
      </c>
      <c r="B728" s="44" t="str">
        <f aca="false">'Model Inputs &amp; Assumptions'!$B$29</f>
        <v>Handelsblatt — Native Explainer</v>
      </c>
      <c r="C728" s="45" t="n">
        <f aca="false">ROUND(MAX(0,'Model Inputs &amp; Assumptions'!$S$29*EXP('Model Inputs &amp; Assumptions'!$T$29*P728-'Model Inputs &amp; Assumptions'!$T$29^2/2)),0)</f>
        <v>245830</v>
      </c>
      <c r="D728" s="46" t="n">
        <f aca="false">MIN(1,'Model Inputs &amp; Assumptions'!$U$29*EXP('Model Inputs &amp; Assumptions'!$V$29*Q728-'Model Inputs &amp; Assumptions'!$V$29^2/2))</f>
        <v>0</v>
      </c>
      <c r="E728" s="45" t="n">
        <f aca="false">ROUND(C728*D728,0)</f>
        <v>0</v>
      </c>
      <c r="F728" s="47" t="n">
        <f aca="false">MIN(1,'Model Inputs &amp; Assumptions'!$W$29*EXP('Model Inputs &amp; Assumptions'!$X$29*R728-'Model Inputs &amp; Assumptions'!$X$29^2/2))</f>
        <v>0.00323259796936331</v>
      </c>
      <c r="G728" s="45" t="n">
        <f aca="false">ROUND(C728*F728,0)</f>
        <v>795</v>
      </c>
      <c r="H728" s="48" t="n">
        <f aca="false">MAX(0,(C728*'Model Inputs &amp; Assumptions'!$N$29+E728*'Model Inputs &amp; Assumptions'!$O$29+G728*'Model Inputs &amp; Assumptions'!$P$29)*EXP('Model Inputs &amp; Assumptions'!$Q$29*S728-'Model Inputs &amp; Assumptions'!$Q$29^2/2))</f>
        <v>36.8307369993691</v>
      </c>
      <c r="I728" s="49" t="n">
        <f aca="false">IF('Model Inputs &amp; Assumptions'!$H$29="Fixed",'Model Inputs &amp; Assumptions'!$I$29*'Model Inputs &amp; Assumptions'!$K$29,IF('Model Inputs &amp; Assumptions'!$H$29="CPM",'Model Inputs &amp; Assumptions'!$I$29*'Model Inputs &amp; Assumptions'!$K$29*C728/1000,IF('Model Inputs &amp; Assumptions'!$H$29="CPC",'Model Inputs &amp; Assumptions'!$I$29*'Model Inputs &amp; Assumptions'!$K$29*G728,0)))</f>
        <v>6500</v>
      </c>
      <c r="J728" s="50" t="n">
        <f aca="false">H728*INDEX('Model Inputs &amp; Assumptions'!$D$40:$D$42,MATCH('Model Inputs &amp; Assumptions'!$L$29,'Model Inputs &amp; Assumptions'!$A$40:$A$42,0))*INDEX('Model Inputs &amp; Assumptions'!$H$40:$H$42,MATCH('Model Inputs &amp; Assumptions'!$L$29,'Model Inputs &amp; Assumptions'!$A$40:$A$42,0))</f>
        <v>313061.264494637</v>
      </c>
      <c r="K728" s="49" t="n">
        <f aca="false">H728*INDEX('Model Inputs &amp; Assumptions'!$G$40:$G$42,MATCH('Model Inputs &amp; Assumptions'!$L$29,'Model Inputs &amp; Assumptions'!$A$40:$A$42,0))*INDEX('Model Inputs &amp; Assumptions'!$H$40:$H$42,MATCH('Model Inputs &amp; Assumptions'!$L$29,'Model Inputs &amp; Assumptions'!$A$40:$A$42,0))</f>
        <v>7043.87845112934</v>
      </c>
      <c r="L728" s="51" t="n">
        <f aca="false">IFERROR(K728/I728,0)</f>
        <v>1.08367360786605</v>
      </c>
      <c r="M728" s="49" t="n">
        <f aca="false">IFERROR(I728/H728,0)</f>
        <v>176.483028295398</v>
      </c>
      <c r="N728" s="52" t="str">
        <f aca="false">'Model Inputs &amp; Assumptions'!$L$29</f>
        <v>PRD-EUAI</v>
      </c>
      <c r="P728" s="53" t="n">
        <v>1.093518</v>
      </c>
      <c r="Q728" s="53" t="n">
        <v>-0.012919</v>
      </c>
      <c r="R728" s="53" t="n">
        <v>0.447777</v>
      </c>
      <c r="S728" s="53" t="n">
        <v>-0.104257</v>
      </c>
    </row>
    <row r="729" customFormat="false" ht="15" hidden="false" customHeight="false" outlineLevel="0" collapsed="false">
      <c r="A729" s="43" t="n">
        <v>226</v>
      </c>
      <c r="B729" s="44" t="str">
        <f aca="false">'Model Inputs &amp; Assumptions'!$B$29</f>
        <v>Handelsblatt — Native Explainer</v>
      </c>
      <c r="C729" s="45" t="n">
        <f aca="false">ROUND(MAX(0,'Model Inputs &amp; Assumptions'!$S$29*EXP('Model Inputs &amp; Assumptions'!$T$29*P729-'Model Inputs &amp; Assumptions'!$T$29^2/2)),0)</f>
        <v>189903</v>
      </c>
      <c r="D729" s="46" t="n">
        <f aca="false">MIN(1,'Model Inputs &amp; Assumptions'!$U$29*EXP('Model Inputs &amp; Assumptions'!$V$29*Q729-'Model Inputs &amp; Assumptions'!$V$29^2/2))</f>
        <v>0</v>
      </c>
      <c r="E729" s="45" t="n">
        <f aca="false">ROUND(C729*D729,0)</f>
        <v>0</v>
      </c>
      <c r="F729" s="47" t="n">
        <f aca="false">MIN(1,'Model Inputs &amp; Assumptions'!$W$29*EXP('Model Inputs &amp; Assumptions'!$X$29*R729-'Model Inputs &amp; Assumptions'!$X$29^2/2))</f>
        <v>0.00418258074369131</v>
      </c>
      <c r="G729" s="45" t="n">
        <f aca="false">ROUND(C729*F729,0)</f>
        <v>794</v>
      </c>
      <c r="H729" s="48" t="n">
        <f aca="false">MAX(0,(C729*'Model Inputs &amp; Assumptions'!$N$29+E729*'Model Inputs &amp; Assumptions'!$O$29+G729*'Model Inputs &amp; Assumptions'!$P$29)*EXP('Model Inputs &amp; Assumptions'!$Q$29*S729-'Model Inputs &amp; Assumptions'!$Q$29^2/2))</f>
        <v>40.7165965793984</v>
      </c>
      <c r="I729" s="49" t="n">
        <f aca="false">IF('Model Inputs &amp; Assumptions'!$H$29="Fixed",'Model Inputs &amp; Assumptions'!$I$29*'Model Inputs &amp; Assumptions'!$K$29,IF('Model Inputs &amp; Assumptions'!$H$29="CPM",'Model Inputs &amp; Assumptions'!$I$29*'Model Inputs &amp; Assumptions'!$K$29*C729/1000,IF('Model Inputs &amp; Assumptions'!$H$29="CPC",'Model Inputs &amp; Assumptions'!$I$29*'Model Inputs &amp; Assumptions'!$K$29*G729,0)))</f>
        <v>6500</v>
      </c>
      <c r="J729" s="50" t="n">
        <f aca="false">H729*INDEX('Model Inputs &amp; Assumptions'!$D$40:$D$42,MATCH('Model Inputs &amp; Assumptions'!$L$29,'Model Inputs &amp; Assumptions'!$A$40:$A$42,0))*INDEX('Model Inputs &amp; Assumptions'!$H$40:$H$42,MATCH('Model Inputs &amp; Assumptions'!$L$29,'Model Inputs &amp; Assumptions'!$A$40:$A$42,0))</f>
        <v>346091.070924886</v>
      </c>
      <c r="K729" s="49" t="n">
        <f aca="false">H729*INDEX('Model Inputs &amp; Assumptions'!$G$40:$G$42,MATCH('Model Inputs &amp; Assumptions'!$L$29,'Model Inputs &amp; Assumptions'!$A$40:$A$42,0))*INDEX('Model Inputs &amp; Assumptions'!$H$40:$H$42,MATCH('Model Inputs &amp; Assumptions'!$L$29,'Model Inputs &amp; Assumptions'!$A$40:$A$42,0))</f>
        <v>7787.04909580995</v>
      </c>
      <c r="L729" s="51" t="n">
        <f aca="false">IFERROR(K729/I729,0)</f>
        <v>1.19800755320153</v>
      </c>
      <c r="M729" s="49" t="n">
        <f aca="false">IFERROR(I729/H729,0)</f>
        <v>159.640061941936</v>
      </c>
      <c r="N729" s="52" t="str">
        <f aca="false">'Model Inputs &amp; Assumptions'!$L$29</f>
        <v>PRD-EUAI</v>
      </c>
      <c r="P729" s="53" t="n">
        <v>-0.079781</v>
      </c>
      <c r="Q729" s="53" t="n">
        <v>1.907039</v>
      </c>
      <c r="R729" s="53" t="n">
        <v>1.438709</v>
      </c>
      <c r="S729" s="53" t="n">
        <v>0.234282</v>
      </c>
    </row>
    <row r="730" customFormat="false" ht="15" hidden="false" customHeight="false" outlineLevel="0" collapsed="false">
      <c r="A730" s="43" t="n">
        <v>227</v>
      </c>
      <c r="B730" s="44" t="str">
        <f aca="false">'Model Inputs &amp; Assumptions'!$B$29</f>
        <v>Handelsblatt — Native Explainer</v>
      </c>
      <c r="C730" s="45" t="n">
        <f aca="false">ROUND(MAX(0,'Model Inputs &amp; Assumptions'!$S$29*EXP('Model Inputs &amp; Assumptions'!$T$29*P730-'Model Inputs &amp; Assumptions'!$T$29^2/2)),0)</f>
        <v>163138</v>
      </c>
      <c r="D730" s="46" t="n">
        <f aca="false">MIN(1,'Model Inputs &amp; Assumptions'!$U$29*EXP('Model Inputs &amp; Assumptions'!$V$29*Q730-'Model Inputs &amp; Assumptions'!$V$29^2/2))</f>
        <v>0</v>
      </c>
      <c r="E730" s="45" t="n">
        <f aca="false">ROUND(C730*D730,0)</f>
        <v>0</v>
      </c>
      <c r="F730" s="47" t="n">
        <f aca="false">MIN(1,'Model Inputs &amp; Assumptions'!$W$29*EXP('Model Inputs &amp; Assumptions'!$X$29*R730-'Model Inputs &amp; Assumptions'!$X$29^2/2))</f>
        <v>0.00273568893190912</v>
      </c>
      <c r="G730" s="45" t="n">
        <f aca="false">ROUND(C730*F730,0)</f>
        <v>446</v>
      </c>
      <c r="H730" s="48" t="n">
        <f aca="false">MAX(0,(C730*'Model Inputs &amp; Assumptions'!$N$29+E730*'Model Inputs &amp; Assumptions'!$O$29+G730*'Model Inputs &amp; Assumptions'!$P$29)*EXP('Model Inputs &amp; Assumptions'!$Q$29*S730-'Model Inputs &amp; Assumptions'!$Q$29^2/2))</f>
        <v>15.895428918109</v>
      </c>
      <c r="I730" s="49" t="n">
        <f aca="false">IF('Model Inputs &amp; Assumptions'!$H$29="Fixed",'Model Inputs &amp; Assumptions'!$I$29*'Model Inputs &amp; Assumptions'!$K$29,IF('Model Inputs &amp; Assumptions'!$H$29="CPM",'Model Inputs &amp; Assumptions'!$I$29*'Model Inputs &amp; Assumptions'!$K$29*C730/1000,IF('Model Inputs &amp; Assumptions'!$H$29="CPC",'Model Inputs &amp; Assumptions'!$I$29*'Model Inputs &amp; Assumptions'!$K$29*G730,0)))</f>
        <v>6500</v>
      </c>
      <c r="J730" s="50" t="n">
        <f aca="false">H730*INDEX('Model Inputs &amp; Assumptions'!$D$40:$D$42,MATCH('Model Inputs &amp; Assumptions'!$L$29,'Model Inputs &amp; Assumptions'!$A$40:$A$42,0))*INDEX('Model Inputs &amp; Assumptions'!$H$40:$H$42,MATCH('Model Inputs &amp; Assumptions'!$L$29,'Model Inputs &amp; Assumptions'!$A$40:$A$42,0))</f>
        <v>135111.145803927</v>
      </c>
      <c r="K730" s="49" t="n">
        <f aca="false">H730*INDEX('Model Inputs &amp; Assumptions'!$G$40:$G$42,MATCH('Model Inputs &amp; Assumptions'!$L$29,'Model Inputs &amp; Assumptions'!$A$40:$A$42,0))*INDEX('Model Inputs &amp; Assumptions'!$H$40:$H$42,MATCH('Model Inputs &amp; Assumptions'!$L$29,'Model Inputs &amp; Assumptions'!$A$40:$A$42,0))</f>
        <v>3040.00078058835</v>
      </c>
      <c r="L730" s="51" t="n">
        <f aca="false">IFERROR(K730/I730,0)</f>
        <v>0.467692427782823</v>
      </c>
      <c r="M730" s="49" t="n">
        <f aca="false">IFERROR(I730/H730,0)</f>
        <v>408.922592368351</v>
      </c>
      <c r="N730" s="52" t="str">
        <f aca="false">'Model Inputs &amp; Assumptions'!$L$29</f>
        <v>PRD-EUAI</v>
      </c>
      <c r="P730" s="53" t="n">
        <v>-0.770321</v>
      </c>
      <c r="Q730" s="53" t="n">
        <v>-0.121564</v>
      </c>
      <c r="R730" s="53" t="n">
        <v>-0.194157</v>
      </c>
      <c r="S730" s="53" t="n">
        <v>-0.978517</v>
      </c>
    </row>
    <row r="731" customFormat="false" ht="15" hidden="false" customHeight="false" outlineLevel="0" collapsed="false">
      <c r="A731" s="43" t="n">
        <v>228</v>
      </c>
      <c r="B731" s="44" t="str">
        <f aca="false">'Model Inputs &amp; Assumptions'!$B$29</f>
        <v>Handelsblatt — Native Explainer</v>
      </c>
      <c r="C731" s="45" t="n">
        <f aca="false">ROUND(MAX(0,'Model Inputs &amp; Assumptions'!$S$29*EXP('Model Inputs &amp; Assumptions'!$T$29*P731-'Model Inputs &amp; Assumptions'!$T$29^2/2)),0)</f>
        <v>258874</v>
      </c>
      <c r="D731" s="46" t="n">
        <f aca="false">MIN(1,'Model Inputs &amp; Assumptions'!$U$29*EXP('Model Inputs &amp; Assumptions'!$V$29*Q731-'Model Inputs &amp; Assumptions'!$V$29^2/2))</f>
        <v>0</v>
      </c>
      <c r="E731" s="45" t="n">
        <f aca="false">ROUND(C731*D731,0)</f>
        <v>0</v>
      </c>
      <c r="F731" s="47" t="n">
        <f aca="false">MIN(1,'Model Inputs &amp; Assumptions'!$W$29*EXP('Model Inputs &amp; Assumptions'!$X$29*R731-'Model Inputs &amp; Assumptions'!$X$29^2/2))</f>
        <v>0.0024433985017836</v>
      </c>
      <c r="G731" s="45" t="n">
        <f aca="false">ROUND(C731*F731,0)</f>
        <v>633</v>
      </c>
      <c r="H731" s="48" t="n">
        <f aca="false">MAX(0,(C731*'Model Inputs &amp; Assumptions'!$N$29+E731*'Model Inputs &amp; Assumptions'!$O$29+G731*'Model Inputs &amp; Assumptions'!$P$29)*EXP('Model Inputs &amp; Assumptions'!$Q$29*S731-'Model Inputs &amp; Assumptions'!$Q$29^2/2))</f>
        <v>23.440489523291</v>
      </c>
      <c r="I731" s="49" t="n">
        <f aca="false">IF('Model Inputs &amp; Assumptions'!$H$29="Fixed",'Model Inputs &amp; Assumptions'!$I$29*'Model Inputs &amp; Assumptions'!$K$29,IF('Model Inputs &amp; Assumptions'!$H$29="CPM",'Model Inputs &amp; Assumptions'!$I$29*'Model Inputs &amp; Assumptions'!$K$29*C731/1000,IF('Model Inputs &amp; Assumptions'!$H$29="CPC",'Model Inputs &amp; Assumptions'!$I$29*'Model Inputs &amp; Assumptions'!$K$29*G731,0)))</f>
        <v>6500</v>
      </c>
      <c r="J731" s="50" t="n">
        <f aca="false">H731*INDEX('Model Inputs &amp; Assumptions'!$D$40:$D$42,MATCH('Model Inputs &amp; Assumptions'!$L$29,'Model Inputs &amp; Assumptions'!$A$40:$A$42,0))*INDEX('Model Inputs &amp; Assumptions'!$H$40:$H$42,MATCH('Model Inputs &amp; Assumptions'!$L$29,'Model Inputs &amp; Assumptions'!$A$40:$A$42,0))</f>
        <v>199244.160947973</v>
      </c>
      <c r="K731" s="49" t="n">
        <f aca="false">H731*INDEX('Model Inputs &amp; Assumptions'!$G$40:$G$42,MATCH('Model Inputs &amp; Assumptions'!$L$29,'Model Inputs &amp; Assumptions'!$A$40:$A$42,0))*INDEX('Model Inputs &amp; Assumptions'!$H$40:$H$42,MATCH('Model Inputs &amp; Assumptions'!$L$29,'Model Inputs &amp; Assumptions'!$A$40:$A$42,0))</f>
        <v>4482.99362132939</v>
      </c>
      <c r="L731" s="51" t="n">
        <f aca="false">IFERROR(K731/I731,0)</f>
        <v>0.689691326358368</v>
      </c>
      <c r="M731" s="49" t="n">
        <f aca="false">IFERROR(I731/H731,0)</f>
        <v>277.297963147974</v>
      </c>
      <c r="N731" s="52" t="str">
        <f aca="false">'Model Inputs &amp; Assumptions'!$L$29</f>
        <v>PRD-EUAI</v>
      </c>
      <c r="P731" s="53" t="n">
        <v>1.328528</v>
      </c>
      <c r="Q731" s="53" t="n">
        <v>-1.290381</v>
      </c>
      <c r="R731" s="53" t="n">
        <v>-0.628747</v>
      </c>
      <c r="S731" s="53" t="n">
        <v>-0.850911</v>
      </c>
    </row>
    <row r="732" customFormat="false" ht="15" hidden="false" customHeight="false" outlineLevel="0" collapsed="false">
      <c r="A732" s="43" t="n">
        <v>229</v>
      </c>
      <c r="B732" s="44" t="str">
        <f aca="false">'Model Inputs &amp; Assumptions'!$B$29</f>
        <v>Handelsblatt — Native Explainer</v>
      </c>
      <c r="C732" s="45" t="n">
        <f aca="false">ROUND(MAX(0,'Model Inputs &amp; Assumptions'!$S$29*EXP('Model Inputs &amp; Assumptions'!$T$29*P732-'Model Inputs &amp; Assumptions'!$T$29^2/2)),0)</f>
        <v>204847</v>
      </c>
      <c r="D732" s="46" t="n">
        <f aca="false">MIN(1,'Model Inputs &amp; Assumptions'!$U$29*EXP('Model Inputs &amp; Assumptions'!$V$29*Q732-'Model Inputs &amp; Assumptions'!$V$29^2/2))</f>
        <v>0</v>
      </c>
      <c r="E732" s="45" t="n">
        <f aca="false">ROUND(C732*D732,0)</f>
        <v>0</v>
      </c>
      <c r="F732" s="47" t="n">
        <f aca="false">MIN(1,'Model Inputs &amp; Assumptions'!$W$29*EXP('Model Inputs &amp; Assumptions'!$X$29*R732-'Model Inputs &amp; Assumptions'!$X$29^2/2))</f>
        <v>0.00506327040094361</v>
      </c>
      <c r="G732" s="45" t="n">
        <f aca="false">ROUND(C732*F732,0)</f>
        <v>1037</v>
      </c>
      <c r="H732" s="48" t="n">
        <f aca="false">MAX(0,(C732*'Model Inputs &amp; Assumptions'!$N$29+E732*'Model Inputs &amp; Assumptions'!$O$29+G732*'Model Inputs &amp; Assumptions'!$P$29)*EXP('Model Inputs &amp; Assumptions'!$Q$29*S732-'Model Inputs &amp; Assumptions'!$Q$29^2/2))</f>
        <v>44.2347082154095</v>
      </c>
      <c r="I732" s="49" t="n">
        <f aca="false">IF('Model Inputs &amp; Assumptions'!$H$29="Fixed",'Model Inputs &amp; Assumptions'!$I$29*'Model Inputs &amp; Assumptions'!$K$29,IF('Model Inputs &amp; Assumptions'!$H$29="CPM",'Model Inputs &amp; Assumptions'!$I$29*'Model Inputs &amp; Assumptions'!$K$29*C732/1000,IF('Model Inputs &amp; Assumptions'!$H$29="CPC",'Model Inputs &amp; Assumptions'!$I$29*'Model Inputs &amp; Assumptions'!$K$29*G732,0)))</f>
        <v>6500</v>
      </c>
      <c r="J732" s="50" t="n">
        <f aca="false">H732*INDEX('Model Inputs &amp; Assumptions'!$D$40:$D$42,MATCH('Model Inputs &amp; Assumptions'!$L$29,'Model Inputs &amp; Assumptions'!$A$40:$A$42,0))*INDEX('Model Inputs &amp; Assumptions'!$H$40:$H$42,MATCH('Model Inputs &amp; Assumptions'!$L$29,'Model Inputs &amp; Assumptions'!$A$40:$A$42,0))</f>
        <v>375995.019830981</v>
      </c>
      <c r="K732" s="49" t="n">
        <f aca="false">H732*INDEX('Model Inputs &amp; Assumptions'!$G$40:$G$42,MATCH('Model Inputs &amp; Assumptions'!$L$29,'Model Inputs &amp; Assumptions'!$A$40:$A$42,0))*INDEX('Model Inputs &amp; Assumptions'!$H$40:$H$42,MATCH('Model Inputs &amp; Assumptions'!$L$29,'Model Inputs &amp; Assumptions'!$A$40:$A$42,0))</f>
        <v>8459.88794619707</v>
      </c>
      <c r="L732" s="51" t="n">
        <f aca="false">IFERROR(K732/I732,0)</f>
        <v>1.30152122249186</v>
      </c>
      <c r="M732" s="49" t="n">
        <f aca="false">IFERROR(I732/H732,0)</f>
        <v>146.943435646664</v>
      </c>
      <c r="N732" s="52" t="str">
        <f aca="false">'Model Inputs &amp; Assumptions'!$L$29</f>
        <v>PRD-EUAI</v>
      </c>
      <c r="P732" s="53" t="n">
        <v>0.264526</v>
      </c>
      <c r="Q732" s="53" t="n">
        <v>-0.224132</v>
      </c>
      <c r="R732" s="53" t="n">
        <v>2.173648</v>
      </c>
      <c r="S732" s="53" t="n">
        <v>-0.379484</v>
      </c>
    </row>
    <row r="733" customFormat="false" ht="15" hidden="false" customHeight="false" outlineLevel="0" collapsed="false">
      <c r="A733" s="43" t="n">
        <v>230</v>
      </c>
      <c r="B733" s="44" t="str">
        <f aca="false">'Model Inputs &amp; Assumptions'!$B$29</f>
        <v>Handelsblatt — Native Explainer</v>
      </c>
      <c r="C733" s="45" t="n">
        <f aca="false">ROUND(MAX(0,'Model Inputs &amp; Assumptions'!$S$29*EXP('Model Inputs &amp; Assumptions'!$T$29*P733-'Model Inputs &amp; Assumptions'!$T$29^2/2)),0)</f>
        <v>283785</v>
      </c>
      <c r="D733" s="46" t="n">
        <f aca="false">MIN(1,'Model Inputs &amp; Assumptions'!$U$29*EXP('Model Inputs &amp; Assumptions'!$V$29*Q733-'Model Inputs &amp; Assumptions'!$V$29^2/2))</f>
        <v>0</v>
      </c>
      <c r="E733" s="45" t="n">
        <f aca="false">ROUND(C733*D733,0)</f>
        <v>0</v>
      </c>
      <c r="F733" s="47" t="n">
        <f aca="false">MIN(1,'Model Inputs &amp; Assumptions'!$W$29*EXP('Model Inputs &amp; Assumptions'!$X$29*R733-'Model Inputs &amp; Assumptions'!$X$29^2/2))</f>
        <v>0.00407729549120861</v>
      </c>
      <c r="G733" s="45" t="n">
        <f aca="false">ROUND(C733*F733,0)</f>
        <v>1157</v>
      </c>
      <c r="H733" s="48" t="n">
        <f aca="false">MAX(0,(C733*'Model Inputs &amp; Assumptions'!$N$29+E733*'Model Inputs &amp; Assumptions'!$O$29+G733*'Model Inputs &amp; Assumptions'!$P$29)*EXP('Model Inputs &amp; Assumptions'!$Q$29*S733-'Model Inputs &amp; Assumptions'!$Q$29^2/2))</f>
        <v>72.0830014981699</v>
      </c>
      <c r="I733" s="49" t="n">
        <f aca="false">IF('Model Inputs &amp; Assumptions'!$H$29="Fixed",'Model Inputs &amp; Assumptions'!$I$29*'Model Inputs &amp; Assumptions'!$K$29,IF('Model Inputs &amp; Assumptions'!$H$29="CPM",'Model Inputs &amp; Assumptions'!$I$29*'Model Inputs &amp; Assumptions'!$K$29*C733/1000,IF('Model Inputs &amp; Assumptions'!$H$29="CPC",'Model Inputs &amp; Assumptions'!$I$29*'Model Inputs &amp; Assumptions'!$K$29*G733,0)))</f>
        <v>6500</v>
      </c>
      <c r="J733" s="50" t="n">
        <f aca="false">H733*INDEX('Model Inputs &amp; Assumptions'!$D$40:$D$42,MATCH('Model Inputs &amp; Assumptions'!$L$29,'Model Inputs &amp; Assumptions'!$A$40:$A$42,0))*INDEX('Model Inputs &amp; Assumptions'!$H$40:$H$42,MATCH('Model Inputs &amp; Assumptions'!$L$29,'Model Inputs &amp; Assumptions'!$A$40:$A$42,0))</f>
        <v>612705.512734444</v>
      </c>
      <c r="K733" s="49" t="n">
        <f aca="false">H733*INDEX('Model Inputs &amp; Assumptions'!$G$40:$G$42,MATCH('Model Inputs &amp; Assumptions'!$L$29,'Model Inputs &amp; Assumptions'!$A$40:$A$42,0))*INDEX('Model Inputs &amp; Assumptions'!$H$40:$H$42,MATCH('Model Inputs &amp; Assumptions'!$L$29,'Model Inputs &amp; Assumptions'!$A$40:$A$42,0))</f>
        <v>13785.874036525</v>
      </c>
      <c r="L733" s="51" t="n">
        <f aca="false">IFERROR(K733/I733,0)</f>
        <v>2.12090369792692</v>
      </c>
      <c r="M733" s="49" t="n">
        <f aca="false">IFERROR(I733/H733,0)</f>
        <v>90.1738255192527</v>
      </c>
      <c r="N733" s="52" t="str">
        <f aca="false">'Model Inputs &amp; Assumptions'!$L$29</f>
        <v>PRD-EUAI</v>
      </c>
      <c r="P733" s="53" t="n">
        <v>1.746137</v>
      </c>
      <c r="Q733" s="53" t="n">
        <v>-0.599883</v>
      </c>
      <c r="R733" s="53" t="n">
        <v>1.340653</v>
      </c>
      <c r="S733" s="53" t="n">
        <v>0.883216</v>
      </c>
    </row>
    <row r="734" customFormat="false" ht="15" hidden="false" customHeight="false" outlineLevel="0" collapsed="false">
      <c r="A734" s="43" t="n">
        <v>231</v>
      </c>
      <c r="B734" s="44" t="str">
        <f aca="false">'Model Inputs &amp; Assumptions'!$B$29</f>
        <v>Handelsblatt — Native Explainer</v>
      </c>
      <c r="C734" s="45" t="n">
        <f aca="false">ROUND(MAX(0,'Model Inputs &amp; Assumptions'!$S$29*EXP('Model Inputs &amp; Assumptions'!$T$29*P734-'Model Inputs &amp; Assumptions'!$T$29^2/2)),0)</f>
        <v>166602</v>
      </c>
      <c r="D734" s="46" t="n">
        <f aca="false">MIN(1,'Model Inputs &amp; Assumptions'!$U$29*EXP('Model Inputs &amp; Assumptions'!$V$29*Q734-'Model Inputs &amp; Assumptions'!$V$29^2/2))</f>
        <v>0</v>
      </c>
      <c r="E734" s="45" t="n">
        <f aca="false">ROUND(C734*D734,0)</f>
        <v>0</v>
      </c>
      <c r="F734" s="47" t="n">
        <f aca="false">MIN(1,'Model Inputs &amp; Assumptions'!$W$29*EXP('Model Inputs &amp; Assumptions'!$X$29*R734-'Model Inputs &amp; Assumptions'!$X$29^2/2))</f>
        <v>0.00222606750662298</v>
      </c>
      <c r="G734" s="45" t="n">
        <f aca="false">ROUND(C734*F734,0)</f>
        <v>371</v>
      </c>
      <c r="H734" s="48" t="n">
        <f aca="false">MAX(0,(C734*'Model Inputs &amp; Assumptions'!$N$29+E734*'Model Inputs &amp; Assumptions'!$O$29+G734*'Model Inputs &amp; Assumptions'!$P$29)*EXP('Model Inputs &amp; Assumptions'!$Q$29*S734-'Model Inputs &amp; Assumptions'!$Q$29^2/2))</f>
        <v>16.9455063918521</v>
      </c>
      <c r="I734" s="49" t="n">
        <f aca="false">IF('Model Inputs &amp; Assumptions'!$H$29="Fixed",'Model Inputs &amp; Assumptions'!$I$29*'Model Inputs &amp; Assumptions'!$K$29,IF('Model Inputs &amp; Assumptions'!$H$29="CPM",'Model Inputs &amp; Assumptions'!$I$29*'Model Inputs &amp; Assumptions'!$K$29*C734/1000,IF('Model Inputs &amp; Assumptions'!$H$29="CPC",'Model Inputs &amp; Assumptions'!$I$29*'Model Inputs &amp; Assumptions'!$K$29*G734,0)))</f>
        <v>6500</v>
      </c>
      <c r="J734" s="50" t="n">
        <f aca="false">H734*INDEX('Model Inputs &amp; Assumptions'!$D$40:$D$42,MATCH('Model Inputs &amp; Assumptions'!$L$29,'Model Inputs &amp; Assumptions'!$A$40:$A$42,0))*INDEX('Model Inputs &amp; Assumptions'!$H$40:$H$42,MATCH('Model Inputs &amp; Assumptions'!$L$29,'Model Inputs &amp; Assumptions'!$A$40:$A$42,0))</f>
        <v>144036.804330743</v>
      </c>
      <c r="K734" s="49" t="n">
        <f aca="false">H734*INDEX('Model Inputs &amp; Assumptions'!$G$40:$G$42,MATCH('Model Inputs &amp; Assumptions'!$L$29,'Model Inputs &amp; Assumptions'!$A$40:$A$42,0))*INDEX('Model Inputs &amp; Assumptions'!$H$40:$H$42,MATCH('Model Inputs &amp; Assumptions'!$L$29,'Model Inputs &amp; Assumptions'!$A$40:$A$42,0))</f>
        <v>3240.82809744171</v>
      </c>
      <c r="L734" s="51" t="n">
        <f aca="false">IFERROR(K734/I734,0)</f>
        <v>0.498588938067955</v>
      </c>
      <c r="M734" s="49" t="n">
        <f aca="false">IFERROR(I734/H734,0)</f>
        <v>383.582517376135</v>
      </c>
      <c r="N734" s="52" t="str">
        <f aca="false">'Model Inputs &amp; Assumptions'!$L$29</f>
        <v>PRD-EUAI</v>
      </c>
      <c r="P734" s="53" t="n">
        <v>-0.67482</v>
      </c>
      <c r="Q734" s="53" t="n">
        <v>-0.14766</v>
      </c>
      <c r="R734" s="53" t="n">
        <v>-0.987029</v>
      </c>
      <c r="S734" s="53" t="n">
        <v>-0.151557</v>
      </c>
    </row>
    <row r="735" customFormat="false" ht="15" hidden="false" customHeight="false" outlineLevel="0" collapsed="false">
      <c r="A735" s="43" t="n">
        <v>232</v>
      </c>
      <c r="B735" s="44" t="str">
        <f aca="false">'Model Inputs &amp; Assumptions'!$B$29</f>
        <v>Handelsblatt — Native Explainer</v>
      </c>
      <c r="C735" s="45" t="n">
        <f aca="false">ROUND(MAX(0,'Model Inputs &amp; Assumptions'!$S$29*EXP('Model Inputs &amp; Assumptions'!$T$29*P735-'Model Inputs &amp; Assumptions'!$T$29^2/2)),0)</f>
        <v>131353</v>
      </c>
      <c r="D735" s="46" t="n">
        <f aca="false">MIN(1,'Model Inputs &amp; Assumptions'!$U$29*EXP('Model Inputs &amp; Assumptions'!$V$29*Q735-'Model Inputs &amp; Assumptions'!$V$29^2/2))</f>
        <v>0</v>
      </c>
      <c r="E735" s="45" t="n">
        <f aca="false">ROUND(C735*D735,0)</f>
        <v>0</v>
      </c>
      <c r="F735" s="47" t="n">
        <f aca="false">MIN(1,'Model Inputs &amp; Assumptions'!$W$29*EXP('Model Inputs &amp; Assumptions'!$X$29*R735-'Model Inputs &amp; Assumptions'!$X$29^2/2))</f>
        <v>0.00306334586582155</v>
      </c>
      <c r="G735" s="45" t="n">
        <f aca="false">ROUND(C735*F735,0)</f>
        <v>402</v>
      </c>
      <c r="H735" s="48" t="n">
        <f aca="false">MAX(0,(C735*'Model Inputs &amp; Assumptions'!$N$29+E735*'Model Inputs &amp; Assumptions'!$O$29+G735*'Model Inputs &amp; Assumptions'!$P$29)*EXP('Model Inputs &amp; Assumptions'!$Q$29*S735-'Model Inputs &amp; Assumptions'!$Q$29^2/2))</f>
        <v>22.7699871347119</v>
      </c>
      <c r="I735" s="49" t="n">
        <f aca="false">IF('Model Inputs &amp; Assumptions'!$H$29="Fixed",'Model Inputs &amp; Assumptions'!$I$29*'Model Inputs &amp; Assumptions'!$K$29,IF('Model Inputs &amp; Assumptions'!$H$29="CPM",'Model Inputs &amp; Assumptions'!$I$29*'Model Inputs &amp; Assumptions'!$K$29*C735/1000,IF('Model Inputs &amp; Assumptions'!$H$29="CPC",'Model Inputs &amp; Assumptions'!$I$29*'Model Inputs &amp; Assumptions'!$K$29*G735,0)))</f>
        <v>6500</v>
      </c>
      <c r="J735" s="50" t="n">
        <f aca="false">H735*INDEX('Model Inputs &amp; Assumptions'!$D$40:$D$42,MATCH('Model Inputs &amp; Assumptions'!$L$29,'Model Inputs &amp; Assumptions'!$A$40:$A$42,0))*INDEX('Model Inputs &amp; Assumptions'!$H$40:$H$42,MATCH('Model Inputs &amp; Assumptions'!$L$29,'Model Inputs &amp; Assumptions'!$A$40:$A$42,0))</f>
        <v>193544.890645051</v>
      </c>
      <c r="K735" s="49" t="n">
        <f aca="false">H735*INDEX('Model Inputs &amp; Assumptions'!$G$40:$G$42,MATCH('Model Inputs &amp; Assumptions'!$L$29,'Model Inputs &amp; Assumptions'!$A$40:$A$42,0))*INDEX('Model Inputs &amp; Assumptions'!$H$40:$H$42,MATCH('Model Inputs &amp; Assumptions'!$L$29,'Model Inputs &amp; Assumptions'!$A$40:$A$42,0))</f>
        <v>4354.76003951364</v>
      </c>
      <c r="L735" s="51" t="n">
        <f aca="false">IFERROR(K735/I735,0)</f>
        <v>0.669963083002099</v>
      </c>
      <c r="M735" s="49" t="n">
        <f aca="false">IFERROR(I735/H735,0)</f>
        <v>285.463490231447</v>
      </c>
      <c r="N735" s="52" t="str">
        <f aca="false">'Model Inputs &amp; Assumptions'!$L$29</f>
        <v>PRD-EUAI</v>
      </c>
      <c r="P735" s="53" t="n">
        <v>-1.755355</v>
      </c>
      <c r="Q735" s="53" t="n">
        <v>-1.271745</v>
      </c>
      <c r="R735" s="53" t="n">
        <v>0.240937</v>
      </c>
      <c r="S735" s="53" t="n">
        <v>0.565745</v>
      </c>
    </row>
    <row r="736" customFormat="false" ht="15" hidden="false" customHeight="false" outlineLevel="0" collapsed="false">
      <c r="A736" s="43" t="n">
        <v>233</v>
      </c>
      <c r="B736" s="44" t="str">
        <f aca="false">'Model Inputs &amp; Assumptions'!$B$29</f>
        <v>Handelsblatt — Native Explainer</v>
      </c>
      <c r="C736" s="45" t="n">
        <f aca="false">ROUND(MAX(0,'Model Inputs &amp; Assumptions'!$S$29*EXP('Model Inputs &amp; Assumptions'!$T$29*P736-'Model Inputs &amp; Assumptions'!$T$29^2/2)),0)</f>
        <v>133370</v>
      </c>
      <c r="D736" s="46" t="n">
        <f aca="false">MIN(1,'Model Inputs &amp; Assumptions'!$U$29*EXP('Model Inputs &amp; Assumptions'!$V$29*Q736-'Model Inputs &amp; Assumptions'!$V$29^2/2))</f>
        <v>0</v>
      </c>
      <c r="E736" s="45" t="n">
        <f aca="false">ROUND(C736*D736,0)</f>
        <v>0</v>
      </c>
      <c r="F736" s="47" t="n">
        <f aca="false">MIN(1,'Model Inputs &amp; Assumptions'!$W$29*EXP('Model Inputs &amp; Assumptions'!$X$29*R736-'Model Inputs &amp; Assumptions'!$X$29^2/2))</f>
        <v>0.00367632686359173</v>
      </c>
      <c r="G736" s="45" t="n">
        <f aca="false">ROUND(C736*F736,0)</f>
        <v>490</v>
      </c>
      <c r="H736" s="48" t="n">
        <f aca="false">MAX(0,(C736*'Model Inputs &amp; Assumptions'!$N$29+E736*'Model Inputs &amp; Assumptions'!$O$29+G736*'Model Inputs &amp; Assumptions'!$P$29)*EXP('Model Inputs &amp; Assumptions'!$Q$29*S736-'Model Inputs &amp; Assumptions'!$Q$29^2/2))</f>
        <v>18.4831760856099</v>
      </c>
      <c r="I736" s="49" t="n">
        <f aca="false">IF('Model Inputs &amp; Assumptions'!$H$29="Fixed",'Model Inputs &amp; Assumptions'!$I$29*'Model Inputs &amp; Assumptions'!$K$29,IF('Model Inputs &amp; Assumptions'!$H$29="CPM",'Model Inputs &amp; Assumptions'!$I$29*'Model Inputs &amp; Assumptions'!$K$29*C736/1000,IF('Model Inputs &amp; Assumptions'!$H$29="CPC",'Model Inputs &amp; Assumptions'!$I$29*'Model Inputs &amp; Assumptions'!$K$29*G736,0)))</f>
        <v>6500</v>
      </c>
      <c r="J736" s="50" t="n">
        <f aca="false">H736*INDEX('Model Inputs &amp; Assumptions'!$D$40:$D$42,MATCH('Model Inputs &amp; Assumptions'!$L$29,'Model Inputs &amp; Assumptions'!$A$40:$A$42,0))*INDEX('Model Inputs &amp; Assumptions'!$H$40:$H$42,MATCH('Model Inputs &amp; Assumptions'!$L$29,'Model Inputs &amp; Assumptions'!$A$40:$A$42,0))</f>
        <v>157106.996727684</v>
      </c>
      <c r="K736" s="49" t="n">
        <f aca="false">H736*INDEX('Model Inputs &amp; Assumptions'!$G$40:$G$42,MATCH('Model Inputs &amp; Assumptions'!$L$29,'Model Inputs &amp; Assumptions'!$A$40:$A$42,0))*INDEX('Model Inputs &amp; Assumptions'!$H$40:$H$42,MATCH('Model Inputs &amp; Assumptions'!$L$29,'Model Inputs &amp; Assumptions'!$A$40:$A$42,0))</f>
        <v>3534.90742637289</v>
      </c>
      <c r="L736" s="51" t="n">
        <f aca="false">IFERROR(K736/I736,0)</f>
        <v>0.543831911749675</v>
      </c>
      <c r="M736" s="49" t="n">
        <f aca="false">IFERROR(I736/H736,0)</f>
        <v>351.671161379055</v>
      </c>
      <c r="N736" s="52" t="str">
        <f aca="false">'Model Inputs &amp; Assumptions'!$L$29</f>
        <v>PRD-EUAI</v>
      </c>
      <c r="P736" s="53" t="n">
        <v>-1.686084</v>
      </c>
      <c r="Q736" s="53" t="n">
        <v>-1.304099</v>
      </c>
      <c r="R736" s="53" t="n">
        <v>0.9425</v>
      </c>
      <c r="S736" s="53" t="n">
        <v>-0.789374</v>
      </c>
    </row>
    <row r="737" customFormat="false" ht="15" hidden="false" customHeight="false" outlineLevel="0" collapsed="false">
      <c r="A737" s="43" t="n">
        <v>234</v>
      </c>
      <c r="B737" s="44" t="str">
        <f aca="false">'Model Inputs &amp; Assumptions'!$B$29</f>
        <v>Handelsblatt — Native Explainer</v>
      </c>
      <c r="C737" s="45" t="n">
        <f aca="false">ROUND(MAX(0,'Model Inputs &amp; Assumptions'!$S$29*EXP('Model Inputs &amp; Assumptions'!$T$29*P737-'Model Inputs &amp; Assumptions'!$T$29^2/2)),0)</f>
        <v>225136</v>
      </c>
      <c r="D737" s="46" t="n">
        <f aca="false">MIN(1,'Model Inputs &amp; Assumptions'!$U$29*EXP('Model Inputs &amp; Assumptions'!$V$29*Q737-'Model Inputs &amp; Assumptions'!$V$29^2/2))</f>
        <v>0</v>
      </c>
      <c r="E737" s="45" t="n">
        <f aca="false">ROUND(C737*D737,0)</f>
        <v>0</v>
      </c>
      <c r="F737" s="47" t="n">
        <f aca="false">MIN(1,'Model Inputs &amp; Assumptions'!$W$29*EXP('Model Inputs &amp; Assumptions'!$X$29*R737-'Model Inputs &amp; Assumptions'!$X$29^2/2))</f>
        <v>0.00361535813123619</v>
      </c>
      <c r="G737" s="45" t="n">
        <f aca="false">ROUND(C737*F737,0)</f>
        <v>814</v>
      </c>
      <c r="H737" s="48" t="n">
        <f aca="false">MAX(0,(C737*'Model Inputs &amp; Assumptions'!$N$29+E737*'Model Inputs &amp; Assumptions'!$O$29+G737*'Model Inputs &amp; Assumptions'!$P$29)*EXP('Model Inputs &amp; Assumptions'!$Q$29*S737-'Model Inputs &amp; Assumptions'!$Q$29^2/2))</f>
        <v>41.5070167994253</v>
      </c>
      <c r="I737" s="49" t="n">
        <f aca="false">IF('Model Inputs &amp; Assumptions'!$H$29="Fixed",'Model Inputs &amp; Assumptions'!$I$29*'Model Inputs &amp; Assumptions'!$K$29,IF('Model Inputs &amp; Assumptions'!$H$29="CPM",'Model Inputs &amp; Assumptions'!$I$29*'Model Inputs &amp; Assumptions'!$K$29*C737/1000,IF('Model Inputs &amp; Assumptions'!$H$29="CPC",'Model Inputs &amp; Assumptions'!$I$29*'Model Inputs &amp; Assumptions'!$K$29*G737,0)))</f>
        <v>6500</v>
      </c>
      <c r="J737" s="50" t="n">
        <f aca="false">H737*INDEX('Model Inputs &amp; Assumptions'!$D$40:$D$42,MATCH('Model Inputs &amp; Assumptions'!$L$29,'Model Inputs &amp; Assumptions'!$A$40:$A$42,0))*INDEX('Model Inputs &amp; Assumptions'!$H$40:$H$42,MATCH('Model Inputs &amp; Assumptions'!$L$29,'Model Inputs &amp; Assumptions'!$A$40:$A$42,0))</f>
        <v>352809.642795115</v>
      </c>
      <c r="K737" s="49" t="n">
        <f aca="false">H737*INDEX('Model Inputs &amp; Assumptions'!$G$40:$G$42,MATCH('Model Inputs &amp; Assumptions'!$L$29,'Model Inputs &amp; Assumptions'!$A$40:$A$42,0))*INDEX('Model Inputs &amp; Assumptions'!$H$40:$H$42,MATCH('Model Inputs &amp; Assumptions'!$L$29,'Model Inputs &amp; Assumptions'!$A$40:$A$42,0))</f>
        <v>7938.2169628901</v>
      </c>
      <c r="L737" s="51" t="n">
        <f aca="false">IFERROR(K737/I737,0)</f>
        <v>1.22126414813694</v>
      </c>
      <c r="M737" s="49" t="n">
        <f aca="false">IFERROR(I737/H737,0)</f>
        <v>156.600028168972</v>
      </c>
      <c r="N737" s="52" t="str">
        <f aca="false">'Model Inputs &amp; Assumptions'!$L$29</f>
        <v>PRD-EUAI</v>
      </c>
      <c r="P737" s="53" t="n">
        <v>0.693815</v>
      </c>
      <c r="Q737" s="53" t="n">
        <v>-0.694702</v>
      </c>
      <c r="R737" s="53" t="n">
        <v>0.87818</v>
      </c>
      <c r="S737" s="53" t="n">
        <v>0.215448</v>
      </c>
    </row>
    <row r="738" customFormat="false" ht="15" hidden="false" customHeight="false" outlineLevel="0" collapsed="false">
      <c r="A738" s="43" t="n">
        <v>235</v>
      </c>
      <c r="B738" s="44" t="str">
        <f aca="false">'Model Inputs &amp; Assumptions'!$B$29</f>
        <v>Handelsblatt — Native Explainer</v>
      </c>
      <c r="C738" s="45" t="n">
        <f aca="false">ROUND(MAX(0,'Model Inputs &amp; Assumptions'!$S$29*EXP('Model Inputs &amp; Assumptions'!$T$29*P738-'Model Inputs &amp; Assumptions'!$T$29^2/2)),0)</f>
        <v>147744</v>
      </c>
      <c r="D738" s="46" t="n">
        <f aca="false">MIN(1,'Model Inputs &amp; Assumptions'!$U$29*EXP('Model Inputs &amp; Assumptions'!$V$29*Q738-'Model Inputs &amp; Assumptions'!$V$29^2/2))</f>
        <v>0</v>
      </c>
      <c r="E738" s="45" t="n">
        <f aca="false">ROUND(C738*D738,0)</f>
        <v>0</v>
      </c>
      <c r="F738" s="47" t="n">
        <f aca="false">MIN(1,'Model Inputs &amp; Assumptions'!$W$29*EXP('Model Inputs &amp; Assumptions'!$X$29*R738-'Model Inputs &amp; Assumptions'!$X$29^2/2))</f>
        <v>0.00253336869940692</v>
      </c>
      <c r="G738" s="45" t="n">
        <f aca="false">ROUND(C738*F738,0)</f>
        <v>374</v>
      </c>
      <c r="H738" s="48" t="n">
        <f aca="false">MAX(0,(C738*'Model Inputs &amp; Assumptions'!$N$29+E738*'Model Inputs &amp; Assumptions'!$O$29+G738*'Model Inputs &amp; Assumptions'!$P$29)*EXP('Model Inputs &amp; Assumptions'!$Q$29*S738-'Model Inputs &amp; Assumptions'!$Q$29^2/2))</f>
        <v>14.0808824653326</v>
      </c>
      <c r="I738" s="49" t="n">
        <f aca="false">IF('Model Inputs &amp; Assumptions'!$H$29="Fixed",'Model Inputs &amp; Assumptions'!$I$29*'Model Inputs &amp; Assumptions'!$K$29,IF('Model Inputs &amp; Assumptions'!$H$29="CPM",'Model Inputs &amp; Assumptions'!$I$29*'Model Inputs &amp; Assumptions'!$K$29*C738/1000,IF('Model Inputs &amp; Assumptions'!$H$29="CPC",'Model Inputs &amp; Assumptions'!$I$29*'Model Inputs &amp; Assumptions'!$K$29*G738,0)))</f>
        <v>6500</v>
      </c>
      <c r="J738" s="50" t="n">
        <f aca="false">H738*INDEX('Model Inputs &amp; Assumptions'!$D$40:$D$42,MATCH('Model Inputs &amp; Assumptions'!$L$29,'Model Inputs &amp; Assumptions'!$A$40:$A$42,0))*INDEX('Model Inputs &amp; Assumptions'!$H$40:$H$42,MATCH('Model Inputs &amp; Assumptions'!$L$29,'Model Inputs &amp; Assumptions'!$A$40:$A$42,0))</f>
        <v>119687.500955327</v>
      </c>
      <c r="K738" s="49" t="n">
        <f aca="false">H738*INDEX('Model Inputs &amp; Assumptions'!$G$40:$G$42,MATCH('Model Inputs &amp; Assumptions'!$L$29,'Model Inputs &amp; Assumptions'!$A$40:$A$42,0))*INDEX('Model Inputs &amp; Assumptions'!$H$40:$H$42,MATCH('Model Inputs &amp; Assumptions'!$L$29,'Model Inputs &amp; Assumptions'!$A$40:$A$42,0))</f>
        <v>2692.96877149486</v>
      </c>
      <c r="L738" s="51" t="n">
        <f aca="false">IFERROR(K738/I738,0)</f>
        <v>0.414302887922287</v>
      </c>
      <c r="M738" s="49" t="n">
        <f aca="false">IFERROR(I738/H738,0)</f>
        <v>461.618795271043</v>
      </c>
      <c r="N738" s="52" t="str">
        <f aca="false">'Model Inputs &amp; Assumptions'!$L$29</f>
        <v>PRD-EUAI</v>
      </c>
      <c r="P738" s="53" t="n">
        <v>-1.220831</v>
      </c>
      <c r="Q738" s="53" t="n">
        <v>-0.466108</v>
      </c>
      <c r="R738" s="53" t="n">
        <v>-0.48967</v>
      </c>
      <c r="S738" s="53" t="n">
        <v>-0.795685</v>
      </c>
    </row>
    <row r="739" customFormat="false" ht="15" hidden="false" customHeight="false" outlineLevel="0" collapsed="false">
      <c r="A739" s="43" t="n">
        <v>236</v>
      </c>
      <c r="B739" s="44" t="str">
        <f aca="false">'Model Inputs &amp; Assumptions'!$B$29</f>
        <v>Handelsblatt — Native Explainer</v>
      </c>
      <c r="C739" s="45" t="n">
        <f aca="false">ROUND(MAX(0,'Model Inputs &amp; Assumptions'!$S$29*EXP('Model Inputs &amp; Assumptions'!$T$29*P739-'Model Inputs &amp; Assumptions'!$T$29^2/2)),0)</f>
        <v>319566</v>
      </c>
      <c r="D739" s="46" t="n">
        <f aca="false">MIN(1,'Model Inputs &amp; Assumptions'!$U$29*EXP('Model Inputs &amp; Assumptions'!$V$29*Q739-'Model Inputs &amp; Assumptions'!$V$29^2/2))</f>
        <v>0</v>
      </c>
      <c r="E739" s="45" t="n">
        <f aca="false">ROUND(C739*D739,0)</f>
        <v>0</v>
      </c>
      <c r="F739" s="47" t="n">
        <f aca="false">MIN(1,'Model Inputs &amp; Assumptions'!$W$29*EXP('Model Inputs &amp; Assumptions'!$X$29*R739-'Model Inputs &amp; Assumptions'!$X$29^2/2))</f>
        <v>0.00210480199550918</v>
      </c>
      <c r="G739" s="45" t="n">
        <f aca="false">ROUND(C739*F739,0)</f>
        <v>673</v>
      </c>
      <c r="H739" s="48" t="n">
        <f aca="false">MAX(0,(C739*'Model Inputs &amp; Assumptions'!$N$29+E739*'Model Inputs &amp; Assumptions'!$O$29+G739*'Model Inputs &amp; Assumptions'!$P$29)*EXP('Model Inputs &amp; Assumptions'!$Q$29*S739-'Model Inputs &amp; Assumptions'!$Q$29^2/2))</f>
        <v>50.0128991967362</v>
      </c>
      <c r="I739" s="49" t="n">
        <f aca="false">IF('Model Inputs &amp; Assumptions'!$H$29="Fixed",'Model Inputs &amp; Assumptions'!$I$29*'Model Inputs &amp; Assumptions'!$K$29,IF('Model Inputs &amp; Assumptions'!$H$29="CPM",'Model Inputs &amp; Assumptions'!$I$29*'Model Inputs &amp; Assumptions'!$K$29*C739/1000,IF('Model Inputs &amp; Assumptions'!$H$29="CPC",'Model Inputs &amp; Assumptions'!$I$29*'Model Inputs &amp; Assumptions'!$K$29*G739,0)))</f>
        <v>6500</v>
      </c>
      <c r="J739" s="50" t="n">
        <f aca="false">H739*INDEX('Model Inputs &amp; Assumptions'!$D$40:$D$42,MATCH('Model Inputs &amp; Assumptions'!$L$29,'Model Inputs &amp; Assumptions'!$A$40:$A$42,0))*INDEX('Model Inputs &amp; Assumptions'!$H$40:$H$42,MATCH('Model Inputs &amp; Assumptions'!$L$29,'Model Inputs &amp; Assumptions'!$A$40:$A$42,0))</f>
        <v>425109.643172258</v>
      </c>
      <c r="K739" s="49" t="n">
        <f aca="false">H739*INDEX('Model Inputs &amp; Assumptions'!$G$40:$G$42,MATCH('Model Inputs &amp; Assumptions'!$L$29,'Model Inputs &amp; Assumptions'!$A$40:$A$42,0))*INDEX('Model Inputs &amp; Assumptions'!$H$40:$H$42,MATCH('Model Inputs &amp; Assumptions'!$L$29,'Model Inputs &amp; Assumptions'!$A$40:$A$42,0))</f>
        <v>9564.9669713758</v>
      </c>
      <c r="L739" s="51" t="n">
        <f aca="false">IFERROR(K739/I739,0)</f>
        <v>1.47153338021166</v>
      </c>
      <c r="M739" s="49" t="n">
        <f aca="false">IFERROR(I739/H739,0)</f>
        <v>129.966470738497</v>
      </c>
      <c r="N739" s="52" t="str">
        <f aca="false">'Model Inputs &amp; Assumptions'!$L$29</f>
        <v>PRD-EUAI</v>
      </c>
      <c r="P739" s="53" t="n">
        <v>2.285896</v>
      </c>
      <c r="Q739" s="53" t="n">
        <v>1.295342</v>
      </c>
      <c r="R739" s="53" t="n">
        <v>-1.202472</v>
      </c>
      <c r="S739" s="53" t="n">
        <v>1.470893</v>
      </c>
    </row>
    <row r="740" customFormat="false" ht="15" hidden="false" customHeight="false" outlineLevel="0" collapsed="false">
      <c r="A740" s="43" t="n">
        <v>237</v>
      </c>
      <c r="B740" s="44" t="str">
        <f aca="false">'Model Inputs &amp; Assumptions'!$B$29</f>
        <v>Handelsblatt — Native Explainer</v>
      </c>
      <c r="C740" s="45" t="n">
        <f aca="false">ROUND(MAX(0,'Model Inputs &amp; Assumptions'!$S$29*EXP('Model Inputs &amp; Assumptions'!$T$29*P740-'Model Inputs &amp; Assumptions'!$T$29^2/2)),0)</f>
        <v>188127</v>
      </c>
      <c r="D740" s="46" t="n">
        <f aca="false">MIN(1,'Model Inputs &amp; Assumptions'!$U$29*EXP('Model Inputs &amp; Assumptions'!$V$29*Q740-'Model Inputs &amp; Assumptions'!$V$29^2/2))</f>
        <v>0</v>
      </c>
      <c r="E740" s="45" t="n">
        <f aca="false">ROUND(C740*D740,0)</f>
        <v>0</v>
      </c>
      <c r="F740" s="47" t="n">
        <f aca="false">MIN(1,'Model Inputs &amp; Assumptions'!$W$29*EXP('Model Inputs &amp; Assumptions'!$X$29*R740-'Model Inputs &amp; Assumptions'!$X$29^2/2))</f>
        <v>0.00350967562549683</v>
      </c>
      <c r="G740" s="45" t="n">
        <f aca="false">ROUND(C740*F740,0)</f>
        <v>660</v>
      </c>
      <c r="H740" s="48" t="n">
        <f aca="false">MAX(0,(C740*'Model Inputs &amp; Assumptions'!$N$29+E740*'Model Inputs &amp; Assumptions'!$O$29+G740*'Model Inputs &amp; Assumptions'!$P$29)*EXP('Model Inputs &amp; Assumptions'!$Q$29*S740-'Model Inputs &amp; Assumptions'!$Q$29^2/2))</f>
        <v>28.7202934419661</v>
      </c>
      <c r="I740" s="49" t="n">
        <f aca="false">IF('Model Inputs &amp; Assumptions'!$H$29="Fixed",'Model Inputs &amp; Assumptions'!$I$29*'Model Inputs &amp; Assumptions'!$K$29,IF('Model Inputs &amp; Assumptions'!$H$29="CPM",'Model Inputs &amp; Assumptions'!$I$29*'Model Inputs &amp; Assumptions'!$K$29*C740/1000,IF('Model Inputs &amp; Assumptions'!$H$29="CPC",'Model Inputs &amp; Assumptions'!$I$29*'Model Inputs &amp; Assumptions'!$K$29*G740,0)))</f>
        <v>6500</v>
      </c>
      <c r="J740" s="50" t="n">
        <f aca="false">H740*INDEX('Model Inputs &amp; Assumptions'!$D$40:$D$42,MATCH('Model Inputs &amp; Assumptions'!$L$29,'Model Inputs &amp; Assumptions'!$A$40:$A$42,0))*INDEX('Model Inputs &amp; Assumptions'!$H$40:$H$42,MATCH('Model Inputs &amp; Assumptions'!$L$29,'Model Inputs &amp; Assumptions'!$A$40:$A$42,0))</f>
        <v>244122.494256712</v>
      </c>
      <c r="K740" s="49" t="n">
        <f aca="false">H740*INDEX('Model Inputs &amp; Assumptions'!$G$40:$G$42,MATCH('Model Inputs &amp; Assumptions'!$L$29,'Model Inputs &amp; Assumptions'!$A$40:$A$42,0))*INDEX('Model Inputs &amp; Assumptions'!$H$40:$H$42,MATCH('Model Inputs &amp; Assumptions'!$L$29,'Model Inputs &amp; Assumptions'!$A$40:$A$42,0))</f>
        <v>5492.75612077602</v>
      </c>
      <c r="L740" s="51" t="n">
        <f aca="false">IFERROR(K740/I740,0)</f>
        <v>0.845039403196311</v>
      </c>
      <c r="M740" s="49" t="n">
        <f aca="false">IFERROR(I740/H740,0)</f>
        <v>226.320807380825</v>
      </c>
      <c r="N740" s="52" t="str">
        <f aca="false">'Model Inputs &amp; Assumptions'!$L$29</f>
        <v>PRD-EUAI</v>
      </c>
      <c r="P740" s="53" t="n">
        <v>-0.12251</v>
      </c>
      <c r="Q740" s="53" t="n">
        <v>0.463423</v>
      </c>
      <c r="R740" s="53" t="n">
        <v>0.764075</v>
      </c>
      <c r="S740" s="53" t="n">
        <v>-0.313012</v>
      </c>
    </row>
    <row r="741" customFormat="false" ht="15" hidden="false" customHeight="false" outlineLevel="0" collapsed="false">
      <c r="A741" s="43" t="n">
        <v>238</v>
      </c>
      <c r="B741" s="44" t="str">
        <f aca="false">'Model Inputs &amp; Assumptions'!$B$29</f>
        <v>Handelsblatt — Native Explainer</v>
      </c>
      <c r="C741" s="45" t="n">
        <f aca="false">ROUND(MAX(0,'Model Inputs &amp; Assumptions'!$S$29*EXP('Model Inputs &amp; Assumptions'!$T$29*P741-'Model Inputs &amp; Assumptions'!$T$29^2/2)),0)</f>
        <v>165189</v>
      </c>
      <c r="D741" s="46" t="n">
        <f aca="false">MIN(1,'Model Inputs &amp; Assumptions'!$U$29*EXP('Model Inputs &amp; Assumptions'!$V$29*Q741-'Model Inputs &amp; Assumptions'!$V$29^2/2))</f>
        <v>0</v>
      </c>
      <c r="E741" s="45" t="n">
        <f aca="false">ROUND(C741*D741,0)</f>
        <v>0</v>
      </c>
      <c r="F741" s="47" t="n">
        <f aca="false">MIN(1,'Model Inputs &amp; Assumptions'!$W$29*EXP('Model Inputs &amp; Assumptions'!$X$29*R741-'Model Inputs &amp; Assumptions'!$X$29^2/2))</f>
        <v>0.00325261679096219</v>
      </c>
      <c r="G741" s="45" t="n">
        <f aca="false">ROUND(C741*F741,0)</f>
        <v>537</v>
      </c>
      <c r="H741" s="48" t="n">
        <f aca="false">MAX(0,(C741*'Model Inputs &amp; Assumptions'!$N$29+E741*'Model Inputs &amp; Assumptions'!$O$29+G741*'Model Inputs &amp; Assumptions'!$P$29)*EXP('Model Inputs &amp; Assumptions'!$Q$29*S741-'Model Inputs &amp; Assumptions'!$Q$29^2/2))</f>
        <v>26.2098978760676</v>
      </c>
      <c r="I741" s="49" t="n">
        <f aca="false">IF('Model Inputs &amp; Assumptions'!$H$29="Fixed",'Model Inputs &amp; Assumptions'!$I$29*'Model Inputs &amp; Assumptions'!$K$29,IF('Model Inputs &amp; Assumptions'!$H$29="CPM",'Model Inputs &amp; Assumptions'!$I$29*'Model Inputs &amp; Assumptions'!$K$29*C741/1000,IF('Model Inputs &amp; Assumptions'!$H$29="CPC",'Model Inputs &amp; Assumptions'!$I$29*'Model Inputs &amp; Assumptions'!$K$29*G741,0)))</f>
        <v>6500</v>
      </c>
      <c r="J741" s="50" t="n">
        <f aca="false">H741*INDEX('Model Inputs &amp; Assumptions'!$D$40:$D$42,MATCH('Model Inputs &amp; Assumptions'!$L$29,'Model Inputs &amp; Assumptions'!$A$40:$A$42,0))*INDEX('Model Inputs &amp; Assumptions'!$H$40:$H$42,MATCH('Model Inputs &amp; Assumptions'!$L$29,'Model Inputs &amp; Assumptions'!$A$40:$A$42,0))</f>
        <v>222784.131946575</v>
      </c>
      <c r="K741" s="49" t="n">
        <f aca="false">H741*INDEX('Model Inputs &amp; Assumptions'!$G$40:$G$42,MATCH('Model Inputs &amp; Assumptions'!$L$29,'Model Inputs &amp; Assumptions'!$A$40:$A$42,0))*INDEX('Model Inputs &amp; Assumptions'!$H$40:$H$42,MATCH('Model Inputs &amp; Assumptions'!$L$29,'Model Inputs &amp; Assumptions'!$A$40:$A$42,0))</f>
        <v>5012.64296879793</v>
      </c>
      <c r="L741" s="51" t="n">
        <f aca="false">IFERROR(K741/I741,0)</f>
        <v>0.771175841353527</v>
      </c>
      <c r="M741" s="49" t="n">
        <f aca="false">IFERROR(I741/H741,0)</f>
        <v>247.997914022213</v>
      </c>
      <c r="N741" s="52" t="str">
        <f aca="false">'Model Inputs &amp; Assumptions'!$L$29</f>
        <v>PRD-EUAI</v>
      </c>
      <c r="P741" s="53" t="n">
        <v>-0.713521</v>
      </c>
      <c r="Q741" s="53" t="n">
        <v>-0.457525</v>
      </c>
      <c r="R741" s="53" t="n">
        <v>0.471522</v>
      </c>
      <c r="S741" s="53" t="n">
        <v>0.069571</v>
      </c>
    </row>
    <row r="742" customFormat="false" ht="15" hidden="false" customHeight="false" outlineLevel="0" collapsed="false">
      <c r="A742" s="43" t="n">
        <v>239</v>
      </c>
      <c r="B742" s="44" t="str">
        <f aca="false">'Model Inputs &amp; Assumptions'!$B$29</f>
        <v>Handelsblatt — Native Explainer</v>
      </c>
      <c r="C742" s="45" t="n">
        <f aca="false">ROUND(MAX(0,'Model Inputs &amp; Assumptions'!$S$29*EXP('Model Inputs &amp; Assumptions'!$T$29*P742-'Model Inputs &amp; Assumptions'!$T$29^2/2)),0)</f>
        <v>260202</v>
      </c>
      <c r="D742" s="46" t="n">
        <f aca="false">MIN(1,'Model Inputs &amp; Assumptions'!$U$29*EXP('Model Inputs &amp; Assumptions'!$V$29*Q742-'Model Inputs &amp; Assumptions'!$V$29^2/2))</f>
        <v>0</v>
      </c>
      <c r="E742" s="45" t="n">
        <f aca="false">ROUND(C742*D742,0)</f>
        <v>0</v>
      </c>
      <c r="F742" s="47" t="n">
        <f aca="false">MIN(1,'Model Inputs &amp; Assumptions'!$W$29*EXP('Model Inputs &amp; Assumptions'!$X$29*R742-'Model Inputs &amp; Assumptions'!$X$29^2/2))</f>
        <v>0.00240083851796372</v>
      </c>
      <c r="G742" s="45" t="n">
        <f aca="false">ROUND(C742*F742,0)</f>
        <v>625</v>
      </c>
      <c r="H742" s="48" t="n">
        <f aca="false">MAX(0,(C742*'Model Inputs &amp; Assumptions'!$N$29+E742*'Model Inputs &amp; Assumptions'!$O$29+G742*'Model Inputs &amp; Assumptions'!$P$29)*EXP('Model Inputs &amp; Assumptions'!$Q$29*S742-'Model Inputs &amp; Assumptions'!$Q$29^2/2))</f>
        <v>46.2807994410036</v>
      </c>
      <c r="I742" s="49" t="n">
        <f aca="false">IF('Model Inputs &amp; Assumptions'!$H$29="Fixed",'Model Inputs &amp; Assumptions'!$I$29*'Model Inputs &amp; Assumptions'!$K$29,IF('Model Inputs &amp; Assumptions'!$H$29="CPM",'Model Inputs &amp; Assumptions'!$I$29*'Model Inputs &amp; Assumptions'!$K$29*C742/1000,IF('Model Inputs &amp; Assumptions'!$H$29="CPC",'Model Inputs &amp; Assumptions'!$I$29*'Model Inputs &amp; Assumptions'!$K$29*G742,0)))</f>
        <v>6500</v>
      </c>
      <c r="J742" s="50" t="n">
        <f aca="false">H742*INDEX('Model Inputs &amp; Assumptions'!$D$40:$D$42,MATCH('Model Inputs &amp; Assumptions'!$L$29,'Model Inputs &amp; Assumptions'!$A$40:$A$42,0))*INDEX('Model Inputs &amp; Assumptions'!$H$40:$H$42,MATCH('Model Inputs &amp; Assumptions'!$L$29,'Model Inputs &amp; Assumptions'!$A$40:$A$42,0))</f>
        <v>393386.795248531</v>
      </c>
      <c r="K742" s="49" t="n">
        <f aca="false">H742*INDEX('Model Inputs &amp; Assumptions'!$G$40:$G$42,MATCH('Model Inputs &amp; Assumptions'!$L$29,'Model Inputs &amp; Assumptions'!$A$40:$A$42,0))*INDEX('Model Inputs &amp; Assumptions'!$H$40:$H$42,MATCH('Model Inputs &amp; Assumptions'!$L$29,'Model Inputs &amp; Assumptions'!$A$40:$A$42,0))</f>
        <v>8851.20289309195</v>
      </c>
      <c r="L742" s="51" t="n">
        <f aca="false">IFERROR(K742/I742,0)</f>
        <v>1.36172352201415</v>
      </c>
      <c r="M742" s="49" t="n">
        <f aca="false">IFERROR(I742/H742,0)</f>
        <v>140.447012119699</v>
      </c>
      <c r="N742" s="52" t="str">
        <f aca="false">'Model Inputs &amp; Assumptions'!$L$29</f>
        <v>PRD-EUAI</v>
      </c>
      <c r="P742" s="53" t="n">
        <v>1.351781</v>
      </c>
      <c r="Q742" s="53" t="n">
        <v>0.848385</v>
      </c>
      <c r="R742" s="53" t="n">
        <v>-0.696331</v>
      </c>
      <c r="S742" s="53" t="n">
        <v>1.459026</v>
      </c>
    </row>
    <row r="743" customFormat="false" ht="15" hidden="false" customHeight="false" outlineLevel="0" collapsed="false">
      <c r="A743" s="43" t="n">
        <v>240</v>
      </c>
      <c r="B743" s="44" t="str">
        <f aca="false">'Model Inputs &amp; Assumptions'!$B$29</f>
        <v>Handelsblatt — Native Explainer</v>
      </c>
      <c r="C743" s="45" t="n">
        <f aca="false">ROUND(MAX(0,'Model Inputs &amp; Assumptions'!$S$29*EXP('Model Inputs &amp; Assumptions'!$T$29*P743-'Model Inputs &amp; Assumptions'!$T$29^2/2)),0)</f>
        <v>243524</v>
      </c>
      <c r="D743" s="46" t="n">
        <f aca="false">MIN(1,'Model Inputs &amp; Assumptions'!$U$29*EXP('Model Inputs &amp; Assumptions'!$V$29*Q743-'Model Inputs &amp; Assumptions'!$V$29^2/2))</f>
        <v>0</v>
      </c>
      <c r="E743" s="45" t="n">
        <f aca="false">ROUND(C743*D743,0)</f>
        <v>0</v>
      </c>
      <c r="F743" s="47" t="n">
        <f aca="false">MIN(1,'Model Inputs &amp; Assumptions'!$W$29*EXP('Model Inputs &amp; Assumptions'!$X$29*R743-'Model Inputs &amp; Assumptions'!$X$29^2/2))</f>
        <v>0.00302882216285869</v>
      </c>
      <c r="G743" s="45" t="n">
        <f aca="false">ROUND(C743*F743,0)</f>
        <v>738</v>
      </c>
      <c r="H743" s="48" t="n">
        <f aca="false">MAX(0,(C743*'Model Inputs &amp; Assumptions'!$N$29+E743*'Model Inputs &amp; Assumptions'!$O$29+G743*'Model Inputs &amp; Assumptions'!$P$29)*EXP('Model Inputs &amp; Assumptions'!$Q$29*S743-'Model Inputs &amp; Assumptions'!$Q$29^2/2))</f>
        <v>57.2514832872595</v>
      </c>
      <c r="I743" s="49" t="n">
        <f aca="false">IF('Model Inputs &amp; Assumptions'!$H$29="Fixed",'Model Inputs &amp; Assumptions'!$I$29*'Model Inputs &amp; Assumptions'!$K$29,IF('Model Inputs &amp; Assumptions'!$H$29="CPM",'Model Inputs &amp; Assumptions'!$I$29*'Model Inputs &amp; Assumptions'!$K$29*C743/1000,IF('Model Inputs &amp; Assumptions'!$H$29="CPC",'Model Inputs &amp; Assumptions'!$I$29*'Model Inputs &amp; Assumptions'!$K$29*G743,0)))</f>
        <v>6500</v>
      </c>
      <c r="J743" s="50" t="n">
        <f aca="false">H743*INDEX('Model Inputs &amp; Assumptions'!$D$40:$D$42,MATCH('Model Inputs &amp; Assumptions'!$L$29,'Model Inputs &amp; Assumptions'!$A$40:$A$42,0))*INDEX('Model Inputs &amp; Assumptions'!$H$40:$H$42,MATCH('Model Inputs &amp; Assumptions'!$L$29,'Model Inputs &amp; Assumptions'!$A$40:$A$42,0))</f>
        <v>486637.607941705</v>
      </c>
      <c r="K743" s="49" t="n">
        <f aca="false">H743*INDEX('Model Inputs &amp; Assumptions'!$G$40:$G$42,MATCH('Model Inputs &amp; Assumptions'!$L$29,'Model Inputs &amp; Assumptions'!$A$40:$A$42,0))*INDEX('Model Inputs &amp; Assumptions'!$H$40:$H$42,MATCH('Model Inputs &amp; Assumptions'!$L$29,'Model Inputs &amp; Assumptions'!$A$40:$A$42,0))</f>
        <v>10949.3461786884</v>
      </c>
      <c r="L743" s="51" t="n">
        <f aca="false">IFERROR(K743/I743,0)</f>
        <v>1.68451479672129</v>
      </c>
      <c r="M743" s="49" t="n">
        <f aca="false">IFERROR(I743/H743,0)</f>
        <v>113.534176352886</v>
      </c>
      <c r="N743" s="52" t="str">
        <f aca="false">'Model Inputs &amp; Assumptions'!$L$29</f>
        <v>PRD-EUAI</v>
      </c>
      <c r="P743" s="53" t="n">
        <v>1.050668</v>
      </c>
      <c r="Q743" s="53" t="n">
        <v>-1.597613</v>
      </c>
      <c r="R743" s="53" t="n">
        <v>0.197345</v>
      </c>
      <c r="S743" s="53" t="n">
        <v>1.61414</v>
      </c>
    </row>
    <row r="744" customFormat="false" ht="15" hidden="false" customHeight="false" outlineLevel="0" collapsed="false">
      <c r="A744" s="43" t="n">
        <v>241</v>
      </c>
      <c r="B744" s="44" t="str">
        <f aca="false">'Model Inputs &amp; Assumptions'!$B$29</f>
        <v>Handelsblatt — Native Explainer</v>
      </c>
      <c r="C744" s="45" t="n">
        <f aca="false">ROUND(MAX(0,'Model Inputs &amp; Assumptions'!$S$29*EXP('Model Inputs &amp; Assumptions'!$T$29*P744-'Model Inputs &amp; Assumptions'!$T$29^2/2)),0)</f>
        <v>181037</v>
      </c>
      <c r="D744" s="46" t="n">
        <f aca="false">MIN(1,'Model Inputs &amp; Assumptions'!$U$29*EXP('Model Inputs &amp; Assumptions'!$V$29*Q744-'Model Inputs &amp; Assumptions'!$V$29^2/2))</f>
        <v>0</v>
      </c>
      <c r="E744" s="45" t="n">
        <f aca="false">ROUND(C744*D744,0)</f>
        <v>0</v>
      </c>
      <c r="F744" s="47" t="n">
        <f aca="false">MIN(1,'Model Inputs &amp; Assumptions'!$W$29*EXP('Model Inputs &amp; Assumptions'!$X$29*R744-'Model Inputs &amp; Assumptions'!$X$29^2/2))</f>
        <v>0.00353880747463238</v>
      </c>
      <c r="G744" s="45" t="n">
        <f aca="false">ROUND(C744*F744,0)</f>
        <v>641</v>
      </c>
      <c r="H744" s="48" t="n">
        <f aca="false">MAX(0,(C744*'Model Inputs &amp; Assumptions'!$N$29+E744*'Model Inputs &amp; Assumptions'!$O$29+G744*'Model Inputs &amp; Assumptions'!$P$29)*EXP('Model Inputs &amp; Assumptions'!$Q$29*S744-'Model Inputs &amp; Assumptions'!$Q$29^2/2))</f>
        <v>34.5487366385349</v>
      </c>
      <c r="I744" s="49" t="n">
        <f aca="false">IF('Model Inputs &amp; Assumptions'!$H$29="Fixed",'Model Inputs &amp; Assumptions'!$I$29*'Model Inputs &amp; Assumptions'!$K$29,IF('Model Inputs &amp; Assumptions'!$H$29="CPM",'Model Inputs &amp; Assumptions'!$I$29*'Model Inputs &amp; Assumptions'!$K$29*C744/1000,IF('Model Inputs &amp; Assumptions'!$H$29="CPC",'Model Inputs &amp; Assumptions'!$I$29*'Model Inputs &amp; Assumptions'!$K$29*G744,0)))</f>
        <v>6500</v>
      </c>
      <c r="J744" s="50" t="n">
        <f aca="false">H744*INDEX('Model Inputs &amp; Assumptions'!$D$40:$D$42,MATCH('Model Inputs &amp; Assumptions'!$L$29,'Model Inputs &amp; Assumptions'!$A$40:$A$42,0))*INDEX('Model Inputs &amp; Assumptions'!$H$40:$H$42,MATCH('Model Inputs &amp; Assumptions'!$L$29,'Model Inputs &amp; Assumptions'!$A$40:$A$42,0))</f>
        <v>293664.261427546</v>
      </c>
      <c r="K744" s="49" t="n">
        <f aca="false">H744*INDEX('Model Inputs &amp; Assumptions'!$G$40:$G$42,MATCH('Model Inputs &amp; Assumptions'!$L$29,'Model Inputs &amp; Assumptions'!$A$40:$A$42,0))*INDEX('Model Inputs &amp; Assumptions'!$H$40:$H$42,MATCH('Model Inputs &amp; Assumptions'!$L$29,'Model Inputs &amp; Assumptions'!$A$40:$A$42,0))</f>
        <v>6607.4458821198</v>
      </c>
      <c r="L744" s="51" t="n">
        <f aca="false">IFERROR(K744/I744,0)</f>
        <v>1.01653013571074</v>
      </c>
      <c r="M744" s="49" t="n">
        <f aca="false">IFERROR(I744/H744,0)</f>
        <v>188.140019937807</v>
      </c>
      <c r="N744" s="52" t="str">
        <f aca="false">'Model Inputs &amp; Assumptions'!$L$29</f>
        <v>PRD-EUAI</v>
      </c>
      <c r="P744" s="53" t="n">
        <v>-0.297121</v>
      </c>
      <c r="Q744" s="53" t="n">
        <v>0.050687</v>
      </c>
      <c r="R744" s="53" t="n">
        <v>0.795868</v>
      </c>
      <c r="S744" s="53" t="n">
        <v>0.400246</v>
      </c>
    </row>
    <row r="745" customFormat="false" ht="15" hidden="false" customHeight="false" outlineLevel="0" collapsed="false">
      <c r="A745" s="43" t="n">
        <v>242</v>
      </c>
      <c r="B745" s="44" t="str">
        <f aca="false">'Model Inputs &amp; Assumptions'!$B$29</f>
        <v>Handelsblatt — Native Explainer</v>
      </c>
      <c r="C745" s="45" t="n">
        <f aca="false">ROUND(MAX(0,'Model Inputs &amp; Assumptions'!$S$29*EXP('Model Inputs &amp; Assumptions'!$T$29*P745-'Model Inputs &amp; Assumptions'!$T$29^2/2)),0)</f>
        <v>222780</v>
      </c>
      <c r="D745" s="46" t="n">
        <f aca="false">MIN(1,'Model Inputs &amp; Assumptions'!$U$29*EXP('Model Inputs &amp; Assumptions'!$V$29*Q745-'Model Inputs &amp; Assumptions'!$V$29^2/2))</f>
        <v>0</v>
      </c>
      <c r="E745" s="45" t="n">
        <f aca="false">ROUND(C745*D745,0)</f>
        <v>0</v>
      </c>
      <c r="F745" s="47" t="n">
        <f aca="false">MIN(1,'Model Inputs &amp; Assumptions'!$W$29*EXP('Model Inputs &amp; Assumptions'!$X$29*R745-'Model Inputs &amp; Assumptions'!$X$29^2/2))</f>
        <v>0.00268465792824602</v>
      </c>
      <c r="G745" s="45" t="n">
        <f aca="false">ROUND(C745*F745,0)</f>
        <v>598</v>
      </c>
      <c r="H745" s="48" t="n">
        <f aca="false">MAX(0,(C745*'Model Inputs &amp; Assumptions'!$N$29+E745*'Model Inputs &amp; Assumptions'!$O$29+G745*'Model Inputs &amp; Assumptions'!$P$29)*EXP('Model Inputs &amp; Assumptions'!$Q$29*S745-'Model Inputs &amp; Assumptions'!$Q$29^2/2))</f>
        <v>37.9978538460769</v>
      </c>
      <c r="I745" s="49" t="n">
        <f aca="false">IF('Model Inputs &amp; Assumptions'!$H$29="Fixed",'Model Inputs &amp; Assumptions'!$I$29*'Model Inputs &amp; Assumptions'!$K$29,IF('Model Inputs &amp; Assumptions'!$H$29="CPM",'Model Inputs &amp; Assumptions'!$I$29*'Model Inputs &amp; Assumptions'!$K$29*C745/1000,IF('Model Inputs &amp; Assumptions'!$H$29="CPC",'Model Inputs &amp; Assumptions'!$I$29*'Model Inputs &amp; Assumptions'!$K$29*G745,0)))</f>
        <v>6500</v>
      </c>
      <c r="J745" s="50" t="n">
        <f aca="false">H745*INDEX('Model Inputs &amp; Assumptions'!$D$40:$D$42,MATCH('Model Inputs &amp; Assumptions'!$L$29,'Model Inputs &amp; Assumptions'!$A$40:$A$42,0))*INDEX('Model Inputs &amp; Assumptions'!$H$40:$H$42,MATCH('Model Inputs &amp; Assumptions'!$L$29,'Model Inputs &amp; Assumptions'!$A$40:$A$42,0))</f>
        <v>322981.757691654</v>
      </c>
      <c r="K745" s="49" t="n">
        <f aca="false">H745*INDEX('Model Inputs &amp; Assumptions'!$G$40:$G$42,MATCH('Model Inputs &amp; Assumptions'!$L$29,'Model Inputs &amp; Assumptions'!$A$40:$A$42,0))*INDEX('Model Inputs &amp; Assumptions'!$H$40:$H$42,MATCH('Model Inputs &amp; Assumptions'!$L$29,'Model Inputs &amp; Assumptions'!$A$40:$A$42,0))</f>
        <v>7267.08954806221</v>
      </c>
      <c r="L745" s="51" t="n">
        <f aca="false">IFERROR(K745/I745,0)</f>
        <v>1.11801377662496</v>
      </c>
      <c r="M745" s="49" t="n">
        <f aca="false">IFERROR(I745/H745,0)</f>
        <v>171.062292789757</v>
      </c>
      <c r="N745" s="52" t="str">
        <f aca="false">'Model Inputs &amp; Assumptions'!$L$29</f>
        <v>PRD-EUAI</v>
      </c>
      <c r="P745" s="53" t="n">
        <v>0.645981</v>
      </c>
      <c r="Q745" s="53" t="n">
        <v>-0.799617</v>
      </c>
      <c r="R745" s="53" t="n">
        <v>-0.26658</v>
      </c>
      <c r="S745" s="53" t="n">
        <v>0.948904</v>
      </c>
    </row>
    <row r="746" customFormat="false" ht="15" hidden="false" customHeight="false" outlineLevel="0" collapsed="false">
      <c r="A746" s="43" t="n">
        <v>243</v>
      </c>
      <c r="B746" s="44" t="str">
        <f aca="false">'Model Inputs &amp; Assumptions'!$B$29</f>
        <v>Handelsblatt — Native Explainer</v>
      </c>
      <c r="C746" s="45" t="n">
        <f aca="false">ROUND(MAX(0,'Model Inputs &amp; Assumptions'!$S$29*EXP('Model Inputs &amp; Assumptions'!$T$29*P746-'Model Inputs &amp; Assumptions'!$T$29^2/2)),0)</f>
        <v>166421</v>
      </c>
      <c r="D746" s="46" t="n">
        <f aca="false">MIN(1,'Model Inputs &amp; Assumptions'!$U$29*EXP('Model Inputs &amp; Assumptions'!$V$29*Q746-'Model Inputs &amp; Assumptions'!$V$29^2/2))</f>
        <v>0</v>
      </c>
      <c r="E746" s="45" t="n">
        <f aca="false">ROUND(C746*D746,0)</f>
        <v>0</v>
      </c>
      <c r="F746" s="47" t="n">
        <f aca="false">MIN(1,'Model Inputs &amp; Assumptions'!$W$29*EXP('Model Inputs &amp; Assumptions'!$X$29*R746-'Model Inputs &amp; Assumptions'!$X$29^2/2))</f>
        <v>0.00283102053243751</v>
      </c>
      <c r="G746" s="45" t="n">
        <f aca="false">ROUND(C746*F746,0)</f>
        <v>471</v>
      </c>
      <c r="H746" s="48" t="n">
        <f aca="false">MAX(0,(C746*'Model Inputs &amp; Assumptions'!$N$29+E746*'Model Inputs &amp; Assumptions'!$O$29+G746*'Model Inputs &amp; Assumptions'!$P$29)*EXP('Model Inputs &amp; Assumptions'!$Q$29*S746-'Model Inputs &amp; Assumptions'!$Q$29^2/2))</f>
        <v>20.9386162262434</v>
      </c>
      <c r="I746" s="49" t="n">
        <f aca="false">IF('Model Inputs &amp; Assumptions'!$H$29="Fixed",'Model Inputs &amp; Assumptions'!$I$29*'Model Inputs &amp; Assumptions'!$K$29,IF('Model Inputs &amp; Assumptions'!$H$29="CPM",'Model Inputs &amp; Assumptions'!$I$29*'Model Inputs &amp; Assumptions'!$K$29*C746/1000,IF('Model Inputs &amp; Assumptions'!$H$29="CPC",'Model Inputs &amp; Assumptions'!$I$29*'Model Inputs &amp; Assumptions'!$K$29*G746,0)))</f>
        <v>6500</v>
      </c>
      <c r="J746" s="50" t="n">
        <f aca="false">H746*INDEX('Model Inputs &amp; Assumptions'!$D$40:$D$42,MATCH('Model Inputs &amp; Assumptions'!$L$29,'Model Inputs &amp; Assumptions'!$A$40:$A$42,0))*INDEX('Model Inputs &amp; Assumptions'!$H$40:$H$42,MATCH('Model Inputs &amp; Assumptions'!$L$29,'Model Inputs &amp; Assumptions'!$A$40:$A$42,0))</f>
        <v>177978.237923069</v>
      </c>
      <c r="K746" s="49" t="n">
        <f aca="false">H746*INDEX('Model Inputs &amp; Assumptions'!$G$40:$G$42,MATCH('Model Inputs &amp; Assumptions'!$L$29,'Model Inputs &amp; Assumptions'!$A$40:$A$42,0))*INDEX('Model Inputs &amp; Assumptions'!$H$40:$H$42,MATCH('Model Inputs &amp; Assumptions'!$L$29,'Model Inputs &amp; Assumptions'!$A$40:$A$42,0))</f>
        <v>4004.51035326905</v>
      </c>
      <c r="L746" s="51" t="n">
        <f aca="false">IFERROR(K746/I746,0)</f>
        <v>0.616078515887546</v>
      </c>
      <c r="M746" s="49" t="n">
        <f aca="false">IFERROR(I746/H746,0)</f>
        <v>310.43121139272</v>
      </c>
      <c r="N746" s="52" t="str">
        <f aca="false">'Model Inputs &amp; Assumptions'!$L$29</f>
        <v>PRD-EUAI</v>
      </c>
      <c r="P746" s="53" t="n">
        <v>-0.679748</v>
      </c>
      <c r="Q746" s="53" t="n">
        <v>-1.182017</v>
      </c>
      <c r="R746" s="53" t="n">
        <v>-0.062411</v>
      </c>
      <c r="S746" s="53" t="n">
        <v>-0.241769</v>
      </c>
    </row>
    <row r="747" customFormat="false" ht="15" hidden="false" customHeight="false" outlineLevel="0" collapsed="false">
      <c r="A747" s="43" t="n">
        <v>244</v>
      </c>
      <c r="B747" s="44" t="str">
        <f aca="false">'Model Inputs &amp; Assumptions'!$B$29</f>
        <v>Handelsblatt — Native Explainer</v>
      </c>
      <c r="C747" s="45" t="n">
        <f aca="false">ROUND(MAX(0,'Model Inputs &amp; Assumptions'!$S$29*EXP('Model Inputs &amp; Assumptions'!$T$29*P747-'Model Inputs &amp; Assumptions'!$T$29^2/2)),0)</f>
        <v>140608</v>
      </c>
      <c r="D747" s="46" t="n">
        <f aca="false">MIN(1,'Model Inputs &amp; Assumptions'!$U$29*EXP('Model Inputs &amp; Assumptions'!$V$29*Q747-'Model Inputs &amp; Assumptions'!$V$29^2/2))</f>
        <v>0</v>
      </c>
      <c r="E747" s="45" t="n">
        <f aca="false">ROUND(C747*D747,0)</f>
        <v>0</v>
      </c>
      <c r="F747" s="47" t="n">
        <f aca="false">MIN(1,'Model Inputs &amp; Assumptions'!$W$29*EXP('Model Inputs &amp; Assumptions'!$X$29*R747-'Model Inputs &amp; Assumptions'!$X$29^2/2))</f>
        <v>0.00264799348789858</v>
      </c>
      <c r="G747" s="45" t="n">
        <f aca="false">ROUND(C747*F747,0)</f>
        <v>372</v>
      </c>
      <c r="H747" s="48" t="n">
        <f aca="false">MAX(0,(C747*'Model Inputs &amp; Assumptions'!$N$29+E747*'Model Inputs &amp; Assumptions'!$O$29+G747*'Model Inputs &amp; Assumptions'!$P$29)*EXP('Model Inputs &amp; Assumptions'!$Q$29*S747-'Model Inputs &amp; Assumptions'!$Q$29^2/2))</f>
        <v>14.5795925550347</v>
      </c>
      <c r="I747" s="49" t="n">
        <f aca="false">IF('Model Inputs &amp; Assumptions'!$H$29="Fixed",'Model Inputs &amp; Assumptions'!$I$29*'Model Inputs &amp; Assumptions'!$K$29,IF('Model Inputs &amp; Assumptions'!$H$29="CPM",'Model Inputs &amp; Assumptions'!$I$29*'Model Inputs &amp; Assumptions'!$K$29*C747/1000,IF('Model Inputs &amp; Assumptions'!$H$29="CPC",'Model Inputs &amp; Assumptions'!$I$29*'Model Inputs &amp; Assumptions'!$K$29*G747,0)))</f>
        <v>6500</v>
      </c>
      <c r="J747" s="50" t="n">
        <f aca="false">H747*INDEX('Model Inputs &amp; Assumptions'!$D$40:$D$42,MATCH('Model Inputs &amp; Assumptions'!$L$29,'Model Inputs &amp; Assumptions'!$A$40:$A$42,0))*INDEX('Model Inputs &amp; Assumptions'!$H$40:$H$42,MATCH('Model Inputs &amp; Assumptions'!$L$29,'Model Inputs &amp; Assumptions'!$A$40:$A$42,0))</f>
        <v>123926.536717795</v>
      </c>
      <c r="K747" s="49" t="n">
        <f aca="false">H747*INDEX('Model Inputs &amp; Assumptions'!$G$40:$G$42,MATCH('Model Inputs &amp; Assumptions'!$L$29,'Model Inputs &amp; Assumptions'!$A$40:$A$42,0))*INDEX('Model Inputs &amp; Assumptions'!$H$40:$H$42,MATCH('Model Inputs &amp; Assumptions'!$L$29,'Model Inputs &amp; Assumptions'!$A$40:$A$42,0))</f>
        <v>2788.34707615038</v>
      </c>
      <c r="L747" s="51" t="n">
        <f aca="false">IFERROR(K747/I747,0)</f>
        <v>0.428976473253904</v>
      </c>
      <c r="M747" s="49" t="n">
        <f aca="false">IFERROR(I747/H747,0)</f>
        <v>445.828645448354</v>
      </c>
      <c r="N747" s="52" t="str">
        <f aca="false">'Model Inputs &amp; Assumptions'!$L$29</f>
        <v>PRD-EUAI</v>
      </c>
      <c r="P747" s="53" t="n">
        <v>-1.445861</v>
      </c>
      <c r="Q747" s="53" t="n">
        <v>-2.009968</v>
      </c>
      <c r="R747" s="53" t="n">
        <v>-0.319469</v>
      </c>
      <c r="S747" s="53" t="n">
        <v>-0.661796</v>
      </c>
    </row>
    <row r="748" customFormat="false" ht="15" hidden="false" customHeight="false" outlineLevel="0" collapsed="false">
      <c r="A748" s="43" t="n">
        <v>245</v>
      </c>
      <c r="B748" s="44" t="str">
        <f aca="false">'Model Inputs &amp; Assumptions'!$B$29</f>
        <v>Handelsblatt — Native Explainer</v>
      </c>
      <c r="C748" s="45" t="n">
        <f aca="false">ROUND(MAX(0,'Model Inputs &amp; Assumptions'!$S$29*EXP('Model Inputs &amp; Assumptions'!$T$29*P748-'Model Inputs &amp; Assumptions'!$T$29^2/2)),0)</f>
        <v>140759</v>
      </c>
      <c r="D748" s="46" t="n">
        <f aca="false">MIN(1,'Model Inputs &amp; Assumptions'!$U$29*EXP('Model Inputs &amp; Assumptions'!$V$29*Q748-'Model Inputs &amp; Assumptions'!$V$29^2/2))</f>
        <v>0</v>
      </c>
      <c r="E748" s="45" t="n">
        <f aca="false">ROUND(C748*D748,0)</f>
        <v>0</v>
      </c>
      <c r="F748" s="47" t="n">
        <f aca="false">MIN(1,'Model Inputs &amp; Assumptions'!$W$29*EXP('Model Inputs &amp; Assumptions'!$X$29*R748-'Model Inputs &amp; Assumptions'!$X$29^2/2))</f>
        <v>0.00263244938749647</v>
      </c>
      <c r="G748" s="45" t="n">
        <f aca="false">ROUND(C748*F748,0)</f>
        <v>371</v>
      </c>
      <c r="H748" s="48" t="n">
        <f aca="false">MAX(0,(C748*'Model Inputs &amp; Assumptions'!$N$29+E748*'Model Inputs &amp; Assumptions'!$O$29+G748*'Model Inputs &amp; Assumptions'!$P$29)*EXP('Model Inputs &amp; Assumptions'!$Q$29*S748-'Model Inputs &amp; Assumptions'!$Q$29^2/2))</f>
        <v>15.0717900668814</v>
      </c>
      <c r="I748" s="49" t="n">
        <f aca="false">IF('Model Inputs &amp; Assumptions'!$H$29="Fixed",'Model Inputs &amp; Assumptions'!$I$29*'Model Inputs &amp; Assumptions'!$K$29,IF('Model Inputs &amp; Assumptions'!$H$29="CPM",'Model Inputs &amp; Assumptions'!$I$29*'Model Inputs &amp; Assumptions'!$K$29*C748/1000,IF('Model Inputs &amp; Assumptions'!$H$29="CPC",'Model Inputs &amp; Assumptions'!$I$29*'Model Inputs &amp; Assumptions'!$K$29*G748,0)))</f>
        <v>6500</v>
      </c>
      <c r="J748" s="50" t="n">
        <f aca="false">H748*INDEX('Model Inputs &amp; Assumptions'!$D$40:$D$42,MATCH('Model Inputs &amp; Assumptions'!$L$29,'Model Inputs &amp; Assumptions'!$A$40:$A$42,0))*INDEX('Model Inputs &amp; Assumptions'!$H$40:$H$42,MATCH('Model Inputs &amp; Assumptions'!$L$29,'Model Inputs &amp; Assumptions'!$A$40:$A$42,0))</f>
        <v>128110.215568492</v>
      </c>
      <c r="K748" s="49" t="n">
        <f aca="false">H748*INDEX('Model Inputs &amp; Assumptions'!$G$40:$G$42,MATCH('Model Inputs &amp; Assumptions'!$L$29,'Model Inputs &amp; Assumptions'!$A$40:$A$42,0))*INDEX('Model Inputs &amp; Assumptions'!$H$40:$H$42,MATCH('Model Inputs &amp; Assumptions'!$L$29,'Model Inputs &amp; Assumptions'!$A$40:$A$42,0))</f>
        <v>2882.47985029107</v>
      </c>
      <c r="L748" s="51" t="n">
        <f aca="false">IFERROR(K748/I748,0)</f>
        <v>0.443458438506319</v>
      </c>
      <c r="M748" s="49" t="n">
        <f aca="false">IFERROR(I748/H748,0)</f>
        <v>431.269276652349</v>
      </c>
      <c r="N748" s="52" t="str">
        <f aca="false">'Model Inputs &amp; Assumptions'!$L$29</f>
        <v>PRD-EUAI</v>
      </c>
      <c r="P748" s="53" t="n">
        <v>-1.441004</v>
      </c>
      <c r="Q748" s="53" t="n">
        <v>-0.556806</v>
      </c>
      <c r="R748" s="53" t="n">
        <v>-0.342113</v>
      </c>
      <c r="S748" s="53" t="n">
        <v>-0.54215</v>
      </c>
    </row>
    <row r="749" customFormat="false" ht="15" hidden="false" customHeight="false" outlineLevel="0" collapsed="false">
      <c r="A749" s="43" t="n">
        <v>246</v>
      </c>
      <c r="B749" s="44" t="str">
        <f aca="false">'Model Inputs &amp; Assumptions'!$B$29</f>
        <v>Handelsblatt — Native Explainer</v>
      </c>
      <c r="C749" s="45" t="n">
        <f aca="false">ROUND(MAX(0,'Model Inputs &amp; Assumptions'!$S$29*EXP('Model Inputs &amp; Assumptions'!$T$29*P749-'Model Inputs &amp; Assumptions'!$T$29^2/2)),0)</f>
        <v>217996</v>
      </c>
      <c r="D749" s="46" t="n">
        <f aca="false">MIN(1,'Model Inputs &amp; Assumptions'!$U$29*EXP('Model Inputs &amp; Assumptions'!$V$29*Q749-'Model Inputs &amp; Assumptions'!$V$29^2/2))</f>
        <v>0</v>
      </c>
      <c r="E749" s="45" t="n">
        <f aca="false">ROUND(C749*D749,0)</f>
        <v>0</v>
      </c>
      <c r="F749" s="47" t="n">
        <f aca="false">MIN(1,'Model Inputs &amp; Assumptions'!$W$29*EXP('Model Inputs &amp; Assumptions'!$X$29*R749-'Model Inputs &amp; Assumptions'!$X$29^2/2))</f>
        <v>0.00225852941197395</v>
      </c>
      <c r="G749" s="45" t="n">
        <f aca="false">ROUND(C749*F749,0)</f>
        <v>492</v>
      </c>
      <c r="H749" s="48" t="n">
        <f aca="false">MAX(0,(C749*'Model Inputs &amp; Assumptions'!$N$29+E749*'Model Inputs &amp; Assumptions'!$O$29+G749*'Model Inputs &amp; Assumptions'!$P$29)*EXP('Model Inputs &amp; Assumptions'!$Q$29*S749-'Model Inputs &amp; Assumptions'!$Q$29^2/2))</f>
        <v>24.719802496612</v>
      </c>
      <c r="I749" s="49" t="n">
        <f aca="false">IF('Model Inputs &amp; Assumptions'!$H$29="Fixed",'Model Inputs &amp; Assumptions'!$I$29*'Model Inputs &amp; Assumptions'!$K$29,IF('Model Inputs &amp; Assumptions'!$H$29="CPM",'Model Inputs &amp; Assumptions'!$I$29*'Model Inputs &amp; Assumptions'!$K$29*C749/1000,IF('Model Inputs &amp; Assumptions'!$H$29="CPC",'Model Inputs &amp; Assumptions'!$I$29*'Model Inputs &amp; Assumptions'!$K$29*G749,0)))</f>
        <v>6500</v>
      </c>
      <c r="J749" s="50" t="n">
        <f aca="false">H749*INDEX('Model Inputs &amp; Assumptions'!$D$40:$D$42,MATCH('Model Inputs &amp; Assumptions'!$L$29,'Model Inputs &amp; Assumptions'!$A$40:$A$42,0))*INDEX('Model Inputs &amp; Assumptions'!$H$40:$H$42,MATCH('Model Inputs &amp; Assumptions'!$L$29,'Model Inputs &amp; Assumptions'!$A$40:$A$42,0))</f>
        <v>210118.321221202</v>
      </c>
      <c r="K749" s="49" t="n">
        <f aca="false">H749*INDEX('Model Inputs &amp; Assumptions'!$G$40:$G$42,MATCH('Model Inputs &amp; Assumptions'!$L$29,'Model Inputs &amp; Assumptions'!$A$40:$A$42,0))*INDEX('Model Inputs &amp; Assumptions'!$H$40:$H$42,MATCH('Model Inputs &amp; Assumptions'!$L$29,'Model Inputs &amp; Assumptions'!$A$40:$A$42,0))</f>
        <v>4727.66222747705</v>
      </c>
      <c r="L749" s="51" t="n">
        <f aca="false">IFERROR(K749/I749,0)</f>
        <v>0.727332650381084</v>
      </c>
      <c r="M749" s="49" t="n">
        <f aca="false">IFERROR(I749/H749,0)</f>
        <v>262.947084665861</v>
      </c>
      <c r="N749" s="52" t="str">
        <f aca="false">'Model Inputs &amp; Assumptions'!$L$29</f>
        <v>PRD-EUAI</v>
      </c>
      <c r="P749" s="53" t="n">
        <v>0.547316</v>
      </c>
      <c r="Q749" s="53" t="n">
        <v>0.519908</v>
      </c>
      <c r="R749" s="53" t="n">
        <v>-0.931347</v>
      </c>
      <c r="S749" s="53" t="n">
        <v>0.166194</v>
      </c>
    </row>
    <row r="750" customFormat="false" ht="15" hidden="false" customHeight="false" outlineLevel="0" collapsed="false">
      <c r="A750" s="43" t="n">
        <v>247</v>
      </c>
      <c r="B750" s="44" t="str">
        <f aca="false">'Model Inputs &amp; Assumptions'!$B$29</f>
        <v>Handelsblatt — Native Explainer</v>
      </c>
      <c r="C750" s="45" t="n">
        <f aca="false">ROUND(MAX(0,'Model Inputs &amp; Assumptions'!$S$29*EXP('Model Inputs &amp; Assumptions'!$T$29*P750-'Model Inputs &amp; Assumptions'!$T$29^2/2)),0)</f>
        <v>182923</v>
      </c>
      <c r="D750" s="46" t="n">
        <f aca="false">MIN(1,'Model Inputs &amp; Assumptions'!$U$29*EXP('Model Inputs &amp; Assumptions'!$V$29*Q750-'Model Inputs &amp; Assumptions'!$V$29^2/2))</f>
        <v>0</v>
      </c>
      <c r="E750" s="45" t="n">
        <f aca="false">ROUND(C750*D750,0)</f>
        <v>0</v>
      </c>
      <c r="F750" s="47" t="n">
        <f aca="false">MIN(1,'Model Inputs &amp; Assumptions'!$W$29*EXP('Model Inputs &amp; Assumptions'!$X$29*R750-'Model Inputs &amp; Assumptions'!$X$29^2/2))</f>
        <v>0.00549920578354194</v>
      </c>
      <c r="G750" s="45" t="n">
        <f aca="false">ROUND(C750*F750,0)</f>
        <v>1006</v>
      </c>
      <c r="H750" s="48" t="n">
        <f aca="false">MAX(0,(C750*'Model Inputs &amp; Assumptions'!$N$29+E750*'Model Inputs &amp; Assumptions'!$O$29+G750*'Model Inputs &amp; Assumptions'!$P$29)*EXP('Model Inputs &amp; Assumptions'!$Q$29*S750-'Model Inputs &amp; Assumptions'!$Q$29^2/2))</f>
        <v>41.3262742098414</v>
      </c>
      <c r="I750" s="49" t="n">
        <f aca="false">IF('Model Inputs &amp; Assumptions'!$H$29="Fixed",'Model Inputs &amp; Assumptions'!$I$29*'Model Inputs &amp; Assumptions'!$K$29,IF('Model Inputs &amp; Assumptions'!$H$29="CPM",'Model Inputs &amp; Assumptions'!$I$29*'Model Inputs &amp; Assumptions'!$K$29*C750/1000,IF('Model Inputs &amp; Assumptions'!$H$29="CPC",'Model Inputs &amp; Assumptions'!$I$29*'Model Inputs &amp; Assumptions'!$K$29*G750,0)))</f>
        <v>6500</v>
      </c>
      <c r="J750" s="50" t="n">
        <f aca="false">H750*INDEX('Model Inputs &amp; Assumptions'!$D$40:$D$42,MATCH('Model Inputs &amp; Assumptions'!$L$29,'Model Inputs &amp; Assumptions'!$A$40:$A$42,0))*INDEX('Model Inputs &amp; Assumptions'!$H$40:$H$42,MATCH('Model Inputs &amp; Assumptions'!$L$29,'Model Inputs &amp; Assumptions'!$A$40:$A$42,0))</f>
        <v>351273.330783652</v>
      </c>
      <c r="K750" s="49" t="n">
        <f aca="false">H750*INDEX('Model Inputs &amp; Assumptions'!$G$40:$G$42,MATCH('Model Inputs &amp; Assumptions'!$L$29,'Model Inputs &amp; Assumptions'!$A$40:$A$42,0))*INDEX('Model Inputs &amp; Assumptions'!$H$40:$H$42,MATCH('Model Inputs &amp; Assumptions'!$L$29,'Model Inputs &amp; Assumptions'!$A$40:$A$42,0))</f>
        <v>7903.64994263217</v>
      </c>
      <c r="L750" s="51" t="n">
        <f aca="false">IFERROR(K750/I750,0)</f>
        <v>1.21594614502033</v>
      </c>
      <c r="M750" s="49" t="n">
        <f aca="false">IFERROR(I750/H750,0)</f>
        <v>157.284926460951</v>
      </c>
      <c r="N750" s="52" t="str">
        <f aca="false">'Model Inputs &amp; Assumptions'!$L$29</f>
        <v>PRD-EUAI</v>
      </c>
      <c r="P750" s="53" t="n">
        <v>-0.250008</v>
      </c>
      <c r="Q750" s="53" t="n">
        <v>-1.285183</v>
      </c>
      <c r="R750" s="53" t="n">
        <v>2.491306</v>
      </c>
      <c r="S750" s="53" t="n">
        <v>-0.505022</v>
      </c>
    </row>
    <row r="751" customFormat="false" ht="15" hidden="false" customHeight="false" outlineLevel="0" collapsed="false">
      <c r="A751" s="43" t="n">
        <v>248</v>
      </c>
      <c r="B751" s="44" t="str">
        <f aca="false">'Model Inputs &amp; Assumptions'!$B$29</f>
        <v>Handelsblatt — Native Explainer</v>
      </c>
      <c r="C751" s="45" t="n">
        <f aca="false">ROUND(MAX(0,'Model Inputs &amp; Assumptions'!$S$29*EXP('Model Inputs &amp; Assumptions'!$T$29*P751-'Model Inputs &amp; Assumptions'!$T$29^2/2)),0)</f>
        <v>162862</v>
      </c>
      <c r="D751" s="46" t="n">
        <f aca="false">MIN(1,'Model Inputs &amp; Assumptions'!$U$29*EXP('Model Inputs &amp; Assumptions'!$V$29*Q751-'Model Inputs &amp; Assumptions'!$V$29^2/2))</f>
        <v>0</v>
      </c>
      <c r="E751" s="45" t="n">
        <f aca="false">ROUND(C751*D751,0)</f>
        <v>0</v>
      </c>
      <c r="F751" s="47" t="n">
        <f aca="false">MIN(1,'Model Inputs &amp; Assumptions'!$W$29*EXP('Model Inputs &amp; Assumptions'!$X$29*R751-'Model Inputs &amp; Assumptions'!$X$29^2/2))</f>
        <v>0.00287670476086571</v>
      </c>
      <c r="G751" s="45" t="n">
        <f aca="false">ROUND(C751*F751,0)</f>
        <v>469</v>
      </c>
      <c r="H751" s="48" t="n">
        <f aca="false">MAX(0,(C751*'Model Inputs &amp; Assumptions'!$N$29+E751*'Model Inputs &amp; Assumptions'!$O$29+G751*'Model Inputs &amp; Assumptions'!$P$29)*EXP('Model Inputs &amp; Assumptions'!$Q$29*S751-'Model Inputs &amp; Assumptions'!$Q$29^2/2))</f>
        <v>15.3299938987925</v>
      </c>
      <c r="I751" s="49" t="n">
        <f aca="false">IF('Model Inputs &amp; Assumptions'!$H$29="Fixed",'Model Inputs &amp; Assumptions'!$I$29*'Model Inputs &amp; Assumptions'!$K$29,IF('Model Inputs &amp; Assumptions'!$H$29="CPM",'Model Inputs &amp; Assumptions'!$I$29*'Model Inputs &amp; Assumptions'!$K$29*C751/1000,IF('Model Inputs &amp; Assumptions'!$H$29="CPC",'Model Inputs &amp; Assumptions'!$I$29*'Model Inputs &amp; Assumptions'!$K$29*G751,0)))</f>
        <v>6500</v>
      </c>
      <c r="J751" s="50" t="n">
        <f aca="false">H751*INDEX('Model Inputs &amp; Assumptions'!$D$40:$D$42,MATCH('Model Inputs &amp; Assumptions'!$L$29,'Model Inputs &amp; Assumptions'!$A$40:$A$42,0))*INDEX('Model Inputs &amp; Assumptions'!$H$40:$H$42,MATCH('Model Inputs &amp; Assumptions'!$L$29,'Model Inputs &amp; Assumptions'!$A$40:$A$42,0))</f>
        <v>130304.948139736</v>
      </c>
      <c r="K751" s="49" t="n">
        <f aca="false">H751*INDEX('Model Inputs &amp; Assumptions'!$G$40:$G$42,MATCH('Model Inputs &amp; Assumptions'!$L$29,'Model Inputs &amp; Assumptions'!$A$40:$A$42,0))*INDEX('Model Inputs &amp; Assumptions'!$H$40:$H$42,MATCH('Model Inputs &amp; Assumptions'!$L$29,'Model Inputs &amp; Assumptions'!$A$40:$A$42,0))</f>
        <v>2931.86133314407</v>
      </c>
      <c r="L751" s="51" t="n">
        <f aca="false">IFERROR(K751/I751,0)</f>
        <v>0.451055589714472</v>
      </c>
      <c r="M751" s="49" t="n">
        <f aca="false">IFERROR(I751/H751,0)</f>
        <v>424.005387276245</v>
      </c>
      <c r="N751" s="52" t="str">
        <f aca="false">'Model Inputs &amp; Assumptions'!$L$29</f>
        <v>PRD-EUAI</v>
      </c>
      <c r="P751" s="53" t="n">
        <v>-0.778011</v>
      </c>
      <c r="Q751" s="53" t="n">
        <v>1.969596</v>
      </c>
      <c r="R751" s="53" t="n">
        <v>-0.000841</v>
      </c>
      <c r="S751" s="53" t="n">
        <v>-1.266864</v>
      </c>
    </row>
    <row r="752" customFormat="false" ht="15" hidden="false" customHeight="false" outlineLevel="0" collapsed="false">
      <c r="A752" s="43" t="n">
        <v>249</v>
      </c>
      <c r="B752" s="44" t="str">
        <f aca="false">'Model Inputs &amp; Assumptions'!$B$29</f>
        <v>Handelsblatt — Native Explainer</v>
      </c>
      <c r="C752" s="45" t="n">
        <f aca="false">ROUND(MAX(0,'Model Inputs &amp; Assumptions'!$S$29*EXP('Model Inputs &amp; Assumptions'!$T$29*P752-'Model Inputs &amp; Assumptions'!$T$29^2/2)),0)</f>
        <v>142897</v>
      </c>
      <c r="D752" s="46" t="n">
        <f aca="false">MIN(1,'Model Inputs &amp; Assumptions'!$U$29*EXP('Model Inputs &amp; Assumptions'!$V$29*Q752-'Model Inputs &amp; Assumptions'!$V$29^2/2))</f>
        <v>0</v>
      </c>
      <c r="E752" s="45" t="n">
        <f aca="false">ROUND(C752*D752,0)</f>
        <v>0</v>
      </c>
      <c r="F752" s="47" t="n">
        <f aca="false">MIN(1,'Model Inputs &amp; Assumptions'!$W$29*EXP('Model Inputs &amp; Assumptions'!$X$29*R752-'Model Inputs &amp; Assumptions'!$X$29^2/2))</f>
        <v>0.00291568830988449</v>
      </c>
      <c r="G752" s="45" t="n">
        <f aca="false">ROUND(C752*F752,0)</f>
        <v>417</v>
      </c>
      <c r="H752" s="48" t="n">
        <f aca="false">MAX(0,(C752*'Model Inputs &amp; Assumptions'!$N$29+E752*'Model Inputs &amp; Assumptions'!$O$29+G752*'Model Inputs &amp; Assumptions'!$P$29)*EXP('Model Inputs &amp; Assumptions'!$Q$29*S752-'Model Inputs &amp; Assumptions'!$Q$29^2/2))</f>
        <v>18.159264082213</v>
      </c>
      <c r="I752" s="49" t="n">
        <f aca="false">IF('Model Inputs &amp; Assumptions'!$H$29="Fixed",'Model Inputs &amp; Assumptions'!$I$29*'Model Inputs &amp; Assumptions'!$K$29,IF('Model Inputs &amp; Assumptions'!$H$29="CPM",'Model Inputs &amp; Assumptions'!$I$29*'Model Inputs &amp; Assumptions'!$K$29*C752/1000,IF('Model Inputs &amp; Assumptions'!$H$29="CPC",'Model Inputs &amp; Assumptions'!$I$29*'Model Inputs &amp; Assumptions'!$K$29*G752,0)))</f>
        <v>6500</v>
      </c>
      <c r="J752" s="50" t="n">
        <f aca="false">H752*INDEX('Model Inputs &amp; Assumptions'!$D$40:$D$42,MATCH('Model Inputs &amp; Assumptions'!$L$29,'Model Inputs &amp; Assumptions'!$A$40:$A$42,0))*INDEX('Model Inputs &amp; Assumptions'!$H$40:$H$42,MATCH('Model Inputs &amp; Assumptions'!$L$29,'Model Inputs &amp; Assumptions'!$A$40:$A$42,0))</f>
        <v>154353.744698811</v>
      </c>
      <c r="K752" s="49" t="n">
        <f aca="false">H752*INDEX('Model Inputs &amp; Assumptions'!$G$40:$G$42,MATCH('Model Inputs &amp; Assumptions'!$L$29,'Model Inputs &amp; Assumptions'!$A$40:$A$42,0))*INDEX('Model Inputs &amp; Assumptions'!$H$40:$H$42,MATCH('Model Inputs &amp; Assumptions'!$L$29,'Model Inputs &amp; Assumptions'!$A$40:$A$42,0))</f>
        <v>3472.95925572324</v>
      </c>
      <c r="L752" s="51" t="n">
        <f aca="false">IFERROR(K752/I752,0)</f>
        <v>0.534301423957421</v>
      </c>
      <c r="M752" s="49" t="n">
        <f aca="false">IFERROR(I752/H752,0)</f>
        <v>357.944020780377</v>
      </c>
      <c r="N752" s="52" t="str">
        <f aca="false">'Model Inputs &amp; Assumptions'!$L$29</f>
        <v>PRD-EUAI</v>
      </c>
      <c r="P752" s="53" t="n">
        <v>-1.372464</v>
      </c>
      <c r="Q752" s="53" t="n">
        <v>0.439843</v>
      </c>
      <c r="R752" s="53" t="n">
        <v>0.05093</v>
      </c>
      <c r="S752" s="53" t="n">
        <v>-0.310577</v>
      </c>
    </row>
    <row r="753" customFormat="false" ht="15" hidden="false" customHeight="false" outlineLevel="0" collapsed="false">
      <c r="A753" s="43" t="n">
        <v>250</v>
      </c>
      <c r="B753" s="44" t="str">
        <f aca="false">'Model Inputs &amp; Assumptions'!$B$29</f>
        <v>Handelsblatt — Native Explainer</v>
      </c>
      <c r="C753" s="45" t="n">
        <f aca="false">ROUND(MAX(0,'Model Inputs &amp; Assumptions'!$S$29*EXP('Model Inputs &amp; Assumptions'!$T$29*P753-'Model Inputs &amp; Assumptions'!$T$29^2/2)),0)</f>
        <v>188237</v>
      </c>
      <c r="D753" s="46" t="n">
        <f aca="false">MIN(1,'Model Inputs &amp; Assumptions'!$U$29*EXP('Model Inputs &amp; Assumptions'!$V$29*Q753-'Model Inputs &amp; Assumptions'!$V$29^2/2))</f>
        <v>0</v>
      </c>
      <c r="E753" s="45" t="n">
        <f aca="false">ROUND(C753*D753,0)</f>
        <v>0</v>
      </c>
      <c r="F753" s="47" t="n">
        <f aca="false">MIN(1,'Model Inputs &amp; Assumptions'!$W$29*EXP('Model Inputs &amp; Assumptions'!$X$29*R753-'Model Inputs &amp; Assumptions'!$X$29^2/2))</f>
        <v>0.00290561873941992</v>
      </c>
      <c r="G753" s="45" t="n">
        <f aca="false">ROUND(C753*F753,0)</f>
        <v>547</v>
      </c>
      <c r="H753" s="48" t="n">
        <f aca="false">MAX(0,(C753*'Model Inputs &amp; Assumptions'!$N$29+E753*'Model Inputs &amp; Assumptions'!$O$29+G753*'Model Inputs &amp; Assumptions'!$P$29)*EXP('Model Inputs &amp; Assumptions'!$Q$29*S753-'Model Inputs &amp; Assumptions'!$Q$29^2/2))</f>
        <v>22.3036786973557</v>
      </c>
      <c r="I753" s="49" t="n">
        <f aca="false">IF('Model Inputs &amp; Assumptions'!$H$29="Fixed",'Model Inputs &amp; Assumptions'!$I$29*'Model Inputs &amp; Assumptions'!$K$29,IF('Model Inputs &amp; Assumptions'!$H$29="CPM",'Model Inputs &amp; Assumptions'!$I$29*'Model Inputs &amp; Assumptions'!$K$29*C753/1000,IF('Model Inputs &amp; Assumptions'!$H$29="CPC",'Model Inputs &amp; Assumptions'!$I$29*'Model Inputs &amp; Assumptions'!$K$29*G753,0)))</f>
        <v>6500</v>
      </c>
      <c r="J753" s="50" t="n">
        <f aca="false">H753*INDEX('Model Inputs &amp; Assumptions'!$D$40:$D$42,MATCH('Model Inputs &amp; Assumptions'!$L$29,'Model Inputs &amp; Assumptions'!$A$40:$A$42,0))*INDEX('Model Inputs &amp; Assumptions'!$H$40:$H$42,MATCH('Model Inputs &amp; Assumptions'!$L$29,'Model Inputs &amp; Assumptions'!$A$40:$A$42,0))</f>
        <v>189581.268927524</v>
      </c>
      <c r="K753" s="49" t="n">
        <f aca="false">H753*INDEX('Model Inputs &amp; Assumptions'!$G$40:$G$42,MATCH('Model Inputs &amp; Assumptions'!$L$29,'Model Inputs &amp; Assumptions'!$A$40:$A$42,0))*INDEX('Model Inputs &amp; Assumptions'!$H$40:$H$42,MATCH('Model Inputs &amp; Assumptions'!$L$29,'Model Inputs &amp; Assumptions'!$A$40:$A$42,0))</f>
        <v>4265.57855086928</v>
      </c>
      <c r="L753" s="51" t="n">
        <f aca="false">IFERROR(K753/I753,0)</f>
        <v>0.656242853979889</v>
      </c>
      <c r="M753" s="49" t="n">
        <f aca="false">IFERROR(I753/H753,0)</f>
        <v>291.431744879405</v>
      </c>
      <c r="N753" s="52" t="str">
        <f aca="false">'Model Inputs &amp; Assumptions'!$L$29</f>
        <v>PRD-EUAI</v>
      </c>
      <c r="P753" s="53" t="n">
        <v>-0.119843</v>
      </c>
      <c r="Q753" s="53" t="n">
        <v>0.7421</v>
      </c>
      <c r="R753" s="53" t="n">
        <v>0.037624</v>
      </c>
      <c r="S753" s="53" t="n">
        <v>-0.529883</v>
      </c>
    </row>
    <row r="754" customFormat="false" ht="15" hidden="false" customHeight="false" outlineLevel="0" collapsed="false">
      <c r="A754" s="43" t="n">
        <v>251</v>
      </c>
      <c r="B754" s="44" t="str">
        <f aca="false">'Model Inputs &amp; Assumptions'!$B$29</f>
        <v>Handelsblatt — Native Explainer</v>
      </c>
      <c r="C754" s="45" t="n">
        <f aca="false">ROUND(MAX(0,'Model Inputs &amp; Assumptions'!$S$29*EXP('Model Inputs &amp; Assumptions'!$T$29*P754-'Model Inputs &amp; Assumptions'!$T$29^2/2)),0)</f>
        <v>173833</v>
      </c>
      <c r="D754" s="46" t="n">
        <f aca="false">MIN(1,'Model Inputs &amp; Assumptions'!$U$29*EXP('Model Inputs &amp; Assumptions'!$V$29*Q754-'Model Inputs &amp; Assumptions'!$V$29^2/2))</f>
        <v>0</v>
      </c>
      <c r="E754" s="45" t="n">
        <f aca="false">ROUND(C754*D754,0)</f>
        <v>0</v>
      </c>
      <c r="F754" s="47" t="n">
        <f aca="false">MIN(1,'Model Inputs &amp; Assumptions'!$W$29*EXP('Model Inputs &amp; Assumptions'!$X$29*R754-'Model Inputs &amp; Assumptions'!$X$29^2/2))</f>
        <v>0.00393543994558838</v>
      </c>
      <c r="G754" s="45" t="n">
        <f aca="false">ROUND(C754*F754,0)</f>
        <v>684</v>
      </c>
      <c r="H754" s="48" t="n">
        <f aca="false">MAX(0,(C754*'Model Inputs &amp; Assumptions'!$N$29+E754*'Model Inputs &amp; Assumptions'!$O$29+G754*'Model Inputs &amp; Assumptions'!$P$29)*EXP('Model Inputs &amp; Assumptions'!$Q$29*S754-'Model Inputs &amp; Assumptions'!$Q$29^2/2))</f>
        <v>34.7501067541711</v>
      </c>
      <c r="I754" s="49" t="n">
        <f aca="false">IF('Model Inputs &amp; Assumptions'!$H$29="Fixed",'Model Inputs &amp; Assumptions'!$I$29*'Model Inputs &amp; Assumptions'!$K$29,IF('Model Inputs &amp; Assumptions'!$H$29="CPM",'Model Inputs &amp; Assumptions'!$I$29*'Model Inputs &amp; Assumptions'!$K$29*C754/1000,IF('Model Inputs &amp; Assumptions'!$H$29="CPC",'Model Inputs &amp; Assumptions'!$I$29*'Model Inputs &amp; Assumptions'!$K$29*G754,0)))</f>
        <v>6500</v>
      </c>
      <c r="J754" s="50" t="n">
        <f aca="false">H754*INDEX('Model Inputs &amp; Assumptions'!$D$40:$D$42,MATCH('Model Inputs &amp; Assumptions'!$L$29,'Model Inputs &amp; Assumptions'!$A$40:$A$42,0))*INDEX('Model Inputs &amp; Assumptions'!$H$40:$H$42,MATCH('Model Inputs &amp; Assumptions'!$L$29,'Model Inputs &amp; Assumptions'!$A$40:$A$42,0))</f>
        <v>295375.907410454</v>
      </c>
      <c r="K754" s="49" t="n">
        <f aca="false">H754*INDEX('Model Inputs &amp; Assumptions'!$G$40:$G$42,MATCH('Model Inputs &amp; Assumptions'!$L$29,'Model Inputs &amp; Assumptions'!$A$40:$A$42,0))*INDEX('Model Inputs &amp; Assumptions'!$H$40:$H$42,MATCH('Model Inputs &amp; Assumptions'!$L$29,'Model Inputs &amp; Assumptions'!$A$40:$A$42,0))</f>
        <v>6645.95791673522</v>
      </c>
      <c r="L754" s="51" t="n">
        <f aca="false">IFERROR(K754/I754,0)</f>
        <v>1.02245506411311</v>
      </c>
      <c r="M754" s="49" t="n">
        <f aca="false">IFERROR(I754/H754,0)</f>
        <v>187.049785083604</v>
      </c>
      <c r="N754" s="52" t="str">
        <f aca="false">'Model Inputs &amp; Assumptions'!$L$29</f>
        <v>PRD-EUAI</v>
      </c>
      <c r="P754" s="53" t="n">
        <v>-0.481684</v>
      </c>
      <c r="Q754" s="53" t="n">
        <v>-0.085342</v>
      </c>
      <c r="R754" s="53" t="n">
        <v>1.204456</v>
      </c>
      <c r="S754" s="53" t="n">
        <v>0.20319</v>
      </c>
    </row>
    <row r="755" customFormat="false" ht="15" hidden="false" customHeight="false" outlineLevel="0" collapsed="false">
      <c r="A755" s="43" t="n">
        <v>252</v>
      </c>
      <c r="B755" s="44" t="str">
        <f aca="false">'Model Inputs &amp; Assumptions'!$B$29</f>
        <v>Handelsblatt — Native Explainer</v>
      </c>
      <c r="C755" s="45" t="n">
        <f aca="false">ROUND(MAX(0,'Model Inputs &amp; Assumptions'!$S$29*EXP('Model Inputs &amp; Assumptions'!$T$29*P755-'Model Inputs &amp; Assumptions'!$T$29^2/2)),0)</f>
        <v>274107</v>
      </c>
      <c r="D755" s="46" t="n">
        <f aca="false">MIN(1,'Model Inputs &amp; Assumptions'!$U$29*EXP('Model Inputs &amp; Assumptions'!$V$29*Q755-'Model Inputs &amp; Assumptions'!$V$29^2/2))</f>
        <v>0</v>
      </c>
      <c r="E755" s="45" t="n">
        <f aca="false">ROUND(C755*D755,0)</f>
        <v>0</v>
      </c>
      <c r="F755" s="47" t="n">
        <f aca="false">MIN(1,'Model Inputs &amp; Assumptions'!$W$29*EXP('Model Inputs &amp; Assumptions'!$X$29*R755-'Model Inputs &amp; Assumptions'!$X$29^2/2))</f>
        <v>0.00230059949464833</v>
      </c>
      <c r="G755" s="45" t="n">
        <f aca="false">ROUND(C755*F755,0)</f>
        <v>631</v>
      </c>
      <c r="H755" s="48" t="n">
        <f aca="false">MAX(0,(C755*'Model Inputs &amp; Assumptions'!$N$29+E755*'Model Inputs &amp; Assumptions'!$O$29+G755*'Model Inputs &amp; Assumptions'!$P$29)*EXP('Model Inputs &amp; Assumptions'!$Q$29*S755-'Model Inputs &amp; Assumptions'!$Q$29^2/2))</f>
        <v>27.5902097057109</v>
      </c>
      <c r="I755" s="49" t="n">
        <f aca="false">IF('Model Inputs &amp; Assumptions'!$H$29="Fixed",'Model Inputs &amp; Assumptions'!$I$29*'Model Inputs &amp; Assumptions'!$K$29,IF('Model Inputs &amp; Assumptions'!$H$29="CPM",'Model Inputs &amp; Assumptions'!$I$29*'Model Inputs &amp; Assumptions'!$K$29*C755/1000,IF('Model Inputs &amp; Assumptions'!$H$29="CPC",'Model Inputs &amp; Assumptions'!$I$29*'Model Inputs &amp; Assumptions'!$K$29*G755,0)))</f>
        <v>6500</v>
      </c>
      <c r="J755" s="50" t="n">
        <f aca="false">H755*INDEX('Model Inputs &amp; Assumptions'!$D$40:$D$42,MATCH('Model Inputs &amp; Assumptions'!$L$29,'Model Inputs &amp; Assumptions'!$A$40:$A$42,0))*INDEX('Model Inputs &amp; Assumptions'!$H$40:$H$42,MATCH('Model Inputs &amp; Assumptions'!$L$29,'Model Inputs &amp; Assumptions'!$A$40:$A$42,0))</f>
        <v>234516.782498543</v>
      </c>
      <c r="K755" s="49" t="n">
        <f aca="false">H755*INDEX('Model Inputs &amp; Assumptions'!$G$40:$G$42,MATCH('Model Inputs &amp; Assumptions'!$L$29,'Model Inputs &amp; Assumptions'!$A$40:$A$42,0))*INDEX('Model Inputs &amp; Assumptions'!$H$40:$H$42,MATCH('Model Inputs &amp; Assumptions'!$L$29,'Model Inputs &amp; Assumptions'!$A$40:$A$42,0))</f>
        <v>5276.62760621722</v>
      </c>
      <c r="L755" s="51" t="n">
        <f aca="false">IFERROR(K755/I755,0)</f>
        <v>0.811788862494957</v>
      </c>
      <c r="M755" s="49" t="n">
        <f aca="false">IFERROR(I755/H755,0)</f>
        <v>235.590815341087</v>
      </c>
      <c r="N755" s="52" t="str">
        <f aca="false">'Model Inputs &amp; Assumptions'!$L$29</f>
        <v>PRD-EUAI</v>
      </c>
      <c r="P755" s="53" t="n">
        <v>1.588416</v>
      </c>
      <c r="Q755" s="53" t="n">
        <v>-1.668821</v>
      </c>
      <c r="R755" s="53" t="n">
        <v>-0.860363</v>
      </c>
      <c r="S755" s="53" t="n">
        <v>-0.297042</v>
      </c>
    </row>
    <row r="756" customFormat="false" ht="15" hidden="false" customHeight="false" outlineLevel="0" collapsed="false">
      <c r="A756" s="43" t="n">
        <v>253</v>
      </c>
      <c r="B756" s="44" t="str">
        <f aca="false">'Model Inputs &amp; Assumptions'!$B$29</f>
        <v>Handelsblatt — Native Explainer</v>
      </c>
      <c r="C756" s="45" t="n">
        <f aca="false">ROUND(MAX(0,'Model Inputs &amp; Assumptions'!$S$29*EXP('Model Inputs &amp; Assumptions'!$T$29*P756-'Model Inputs &amp; Assumptions'!$T$29^2/2)),0)</f>
        <v>213901</v>
      </c>
      <c r="D756" s="46" t="n">
        <f aca="false">MIN(1,'Model Inputs &amp; Assumptions'!$U$29*EXP('Model Inputs &amp; Assumptions'!$V$29*Q756-'Model Inputs &amp; Assumptions'!$V$29^2/2))</f>
        <v>0</v>
      </c>
      <c r="E756" s="45" t="n">
        <f aca="false">ROUND(C756*D756,0)</f>
        <v>0</v>
      </c>
      <c r="F756" s="47" t="n">
        <f aca="false">MIN(1,'Model Inputs &amp; Assumptions'!$W$29*EXP('Model Inputs &amp; Assumptions'!$X$29*R756-'Model Inputs &amp; Assumptions'!$X$29^2/2))</f>
        <v>0.0020461748817319</v>
      </c>
      <c r="G756" s="45" t="n">
        <f aca="false">ROUND(C756*F756,0)</f>
        <v>438</v>
      </c>
      <c r="H756" s="48" t="n">
        <f aca="false">MAX(0,(C756*'Model Inputs &amp; Assumptions'!$N$29+E756*'Model Inputs &amp; Assumptions'!$O$29+G756*'Model Inputs &amp; Assumptions'!$P$29)*EXP('Model Inputs &amp; Assumptions'!$Q$29*S756-'Model Inputs &amp; Assumptions'!$Q$29^2/2))</f>
        <v>23.0773573801126</v>
      </c>
      <c r="I756" s="49" t="n">
        <f aca="false">IF('Model Inputs &amp; Assumptions'!$H$29="Fixed",'Model Inputs &amp; Assumptions'!$I$29*'Model Inputs &amp; Assumptions'!$K$29,IF('Model Inputs &amp; Assumptions'!$H$29="CPM",'Model Inputs &amp; Assumptions'!$I$29*'Model Inputs &amp; Assumptions'!$K$29*C756/1000,IF('Model Inputs &amp; Assumptions'!$H$29="CPC",'Model Inputs &amp; Assumptions'!$I$29*'Model Inputs &amp; Assumptions'!$K$29*G756,0)))</f>
        <v>6500</v>
      </c>
      <c r="J756" s="50" t="n">
        <f aca="false">H756*INDEX('Model Inputs &amp; Assumptions'!$D$40:$D$42,MATCH('Model Inputs &amp; Assumptions'!$L$29,'Model Inputs &amp; Assumptions'!$A$40:$A$42,0))*INDEX('Model Inputs &amp; Assumptions'!$H$40:$H$42,MATCH('Model Inputs &amp; Assumptions'!$L$29,'Model Inputs &amp; Assumptions'!$A$40:$A$42,0))</f>
        <v>196157.537730957</v>
      </c>
      <c r="K756" s="49" t="n">
        <f aca="false">H756*INDEX('Model Inputs &amp; Assumptions'!$G$40:$G$42,MATCH('Model Inputs &amp; Assumptions'!$L$29,'Model Inputs &amp; Assumptions'!$A$40:$A$42,0))*INDEX('Model Inputs &amp; Assumptions'!$H$40:$H$42,MATCH('Model Inputs &amp; Assumptions'!$L$29,'Model Inputs &amp; Assumptions'!$A$40:$A$42,0))</f>
        <v>4413.54459894654</v>
      </c>
      <c r="L756" s="51" t="n">
        <f aca="false">IFERROR(K756/I756,0)</f>
        <v>0.679006861376391</v>
      </c>
      <c r="M756" s="49" t="n">
        <f aca="false">IFERROR(I756/H756,0)</f>
        <v>281.661365854719</v>
      </c>
      <c r="N756" s="52" t="str">
        <f aca="false">'Model Inputs &amp; Assumptions'!$L$29</f>
        <v>PRD-EUAI</v>
      </c>
      <c r="P756" s="53" t="n">
        <v>0.461117</v>
      </c>
      <c r="Q756" s="53" t="n">
        <v>-1.095668</v>
      </c>
      <c r="R756" s="53" t="n">
        <v>-1.311123</v>
      </c>
      <c r="S756" s="53" t="n">
        <v>0.324551</v>
      </c>
    </row>
    <row r="757" customFormat="false" ht="15" hidden="false" customHeight="false" outlineLevel="0" collapsed="false">
      <c r="A757" s="43" t="n">
        <v>254</v>
      </c>
      <c r="B757" s="44" t="str">
        <f aca="false">'Model Inputs &amp; Assumptions'!$B$29</f>
        <v>Handelsblatt — Native Explainer</v>
      </c>
      <c r="C757" s="45" t="n">
        <f aca="false">ROUND(MAX(0,'Model Inputs &amp; Assumptions'!$S$29*EXP('Model Inputs &amp; Assumptions'!$T$29*P757-'Model Inputs &amp; Assumptions'!$T$29^2/2)),0)</f>
        <v>275894</v>
      </c>
      <c r="D757" s="46" t="n">
        <f aca="false">MIN(1,'Model Inputs &amp; Assumptions'!$U$29*EXP('Model Inputs &amp; Assumptions'!$V$29*Q757-'Model Inputs &amp; Assumptions'!$V$29^2/2))</f>
        <v>0</v>
      </c>
      <c r="E757" s="45" t="n">
        <f aca="false">ROUND(C757*D757,0)</f>
        <v>0</v>
      </c>
      <c r="F757" s="47" t="n">
        <f aca="false">MIN(1,'Model Inputs &amp; Assumptions'!$W$29*EXP('Model Inputs &amp; Assumptions'!$X$29*R757-'Model Inputs &amp; Assumptions'!$X$29^2/2))</f>
        <v>0.00484885259601405</v>
      </c>
      <c r="G757" s="45" t="n">
        <f aca="false">ROUND(C757*F757,0)</f>
        <v>1338</v>
      </c>
      <c r="H757" s="48" t="n">
        <f aca="false">MAX(0,(C757*'Model Inputs &amp; Assumptions'!$N$29+E757*'Model Inputs &amp; Assumptions'!$O$29+G757*'Model Inputs &amp; Assumptions'!$P$29)*EXP('Model Inputs &amp; Assumptions'!$Q$29*S757-'Model Inputs &amp; Assumptions'!$Q$29^2/2))</f>
        <v>95.8784618639575</v>
      </c>
      <c r="I757" s="49" t="n">
        <f aca="false">IF('Model Inputs &amp; Assumptions'!$H$29="Fixed",'Model Inputs &amp; Assumptions'!$I$29*'Model Inputs &amp; Assumptions'!$K$29,IF('Model Inputs &amp; Assumptions'!$H$29="CPM",'Model Inputs &amp; Assumptions'!$I$29*'Model Inputs &amp; Assumptions'!$K$29*C757/1000,IF('Model Inputs &amp; Assumptions'!$H$29="CPC",'Model Inputs &amp; Assumptions'!$I$29*'Model Inputs &amp; Assumptions'!$K$29*G757,0)))</f>
        <v>6500</v>
      </c>
      <c r="J757" s="50" t="n">
        <f aca="false">H757*INDEX('Model Inputs &amp; Assumptions'!$D$40:$D$42,MATCH('Model Inputs &amp; Assumptions'!$L$29,'Model Inputs &amp; Assumptions'!$A$40:$A$42,0))*INDEX('Model Inputs &amp; Assumptions'!$H$40:$H$42,MATCH('Model Inputs &amp; Assumptions'!$L$29,'Model Inputs &amp; Assumptions'!$A$40:$A$42,0))</f>
        <v>814966.925843639</v>
      </c>
      <c r="K757" s="49" t="n">
        <f aca="false">H757*INDEX('Model Inputs &amp; Assumptions'!$G$40:$G$42,MATCH('Model Inputs &amp; Assumptions'!$L$29,'Model Inputs &amp; Assumptions'!$A$40:$A$42,0))*INDEX('Model Inputs &amp; Assumptions'!$H$40:$H$42,MATCH('Model Inputs &amp; Assumptions'!$L$29,'Model Inputs &amp; Assumptions'!$A$40:$A$42,0))</f>
        <v>18336.7558314819</v>
      </c>
      <c r="L757" s="51" t="n">
        <f aca="false">IFERROR(K757/I757,0)</f>
        <v>2.82103935868952</v>
      </c>
      <c r="M757" s="49" t="n">
        <f aca="false">IFERROR(I757/H757,0)</f>
        <v>67.7941622511935</v>
      </c>
      <c r="N757" s="52" t="str">
        <f aca="false">'Model Inputs &amp; Assumptions'!$L$29</f>
        <v>PRD-EUAI</v>
      </c>
      <c r="P757" s="53" t="n">
        <v>1.617961</v>
      </c>
      <c r="Q757" s="53" t="n">
        <v>-1.102339</v>
      </c>
      <c r="R757" s="53" t="n">
        <v>2.007223</v>
      </c>
      <c r="S757" s="53" t="n">
        <v>1.349608</v>
      </c>
    </row>
    <row r="758" customFormat="false" ht="15" hidden="false" customHeight="false" outlineLevel="0" collapsed="false">
      <c r="A758" s="43" t="n">
        <v>255</v>
      </c>
      <c r="B758" s="44" t="str">
        <f aca="false">'Model Inputs &amp; Assumptions'!$B$29</f>
        <v>Handelsblatt — Native Explainer</v>
      </c>
      <c r="C758" s="45" t="n">
        <f aca="false">ROUND(MAX(0,'Model Inputs &amp; Assumptions'!$S$29*EXP('Model Inputs &amp; Assumptions'!$T$29*P758-'Model Inputs &amp; Assumptions'!$T$29^2/2)),0)</f>
        <v>161143</v>
      </c>
      <c r="D758" s="46" t="n">
        <f aca="false">MIN(1,'Model Inputs &amp; Assumptions'!$U$29*EXP('Model Inputs &amp; Assumptions'!$V$29*Q758-'Model Inputs &amp; Assumptions'!$V$29^2/2))</f>
        <v>0</v>
      </c>
      <c r="E758" s="45" t="n">
        <f aca="false">ROUND(C758*D758,0)</f>
        <v>0</v>
      </c>
      <c r="F758" s="47" t="n">
        <f aca="false">MIN(1,'Model Inputs &amp; Assumptions'!$W$29*EXP('Model Inputs &amp; Assumptions'!$X$29*R758-'Model Inputs &amp; Assumptions'!$X$29^2/2))</f>
        <v>0.00236947658090996</v>
      </c>
      <c r="G758" s="45" t="n">
        <f aca="false">ROUND(C758*F758,0)</f>
        <v>382</v>
      </c>
      <c r="H758" s="48" t="n">
        <f aca="false">MAX(0,(C758*'Model Inputs &amp; Assumptions'!$N$29+E758*'Model Inputs &amp; Assumptions'!$O$29+G758*'Model Inputs &amp; Assumptions'!$P$29)*EXP('Model Inputs &amp; Assumptions'!$Q$29*S758-'Model Inputs &amp; Assumptions'!$Q$29^2/2))</f>
        <v>15.4314808677514</v>
      </c>
      <c r="I758" s="49" t="n">
        <f aca="false">IF('Model Inputs &amp; Assumptions'!$H$29="Fixed",'Model Inputs &amp; Assumptions'!$I$29*'Model Inputs &amp; Assumptions'!$K$29,IF('Model Inputs &amp; Assumptions'!$H$29="CPM",'Model Inputs &amp; Assumptions'!$I$29*'Model Inputs &amp; Assumptions'!$K$29*C758/1000,IF('Model Inputs &amp; Assumptions'!$H$29="CPC",'Model Inputs &amp; Assumptions'!$I$29*'Model Inputs &amp; Assumptions'!$K$29*G758,0)))</f>
        <v>6500</v>
      </c>
      <c r="J758" s="50" t="n">
        <f aca="false">H758*INDEX('Model Inputs &amp; Assumptions'!$D$40:$D$42,MATCH('Model Inputs &amp; Assumptions'!$L$29,'Model Inputs &amp; Assumptions'!$A$40:$A$42,0))*INDEX('Model Inputs &amp; Assumptions'!$H$40:$H$42,MATCH('Model Inputs &amp; Assumptions'!$L$29,'Model Inputs &amp; Assumptions'!$A$40:$A$42,0))</f>
        <v>131167.587375887</v>
      </c>
      <c r="K758" s="49" t="n">
        <f aca="false">H758*INDEX('Model Inputs &amp; Assumptions'!$G$40:$G$42,MATCH('Model Inputs &amp; Assumptions'!$L$29,'Model Inputs &amp; Assumptions'!$A$40:$A$42,0))*INDEX('Model Inputs &amp; Assumptions'!$H$40:$H$42,MATCH('Model Inputs &amp; Assumptions'!$L$29,'Model Inputs &amp; Assumptions'!$A$40:$A$42,0))</f>
        <v>2951.27071595745</v>
      </c>
      <c r="L758" s="51" t="n">
        <f aca="false">IFERROR(K758/I758,0)</f>
        <v>0.454041648608839</v>
      </c>
      <c r="M758" s="49" t="n">
        <f aca="false">IFERROR(I758/H758,0)</f>
        <v>421.21686542629</v>
      </c>
      <c r="N758" s="52" t="str">
        <f aca="false">'Model Inputs &amp; Assumptions'!$L$29</f>
        <v>PRD-EUAI</v>
      </c>
      <c r="P758" s="53" t="n">
        <v>-0.82624</v>
      </c>
      <c r="Q758" s="53" t="n">
        <v>1.162535</v>
      </c>
      <c r="R758" s="53" t="n">
        <v>-0.746904</v>
      </c>
      <c r="S758" s="53" t="n">
        <v>-0.560929</v>
      </c>
    </row>
    <row r="759" customFormat="false" ht="15" hidden="false" customHeight="false" outlineLevel="0" collapsed="false">
      <c r="A759" s="43" t="n">
        <v>256</v>
      </c>
      <c r="B759" s="44" t="str">
        <f aca="false">'Model Inputs &amp; Assumptions'!$B$29</f>
        <v>Handelsblatt — Native Explainer</v>
      </c>
      <c r="C759" s="45" t="n">
        <f aca="false">ROUND(MAX(0,'Model Inputs &amp; Assumptions'!$S$29*EXP('Model Inputs &amp; Assumptions'!$T$29*P759-'Model Inputs &amp; Assumptions'!$T$29^2/2)),0)</f>
        <v>198986</v>
      </c>
      <c r="D759" s="46" t="n">
        <f aca="false">MIN(1,'Model Inputs &amp; Assumptions'!$U$29*EXP('Model Inputs &amp; Assumptions'!$V$29*Q759-'Model Inputs &amp; Assumptions'!$V$29^2/2))</f>
        <v>0</v>
      </c>
      <c r="E759" s="45" t="n">
        <f aca="false">ROUND(C759*D759,0)</f>
        <v>0</v>
      </c>
      <c r="F759" s="47" t="n">
        <f aca="false">MIN(1,'Model Inputs &amp; Assumptions'!$W$29*EXP('Model Inputs &amp; Assumptions'!$X$29*R759-'Model Inputs &amp; Assumptions'!$X$29^2/2))</f>
        <v>0.00277112911203929</v>
      </c>
      <c r="G759" s="45" t="n">
        <f aca="false">ROUND(C759*F759,0)</f>
        <v>551</v>
      </c>
      <c r="H759" s="48" t="n">
        <f aca="false">MAX(0,(C759*'Model Inputs &amp; Assumptions'!$N$29+E759*'Model Inputs &amp; Assumptions'!$O$29+G759*'Model Inputs &amp; Assumptions'!$P$29)*EXP('Model Inputs &amp; Assumptions'!$Q$29*S759-'Model Inputs &amp; Assumptions'!$Q$29^2/2))</f>
        <v>29.7805601177238</v>
      </c>
      <c r="I759" s="49" t="n">
        <f aca="false">IF('Model Inputs &amp; Assumptions'!$H$29="Fixed",'Model Inputs &amp; Assumptions'!$I$29*'Model Inputs &amp; Assumptions'!$K$29,IF('Model Inputs &amp; Assumptions'!$H$29="CPM",'Model Inputs &amp; Assumptions'!$I$29*'Model Inputs &amp; Assumptions'!$K$29*C759/1000,IF('Model Inputs &amp; Assumptions'!$H$29="CPC",'Model Inputs &amp; Assumptions'!$I$29*'Model Inputs &amp; Assumptions'!$K$29*G759,0)))</f>
        <v>6500</v>
      </c>
      <c r="J759" s="50" t="n">
        <f aca="false">H759*INDEX('Model Inputs &amp; Assumptions'!$D$40:$D$42,MATCH('Model Inputs &amp; Assumptions'!$L$29,'Model Inputs &amp; Assumptions'!$A$40:$A$42,0))*INDEX('Model Inputs &amp; Assumptions'!$H$40:$H$42,MATCH('Model Inputs &amp; Assumptions'!$L$29,'Model Inputs &amp; Assumptions'!$A$40:$A$42,0))</f>
        <v>253134.761000652</v>
      </c>
      <c r="K759" s="49" t="n">
        <f aca="false">H759*INDEX('Model Inputs &amp; Assumptions'!$G$40:$G$42,MATCH('Model Inputs &amp; Assumptions'!$L$29,'Model Inputs &amp; Assumptions'!$A$40:$A$42,0))*INDEX('Model Inputs &amp; Assumptions'!$H$40:$H$42,MATCH('Model Inputs &amp; Assumptions'!$L$29,'Model Inputs &amp; Assumptions'!$A$40:$A$42,0))</f>
        <v>5695.53212251467</v>
      </c>
      <c r="L759" s="51" t="n">
        <f aca="false">IFERROR(K759/I759,0)</f>
        <v>0.876235711156103</v>
      </c>
      <c r="M759" s="49" t="n">
        <f aca="false">IFERROR(I759/H759,0)</f>
        <v>218.263188278032</v>
      </c>
      <c r="N759" s="52" t="str">
        <f aca="false">'Model Inputs &amp; Assumptions'!$L$29</f>
        <v>PRD-EUAI</v>
      </c>
      <c r="P759" s="53" t="n">
        <v>0.132577</v>
      </c>
      <c r="Q759" s="53" t="n">
        <v>-0.854997</v>
      </c>
      <c r="R759" s="53" t="n">
        <v>-0.144651</v>
      </c>
      <c r="S759" s="53" t="n">
        <v>0.409511</v>
      </c>
    </row>
    <row r="760" customFormat="false" ht="15" hidden="false" customHeight="false" outlineLevel="0" collapsed="false">
      <c r="A760" s="43" t="n">
        <v>257</v>
      </c>
      <c r="B760" s="44" t="str">
        <f aca="false">'Model Inputs &amp; Assumptions'!$B$29</f>
        <v>Handelsblatt — Native Explainer</v>
      </c>
      <c r="C760" s="45" t="n">
        <f aca="false">ROUND(MAX(0,'Model Inputs &amp; Assumptions'!$S$29*EXP('Model Inputs &amp; Assumptions'!$T$29*P760-'Model Inputs &amp; Assumptions'!$T$29^2/2)),0)</f>
        <v>175861</v>
      </c>
      <c r="D760" s="46" t="n">
        <f aca="false">MIN(1,'Model Inputs &amp; Assumptions'!$U$29*EXP('Model Inputs &amp; Assumptions'!$V$29*Q760-'Model Inputs &amp; Assumptions'!$V$29^2/2))</f>
        <v>0</v>
      </c>
      <c r="E760" s="45" t="n">
        <f aca="false">ROUND(C760*D760,0)</f>
        <v>0</v>
      </c>
      <c r="F760" s="47" t="n">
        <f aca="false">MIN(1,'Model Inputs &amp; Assumptions'!$W$29*EXP('Model Inputs &amp; Assumptions'!$X$29*R760-'Model Inputs &amp; Assumptions'!$X$29^2/2))</f>
        <v>0.00371313598600602</v>
      </c>
      <c r="G760" s="45" t="n">
        <f aca="false">ROUND(C760*F760,0)</f>
        <v>653</v>
      </c>
      <c r="H760" s="48" t="n">
        <f aca="false">MAX(0,(C760*'Model Inputs &amp; Assumptions'!$N$29+E760*'Model Inputs &amp; Assumptions'!$O$29+G760*'Model Inputs &amp; Assumptions'!$P$29)*EXP('Model Inputs &amp; Assumptions'!$Q$29*S760-'Model Inputs &amp; Assumptions'!$Q$29^2/2))</f>
        <v>20.8482842715054</v>
      </c>
      <c r="I760" s="49" t="n">
        <f aca="false">IF('Model Inputs &amp; Assumptions'!$H$29="Fixed",'Model Inputs &amp; Assumptions'!$I$29*'Model Inputs &amp; Assumptions'!$K$29,IF('Model Inputs &amp; Assumptions'!$H$29="CPM",'Model Inputs &amp; Assumptions'!$I$29*'Model Inputs &amp; Assumptions'!$K$29*C760/1000,IF('Model Inputs &amp; Assumptions'!$H$29="CPC",'Model Inputs &amp; Assumptions'!$I$29*'Model Inputs &amp; Assumptions'!$K$29*G760,0)))</f>
        <v>6500</v>
      </c>
      <c r="J760" s="50" t="n">
        <f aca="false">H760*INDEX('Model Inputs &amp; Assumptions'!$D$40:$D$42,MATCH('Model Inputs &amp; Assumptions'!$L$29,'Model Inputs &amp; Assumptions'!$A$40:$A$42,0))*INDEX('Model Inputs &amp; Assumptions'!$H$40:$H$42,MATCH('Model Inputs &amp; Assumptions'!$L$29,'Model Inputs &amp; Assumptions'!$A$40:$A$42,0))</f>
        <v>177210.416307796</v>
      </c>
      <c r="K760" s="49" t="n">
        <f aca="false">H760*INDEX('Model Inputs &amp; Assumptions'!$G$40:$G$42,MATCH('Model Inputs &amp; Assumptions'!$L$29,'Model Inputs &amp; Assumptions'!$A$40:$A$42,0))*INDEX('Model Inputs &amp; Assumptions'!$H$40:$H$42,MATCH('Model Inputs &amp; Assumptions'!$L$29,'Model Inputs &amp; Assumptions'!$A$40:$A$42,0))</f>
        <v>3987.2343669254</v>
      </c>
      <c r="L760" s="51" t="n">
        <f aca="false">IFERROR(K760/I760,0)</f>
        <v>0.613420671834677</v>
      </c>
      <c r="M760" s="49" t="n">
        <f aca="false">IFERROR(I760/H760,0)</f>
        <v>311.776255319194</v>
      </c>
      <c r="N760" s="52" t="str">
        <f aca="false">'Model Inputs &amp; Assumptions'!$L$29</f>
        <v>PRD-EUAI</v>
      </c>
      <c r="P760" s="53" t="n">
        <v>-0.428966</v>
      </c>
      <c r="Q760" s="53" t="n">
        <v>0.312947</v>
      </c>
      <c r="R760" s="53" t="n">
        <v>0.980818</v>
      </c>
      <c r="S760" s="53" t="n">
        <v>-1.345244</v>
      </c>
    </row>
    <row r="761" customFormat="false" ht="15" hidden="false" customHeight="false" outlineLevel="0" collapsed="false">
      <c r="A761" s="43" t="n">
        <v>258</v>
      </c>
      <c r="B761" s="44" t="str">
        <f aca="false">'Model Inputs &amp; Assumptions'!$B$29</f>
        <v>Handelsblatt — Native Explainer</v>
      </c>
      <c r="C761" s="45" t="n">
        <f aca="false">ROUND(MAX(0,'Model Inputs &amp; Assumptions'!$S$29*EXP('Model Inputs &amp; Assumptions'!$T$29*P761-'Model Inputs &amp; Assumptions'!$T$29^2/2)),0)</f>
        <v>193166</v>
      </c>
      <c r="D761" s="46" t="n">
        <f aca="false">MIN(1,'Model Inputs &amp; Assumptions'!$U$29*EXP('Model Inputs &amp; Assumptions'!$V$29*Q761-'Model Inputs &amp; Assumptions'!$V$29^2/2))</f>
        <v>0</v>
      </c>
      <c r="E761" s="45" t="n">
        <f aca="false">ROUND(C761*D761,0)</f>
        <v>0</v>
      </c>
      <c r="F761" s="47" t="n">
        <f aca="false">MIN(1,'Model Inputs &amp; Assumptions'!$W$29*EXP('Model Inputs &amp; Assumptions'!$X$29*R761-'Model Inputs &amp; Assumptions'!$X$29^2/2))</f>
        <v>0.0029388909397957</v>
      </c>
      <c r="G761" s="45" t="n">
        <f aca="false">ROUND(C761*F761,0)</f>
        <v>568</v>
      </c>
      <c r="H761" s="48" t="n">
        <f aca="false">MAX(0,(C761*'Model Inputs &amp; Assumptions'!$N$29+E761*'Model Inputs &amp; Assumptions'!$O$29+G761*'Model Inputs &amp; Assumptions'!$P$29)*EXP('Model Inputs &amp; Assumptions'!$Q$29*S761-'Model Inputs &amp; Assumptions'!$Q$29^2/2))</f>
        <v>17.4605481610392</v>
      </c>
      <c r="I761" s="49" t="n">
        <f aca="false">IF('Model Inputs &amp; Assumptions'!$H$29="Fixed",'Model Inputs &amp; Assumptions'!$I$29*'Model Inputs &amp; Assumptions'!$K$29,IF('Model Inputs &amp; Assumptions'!$H$29="CPM",'Model Inputs &amp; Assumptions'!$I$29*'Model Inputs &amp; Assumptions'!$K$29*C761/1000,IF('Model Inputs &amp; Assumptions'!$H$29="CPC",'Model Inputs &amp; Assumptions'!$I$29*'Model Inputs &amp; Assumptions'!$K$29*G761,0)))</f>
        <v>6500</v>
      </c>
      <c r="J761" s="50" t="n">
        <f aca="false">H761*INDEX('Model Inputs &amp; Assumptions'!$D$40:$D$42,MATCH('Model Inputs &amp; Assumptions'!$L$29,'Model Inputs &amp; Assumptions'!$A$40:$A$42,0))*INDEX('Model Inputs &amp; Assumptions'!$H$40:$H$42,MATCH('Model Inputs &amp; Assumptions'!$L$29,'Model Inputs &amp; Assumptions'!$A$40:$A$42,0))</f>
        <v>148414.659368834</v>
      </c>
      <c r="K761" s="49" t="n">
        <f aca="false">H761*INDEX('Model Inputs &amp; Assumptions'!$G$40:$G$42,MATCH('Model Inputs &amp; Assumptions'!$L$29,'Model Inputs &amp; Assumptions'!$A$40:$A$42,0))*INDEX('Model Inputs &amp; Assumptions'!$H$40:$H$42,MATCH('Model Inputs &amp; Assumptions'!$L$29,'Model Inputs &amp; Assumptions'!$A$40:$A$42,0))</f>
        <v>3339.32983579876</v>
      </c>
      <c r="L761" s="51" t="n">
        <f aca="false">IFERROR(K761/I761,0)</f>
        <v>0.513743051661347</v>
      </c>
      <c r="M761" s="49" t="n">
        <f aca="false">IFERROR(I761/H761,0)</f>
        <v>372.267808550469</v>
      </c>
      <c r="N761" s="52" t="str">
        <f aca="false">'Model Inputs &amp; Assumptions'!$L$29</f>
        <v>PRD-EUAI</v>
      </c>
      <c r="P761" s="53" t="n">
        <v>-0.002361</v>
      </c>
      <c r="Q761" s="53" t="n">
        <v>0.206437</v>
      </c>
      <c r="R761" s="53" t="n">
        <v>0.081416</v>
      </c>
      <c r="S761" s="53" t="n">
        <v>-1.471484</v>
      </c>
    </row>
    <row r="762" customFormat="false" ht="15" hidden="false" customHeight="false" outlineLevel="0" collapsed="false">
      <c r="A762" s="43" t="n">
        <v>259</v>
      </c>
      <c r="B762" s="44" t="str">
        <f aca="false">'Model Inputs &amp; Assumptions'!$B$29</f>
        <v>Handelsblatt — Native Explainer</v>
      </c>
      <c r="C762" s="45" t="n">
        <f aca="false">ROUND(MAX(0,'Model Inputs &amp; Assumptions'!$S$29*EXP('Model Inputs &amp; Assumptions'!$T$29*P762-'Model Inputs &amp; Assumptions'!$T$29^2/2)),0)</f>
        <v>196432</v>
      </c>
      <c r="D762" s="46" t="n">
        <f aca="false">MIN(1,'Model Inputs &amp; Assumptions'!$U$29*EXP('Model Inputs &amp; Assumptions'!$V$29*Q762-'Model Inputs &amp; Assumptions'!$V$29^2/2))</f>
        <v>0</v>
      </c>
      <c r="E762" s="45" t="n">
        <f aca="false">ROUND(C762*D762,0)</f>
        <v>0</v>
      </c>
      <c r="F762" s="47" t="n">
        <f aca="false">MIN(1,'Model Inputs &amp; Assumptions'!$W$29*EXP('Model Inputs &amp; Assumptions'!$X$29*R762-'Model Inputs &amp; Assumptions'!$X$29^2/2))</f>
        <v>0.00268667943096571</v>
      </c>
      <c r="G762" s="45" t="n">
        <f aca="false">ROUND(C762*F762,0)</f>
        <v>528</v>
      </c>
      <c r="H762" s="48" t="n">
        <f aca="false">MAX(0,(C762*'Model Inputs &amp; Assumptions'!$N$29+E762*'Model Inputs &amp; Assumptions'!$O$29+G762*'Model Inputs &amp; Assumptions'!$P$29)*EXP('Model Inputs &amp; Assumptions'!$Q$29*S762-'Model Inputs &amp; Assumptions'!$Q$29^2/2))</f>
        <v>16.059018790212</v>
      </c>
      <c r="I762" s="49" t="n">
        <f aca="false">IF('Model Inputs &amp; Assumptions'!$H$29="Fixed",'Model Inputs &amp; Assumptions'!$I$29*'Model Inputs &amp; Assumptions'!$K$29,IF('Model Inputs &amp; Assumptions'!$H$29="CPM",'Model Inputs &amp; Assumptions'!$I$29*'Model Inputs &amp; Assumptions'!$K$29*C762/1000,IF('Model Inputs &amp; Assumptions'!$H$29="CPC",'Model Inputs &amp; Assumptions'!$I$29*'Model Inputs &amp; Assumptions'!$K$29*G762,0)))</f>
        <v>6500</v>
      </c>
      <c r="J762" s="50" t="n">
        <f aca="false">H762*INDEX('Model Inputs &amp; Assumptions'!$D$40:$D$42,MATCH('Model Inputs &amp; Assumptions'!$L$29,'Model Inputs &amp; Assumptions'!$A$40:$A$42,0))*INDEX('Model Inputs &amp; Assumptions'!$H$40:$H$42,MATCH('Model Inputs &amp; Assumptions'!$L$29,'Model Inputs &amp; Assumptions'!$A$40:$A$42,0))</f>
        <v>136501.659716802</v>
      </c>
      <c r="K762" s="49" t="n">
        <f aca="false">H762*INDEX('Model Inputs &amp; Assumptions'!$G$40:$G$42,MATCH('Model Inputs &amp; Assumptions'!$L$29,'Model Inputs &amp; Assumptions'!$A$40:$A$42,0))*INDEX('Model Inputs &amp; Assumptions'!$H$40:$H$42,MATCH('Model Inputs &amp; Assumptions'!$L$29,'Model Inputs &amp; Assumptions'!$A$40:$A$42,0))</f>
        <v>3071.28734362804</v>
      </c>
      <c r="L762" s="51" t="n">
        <f aca="false">IFERROR(K762/I762,0)</f>
        <v>0.472505745173544</v>
      </c>
      <c r="M762" s="49" t="n">
        <f aca="false">IFERROR(I762/H762,0)</f>
        <v>404.756983282302</v>
      </c>
      <c r="N762" s="52" t="str">
        <f aca="false">'Model Inputs &amp; Assumptions'!$L$29</f>
        <v>PRD-EUAI</v>
      </c>
      <c r="P762" s="53" t="n">
        <v>0.07386</v>
      </c>
      <c r="Q762" s="53" t="n">
        <v>0.023112</v>
      </c>
      <c r="R762" s="53" t="n">
        <v>-0.263685</v>
      </c>
      <c r="S762" s="53" t="n">
        <v>-1.506978</v>
      </c>
    </row>
    <row r="763" customFormat="false" ht="15" hidden="false" customHeight="false" outlineLevel="0" collapsed="false">
      <c r="A763" s="43" t="n">
        <v>260</v>
      </c>
      <c r="B763" s="44" t="str">
        <f aca="false">'Model Inputs &amp; Assumptions'!$B$29</f>
        <v>Handelsblatt — Native Explainer</v>
      </c>
      <c r="C763" s="45" t="n">
        <f aca="false">ROUND(MAX(0,'Model Inputs &amp; Assumptions'!$S$29*EXP('Model Inputs &amp; Assumptions'!$T$29*P763-'Model Inputs &amp; Assumptions'!$T$29^2/2)),0)</f>
        <v>257173</v>
      </c>
      <c r="D763" s="46" t="n">
        <f aca="false">MIN(1,'Model Inputs &amp; Assumptions'!$U$29*EXP('Model Inputs &amp; Assumptions'!$V$29*Q763-'Model Inputs &amp; Assumptions'!$V$29^2/2))</f>
        <v>0</v>
      </c>
      <c r="E763" s="45" t="n">
        <f aca="false">ROUND(C763*D763,0)</f>
        <v>0</v>
      </c>
      <c r="F763" s="47" t="n">
        <f aca="false">MIN(1,'Model Inputs &amp; Assumptions'!$W$29*EXP('Model Inputs &amp; Assumptions'!$X$29*R763-'Model Inputs &amp; Assumptions'!$X$29^2/2))</f>
        <v>0.00249297420824726</v>
      </c>
      <c r="G763" s="45" t="n">
        <f aca="false">ROUND(C763*F763,0)</f>
        <v>641</v>
      </c>
      <c r="H763" s="48" t="n">
        <f aca="false">MAX(0,(C763*'Model Inputs &amp; Assumptions'!$N$29+E763*'Model Inputs &amp; Assumptions'!$O$29+G763*'Model Inputs &amp; Assumptions'!$P$29)*EXP('Model Inputs &amp; Assumptions'!$Q$29*S763-'Model Inputs &amp; Assumptions'!$Q$29^2/2))</f>
        <v>38.9090465754464</v>
      </c>
      <c r="I763" s="49" t="n">
        <f aca="false">IF('Model Inputs &amp; Assumptions'!$H$29="Fixed",'Model Inputs &amp; Assumptions'!$I$29*'Model Inputs &amp; Assumptions'!$K$29,IF('Model Inputs &amp; Assumptions'!$H$29="CPM",'Model Inputs &amp; Assumptions'!$I$29*'Model Inputs &amp; Assumptions'!$K$29*C763/1000,IF('Model Inputs &amp; Assumptions'!$H$29="CPC",'Model Inputs &amp; Assumptions'!$I$29*'Model Inputs &amp; Assumptions'!$K$29*G763,0)))</f>
        <v>6500</v>
      </c>
      <c r="J763" s="50" t="n">
        <f aca="false">H763*INDEX('Model Inputs &amp; Assumptions'!$D$40:$D$42,MATCH('Model Inputs &amp; Assumptions'!$L$29,'Model Inputs &amp; Assumptions'!$A$40:$A$42,0))*INDEX('Model Inputs &amp; Assumptions'!$H$40:$H$42,MATCH('Model Inputs &amp; Assumptions'!$L$29,'Model Inputs &amp; Assumptions'!$A$40:$A$42,0))</f>
        <v>330726.895891294</v>
      </c>
      <c r="K763" s="49" t="n">
        <f aca="false">H763*INDEX('Model Inputs &amp; Assumptions'!$G$40:$G$42,MATCH('Model Inputs &amp; Assumptions'!$L$29,'Model Inputs &amp; Assumptions'!$A$40:$A$42,0))*INDEX('Model Inputs &amp; Assumptions'!$H$40:$H$42,MATCH('Model Inputs &amp; Assumptions'!$L$29,'Model Inputs &amp; Assumptions'!$A$40:$A$42,0))</f>
        <v>7441.35515755412</v>
      </c>
      <c r="L763" s="51" t="n">
        <f aca="false">IFERROR(K763/I763,0)</f>
        <v>1.14482387039294</v>
      </c>
      <c r="M763" s="49" t="n">
        <f aca="false">IFERROR(I763/H763,0)</f>
        <v>167.056265112953</v>
      </c>
      <c r="N763" s="52" t="str">
        <f aca="false">'Model Inputs &amp; Assumptions'!$L$29</f>
        <v>PRD-EUAI</v>
      </c>
      <c r="P763" s="53" t="n">
        <v>1.298547</v>
      </c>
      <c r="Q763" s="53" t="n">
        <v>-0.180402</v>
      </c>
      <c r="R763" s="53" t="n">
        <v>-0.551491</v>
      </c>
      <c r="S763" s="53" t="n">
        <v>0.796432</v>
      </c>
    </row>
    <row r="764" customFormat="false" ht="15" hidden="false" customHeight="false" outlineLevel="0" collapsed="false">
      <c r="A764" s="43" t="n">
        <v>261</v>
      </c>
      <c r="B764" s="44" t="str">
        <f aca="false">'Model Inputs &amp; Assumptions'!$B$29</f>
        <v>Handelsblatt — Native Explainer</v>
      </c>
      <c r="C764" s="45" t="n">
        <f aca="false">ROUND(MAX(0,'Model Inputs &amp; Assumptions'!$S$29*EXP('Model Inputs &amp; Assumptions'!$T$29*P764-'Model Inputs &amp; Assumptions'!$T$29^2/2)),0)</f>
        <v>276273</v>
      </c>
      <c r="D764" s="46" t="n">
        <f aca="false">MIN(1,'Model Inputs &amp; Assumptions'!$U$29*EXP('Model Inputs &amp; Assumptions'!$V$29*Q764-'Model Inputs &amp; Assumptions'!$V$29^2/2))</f>
        <v>0</v>
      </c>
      <c r="E764" s="45" t="n">
        <f aca="false">ROUND(C764*D764,0)</f>
        <v>0</v>
      </c>
      <c r="F764" s="47" t="n">
        <f aca="false">MIN(1,'Model Inputs &amp; Assumptions'!$W$29*EXP('Model Inputs &amp; Assumptions'!$X$29*R764-'Model Inputs &amp; Assumptions'!$X$29^2/2))</f>
        <v>0.00251686162585347</v>
      </c>
      <c r="G764" s="45" t="n">
        <f aca="false">ROUND(C764*F764,0)</f>
        <v>695</v>
      </c>
      <c r="H764" s="48" t="n">
        <f aca="false">MAX(0,(C764*'Model Inputs &amp; Assumptions'!$N$29+E764*'Model Inputs &amp; Assumptions'!$O$29+G764*'Model Inputs &amp; Assumptions'!$P$29)*EXP('Model Inputs &amp; Assumptions'!$Q$29*S764-'Model Inputs &amp; Assumptions'!$Q$29^2/2))</f>
        <v>53.9831182135025</v>
      </c>
      <c r="I764" s="49" t="n">
        <f aca="false">IF('Model Inputs &amp; Assumptions'!$H$29="Fixed",'Model Inputs &amp; Assumptions'!$I$29*'Model Inputs &amp; Assumptions'!$K$29,IF('Model Inputs &amp; Assumptions'!$H$29="CPM",'Model Inputs &amp; Assumptions'!$I$29*'Model Inputs &amp; Assumptions'!$K$29*C764/1000,IF('Model Inputs &amp; Assumptions'!$H$29="CPC",'Model Inputs &amp; Assumptions'!$I$29*'Model Inputs &amp; Assumptions'!$K$29*G764,0)))</f>
        <v>6500</v>
      </c>
      <c r="J764" s="50" t="n">
        <f aca="false">H764*INDEX('Model Inputs &amp; Assumptions'!$D$40:$D$42,MATCH('Model Inputs &amp; Assumptions'!$L$29,'Model Inputs &amp; Assumptions'!$A$40:$A$42,0))*INDEX('Model Inputs &amp; Assumptions'!$H$40:$H$42,MATCH('Model Inputs &amp; Assumptions'!$L$29,'Model Inputs &amp; Assumptions'!$A$40:$A$42,0))</f>
        <v>458856.504814771</v>
      </c>
      <c r="K764" s="49" t="n">
        <f aca="false">H764*INDEX('Model Inputs &amp; Assumptions'!$G$40:$G$42,MATCH('Model Inputs &amp; Assumptions'!$L$29,'Model Inputs &amp; Assumptions'!$A$40:$A$42,0))*INDEX('Model Inputs &amp; Assumptions'!$H$40:$H$42,MATCH('Model Inputs &amp; Assumptions'!$L$29,'Model Inputs &amp; Assumptions'!$A$40:$A$42,0))</f>
        <v>10324.2713583324</v>
      </c>
      <c r="L764" s="51" t="n">
        <f aca="false">IFERROR(K764/I764,0)</f>
        <v>1.58834943974344</v>
      </c>
      <c r="M764" s="49" t="n">
        <f aca="false">IFERROR(I764/H764,0)</f>
        <v>120.408013006818</v>
      </c>
      <c r="N764" s="52" t="str">
        <f aca="false">'Model Inputs &amp; Assumptions'!$L$29</f>
        <v>PRD-EUAI</v>
      </c>
      <c r="P764" s="53" t="n">
        <v>1.624194</v>
      </c>
      <c r="Q764" s="53" t="n">
        <v>-0.013864</v>
      </c>
      <c r="R764" s="53" t="n">
        <v>-0.514813</v>
      </c>
      <c r="S764" s="53" t="n">
        <v>1.618306</v>
      </c>
    </row>
    <row r="765" customFormat="false" ht="15" hidden="false" customHeight="false" outlineLevel="0" collapsed="false">
      <c r="A765" s="43" t="n">
        <v>262</v>
      </c>
      <c r="B765" s="44" t="str">
        <f aca="false">'Model Inputs &amp; Assumptions'!$B$29</f>
        <v>Handelsblatt — Native Explainer</v>
      </c>
      <c r="C765" s="45" t="n">
        <f aca="false">ROUND(MAX(0,'Model Inputs &amp; Assumptions'!$S$29*EXP('Model Inputs &amp; Assumptions'!$T$29*P765-'Model Inputs &amp; Assumptions'!$T$29^2/2)),0)</f>
        <v>143724</v>
      </c>
      <c r="D765" s="46" t="n">
        <f aca="false">MIN(1,'Model Inputs &amp; Assumptions'!$U$29*EXP('Model Inputs &amp; Assumptions'!$V$29*Q765-'Model Inputs &amp; Assumptions'!$V$29^2/2))</f>
        <v>0</v>
      </c>
      <c r="E765" s="45" t="n">
        <f aca="false">ROUND(C765*D765,0)</f>
        <v>0</v>
      </c>
      <c r="F765" s="47" t="n">
        <f aca="false">MIN(1,'Model Inputs &amp; Assumptions'!$W$29*EXP('Model Inputs &amp; Assumptions'!$X$29*R765-'Model Inputs &amp; Assumptions'!$X$29^2/2))</f>
        <v>0.00277623995719041</v>
      </c>
      <c r="G765" s="45" t="n">
        <f aca="false">ROUND(C765*F765,0)</f>
        <v>399</v>
      </c>
      <c r="H765" s="48" t="n">
        <f aca="false">MAX(0,(C765*'Model Inputs &amp; Assumptions'!$N$29+E765*'Model Inputs &amp; Assumptions'!$O$29+G765*'Model Inputs &amp; Assumptions'!$P$29)*EXP('Model Inputs &amp; Assumptions'!$Q$29*S765-'Model Inputs &amp; Assumptions'!$Q$29^2/2))</f>
        <v>16.9013067822962</v>
      </c>
      <c r="I765" s="49" t="n">
        <f aca="false">IF('Model Inputs &amp; Assumptions'!$H$29="Fixed",'Model Inputs &amp; Assumptions'!$I$29*'Model Inputs &amp; Assumptions'!$K$29,IF('Model Inputs &amp; Assumptions'!$H$29="CPM",'Model Inputs &amp; Assumptions'!$I$29*'Model Inputs &amp; Assumptions'!$K$29*C765/1000,IF('Model Inputs &amp; Assumptions'!$H$29="CPC",'Model Inputs &amp; Assumptions'!$I$29*'Model Inputs &amp; Assumptions'!$K$29*G765,0)))</f>
        <v>6500</v>
      </c>
      <c r="J765" s="50" t="n">
        <f aca="false">H765*INDEX('Model Inputs &amp; Assumptions'!$D$40:$D$42,MATCH('Model Inputs &amp; Assumptions'!$L$29,'Model Inputs &amp; Assumptions'!$A$40:$A$42,0))*INDEX('Model Inputs &amp; Assumptions'!$H$40:$H$42,MATCH('Model Inputs &amp; Assumptions'!$L$29,'Model Inputs &amp; Assumptions'!$A$40:$A$42,0))</f>
        <v>143661.107649517</v>
      </c>
      <c r="K765" s="49" t="n">
        <f aca="false">H765*INDEX('Model Inputs &amp; Assumptions'!$G$40:$G$42,MATCH('Model Inputs &amp; Assumptions'!$L$29,'Model Inputs &amp; Assumptions'!$A$40:$A$42,0))*INDEX('Model Inputs &amp; Assumptions'!$H$40:$H$42,MATCH('Model Inputs &amp; Assumptions'!$L$29,'Model Inputs &amp; Assumptions'!$A$40:$A$42,0))</f>
        <v>3232.37492211414</v>
      </c>
      <c r="L765" s="51" t="n">
        <f aca="false">IFERROR(K765/I765,0)</f>
        <v>0.497288449556021</v>
      </c>
      <c r="M765" s="49" t="n">
        <f aca="false">IFERROR(I765/H765,0)</f>
        <v>384.585646762453</v>
      </c>
      <c r="N765" s="52" t="str">
        <f aca="false">'Model Inputs &amp; Assumptions'!$L$29</f>
        <v>PRD-EUAI</v>
      </c>
      <c r="P765" s="53" t="n">
        <v>-1.346239</v>
      </c>
      <c r="Q765" s="53" t="n">
        <v>0.037213</v>
      </c>
      <c r="R765" s="53" t="n">
        <v>-0.137564</v>
      </c>
      <c r="S765" s="53" t="n">
        <v>-0.402794</v>
      </c>
    </row>
    <row r="766" customFormat="false" ht="15" hidden="false" customHeight="false" outlineLevel="0" collapsed="false">
      <c r="A766" s="43" t="n">
        <v>263</v>
      </c>
      <c r="B766" s="44" t="str">
        <f aca="false">'Model Inputs &amp; Assumptions'!$B$29</f>
        <v>Handelsblatt — Native Explainer</v>
      </c>
      <c r="C766" s="45" t="n">
        <f aca="false">ROUND(MAX(0,'Model Inputs &amp; Assumptions'!$S$29*EXP('Model Inputs &amp; Assumptions'!$T$29*P766-'Model Inputs &amp; Assumptions'!$T$29^2/2)),0)</f>
        <v>179932</v>
      </c>
      <c r="D766" s="46" t="n">
        <f aca="false">MIN(1,'Model Inputs &amp; Assumptions'!$U$29*EXP('Model Inputs &amp; Assumptions'!$V$29*Q766-'Model Inputs &amp; Assumptions'!$V$29^2/2))</f>
        <v>0</v>
      </c>
      <c r="E766" s="45" t="n">
        <f aca="false">ROUND(C766*D766,0)</f>
        <v>0</v>
      </c>
      <c r="F766" s="47" t="n">
        <f aca="false">MIN(1,'Model Inputs &amp; Assumptions'!$W$29*EXP('Model Inputs &amp; Assumptions'!$X$29*R766-'Model Inputs &amp; Assumptions'!$X$29^2/2))</f>
        <v>0.00338737646897937</v>
      </c>
      <c r="G766" s="45" t="n">
        <f aca="false">ROUND(C766*F766,0)</f>
        <v>609</v>
      </c>
      <c r="H766" s="48" t="n">
        <f aca="false">MAX(0,(C766*'Model Inputs &amp; Assumptions'!$N$29+E766*'Model Inputs &amp; Assumptions'!$O$29+G766*'Model Inputs &amp; Assumptions'!$P$29)*EXP('Model Inputs &amp; Assumptions'!$Q$29*S766-'Model Inputs &amp; Assumptions'!$Q$29^2/2))</f>
        <v>38.653742240241</v>
      </c>
      <c r="I766" s="49" t="n">
        <f aca="false">IF('Model Inputs &amp; Assumptions'!$H$29="Fixed",'Model Inputs &amp; Assumptions'!$I$29*'Model Inputs &amp; Assumptions'!$K$29,IF('Model Inputs &amp; Assumptions'!$H$29="CPM",'Model Inputs &amp; Assumptions'!$I$29*'Model Inputs &amp; Assumptions'!$K$29*C766/1000,IF('Model Inputs &amp; Assumptions'!$H$29="CPC",'Model Inputs &amp; Assumptions'!$I$29*'Model Inputs &amp; Assumptions'!$K$29*G766,0)))</f>
        <v>6500</v>
      </c>
      <c r="J766" s="50" t="n">
        <f aca="false">H766*INDEX('Model Inputs &amp; Assumptions'!$D$40:$D$42,MATCH('Model Inputs &amp; Assumptions'!$L$29,'Model Inputs &amp; Assumptions'!$A$40:$A$42,0))*INDEX('Model Inputs &amp; Assumptions'!$H$40:$H$42,MATCH('Model Inputs &amp; Assumptions'!$L$29,'Model Inputs &amp; Assumptions'!$A$40:$A$42,0))</f>
        <v>328556.809042048</v>
      </c>
      <c r="K766" s="49" t="n">
        <f aca="false">H766*INDEX('Model Inputs &amp; Assumptions'!$G$40:$G$42,MATCH('Model Inputs &amp; Assumptions'!$L$29,'Model Inputs &amp; Assumptions'!$A$40:$A$42,0))*INDEX('Model Inputs &amp; Assumptions'!$H$40:$H$42,MATCH('Model Inputs &amp; Assumptions'!$L$29,'Model Inputs &amp; Assumptions'!$A$40:$A$42,0))</f>
        <v>7392.52820344608</v>
      </c>
      <c r="L766" s="51" t="n">
        <f aca="false">IFERROR(K766/I766,0)</f>
        <v>1.1373120312994</v>
      </c>
      <c r="M766" s="49" t="n">
        <f aca="false">IFERROR(I766/H766,0)</f>
        <v>168.15965604575</v>
      </c>
      <c r="N766" s="52" t="str">
        <f aca="false">'Model Inputs &amp; Assumptions'!$L$29</f>
        <v>PRD-EUAI</v>
      </c>
      <c r="P766" s="53" t="n">
        <v>-0.324933</v>
      </c>
      <c r="Q766" s="53" t="n">
        <v>0.628466</v>
      </c>
      <c r="R766" s="53" t="n">
        <v>0.62766</v>
      </c>
      <c r="S766" s="53" t="n">
        <v>0.945192</v>
      </c>
    </row>
    <row r="767" customFormat="false" ht="15" hidden="false" customHeight="false" outlineLevel="0" collapsed="false">
      <c r="A767" s="43" t="n">
        <v>264</v>
      </c>
      <c r="B767" s="44" t="str">
        <f aca="false">'Model Inputs &amp; Assumptions'!$B$29</f>
        <v>Handelsblatt — Native Explainer</v>
      </c>
      <c r="C767" s="45" t="n">
        <f aca="false">ROUND(MAX(0,'Model Inputs &amp; Assumptions'!$S$29*EXP('Model Inputs &amp; Assumptions'!$T$29*P767-'Model Inputs &amp; Assumptions'!$T$29^2/2)),0)</f>
        <v>230022</v>
      </c>
      <c r="D767" s="46" t="n">
        <f aca="false">MIN(1,'Model Inputs &amp; Assumptions'!$U$29*EXP('Model Inputs &amp; Assumptions'!$V$29*Q767-'Model Inputs &amp; Assumptions'!$V$29^2/2))</f>
        <v>0</v>
      </c>
      <c r="E767" s="45" t="n">
        <f aca="false">ROUND(C767*D767,0)</f>
        <v>0</v>
      </c>
      <c r="F767" s="47" t="n">
        <f aca="false">MIN(1,'Model Inputs &amp; Assumptions'!$W$29*EXP('Model Inputs &amp; Assumptions'!$X$29*R767-'Model Inputs &amp; Assumptions'!$X$29^2/2))</f>
        <v>0.00390553812860906</v>
      </c>
      <c r="G767" s="45" t="n">
        <f aca="false">ROUND(C767*F767,0)</f>
        <v>898</v>
      </c>
      <c r="H767" s="48" t="n">
        <f aca="false">MAX(0,(C767*'Model Inputs &amp; Assumptions'!$N$29+E767*'Model Inputs &amp; Assumptions'!$O$29+G767*'Model Inputs &amp; Assumptions'!$P$29)*EXP('Model Inputs &amp; Assumptions'!$Q$29*S767-'Model Inputs &amp; Assumptions'!$Q$29^2/2))</f>
        <v>22.7672885885421</v>
      </c>
      <c r="I767" s="49" t="n">
        <f aca="false">IF('Model Inputs &amp; Assumptions'!$H$29="Fixed",'Model Inputs &amp; Assumptions'!$I$29*'Model Inputs &amp; Assumptions'!$K$29,IF('Model Inputs &amp; Assumptions'!$H$29="CPM",'Model Inputs &amp; Assumptions'!$I$29*'Model Inputs &amp; Assumptions'!$K$29*C767/1000,IF('Model Inputs &amp; Assumptions'!$H$29="CPC",'Model Inputs &amp; Assumptions'!$I$29*'Model Inputs &amp; Assumptions'!$K$29*G767,0)))</f>
        <v>6500</v>
      </c>
      <c r="J767" s="50" t="n">
        <f aca="false">H767*INDEX('Model Inputs &amp; Assumptions'!$D$40:$D$42,MATCH('Model Inputs &amp; Assumptions'!$L$29,'Model Inputs &amp; Assumptions'!$A$40:$A$42,0))*INDEX('Model Inputs &amp; Assumptions'!$H$40:$H$42,MATCH('Model Inputs &amp; Assumptions'!$L$29,'Model Inputs &amp; Assumptions'!$A$40:$A$42,0))</f>
        <v>193521.953002608</v>
      </c>
      <c r="K767" s="49" t="n">
        <f aca="false">H767*INDEX('Model Inputs &amp; Assumptions'!$G$40:$G$42,MATCH('Model Inputs &amp; Assumptions'!$L$29,'Model Inputs &amp; Assumptions'!$A$40:$A$42,0))*INDEX('Model Inputs &amp; Assumptions'!$H$40:$H$42,MATCH('Model Inputs &amp; Assumptions'!$L$29,'Model Inputs &amp; Assumptions'!$A$40:$A$42,0))</f>
        <v>4354.24394255867</v>
      </c>
      <c r="L767" s="51" t="n">
        <f aca="false">IFERROR(K767/I767,0)</f>
        <v>0.669883683470565</v>
      </c>
      <c r="M767" s="49" t="n">
        <f aca="false">IFERROR(I767/H767,0)</f>
        <v>285.497325459792</v>
      </c>
      <c r="N767" s="52" t="str">
        <f aca="false">'Model Inputs &amp; Assumptions'!$L$29</f>
        <v>PRD-EUAI</v>
      </c>
      <c r="P767" s="53" t="n">
        <v>0.791407</v>
      </c>
      <c r="Q767" s="53" t="n">
        <v>-0.233611</v>
      </c>
      <c r="R767" s="53" t="n">
        <v>1.175121</v>
      </c>
      <c r="S767" s="53" t="n">
        <v>-2.11371</v>
      </c>
    </row>
    <row r="768" customFormat="false" ht="15" hidden="false" customHeight="false" outlineLevel="0" collapsed="false">
      <c r="A768" s="43" t="n">
        <v>265</v>
      </c>
      <c r="B768" s="44" t="str">
        <f aca="false">'Model Inputs &amp; Assumptions'!$B$29</f>
        <v>Handelsblatt — Native Explainer</v>
      </c>
      <c r="C768" s="45" t="n">
        <f aca="false">ROUND(MAX(0,'Model Inputs &amp; Assumptions'!$S$29*EXP('Model Inputs &amp; Assumptions'!$T$29*P768-'Model Inputs &amp; Assumptions'!$T$29^2/2)),0)</f>
        <v>237111</v>
      </c>
      <c r="D768" s="46" t="n">
        <f aca="false">MIN(1,'Model Inputs &amp; Assumptions'!$U$29*EXP('Model Inputs &amp; Assumptions'!$V$29*Q768-'Model Inputs &amp; Assumptions'!$V$29^2/2))</f>
        <v>0</v>
      </c>
      <c r="E768" s="45" t="n">
        <f aca="false">ROUND(C768*D768,0)</f>
        <v>0</v>
      </c>
      <c r="F768" s="47" t="n">
        <f aca="false">MIN(1,'Model Inputs &amp; Assumptions'!$W$29*EXP('Model Inputs &amp; Assumptions'!$X$29*R768-'Model Inputs &amp; Assumptions'!$X$29^2/2))</f>
        <v>0.00372974631328611</v>
      </c>
      <c r="G768" s="45" t="n">
        <f aca="false">ROUND(C768*F768,0)</f>
        <v>884</v>
      </c>
      <c r="H768" s="48" t="n">
        <f aca="false">MAX(0,(C768*'Model Inputs &amp; Assumptions'!$N$29+E768*'Model Inputs &amp; Assumptions'!$O$29+G768*'Model Inputs &amp; Assumptions'!$P$29)*EXP('Model Inputs &amp; Assumptions'!$Q$29*S768-'Model Inputs &amp; Assumptions'!$Q$29^2/2))</f>
        <v>37.6109672138156</v>
      </c>
      <c r="I768" s="49" t="n">
        <f aca="false">IF('Model Inputs &amp; Assumptions'!$H$29="Fixed",'Model Inputs &amp; Assumptions'!$I$29*'Model Inputs &amp; Assumptions'!$K$29,IF('Model Inputs &amp; Assumptions'!$H$29="CPM",'Model Inputs &amp; Assumptions'!$I$29*'Model Inputs &amp; Assumptions'!$K$29*C768/1000,IF('Model Inputs &amp; Assumptions'!$H$29="CPC",'Model Inputs &amp; Assumptions'!$I$29*'Model Inputs &amp; Assumptions'!$K$29*G768,0)))</f>
        <v>6500</v>
      </c>
      <c r="J768" s="50" t="n">
        <f aca="false">H768*INDEX('Model Inputs &amp; Assumptions'!$D$40:$D$42,MATCH('Model Inputs &amp; Assumptions'!$L$29,'Model Inputs &amp; Assumptions'!$A$40:$A$42,0))*INDEX('Model Inputs &amp; Assumptions'!$H$40:$H$42,MATCH('Model Inputs &amp; Assumptions'!$L$29,'Model Inputs &amp; Assumptions'!$A$40:$A$42,0))</f>
        <v>319693.221317433</v>
      </c>
      <c r="K768" s="49" t="n">
        <f aca="false">H768*INDEX('Model Inputs &amp; Assumptions'!$G$40:$G$42,MATCH('Model Inputs &amp; Assumptions'!$L$29,'Model Inputs &amp; Assumptions'!$A$40:$A$42,0))*INDEX('Model Inputs &amp; Assumptions'!$H$40:$H$42,MATCH('Model Inputs &amp; Assumptions'!$L$29,'Model Inputs &amp; Assumptions'!$A$40:$A$42,0))</f>
        <v>7193.09747964224</v>
      </c>
      <c r="L768" s="51" t="n">
        <f aca="false">IFERROR(K768/I768,0)</f>
        <v>1.10663038148342</v>
      </c>
      <c r="M768" s="49" t="n">
        <f aca="false">IFERROR(I768/H768,0)</f>
        <v>172.821931513964</v>
      </c>
      <c r="N768" s="52" t="str">
        <f aca="false">'Model Inputs &amp; Assumptions'!$L$29</f>
        <v>PRD-EUAI</v>
      </c>
      <c r="P768" s="53" t="n">
        <v>0.92937</v>
      </c>
      <c r="Q768" s="53" t="n">
        <v>0.236895</v>
      </c>
      <c r="R768" s="53" t="n">
        <v>0.997985</v>
      </c>
      <c r="S768" s="53" t="n">
        <v>-0.388097</v>
      </c>
    </row>
    <row r="769" customFormat="false" ht="15" hidden="false" customHeight="false" outlineLevel="0" collapsed="false">
      <c r="A769" s="43" t="n">
        <v>266</v>
      </c>
      <c r="B769" s="44" t="str">
        <f aca="false">'Model Inputs &amp; Assumptions'!$B$29</f>
        <v>Handelsblatt — Native Explainer</v>
      </c>
      <c r="C769" s="45" t="n">
        <f aca="false">ROUND(MAX(0,'Model Inputs &amp; Assumptions'!$S$29*EXP('Model Inputs &amp; Assumptions'!$T$29*P769-'Model Inputs &amp; Assumptions'!$T$29^2/2)),0)</f>
        <v>183421</v>
      </c>
      <c r="D769" s="46" t="n">
        <f aca="false">MIN(1,'Model Inputs &amp; Assumptions'!$U$29*EXP('Model Inputs &amp; Assumptions'!$V$29*Q769-'Model Inputs &amp; Assumptions'!$V$29^2/2))</f>
        <v>0</v>
      </c>
      <c r="E769" s="45" t="n">
        <f aca="false">ROUND(C769*D769,0)</f>
        <v>0</v>
      </c>
      <c r="F769" s="47" t="n">
        <f aca="false">MIN(1,'Model Inputs &amp; Assumptions'!$W$29*EXP('Model Inputs &amp; Assumptions'!$X$29*R769-'Model Inputs &amp; Assumptions'!$X$29^2/2))</f>
        <v>0.00405785000860339</v>
      </c>
      <c r="G769" s="45" t="n">
        <f aca="false">ROUND(C769*F769,0)</f>
        <v>744</v>
      </c>
      <c r="H769" s="48" t="n">
        <f aca="false">MAX(0,(C769*'Model Inputs &amp; Assumptions'!$N$29+E769*'Model Inputs &amp; Assumptions'!$O$29+G769*'Model Inputs &amp; Assumptions'!$P$29)*EXP('Model Inputs &amp; Assumptions'!$Q$29*S769-'Model Inputs &amp; Assumptions'!$Q$29^2/2))</f>
        <v>49.4137072933779</v>
      </c>
      <c r="I769" s="49" t="n">
        <f aca="false">IF('Model Inputs &amp; Assumptions'!$H$29="Fixed",'Model Inputs &amp; Assumptions'!$I$29*'Model Inputs &amp; Assumptions'!$K$29,IF('Model Inputs &amp; Assumptions'!$H$29="CPM",'Model Inputs &amp; Assumptions'!$I$29*'Model Inputs &amp; Assumptions'!$K$29*C769/1000,IF('Model Inputs &amp; Assumptions'!$H$29="CPC",'Model Inputs &amp; Assumptions'!$I$29*'Model Inputs &amp; Assumptions'!$K$29*G769,0)))</f>
        <v>6500</v>
      </c>
      <c r="J769" s="50" t="n">
        <f aca="false">H769*INDEX('Model Inputs &amp; Assumptions'!$D$40:$D$42,MATCH('Model Inputs &amp; Assumptions'!$L$29,'Model Inputs &amp; Assumptions'!$A$40:$A$42,0))*INDEX('Model Inputs &amp; Assumptions'!$H$40:$H$42,MATCH('Model Inputs &amp; Assumptions'!$L$29,'Model Inputs &amp; Assumptions'!$A$40:$A$42,0))</f>
        <v>420016.511993712</v>
      </c>
      <c r="K769" s="49" t="n">
        <f aca="false">H769*INDEX('Model Inputs &amp; Assumptions'!$G$40:$G$42,MATCH('Model Inputs &amp; Assumptions'!$L$29,'Model Inputs &amp; Assumptions'!$A$40:$A$42,0))*INDEX('Model Inputs &amp; Assumptions'!$H$40:$H$42,MATCH('Model Inputs &amp; Assumptions'!$L$29,'Model Inputs &amp; Assumptions'!$A$40:$A$42,0))</f>
        <v>9450.37151985853</v>
      </c>
      <c r="L769" s="51" t="n">
        <f aca="false">IFERROR(K769/I769,0)</f>
        <v>1.45390331074747</v>
      </c>
      <c r="M769" s="49" t="n">
        <f aca="false">IFERROR(I769/H769,0)</f>
        <v>131.542447552222</v>
      </c>
      <c r="N769" s="52" t="str">
        <f aca="false">'Model Inputs &amp; Assumptions'!$L$29</f>
        <v>PRD-EUAI</v>
      </c>
      <c r="P769" s="53" t="n">
        <v>-0.237652</v>
      </c>
      <c r="Q769" s="53" t="n">
        <v>-1.584794</v>
      </c>
      <c r="R769" s="53" t="n">
        <v>1.322266</v>
      </c>
      <c r="S769" s="53" t="n">
        <v>1.096397</v>
      </c>
    </row>
    <row r="770" customFormat="false" ht="15" hidden="false" customHeight="false" outlineLevel="0" collapsed="false">
      <c r="A770" s="43" t="n">
        <v>267</v>
      </c>
      <c r="B770" s="44" t="str">
        <f aca="false">'Model Inputs &amp; Assumptions'!$B$29</f>
        <v>Handelsblatt — Native Explainer</v>
      </c>
      <c r="C770" s="45" t="n">
        <f aca="false">ROUND(MAX(0,'Model Inputs &amp; Assumptions'!$S$29*EXP('Model Inputs &amp; Assumptions'!$T$29*P770-'Model Inputs &amp; Assumptions'!$T$29^2/2)),0)</f>
        <v>147053</v>
      </c>
      <c r="D770" s="46" t="n">
        <f aca="false">MIN(1,'Model Inputs &amp; Assumptions'!$U$29*EXP('Model Inputs &amp; Assumptions'!$V$29*Q770-'Model Inputs &amp; Assumptions'!$V$29^2/2))</f>
        <v>0</v>
      </c>
      <c r="E770" s="45" t="n">
        <f aca="false">ROUND(C770*D770,0)</f>
        <v>0</v>
      </c>
      <c r="F770" s="47" t="n">
        <f aca="false">MIN(1,'Model Inputs &amp; Assumptions'!$W$29*EXP('Model Inputs &amp; Assumptions'!$X$29*R770-'Model Inputs &amp; Assumptions'!$X$29^2/2))</f>
        <v>0.0032616942821378</v>
      </c>
      <c r="G770" s="45" t="n">
        <f aca="false">ROUND(C770*F770,0)</f>
        <v>480</v>
      </c>
      <c r="H770" s="48" t="n">
        <f aca="false">MAX(0,(C770*'Model Inputs &amp; Assumptions'!$N$29+E770*'Model Inputs &amp; Assumptions'!$O$29+G770*'Model Inputs &amp; Assumptions'!$P$29)*EXP('Model Inputs &amp; Assumptions'!$Q$29*S770-'Model Inputs &amp; Assumptions'!$Q$29^2/2))</f>
        <v>18.266626937844</v>
      </c>
      <c r="I770" s="49" t="n">
        <f aca="false">IF('Model Inputs &amp; Assumptions'!$H$29="Fixed",'Model Inputs &amp; Assumptions'!$I$29*'Model Inputs &amp; Assumptions'!$K$29,IF('Model Inputs &amp; Assumptions'!$H$29="CPM",'Model Inputs &amp; Assumptions'!$I$29*'Model Inputs &amp; Assumptions'!$K$29*C770/1000,IF('Model Inputs &amp; Assumptions'!$H$29="CPC",'Model Inputs &amp; Assumptions'!$I$29*'Model Inputs &amp; Assumptions'!$K$29*G770,0)))</f>
        <v>6500</v>
      </c>
      <c r="J770" s="50" t="n">
        <f aca="false">H770*INDEX('Model Inputs &amp; Assumptions'!$D$40:$D$42,MATCH('Model Inputs &amp; Assumptions'!$L$29,'Model Inputs &amp; Assumptions'!$A$40:$A$42,0))*INDEX('Model Inputs &amp; Assumptions'!$H$40:$H$42,MATCH('Model Inputs &amp; Assumptions'!$L$29,'Model Inputs &amp; Assumptions'!$A$40:$A$42,0))</f>
        <v>155266.328971674</v>
      </c>
      <c r="K770" s="49" t="n">
        <f aca="false">H770*INDEX('Model Inputs &amp; Assumptions'!$G$40:$G$42,MATCH('Model Inputs &amp; Assumptions'!$L$29,'Model Inputs &amp; Assumptions'!$A$40:$A$42,0))*INDEX('Model Inputs &amp; Assumptions'!$H$40:$H$42,MATCH('Model Inputs &amp; Assumptions'!$L$29,'Model Inputs &amp; Assumptions'!$A$40:$A$42,0))</f>
        <v>3493.49240186266</v>
      </c>
      <c r="L770" s="51" t="n">
        <f aca="false">IFERROR(K770/I770,0)</f>
        <v>0.537460369517332</v>
      </c>
      <c r="M770" s="49" t="n">
        <f aca="false">IFERROR(I770/H770,0)</f>
        <v>355.840189987873</v>
      </c>
      <c r="N770" s="52" t="str">
        <f aca="false">'Model Inputs &amp; Assumptions'!$L$29</f>
        <v>PRD-EUAI</v>
      </c>
      <c r="P770" s="53" t="n">
        <v>-1.242154</v>
      </c>
      <c r="Q770" s="53" t="n">
        <v>0.952515</v>
      </c>
      <c r="R770" s="53" t="n">
        <v>0.482241</v>
      </c>
      <c r="S770" s="53" t="n">
        <v>-0.759927</v>
      </c>
    </row>
    <row r="771" customFormat="false" ht="15" hidden="false" customHeight="false" outlineLevel="0" collapsed="false">
      <c r="A771" s="43" t="n">
        <v>268</v>
      </c>
      <c r="B771" s="44" t="str">
        <f aca="false">'Model Inputs &amp; Assumptions'!$B$29</f>
        <v>Handelsblatt — Native Explainer</v>
      </c>
      <c r="C771" s="45" t="n">
        <f aca="false">ROUND(MAX(0,'Model Inputs &amp; Assumptions'!$S$29*EXP('Model Inputs &amp; Assumptions'!$T$29*P771-'Model Inputs &amp; Assumptions'!$T$29^2/2)),0)</f>
        <v>146525</v>
      </c>
      <c r="D771" s="46" t="n">
        <f aca="false">MIN(1,'Model Inputs &amp; Assumptions'!$U$29*EXP('Model Inputs &amp; Assumptions'!$V$29*Q771-'Model Inputs &amp; Assumptions'!$V$29^2/2))</f>
        <v>0</v>
      </c>
      <c r="E771" s="45" t="n">
        <f aca="false">ROUND(C771*D771,0)</f>
        <v>0</v>
      </c>
      <c r="F771" s="47" t="n">
        <f aca="false">MIN(1,'Model Inputs &amp; Assumptions'!$W$29*EXP('Model Inputs &amp; Assumptions'!$X$29*R771-'Model Inputs &amp; Assumptions'!$X$29^2/2))</f>
        <v>0.00260138074235304</v>
      </c>
      <c r="G771" s="45" t="n">
        <f aca="false">ROUND(C771*F771,0)</f>
        <v>381</v>
      </c>
      <c r="H771" s="48" t="n">
        <f aca="false">MAX(0,(C771*'Model Inputs &amp; Assumptions'!$N$29+E771*'Model Inputs &amp; Assumptions'!$O$29+G771*'Model Inputs &amp; Assumptions'!$P$29)*EXP('Model Inputs &amp; Assumptions'!$Q$29*S771-'Model Inputs &amp; Assumptions'!$Q$29^2/2))</f>
        <v>31.3817998285377</v>
      </c>
      <c r="I771" s="49" t="n">
        <f aca="false">IF('Model Inputs &amp; Assumptions'!$H$29="Fixed",'Model Inputs &amp; Assumptions'!$I$29*'Model Inputs &amp; Assumptions'!$K$29,IF('Model Inputs &amp; Assumptions'!$H$29="CPM",'Model Inputs &amp; Assumptions'!$I$29*'Model Inputs &amp; Assumptions'!$K$29*C771/1000,IF('Model Inputs &amp; Assumptions'!$H$29="CPC",'Model Inputs &amp; Assumptions'!$I$29*'Model Inputs &amp; Assumptions'!$K$29*G771,0)))</f>
        <v>6500</v>
      </c>
      <c r="J771" s="50" t="n">
        <f aca="false">H771*INDEX('Model Inputs &amp; Assumptions'!$D$40:$D$42,MATCH('Model Inputs &amp; Assumptions'!$L$29,'Model Inputs &amp; Assumptions'!$A$40:$A$42,0))*INDEX('Model Inputs &amp; Assumptions'!$H$40:$H$42,MATCH('Model Inputs &amp; Assumptions'!$L$29,'Model Inputs &amp; Assumptions'!$A$40:$A$42,0))</f>
        <v>266745.298542571</v>
      </c>
      <c r="K771" s="49" t="n">
        <f aca="false">H771*INDEX('Model Inputs &amp; Assumptions'!$G$40:$G$42,MATCH('Model Inputs &amp; Assumptions'!$L$29,'Model Inputs &amp; Assumptions'!$A$40:$A$42,0))*INDEX('Model Inputs &amp; Assumptions'!$H$40:$H$42,MATCH('Model Inputs &amp; Assumptions'!$L$29,'Model Inputs &amp; Assumptions'!$A$40:$A$42,0))</f>
        <v>6001.76921720784</v>
      </c>
      <c r="L771" s="51" t="n">
        <f aca="false">IFERROR(K771/I771,0)</f>
        <v>0.923349110339668</v>
      </c>
      <c r="M771" s="49" t="n">
        <f aca="false">IFERROR(I771/H771,0)</f>
        <v>207.126424727529</v>
      </c>
      <c r="N771" s="52" t="str">
        <f aca="false">'Model Inputs &amp; Assumptions'!$L$29</f>
        <v>PRD-EUAI</v>
      </c>
      <c r="P771" s="53" t="n">
        <v>-1.258498</v>
      </c>
      <c r="Q771" s="53" t="n">
        <v>0.626098</v>
      </c>
      <c r="R771" s="53" t="n">
        <v>-0.387776</v>
      </c>
      <c r="S771" s="53" t="n">
        <v>1.81387</v>
      </c>
    </row>
    <row r="772" customFormat="false" ht="15" hidden="false" customHeight="false" outlineLevel="0" collapsed="false">
      <c r="A772" s="43" t="n">
        <v>269</v>
      </c>
      <c r="B772" s="44" t="str">
        <f aca="false">'Model Inputs &amp; Assumptions'!$B$29</f>
        <v>Handelsblatt — Native Explainer</v>
      </c>
      <c r="C772" s="45" t="n">
        <f aca="false">ROUND(MAX(0,'Model Inputs &amp; Assumptions'!$S$29*EXP('Model Inputs &amp; Assumptions'!$T$29*P772-'Model Inputs &amp; Assumptions'!$T$29^2/2)),0)</f>
        <v>190502</v>
      </c>
      <c r="D772" s="46" t="n">
        <f aca="false">MIN(1,'Model Inputs &amp; Assumptions'!$U$29*EXP('Model Inputs &amp; Assumptions'!$V$29*Q772-'Model Inputs &amp; Assumptions'!$V$29^2/2))</f>
        <v>0</v>
      </c>
      <c r="E772" s="45" t="n">
        <f aca="false">ROUND(C772*D772,0)</f>
        <v>0</v>
      </c>
      <c r="F772" s="47" t="n">
        <f aca="false">MIN(1,'Model Inputs &amp; Assumptions'!$W$29*EXP('Model Inputs &amp; Assumptions'!$X$29*R772-'Model Inputs &amp; Assumptions'!$X$29^2/2))</f>
        <v>0.00252293180211244</v>
      </c>
      <c r="G772" s="45" t="n">
        <f aca="false">ROUND(C772*F772,0)</f>
        <v>481</v>
      </c>
      <c r="H772" s="48" t="n">
        <f aca="false">MAX(0,(C772*'Model Inputs &amp; Assumptions'!$N$29+E772*'Model Inputs &amp; Assumptions'!$O$29+G772*'Model Inputs &amp; Assumptions'!$P$29)*EXP('Model Inputs &amp; Assumptions'!$Q$29*S772-'Model Inputs &amp; Assumptions'!$Q$29^2/2))</f>
        <v>20.5921306710278</v>
      </c>
      <c r="I772" s="49" t="n">
        <f aca="false">IF('Model Inputs &amp; Assumptions'!$H$29="Fixed",'Model Inputs &amp; Assumptions'!$I$29*'Model Inputs &amp; Assumptions'!$K$29,IF('Model Inputs &amp; Assumptions'!$H$29="CPM",'Model Inputs &amp; Assumptions'!$I$29*'Model Inputs &amp; Assumptions'!$K$29*C772/1000,IF('Model Inputs &amp; Assumptions'!$H$29="CPC",'Model Inputs &amp; Assumptions'!$I$29*'Model Inputs &amp; Assumptions'!$K$29*G772,0)))</f>
        <v>6500</v>
      </c>
      <c r="J772" s="50" t="n">
        <f aca="false">H772*INDEX('Model Inputs &amp; Assumptions'!$D$40:$D$42,MATCH('Model Inputs &amp; Assumptions'!$L$29,'Model Inputs &amp; Assumptions'!$A$40:$A$42,0))*INDEX('Model Inputs &amp; Assumptions'!$H$40:$H$42,MATCH('Model Inputs &amp; Assumptions'!$L$29,'Model Inputs &amp; Assumptions'!$A$40:$A$42,0))</f>
        <v>175033.110703736</v>
      </c>
      <c r="K772" s="49" t="n">
        <f aca="false">H772*INDEX('Model Inputs &amp; Assumptions'!$G$40:$G$42,MATCH('Model Inputs &amp; Assumptions'!$L$29,'Model Inputs &amp; Assumptions'!$A$40:$A$42,0))*INDEX('Model Inputs &amp; Assumptions'!$H$40:$H$42,MATCH('Model Inputs &amp; Assumptions'!$L$29,'Model Inputs &amp; Assumptions'!$A$40:$A$42,0))</f>
        <v>3938.24499083407</v>
      </c>
      <c r="L772" s="51" t="n">
        <f aca="false">IFERROR(K772/I772,0)</f>
        <v>0.605883844743703</v>
      </c>
      <c r="M772" s="49" t="n">
        <f aca="false">IFERROR(I772/H772,0)</f>
        <v>315.654562601684</v>
      </c>
      <c r="N772" s="52" t="str">
        <f aca="false">'Model Inputs &amp; Assumptions'!$L$29</f>
        <v>PRD-EUAI</v>
      </c>
      <c r="P772" s="53" t="n">
        <v>-0.065478</v>
      </c>
      <c r="Q772" s="53" t="n">
        <v>0.372642</v>
      </c>
      <c r="R772" s="53" t="n">
        <v>-0.505548</v>
      </c>
      <c r="S772" s="53" t="n">
        <v>-0.36742</v>
      </c>
    </row>
    <row r="773" customFormat="false" ht="15" hidden="false" customHeight="false" outlineLevel="0" collapsed="false">
      <c r="A773" s="43" t="n">
        <v>270</v>
      </c>
      <c r="B773" s="44" t="str">
        <f aca="false">'Model Inputs &amp; Assumptions'!$B$29</f>
        <v>Handelsblatt — Native Explainer</v>
      </c>
      <c r="C773" s="45" t="n">
        <f aca="false">ROUND(MAX(0,'Model Inputs &amp; Assumptions'!$S$29*EXP('Model Inputs &amp; Assumptions'!$T$29*P773-'Model Inputs &amp; Assumptions'!$T$29^2/2)),0)</f>
        <v>315223</v>
      </c>
      <c r="D773" s="46" t="n">
        <f aca="false">MIN(1,'Model Inputs &amp; Assumptions'!$U$29*EXP('Model Inputs &amp; Assumptions'!$V$29*Q773-'Model Inputs &amp; Assumptions'!$V$29^2/2))</f>
        <v>0</v>
      </c>
      <c r="E773" s="45" t="n">
        <f aca="false">ROUND(C773*D773,0)</f>
        <v>0</v>
      </c>
      <c r="F773" s="47" t="n">
        <f aca="false">MIN(1,'Model Inputs &amp; Assumptions'!$W$29*EXP('Model Inputs &amp; Assumptions'!$X$29*R773-'Model Inputs &amp; Assumptions'!$X$29^2/2))</f>
        <v>0.00297274663628588</v>
      </c>
      <c r="G773" s="45" t="n">
        <f aca="false">ROUND(C773*F773,0)</f>
        <v>937</v>
      </c>
      <c r="H773" s="48" t="n">
        <f aca="false">MAX(0,(C773*'Model Inputs &amp; Assumptions'!$N$29+E773*'Model Inputs &amp; Assumptions'!$O$29+G773*'Model Inputs &amp; Assumptions'!$P$29)*EXP('Model Inputs &amp; Assumptions'!$Q$29*S773-'Model Inputs &amp; Assumptions'!$Q$29^2/2))</f>
        <v>44.0105557556906</v>
      </c>
      <c r="I773" s="49" t="n">
        <f aca="false">IF('Model Inputs &amp; Assumptions'!$H$29="Fixed",'Model Inputs &amp; Assumptions'!$I$29*'Model Inputs &amp; Assumptions'!$K$29,IF('Model Inputs &amp; Assumptions'!$H$29="CPM",'Model Inputs &amp; Assumptions'!$I$29*'Model Inputs &amp; Assumptions'!$K$29*C773/1000,IF('Model Inputs &amp; Assumptions'!$H$29="CPC",'Model Inputs &amp; Assumptions'!$I$29*'Model Inputs &amp; Assumptions'!$K$29*G773,0)))</f>
        <v>6500</v>
      </c>
      <c r="J773" s="50" t="n">
        <f aca="false">H773*INDEX('Model Inputs &amp; Assumptions'!$D$40:$D$42,MATCH('Model Inputs &amp; Assumptions'!$L$29,'Model Inputs &amp; Assumptions'!$A$40:$A$42,0))*INDEX('Model Inputs &amp; Assumptions'!$H$40:$H$42,MATCH('Model Inputs &amp; Assumptions'!$L$29,'Model Inputs &amp; Assumptions'!$A$40:$A$42,0))</f>
        <v>374089.72392337</v>
      </c>
      <c r="K773" s="49" t="n">
        <f aca="false">H773*INDEX('Model Inputs &amp; Assumptions'!$G$40:$G$42,MATCH('Model Inputs &amp; Assumptions'!$L$29,'Model Inputs &amp; Assumptions'!$A$40:$A$42,0))*INDEX('Model Inputs &amp; Assumptions'!$H$40:$H$42,MATCH('Model Inputs &amp; Assumptions'!$L$29,'Model Inputs &amp; Assumptions'!$A$40:$A$42,0))</f>
        <v>8417.01878827582</v>
      </c>
      <c r="L773" s="51" t="n">
        <f aca="false">IFERROR(K773/I773,0)</f>
        <v>1.29492596742705</v>
      </c>
      <c r="M773" s="49" t="n">
        <f aca="false">IFERROR(I773/H773,0)</f>
        <v>147.691840932037</v>
      </c>
      <c r="N773" s="52" t="str">
        <f aca="false">'Model Inputs &amp; Assumptions'!$L$29</f>
        <v>PRD-EUAI</v>
      </c>
      <c r="P773" s="53" t="n">
        <v>2.223691</v>
      </c>
      <c r="Q773" s="53" t="n">
        <v>0.406417</v>
      </c>
      <c r="R773" s="53" t="n">
        <v>0.12547</v>
      </c>
      <c r="S773" s="53" t="n">
        <v>-0.058405</v>
      </c>
    </row>
    <row r="774" customFormat="false" ht="15" hidden="false" customHeight="false" outlineLevel="0" collapsed="false">
      <c r="A774" s="43" t="n">
        <v>271</v>
      </c>
      <c r="B774" s="44" t="str">
        <f aca="false">'Model Inputs &amp; Assumptions'!$B$29</f>
        <v>Handelsblatt — Native Explainer</v>
      </c>
      <c r="C774" s="45" t="n">
        <f aca="false">ROUND(MAX(0,'Model Inputs &amp; Assumptions'!$S$29*EXP('Model Inputs &amp; Assumptions'!$T$29*P774-'Model Inputs &amp; Assumptions'!$T$29^2/2)),0)</f>
        <v>211930</v>
      </c>
      <c r="D774" s="46" t="n">
        <f aca="false">MIN(1,'Model Inputs &amp; Assumptions'!$U$29*EXP('Model Inputs &amp; Assumptions'!$V$29*Q774-'Model Inputs &amp; Assumptions'!$V$29^2/2))</f>
        <v>0</v>
      </c>
      <c r="E774" s="45" t="n">
        <f aca="false">ROUND(C774*D774,0)</f>
        <v>0</v>
      </c>
      <c r="F774" s="47" t="n">
        <f aca="false">MIN(1,'Model Inputs &amp; Assumptions'!$W$29*EXP('Model Inputs &amp; Assumptions'!$X$29*R774-'Model Inputs &amp; Assumptions'!$X$29^2/2))</f>
        <v>0.00420506351866161</v>
      </c>
      <c r="G774" s="45" t="n">
        <f aca="false">ROUND(C774*F774,0)</f>
        <v>891</v>
      </c>
      <c r="H774" s="48" t="n">
        <f aca="false">MAX(0,(C774*'Model Inputs &amp; Assumptions'!$N$29+E774*'Model Inputs &amp; Assumptions'!$O$29+G774*'Model Inputs &amp; Assumptions'!$P$29)*EXP('Model Inputs &amp; Assumptions'!$Q$29*S774-'Model Inputs &amp; Assumptions'!$Q$29^2/2))</f>
        <v>44.1484647928635</v>
      </c>
      <c r="I774" s="49" t="n">
        <f aca="false">IF('Model Inputs &amp; Assumptions'!$H$29="Fixed",'Model Inputs &amp; Assumptions'!$I$29*'Model Inputs &amp; Assumptions'!$K$29,IF('Model Inputs &amp; Assumptions'!$H$29="CPM",'Model Inputs &amp; Assumptions'!$I$29*'Model Inputs &amp; Assumptions'!$K$29*C774/1000,IF('Model Inputs &amp; Assumptions'!$H$29="CPC",'Model Inputs &amp; Assumptions'!$I$29*'Model Inputs &amp; Assumptions'!$K$29*G774,0)))</f>
        <v>6500</v>
      </c>
      <c r="J774" s="50" t="n">
        <f aca="false">H774*INDEX('Model Inputs &amp; Assumptions'!$D$40:$D$42,MATCH('Model Inputs &amp; Assumptions'!$L$29,'Model Inputs &amp; Assumptions'!$A$40:$A$42,0))*INDEX('Model Inputs &amp; Assumptions'!$H$40:$H$42,MATCH('Model Inputs &amp; Assumptions'!$L$29,'Model Inputs &amp; Assumptions'!$A$40:$A$42,0))</f>
        <v>375261.95073934</v>
      </c>
      <c r="K774" s="49" t="n">
        <f aca="false">H774*INDEX('Model Inputs &amp; Assumptions'!$G$40:$G$42,MATCH('Model Inputs &amp; Assumptions'!$L$29,'Model Inputs &amp; Assumptions'!$A$40:$A$42,0))*INDEX('Model Inputs &amp; Assumptions'!$H$40:$H$42,MATCH('Model Inputs &amp; Assumptions'!$L$29,'Model Inputs &amp; Assumptions'!$A$40:$A$42,0))</f>
        <v>8443.39389163515</v>
      </c>
      <c r="L774" s="51" t="n">
        <f aca="false">IFERROR(K774/I774,0)</f>
        <v>1.29898367563618</v>
      </c>
      <c r="M774" s="49" t="n">
        <f aca="false">IFERROR(I774/H774,0)</f>
        <v>147.230487639758</v>
      </c>
      <c r="N774" s="52" t="str">
        <f aca="false">'Model Inputs &amp; Assumptions'!$L$29</f>
        <v>PRD-EUAI</v>
      </c>
      <c r="P774" s="53" t="n">
        <v>0.419043</v>
      </c>
      <c r="Q774" s="53" t="n">
        <v>2.441687</v>
      </c>
      <c r="R774" s="53" t="n">
        <v>1.459328</v>
      </c>
      <c r="S774" s="53" t="n">
        <v>0.11982</v>
      </c>
    </row>
    <row r="775" customFormat="false" ht="15" hidden="false" customHeight="false" outlineLevel="0" collapsed="false">
      <c r="A775" s="43" t="n">
        <v>272</v>
      </c>
      <c r="B775" s="44" t="str">
        <f aca="false">'Model Inputs &amp; Assumptions'!$B$29</f>
        <v>Handelsblatt — Native Explainer</v>
      </c>
      <c r="C775" s="45" t="n">
        <f aca="false">ROUND(MAX(0,'Model Inputs &amp; Assumptions'!$S$29*EXP('Model Inputs &amp; Assumptions'!$T$29*P775-'Model Inputs &amp; Assumptions'!$T$29^2/2)),0)</f>
        <v>171461</v>
      </c>
      <c r="D775" s="46" t="n">
        <f aca="false">MIN(1,'Model Inputs &amp; Assumptions'!$U$29*EXP('Model Inputs &amp; Assumptions'!$V$29*Q775-'Model Inputs &amp; Assumptions'!$V$29^2/2))</f>
        <v>0</v>
      </c>
      <c r="E775" s="45" t="n">
        <f aca="false">ROUND(C775*D775,0)</f>
        <v>0</v>
      </c>
      <c r="F775" s="47" t="n">
        <f aca="false">MIN(1,'Model Inputs &amp; Assumptions'!$W$29*EXP('Model Inputs &amp; Assumptions'!$X$29*R775-'Model Inputs &amp; Assumptions'!$X$29^2/2))</f>
        <v>0.00323194078435587</v>
      </c>
      <c r="G775" s="45" t="n">
        <f aca="false">ROUND(C775*F775,0)</f>
        <v>554</v>
      </c>
      <c r="H775" s="48" t="n">
        <f aca="false">MAX(0,(C775*'Model Inputs &amp; Assumptions'!$N$29+E775*'Model Inputs &amp; Assumptions'!$O$29+G775*'Model Inputs &amp; Assumptions'!$P$29)*EXP('Model Inputs &amp; Assumptions'!$Q$29*S775-'Model Inputs &amp; Assumptions'!$Q$29^2/2))</f>
        <v>26.7127856262162</v>
      </c>
      <c r="I775" s="49" t="n">
        <f aca="false">IF('Model Inputs &amp; Assumptions'!$H$29="Fixed",'Model Inputs &amp; Assumptions'!$I$29*'Model Inputs &amp; Assumptions'!$K$29,IF('Model Inputs &amp; Assumptions'!$H$29="CPM",'Model Inputs &amp; Assumptions'!$I$29*'Model Inputs &amp; Assumptions'!$K$29*C775/1000,IF('Model Inputs &amp; Assumptions'!$H$29="CPC",'Model Inputs &amp; Assumptions'!$I$29*'Model Inputs &amp; Assumptions'!$K$29*G775,0)))</f>
        <v>6500</v>
      </c>
      <c r="J775" s="50" t="n">
        <f aca="false">H775*INDEX('Model Inputs &amp; Assumptions'!$D$40:$D$42,MATCH('Model Inputs &amp; Assumptions'!$L$29,'Model Inputs &amp; Assumptions'!$A$40:$A$42,0))*INDEX('Model Inputs &amp; Assumptions'!$H$40:$H$42,MATCH('Model Inputs &amp; Assumptions'!$L$29,'Model Inputs &amp; Assumptions'!$A$40:$A$42,0))</f>
        <v>227058.677822838</v>
      </c>
      <c r="K775" s="49" t="n">
        <f aca="false">H775*INDEX('Model Inputs &amp; Assumptions'!$G$40:$G$42,MATCH('Model Inputs &amp; Assumptions'!$L$29,'Model Inputs &amp; Assumptions'!$A$40:$A$42,0))*INDEX('Model Inputs &amp; Assumptions'!$H$40:$H$42,MATCH('Model Inputs &amp; Assumptions'!$L$29,'Model Inputs &amp; Assumptions'!$A$40:$A$42,0))</f>
        <v>5108.82025101385</v>
      </c>
      <c r="L775" s="51" t="n">
        <f aca="false">IFERROR(K775/I775,0)</f>
        <v>0.785972346309823</v>
      </c>
      <c r="M775" s="49" t="n">
        <f aca="false">IFERROR(I775/H775,0)</f>
        <v>243.329171691508</v>
      </c>
      <c r="N775" s="52" t="str">
        <f aca="false">'Model Inputs &amp; Assumptions'!$L$29</f>
        <v>PRD-EUAI</v>
      </c>
      <c r="P775" s="53" t="n">
        <v>-0.54414</v>
      </c>
      <c r="Q775" s="53" t="n">
        <v>0.217129</v>
      </c>
      <c r="R775" s="53" t="n">
        <v>0.446995</v>
      </c>
      <c r="S775" s="53" t="n">
        <v>0.029033</v>
      </c>
    </row>
    <row r="776" customFormat="false" ht="15" hidden="false" customHeight="false" outlineLevel="0" collapsed="false">
      <c r="A776" s="43" t="n">
        <v>273</v>
      </c>
      <c r="B776" s="44" t="str">
        <f aca="false">'Model Inputs &amp; Assumptions'!$B$29</f>
        <v>Handelsblatt — Native Explainer</v>
      </c>
      <c r="C776" s="45" t="n">
        <f aca="false">ROUND(MAX(0,'Model Inputs &amp; Assumptions'!$S$29*EXP('Model Inputs &amp; Assumptions'!$T$29*P776-'Model Inputs &amp; Assumptions'!$T$29^2/2)),0)</f>
        <v>287119</v>
      </c>
      <c r="D776" s="46" t="n">
        <f aca="false">MIN(1,'Model Inputs &amp; Assumptions'!$U$29*EXP('Model Inputs &amp; Assumptions'!$V$29*Q776-'Model Inputs &amp; Assumptions'!$V$29^2/2))</f>
        <v>0</v>
      </c>
      <c r="E776" s="45" t="n">
        <f aca="false">ROUND(C776*D776,0)</f>
        <v>0</v>
      </c>
      <c r="F776" s="47" t="n">
        <f aca="false">MIN(1,'Model Inputs &amp; Assumptions'!$W$29*EXP('Model Inputs &amp; Assumptions'!$X$29*R776-'Model Inputs &amp; Assumptions'!$X$29^2/2))</f>
        <v>0.00243743222608184</v>
      </c>
      <c r="G776" s="45" t="n">
        <f aca="false">ROUND(C776*F776,0)</f>
        <v>700</v>
      </c>
      <c r="H776" s="48" t="n">
        <f aca="false">MAX(0,(C776*'Model Inputs &amp; Assumptions'!$N$29+E776*'Model Inputs &amp; Assumptions'!$O$29+G776*'Model Inputs &amp; Assumptions'!$P$29)*EXP('Model Inputs &amp; Assumptions'!$Q$29*S776-'Model Inputs &amp; Assumptions'!$Q$29^2/2))</f>
        <v>44.2128451664697</v>
      </c>
      <c r="I776" s="49" t="n">
        <f aca="false">IF('Model Inputs &amp; Assumptions'!$H$29="Fixed",'Model Inputs &amp; Assumptions'!$I$29*'Model Inputs &amp; Assumptions'!$K$29,IF('Model Inputs &amp; Assumptions'!$H$29="CPM",'Model Inputs &amp; Assumptions'!$I$29*'Model Inputs &amp; Assumptions'!$K$29*C776/1000,IF('Model Inputs &amp; Assumptions'!$H$29="CPC",'Model Inputs &amp; Assumptions'!$I$29*'Model Inputs &amp; Assumptions'!$K$29*G776,0)))</f>
        <v>6500</v>
      </c>
      <c r="J776" s="50" t="n">
        <f aca="false">H776*INDEX('Model Inputs &amp; Assumptions'!$D$40:$D$42,MATCH('Model Inputs &amp; Assumptions'!$L$29,'Model Inputs &amp; Assumptions'!$A$40:$A$42,0))*INDEX('Model Inputs &amp; Assumptions'!$H$40:$H$42,MATCH('Model Inputs &amp; Assumptions'!$L$29,'Model Inputs &amp; Assumptions'!$A$40:$A$42,0))</f>
        <v>375809.183914993</v>
      </c>
      <c r="K776" s="49" t="n">
        <f aca="false">H776*INDEX('Model Inputs &amp; Assumptions'!$G$40:$G$42,MATCH('Model Inputs &amp; Assumptions'!$L$29,'Model Inputs &amp; Assumptions'!$A$40:$A$42,0))*INDEX('Model Inputs &amp; Assumptions'!$H$40:$H$42,MATCH('Model Inputs &amp; Assumptions'!$L$29,'Model Inputs &amp; Assumptions'!$A$40:$A$42,0))</f>
        <v>8455.70663808734</v>
      </c>
      <c r="L776" s="51" t="n">
        <f aca="false">IFERROR(K776/I776,0)</f>
        <v>1.30087794432113</v>
      </c>
      <c r="M776" s="49" t="n">
        <f aca="false">IFERROR(I776/H776,0)</f>
        <v>147.016098500928</v>
      </c>
      <c r="N776" s="52" t="str">
        <f aca="false">'Model Inputs &amp; Assumptions'!$L$29</f>
        <v>PRD-EUAI</v>
      </c>
      <c r="P776" s="53" t="n">
        <v>1.799223</v>
      </c>
      <c r="Q776" s="53" t="n">
        <v>2.008849</v>
      </c>
      <c r="R776" s="53" t="n">
        <v>-0.63815</v>
      </c>
      <c r="S776" s="53" t="n">
        <v>0.928891</v>
      </c>
    </row>
    <row r="777" customFormat="false" ht="15" hidden="false" customHeight="false" outlineLevel="0" collapsed="false">
      <c r="A777" s="43" t="n">
        <v>274</v>
      </c>
      <c r="B777" s="44" t="str">
        <f aca="false">'Model Inputs &amp; Assumptions'!$B$29</f>
        <v>Handelsblatt — Native Explainer</v>
      </c>
      <c r="C777" s="45" t="n">
        <f aca="false">ROUND(MAX(0,'Model Inputs &amp; Assumptions'!$S$29*EXP('Model Inputs &amp; Assumptions'!$T$29*P777-'Model Inputs &amp; Assumptions'!$T$29^2/2)),0)</f>
        <v>162546</v>
      </c>
      <c r="D777" s="46" t="n">
        <f aca="false">MIN(1,'Model Inputs &amp; Assumptions'!$U$29*EXP('Model Inputs &amp; Assumptions'!$V$29*Q777-'Model Inputs &amp; Assumptions'!$V$29^2/2))</f>
        <v>0</v>
      </c>
      <c r="E777" s="45" t="n">
        <f aca="false">ROUND(C777*D777,0)</f>
        <v>0</v>
      </c>
      <c r="F777" s="47" t="n">
        <f aca="false">MIN(1,'Model Inputs &amp; Assumptions'!$W$29*EXP('Model Inputs &amp; Assumptions'!$X$29*R777-'Model Inputs &amp; Assumptions'!$X$29^2/2))</f>
        <v>0.00384232825326549</v>
      </c>
      <c r="G777" s="45" t="n">
        <f aca="false">ROUND(C777*F777,0)</f>
        <v>625</v>
      </c>
      <c r="H777" s="48" t="n">
        <f aca="false">MAX(0,(C777*'Model Inputs &amp; Assumptions'!$N$29+E777*'Model Inputs &amp; Assumptions'!$O$29+G777*'Model Inputs &amp; Assumptions'!$P$29)*EXP('Model Inputs &amp; Assumptions'!$Q$29*S777-'Model Inputs &amp; Assumptions'!$Q$29^2/2))</f>
        <v>23.8061648913237</v>
      </c>
      <c r="I777" s="49" t="n">
        <f aca="false">IF('Model Inputs &amp; Assumptions'!$H$29="Fixed",'Model Inputs &amp; Assumptions'!$I$29*'Model Inputs &amp; Assumptions'!$K$29,IF('Model Inputs &amp; Assumptions'!$H$29="CPM",'Model Inputs &amp; Assumptions'!$I$29*'Model Inputs &amp; Assumptions'!$K$29*C777/1000,IF('Model Inputs &amp; Assumptions'!$H$29="CPC",'Model Inputs &amp; Assumptions'!$I$29*'Model Inputs &amp; Assumptions'!$K$29*G777,0)))</f>
        <v>6500</v>
      </c>
      <c r="J777" s="50" t="n">
        <f aca="false">H777*INDEX('Model Inputs &amp; Assumptions'!$D$40:$D$42,MATCH('Model Inputs &amp; Assumptions'!$L$29,'Model Inputs &amp; Assumptions'!$A$40:$A$42,0))*INDEX('Model Inputs &amp; Assumptions'!$H$40:$H$42,MATCH('Model Inputs &amp; Assumptions'!$L$29,'Model Inputs &amp; Assumptions'!$A$40:$A$42,0))</f>
        <v>202352.401576251</v>
      </c>
      <c r="K777" s="49" t="n">
        <f aca="false">H777*INDEX('Model Inputs &amp; Assumptions'!$G$40:$G$42,MATCH('Model Inputs &amp; Assumptions'!$L$29,'Model Inputs &amp; Assumptions'!$A$40:$A$42,0))*INDEX('Model Inputs &amp; Assumptions'!$H$40:$H$42,MATCH('Model Inputs &amp; Assumptions'!$L$29,'Model Inputs &amp; Assumptions'!$A$40:$A$42,0))</f>
        <v>4552.92903546565</v>
      </c>
      <c r="L777" s="51" t="n">
        <f aca="false">IFERROR(K777/I777,0)</f>
        <v>0.700450620840869</v>
      </c>
      <c r="M777" s="49" t="n">
        <f aca="false">IFERROR(I777/H777,0)</f>
        <v>273.038518790104</v>
      </c>
      <c r="N777" s="52" t="str">
        <f aca="false">'Model Inputs &amp; Assumptions'!$L$29</f>
        <v>PRD-EUAI</v>
      </c>
      <c r="P777" s="53" t="n">
        <v>-0.786859</v>
      </c>
      <c r="Q777" s="53" t="n">
        <v>-2.590202</v>
      </c>
      <c r="R777" s="53" t="n">
        <v>1.112363</v>
      </c>
      <c r="S777" s="53" t="n">
        <v>-0.756916</v>
      </c>
    </row>
    <row r="778" customFormat="false" ht="15" hidden="false" customHeight="false" outlineLevel="0" collapsed="false">
      <c r="A778" s="43" t="n">
        <v>275</v>
      </c>
      <c r="B778" s="44" t="str">
        <f aca="false">'Model Inputs &amp; Assumptions'!$B$29</f>
        <v>Handelsblatt — Native Explainer</v>
      </c>
      <c r="C778" s="45" t="n">
        <f aca="false">ROUND(MAX(0,'Model Inputs &amp; Assumptions'!$S$29*EXP('Model Inputs &amp; Assumptions'!$T$29*P778-'Model Inputs &amp; Assumptions'!$T$29^2/2)),0)</f>
        <v>156826</v>
      </c>
      <c r="D778" s="46" t="n">
        <f aca="false">MIN(1,'Model Inputs &amp; Assumptions'!$U$29*EXP('Model Inputs &amp; Assumptions'!$V$29*Q778-'Model Inputs &amp; Assumptions'!$V$29^2/2))</f>
        <v>0</v>
      </c>
      <c r="E778" s="45" t="n">
        <f aca="false">ROUND(C778*D778,0)</f>
        <v>0</v>
      </c>
      <c r="F778" s="47" t="n">
        <f aca="false">MIN(1,'Model Inputs &amp; Assumptions'!$W$29*EXP('Model Inputs &amp; Assumptions'!$X$29*R778-'Model Inputs &amp; Assumptions'!$X$29^2/2))</f>
        <v>0.00396878371530974</v>
      </c>
      <c r="G778" s="45" t="n">
        <f aca="false">ROUND(C778*F778,0)</f>
        <v>622</v>
      </c>
      <c r="H778" s="48" t="n">
        <f aca="false">MAX(0,(C778*'Model Inputs &amp; Assumptions'!$N$29+E778*'Model Inputs &amp; Assumptions'!$O$29+G778*'Model Inputs &amp; Assumptions'!$P$29)*EXP('Model Inputs &amp; Assumptions'!$Q$29*S778-'Model Inputs &amp; Assumptions'!$Q$29^2/2))</f>
        <v>23.9040839087995</v>
      </c>
      <c r="I778" s="49" t="n">
        <f aca="false">IF('Model Inputs &amp; Assumptions'!$H$29="Fixed",'Model Inputs &amp; Assumptions'!$I$29*'Model Inputs &amp; Assumptions'!$K$29,IF('Model Inputs &amp; Assumptions'!$H$29="CPM",'Model Inputs &amp; Assumptions'!$I$29*'Model Inputs &amp; Assumptions'!$K$29*C778/1000,IF('Model Inputs &amp; Assumptions'!$H$29="CPC",'Model Inputs &amp; Assumptions'!$I$29*'Model Inputs &amp; Assumptions'!$K$29*G778,0)))</f>
        <v>6500</v>
      </c>
      <c r="J778" s="50" t="n">
        <f aca="false">H778*INDEX('Model Inputs &amp; Assumptions'!$D$40:$D$42,MATCH('Model Inputs &amp; Assumptions'!$L$29,'Model Inputs &amp; Assumptions'!$A$40:$A$42,0))*INDEX('Model Inputs &amp; Assumptions'!$H$40:$H$42,MATCH('Model Inputs &amp; Assumptions'!$L$29,'Model Inputs &amp; Assumptions'!$A$40:$A$42,0))</f>
        <v>203184.713224796</v>
      </c>
      <c r="K778" s="49" t="n">
        <f aca="false">H778*INDEX('Model Inputs &amp; Assumptions'!$G$40:$G$42,MATCH('Model Inputs &amp; Assumptions'!$L$29,'Model Inputs &amp; Assumptions'!$A$40:$A$42,0))*INDEX('Model Inputs &amp; Assumptions'!$H$40:$H$42,MATCH('Model Inputs &amp; Assumptions'!$L$29,'Model Inputs &amp; Assumptions'!$A$40:$A$42,0))</f>
        <v>4571.6560475579</v>
      </c>
      <c r="L778" s="51" t="n">
        <f aca="false">IFERROR(K778/I778,0)</f>
        <v>0.703331699624293</v>
      </c>
      <c r="M778" s="49" t="n">
        <f aca="false">IFERROR(I778/H778,0)</f>
        <v>271.920062898007</v>
      </c>
      <c r="N778" s="52" t="str">
        <f aca="false">'Model Inputs &amp; Assumptions'!$L$29</f>
        <v>PRD-EUAI</v>
      </c>
      <c r="P778" s="53" t="n">
        <v>-0.949687</v>
      </c>
      <c r="Q778" s="53" t="n">
        <v>-0.158457</v>
      </c>
      <c r="R778" s="53" t="n">
        <v>1.236906</v>
      </c>
      <c r="S778" s="53" t="n">
        <v>-0.727195</v>
      </c>
    </row>
    <row r="779" customFormat="false" ht="15" hidden="false" customHeight="false" outlineLevel="0" collapsed="false">
      <c r="A779" s="43" t="n">
        <v>276</v>
      </c>
      <c r="B779" s="44" t="str">
        <f aca="false">'Model Inputs &amp; Assumptions'!$B$29</f>
        <v>Handelsblatt — Native Explainer</v>
      </c>
      <c r="C779" s="45" t="n">
        <f aca="false">ROUND(MAX(0,'Model Inputs &amp; Assumptions'!$S$29*EXP('Model Inputs &amp; Assumptions'!$T$29*P779-'Model Inputs &amp; Assumptions'!$T$29^2/2)),0)</f>
        <v>245542</v>
      </c>
      <c r="D779" s="46" t="n">
        <f aca="false">MIN(1,'Model Inputs &amp; Assumptions'!$U$29*EXP('Model Inputs &amp; Assumptions'!$V$29*Q779-'Model Inputs &amp; Assumptions'!$V$29^2/2))</f>
        <v>0</v>
      </c>
      <c r="E779" s="45" t="n">
        <f aca="false">ROUND(C779*D779,0)</f>
        <v>0</v>
      </c>
      <c r="F779" s="47" t="n">
        <f aca="false">MIN(1,'Model Inputs &amp; Assumptions'!$W$29*EXP('Model Inputs &amp; Assumptions'!$X$29*R779-'Model Inputs &amp; Assumptions'!$X$29^2/2))</f>
        <v>0.00318721616045425</v>
      </c>
      <c r="G779" s="45" t="n">
        <f aca="false">ROUND(C779*F779,0)</f>
        <v>783</v>
      </c>
      <c r="H779" s="48" t="n">
        <f aca="false">MAX(0,(C779*'Model Inputs &amp; Assumptions'!$N$29+E779*'Model Inputs &amp; Assumptions'!$O$29+G779*'Model Inputs &amp; Assumptions'!$P$29)*EXP('Model Inputs &amp; Assumptions'!$Q$29*S779-'Model Inputs &amp; Assumptions'!$Q$29^2/2))</f>
        <v>23.2451828759745</v>
      </c>
      <c r="I779" s="49" t="n">
        <f aca="false">IF('Model Inputs &amp; Assumptions'!$H$29="Fixed",'Model Inputs &amp; Assumptions'!$I$29*'Model Inputs &amp; Assumptions'!$K$29,IF('Model Inputs &amp; Assumptions'!$H$29="CPM",'Model Inputs &amp; Assumptions'!$I$29*'Model Inputs &amp; Assumptions'!$K$29*C779/1000,IF('Model Inputs &amp; Assumptions'!$H$29="CPC",'Model Inputs &amp; Assumptions'!$I$29*'Model Inputs &amp; Assumptions'!$K$29*G779,0)))</f>
        <v>6500</v>
      </c>
      <c r="J779" s="50" t="n">
        <f aca="false">H779*INDEX('Model Inputs &amp; Assumptions'!$D$40:$D$42,MATCH('Model Inputs &amp; Assumptions'!$L$29,'Model Inputs &amp; Assumptions'!$A$40:$A$42,0))*INDEX('Model Inputs &amp; Assumptions'!$H$40:$H$42,MATCH('Model Inputs &amp; Assumptions'!$L$29,'Model Inputs &amp; Assumptions'!$A$40:$A$42,0))</f>
        <v>197584.054445784</v>
      </c>
      <c r="K779" s="49" t="n">
        <f aca="false">H779*INDEX('Model Inputs &amp; Assumptions'!$G$40:$G$42,MATCH('Model Inputs &amp; Assumptions'!$L$29,'Model Inputs &amp; Assumptions'!$A$40:$A$42,0))*INDEX('Model Inputs &amp; Assumptions'!$H$40:$H$42,MATCH('Model Inputs &amp; Assumptions'!$L$29,'Model Inputs &amp; Assumptions'!$A$40:$A$42,0))</f>
        <v>4445.64122503013</v>
      </c>
      <c r="L779" s="51" t="n">
        <f aca="false">IFERROR(K779/I779,0)</f>
        <v>0.683944803850789</v>
      </c>
      <c r="M779" s="49" t="n">
        <f aca="false">IFERROR(I779/H779,0)</f>
        <v>279.627828039941</v>
      </c>
      <c r="N779" s="52" t="str">
        <f aca="false">'Model Inputs &amp; Assumptions'!$L$29</f>
        <v>PRD-EUAI</v>
      </c>
      <c r="P779" s="53" t="n">
        <v>1.088184</v>
      </c>
      <c r="Q779" s="53" t="n">
        <v>-1.468437</v>
      </c>
      <c r="R779" s="53" t="n">
        <v>0.393399</v>
      </c>
      <c r="S779" s="53" t="n">
        <v>-1.587675</v>
      </c>
    </row>
    <row r="780" customFormat="false" ht="15" hidden="false" customHeight="false" outlineLevel="0" collapsed="false">
      <c r="A780" s="43" t="n">
        <v>277</v>
      </c>
      <c r="B780" s="44" t="str">
        <f aca="false">'Model Inputs &amp; Assumptions'!$B$29</f>
        <v>Handelsblatt — Native Explainer</v>
      </c>
      <c r="C780" s="45" t="n">
        <f aca="false">ROUND(MAX(0,'Model Inputs &amp; Assumptions'!$S$29*EXP('Model Inputs &amp; Assumptions'!$T$29*P780-'Model Inputs &amp; Assumptions'!$T$29^2/2)),0)</f>
        <v>290378</v>
      </c>
      <c r="D780" s="46" t="n">
        <f aca="false">MIN(1,'Model Inputs &amp; Assumptions'!$U$29*EXP('Model Inputs &amp; Assumptions'!$V$29*Q780-'Model Inputs &amp; Assumptions'!$V$29^2/2))</f>
        <v>0</v>
      </c>
      <c r="E780" s="45" t="n">
        <f aca="false">ROUND(C780*D780,0)</f>
        <v>0</v>
      </c>
      <c r="F780" s="47" t="n">
        <f aca="false">MIN(1,'Model Inputs &amp; Assumptions'!$W$29*EXP('Model Inputs &amp; Assumptions'!$X$29*R780-'Model Inputs &amp; Assumptions'!$X$29^2/2))</f>
        <v>0.00257639975041986</v>
      </c>
      <c r="G780" s="45" t="n">
        <f aca="false">ROUND(C780*F780,0)</f>
        <v>748</v>
      </c>
      <c r="H780" s="48" t="n">
        <f aca="false">MAX(0,(C780*'Model Inputs &amp; Assumptions'!$N$29+E780*'Model Inputs &amp; Assumptions'!$O$29+G780*'Model Inputs &amp; Assumptions'!$P$29)*EXP('Model Inputs &amp; Assumptions'!$Q$29*S780-'Model Inputs &amp; Assumptions'!$Q$29^2/2))</f>
        <v>52.0018608969277</v>
      </c>
      <c r="I780" s="49" t="n">
        <f aca="false">IF('Model Inputs &amp; Assumptions'!$H$29="Fixed",'Model Inputs &amp; Assumptions'!$I$29*'Model Inputs &amp; Assumptions'!$K$29,IF('Model Inputs &amp; Assumptions'!$H$29="CPM",'Model Inputs &amp; Assumptions'!$I$29*'Model Inputs &amp; Assumptions'!$K$29*C780/1000,IF('Model Inputs &amp; Assumptions'!$H$29="CPC",'Model Inputs &amp; Assumptions'!$I$29*'Model Inputs &amp; Assumptions'!$K$29*G780,0)))</f>
        <v>6500</v>
      </c>
      <c r="J780" s="50" t="n">
        <f aca="false">H780*INDEX('Model Inputs &amp; Assumptions'!$D$40:$D$42,MATCH('Model Inputs &amp; Assumptions'!$L$29,'Model Inputs &amp; Assumptions'!$A$40:$A$42,0))*INDEX('Model Inputs &amp; Assumptions'!$H$40:$H$42,MATCH('Model Inputs &amp; Assumptions'!$L$29,'Model Inputs &amp; Assumptions'!$A$40:$A$42,0))</f>
        <v>442015.817623886</v>
      </c>
      <c r="K780" s="49" t="n">
        <f aca="false">H780*INDEX('Model Inputs &amp; Assumptions'!$G$40:$G$42,MATCH('Model Inputs &amp; Assumptions'!$L$29,'Model Inputs &amp; Assumptions'!$A$40:$A$42,0))*INDEX('Model Inputs &amp; Assumptions'!$H$40:$H$42,MATCH('Model Inputs &amp; Assumptions'!$L$29,'Model Inputs &amp; Assumptions'!$A$40:$A$42,0))</f>
        <v>9945.35589653743</v>
      </c>
      <c r="L780" s="51" t="n">
        <f aca="false">IFERROR(K780/I780,0)</f>
        <v>1.53005475331345</v>
      </c>
      <c r="M780" s="49" t="n">
        <f aca="false">IFERROR(I780/H780,0)</f>
        <v>124.995526850156</v>
      </c>
      <c r="N780" s="52" t="str">
        <f aca="false">'Model Inputs &amp; Assumptions'!$L$29</f>
        <v>PRD-EUAI</v>
      </c>
      <c r="P780" s="53" t="n">
        <v>1.850526</v>
      </c>
      <c r="Q780" s="53" t="n">
        <v>0.624522</v>
      </c>
      <c r="R780" s="53" t="n">
        <v>-0.424889</v>
      </c>
      <c r="S780" s="53" t="n">
        <v>1.248696</v>
      </c>
    </row>
    <row r="781" customFormat="false" ht="15" hidden="false" customHeight="false" outlineLevel="0" collapsed="false">
      <c r="A781" s="43" t="n">
        <v>278</v>
      </c>
      <c r="B781" s="44" t="str">
        <f aca="false">'Model Inputs &amp; Assumptions'!$B$29</f>
        <v>Handelsblatt — Native Explainer</v>
      </c>
      <c r="C781" s="45" t="n">
        <f aca="false">ROUND(MAX(0,'Model Inputs &amp; Assumptions'!$S$29*EXP('Model Inputs &amp; Assumptions'!$T$29*P781-'Model Inputs &amp; Assumptions'!$T$29^2/2)),0)</f>
        <v>218953</v>
      </c>
      <c r="D781" s="46" t="n">
        <f aca="false">MIN(1,'Model Inputs &amp; Assumptions'!$U$29*EXP('Model Inputs &amp; Assumptions'!$V$29*Q781-'Model Inputs &amp; Assumptions'!$V$29^2/2))</f>
        <v>0</v>
      </c>
      <c r="E781" s="45" t="n">
        <f aca="false">ROUND(C781*D781,0)</f>
        <v>0</v>
      </c>
      <c r="F781" s="47" t="n">
        <f aca="false">MIN(1,'Model Inputs &amp; Assumptions'!$W$29*EXP('Model Inputs &amp; Assumptions'!$X$29*R781-'Model Inputs &amp; Assumptions'!$X$29^2/2))</f>
        <v>0.00235651383608259</v>
      </c>
      <c r="G781" s="45" t="n">
        <f aca="false">ROUND(C781*F781,0)</f>
        <v>516</v>
      </c>
      <c r="H781" s="48" t="n">
        <f aca="false">MAX(0,(C781*'Model Inputs &amp; Assumptions'!$N$29+E781*'Model Inputs &amp; Assumptions'!$O$29+G781*'Model Inputs &amp; Assumptions'!$P$29)*EXP('Model Inputs &amp; Assumptions'!$Q$29*S781-'Model Inputs &amp; Assumptions'!$Q$29^2/2))</f>
        <v>23.5261340842153</v>
      </c>
      <c r="I781" s="49" t="n">
        <f aca="false">IF('Model Inputs &amp; Assumptions'!$H$29="Fixed",'Model Inputs &amp; Assumptions'!$I$29*'Model Inputs &amp; Assumptions'!$K$29,IF('Model Inputs &amp; Assumptions'!$H$29="CPM",'Model Inputs &amp; Assumptions'!$I$29*'Model Inputs &amp; Assumptions'!$K$29*C781/1000,IF('Model Inputs &amp; Assumptions'!$H$29="CPC",'Model Inputs &amp; Assumptions'!$I$29*'Model Inputs &amp; Assumptions'!$K$29*G781,0)))</f>
        <v>6500</v>
      </c>
      <c r="J781" s="50" t="n">
        <f aca="false">H781*INDEX('Model Inputs &amp; Assumptions'!$D$40:$D$42,MATCH('Model Inputs &amp; Assumptions'!$L$29,'Model Inputs &amp; Assumptions'!$A$40:$A$42,0))*INDEX('Model Inputs &amp; Assumptions'!$H$40:$H$42,MATCH('Model Inputs &amp; Assumptions'!$L$29,'Model Inputs &amp; Assumptions'!$A$40:$A$42,0))</f>
        <v>199972.13971583</v>
      </c>
      <c r="K781" s="49" t="n">
        <f aca="false">H781*INDEX('Model Inputs &amp; Assumptions'!$G$40:$G$42,MATCH('Model Inputs &amp; Assumptions'!$L$29,'Model Inputs &amp; Assumptions'!$A$40:$A$42,0))*INDEX('Model Inputs &amp; Assumptions'!$H$40:$H$42,MATCH('Model Inputs &amp; Assumptions'!$L$29,'Model Inputs &amp; Assumptions'!$A$40:$A$42,0))</f>
        <v>4499.37314360618</v>
      </c>
      <c r="L781" s="51" t="n">
        <f aca="false">IFERROR(K781/I781,0)</f>
        <v>0.692211252862489</v>
      </c>
      <c r="M781" s="49" t="n">
        <f aca="false">IFERROR(I781/H781,0)</f>
        <v>276.288487378856</v>
      </c>
      <c r="N781" s="52" t="str">
        <f aca="false">'Model Inputs &amp; Assumptions'!$L$29</f>
        <v>PRD-EUAI</v>
      </c>
      <c r="P781" s="53" t="n">
        <v>0.567219</v>
      </c>
      <c r="Q781" s="53" t="n">
        <v>1.36544</v>
      </c>
      <c r="R781" s="53" t="n">
        <v>-0.768003</v>
      </c>
      <c r="S781" s="53" t="n">
        <v>-0.157542</v>
      </c>
    </row>
    <row r="782" customFormat="false" ht="15" hidden="false" customHeight="false" outlineLevel="0" collapsed="false">
      <c r="A782" s="43" t="n">
        <v>279</v>
      </c>
      <c r="B782" s="44" t="str">
        <f aca="false">'Model Inputs &amp; Assumptions'!$B$29</f>
        <v>Handelsblatt — Native Explainer</v>
      </c>
      <c r="C782" s="45" t="n">
        <f aca="false">ROUND(MAX(0,'Model Inputs &amp; Assumptions'!$S$29*EXP('Model Inputs &amp; Assumptions'!$T$29*P782-'Model Inputs &amp; Assumptions'!$T$29^2/2)),0)</f>
        <v>174556</v>
      </c>
      <c r="D782" s="46" t="n">
        <f aca="false">MIN(1,'Model Inputs &amp; Assumptions'!$U$29*EXP('Model Inputs &amp; Assumptions'!$V$29*Q782-'Model Inputs &amp; Assumptions'!$V$29^2/2))</f>
        <v>0</v>
      </c>
      <c r="E782" s="45" t="n">
        <f aca="false">ROUND(C782*D782,0)</f>
        <v>0</v>
      </c>
      <c r="F782" s="47" t="n">
        <f aca="false">MIN(1,'Model Inputs &amp; Assumptions'!$W$29*EXP('Model Inputs &amp; Assumptions'!$X$29*R782-'Model Inputs &amp; Assumptions'!$X$29^2/2))</f>
        <v>0.00261376245992815</v>
      </c>
      <c r="G782" s="45" t="n">
        <f aca="false">ROUND(C782*F782,0)</f>
        <v>456</v>
      </c>
      <c r="H782" s="48" t="n">
        <f aca="false">MAX(0,(C782*'Model Inputs &amp; Assumptions'!$N$29+E782*'Model Inputs &amp; Assumptions'!$O$29+G782*'Model Inputs &amp; Assumptions'!$P$29)*EXP('Model Inputs &amp; Assumptions'!$Q$29*S782-'Model Inputs &amp; Assumptions'!$Q$29^2/2))</f>
        <v>23.4507185440555</v>
      </c>
      <c r="I782" s="49" t="n">
        <f aca="false">IF('Model Inputs &amp; Assumptions'!$H$29="Fixed",'Model Inputs &amp; Assumptions'!$I$29*'Model Inputs &amp; Assumptions'!$K$29,IF('Model Inputs &amp; Assumptions'!$H$29="CPM",'Model Inputs &amp; Assumptions'!$I$29*'Model Inputs &amp; Assumptions'!$K$29*C782/1000,IF('Model Inputs &amp; Assumptions'!$H$29="CPC",'Model Inputs &amp; Assumptions'!$I$29*'Model Inputs &amp; Assumptions'!$K$29*G782,0)))</f>
        <v>6500</v>
      </c>
      <c r="J782" s="50" t="n">
        <f aca="false">H782*INDEX('Model Inputs &amp; Assumptions'!$D$40:$D$42,MATCH('Model Inputs &amp; Assumptions'!$L$29,'Model Inputs &amp; Assumptions'!$A$40:$A$42,0))*INDEX('Model Inputs &amp; Assumptions'!$H$40:$H$42,MATCH('Model Inputs &amp; Assumptions'!$L$29,'Model Inputs &amp; Assumptions'!$A$40:$A$42,0))</f>
        <v>199331.107624472</v>
      </c>
      <c r="K782" s="49" t="n">
        <f aca="false">H782*INDEX('Model Inputs &amp; Assumptions'!$G$40:$G$42,MATCH('Model Inputs &amp; Assumptions'!$L$29,'Model Inputs &amp; Assumptions'!$A$40:$A$42,0))*INDEX('Model Inputs &amp; Assumptions'!$H$40:$H$42,MATCH('Model Inputs &amp; Assumptions'!$L$29,'Model Inputs &amp; Assumptions'!$A$40:$A$42,0))</f>
        <v>4484.94992155062</v>
      </c>
      <c r="L782" s="51" t="n">
        <f aca="false">IFERROR(K782/I782,0)</f>
        <v>0.689992295623172</v>
      </c>
      <c r="M782" s="49" t="n">
        <f aca="false">IFERROR(I782/H782,0)</f>
        <v>277.177007936402</v>
      </c>
      <c r="N782" s="52" t="str">
        <f aca="false">'Model Inputs &amp; Assumptions'!$L$29</f>
        <v>PRD-EUAI</v>
      </c>
      <c r="P782" s="53" t="n">
        <v>-0.46282</v>
      </c>
      <c r="Q782" s="53" t="n">
        <v>-1.093143</v>
      </c>
      <c r="R782" s="53" t="n">
        <v>-0.369513</v>
      </c>
      <c r="S782" s="53" t="n">
        <v>0.243802</v>
      </c>
    </row>
    <row r="783" customFormat="false" ht="15" hidden="false" customHeight="false" outlineLevel="0" collapsed="false">
      <c r="A783" s="43" t="n">
        <v>280</v>
      </c>
      <c r="B783" s="44" t="str">
        <f aca="false">'Model Inputs &amp; Assumptions'!$B$29</f>
        <v>Handelsblatt — Native Explainer</v>
      </c>
      <c r="C783" s="45" t="n">
        <f aca="false">ROUND(MAX(0,'Model Inputs &amp; Assumptions'!$S$29*EXP('Model Inputs &amp; Assumptions'!$T$29*P783-'Model Inputs &amp; Assumptions'!$T$29^2/2)),0)</f>
        <v>258203</v>
      </c>
      <c r="D783" s="46" t="n">
        <f aca="false">MIN(1,'Model Inputs &amp; Assumptions'!$U$29*EXP('Model Inputs &amp; Assumptions'!$V$29*Q783-'Model Inputs &amp; Assumptions'!$V$29^2/2))</f>
        <v>0</v>
      </c>
      <c r="E783" s="45" t="n">
        <f aca="false">ROUND(C783*D783,0)</f>
        <v>0</v>
      </c>
      <c r="F783" s="47" t="n">
        <f aca="false">MIN(1,'Model Inputs &amp; Assumptions'!$W$29*EXP('Model Inputs &amp; Assumptions'!$X$29*R783-'Model Inputs &amp; Assumptions'!$X$29^2/2))</f>
        <v>0.00247068524383713</v>
      </c>
      <c r="G783" s="45" t="n">
        <f aca="false">ROUND(C783*F783,0)</f>
        <v>638</v>
      </c>
      <c r="H783" s="48" t="n">
        <f aca="false">MAX(0,(C783*'Model Inputs &amp; Assumptions'!$N$29+E783*'Model Inputs &amp; Assumptions'!$O$29+G783*'Model Inputs &amp; Assumptions'!$P$29)*EXP('Model Inputs &amp; Assumptions'!$Q$29*S783-'Model Inputs &amp; Assumptions'!$Q$29^2/2))</f>
        <v>52.4344652970461</v>
      </c>
      <c r="I783" s="49" t="n">
        <f aca="false">IF('Model Inputs &amp; Assumptions'!$H$29="Fixed",'Model Inputs &amp; Assumptions'!$I$29*'Model Inputs &amp; Assumptions'!$K$29,IF('Model Inputs &amp; Assumptions'!$H$29="CPM",'Model Inputs &amp; Assumptions'!$I$29*'Model Inputs &amp; Assumptions'!$K$29*C783/1000,IF('Model Inputs &amp; Assumptions'!$H$29="CPC",'Model Inputs &amp; Assumptions'!$I$29*'Model Inputs &amp; Assumptions'!$K$29*G783,0)))</f>
        <v>6500</v>
      </c>
      <c r="J783" s="50" t="n">
        <f aca="false">H783*INDEX('Model Inputs &amp; Assumptions'!$D$40:$D$42,MATCH('Model Inputs &amp; Assumptions'!$L$29,'Model Inputs &amp; Assumptions'!$A$40:$A$42,0))*INDEX('Model Inputs &amp; Assumptions'!$H$40:$H$42,MATCH('Model Inputs &amp; Assumptions'!$L$29,'Model Inputs &amp; Assumptions'!$A$40:$A$42,0))</f>
        <v>445692.955024892</v>
      </c>
      <c r="K783" s="49" t="n">
        <f aca="false">H783*INDEX('Model Inputs &amp; Assumptions'!$G$40:$G$42,MATCH('Model Inputs &amp; Assumptions'!$L$29,'Model Inputs &amp; Assumptions'!$A$40:$A$42,0))*INDEX('Model Inputs &amp; Assumptions'!$H$40:$H$42,MATCH('Model Inputs &amp; Assumptions'!$L$29,'Model Inputs &amp; Assumptions'!$A$40:$A$42,0))</f>
        <v>10028.0914880601</v>
      </c>
      <c r="L783" s="51" t="n">
        <f aca="false">IFERROR(K783/I783,0)</f>
        <v>1.5427833058554</v>
      </c>
      <c r="M783" s="49" t="n">
        <f aca="false">IFERROR(I783/H783,0)</f>
        <v>123.964265930374</v>
      </c>
      <c r="N783" s="52" t="str">
        <f aca="false">'Model Inputs &amp; Assumptions'!$L$29</f>
        <v>PRD-EUAI</v>
      </c>
      <c r="P783" s="53" t="n">
        <v>1.316724</v>
      </c>
      <c r="Q783" s="53" t="n">
        <v>-1.209333</v>
      </c>
      <c r="R783" s="53" t="n">
        <v>-0.586033</v>
      </c>
      <c r="S783" s="53" t="n">
        <v>1.806527</v>
      </c>
    </row>
    <row r="784" customFormat="false" ht="15" hidden="false" customHeight="false" outlineLevel="0" collapsed="false">
      <c r="A784" s="43" t="n">
        <v>281</v>
      </c>
      <c r="B784" s="44" t="str">
        <f aca="false">'Model Inputs &amp; Assumptions'!$B$29</f>
        <v>Handelsblatt — Native Explainer</v>
      </c>
      <c r="C784" s="45" t="n">
        <f aca="false">ROUND(MAX(0,'Model Inputs &amp; Assumptions'!$S$29*EXP('Model Inputs &amp; Assumptions'!$T$29*P784-'Model Inputs &amp; Assumptions'!$T$29^2/2)),0)</f>
        <v>176758</v>
      </c>
      <c r="D784" s="46" t="n">
        <f aca="false">MIN(1,'Model Inputs &amp; Assumptions'!$U$29*EXP('Model Inputs &amp; Assumptions'!$V$29*Q784-'Model Inputs &amp; Assumptions'!$V$29^2/2))</f>
        <v>0</v>
      </c>
      <c r="E784" s="45" t="n">
        <f aca="false">ROUND(C784*D784,0)</f>
        <v>0</v>
      </c>
      <c r="F784" s="47" t="n">
        <f aca="false">MIN(1,'Model Inputs &amp; Assumptions'!$W$29*EXP('Model Inputs &amp; Assumptions'!$X$29*R784-'Model Inputs &amp; Assumptions'!$X$29^2/2))</f>
        <v>0.00464403768613531</v>
      </c>
      <c r="G784" s="45" t="n">
        <f aca="false">ROUND(C784*F784,0)</f>
        <v>821</v>
      </c>
      <c r="H784" s="48" t="n">
        <f aca="false">MAX(0,(C784*'Model Inputs &amp; Assumptions'!$N$29+E784*'Model Inputs &amp; Assumptions'!$O$29+G784*'Model Inputs &amp; Assumptions'!$P$29)*EXP('Model Inputs &amp; Assumptions'!$Q$29*S784-'Model Inputs &amp; Assumptions'!$Q$29^2/2))</f>
        <v>29.2999390524131</v>
      </c>
      <c r="I784" s="49" t="n">
        <f aca="false">IF('Model Inputs &amp; Assumptions'!$H$29="Fixed",'Model Inputs &amp; Assumptions'!$I$29*'Model Inputs &amp; Assumptions'!$K$29,IF('Model Inputs &amp; Assumptions'!$H$29="CPM",'Model Inputs &amp; Assumptions'!$I$29*'Model Inputs &amp; Assumptions'!$K$29*C784/1000,IF('Model Inputs &amp; Assumptions'!$H$29="CPC",'Model Inputs &amp; Assumptions'!$I$29*'Model Inputs &amp; Assumptions'!$K$29*G784,0)))</f>
        <v>6500</v>
      </c>
      <c r="J784" s="50" t="n">
        <f aca="false">H784*INDEX('Model Inputs &amp; Assumptions'!$D$40:$D$42,MATCH('Model Inputs &amp; Assumptions'!$L$29,'Model Inputs &amp; Assumptions'!$A$40:$A$42,0))*INDEX('Model Inputs &amp; Assumptions'!$H$40:$H$42,MATCH('Model Inputs &amp; Assumptions'!$L$29,'Model Inputs &amp; Assumptions'!$A$40:$A$42,0))</f>
        <v>249049.481945511</v>
      </c>
      <c r="K784" s="49" t="n">
        <f aca="false">H784*INDEX('Model Inputs &amp; Assumptions'!$G$40:$G$42,MATCH('Model Inputs &amp; Assumptions'!$L$29,'Model Inputs &amp; Assumptions'!$A$40:$A$42,0))*INDEX('Model Inputs &amp; Assumptions'!$H$40:$H$42,MATCH('Model Inputs &amp; Assumptions'!$L$29,'Model Inputs &amp; Assumptions'!$A$40:$A$42,0))</f>
        <v>5603.613343774</v>
      </c>
      <c r="L784" s="51" t="n">
        <f aca="false">IFERROR(K784/I784,0)</f>
        <v>0.862094360580615</v>
      </c>
      <c r="M784" s="49" t="n">
        <f aca="false">IFERROR(I784/H784,0)</f>
        <v>221.843464874534</v>
      </c>
      <c r="N784" s="52" t="str">
        <f aca="false">'Model Inputs &amp; Assumptions'!$L$29</f>
        <v>PRD-EUAI</v>
      </c>
      <c r="P784" s="53" t="n">
        <v>-0.405852</v>
      </c>
      <c r="Q784" s="53" t="n">
        <v>-0.058212</v>
      </c>
      <c r="R784" s="53" t="n">
        <v>1.841231</v>
      </c>
      <c r="S784" s="53" t="n">
        <v>-0.974018</v>
      </c>
    </row>
    <row r="785" customFormat="false" ht="15" hidden="false" customHeight="false" outlineLevel="0" collapsed="false">
      <c r="A785" s="43" t="n">
        <v>282</v>
      </c>
      <c r="B785" s="44" t="str">
        <f aca="false">'Model Inputs &amp; Assumptions'!$B$29</f>
        <v>Handelsblatt — Native Explainer</v>
      </c>
      <c r="C785" s="45" t="n">
        <f aca="false">ROUND(MAX(0,'Model Inputs &amp; Assumptions'!$S$29*EXP('Model Inputs &amp; Assumptions'!$T$29*P785-'Model Inputs &amp; Assumptions'!$T$29^2/2)),0)</f>
        <v>242018</v>
      </c>
      <c r="D785" s="46" t="n">
        <f aca="false">MIN(1,'Model Inputs &amp; Assumptions'!$U$29*EXP('Model Inputs &amp; Assumptions'!$V$29*Q785-'Model Inputs &amp; Assumptions'!$V$29^2/2))</f>
        <v>0</v>
      </c>
      <c r="E785" s="45" t="n">
        <f aca="false">ROUND(C785*D785,0)</f>
        <v>0</v>
      </c>
      <c r="F785" s="47" t="n">
        <f aca="false">MIN(1,'Model Inputs &amp; Assumptions'!$W$29*EXP('Model Inputs &amp; Assumptions'!$X$29*R785-'Model Inputs &amp; Assumptions'!$X$29^2/2))</f>
        <v>0.00225844955178588</v>
      </c>
      <c r="G785" s="45" t="n">
        <f aca="false">ROUND(C785*F785,0)</f>
        <v>547</v>
      </c>
      <c r="H785" s="48" t="n">
        <f aca="false">MAX(0,(C785*'Model Inputs &amp; Assumptions'!$N$29+E785*'Model Inputs &amp; Assumptions'!$O$29+G785*'Model Inputs &amp; Assumptions'!$P$29)*EXP('Model Inputs &amp; Assumptions'!$Q$29*S785-'Model Inputs &amp; Assumptions'!$Q$29^2/2))</f>
        <v>32.6957672905144</v>
      </c>
      <c r="I785" s="49" t="n">
        <f aca="false">IF('Model Inputs &amp; Assumptions'!$H$29="Fixed",'Model Inputs &amp; Assumptions'!$I$29*'Model Inputs &amp; Assumptions'!$K$29,IF('Model Inputs &amp; Assumptions'!$H$29="CPM",'Model Inputs &amp; Assumptions'!$I$29*'Model Inputs &amp; Assumptions'!$K$29*C785/1000,IF('Model Inputs &amp; Assumptions'!$H$29="CPC",'Model Inputs &amp; Assumptions'!$I$29*'Model Inputs &amp; Assumptions'!$K$29*G785,0)))</f>
        <v>6500</v>
      </c>
      <c r="J785" s="50" t="n">
        <f aca="false">H785*INDEX('Model Inputs &amp; Assumptions'!$D$40:$D$42,MATCH('Model Inputs &amp; Assumptions'!$L$29,'Model Inputs &amp; Assumptions'!$A$40:$A$42,0))*INDEX('Model Inputs &amp; Assumptions'!$H$40:$H$42,MATCH('Model Inputs &amp; Assumptions'!$L$29,'Model Inputs &amp; Assumptions'!$A$40:$A$42,0))</f>
        <v>277914.021969372</v>
      </c>
      <c r="K785" s="49" t="n">
        <f aca="false">H785*INDEX('Model Inputs &amp; Assumptions'!$G$40:$G$42,MATCH('Model Inputs &amp; Assumptions'!$L$29,'Model Inputs &amp; Assumptions'!$A$40:$A$42,0))*INDEX('Model Inputs &amp; Assumptions'!$H$40:$H$42,MATCH('Model Inputs &amp; Assumptions'!$L$29,'Model Inputs &amp; Assumptions'!$A$40:$A$42,0))</f>
        <v>6253.06549431088</v>
      </c>
      <c r="L785" s="51" t="n">
        <f aca="false">IFERROR(K785/I785,0)</f>
        <v>0.962010076047827</v>
      </c>
      <c r="M785" s="49" t="n">
        <f aca="false">IFERROR(I785/H785,0)</f>
        <v>198.802491534914</v>
      </c>
      <c r="N785" s="52" t="str">
        <f aca="false">'Model Inputs &amp; Assumptions'!$L$29</f>
        <v>PRD-EUAI</v>
      </c>
      <c r="P785" s="53" t="n">
        <v>1.022471</v>
      </c>
      <c r="Q785" s="53" t="n">
        <v>1.938763</v>
      </c>
      <c r="R785" s="53" t="n">
        <v>-0.931483</v>
      </c>
      <c r="S785" s="53" t="n">
        <v>0.745097</v>
      </c>
    </row>
    <row r="786" customFormat="false" ht="15" hidden="false" customHeight="false" outlineLevel="0" collapsed="false">
      <c r="A786" s="43" t="n">
        <v>283</v>
      </c>
      <c r="B786" s="44" t="str">
        <f aca="false">'Model Inputs &amp; Assumptions'!$B$29</f>
        <v>Handelsblatt — Native Explainer</v>
      </c>
      <c r="C786" s="45" t="n">
        <f aca="false">ROUND(MAX(0,'Model Inputs &amp; Assumptions'!$S$29*EXP('Model Inputs &amp; Assumptions'!$T$29*P786-'Model Inputs &amp; Assumptions'!$T$29^2/2)),0)</f>
        <v>164737</v>
      </c>
      <c r="D786" s="46" t="n">
        <f aca="false">MIN(1,'Model Inputs &amp; Assumptions'!$U$29*EXP('Model Inputs &amp; Assumptions'!$V$29*Q786-'Model Inputs &amp; Assumptions'!$V$29^2/2))</f>
        <v>0</v>
      </c>
      <c r="E786" s="45" t="n">
        <f aca="false">ROUND(C786*D786,0)</f>
        <v>0</v>
      </c>
      <c r="F786" s="47" t="n">
        <f aca="false">MIN(1,'Model Inputs &amp; Assumptions'!$W$29*EXP('Model Inputs &amp; Assumptions'!$X$29*R786-'Model Inputs &amp; Assumptions'!$X$29^2/2))</f>
        <v>0.00250433722532085</v>
      </c>
      <c r="G786" s="45" t="n">
        <f aca="false">ROUND(C786*F786,0)</f>
        <v>413</v>
      </c>
      <c r="H786" s="48" t="n">
        <f aca="false">MAX(0,(C786*'Model Inputs &amp; Assumptions'!$N$29+E786*'Model Inputs &amp; Assumptions'!$O$29+G786*'Model Inputs &amp; Assumptions'!$P$29)*EXP('Model Inputs &amp; Assumptions'!$Q$29*S786-'Model Inputs &amp; Assumptions'!$Q$29^2/2))</f>
        <v>23.5111745149998</v>
      </c>
      <c r="I786" s="49" t="n">
        <f aca="false">IF('Model Inputs &amp; Assumptions'!$H$29="Fixed",'Model Inputs &amp; Assumptions'!$I$29*'Model Inputs &amp; Assumptions'!$K$29,IF('Model Inputs &amp; Assumptions'!$H$29="CPM",'Model Inputs &amp; Assumptions'!$I$29*'Model Inputs &amp; Assumptions'!$K$29*C786/1000,IF('Model Inputs &amp; Assumptions'!$H$29="CPC",'Model Inputs &amp; Assumptions'!$I$29*'Model Inputs &amp; Assumptions'!$K$29*G786,0)))</f>
        <v>6500</v>
      </c>
      <c r="J786" s="50" t="n">
        <f aca="false">H786*INDEX('Model Inputs &amp; Assumptions'!$D$40:$D$42,MATCH('Model Inputs &amp; Assumptions'!$L$29,'Model Inputs &amp; Assumptions'!$A$40:$A$42,0))*INDEX('Model Inputs &amp; Assumptions'!$H$40:$H$42,MATCH('Model Inputs &amp; Assumptions'!$L$29,'Model Inputs &amp; Assumptions'!$A$40:$A$42,0))</f>
        <v>199844.983377499</v>
      </c>
      <c r="K786" s="49" t="n">
        <f aca="false">H786*INDEX('Model Inputs &amp; Assumptions'!$G$40:$G$42,MATCH('Model Inputs &amp; Assumptions'!$L$29,'Model Inputs &amp; Assumptions'!$A$40:$A$42,0))*INDEX('Model Inputs &amp; Assumptions'!$H$40:$H$42,MATCH('Model Inputs &amp; Assumptions'!$L$29,'Model Inputs &amp; Assumptions'!$A$40:$A$42,0))</f>
        <v>4496.51212599372</v>
      </c>
      <c r="L786" s="51" t="n">
        <f aca="false">IFERROR(K786/I786,0)</f>
        <v>0.691771096306726</v>
      </c>
      <c r="M786" s="49" t="n">
        <f aca="false">IFERROR(I786/H786,0)</f>
        <v>276.464282796807</v>
      </c>
      <c r="N786" s="52" t="str">
        <f aca="false">'Model Inputs &amp; Assumptions'!$L$29</f>
        <v>PRD-EUAI</v>
      </c>
      <c r="P786" s="53" t="n">
        <v>-0.725993</v>
      </c>
      <c r="Q786" s="53" t="n">
        <v>0.503704</v>
      </c>
      <c r="R786" s="53" t="n">
        <v>-0.534</v>
      </c>
      <c r="S786" s="53" t="n">
        <v>0.582535</v>
      </c>
    </row>
    <row r="787" customFormat="false" ht="15" hidden="false" customHeight="false" outlineLevel="0" collapsed="false">
      <c r="A787" s="43" t="n">
        <v>284</v>
      </c>
      <c r="B787" s="44" t="str">
        <f aca="false">'Model Inputs &amp; Assumptions'!$B$29</f>
        <v>Handelsblatt — Native Explainer</v>
      </c>
      <c r="C787" s="45" t="n">
        <f aca="false">ROUND(MAX(0,'Model Inputs &amp; Assumptions'!$S$29*EXP('Model Inputs &amp; Assumptions'!$T$29*P787-'Model Inputs &amp; Assumptions'!$T$29^2/2)),0)</f>
        <v>214905</v>
      </c>
      <c r="D787" s="46" t="n">
        <f aca="false">MIN(1,'Model Inputs &amp; Assumptions'!$U$29*EXP('Model Inputs &amp; Assumptions'!$V$29*Q787-'Model Inputs &amp; Assumptions'!$V$29^2/2))</f>
        <v>0</v>
      </c>
      <c r="E787" s="45" t="n">
        <f aca="false">ROUND(C787*D787,0)</f>
        <v>0</v>
      </c>
      <c r="F787" s="47" t="n">
        <f aca="false">MIN(1,'Model Inputs &amp; Assumptions'!$W$29*EXP('Model Inputs &amp; Assumptions'!$X$29*R787-'Model Inputs &amp; Assumptions'!$X$29^2/2))</f>
        <v>0.00226544271459776</v>
      </c>
      <c r="G787" s="45" t="n">
        <f aca="false">ROUND(C787*F787,0)</f>
        <v>487</v>
      </c>
      <c r="H787" s="48" t="n">
        <f aca="false">MAX(0,(C787*'Model Inputs &amp; Assumptions'!$N$29+E787*'Model Inputs &amp; Assumptions'!$O$29+G787*'Model Inputs &amp; Assumptions'!$P$29)*EXP('Model Inputs &amp; Assumptions'!$Q$29*S787-'Model Inputs &amp; Assumptions'!$Q$29^2/2))</f>
        <v>20.7288852344419</v>
      </c>
      <c r="I787" s="49" t="n">
        <f aca="false">IF('Model Inputs &amp; Assumptions'!$H$29="Fixed",'Model Inputs &amp; Assumptions'!$I$29*'Model Inputs &amp; Assumptions'!$K$29,IF('Model Inputs &amp; Assumptions'!$H$29="CPM",'Model Inputs &amp; Assumptions'!$I$29*'Model Inputs &amp; Assumptions'!$K$29*C787/1000,IF('Model Inputs &amp; Assumptions'!$H$29="CPC",'Model Inputs &amp; Assumptions'!$I$29*'Model Inputs &amp; Assumptions'!$K$29*G787,0)))</f>
        <v>6500</v>
      </c>
      <c r="J787" s="50" t="n">
        <f aca="false">H787*INDEX('Model Inputs &amp; Assumptions'!$D$40:$D$42,MATCH('Model Inputs &amp; Assumptions'!$L$29,'Model Inputs &amp; Assumptions'!$A$40:$A$42,0))*INDEX('Model Inputs &amp; Assumptions'!$H$40:$H$42,MATCH('Model Inputs &amp; Assumptions'!$L$29,'Model Inputs &amp; Assumptions'!$A$40:$A$42,0))</f>
        <v>176195.524492756</v>
      </c>
      <c r="K787" s="49" t="n">
        <f aca="false">H787*INDEX('Model Inputs &amp; Assumptions'!$G$40:$G$42,MATCH('Model Inputs &amp; Assumptions'!$L$29,'Model Inputs &amp; Assumptions'!$A$40:$A$42,0))*INDEX('Model Inputs &amp; Assumptions'!$H$40:$H$42,MATCH('Model Inputs &amp; Assumptions'!$L$29,'Model Inputs &amp; Assumptions'!$A$40:$A$42,0))</f>
        <v>3964.39930108701</v>
      </c>
      <c r="L787" s="51" t="n">
        <f aca="false">IFERROR(K787/I787,0)</f>
        <v>0.609907584782617</v>
      </c>
      <c r="M787" s="49" t="n">
        <f aca="false">IFERROR(I787/H787,0)</f>
        <v>313.572096448293</v>
      </c>
      <c r="N787" s="52" t="str">
        <f aca="false">'Model Inputs &amp; Assumptions'!$L$29</f>
        <v>PRD-EUAI</v>
      </c>
      <c r="P787" s="53" t="n">
        <v>0.482409</v>
      </c>
      <c r="Q787" s="53" t="n">
        <v>0.845964</v>
      </c>
      <c r="R787" s="53" t="n">
        <v>-0.919592</v>
      </c>
      <c r="S787" s="53" t="n">
        <v>-0.386679</v>
      </c>
    </row>
    <row r="788" customFormat="false" ht="15" hidden="false" customHeight="false" outlineLevel="0" collapsed="false">
      <c r="A788" s="43" t="n">
        <v>285</v>
      </c>
      <c r="B788" s="44" t="str">
        <f aca="false">'Model Inputs &amp; Assumptions'!$B$29</f>
        <v>Handelsblatt — Native Explainer</v>
      </c>
      <c r="C788" s="45" t="n">
        <f aca="false">ROUND(MAX(0,'Model Inputs &amp; Assumptions'!$S$29*EXP('Model Inputs &amp; Assumptions'!$T$29*P788-'Model Inputs &amp; Assumptions'!$T$29^2/2)),0)</f>
        <v>144189</v>
      </c>
      <c r="D788" s="46" t="n">
        <f aca="false">MIN(1,'Model Inputs &amp; Assumptions'!$U$29*EXP('Model Inputs &amp; Assumptions'!$V$29*Q788-'Model Inputs &amp; Assumptions'!$V$29^2/2))</f>
        <v>0</v>
      </c>
      <c r="E788" s="45" t="n">
        <f aca="false">ROUND(C788*D788,0)</f>
        <v>0</v>
      </c>
      <c r="F788" s="47" t="n">
        <f aca="false">MIN(1,'Model Inputs &amp; Assumptions'!$W$29*EXP('Model Inputs &amp; Assumptions'!$X$29*R788-'Model Inputs &amp; Assumptions'!$X$29^2/2))</f>
        <v>0.00350099921873936</v>
      </c>
      <c r="G788" s="45" t="n">
        <f aca="false">ROUND(C788*F788,0)</f>
        <v>505</v>
      </c>
      <c r="H788" s="48" t="n">
        <f aca="false">MAX(0,(C788*'Model Inputs &amp; Assumptions'!$N$29+E788*'Model Inputs &amp; Assumptions'!$O$29+G788*'Model Inputs &amp; Assumptions'!$P$29)*EXP('Model Inputs &amp; Assumptions'!$Q$29*S788-'Model Inputs &amp; Assumptions'!$Q$29^2/2))</f>
        <v>26.7293110583791</v>
      </c>
      <c r="I788" s="49" t="n">
        <f aca="false">IF('Model Inputs &amp; Assumptions'!$H$29="Fixed",'Model Inputs &amp; Assumptions'!$I$29*'Model Inputs &amp; Assumptions'!$K$29,IF('Model Inputs &amp; Assumptions'!$H$29="CPM",'Model Inputs &amp; Assumptions'!$I$29*'Model Inputs &amp; Assumptions'!$K$29*C788/1000,IF('Model Inputs &amp; Assumptions'!$H$29="CPC",'Model Inputs &amp; Assumptions'!$I$29*'Model Inputs &amp; Assumptions'!$K$29*G788,0)))</f>
        <v>6500</v>
      </c>
      <c r="J788" s="50" t="n">
        <f aca="false">H788*INDEX('Model Inputs &amp; Assumptions'!$D$40:$D$42,MATCH('Model Inputs &amp; Assumptions'!$L$29,'Model Inputs &amp; Assumptions'!$A$40:$A$42,0))*INDEX('Model Inputs &amp; Assumptions'!$H$40:$H$42,MATCH('Model Inputs &amp; Assumptions'!$L$29,'Model Inputs &amp; Assumptions'!$A$40:$A$42,0))</f>
        <v>227199.143996223</v>
      </c>
      <c r="K788" s="49" t="n">
        <f aca="false">H788*INDEX('Model Inputs &amp; Assumptions'!$G$40:$G$42,MATCH('Model Inputs &amp; Assumptions'!$L$29,'Model Inputs &amp; Assumptions'!$A$40:$A$42,0))*INDEX('Model Inputs &amp; Assumptions'!$H$40:$H$42,MATCH('Model Inputs &amp; Assumptions'!$L$29,'Model Inputs &amp; Assumptions'!$A$40:$A$42,0))</f>
        <v>5111.98073991501</v>
      </c>
      <c r="L788" s="51" t="n">
        <f aca="false">IFERROR(K788/I788,0)</f>
        <v>0.78645857537154</v>
      </c>
      <c r="M788" s="49" t="n">
        <f aca="false">IFERROR(I788/H788,0)</f>
        <v>243.178733107016</v>
      </c>
      <c r="N788" s="52" t="str">
        <f aca="false">'Model Inputs &amp; Assumptions'!$L$29</f>
        <v>PRD-EUAI</v>
      </c>
      <c r="P788" s="53" t="n">
        <v>-1.331559</v>
      </c>
      <c r="Q788" s="53" t="n">
        <v>-0.160753</v>
      </c>
      <c r="R788" s="53" t="n">
        <v>0.754555</v>
      </c>
      <c r="S788" s="53" t="n">
        <v>0.339782</v>
      </c>
    </row>
    <row r="789" customFormat="false" ht="15" hidden="false" customHeight="false" outlineLevel="0" collapsed="false">
      <c r="A789" s="43" t="n">
        <v>286</v>
      </c>
      <c r="B789" s="44" t="str">
        <f aca="false">'Model Inputs &amp; Assumptions'!$B$29</f>
        <v>Handelsblatt — Native Explainer</v>
      </c>
      <c r="C789" s="45" t="n">
        <f aca="false">ROUND(MAX(0,'Model Inputs &amp; Assumptions'!$S$29*EXP('Model Inputs &amp; Assumptions'!$T$29*P789-'Model Inputs &amp; Assumptions'!$T$29^2/2)),0)</f>
        <v>224345</v>
      </c>
      <c r="D789" s="46" t="n">
        <f aca="false">MIN(1,'Model Inputs &amp; Assumptions'!$U$29*EXP('Model Inputs &amp; Assumptions'!$V$29*Q789-'Model Inputs &amp; Assumptions'!$V$29^2/2))</f>
        <v>0</v>
      </c>
      <c r="E789" s="45" t="n">
        <f aca="false">ROUND(C789*D789,0)</f>
        <v>0</v>
      </c>
      <c r="F789" s="47" t="n">
        <f aca="false">MIN(1,'Model Inputs &amp; Assumptions'!$W$29*EXP('Model Inputs &amp; Assumptions'!$X$29*R789-'Model Inputs &amp; Assumptions'!$X$29^2/2))</f>
        <v>0.00264850163363898</v>
      </c>
      <c r="G789" s="45" t="n">
        <f aca="false">ROUND(C789*F789,0)</f>
        <v>594</v>
      </c>
      <c r="H789" s="48" t="n">
        <f aca="false">MAX(0,(C789*'Model Inputs &amp; Assumptions'!$N$29+E789*'Model Inputs &amp; Assumptions'!$O$29+G789*'Model Inputs &amp; Assumptions'!$P$29)*EXP('Model Inputs &amp; Assumptions'!$Q$29*S789-'Model Inputs &amp; Assumptions'!$Q$29^2/2))</f>
        <v>41.8270034209689</v>
      </c>
      <c r="I789" s="49" t="n">
        <f aca="false">IF('Model Inputs &amp; Assumptions'!$H$29="Fixed",'Model Inputs &amp; Assumptions'!$I$29*'Model Inputs &amp; Assumptions'!$K$29,IF('Model Inputs &amp; Assumptions'!$H$29="CPM",'Model Inputs &amp; Assumptions'!$I$29*'Model Inputs &amp; Assumptions'!$K$29*C789/1000,IF('Model Inputs &amp; Assumptions'!$H$29="CPC",'Model Inputs &amp; Assumptions'!$I$29*'Model Inputs &amp; Assumptions'!$K$29*G789,0)))</f>
        <v>6500</v>
      </c>
      <c r="J789" s="50" t="n">
        <f aca="false">H789*INDEX('Model Inputs &amp; Assumptions'!$D$40:$D$42,MATCH('Model Inputs &amp; Assumptions'!$L$29,'Model Inputs &amp; Assumptions'!$A$40:$A$42,0))*INDEX('Model Inputs &amp; Assumptions'!$H$40:$H$42,MATCH('Model Inputs &amp; Assumptions'!$L$29,'Model Inputs &amp; Assumptions'!$A$40:$A$42,0))</f>
        <v>355529.529078236</v>
      </c>
      <c r="K789" s="49" t="n">
        <f aca="false">H789*INDEX('Model Inputs &amp; Assumptions'!$G$40:$G$42,MATCH('Model Inputs &amp; Assumptions'!$L$29,'Model Inputs &amp; Assumptions'!$A$40:$A$42,0))*INDEX('Model Inputs &amp; Assumptions'!$H$40:$H$42,MATCH('Model Inputs &amp; Assumptions'!$L$29,'Model Inputs &amp; Assumptions'!$A$40:$A$42,0))</f>
        <v>7999.41440426031</v>
      </c>
      <c r="L789" s="51" t="n">
        <f aca="false">IFERROR(K789/I789,0)</f>
        <v>1.23067913911697</v>
      </c>
      <c r="M789" s="49" t="n">
        <f aca="false">IFERROR(I789/H789,0)</f>
        <v>155.402000343668</v>
      </c>
      <c r="N789" s="52" t="str">
        <f aca="false">'Model Inputs &amp; Assumptions'!$L$29</f>
        <v>PRD-EUAI</v>
      </c>
      <c r="P789" s="53" t="n">
        <v>0.677813</v>
      </c>
      <c r="Q789" s="53" t="n">
        <v>1.616079</v>
      </c>
      <c r="R789" s="53" t="n">
        <v>-0.318731</v>
      </c>
      <c r="S789" s="53" t="n">
        <v>1.291317</v>
      </c>
    </row>
    <row r="790" customFormat="false" ht="15" hidden="false" customHeight="false" outlineLevel="0" collapsed="false">
      <c r="A790" s="43" t="n">
        <v>287</v>
      </c>
      <c r="B790" s="44" t="str">
        <f aca="false">'Model Inputs &amp; Assumptions'!$B$29</f>
        <v>Handelsblatt — Native Explainer</v>
      </c>
      <c r="C790" s="45" t="n">
        <f aca="false">ROUND(MAX(0,'Model Inputs &amp; Assumptions'!$S$29*EXP('Model Inputs &amp; Assumptions'!$T$29*P790-'Model Inputs &amp; Assumptions'!$T$29^2/2)),0)</f>
        <v>211742</v>
      </c>
      <c r="D790" s="46" t="n">
        <f aca="false">MIN(1,'Model Inputs &amp; Assumptions'!$U$29*EXP('Model Inputs &amp; Assumptions'!$V$29*Q790-'Model Inputs &amp; Assumptions'!$V$29^2/2))</f>
        <v>0</v>
      </c>
      <c r="E790" s="45" t="n">
        <f aca="false">ROUND(C790*D790,0)</f>
        <v>0</v>
      </c>
      <c r="F790" s="47" t="n">
        <f aca="false">MIN(1,'Model Inputs &amp; Assumptions'!$W$29*EXP('Model Inputs &amp; Assumptions'!$X$29*R790-'Model Inputs &amp; Assumptions'!$X$29^2/2))</f>
        <v>0.00246830894574605</v>
      </c>
      <c r="G790" s="45" t="n">
        <f aca="false">ROUND(C790*F790,0)</f>
        <v>523</v>
      </c>
      <c r="H790" s="48" t="n">
        <f aca="false">MAX(0,(C790*'Model Inputs &amp; Assumptions'!$N$29+E790*'Model Inputs &amp; Assumptions'!$O$29+G790*'Model Inputs &amp; Assumptions'!$P$29)*EXP('Model Inputs &amp; Assumptions'!$Q$29*S790-'Model Inputs &amp; Assumptions'!$Q$29^2/2))</f>
        <v>17.9333461020739</v>
      </c>
      <c r="I790" s="49" t="n">
        <f aca="false">IF('Model Inputs &amp; Assumptions'!$H$29="Fixed",'Model Inputs &amp; Assumptions'!$I$29*'Model Inputs &amp; Assumptions'!$K$29,IF('Model Inputs &amp; Assumptions'!$H$29="CPM",'Model Inputs &amp; Assumptions'!$I$29*'Model Inputs &amp; Assumptions'!$K$29*C790/1000,IF('Model Inputs &amp; Assumptions'!$H$29="CPC",'Model Inputs &amp; Assumptions'!$I$29*'Model Inputs &amp; Assumptions'!$K$29*G790,0)))</f>
        <v>6500</v>
      </c>
      <c r="J790" s="50" t="n">
        <f aca="false">H790*INDEX('Model Inputs &amp; Assumptions'!$D$40:$D$42,MATCH('Model Inputs &amp; Assumptions'!$L$29,'Model Inputs &amp; Assumptions'!$A$40:$A$42,0))*INDEX('Model Inputs &amp; Assumptions'!$H$40:$H$42,MATCH('Model Inputs &amp; Assumptions'!$L$29,'Model Inputs &amp; Assumptions'!$A$40:$A$42,0))</f>
        <v>152433.441867628</v>
      </c>
      <c r="K790" s="49" t="n">
        <f aca="false">H790*INDEX('Model Inputs &amp; Assumptions'!$G$40:$G$42,MATCH('Model Inputs &amp; Assumptions'!$L$29,'Model Inputs &amp; Assumptions'!$A$40:$A$42,0))*INDEX('Model Inputs &amp; Assumptions'!$H$40:$H$42,MATCH('Model Inputs &amp; Assumptions'!$L$29,'Model Inputs &amp; Assumptions'!$A$40:$A$42,0))</f>
        <v>3429.75244202164</v>
      </c>
      <c r="L790" s="51" t="n">
        <f aca="false">IFERROR(K790/I790,0)</f>
        <v>0.527654221849482</v>
      </c>
      <c r="M790" s="49" t="n">
        <f aca="false">IFERROR(I790/H790,0)</f>
        <v>362.453273527594</v>
      </c>
      <c r="N790" s="52" t="str">
        <f aca="false">'Model Inputs &amp; Assumptions'!$L$29</f>
        <v>PRD-EUAI</v>
      </c>
      <c r="P790" s="53" t="n">
        <v>0.415006</v>
      </c>
      <c r="Q790" s="53" t="n">
        <v>0.467965</v>
      </c>
      <c r="R790" s="53" t="n">
        <v>-0.589734</v>
      </c>
      <c r="S790" s="53" t="n">
        <v>-1.107291</v>
      </c>
    </row>
    <row r="791" customFormat="false" ht="15" hidden="false" customHeight="false" outlineLevel="0" collapsed="false">
      <c r="A791" s="43" t="n">
        <v>288</v>
      </c>
      <c r="B791" s="44" t="str">
        <f aca="false">'Model Inputs &amp; Assumptions'!$B$29</f>
        <v>Handelsblatt — Native Explainer</v>
      </c>
      <c r="C791" s="45" t="n">
        <f aca="false">ROUND(MAX(0,'Model Inputs &amp; Assumptions'!$S$29*EXP('Model Inputs &amp; Assumptions'!$T$29*P791-'Model Inputs &amp; Assumptions'!$T$29^2/2)),0)</f>
        <v>251698</v>
      </c>
      <c r="D791" s="46" t="n">
        <f aca="false">MIN(1,'Model Inputs &amp; Assumptions'!$U$29*EXP('Model Inputs &amp; Assumptions'!$V$29*Q791-'Model Inputs &amp; Assumptions'!$V$29^2/2))</f>
        <v>0</v>
      </c>
      <c r="E791" s="45" t="n">
        <f aca="false">ROUND(C791*D791,0)</f>
        <v>0</v>
      </c>
      <c r="F791" s="47" t="n">
        <f aca="false">MIN(1,'Model Inputs &amp; Assumptions'!$W$29*EXP('Model Inputs &amp; Assumptions'!$X$29*R791-'Model Inputs &amp; Assumptions'!$X$29^2/2))</f>
        <v>0.00196394062699086</v>
      </c>
      <c r="G791" s="45" t="n">
        <f aca="false">ROUND(C791*F791,0)</f>
        <v>494</v>
      </c>
      <c r="H791" s="48" t="n">
        <f aca="false">MAX(0,(C791*'Model Inputs &amp; Assumptions'!$N$29+E791*'Model Inputs &amp; Assumptions'!$O$29+G791*'Model Inputs &amp; Assumptions'!$P$29)*EXP('Model Inputs &amp; Assumptions'!$Q$29*S791-'Model Inputs &amp; Assumptions'!$Q$29^2/2))</f>
        <v>19.5707938188612</v>
      </c>
      <c r="I791" s="49" t="n">
        <f aca="false">IF('Model Inputs &amp; Assumptions'!$H$29="Fixed",'Model Inputs &amp; Assumptions'!$I$29*'Model Inputs &amp; Assumptions'!$K$29,IF('Model Inputs &amp; Assumptions'!$H$29="CPM",'Model Inputs &amp; Assumptions'!$I$29*'Model Inputs &amp; Assumptions'!$K$29*C791/1000,IF('Model Inputs &amp; Assumptions'!$H$29="CPC",'Model Inputs &amp; Assumptions'!$I$29*'Model Inputs &amp; Assumptions'!$K$29*G791,0)))</f>
        <v>6500</v>
      </c>
      <c r="J791" s="50" t="n">
        <f aca="false">H791*INDEX('Model Inputs &amp; Assumptions'!$D$40:$D$42,MATCH('Model Inputs &amp; Assumptions'!$L$29,'Model Inputs &amp; Assumptions'!$A$40:$A$42,0))*INDEX('Model Inputs &amp; Assumptions'!$H$40:$H$42,MATCH('Model Inputs &amp; Assumptions'!$L$29,'Model Inputs &amp; Assumptions'!$A$40:$A$42,0))</f>
        <v>166351.74746032</v>
      </c>
      <c r="K791" s="49" t="n">
        <f aca="false">H791*INDEX('Model Inputs &amp; Assumptions'!$G$40:$G$42,MATCH('Model Inputs &amp; Assumptions'!$L$29,'Model Inputs &amp; Assumptions'!$A$40:$A$42,0))*INDEX('Model Inputs &amp; Assumptions'!$H$40:$H$42,MATCH('Model Inputs &amp; Assumptions'!$L$29,'Model Inputs &amp; Assumptions'!$A$40:$A$42,0))</f>
        <v>3742.91431785721</v>
      </c>
      <c r="L791" s="51" t="n">
        <f aca="false">IFERROR(K791/I791,0)</f>
        <v>0.575832971978032</v>
      </c>
      <c r="M791" s="49" t="n">
        <f aca="false">IFERROR(I791/H791,0)</f>
        <v>332.127560085768</v>
      </c>
      <c r="N791" s="52" t="str">
        <f aca="false">'Model Inputs &amp; Assumptions'!$L$29</f>
        <v>PRD-EUAI</v>
      </c>
      <c r="P791" s="53" t="n">
        <v>1.200735</v>
      </c>
      <c r="Q791" s="53" t="n">
        <v>-0.10652</v>
      </c>
      <c r="R791" s="53" t="n">
        <v>-1.468889</v>
      </c>
      <c r="S791" s="53" t="n">
        <v>-0.625883</v>
      </c>
    </row>
    <row r="792" customFormat="false" ht="15" hidden="false" customHeight="false" outlineLevel="0" collapsed="false">
      <c r="A792" s="43" t="n">
        <v>289</v>
      </c>
      <c r="B792" s="44" t="str">
        <f aca="false">'Model Inputs &amp; Assumptions'!$B$29</f>
        <v>Handelsblatt — Native Explainer</v>
      </c>
      <c r="C792" s="45" t="n">
        <f aca="false">ROUND(MAX(0,'Model Inputs &amp; Assumptions'!$S$29*EXP('Model Inputs &amp; Assumptions'!$T$29*P792-'Model Inputs &amp; Assumptions'!$T$29^2/2)),0)</f>
        <v>174382</v>
      </c>
      <c r="D792" s="46" t="n">
        <f aca="false">MIN(1,'Model Inputs &amp; Assumptions'!$U$29*EXP('Model Inputs &amp; Assumptions'!$V$29*Q792-'Model Inputs &amp; Assumptions'!$V$29^2/2))</f>
        <v>0</v>
      </c>
      <c r="E792" s="45" t="n">
        <f aca="false">ROUND(C792*D792,0)</f>
        <v>0</v>
      </c>
      <c r="F792" s="47" t="n">
        <f aca="false">MIN(1,'Model Inputs &amp; Assumptions'!$W$29*EXP('Model Inputs &amp; Assumptions'!$X$29*R792-'Model Inputs &amp; Assumptions'!$X$29^2/2))</f>
        <v>0.00246228824581382</v>
      </c>
      <c r="G792" s="45" t="n">
        <f aca="false">ROUND(C792*F792,0)</f>
        <v>429</v>
      </c>
      <c r="H792" s="48" t="n">
        <f aca="false">MAX(0,(C792*'Model Inputs &amp; Assumptions'!$N$29+E792*'Model Inputs &amp; Assumptions'!$O$29+G792*'Model Inputs &amp; Assumptions'!$P$29)*EXP('Model Inputs &amp; Assumptions'!$Q$29*S792-'Model Inputs &amp; Assumptions'!$Q$29^2/2))</f>
        <v>16.9137981159376</v>
      </c>
      <c r="I792" s="49" t="n">
        <f aca="false">IF('Model Inputs &amp; Assumptions'!$H$29="Fixed",'Model Inputs &amp; Assumptions'!$I$29*'Model Inputs &amp; Assumptions'!$K$29,IF('Model Inputs &amp; Assumptions'!$H$29="CPM",'Model Inputs &amp; Assumptions'!$I$29*'Model Inputs &amp; Assumptions'!$K$29*C792/1000,IF('Model Inputs &amp; Assumptions'!$H$29="CPC",'Model Inputs &amp; Assumptions'!$I$29*'Model Inputs &amp; Assumptions'!$K$29*G792,0)))</f>
        <v>6500</v>
      </c>
      <c r="J792" s="50" t="n">
        <f aca="false">H792*INDEX('Model Inputs &amp; Assumptions'!$D$40:$D$42,MATCH('Model Inputs &amp; Assumptions'!$L$29,'Model Inputs &amp; Assumptions'!$A$40:$A$42,0))*INDEX('Model Inputs &amp; Assumptions'!$H$40:$H$42,MATCH('Model Inputs &amp; Assumptions'!$L$29,'Model Inputs &amp; Assumptions'!$A$40:$A$42,0))</f>
        <v>143767.283985469</v>
      </c>
      <c r="K792" s="49" t="n">
        <f aca="false">H792*INDEX('Model Inputs &amp; Assumptions'!$G$40:$G$42,MATCH('Model Inputs &amp; Assumptions'!$L$29,'Model Inputs &amp; Assumptions'!$A$40:$A$42,0))*INDEX('Model Inputs &amp; Assumptions'!$H$40:$H$42,MATCH('Model Inputs &amp; Assumptions'!$L$29,'Model Inputs &amp; Assumptions'!$A$40:$A$42,0))</f>
        <v>3234.76388967306</v>
      </c>
      <c r="L792" s="51" t="n">
        <f aca="false">IFERROR(K792/I792,0)</f>
        <v>0.497655983026625</v>
      </c>
      <c r="M792" s="49" t="n">
        <f aca="false">IFERROR(I792/H792,0)</f>
        <v>384.301619035831</v>
      </c>
      <c r="N792" s="52" t="str">
        <f aca="false">'Model Inputs &amp; Assumptions'!$L$29</f>
        <v>PRD-EUAI</v>
      </c>
      <c r="P792" s="53" t="n">
        <v>-0.467356</v>
      </c>
      <c r="Q792" s="53" t="n">
        <v>0.128063</v>
      </c>
      <c r="R792" s="53" t="n">
        <v>-0.599127</v>
      </c>
      <c r="S792" s="53" t="n">
        <v>-0.641983</v>
      </c>
    </row>
    <row r="793" customFormat="false" ht="15" hidden="false" customHeight="false" outlineLevel="0" collapsed="false">
      <c r="A793" s="43" t="n">
        <v>290</v>
      </c>
      <c r="B793" s="44" t="str">
        <f aca="false">'Model Inputs &amp; Assumptions'!$B$29</f>
        <v>Handelsblatt — Native Explainer</v>
      </c>
      <c r="C793" s="45" t="n">
        <f aca="false">ROUND(MAX(0,'Model Inputs &amp; Assumptions'!$S$29*EXP('Model Inputs &amp; Assumptions'!$T$29*P793-'Model Inputs &amp; Assumptions'!$T$29^2/2)),0)</f>
        <v>157861</v>
      </c>
      <c r="D793" s="46" t="n">
        <f aca="false">MIN(1,'Model Inputs &amp; Assumptions'!$U$29*EXP('Model Inputs &amp; Assumptions'!$V$29*Q793-'Model Inputs &amp; Assumptions'!$V$29^2/2))</f>
        <v>0</v>
      </c>
      <c r="E793" s="45" t="n">
        <f aca="false">ROUND(C793*D793,0)</f>
        <v>0</v>
      </c>
      <c r="F793" s="47" t="n">
        <f aca="false">MIN(1,'Model Inputs &amp; Assumptions'!$W$29*EXP('Model Inputs &amp; Assumptions'!$X$29*R793-'Model Inputs &amp; Assumptions'!$X$29^2/2))</f>
        <v>0.0031846880438748</v>
      </c>
      <c r="G793" s="45" t="n">
        <f aca="false">ROUND(C793*F793,0)</f>
        <v>503</v>
      </c>
      <c r="H793" s="48" t="n">
        <f aca="false">MAX(0,(C793*'Model Inputs &amp; Assumptions'!$N$29+E793*'Model Inputs &amp; Assumptions'!$O$29+G793*'Model Inputs &amp; Assumptions'!$P$29)*EXP('Model Inputs &amp; Assumptions'!$Q$29*S793-'Model Inputs &amp; Assumptions'!$Q$29^2/2))</f>
        <v>16.9416942087472</v>
      </c>
      <c r="I793" s="49" t="n">
        <f aca="false">IF('Model Inputs &amp; Assumptions'!$H$29="Fixed",'Model Inputs &amp; Assumptions'!$I$29*'Model Inputs &amp; Assumptions'!$K$29,IF('Model Inputs &amp; Assumptions'!$H$29="CPM",'Model Inputs &amp; Assumptions'!$I$29*'Model Inputs &amp; Assumptions'!$K$29*C793/1000,IF('Model Inputs &amp; Assumptions'!$H$29="CPC",'Model Inputs &amp; Assumptions'!$I$29*'Model Inputs &amp; Assumptions'!$K$29*G793,0)))</f>
        <v>6500</v>
      </c>
      <c r="J793" s="50" t="n">
        <f aca="false">H793*INDEX('Model Inputs &amp; Assumptions'!$D$40:$D$42,MATCH('Model Inputs &amp; Assumptions'!$L$29,'Model Inputs &amp; Assumptions'!$A$40:$A$42,0))*INDEX('Model Inputs &amp; Assumptions'!$H$40:$H$42,MATCH('Model Inputs &amp; Assumptions'!$L$29,'Model Inputs &amp; Assumptions'!$A$40:$A$42,0))</f>
        <v>144004.400774351</v>
      </c>
      <c r="K793" s="49" t="n">
        <f aca="false">H793*INDEX('Model Inputs &amp; Assumptions'!$G$40:$G$42,MATCH('Model Inputs &amp; Assumptions'!$L$29,'Model Inputs &amp; Assumptions'!$A$40:$A$42,0))*INDEX('Model Inputs &amp; Assumptions'!$H$40:$H$42,MATCH('Model Inputs &amp; Assumptions'!$L$29,'Model Inputs &amp; Assumptions'!$A$40:$A$42,0))</f>
        <v>3240.0990174229</v>
      </c>
      <c r="L793" s="51" t="n">
        <f aca="false">IFERROR(K793/I793,0)</f>
        <v>0.498476771911216</v>
      </c>
      <c r="M793" s="49" t="n">
        <f aca="false">IFERROR(I793/H793,0)</f>
        <v>383.668830278141</v>
      </c>
      <c r="N793" s="52" t="str">
        <f aca="false">'Model Inputs &amp; Assumptions'!$L$29</f>
        <v>PRD-EUAI</v>
      </c>
      <c r="P793" s="53" t="n">
        <v>-0.919772</v>
      </c>
      <c r="Q793" s="53" t="n">
        <v>0.956685</v>
      </c>
      <c r="R793" s="53" t="n">
        <v>0.390347</v>
      </c>
      <c r="S793" s="53" t="n">
        <v>-1.166934</v>
      </c>
    </row>
    <row r="794" customFormat="false" ht="15" hidden="false" customHeight="false" outlineLevel="0" collapsed="false">
      <c r="A794" s="43" t="n">
        <v>291</v>
      </c>
      <c r="B794" s="44" t="str">
        <f aca="false">'Model Inputs &amp; Assumptions'!$B$29</f>
        <v>Handelsblatt — Native Explainer</v>
      </c>
      <c r="C794" s="45" t="n">
        <f aca="false">ROUND(MAX(0,'Model Inputs &amp; Assumptions'!$S$29*EXP('Model Inputs &amp; Assumptions'!$T$29*P794-'Model Inputs &amp; Assumptions'!$T$29^2/2)),0)</f>
        <v>208854</v>
      </c>
      <c r="D794" s="46" t="n">
        <f aca="false">MIN(1,'Model Inputs &amp; Assumptions'!$U$29*EXP('Model Inputs &amp; Assumptions'!$V$29*Q794-'Model Inputs &amp; Assumptions'!$V$29^2/2))</f>
        <v>0</v>
      </c>
      <c r="E794" s="45" t="n">
        <f aca="false">ROUND(C794*D794,0)</f>
        <v>0</v>
      </c>
      <c r="F794" s="47" t="n">
        <f aca="false">MIN(1,'Model Inputs &amp; Assumptions'!$W$29*EXP('Model Inputs &amp; Assumptions'!$X$29*R794-'Model Inputs &amp; Assumptions'!$X$29^2/2))</f>
        <v>0.0025767407337252</v>
      </c>
      <c r="G794" s="45" t="n">
        <f aca="false">ROUND(C794*F794,0)</f>
        <v>538</v>
      </c>
      <c r="H794" s="48" t="n">
        <f aca="false">MAX(0,(C794*'Model Inputs &amp; Assumptions'!$N$29+E794*'Model Inputs &amp; Assumptions'!$O$29+G794*'Model Inputs &amp; Assumptions'!$P$29)*EXP('Model Inputs &amp; Assumptions'!$Q$29*S794-'Model Inputs &amp; Assumptions'!$Q$29^2/2))</f>
        <v>29.4709014969091</v>
      </c>
      <c r="I794" s="49" t="n">
        <f aca="false">IF('Model Inputs &amp; Assumptions'!$H$29="Fixed",'Model Inputs &amp; Assumptions'!$I$29*'Model Inputs &amp; Assumptions'!$K$29,IF('Model Inputs &amp; Assumptions'!$H$29="CPM",'Model Inputs &amp; Assumptions'!$I$29*'Model Inputs &amp; Assumptions'!$K$29*C794/1000,IF('Model Inputs &amp; Assumptions'!$H$29="CPC",'Model Inputs &amp; Assumptions'!$I$29*'Model Inputs &amp; Assumptions'!$K$29*G794,0)))</f>
        <v>6500</v>
      </c>
      <c r="J794" s="50" t="n">
        <f aca="false">H794*INDEX('Model Inputs &amp; Assumptions'!$D$40:$D$42,MATCH('Model Inputs &amp; Assumptions'!$L$29,'Model Inputs &amp; Assumptions'!$A$40:$A$42,0))*INDEX('Model Inputs &amp; Assumptions'!$H$40:$H$42,MATCH('Model Inputs &amp; Assumptions'!$L$29,'Model Inputs &amp; Assumptions'!$A$40:$A$42,0))</f>
        <v>250502.662723728</v>
      </c>
      <c r="K794" s="49" t="n">
        <f aca="false">H794*INDEX('Model Inputs &amp; Assumptions'!$G$40:$G$42,MATCH('Model Inputs &amp; Assumptions'!$L$29,'Model Inputs &amp; Assumptions'!$A$40:$A$42,0))*INDEX('Model Inputs &amp; Assumptions'!$H$40:$H$42,MATCH('Model Inputs &amp; Assumptions'!$L$29,'Model Inputs &amp; Assumptions'!$A$40:$A$42,0))</f>
        <v>5636.30991128387</v>
      </c>
      <c r="L794" s="51" t="n">
        <f aca="false">IFERROR(K794/I794,0)</f>
        <v>0.86712460173598</v>
      </c>
      <c r="M794" s="49" t="n">
        <f aca="false">IFERROR(I794/H794,0)</f>
        <v>220.556537799894</v>
      </c>
      <c r="N794" s="52" t="str">
        <f aca="false">'Model Inputs &amp; Assumptions'!$L$29</f>
        <v>PRD-EUAI</v>
      </c>
      <c r="P794" s="53" t="n">
        <v>0.352583</v>
      </c>
      <c r="Q794" s="53" t="n">
        <v>-0.943831</v>
      </c>
      <c r="R794" s="53" t="n">
        <v>-0.42438</v>
      </c>
      <c r="S794" s="53" t="n">
        <v>0.454257</v>
      </c>
    </row>
    <row r="795" customFormat="false" ht="15" hidden="false" customHeight="false" outlineLevel="0" collapsed="false">
      <c r="A795" s="43" t="n">
        <v>292</v>
      </c>
      <c r="B795" s="44" t="str">
        <f aca="false">'Model Inputs &amp; Assumptions'!$B$29</f>
        <v>Handelsblatt — Native Explainer</v>
      </c>
      <c r="C795" s="45" t="n">
        <f aca="false">ROUND(MAX(0,'Model Inputs &amp; Assumptions'!$S$29*EXP('Model Inputs &amp; Assumptions'!$T$29*P795-'Model Inputs &amp; Assumptions'!$T$29^2/2)),0)</f>
        <v>209159</v>
      </c>
      <c r="D795" s="46" t="n">
        <f aca="false">MIN(1,'Model Inputs &amp; Assumptions'!$U$29*EXP('Model Inputs &amp; Assumptions'!$V$29*Q795-'Model Inputs &amp; Assumptions'!$V$29^2/2))</f>
        <v>0</v>
      </c>
      <c r="E795" s="45" t="n">
        <f aca="false">ROUND(C795*D795,0)</f>
        <v>0</v>
      </c>
      <c r="F795" s="47" t="n">
        <f aca="false">MIN(1,'Model Inputs &amp; Assumptions'!$W$29*EXP('Model Inputs &amp; Assumptions'!$X$29*R795-'Model Inputs &amp; Assumptions'!$X$29^2/2))</f>
        <v>0.00289454068040515</v>
      </c>
      <c r="G795" s="45" t="n">
        <f aca="false">ROUND(C795*F795,0)</f>
        <v>605</v>
      </c>
      <c r="H795" s="48" t="n">
        <f aca="false">MAX(0,(C795*'Model Inputs &amp; Assumptions'!$N$29+E795*'Model Inputs &amp; Assumptions'!$O$29+G795*'Model Inputs &amp; Assumptions'!$P$29)*EXP('Model Inputs &amp; Assumptions'!$Q$29*S795-'Model Inputs &amp; Assumptions'!$Q$29^2/2))</f>
        <v>28.1813943247119</v>
      </c>
      <c r="I795" s="49" t="n">
        <f aca="false">IF('Model Inputs &amp; Assumptions'!$H$29="Fixed",'Model Inputs &amp; Assumptions'!$I$29*'Model Inputs &amp; Assumptions'!$K$29,IF('Model Inputs &amp; Assumptions'!$H$29="CPM",'Model Inputs &amp; Assumptions'!$I$29*'Model Inputs &amp; Assumptions'!$K$29*C795/1000,IF('Model Inputs &amp; Assumptions'!$H$29="CPC",'Model Inputs &amp; Assumptions'!$I$29*'Model Inputs &amp; Assumptions'!$K$29*G795,0)))</f>
        <v>6500</v>
      </c>
      <c r="J795" s="50" t="n">
        <f aca="false">H795*INDEX('Model Inputs &amp; Assumptions'!$D$40:$D$42,MATCH('Model Inputs &amp; Assumptions'!$L$29,'Model Inputs &amp; Assumptions'!$A$40:$A$42,0))*INDEX('Model Inputs &amp; Assumptions'!$H$40:$H$42,MATCH('Model Inputs &amp; Assumptions'!$L$29,'Model Inputs &amp; Assumptions'!$A$40:$A$42,0))</f>
        <v>239541.851760051</v>
      </c>
      <c r="K795" s="49" t="n">
        <f aca="false">H795*INDEX('Model Inputs &amp; Assumptions'!$G$40:$G$42,MATCH('Model Inputs &amp; Assumptions'!$L$29,'Model Inputs &amp; Assumptions'!$A$40:$A$42,0))*INDEX('Model Inputs &amp; Assumptions'!$H$40:$H$42,MATCH('Model Inputs &amp; Assumptions'!$L$29,'Model Inputs &amp; Assumptions'!$A$40:$A$42,0))</f>
        <v>5389.69166460115</v>
      </c>
      <c r="L795" s="51" t="n">
        <f aca="false">IFERROR(K795/I795,0)</f>
        <v>0.829183333015562</v>
      </c>
      <c r="M795" s="49" t="n">
        <f aca="false">IFERROR(I795/H795,0)</f>
        <v>230.64863026668</v>
      </c>
      <c r="N795" s="52" t="str">
        <f aca="false">'Model Inputs &amp; Assumptions'!$L$29</f>
        <v>PRD-EUAI</v>
      </c>
      <c r="P795" s="53" t="n">
        <v>0.359212</v>
      </c>
      <c r="Q795" s="53" t="n">
        <v>0.828534</v>
      </c>
      <c r="R795" s="53" t="n">
        <v>0.022932</v>
      </c>
      <c r="S795" s="53" t="n">
        <v>-0.086114</v>
      </c>
    </row>
    <row r="796" customFormat="false" ht="15" hidden="false" customHeight="false" outlineLevel="0" collapsed="false">
      <c r="A796" s="43" t="n">
        <v>293</v>
      </c>
      <c r="B796" s="44" t="str">
        <f aca="false">'Model Inputs &amp; Assumptions'!$B$29</f>
        <v>Handelsblatt — Native Explainer</v>
      </c>
      <c r="C796" s="45" t="n">
        <f aca="false">ROUND(MAX(0,'Model Inputs &amp; Assumptions'!$S$29*EXP('Model Inputs &amp; Assumptions'!$T$29*P796-'Model Inputs &amp; Assumptions'!$T$29^2/2)),0)</f>
        <v>195190</v>
      </c>
      <c r="D796" s="46" t="n">
        <f aca="false">MIN(1,'Model Inputs &amp; Assumptions'!$U$29*EXP('Model Inputs &amp; Assumptions'!$V$29*Q796-'Model Inputs &amp; Assumptions'!$V$29^2/2))</f>
        <v>0</v>
      </c>
      <c r="E796" s="45" t="n">
        <f aca="false">ROUND(C796*D796,0)</f>
        <v>0</v>
      </c>
      <c r="F796" s="47" t="n">
        <f aca="false">MIN(1,'Model Inputs &amp; Assumptions'!$W$29*EXP('Model Inputs &amp; Assumptions'!$X$29*R796-'Model Inputs &amp; Assumptions'!$X$29^2/2))</f>
        <v>0.00389763889717239</v>
      </c>
      <c r="G796" s="45" t="n">
        <f aca="false">ROUND(C796*F796,0)</f>
        <v>761</v>
      </c>
      <c r="H796" s="48" t="n">
        <f aca="false">MAX(0,(C796*'Model Inputs &amp; Assumptions'!$N$29+E796*'Model Inputs &amp; Assumptions'!$O$29+G796*'Model Inputs &amp; Assumptions'!$P$29)*EXP('Model Inputs &amp; Assumptions'!$Q$29*S796-'Model Inputs &amp; Assumptions'!$Q$29^2/2))</f>
        <v>30.3758044210536</v>
      </c>
      <c r="I796" s="49" t="n">
        <f aca="false">IF('Model Inputs &amp; Assumptions'!$H$29="Fixed",'Model Inputs &amp; Assumptions'!$I$29*'Model Inputs &amp; Assumptions'!$K$29,IF('Model Inputs &amp; Assumptions'!$H$29="CPM",'Model Inputs &amp; Assumptions'!$I$29*'Model Inputs &amp; Assumptions'!$K$29*C796/1000,IF('Model Inputs &amp; Assumptions'!$H$29="CPC",'Model Inputs &amp; Assumptions'!$I$29*'Model Inputs &amp; Assumptions'!$K$29*G796,0)))</f>
        <v>6500</v>
      </c>
      <c r="J796" s="50" t="n">
        <f aca="false">H796*INDEX('Model Inputs &amp; Assumptions'!$D$40:$D$42,MATCH('Model Inputs &amp; Assumptions'!$L$29,'Model Inputs &amp; Assumptions'!$A$40:$A$42,0))*INDEX('Model Inputs &amp; Assumptions'!$H$40:$H$42,MATCH('Model Inputs &amp; Assumptions'!$L$29,'Model Inputs &amp; Assumptions'!$A$40:$A$42,0))</f>
        <v>258194.337578956</v>
      </c>
      <c r="K796" s="49" t="n">
        <f aca="false">H796*INDEX('Model Inputs &amp; Assumptions'!$G$40:$G$42,MATCH('Model Inputs &amp; Assumptions'!$L$29,'Model Inputs &amp; Assumptions'!$A$40:$A$42,0))*INDEX('Model Inputs &amp; Assumptions'!$H$40:$H$42,MATCH('Model Inputs &amp; Assumptions'!$L$29,'Model Inputs &amp; Assumptions'!$A$40:$A$42,0))</f>
        <v>5809.37259552651</v>
      </c>
      <c r="L796" s="51" t="n">
        <f aca="false">IFERROR(K796/I796,0)</f>
        <v>0.893749630081001</v>
      </c>
      <c r="M796" s="49" t="n">
        <f aca="false">IFERROR(I796/H796,0)</f>
        <v>213.986102553874</v>
      </c>
      <c r="N796" s="52" t="str">
        <f aca="false">'Model Inputs &amp; Assumptions'!$L$29</f>
        <v>PRD-EUAI</v>
      </c>
      <c r="P796" s="53" t="n">
        <v>0.045039</v>
      </c>
      <c r="Q796" s="53" t="n">
        <v>0.794132</v>
      </c>
      <c r="R796" s="53" t="n">
        <v>1.167334</v>
      </c>
      <c r="S796" s="53" t="n">
        <v>-0.600849</v>
      </c>
    </row>
    <row r="797" customFormat="false" ht="15" hidden="false" customHeight="false" outlineLevel="0" collapsed="false">
      <c r="A797" s="43" t="n">
        <v>294</v>
      </c>
      <c r="B797" s="44" t="str">
        <f aca="false">'Model Inputs &amp; Assumptions'!$B$29</f>
        <v>Handelsblatt — Native Explainer</v>
      </c>
      <c r="C797" s="45" t="n">
        <f aca="false">ROUND(MAX(0,'Model Inputs &amp; Assumptions'!$S$29*EXP('Model Inputs &amp; Assumptions'!$T$29*P797-'Model Inputs &amp; Assumptions'!$T$29^2/2)),0)</f>
        <v>191932</v>
      </c>
      <c r="D797" s="46" t="n">
        <f aca="false">MIN(1,'Model Inputs &amp; Assumptions'!$U$29*EXP('Model Inputs &amp; Assumptions'!$V$29*Q797-'Model Inputs &amp; Assumptions'!$V$29^2/2))</f>
        <v>0</v>
      </c>
      <c r="E797" s="45" t="n">
        <f aca="false">ROUND(C797*D797,0)</f>
        <v>0</v>
      </c>
      <c r="F797" s="47" t="n">
        <f aca="false">MIN(1,'Model Inputs &amp; Assumptions'!$W$29*EXP('Model Inputs &amp; Assumptions'!$X$29*R797-'Model Inputs &amp; Assumptions'!$X$29^2/2))</f>
        <v>0.00335547828395469</v>
      </c>
      <c r="G797" s="45" t="n">
        <f aca="false">ROUND(C797*F797,0)</f>
        <v>644</v>
      </c>
      <c r="H797" s="48" t="n">
        <f aca="false">MAX(0,(C797*'Model Inputs &amp; Assumptions'!$N$29+E797*'Model Inputs &amp; Assumptions'!$O$29+G797*'Model Inputs &amp; Assumptions'!$P$29)*EXP('Model Inputs &amp; Assumptions'!$Q$29*S797-'Model Inputs &amp; Assumptions'!$Q$29^2/2))</f>
        <v>24.6671093883258</v>
      </c>
      <c r="I797" s="49" t="n">
        <f aca="false">IF('Model Inputs &amp; Assumptions'!$H$29="Fixed",'Model Inputs &amp; Assumptions'!$I$29*'Model Inputs &amp; Assumptions'!$K$29,IF('Model Inputs &amp; Assumptions'!$H$29="CPM",'Model Inputs &amp; Assumptions'!$I$29*'Model Inputs &amp; Assumptions'!$K$29*C797/1000,IF('Model Inputs &amp; Assumptions'!$H$29="CPC",'Model Inputs &amp; Assumptions'!$I$29*'Model Inputs &amp; Assumptions'!$K$29*G797,0)))</f>
        <v>6500</v>
      </c>
      <c r="J797" s="50" t="n">
        <f aca="false">H797*INDEX('Model Inputs &amp; Assumptions'!$D$40:$D$42,MATCH('Model Inputs &amp; Assumptions'!$L$29,'Model Inputs &amp; Assumptions'!$A$40:$A$42,0))*INDEX('Model Inputs &amp; Assumptions'!$H$40:$H$42,MATCH('Model Inputs &amp; Assumptions'!$L$29,'Model Inputs &amp; Assumptions'!$A$40:$A$42,0))</f>
        <v>209670.429800769</v>
      </c>
      <c r="K797" s="49" t="n">
        <f aca="false">H797*INDEX('Model Inputs &amp; Assumptions'!$G$40:$G$42,MATCH('Model Inputs &amp; Assumptions'!$L$29,'Model Inputs &amp; Assumptions'!$A$40:$A$42,0))*INDEX('Model Inputs &amp; Assumptions'!$H$40:$H$42,MATCH('Model Inputs &amp; Assumptions'!$L$29,'Model Inputs &amp; Assumptions'!$A$40:$A$42,0))</f>
        <v>4717.5846705173</v>
      </c>
      <c r="L797" s="51" t="n">
        <f aca="false">IFERROR(K797/I797,0)</f>
        <v>0.725782257002662</v>
      </c>
      <c r="M797" s="49" t="n">
        <f aca="false">IFERROR(I797/H797,0)</f>
        <v>263.508784011647</v>
      </c>
      <c r="N797" s="52" t="str">
        <f aca="false">'Model Inputs &amp; Assumptions'!$L$29</f>
        <v>PRD-EUAI</v>
      </c>
      <c r="P797" s="53" t="n">
        <v>-0.031488</v>
      </c>
      <c r="Q797" s="53" t="n">
        <v>0.123344</v>
      </c>
      <c r="R797" s="53" t="n">
        <v>0.59127</v>
      </c>
      <c r="S797" s="53" t="n">
        <v>-0.738319</v>
      </c>
    </row>
    <row r="798" customFormat="false" ht="15" hidden="false" customHeight="false" outlineLevel="0" collapsed="false">
      <c r="A798" s="43" t="n">
        <v>295</v>
      </c>
      <c r="B798" s="44" t="str">
        <f aca="false">'Model Inputs &amp; Assumptions'!$B$29</f>
        <v>Handelsblatt — Native Explainer</v>
      </c>
      <c r="C798" s="45" t="n">
        <f aca="false">ROUND(MAX(0,'Model Inputs &amp; Assumptions'!$S$29*EXP('Model Inputs &amp; Assumptions'!$T$29*P798-'Model Inputs &amp; Assumptions'!$T$29^2/2)),0)</f>
        <v>221316</v>
      </c>
      <c r="D798" s="46" t="n">
        <f aca="false">MIN(1,'Model Inputs &amp; Assumptions'!$U$29*EXP('Model Inputs &amp; Assumptions'!$V$29*Q798-'Model Inputs &amp; Assumptions'!$V$29^2/2))</f>
        <v>0</v>
      </c>
      <c r="E798" s="45" t="n">
        <f aca="false">ROUND(C798*D798,0)</f>
        <v>0</v>
      </c>
      <c r="F798" s="47" t="n">
        <f aca="false">MIN(1,'Model Inputs &amp; Assumptions'!$W$29*EXP('Model Inputs &amp; Assumptions'!$X$29*R798-'Model Inputs &amp; Assumptions'!$X$29^2/2))</f>
        <v>0.00296981950671756</v>
      </c>
      <c r="G798" s="45" t="n">
        <f aca="false">ROUND(C798*F798,0)</f>
        <v>657</v>
      </c>
      <c r="H798" s="48" t="n">
        <f aca="false">MAX(0,(C798*'Model Inputs &amp; Assumptions'!$N$29+E798*'Model Inputs &amp; Assumptions'!$O$29+G798*'Model Inputs &amp; Assumptions'!$P$29)*EXP('Model Inputs &amp; Assumptions'!$Q$29*S798-'Model Inputs &amp; Assumptions'!$Q$29^2/2))</f>
        <v>21.2611772416704</v>
      </c>
      <c r="I798" s="49" t="n">
        <f aca="false">IF('Model Inputs &amp; Assumptions'!$H$29="Fixed",'Model Inputs &amp; Assumptions'!$I$29*'Model Inputs &amp; Assumptions'!$K$29,IF('Model Inputs &amp; Assumptions'!$H$29="CPM",'Model Inputs &amp; Assumptions'!$I$29*'Model Inputs &amp; Assumptions'!$K$29*C798/1000,IF('Model Inputs &amp; Assumptions'!$H$29="CPC",'Model Inputs &amp; Assumptions'!$I$29*'Model Inputs &amp; Assumptions'!$K$29*G798,0)))</f>
        <v>6500</v>
      </c>
      <c r="J798" s="50" t="n">
        <f aca="false">H798*INDEX('Model Inputs &amp; Assumptions'!$D$40:$D$42,MATCH('Model Inputs &amp; Assumptions'!$L$29,'Model Inputs &amp; Assumptions'!$A$40:$A$42,0))*INDEX('Model Inputs &amp; Assumptions'!$H$40:$H$42,MATCH('Model Inputs &amp; Assumptions'!$L$29,'Model Inputs &amp; Assumptions'!$A$40:$A$42,0))</f>
        <v>180720.006554198</v>
      </c>
      <c r="K798" s="49" t="n">
        <f aca="false">H798*INDEX('Model Inputs &amp; Assumptions'!$G$40:$G$42,MATCH('Model Inputs &amp; Assumptions'!$L$29,'Model Inputs &amp; Assumptions'!$A$40:$A$42,0))*INDEX('Model Inputs &amp; Assumptions'!$H$40:$H$42,MATCH('Model Inputs &amp; Assumptions'!$L$29,'Model Inputs &amp; Assumptions'!$A$40:$A$42,0))</f>
        <v>4066.20014746946</v>
      </c>
      <c r="L798" s="51" t="n">
        <f aca="false">IFERROR(K798/I798,0)</f>
        <v>0.62556925345684</v>
      </c>
      <c r="M798" s="49" t="n">
        <f aca="false">IFERROR(I798/H798,0)</f>
        <v>305.721547123951</v>
      </c>
      <c r="N798" s="52" t="str">
        <f aca="false">'Model Inputs &amp; Assumptions'!$L$29</f>
        <v>PRD-EUAI</v>
      </c>
      <c r="P798" s="53" t="n">
        <v>0.616014</v>
      </c>
      <c r="Q798" s="53" t="n">
        <v>-0.598455</v>
      </c>
      <c r="R798" s="53" t="n">
        <v>0.121681</v>
      </c>
      <c r="S798" s="53" t="n">
        <v>-1.30023</v>
      </c>
    </row>
    <row r="799" customFormat="false" ht="15" hidden="false" customHeight="false" outlineLevel="0" collapsed="false">
      <c r="A799" s="43" t="n">
        <v>296</v>
      </c>
      <c r="B799" s="44" t="str">
        <f aca="false">'Model Inputs &amp; Assumptions'!$B$29</f>
        <v>Handelsblatt — Native Explainer</v>
      </c>
      <c r="C799" s="45" t="n">
        <f aca="false">ROUND(MAX(0,'Model Inputs &amp; Assumptions'!$S$29*EXP('Model Inputs &amp; Assumptions'!$T$29*P799-'Model Inputs &amp; Assumptions'!$T$29^2/2)),0)</f>
        <v>198597</v>
      </c>
      <c r="D799" s="46" t="n">
        <f aca="false">MIN(1,'Model Inputs &amp; Assumptions'!$U$29*EXP('Model Inputs &amp; Assumptions'!$V$29*Q799-'Model Inputs &amp; Assumptions'!$V$29^2/2))</f>
        <v>0</v>
      </c>
      <c r="E799" s="45" t="n">
        <f aca="false">ROUND(C799*D799,0)</f>
        <v>0</v>
      </c>
      <c r="F799" s="47" t="n">
        <f aca="false">MIN(1,'Model Inputs &amp; Assumptions'!$W$29*EXP('Model Inputs &amp; Assumptions'!$X$29*R799-'Model Inputs &amp; Assumptions'!$X$29^2/2))</f>
        <v>0.00324549635636861</v>
      </c>
      <c r="G799" s="45" t="n">
        <f aca="false">ROUND(C799*F799,0)</f>
        <v>645</v>
      </c>
      <c r="H799" s="48" t="n">
        <f aca="false">MAX(0,(C799*'Model Inputs &amp; Assumptions'!$N$29+E799*'Model Inputs &amp; Assumptions'!$O$29+G799*'Model Inputs &amp; Assumptions'!$P$29)*EXP('Model Inputs &amp; Assumptions'!$Q$29*S799-'Model Inputs &amp; Assumptions'!$Q$29^2/2))</f>
        <v>32.1972563771565</v>
      </c>
      <c r="I799" s="49" t="n">
        <f aca="false">IF('Model Inputs &amp; Assumptions'!$H$29="Fixed",'Model Inputs &amp; Assumptions'!$I$29*'Model Inputs &amp; Assumptions'!$K$29,IF('Model Inputs &amp; Assumptions'!$H$29="CPM",'Model Inputs &amp; Assumptions'!$I$29*'Model Inputs &amp; Assumptions'!$K$29*C799/1000,IF('Model Inputs &amp; Assumptions'!$H$29="CPC",'Model Inputs &amp; Assumptions'!$I$29*'Model Inputs &amp; Assumptions'!$K$29*G799,0)))</f>
        <v>6500</v>
      </c>
      <c r="J799" s="50" t="n">
        <f aca="false">H799*INDEX('Model Inputs &amp; Assumptions'!$D$40:$D$42,MATCH('Model Inputs &amp; Assumptions'!$L$29,'Model Inputs &amp; Assumptions'!$A$40:$A$42,0))*INDEX('Model Inputs &amp; Assumptions'!$H$40:$H$42,MATCH('Model Inputs &amp; Assumptions'!$L$29,'Model Inputs &amp; Assumptions'!$A$40:$A$42,0))</f>
        <v>273676.67920583</v>
      </c>
      <c r="K799" s="49" t="n">
        <f aca="false">H799*INDEX('Model Inputs &amp; Assumptions'!$G$40:$G$42,MATCH('Model Inputs &amp; Assumptions'!$L$29,'Model Inputs &amp; Assumptions'!$A$40:$A$42,0))*INDEX('Model Inputs &amp; Assumptions'!$H$40:$H$42,MATCH('Model Inputs &amp; Assumptions'!$L$29,'Model Inputs &amp; Assumptions'!$A$40:$A$42,0))</f>
        <v>6157.72528213117</v>
      </c>
      <c r="L799" s="51" t="n">
        <f aca="false">IFERROR(K799/I799,0)</f>
        <v>0.947342351097103</v>
      </c>
      <c r="M799" s="49" t="n">
        <f aca="false">IFERROR(I799/H799,0)</f>
        <v>201.88055540694</v>
      </c>
      <c r="N799" s="52" t="str">
        <f aca="false">'Model Inputs &amp; Assumptions'!$L$29</f>
        <v>PRD-EUAI</v>
      </c>
      <c r="P799" s="53" t="n">
        <v>0.123681</v>
      </c>
      <c r="Q799" s="53" t="n">
        <v>-0.455231</v>
      </c>
      <c r="R799" s="53" t="n">
        <v>0.463093</v>
      </c>
      <c r="S799" s="53" t="n">
        <v>0.144544</v>
      </c>
    </row>
    <row r="800" customFormat="false" ht="15" hidden="false" customHeight="false" outlineLevel="0" collapsed="false">
      <c r="A800" s="43" t="n">
        <v>297</v>
      </c>
      <c r="B800" s="44" t="str">
        <f aca="false">'Model Inputs &amp; Assumptions'!$B$29</f>
        <v>Handelsblatt — Native Explainer</v>
      </c>
      <c r="C800" s="45" t="n">
        <f aca="false">ROUND(MAX(0,'Model Inputs &amp; Assumptions'!$S$29*EXP('Model Inputs &amp; Assumptions'!$T$29*P800-'Model Inputs &amp; Assumptions'!$T$29^2/2)),0)</f>
        <v>277464</v>
      </c>
      <c r="D800" s="46" t="n">
        <f aca="false">MIN(1,'Model Inputs &amp; Assumptions'!$U$29*EXP('Model Inputs &amp; Assumptions'!$V$29*Q800-'Model Inputs &amp; Assumptions'!$V$29^2/2))</f>
        <v>0</v>
      </c>
      <c r="E800" s="45" t="n">
        <f aca="false">ROUND(C800*D800,0)</f>
        <v>0</v>
      </c>
      <c r="F800" s="47" t="n">
        <f aca="false">MIN(1,'Model Inputs &amp; Assumptions'!$W$29*EXP('Model Inputs &amp; Assumptions'!$X$29*R800-'Model Inputs &amp; Assumptions'!$X$29^2/2))</f>
        <v>0.00227126435000882</v>
      </c>
      <c r="G800" s="45" t="n">
        <f aca="false">ROUND(C800*F800,0)</f>
        <v>630</v>
      </c>
      <c r="H800" s="48" t="n">
        <f aca="false">MAX(0,(C800*'Model Inputs &amp; Assumptions'!$N$29+E800*'Model Inputs &amp; Assumptions'!$O$29+G800*'Model Inputs &amp; Assumptions'!$P$29)*EXP('Model Inputs &amp; Assumptions'!$Q$29*S800-'Model Inputs &amp; Assumptions'!$Q$29^2/2))</f>
        <v>39.6597629425744</v>
      </c>
      <c r="I800" s="49" t="n">
        <f aca="false">IF('Model Inputs &amp; Assumptions'!$H$29="Fixed",'Model Inputs &amp; Assumptions'!$I$29*'Model Inputs &amp; Assumptions'!$K$29,IF('Model Inputs &amp; Assumptions'!$H$29="CPM",'Model Inputs &amp; Assumptions'!$I$29*'Model Inputs &amp; Assumptions'!$K$29*C800/1000,IF('Model Inputs &amp; Assumptions'!$H$29="CPC",'Model Inputs &amp; Assumptions'!$I$29*'Model Inputs &amp; Assumptions'!$K$29*G800,0)))</f>
        <v>6500</v>
      </c>
      <c r="J800" s="50" t="n">
        <f aca="false">H800*INDEX('Model Inputs &amp; Assumptions'!$D$40:$D$42,MATCH('Model Inputs &amp; Assumptions'!$L$29,'Model Inputs &amp; Assumptions'!$A$40:$A$42,0))*INDEX('Model Inputs &amp; Assumptions'!$H$40:$H$42,MATCH('Model Inputs &amp; Assumptions'!$L$29,'Model Inputs &amp; Assumptions'!$A$40:$A$42,0))</f>
        <v>337107.985011882</v>
      </c>
      <c r="K800" s="49" t="n">
        <f aca="false">H800*INDEX('Model Inputs &amp; Assumptions'!$G$40:$G$42,MATCH('Model Inputs &amp; Assumptions'!$L$29,'Model Inputs &amp; Assumptions'!$A$40:$A$42,0))*INDEX('Model Inputs &amp; Assumptions'!$H$40:$H$42,MATCH('Model Inputs &amp; Assumptions'!$L$29,'Model Inputs &amp; Assumptions'!$A$40:$A$42,0))</f>
        <v>7584.92966276735</v>
      </c>
      <c r="L800" s="51" t="n">
        <f aca="false">IFERROR(K800/I800,0)</f>
        <v>1.16691225581036</v>
      </c>
      <c r="M800" s="49" t="n">
        <f aca="false">IFERROR(I800/H800,0)</f>
        <v>163.894070910401</v>
      </c>
      <c r="N800" s="52" t="str">
        <f aca="false">'Model Inputs &amp; Assumptions'!$L$29</f>
        <v>PRD-EUAI</v>
      </c>
      <c r="P800" s="53" t="n">
        <v>1.643746</v>
      </c>
      <c r="Q800" s="53" t="n">
        <v>0.572816</v>
      </c>
      <c r="R800" s="53" t="n">
        <v>-0.909721</v>
      </c>
      <c r="S800" s="53" t="n">
        <v>0.917832</v>
      </c>
    </row>
    <row r="801" customFormat="false" ht="15" hidden="false" customHeight="false" outlineLevel="0" collapsed="false">
      <c r="A801" s="43" t="n">
        <v>298</v>
      </c>
      <c r="B801" s="44" t="str">
        <f aca="false">'Model Inputs &amp; Assumptions'!$B$29</f>
        <v>Handelsblatt — Native Explainer</v>
      </c>
      <c r="C801" s="45" t="n">
        <f aca="false">ROUND(MAX(0,'Model Inputs &amp; Assumptions'!$S$29*EXP('Model Inputs &amp; Assumptions'!$T$29*P801-'Model Inputs &amp; Assumptions'!$T$29^2/2)),0)</f>
        <v>197762</v>
      </c>
      <c r="D801" s="46" t="n">
        <f aca="false">MIN(1,'Model Inputs &amp; Assumptions'!$U$29*EXP('Model Inputs &amp; Assumptions'!$V$29*Q801-'Model Inputs &amp; Assumptions'!$V$29^2/2))</f>
        <v>0</v>
      </c>
      <c r="E801" s="45" t="n">
        <f aca="false">ROUND(C801*D801,0)</f>
        <v>0</v>
      </c>
      <c r="F801" s="47" t="n">
        <f aca="false">MIN(1,'Model Inputs &amp; Assumptions'!$W$29*EXP('Model Inputs &amp; Assumptions'!$X$29*R801-'Model Inputs &amp; Assumptions'!$X$29^2/2))</f>
        <v>0.00235627244716937</v>
      </c>
      <c r="G801" s="45" t="n">
        <f aca="false">ROUND(C801*F801,0)</f>
        <v>466</v>
      </c>
      <c r="H801" s="48" t="n">
        <f aca="false">MAX(0,(C801*'Model Inputs &amp; Assumptions'!$N$29+E801*'Model Inputs &amp; Assumptions'!$O$29+G801*'Model Inputs &amp; Assumptions'!$P$29)*EXP('Model Inputs &amp; Assumptions'!$Q$29*S801-'Model Inputs &amp; Assumptions'!$Q$29^2/2))</f>
        <v>12.541886475984</v>
      </c>
      <c r="I801" s="49" t="n">
        <f aca="false">IF('Model Inputs &amp; Assumptions'!$H$29="Fixed",'Model Inputs &amp; Assumptions'!$I$29*'Model Inputs &amp; Assumptions'!$K$29,IF('Model Inputs &amp; Assumptions'!$H$29="CPM",'Model Inputs &amp; Assumptions'!$I$29*'Model Inputs &amp; Assumptions'!$K$29*C801/1000,IF('Model Inputs &amp; Assumptions'!$H$29="CPC",'Model Inputs &amp; Assumptions'!$I$29*'Model Inputs &amp; Assumptions'!$K$29*G801,0)))</f>
        <v>6500</v>
      </c>
      <c r="J801" s="50" t="n">
        <f aca="false">H801*INDEX('Model Inputs &amp; Assumptions'!$D$40:$D$42,MATCH('Model Inputs &amp; Assumptions'!$L$29,'Model Inputs &amp; Assumptions'!$A$40:$A$42,0))*INDEX('Model Inputs &amp; Assumptions'!$H$40:$H$42,MATCH('Model Inputs &amp; Assumptions'!$L$29,'Model Inputs &amp; Assumptions'!$A$40:$A$42,0))</f>
        <v>106606.035045864</v>
      </c>
      <c r="K801" s="49" t="n">
        <f aca="false">H801*INDEX('Model Inputs &amp; Assumptions'!$G$40:$G$42,MATCH('Model Inputs &amp; Assumptions'!$L$29,'Model Inputs &amp; Assumptions'!$A$40:$A$42,0))*INDEX('Model Inputs &amp; Assumptions'!$H$40:$H$42,MATCH('Model Inputs &amp; Assumptions'!$L$29,'Model Inputs &amp; Assumptions'!$A$40:$A$42,0))</f>
        <v>2398.63578853195</v>
      </c>
      <c r="L801" s="51" t="n">
        <f aca="false">IFERROR(K801/I801,0)</f>
        <v>0.369020890543377</v>
      </c>
      <c r="M801" s="49" t="n">
        <f aca="false">IFERROR(I801/H801,0)</f>
        <v>518.26334199776</v>
      </c>
      <c r="N801" s="52" t="str">
        <f aca="false">'Model Inputs &amp; Assumptions'!$L$29</f>
        <v>PRD-EUAI</v>
      </c>
      <c r="P801" s="53" t="n">
        <v>0.104538</v>
      </c>
      <c r="Q801" s="53" t="n">
        <v>0.249127</v>
      </c>
      <c r="R801" s="53" t="n">
        <v>-0.768397</v>
      </c>
      <c r="S801" s="53" t="n">
        <v>-1.914598</v>
      </c>
    </row>
    <row r="802" customFormat="false" ht="15" hidden="false" customHeight="false" outlineLevel="0" collapsed="false">
      <c r="A802" s="43" t="n">
        <v>299</v>
      </c>
      <c r="B802" s="44" t="str">
        <f aca="false">'Model Inputs &amp; Assumptions'!$B$29</f>
        <v>Handelsblatt — Native Explainer</v>
      </c>
      <c r="C802" s="45" t="n">
        <f aca="false">ROUND(MAX(0,'Model Inputs &amp; Assumptions'!$S$29*EXP('Model Inputs &amp; Assumptions'!$T$29*P802-'Model Inputs &amp; Assumptions'!$T$29^2/2)),0)</f>
        <v>246809</v>
      </c>
      <c r="D802" s="46" t="n">
        <f aca="false">MIN(1,'Model Inputs &amp; Assumptions'!$U$29*EXP('Model Inputs &amp; Assumptions'!$V$29*Q802-'Model Inputs &amp; Assumptions'!$V$29^2/2))</f>
        <v>0</v>
      </c>
      <c r="E802" s="45" t="n">
        <f aca="false">ROUND(C802*D802,0)</f>
        <v>0</v>
      </c>
      <c r="F802" s="47" t="n">
        <f aca="false">MIN(1,'Model Inputs &amp; Assumptions'!$W$29*EXP('Model Inputs &amp; Assumptions'!$X$29*R802-'Model Inputs &amp; Assumptions'!$X$29^2/2))</f>
        <v>0.00272046384989637</v>
      </c>
      <c r="G802" s="45" t="n">
        <f aca="false">ROUND(C802*F802,0)</f>
        <v>671</v>
      </c>
      <c r="H802" s="48" t="n">
        <f aca="false">MAX(0,(C802*'Model Inputs &amp; Assumptions'!$N$29+E802*'Model Inputs &amp; Assumptions'!$O$29+G802*'Model Inputs &amp; Assumptions'!$P$29)*EXP('Model Inputs &amp; Assumptions'!$Q$29*S802-'Model Inputs &amp; Assumptions'!$Q$29^2/2))</f>
        <v>34.2392916551428</v>
      </c>
      <c r="I802" s="49" t="n">
        <f aca="false">IF('Model Inputs &amp; Assumptions'!$H$29="Fixed",'Model Inputs &amp; Assumptions'!$I$29*'Model Inputs &amp; Assumptions'!$K$29,IF('Model Inputs &amp; Assumptions'!$H$29="CPM",'Model Inputs &amp; Assumptions'!$I$29*'Model Inputs &amp; Assumptions'!$K$29*C802/1000,IF('Model Inputs &amp; Assumptions'!$H$29="CPC",'Model Inputs &amp; Assumptions'!$I$29*'Model Inputs &amp; Assumptions'!$K$29*G802,0)))</f>
        <v>6500</v>
      </c>
      <c r="J802" s="50" t="n">
        <f aca="false">H802*INDEX('Model Inputs &amp; Assumptions'!$D$40:$D$42,MATCH('Model Inputs &amp; Assumptions'!$L$29,'Model Inputs &amp; Assumptions'!$A$40:$A$42,0))*INDEX('Model Inputs &amp; Assumptions'!$H$40:$H$42,MATCH('Model Inputs &amp; Assumptions'!$L$29,'Model Inputs &amp; Assumptions'!$A$40:$A$42,0))</f>
        <v>291033.979068714</v>
      </c>
      <c r="K802" s="49" t="n">
        <f aca="false">H802*INDEX('Model Inputs &amp; Assumptions'!$G$40:$G$42,MATCH('Model Inputs &amp; Assumptions'!$L$29,'Model Inputs &amp; Assumptions'!$A$40:$A$42,0))*INDEX('Model Inputs &amp; Assumptions'!$H$40:$H$42,MATCH('Model Inputs &amp; Assumptions'!$L$29,'Model Inputs &amp; Assumptions'!$A$40:$A$42,0))</f>
        <v>6548.26452904606</v>
      </c>
      <c r="L802" s="51" t="n">
        <f aca="false">IFERROR(K802/I802,0)</f>
        <v>1.00742531216093</v>
      </c>
      <c r="M802" s="49" t="n">
        <f aca="false">IFERROR(I802/H802,0)</f>
        <v>189.840375947839</v>
      </c>
      <c r="N802" s="52" t="str">
        <f aca="false">'Model Inputs &amp; Assumptions'!$L$29</f>
        <v>PRD-EUAI</v>
      </c>
      <c r="P802" s="53" t="n">
        <v>1.111572</v>
      </c>
      <c r="Q802" s="53" t="n">
        <v>-0.518967</v>
      </c>
      <c r="R802" s="53" t="n">
        <v>-0.215622</v>
      </c>
      <c r="S802" s="53" t="n">
        <v>0.21779</v>
      </c>
    </row>
    <row r="803" customFormat="false" ht="15" hidden="false" customHeight="false" outlineLevel="0" collapsed="false">
      <c r="A803" s="43" t="n">
        <v>300</v>
      </c>
      <c r="B803" s="44" t="str">
        <f aca="false">'Model Inputs &amp; Assumptions'!$B$29</f>
        <v>Handelsblatt — Native Explainer</v>
      </c>
      <c r="C803" s="45" t="n">
        <f aca="false">ROUND(MAX(0,'Model Inputs &amp; Assumptions'!$S$29*EXP('Model Inputs &amp; Assumptions'!$T$29*P803-'Model Inputs &amp; Assumptions'!$T$29^2/2)),0)</f>
        <v>173606</v>
      </c>
      <c r="D803" s="46" t="n">
        <f aca="false">MIN(1,'Model Inputs &amp; Assumptions'!$U$29*EXP('Model Inputs &amp; Assumptions'!$V$29*Q803-'Model Inputs &amp; Assumptions'!$V$29^2/2))</f>
        <v>0</v>
      </c>
      <c r="E803" s="45" t="n">
        <f aca="false">ROUND(C803*D803,0)</f>
        <v>0</v>
      </c>
      <c r="F803" s="47" t="n">
        <f aca="false">MIN(1,'Model Inputs &amp; Assumptions'!$W$29*EXP('Model Inputs &amp; Assumptions'!$X$29*R803-'Model Inputs &amp; Assumptions'!$X$29^2/2))</f>
        <v>0.00279490958939448</v>
      </c>
      <c r="G803" s="45" t="n">
        <f aca="false">ROUND(C803*F803,0)</f>
        <v>485</v>
      </c>
      <c r="H803" s="48" t="n">
        <f aca="false">MAX(0,(C803*'Model Inputs &amp; Assumptions'!$N$29+E803*'Model Inputs &amp; Assumptions'!$O$29+G803*'Model Inputs &amp; Assumptions'!$P$29)*EXP('Model Inputs &amp; Assumptions'!$Q$29*S803-'Model Inputs &amp; Assumptions'!$Q$29^2/2))</f>
        <v>17.3695889808194</v>
      </c>
      <c r="I803" s="49" t="n">
        <f aca="false">IF('Model Inputs &amp; Assumptions'!$H$29="Fixed",'Model Inputs &amp; Assumptions'!$I$29*'Model Inputs &amp; Assumptions'!$K$29,IF('Model Inputs &amp; Assumptions'!$H$29="CPM",'Model Inputs &amp; Assumptions'!$I$29*'Model Inputs &amp; Assumptions'!$K$29*C803/1000,IF('Model Inputs &amp; Assumptions'!$H$29="CPC",'Model Inputs &amp; Assumptions'!$I$29*'Model Inputs &amp; Assumptions'!$K$29*G803,0)))</f>
        <v>6500</v>
      </c>
      <c r="J803" s="50" t="n">
        <f aca="false">H803*INDEX('Model Inputs &amp; Assumptions'!$D$40:$D$42,MATCH('Model Inputs &amp; Assumptions'!$L$29,'Model Inputs &amp; Assumptions'!$A$40:$A$42,0))*INDEX('Model Inputs &amp; Assumptions'!$H$40:$H$42,MATCH('Model Inputs &amp; Assumptions'!$L$29,'Model Inputs &amp; Assumptions'!$A$40:$A$42,0))</f>
        <v>147641.506336965</v>
      </c>
      <c r="K803" s="49" t="n">
        <f aca="false">H803*INDEX('Model Inputs &amp; Assumptions'!$G$40:$G$42,MATCH('Model Inputs &amp; Assumptions'!$L$29,'Model Inputs &amp; Assumptions'!$A$40:$A$42,0))*INDEX('Model Inputs &amp; Assumptions'!$H$40:$H$42,MATCH('Model Inputs &amp; Assumptions'!$L$29,'Model Inputs &amp; Assumptions'!$A$40:$A$42,0))</f>
        <v>3321.93389258171</v>
      </c>
      <c r="L803" s="51" t="n">
        <f aca="false">IFERROR(K803/I803,0)</f>
        <v>0.511066752704878</v>
      </c>
      <c r="M803" s="49" t="n">
        <f aca="false">IFERROR(I803/H803,0)</f>
        <v>374.217260245923</v>
      </c>
      <c r="N803" s="52" t="str">
        <f aca="false">'Model Inputs &amp; Assumptions'!$L$29</f>
        <v>PRD-EUAI</v>
      </c>
      <c r="P803" s="53" t="n">
        <v>-0.487621</v>
      </c>
      <c r="Q803" s="53" t="n">
        <v>-1.500959</v>
      </c>
      <c r="R803" s="53" t="n">
        <v>-0.111786</v>
      </c>
      <c r="S803" s="53" t="n">
        <v>-0.962319</v>
      </c>
    </row>
    <row r="804" customFormat="false" ht="15" hidden="false" customHeight="false" outlineLevel="0" collapsed="false">
      <c r="A804" s="43" t="n">
        <v>301</v>
      </c>
      <c r="B804" s="44" t="str">
        <f aca="false">'Model Inputs &amp; Assumptions'!$B$29</f>
        <v>Handelsblatt — Native Explainer</v>
      </c>
      <c r="C804" s="45" t="n">
        <f aca="false">ROUND(MAX(0,'Model Inputs &amp; Assumptions'!$S$29*EXP('Model Inputs &amp; Assumptions'!$T$29*P804-'Model Inputs &amp; Assumptions'!$T$29^2/2)),0)</f>
        <v>142631</v>
      </c>
      <c r="D804" s="46" t="n">
        <f aca="false">MIN(1,'Model Inputs &amp; Assumptions'!$U$29*EXP('Model Inputs &amp; Assumptions'!$V$29*Q804-'Model Inputs &amp; Assumptions'!$V$29^2/2))</f>
        <v>0</v>
      </c>
      <c r="E804" s="45" t="n">
        <f aca="false">ROUND(C804*D804,0)</f>
        <v>0</v>
      </c>
      <c r="F804" s="47" t="n">
        <f aca="false">MIN(1,'Model Inputs &amp; Assumptions'!$W$29*EXP('Model Inputs &amp; Assumptions'!$X$29*R804-'Model Inputs &amp; Assumptions'!$X$29^2/2))</f>
        <v>0.00274482559882912</v>
      </c>
      <c r="G804" s="45" t="n">
        <f aca="false">ROUND(C804*F804,0)</f>
        <v>391</v>
      </c>
      <c r="H804" s="48" t="n">
        <f aca="false">MAX(0,(C804*'Model Inputs &amp; Assumptions'!$N$29+E804*'Model Inputs &amp; Assumptions'!$O$29+G804*'Model Inputs &amp; Assumptions'!$P$29)*EXP('Model Inputs &amp; Assumptions'!$Q$29*S804-'Model Inputs &amp; Assumptions'!$Q$29^2/2))</f>
        <v>15.5519819396796</v>
      </c>
      <c r="I804" s="49" t="n">
        <f aca="false">IF('Model Inputs &amp; Assumptions'!$H$29="Fixed",'Model Inputs &amp; Assumptions'!$I$29*'Model Inputs &amp; Assumptions'!$K$29,IF('Model Inputs &amp; Assumptions'!$H$29="CPM",'Model Inputs &amp; Assumptions'!$I$29*'Model Inputs &amp; Assumptions'!$K$29*C804/1000,IF('Model Inputs &amp; Assumptions'!$H$29="CPC",'Model Inputs &amp; Assumptions'!$I$29*'Model Inputs &amp; Assumptions'!$K$29*G804,0)))</f>
        <v>6500</v>
      </c>
      <c r="J804" s="50" t="n">
        <f aca="false">H804*INDEX('Model Inputs &amp; Assumptions'!$D$40:$D$42,MATCH('Model Inputs &amp; Assumptions'!$L$29,'Model Inputs &amp; Assumptions'!$A$40:$A$42,0))*INDEX('Model Inputs &amp; Assumptions'!$H$40:$H$42,MATCH('Model Inputs &amp; Assumptions'!$L$29,'Model Inputs &amp; Assumptions'!$A$40:$A$42,0))</f>
        <v>132191.846487277</v>
      </c>
      <c r="K804" s="49" t="n">
        <f aca="false">H804*INDEX('Model Inputs &amp; Assumptions'!$G$40:$G$42,MATCH('Model Inputs &amp; Assumptions'!$L$29,'Model Inputs &amp; Assumptions'!$A$40:$A$42,0))*INDEX('Model Inputs &amp; Assumptions'!$H$40:$H$42,MATCH('Model Inputs &amp; Assumptions'!$L$29,'Model Inputs &amp; Assumptions'!$A$40:$A$42,0))</f>
        <v>2974.31654596372</v>
      </c>
      <c r="L804" s="51" t="n">
        <f aca="false">IFERROR(K804/I804,0)</f>
        <v>0.457587160917496</v>
      </c>
      <c r="M804" s="49" t="n">
        <f aca="false">IFERROR(I804/H804,0)</f>
        <v>417.953160260287</v>
      </c>
      <c r="N804" s="52" t="str">
        <f aca="false">'Model Inputs &amp; Assumptions'!$L$29</f>
        <v>PRD-EUAI</v>
      </c>
      <c r="P804" s="53" t="n">
        <v>-1.380936</v>
      </c>
      <c r="Q804" s="53" t="n">
        <v>-0.149826</v>
      </c>
      <c r="R804" s="53" t="n">
        <v>-0.181333</v>
      </c>
      <c r="S804" s="53" t="n">
        <v>-0.612624</v>
      </c>
    </row>
    <row r="805" customFormat="false" ht="15" hidden="false" customHeight="false" outlineLevel="0" collapsed="false">
      <c r="A805" s="43" t="n">
        <v>302</v>
      </c>
      <c r="B805" s="44" t="str">
        <f aca="false">'Model Inputs &amp; Assumptions'!$B$29</f>
        <v>Handelsblatt — Native Explainer</v>
      </c>
      <c r="C805" s="45" t="n">
        <f aca="false">ROUND(MAX(0,'Model Inputs &amp; Assumptions'!$S$29*EXP('Model Inputs &amp; Assumptions'!$T$29*P805-'Model Inputs &amp; Assumptions'!$T$29^2/2)),0)</f>
        <v>221844</v>
      </c>
      <c r="D805" s="46" t="n">
        <f aca="false">MIN(1,'Model Inputs &amp; Assumptions'!$U$29*EXP('Model Inputs &amp; Assumptions'!$V$29*Q805-'Model Inputs &amp; Assumptions'!$V$29^2/2))</f>
        <v>0</v>
      </c>
      <c r="E805" s="45" t="n">
        <f aca="false">ROUND(C805*D805,0)</f>
        <v>0</v>
      </c>
      <c r="F805" s="47" t="n">
        <f aca="false">MIN(1,'Model Inputs &amp; Assumptions'!$W$29*EXP('Model Inputs &amp; Assumptions'!$X$29*R805-'Model Inputs &amp; Assumptions'!$X$29^2/2))</f>
        <v>0.00255730405179368</v>
      </c>
      <c r="G805" s="45" t="n">
        <f aca="false">ROUND(C805*F805,0)</f>
        <v>567</v>
      </c>
      <c r="H805" s="48" t="n">
        <f aca="false">MAX(0,(C805*'Model Inputs &amp; Assumptions'!$N$29+E805*'Model Inputs &amp; Assumptions'!$O$29+G805*'Model Inputs &amp; Assumptions'!$P$29)*EXP('Model Inputs &amp; Assumptions'!$Q$29*S805-'Model Inputs &amp; Assumptions'!$Q$29^2/2))</f>
        <v>19.714906607194</v>
      </c>
      <c r="I805" s="49" t="n">
        <f aca="false">IF('Model Inputs &amp; Assumptions'!$H$29="Fixed",'Model Inputs &amp; Assumptions'!$I$29*'Model Inputs &amp; Assumptions'!$K$29,IF('Model Inputs &amp; Assumptions'!$H$29="CPM",'Model Inputs &amp; Assumptions'!$I$29*'Model Inputs &amp; Assumptions'!$K$29*C805/1000,IF('Model Inputs &amp; Assumptions'!$H$29="CPC",'Model Inputs &amp; Assumptions'!$I$29*'Model Inputs &amp; Assumptions'!$K$29*G805,0)))</f>
        <v>6500</v>
      </c>
      <c r="J805" s="50" t="n">
        <f aca="false">H805*INDEX('Model Inputs &amp; Assumptions'!$D$40:$D$42,MATCH('Model Inputs &amp; Assumptions'!$L$29,'Model Inputs &amp; Assumptions'!$A$40:$A$42,0))*INDEX('Model Inputs &amp; Assumptions'!$H$40:$H$42,MATCH('Model Inputs &amp; Assumptions'!$L$29,'Model Inputs &amp; Assumptions'!$A$40:$A$42,0))</f>
        <v>167576.706161149</v>
      </c>
      <c r="K805" s="49" t="n">
        <f aca="false">H805*INDEX('Model Inputs &amp; Assumptions'!$G$40:$G$42,MATCH('Model Inputs &amp; Assumptions'!$L$29,'Model Inputs &amp; Assumptions'!$A$40:$A$42,0))*INDEX('Model Inputs &amp; Assumptions'!$H$40:$H$42,MATCH('Model Inputs &amp; Assumptions'!$L$29,'Model Inputs &amp; Assumptions'!$A$40:$A$42,0))</f>
        <v>3770.47588862586</v>
      </c>
      <c r="L805" s="51" t="n">
        <f aca="false">IFERROR(K805/I805,0)</f>
        <v>0.580073213634748</v>
      </c>
      <c r="M805" s="49" t="n">
        <f aca="false">IFERROR(I805/H805,0)</f>
        <v>329.69976117605</v>
      </c>
      <c r="N805" s="52" t="str">
        <f aca="false">'Model Inputs &amp; Assumptions'!$L$29</f>
        <v>PRD-EUAI</v>
      </c>
      <c r="P805" s="53" t="n">
        <v>0.626846</v>
      </c>
      <c r="Q805" s="53" t="n">
        <v>-1.244051</v>
      </c>
      <c r="R805" s="53" t="n">
        <v>-0.453502</v>
      </c>
      <c r="S805" s="53" t="n">
        <v>-1.06084</v>
      </c>
    </row>
    <row r="806" customFormat="false" ht="15" hidden="false" customHeight="false" outlineLevel="0" collapsed="false">
      <c r="A806" s="43" t="n">
        <v>303</v>
      </c>
      <c r="B806" s="44" t="str">
        <f aca="false">'Model Inputs &amp; Assumptions'!$B$29</f>
        <v>Handelsblatt — Native Explainer</v>
      </c>
      <c r="C806" s="45" t="n">
        <f aca="false">ROUND(MAX(0,'Model Inputs &amp; Assumptions'!$S$29*EXP('Model Inputs &amp; Assumptions'!$T$29*P806-'Model Inputs &amp; Assumptions'!$T$29^2/2)),0)</f>
        <v>148854</v>
      </c>
      <c r="D806" s="46" t="n">
        <f aca="false">MIN(1,'Model Inputs &amp; Assumptions'!$U$29*EXP('Model Inputs &amp; Assumptions'!$V$29*Q806-'Model Inputs &amp; Assumptions'!$V$29^2/2))</f>
        <v>0</v>
      </c>
      <c r="E806" s="45" t="n">
        <f aca="false">ROUND(C806*D806,0)</f>
        <v>0</v>
      </c>
      <c r="F806" s="47" t="n">
        <f aca="false">MIN(1,'Model Inputs &amp; Assumptions'!$W$29*EXP('Model Inputs &amp; Assumptions'!$X$29*R806-'Model Inputs &amp; Assumptions'!$X$29^2/2))</f>
        <v>0.0040957776386267</v>
      </c>
      <c r="G806" s="45" t="n">
        <f aca="false">ROUND(C806*F806,0)</f>
        <v>610</v>
      </c>
      <c r="H806" s="48" t="n">
        <f aca="false">MAX(0,(C806*'Model Inputs &amp; Assumptions'!$N$29+E806*'Model Inputs &amp; Assumptions'!$O$29+G806*'Model Inputs &amp; Assumptions'!$P$29)*EXP('Model Inputs &amp; Assumptions'!$Q$29*S806-'Model Inputs &amp; Assumptions'!$Q$29^2/2))</f>
        <v>30.0419483589731</v>
      </c>
      <c r="I806" s="49" t="n">
        <f aca="false">IF('Model Inputs &amp; Assumptions'!$H$29="Fixed",'Model Inputs &amp; Assumptions'!$I$29*'Model Inputs &amp; Assumptions'!$K$29,IF('Model Inputs &amp; Assumptions'!$H$29="CPM",'Model Inputs &amp; Assumptions'!$I$29*'Model Inputs &amp; Assumptions'!$K$29*C806/1000,IF('Model Inputs &amp; Assumptions'!$H$29="CPC",'Model Inputs &amp; Assumptions'!$I$29*'Model Inputs &amp; Assumptions'!$K$29*G806,0)))</f>
        <v>6500</v>
      </c>
      <c r="J806" s="50" t="n">
        <f aca="false">H806*INDEX('Model Inputs &amp; Assumptions'!$D$40:$D$42,MATCH('Model Inputs &amp; Assumptions'!$L$29,'Model Inputs &amp; Assumptions'!$A$40:$A$42,0))*INDEX('Model Inputs &amp; Assumptions'!$H$40:$H$42,MATCH('Model Inputs &amp; Assumptions'!$L$29,'Model Inputs &amp; Assumptions'!$A$40:$A$42,0))</f>
        <v>255356.561051271</v>
      </c>
      <c r="K806" s="49" t="n">
        <f aca="false">H806*INDEX('Model Inputs &amp; Assumptions'!$G$40:$G$42,MATCH('Model Inputs &amp; Assumptions'!$L$29,'Model Inputs &amp; Assumptions'!$A$40:$A$42,0))*INDEX('Model Inputs &amp; Assumptions'!$H$40:$H$42,MATCH('Model Inputs &amp; Assumptions'!$L$29,'Model Inputs &amp; Assumptions'!$A$40:$A$42,0))</f>
        <v>5745.5226236536</v>
      </c>
      <c r="L806" s="51" t="n">
        <f aca="false">IFERROR(K806/I806,0)</f>
        <v>0.883926557485169</v>
      </c>
      <c r="M806" s="49" t="n">
        <f aca="false">IFERROR(I806/H806,0)</f>
        <v>216.364129327802</v>
      </c>
      <c r="N806" s="52" t="str">
        <f aca="false">'Model Inputs &amp; Assumptions'!$L$29</f>
        <v>PRD-EUAI</v>
      </c>
      <c r="P806" s="53" t="n">
        <v>-1.186819</v>
      </c>
      <c r="Q806" s="53" t="n">
        <v>0.055944</v>
      </c>
      <c r="R806" s="53" t="n">
        <v>1.358048</v>
      </c>
      <c r="S806" s="53" t="n">
        <v>0.09956</v>
      </c>
    </row>
    <row r="807" customFormat="false" ht="15" hidden="false" customHeight="false" outlineLevel="0" collapsed="false">
      <c r="A807" s="43" t="n">
        <v>304</v>
      </c>
      <c r="B807" s="44" t="str">
        <f aca="false">'Model Inputs &amp; Assumptions'!$B$29</f>
        <v>Handelsblatt — Native Explainer</v>
      </c>
      <c r="C807" s="45" t="n">
        <f aca="false">ROUND(MAX(0,'Model Inputs &amp; Assumptions'!$S$29*EXP('Model Inputs &amp; Assumptions'!$T$29*P807-'Model Inputs &amp; Assumptions'!$T$29^2/2)),0)</f>
        <v>211669</v>
      </c>
      <c r="D807" s="46" t="n">
        <f aca="false">MIN(1,'Model Inputs &amp; Assumptions'!$U$29*EXP('Model Inputs &amp; Assumptions'!$V$29*Q807-'Model Inputs &amp; Assumptions'!$V$29^2/2))</f>
        <v>0</v>
      </c>
      <c r="E807" s="45" t="n">
        <f aca="false">ROUND(C807*D807,0)</f>
        <v>0</v>
      </c>
      <c r="F807" s="47" t="n">
        <f aca="false">MIN(1,'Model Inputs &amp; Assumptions'!$W$29*EXP('Model Inputs &amp; Assumptions'!$X$29*R807-'Model Inputs &amp; Assumptions'!$X$29^2/2))</f>
        <v>0.00214444007030616</v>
      </c>
      <c r="G807" s="45" t="n">
        <f aca="false">ROUND(C807*F807,0)</f>
        <v>454</v>
      </c>
      <c r="H807" s="48" t="n">
        <f aca="false">MAX(0,(C807*'Model Inputs &amp; Assumptions'!$N$29+E807*'Model Inputs &amp; Assumptions'!$O$29+G807*'Model Inputs &amp; Assumptions'!$P$29)*EXP('Model Inputs &amp; Assumptions'!$Q$29*S807-'Model Inputs &amp; Assumptions'!$Q$29^2/2))</f>
        <v>31.4764839099088</v>
      </c>
      <c r="I807" s="49" t="n">
        <f aca="false">IF('Model Inputs &amp; Assumptions'!$H$29="Fixed",'Model Inputs &amp; Assumptions'!$I$29*'Model Inputs &amp; Assumptions'!$K$29,IF('Model Inputs &amp; Assumptions'!$H$29="CPM",'Model Inputs &amp; Assumptions'!$I$29*'Model Inputs &amp; Assumptions'!$K$29*C807/1000,IF('Model Inputs &amp; Assumptions'!$H$29="CPC",'Model Inputs &amp; Assumptions'!$I$29*'Model Inputs &amp; Assumptions'!$K$29*G807,0)))</f>
        <v>6500</v>
      </c>
      <c r="J807" s="50" t="n">
        <f aca="false">H807*INDEX('Model Inputs &amp; Assumptions'!$D$40:$D$42,MATCH('Model Inputs &amp; Assumptions'!$L$29,'Model Inputs &amp; Assumptions'!$A$40:$A$42,0))*INDEX('Model Inputs &amp; Assumptions'!$H$40:$H$42,MATCH('Model Inputs &amp; Assumptions'!$L$29,'Model Inputs &amp; Assumptions'!$A$40:$A$42,0))</f>
        <v>267550.113234224</v>
      </c>
      <c r="K807" s="49" t="n">
        <f aca="false">H807*INDEX('Model Inputs &amp; Assumptions'!$G$40:$G$42,MATCH('Model Inputs &amp; Assumptions'!$L$29,'Model Inputs &amp; Assumptions'!$A$40:$A$42,0))*INDEX('Model Inputs &amp; Assumptions'!$H$40:$H$42,MATCH('Model Inputs &amp; Assumptions'!$L$29,'Model Inputs &amp; Assumptions'!$A$40:$A$42,0))</f>
        <v>6019.87754777005</v>
      </c>
      <c r="L807" s="51" t="n">
        <f aca="false">IFERROR(K807/I807,0)</f>
        <v>0.926135007349238</v>
      </c>
      <c r="M807" s="49" t="n">
        <f aca="false">IFERROR(I807/H807,0)</f>
        <v>206.503369900023</v>
      </c>
      <c r="N807" s="52" t="str">
        <f aca="false">'Model Inputs &amp; Assumptions'!$L$29</f>
        <v>PRD-EUAI</v>
      </c>
      <c r="P807" s="53" t="n">
        <v>0.413448</v>
      </c>
      <c r="Q807" s="53" t="n">
        <v>2.322791</v>
      </c>
      <c r="R807" s="53" t="n">
        <v>-1.130714</v>
      </c>
      <c r="S807" s="53" t="n">
        <v>1.239586</v>
      </c>
    </row>
    <row r="808" customFormat="false" ht="15" hidden="false" customHeight="false" outlineLevel="0" collapsed="false">
      <c r="A808" s="43" t="n">
        <v>305</v>
      </c>
      <c r="B808" s="44" t="str">
        <f aca="false">'Model Inputs &amp; Assumptions'!$B$29</f>
        <v>Handelsblatt — Native Explainer</v>
      </c>
      <c r="C808" s="45" t="n">
        <f aca="false">ROUND(MAX(0,'Model Inputs &amp; Assumptions'!$S$29*EXP('Model Inputs &amp; Assumptions'!$T$29*P808-'Model Inputs &amp; Assumptions'!$T$29^2/2)),0)</f>
        <v>141715</v>
      </c>
      <c r="D808" s="46" t="n">
        <f aca="false">MIN(1,'Model Inputs &amp; Assumptions'!$U$29*EXP('Model Inputs &amp; Assumptions'!$V$29*Q808-'Model Inputs &amp; Assumptions'!$V$29^2/2))</f>
        <v>0</v>
      </c>
      <c r="E808" s="45" t="n">
        <f aca="false">ROUND(C808*D808,0)</f>
        <v>0</v>
      </c>
      <c r="F808" s="47" t="n">
        <f aca="false">MIN(1,'Model Inputs &amp; Assumptions'!$W$29*EXP('Model Inputs &amp; Assumptions'!$X$29*R808-'Model Inputs &amp; Assumptions'!$X$29^2/2))</f>
        <v>0.00181502434131357</v>
      </c>
      <c r="G808" s="45" t="n">
        <f aca="false">ROUND(C808*F808,0)</f>
        <v>257</v>
      </c>
      <c r="H808" s="48" t="n">
        <f aca="false">MAX(0,(C808*'Model Inputs &amp; Assumptions'!$N$29+E808*'Model Inputs &amp; Assumptions'!$O$29+G808*'Model Inputs &amp; Assumptions'!$P$29)*EXP('Model Inputs &amp; Assumptions'!$Q$29*S808-'Model Inputs &amp; Assumptions'!$Q$29^2/2))</f>
        <v>17.4045351200131</v>
      </c>
      <c r="I808" s="49" t="n">
        <f aca="false">IF('Model Inputs &amp; Assumptions'!$H$29="Fixed",'Model Inputs &amp; Assumptions'!$I$29*'Model Inputs &amp; Assumptions'!$K$29,IF('Model Inputs &amp; Assumptions'!$H$29="CPM",'Model Inputs &amp; Assumptions'!$I$29*'Model Inputs &amp; Assumptions'!$K$29*C808/1000,IF('Model Inputs &amp; Assumptions'!$H$29="CPC",'Model Inputs &amp; Assumptions'!$I$29*'Model Inputs &amp; Assumptions'!$K$29*G808,0)))</f>
        <v>6500</v>
      </c>
      <c r="J808" s="50" t="n">
        <f aca="false">H808*INDEX('Model Inputs &amp; Assumptions'!$D$40:$D$42,MATCH('Model Inputs &amp; Assumptions'!$L$29,'Model Inputs &amp; Assumptions'!$A$40:$A$42,0))*INDEX('Model Inputs &amp; Assumptions'!$H$40:$H$42,MATCH('Model Inputs &amp; Assumptions'!$L$29,'Model Inputs &amp; Assumptions'!$A$40:$A$42,0))</f>
        <v>147938.548520111</v>
      </c>
      <c r="K808" s="49" t="n">
        <f aca="false">H808*INDEX('Model Inputs &amp; Assumptions'!$G$40:$G$42,MATCH('Model Inputs &amp; Assumptions'!$L$29,'Model Inputs &amp; Assumptions'!$A$40:$A$42,0))*INDEX('Model Inputs &amp; Assumptions'!$H$40:$H$42,MATCH('Model Inputs &amp; Assumptions'!$L$29,'Model Inputs &amp; Assumptions'!$A$40:$A$42,0))</f>
        <v>3328.6173417025</v>
      </c>
      <c r="L808" s="51" t="n">
        <f aca="false">IFERROR(K808/I808,0)</f>
        <v>0.512094975646538</v>
      </c>
      <c r="M808" s="49" t="n">
        <f aca="false">IFERROR(I808/H808,0)</f>
        <v>373.465878587346</v>
      </c>
      <c r="N808" s="52" t="str">
        <f aca="false">'Model Inputs &amp; Assumptions'!$L$29</f>
        <v>PRD-EUAI</v>
      </c>
      <c r="P808" s="53" t="n">
        <v>-1.410217</v>
      </c>
      <c r="Q808" s="53" t="n">
        <v>0.750025</v>
      </c>
      <c r="R808" s="53" t="n">
        <v>-1.772174</v>
      </c>
      <c r="S808" s="53" t="n">
        <v>1.16129</v>
      </c>
    </row>
    <row r="809" customFormat="false" ht="15" hidden="false" customHeight="false" outlineLevel="0" collapsed="false">
      <c r="A809" s="43" t="n">
        <v>306</v>
      </c>
      <c r="B809" s="44" t="str">
        <f aca="false">'Model Inputs &amp; Assumptions'!$B$29</f>
        <v>Handelsblatt — Native Explainer</v>
      </c>
      <c r="C809" s="45" t="n">
        <f aca="false">ROUND(MAX(0,'Model Inputs &amp; Assumptions'!$S$29*EXP('Model Inputs &amp; Assumptions'!$T$29*P809-'Model Inputs &amp; Assumptions'!$T$29^2/2)),0)</f>
        <v>156204</v>
      </c>
      <c r="D809" s="46" t="n">
        <f aca="false">MIN(1,'Model Inputs &amp; Assumptions'!$U$29*EXP('Model Inputs &amp; Assumptions'!$V$29*Q809-'Model Inputs &amp; Assumptions'!$V$29^2/2))</f>
        <v>0</v>
      </c>
      <c r="E809" s="45" t="n">
        <f aca="false">ROUND(C809*D809,0)</f>
        <v>0</v>
      </c>
      <c r="F809" s="47" t="n">
        <f aca="false">MIN(1,'Model Inputs &amp; Assumptions'!$W$29*EXP('Model Inputs &amp; Assumptions'!$X$29*R809-'Model Inputs &amp; Assumptions'!$X$29^2/2))</f>
        <v>0.00398628372173205</v>
      </c>
      <c r="G809" s="45" t="n">
        <f aca="false">ROUND(C809*F809,0)</f>
        <v>623</v>
      </c>
      <c r="H809" s="48" t="n">
        <f aca="false">MAX(0,(C809*'Model Inputs &amp; Assumptions'!$N$29+E809*'Model Inputs &amp; Assumptions'!$O$29+G809*'Model Inputs &amp; Assumptions'!$P$29)*EXP('Model Inputs &amp; Assumptions'!$Q$29*S809-'Model Inputs &amp; Assumptions'!$Q$29^2/2))</f>
        <v>26.7410555438183</v>
      </c>
      <c r="I809" s="49" t="n">
        <f aca="false">IF('Model Inputs &amp; Assumptions'!$H$29="Fixed",'Model Inputs &amp; Assumptions'!$I$29*'Model Inputs &amp; Assumptions'!$K$29,IF('Model Inputs &amp; Assumptions'!$H$29="CPM",'Model Inputs &amp; Assumptions'!$I$29*'Model Inputs &amp; Assumptions'!$K$29*C809/1000,IF('Model Inputs &amp; Assumptions'!$H$29="CPC",'Model Inputs &amp; Assumptions'!$I$29*'Model Inputs &amp; Assumptions'!$K$29*G809,0)))</f>
        <v>6500</v>
      </c>
      <c r="J809" s="50" t="n">
        <f aca="false">H809*INDEX('Model Inputs &amp; Assumptions'!$D$40:$D$42,MATCH('Model Inputs &amp; Assumptions'!$L$29,'Model Inputs &amp; Assumptions'!$A$40:$A$42,0))*INDEX('Model Inputs &amp; Assumptions'!$H$40:$H$42,MATCH('Model Inputs &amp; Assumptions'!$L$29,'Model Inputs &amp; Assumptions'!$A$40:$A$42,0))</f>
        <v>227298.972122456</v>
      </c>
      <c r="K809" s="49" t="n">
        <f aca="false">H809*INDEX('Model Inputs &amp; Assumptions'!$G$40:$G$42,MATCH('Model Inputs &amp; Assumptions'!$L$29,'Model Inputs &amp; Assumptions'!$A$40:$A$42,0))*INDEX('Model Inputs &amp; Assumptions'!$H$40:$H$42,MATCH('Model Inputs &amp; Assumptions'!$L$29,'Model Inputs &amp; Assumptions'!$A$40:$A$42,0))</f>
        <v>5114.22687275526</v>
      </c>
      <c r="L809" s="51" t="n">
        <f aca="false">IFERROR(K809/I809,0)</f>
        <v>0.78680413427004</v>
      </c>
      <c r="M809" s="49" t="n">
        <f aca="false">IFERROR(I809/H809,0)</f>
        <v>243.071930700304</v>
      </c>
      <c r="N809" s="52" t="str">
        <f aca="false">'Model Inputs &amp; Assumptions'!$L$29</f>
        <v>PRD-EUAI</v>
      </c>
      <c r="P809" s="53" t="n">
        <v>-0.967744</v>
      </c>
      <c r="Q809" s="53" t="n">
        <v>0.842976</v>
      </c>
      <c r="R809" s="53" t="n">
        <v>1.253828</v>
      </c>
      <c r="S809" s="53" t="n">
        <v>-0.358714</v>
      </c>
    </row>
    <row r="810" customFormat="false" ht="15" hidden="false" customHeight="false" outlineLevel="0" collapsed="false">
      <c r="A810" s="43" t="n">
        <v>307</v>
      </c>
      <c r="B810" s="44" t="str">
        <f aca="false">'Model Inputs &amp; Assumptions'!$B$29</f>
        <v>Handelsblatt — Native Explainer</v>
      </c>
      <c r="C810" s="45" t="n">
        <f aca="false">ROUND(MAX(0,'Model Inputs &amp; Assumptions'!$S$29*EXP('Model Inputs &amp; Assumptions'!$T$29*P810-'Model Inputs &amp; Assumptions'!$T$29^2/2)),0)</f>
        <v>177797</v>
      </c>
      <c r="D810" s="46" t="n">
        <f aca="false">MIN(1,'Model Inputs &amp; Assumptions'!$U$29*EXP('Model Inputs &amp; Assumptions'!$V$29*Q810-'Model Inputs &amp; Assumptions'!$V$29^2/2))</f>
        <v>0</v>
      </c>
      <c r="E810" s="45" t="n">
        <f aca="false">ROUND(C810*D810,0)</f>
        <v>0</v>
      </c>
      <c r="F810" s="47" t="n">
        <f aca="false">MIN(1,'Model Inputs &amp; Assumptions'!$W$29*EXP('Model Inputs &amp; Assumptions'!$X$29*R810-'Model Inputs &amp; Assumptions'!$X$29^2/2))</f>
        <v>0.00230154597187163</v>
      </c>
      <c r="G810" s="45" t="n">
        <f aca="false">ROUND(C810*F810,0)</f>
        <v>409</v>
      </c>
      <c r="H810" s="48" t="n">
        <f aca="false">MAX(0,(C810*'Model Inputs &amp; Assumptions'!$N$29+E810*'Model Inputs &amp; Assumptions'!$O$29+G810*'Model Inputs &amp; Assumptions'!$P$29)*EXP('Model Inputs &amp; Assumptions'!$Q$29*S810-'Model Inputs &amp; Assumptions'!$Q$29^2/2))</f>
        <v>28.8000574660484</v>
      </c>
      <c r="I810" s="49" t="n">
        <f aca="false">IF('Model Inputs &amp; Assumptions'!$H$29="Fixed",'Model Inputs &amp; Assumptions'!$I$29*'Model Inputs &amp; Assumptions'!$K$29,IF('Model Inputs &amp; Assumptions'!$H$29="CPM",'Model Inputs &amp; Assumptions'!$I$29*'Model Inputs &amp; Assumptions'!$K$29*C810/1000,IF('Model Inputs &amp; Assumptions'!$H$29="CPC",'Model Inputs &amp; Assumptions'!$I$29*'Model Inputs &amp; Assumptions'!$K$29*G810,0)))</f>
        <v>6500</v>
      </c>
      <c r="J810" s="50" t="n">
        <f aca="false">H810*INDEX('Model Inputs &amp; Assumptions'!$D$40:$D$42,MATCH('Model Inputs &amp; Assumptions'!$L$29,'Model Inputs &amp; Assumptions'!$A$40:$A$42,0))*INDEX('Model Inputs &amp; Assumptions'!$H$40:$H$42,MATCH('Model Inputs &amp; Assumptions'!$L$29,'Model Inputs &amp; Assumptions'!$A$40:$A$42,0))</f>
        <v>244800.488461411</v>
      </c>
      <c r="K810" s="49" t="n">
        <f aca="false">H810*INDEX('Model Inputs &amp; Assumptions'!$G$40:$G$42,MATCH('Model Inputs &amp; Assumptions'!$L$29,'Model Inputs &amp; Assumptions'!$A$40:$A$42,0))*INDEX('Model Inputs &amp; Assumptions'!$H$40:$H$42,MATCH('Model Inputs &amp; Assumptions'!$L$29,'Model Inputs &amp; Assumptions'!$A$40:$A$42,0))</f>
        <v>5508.01099038175</v>
      </c>
      <c r="L810" s="51" t="n">
        <f aca="false">IFERROR(K810/I810,0)</f>
        <v>0.847386306212577</v>
      </c>
      <c r="M810" s="49" t="n">
        <f aca="false">IFERROR(I810/H810,0)</f>
        <v>225.693994106181</v>
      </c>
      <c r="N810" s="52" t="str">
        <f aca="false">'Model Inputs &amp; Assumptions'!$L$29</f>
        <v>PRD-EUAI</v>
      </c>
      <c r="P810" s="53" t="n">
        <v>-0.3792</v>
      </c>
      <c r="Q810" s="53" t="n">
        <v>-0.586278</v>
      </c>
      <c r="R810" s="53" t="n">
        <v>-0.858781</v>
      </c>
      <c r="S810" s="53" t="n">
        <v>1.291315</v>
      </c>
    </row>
    <row r="811" customFormat="false" ht="15" hidden="false" customHeight="false" outlineLevel="0" collapsed="false">
      <c r="A811" s="43" t="n">
        <v>308</v>
      </c>
      <c r="B811" s="44" t="str">
        <f aca="false">'Model Inputs &amp; Assumptions'!$B$29</f>
        <v>Handelsblatt — Native Explainer</v>
      </c>
      <c r="C811" s="45" t="n">
        <f aca="false">ROUND(MAX(0,'Model Inputs &amp; Assumptions'!$S$29*EXP('Model Inputs &amp; Assumptions'!$T$29*P811-'Model Inputs &amp; Assumptions'!$T$29^2/2)),0)</f>
        <v>132410</v>
      </c>
      <c r="D811" s="46" t="n">
        <f aca="false">MIN(1,'Model Inputs &amp; Assumptions'!$U$29*EXP('Model Inputs &amp; Assumptions'!$V$29*Q811-'Model Inputs &amp; Assumptions'!$V$29^2/2))</f>
        <v>0</v>
      </c>
      <c r="E811" s="45" t="n">
        <f aca="false">ROUND(C811*D811,0)</f>
        <v>0</v>
      </c>
      <c r="F811" s="47" t="n">
        <f aca="false">MIN(1,'Model Inputs &amp; Assumptions'!$W$29*EXP('Model Inputs &amp; Assumptions'!$X$29*R811-'Model Inputs &amp; Assumptions'!$X$29^2/2))</f>
        <v>0.00538047509996786</v>
      </c>
      <c r="G811" s="45" t="n">
        <f aca="false">ROUND(C811*F811,0)</f>
        <v>712</v>
      </c>
      <c r="H811" s="48" t="n">
        <f aca="false">MAX(0,(C811*'Model Inputs &amp; Assumptions'!$N$29+E811*'Model Inputs &amp; Assumptions'!$O$29+G811*'Model Inputs &amp; Assumptions'!$P$29)*EXP('Model Inputs &amp; Assumptions'!$Q$29*S811-'Model Inputs &amp; Assumptions'!$Q$29^2/2))</f>
        <v>36.2678668268387</v>
      </c>
      <c r="I811" s="49" t="n">
        <f aca="false">IF('Model Inputs &amp; Assumptions'!$H$29="Fixed",'Model Inputs &amp; Assumptions'!$I$29*'Model Inputs &amp; Assumptions'!$K$29,IF('Model Inputs &amp; Assumptions'!$H$29="CPM",'Model Inputs &amp; Assumptions'!$I$29*'Model Inputs &amp; Assumptions'!$K$29*C811/1000,IF('Model Inputs &amp; Assumptions'!$H$29="CPC",'Model Inputs &amp; Assumptions'!$I$29*'Model Inputs &amp; Assumptions'!$K$29*G811,0)))</f>
        <v>6500</v>
      </c>
      <c r="J811" s="50" t="n">
        <f aca="false">H811*INDEX('Model Inputs &amp; Assumptions'!$D$40:$D$42,MATCH('Model Inputs &amp; Assumptions'!$L$29,'Model Inputs &amp; Assumptions'!$A$40:$A$42,0))*INDEX('Model Inputs &amp; Assumptions'!$H$40:$H$42,MATCH('Model Inputs &amp; Assumptions'!$L$29,'Model Inputs &amp; Assumptions'!$A$40:$A$42,0))</f>
        <v>308276.868028129</v>
      </c>
      <c r="K811" s="49" t="n">
        <f aca="false">H811*INDEX('Model Inputs &amp; Assumptions'!$G$40:$G$42,MATCH('Model Inputs &amp; Assumptions'!$L$29,'Model Inputs &amp; Assumptions'!$A$40:$A$42,0))*INDEX('Model Inputs &amp; Assumptions'!$H$40:$H$42,MATCH('Model Inputs &amp; Assumptions'!$L$29,'Model Inputs &amp; Assumptions'!$A$40:$A$42,0))</f>
        <v>6936.2295306329</v>
      </c>
      <c r="L811" s="51" t="n">
        <f aca="false">IFERROR(K811/I811,0)</f>
        <v>1.06711223548198</v>
      </c>
      <c r="M811" s="49" t="n">
        <f aca="false">IFERROR(I811/H811,0)</f>
        <v>179.22201024489</v>
      </c>
      <c r="N811" s="52" t="str">
        <f aca="false">'Model Inputs &amp; Assumptions'!$L$29</f>
        <v>PRD-EUAI</v>
      </c>
      <c r="P811" s="53" t="n">
        <v>-1.718942</v>
      </c>
      <c r="Q811" s="53" t="n">
        <v>0.384319</v>
      </c>
      <c r="R811" s="53" t="n">
        <v>2.407356</v>
      </c>
      <c r="S811" s="53" t="n">
        <v>0.211955</v>
      </c>
    </row>
    <row r="812" customFormat="false" ht="15" hidden="false" customHeight="false" outlineLevel="0" collapsed="false">
      <c r="A812" s="43" t="n">
        <v>309</v>
      </c>
      <c r="B812" s="44" t="str">
        <f aca="false">'Model Inputs &amp; Assumptions'!$B$29</f>
        <v>Handelsblatt — Native Explainer</v>
      </c>
      <c r="C812" s="45" t="n">
        <f aca="false">ROUND(MAX(0,'Model Inputs &amp; Assumptions'!$S$29*EXP('Model Inputs &amp; Assumptions'!$T$29*P812-'Model Inputs &amp; Assumptions'!$T$29^2/2)),0)</f>
        <v>144121</v>
      </c>
      <c r="D812" s="46" t="n">
        <f aca="false">MIN(1,'Model Inputs &amp; Assumptions'!$U$29*EXP('Model Inputs &amp; Assumptions'!$V$29*Q812-'Model Inputs &amp; Assumptions'!$V$29^2/2))</f>
        <v>0</v>
      </c>
      <c r="E812" s="45" t="n">
        <f aca="false">ROUND(C812*D812,0)</f>
        <v>0</v>
      </c>
      <c r="F812" s="47" t="n">
        <f aca="false">MIN(1,'Model Inputs &amp; Assumptions'!$W$29*EXP('Model Inputs &amp; Assumptions'!$X$29*R812-'Model Inputs &amp; Assumptions'!$X$29^2/2))</f>
        <v>0.00324342120060463</v>
      </c>
      <c r="G812" s="45" t="n">
        <f aca="false">ROUND(C812*F812,0)</f>
        <v>467</v>
      </c>
      <c r="H812" s="48" t="n">
        <f aca="false">MAX(0,(C812*'Model Inputs &amp; Assumptions'!$N$29+E812*'Model Inputs &amp; Assumptions'!$O$29+G812*'Model Inputs &amp; Assumptions'!$P$29)*EXP('Model Inputs &amp; Assumptions'!$Q$29*S812-'Model Inputs &amp; Assumptions'!$Q$29^2/2))</f>
        <v>16.2611769413156</v>
      </c>
      <c r="I812" s="49" t="n">
        <f aca="false">IF('Model Inputs &amp; Assumptions'!$H$29="Fixed",'Model Inputs &amp; Assumptions'!$I$29*'Model Inputs &amp; Assumptions'!$K$29,IF('Model Inputs &amp; Assumptions'!$H$29="CPM",'Model Inputs &amp; Assumptions'!$I$29*'Model Inputs &amp; Assumptions'!$K$29*C812/1000,IF('Model Inputs &amp; Assumptions'!$H$29="CPC",'Model Inputs &amp; Assumptions'!$I$29*'Model Inputs &amp; Assumptions'!$K$29*G812,0)))</f>
        <v>6500</v>
      </c>
      <c r="J812" s="50" t="n">
        <f aca="false">H812*INDEX('Model Inputs &amp; Assumptions'!$D$40:$D$42,MATCH('Model Inputs &amp; Assumptions'!$L$29,'Model Inputs &amp; Assumptions'!$A$40:$A$42,0))*INDEX('Model Inputs &amp; Assumptions'!$H$40:$H$42,MATCH('Model Inputs &amp; Assumptions'!$L$29,'Model Inputs &amp; Assumptions'!$A$40:$A$42,0))</f>
        <v>138220.004001183</v>
      </c>
      <c r="K812" s="49" t="n">
        <f aca="false">H812*INDEX('Model Inputs &amp; Assumptions'!$G$40:$G$42,MATCH('Model Inputs &amp; Assumptions'!$L$29,'Model Inputs &amp; Assumptions'!$A$40:$A$42,0))*INDEX('Model Inputs &amp; Assumptions'!$H$40:$H$42,MATCH('Model Inputs &amp; Assumptions'!$L$29,'Model Inputs &amp; Assumptions'!$A$40:$A$42,0))</f>
        <v>3109.95009002661</v>
      </c>
      <c r="L812" s="51" t="n">
        <f aca="false">IFERROR(K812/I812,0)</f>
        <v>0.478453860004094</v>
      </c>
      <c r="M812" s="49" t="n">
        <f aca="false">IFERROR(I812/H812,0)</f>
        <v>399.725064394639</v>
      </c>
      <c r="N812" s="52" t="str">
        <f aca="false">'Model Inputs &amp; Assumptions'!$L$29</f>
        <v>PRD-EUAI</v>
      </c>
      <c r="P812" s="53" t="n">
        <v>-1.333691</v>
      </c>
      <c r="Q812" s="53" t="n">
        <v>0.666646</v>
      </c>
      <c r="R812" s="53" t="n">
        <v>0.460633</v>
      </c>
      <c r="S812" s="53" t="n">
        <v>-1.056055</v>
      </c>
    </row>
    <row r="813" customFormat="false" ht="15" hidden="false" customHeight="false" outlineLevel="0" collapsed="false">
      <c r="A813" s="43" t="n">
        <v>310</v>
      </c>
      <c r="B813" s="44" t="str">
        <f aca="false">'Model Inputs &amp; Assumptions'!$B$29</f>
        <v>Handelsblatt — Native Explainer</v>
      </c>
      <c r="C813" s="45" t="n">
        <f aca="false">ROUND(MAX(0,'Model Inputs &amp; Assumptions'!$S$29*EXP('Model Inputs &amp; Assumptions'!$T$29*P813-'Model Inputs &amp; Assumptions'!$T$29^2/2)),0)</f>
        <v>173807</v>
      </c>
      <c r="D813" s="46" t="n">
        <f aca="false">MIN(1,'Model Inputs &amp; Assumptions'!$U$29*EXP('Model Inputs &amp; Assumptions'!$V$29*Q813-'Model Inputs &amp; Assumptions'!$V$29^2/2))</f>
        <v>0</v>
      </c>
      <c r="E813" s="45" t="n">
        <f aca="false">ROUND(C813*D813,0)</f>
        <v>0</v>
      </c>
      <c r="F813" s="47" t="n">
        <f aca="false">MIN(1,'Model Inputs &amp; Assumptions'!$W$29*EXP('Model Inputs &amp; Assumptions'!$X$29*R813-'Model Inputs &amp; Assumptions'!$X$29^2/2))</f>
        <v>0.00597629815598438</v>
      </c>
      <c r="G813" s="45" t="n">
        <f aca="false">ROUND(C813*F813,0)</f>
        <v>1039</v>
      </c>
      <c r="H813" s="48" t="n">
        <f aca="false">MAX(0,(C813*'Model Inputs &amp; Assumptions'!$N$29+E813*'Model Inputs &amp; Assumptions'!$O$29+G813*'Model Inputs &amp; Assumptions'!$P$29)*EXP('Model Inputs &amp; Assumptions'!$Q$29*S813-'Model Inputs &amp; Assumptions'!$Q$29^2/2))</f>
        <v>36.7882395828062</v>
      </c>
      <c r="I813" s="49" t="n">
        <f aca="false">IF('Model Inputs &amp; Assumptions'!$H$29="Fixed",'Model Inputs &amp; Assumptions'!$I$29*'Model Inputs &amp; Assumptions'!$K$29,IF('Model Inputs &amp; Assumptions'!$H$29="CPM",'Model Inputs &amp; Assumptions'!$I$29*'Model Inputs &amp; Assumptions'!$K$29*C813/1000,IF('Model Inputs &amp; Assumptions'!$H$29="CPC",'Model Inputs &amp; Assumptions'!$I$29*'Model Inputs &amp; Assumptions'!$K$29*G813,0)))</f>
        <v>6500</v>
      </c>
      <c r="J813" s="50" t="n">
        <f aca="false">H813*INDEX('Model Inputs &amp; Assumptions'!$D$40:$D$42,MATCH('Model Inputs &amp; Assumptions'!$L$29,'Model Inputs &amp; Assumptions'!$A$40:$A$42,0))*INDEX('Model Inputs &amp; Assumptions'!$H$40:$H$42,MATCH('Model Inputs &amp; Assumptions'!$L$29,'Model Inputs &amp; Assumptions'!$A$40:$A$42,0))</f>
        <v>312700.036453853</v>
      </c>
      <c r="K813" s="49" t="n">
        <f aca="false">H813*INDEX('Model Inputs &amp; Assumptions'!$G$40:$G$42,MATCH('Model Inputs &amp; Assumptions'!$L$29,'Model Inputs &amp; Assumptions'!$A$40:$A$42,0))*INDEX('Model Inputs &amp; Assumptions'!$H$40:$H$42,MATCH('Model Inputs &amp; Assumptions'!$L$29,'Model Inputs &amp; Assumptions'!$A$40:$A$42,0))</f>
        <v>7035.75082021168</v>
      </c>
      <c r="L813" s="51" t="n">
        <f aca="false">IFERROR(K813/I813,0)</f>
        <v>1.08242320310949</v>
      </c>
      <c r="M813" s="49" t="n">
        <f aca="false">IFERROR(I813/H813,0)</f>
        <v>176.686899773207</v>
      </c>
      <c r="N813" s="52" t="str">
        <f aca="false">'Model Inputs &amp; Assumptions'!$L$29</f>
        <v>PRD-EUAI</v>
      </c>
      <c r="P813" s="53" t="n">
        <v>-0.482374</v>
      </c>
      <c r="Q813" s="53" t="n">
        <v>-0.934674</v>
      </c>
      <c r="R813" s="53" t="n">
        <v>2.811297</v>
      </c>
      <c r="S813" s="53" t="n">
        <v>-1.000345</v>
      </c>
    </row>
    <row r="814" customFormat="false" ht="15" hidden="false" customHeight="false" outlineLevel="0" collapsed="false">
      <c r="A814" s="43" t="n">
        <v>311</v>
      </c>
      <c r="B814" s="44" t="str">
        <f aca="false">'Model Inputs &amp; Assumptions'!$B$29</f>
        <v>Handelsblatt — Native Explainer</v>
      </c>
      <c r="C814" s="45" t="n">
        <f aca="false">ROUND(MAX(0,'Model Inputs &amp; Assumptions'!$S$29*EXP('Model Inputs &amp; Assumptions'!$T$29*P814-'Model Inputs &amp; Assumptions'!$T$29^2/2)),0)</f>
        <v>182908</v>
      </c>
      <c r="D814" s="46" t="n">
        <f aca="false">MIN(1,'Model Inputs &amp; Assumptions'!$U$29*EXP('Model Inputs &amp; Assumptions'!$V$29*Q814-'Model Inputs &amp; Assumptions'!$V$29^2/2))</f>
        <v>0</v>
      </c>
      <c r="E814" s="45" t="n">
        <f aca="false">ROUND(C814*D814,0)</f>
        <v>0</v>
      </c>
      <c r="F814" s="47" t="n">
        <f aca="false">MIN(1,'Model Inputs &amp; Assumptions'!$W$29*EXP('Model Inputs &amp; Assumptions'!$X$29*R814-'Model Inputs &amp; Assumptions'!$X$29^2/2))</f>
        <v>0.00256190929487804</v>
      </c>
      <c r="G814" s="45" t="n">
        <f aca="false">ROUND(C814*F814,0)</f>
        <v>469</v>
      </c>
      <c r="H814" s="48" t="n">
        <f aca="false">MAX(0,(C814*'Model Inputs &amp; Assumptions'!$N$29+E814*'Model Inputs &amp; Assumptions'!$O$29+G814*'Model Inputs &amp; Assumptions'!$P$29)*EXP('Model Inputs &amp; Assumptions'!$Q$29*S814-'Model Inputs &amp; Assumptions'!$Q$29^2/2))</f>
        <v>8.95348368313508</v>
      </c>
      <c r="I814" s="49" t="n">
        <f aca="false">IF('Model Inputs &amp; Assumptions'!$H$29="Fixed",'Model Inputs &amp; Assumptions'!$I$29*'Model Inputs &amp; Assumptions'!$K$29,IF('Model Inputs &amp; Assumptions'!$H$29="CPM",'Model Inputs &amp; Assumptions'!$I$29*'Model Inputs &amp; Assumptions'!$K$29*C814/1000,IF('Model Inputs &amp; Assumptions'!$H$29="CPC",'Model Inputs &amp; Assumptions'!$I$29*'Model Inputs &amp; Assumptions'!$K$29*G814,0)))</f>
        <v>6500</v>
      </c>
      <c r="J814" s="50" t="n">
        <f aca="false">H814*INDEX('Model Inputs &amp; Assumptions'!$D$40:$D$42,MATCH('Model Inputs &amp; Assumptions'!$L$29,'Model Inputs &amp; Assumptions'!$A$40:$A$42,0))*INDEX('Model Inputs &amp; Assumptions'!$H$40:$H$42,MATCH('Model Inputs &amp; Assumptions'!$L$29,'Model Inputs &amp; Assumptions'!$A$40:$A$42,0))</f>
        <v>76104.6113066482</v>
      </c>
      <c r="K814" s="49" t="n">
        <f aca="false">H814*INDEX('Model Inputs &amp; Assumptions'!$G$40:$G$42,MATCH('Model Inputs &amp; Assumptions'!$L$29,'Model Inputs &amp; Assumptions'!$A$40:$A$42,0))*INDEX('Model Inputs &amp; Assumptions'!$H$40:$H$42,MATCH('Model Inputs &amp; Assumptions'!$L$29,'Model Inputs &amp; Assumptions'!$A$40:$A$42,0))</f>
        <v>1712.35375439958</v>
      </c>
      <c r="L814" s="51" t="n">
        <f aca="false">IFERROR(K814/I814,0)</f>
        <v>0.263439039138398</v>
      </c>
      <c r="M814" s="49" t="n">
        <f aca="false">IFERROR(I814/H814,0)</f>
        <v>725.974406168127</v>
      </c>
      <c r="N814" s="52" t="str">
        <f aca="false">'Model Inputs &amp; Assumptions'!$L$29</f>
        <v>PRD-EUAI</v>
      </c>
      <c r="P814" s="53" t="n">
        <v>-0.250386</v>
      </c>
      <c r="Q814" s="53" t="n">
        <v>-0.254034</v>
      </c>
      <c r="R814" s="53" t="n">
        <v>-0.446582</v>
      </c>
      <c r="S814" s="53" t="n">
        <v>-3.059426</v>
      </c>
    </row>
    <row r="815" customFormat="false" ht="15" hidden="false" customHeight="false" outlineLevel="0" collapsed="false">
      <c r="A815" s="43" t="n">
        <v>312</v>
      </c>
      <c r="B815" s="44" t="str">
        <f aca="false">'Model Inputs &amp; Assumptions'!$B$29</f>
        <v>Handelsblatt — Native Explainer</v>
      </c>
      <c r="C815" s="45" t="n">
        <f aca="false">ROUND(MAX(0,'Model Inputs &amp; Assumptions'!$S$29*EXP('Model Inputs &amp; Assumptions'!$T$29*P815-'Model Inputs &amp; Assumptions'!$T$29^2/2)),0)</f>
        <v>207571</v>
      </c>
      <c r="D815" s="46" t="n">
        <f aca="false">MIN(1,'Model Inputs &amp; Assumptions'!$U$29*EXP('Model Inputs &amp; Assumptions'!$V$29*Q815-'Model Inputs &amp; Assumptions'!$V$29^2/2))</f>
        <v>0</v>
      </c>
      <c r="E815" s="45" t="n">
        <f aca="false">ROUND(C815*D815,0)</f>
        <v>0</v>
      </c>
      <c r="F815" s="47" t="n">
        <f aca="false">MIN(1,'Model Inputs &amp; Assumptions'!$W$29*EXP('Model Inputs &amp; Assumptions'!$X$29*R815-'Model Inputs &amp; Assumptions'!$X$29^2/2))</f>
        <v>0.00225099918264931</v>
      </c>
      <c r="G815" s="45" t="n">
        <f aca="false">ROUND(C815*F815,0)</f>
        <v>467</v>
      </c>
      <c r="H815" s="48" t="n">
        <f aca="false">MAX(0,(C815*'Model Inputs &amp; Assumptions'!$N$29+E815*'Model Inputs &amp; Assumptions'!$O$29+G815*'Model Inputs &amp; Assumptions'!$P$29)*EXP('Model Inputs &amp; Assumptions'!$Q$29*S815-'Model Inputs &amp; Assumptions'!$Q$29^2/2))</f>
        <v>18.3622951236592</v>
      </c>
      <c r="I815" s="49" t="n">
        <f aca="false">IF('Model Inputs &amp; Assumptions'!$H$29="Fixed",'Model Inputs &amp; Assumptions'!$I$29*'Model Inputs &amp; Assumptions'!$K$29,IF('Model Inputs &amp; Assumptions'!$H$29="CPM",'Model Inputs &amp; Assumptions'!$I$29*'Model Inputs &amp; Assumptions'!$K$29*C815/1000,IF('Model Inputs &amp; Assumptions'!$H$29="CPC",'Model Inputs &amp; Assumptions'!$I$29*'Model Inputs &amp; Assumptions'!$K$29*G815,0)))</f>
        <v>6500</v>
      </c>
      <c r="J815" s="50" t="n">
        <f aca="false">H815*INDEX('Model Inputs &amp; Assumptions'!$D$40:$D$42,MATCH('Model Inputs &amp; Assumptions'!$L$29,'Model Inputs &amp; Assumptions'!$A$40:$A$42,0))*INDEX('Model Inputs &amp; Assumptions'!$H$40:$H$42,MATCH('Model Inputs &amp; Assumptions'!$L$29,'Model Inputs &amp; Assumptions'!$A$40:$A$42,0))</f>
        <v>156079.508551104</v>
      </c>
      <c r="K815" s="49" t="n">
        <f aca="false">H815*INDEX('Model Inputs &amp; Assumptions'!$G$40:$G$42,MATCH('Model Inputs &amp; Assumptions'!$L$29,'Model Inputs &amp; Assumptions'!$A$40:$A$42,0))*INDEX('Model Inputs &amp; Assumptions'!$H$40:$H$42,MATCH('Model Inputs &amp; Assumptions'!$L$29,'Model Inputs &amp; Assumptions'!$A$40:$A$42,0))</f>
        <v>3511.78894239983</v>
      </c>
      <c r="L815" s="51" t="n">
        <f aca="false">IFERROR(K815/I815,0)</f>
        <v>0.540275221907666</v>
      </c>
      <c r="M815" s="49" t="n">
        <f aca="false">IFERROR(I815/H815,0)</f>
        <v>353.986250423835</v>
      </c>
      <c r="N815" s="52" t="str">
        <f aca="false">'Model Inputs &amp; Assumptions'!$L$29</f>
        <v>PRD-EUAI</v>
      </c>
      <c r="P815" s="53" t="n">
        <v>0.324568</v>
      </c>
      <c r="Q815" s="53" t="n">
        <v>1.485253</v>
      </c>
      <c r="R815" s="53" t="n">
        <v>-0.944192</v>
      </c>
      <c r="S815" s="53" t="n">
        <v>-0.650992</v>
      </c>
    </row>
    <row r="816" customFormat="false" ht="15" hidden="false" customHeight="false" outlineLevel="0" collapsed="false">
      <c r="A816" s="43" t="n">
        <v>313</v>
      </c>
      <c r="B816" s="44" t="str">
        <f aca="false">'Model Inputs &amp; Assumptions'!$B$29</f>
        <v>Handelsblatt — Native Explainer</v>
      </c>
      <c r="C816" s="45" t="n">
        <f aca="false">ROUND(MAX(0,'Model Inputs &amp; Assumptions'!$S$29*EXP('Model Inputs &amp; Assumptions'!$T$29*P816-'Model Inputs &amp; Assumptions'!$T$29^2/2)),0)</f>
        <v>177616</v>
      </c>
      <c r="D816" s="46" t="n">
        <f aca="false">MIN(1,'Model Inputs &amp; Assumptions'!$U$29*EXP('Model Inputs &amp; Assumptions'!$V$29*Q816-'Model Inputs &amp; Assumptions'!$V$29^2/2))</f>
        <v>0</v>
      </c>
      <c r="E816" s="45" t="n">
        <f aca="false">ROUND(C816*D816,0)</f>
        <v>0</v>
      </c>
      <c r="F816" s="47" t="n">
        <f aca="false">MIN(1,'Model Inputs &amp; Assumptions'!$W$29*EXP('Model Inputs &amp; Assumptions'!$X$29*R816-'Model Inputs &amp; Assumptions'!$X$29^2/2))</f>
        <v>0.00357175466847962</v>
      </c>
      <c r="G816" s="45" t="n">
        <f aca="false">ROUND(C816*F816,0)</f>
        <v>634</v>
      </c>
      <c r="H816" s="48" t="n">
        <f aca="false">MAX(0,(C816*'Model Inputs &amp; Assumptions'!$N$29+E816*'Model Inputs &amp; Assumptions'!$O$29+G816*'Model Inputs &amp; Assumptions'!$P$29)*EXP('Model Inputs &amp; Assumptions'!$Q$29*S816-'Model Inputs &amp; Assumptions'!$Q$29^2/2))</f>
        <v>35.5417968823133</v>
      </c>
      <c r="I816" s="49" t="n">
        <f aca="false">IF('Model Inputs &amp; Assumptions'!$H$29="Fixed",'Model Inputs &amp; Assumptions'!$I$29*'Model Inputs &amp; Assumptions'!$K$29,IF('Model Inputs &amp; Assumptions'!$H$29="CPM",'Model Inputs &amp; Assumptions'!$I$29*'Model Inputs &amp; Assumptions'!$K$29*C816/1000,IF('Model Inputs &amp; Assumptions'!$H$29="CPC",'Model Inputs &amp; Assumptions'!$I$29*'Model Inputs &amp; Assumptions'!$K$29*G816,0)))</f>
        <v>6500</v>
      </c>
      <c r="J816" s="50" t="n">
        <f aca="false">H816*INDEX('Model Inputs &amp; Assumptions'!$D$40:$D$42,MATCH('Model Inputs &amp; Assumptions'!$L$29,'Model Inputs &amp; Assumptions'!$A$40:$A$42,0))*INDEX('Model Inputs &amp; Assumptions'!$H$40:$H$42,MATCH('Model Inputs &amp; Assumptions'!$L$29,'Model Inputs &amp; Assumptions'!$A$40:$A$42,0))</f>
        <v>302105.273499663</v>
      </c>
      <c r="K816" s="49" t="n">
        <f aca="false">H816*INDEX('Model Inputs &amp; Assumptions'!$G$40:$G$42,MATCH('Model Inputs &amp; Assumptions'!$L$29,'Model Inputs &amp; Assumptions'!$A$40:$A$42,0))*INDEX('Model Inputs &amp; Assumptions'!$H$40:$H$42,MATCH('Model Inputs &amp; Assumptions'!$L$29,'Model Inputs &amp; Assumptions'!$A$40:$A$42,0))</f>
        <v>6797.36865374242</v>
      </c>
      <c r="L816" s="51" t="n">
        <f aca="false">IFERROR(K816/I816,0)</f>
        <v>1.04574902365268</v>
      </c>
      <c r="M816" s="49" t="n">
        <f aca="false">IFERROR(I816/H816,0)</f>
        <v>182.883269000803</v>
      </c>
      <c r="N816" s="52" t="str">
        <f aca="false">'Model Inputs &amp; Assumptions'!$L$29</f>
        <v>PRD-EUAI</v>
      </c>
      <c r="P816" s="53" t="n">
        <v>-0.38384</v>
      </c>
      <c r="Q816" s="53" t="n">
        <v>0.397671</v>
      </c>
      <c r="R816" s="53" t="n">
        <v>0.831511</v>
      </c>
      <c r="S816" s="53" t="n">
        <v>0.531309</v>
      </c>
    </row>
    <row r="817" customFormat="false" ht="15" hidden="false" customHeight="false" outlineLevel="0" collapsed="false">
      <c r="A817" s="43" t="n">
        <v>314</v>
      </c>
      <c r="B817" s="44" t="str">
        <f aca="false">'Model Inputs &amp; Assumptions'!$B$29</f>
        <v>Handelsblatt — Native Explainer</v>
      </c>
      <c r="C817" s="45" t="n">
        <f aca="false">ROUND(MAX(0,'Model Inputs &amp; Assumptions'!$S$29*EXP('Model Inputs &amp; Assumptions'!$T$29*P817-'Model Inputs &amp; Assumptions'!$T$29^2/2)),0)</f>
        <v>167008</v>
      </c>
      <c r="D817" s="46" t="n">
        <f aca="false">MIN(1,'Model Inputs &amp; Assumptions'!$U$29*EXP('Model Inputs &amp; Assumptions'!$V$29*Q817-'Model Inputs &amp; Assumptions'!$V$29^2/2))</f>
        <v>0</v>
      </c>
      <c r="E817" s="45" t="n">
        <f aca="false">ROUND(C817*D817,0)</f>
        <v>0</v>
      </c>
      <c r="F817" s="47" t="n">
        <f aca="false">MIN(1,'Model Inputs &amp; Assumptions'!$W$29*EXP('Model Inputs &amp; Assumptions'!$X$29*R817-'Model Inputs &amp; Assumptions'!$X$29^2/2))</f>
        <v>0.00523376350554035</v>
      </c>
      <c r="G817" s="45" t="n">
        <f aca="false">ROUND(C817*F817,0)</f>
        <v>874</v>
      </c>
      <c r="H817" s="48" t="n">
        <f aca="false">MAX(0,(C817*'Model Inputs &amp; Assumptions'!$N$29+E817*'Model Inputs &amp; Assumptions'!$O$29+G817*'Model Inputs &amp; Assumptions'!$P$29)*EXP('Model Inputs &amp; Assumptions'!$Q$29*S817-'Model Inputs &amp; Assumptions'!$Q$29^2/2))</f>
        <v>34.2384849418711</v>
      </c>
      <c r="I817" s="49" t="n">
        <f aca="false">IF('Model Inputs &amp; Assumptions'!$H$29="Fixed",'Model Inputs &amp; Assumptions'!$I$29*'Model Inputs &amp; Assumptions'!$K$29,IF('Model Inputs &amp; Assumptions'!$H$29="CPM",'Model Inputs &amp; Assumptions'!$I$29*'Model Inputs &amp; Assumptions'!$K$29*C817/1000,IF('Model Inputs &amp; Assumptions'!$H$29="CPC",'Model Inputs &amp; Assumptions'!$I$29*'Model Inputs &amp; Assumptions'!$K$29*G817,0)))</f>
        <v>6500</v>
      </c>
      <c r="J817" s="50" t="n">
        <f aca="false">H817*INDEX('Model Inputs &amp; Assumptions'!$D$40:$D$42,MATCH('Model Inputs &amp; Assumptions'!$L$29,'Model Inputs &amp; Assumptions'!$A$40:$A$42,0))*INDEX('Model Inputs &amp; Assumptions'!$H$40:$H$42,MATCH('Model Inputs &amp; Assumptions'!$L$29,'Model Inputs &amp; Assumptions'!$A$40:$A$42,0))</f>
        <v>291027.122005904</v>
      </c>
      <c r="K817" s="49" t="n">
        <f aca="false">H817*INDEX('Model Inputs &amp; Assumptions'!$G$40:$G$42,MATCH('Model Inputs &amp; Assumptions'!$L$29,'Model Inputs &amp; Assumptions'!$A$40:$A$42,0))*INDEX('Model Inputs &amp; Assumptions'!$H$40:$H$42,MATCH('Model Inputs &amp; Assumptions'!$L$29,'Model Inputs &amp; Assumptions'!$A$40:$A$42,0))</f>
        <v>6548.11024513285</v>
      </c>
      <c r="L817" s="51" t="n">
        <f aca="false">IFERROR(K817/I817,0)</f>
        <v>1.00740157617428</v>
      </c>
      <c r="M817" s="49" t="n">
        <f aca="false">IFERROR(I817/H817,0)</f>
        <v>189.844848889648</v>
      </c>
      <c r="N817" s="52" t="str">
        <f aca="false">'Model Inputs &amp; Assumptions'!$L$29</f>
        <v>PRD-EUAI</v>
      </c>
      <c r="P817" s="53" t="n">
        <v>-0.663753</v>
      </c>
      <c r="Q817" s="53" t="n">
        <v>1.085416</v>
      </c>
      <c r="R817" s="53" t="n">
        <v>2.301025</v>
      </c>
      <c r="S817" s="53" t="n">
        <v>-0.663326</v>
      </c>
    </row>
    <row r="818" customFormat="false" ht="15" hidden="false" customHeight="false" outlineLevel="0" collapsed="false">
      <c r="A818" s="43" t="n">
        <v>315</v>
      </c>
      <c r="B818" s="44" t="str">
        <f aca="false">'Model Inputs &amp; Assumptions'!$B$29</f>
        <v>Handelsblatt — Native Explainer</v>
      </c>
      <c r="C818" s="45" t="n">
        <f aca="false">ROUND(MAX(0,'Model Inputs &amp; Assumptions'!$S$29*EXP('Model Inputs &amp; Assumptions'!$T$29*P818-'Model Inputs &amp; Assumptions'!$T$29^2/2)),0)</f>
        <v>192986</v>
      </c>
      <c r="D818" s="46" t="n">
        <f aca="false">MIN(1,'Model Inputs &amp; Assumptions'!$U$29*EXP('Model Inputs &amp; Assumptions'!$V$29*Q818-'Model Inputs &amp; Assumptions'!$V$29^2/2))</f>
        <v>0</v>
      </c>
      <c r="E818" s="45" t="n">
        <f aca="false">ROUND(C818*D818,0)</f>
        <v>0</v>
      </c>
      <c r="F818" s="47" t="n">
        <f aca="false">MIN(1,'Model Inputs &amp; Assumptions'!$W$29*EXP('Model Inputs &amp; Assumptions'!$X$29*R818-'Model Inputs &amp; Assumptions'!$X$29^2/2))</f>
        <v>0.0020713395401265</v>
      </c>
      <c r="G818" s="45" t="n">
        <f aca="false">ROUND(C818*F818,0)</f>
        <v>400</v>
      </c>
      <c r="H818" s="48" t="n">
        <f aca="false">MAX(0,(C818*'Model Inputs &amp; Assumptions'!$N$29+E818*'Model Inputs &amp; Assumptions'!$O$29+G818*'Model Inputs &amp; Assumptions'!$P$29)*EXP('Model Inputs &amp; Assumptions'!$Q$29*S818-'Model Inputs &amp; Assumptions'!$Q$29^2/2))</f>
        <v>15.2894075792202</v>
      </c>
      <c r="I818" s="49" t="n">
        <f aca="false">IF('Model Inputs &amp; Assumptions'!$H$29="Fixed",'Model Inputs &amp; Assumptions'!$I$29*'Model Inputs &amp; Assumptions'!$K$29,IF('Model Inputs &amp; Assumptions'!$H$29="CPM",'Model Inputs &amp; Assumptions'!$I$29*'Model Inputs &amp; Assumptions'!$K$29*C818/1000,IF('Model Inputs &amp; Assumptions'!$H$29="CPC",'Model Inputs &amp; Assumptions'!$I$29*'Model Inputs &amp; Assumptions'!$K$29*G818,0)))</f>
        <v>6500</v>
      </c>
      <c r="J818" s="50" t="n">
        <f aca="false">H818*INDEX('Model Inputs &amp; Assumptions'!$D$40:$D$42,MATCH('Model Inputs &amp; Assumptions'!$L$29,'Model Inputs &amp; Assumptions'!$A$40:$A$42,0))*INDEX('Model Inputs &amp; Assumptions'!$H$40:$H$42,MATCH('Model Inputs &amp; Assumptions'!$L$29,'Model Inputs &amp; Assumptions'!$A$40:$A$42,0))</f>
        <v>129959.964423372</v>
      </c>
      <c r="K818" s="49" t="n">
        <f aca="false">H818*INDEX('Model Inputs &amp; Assumptions'!$G$40:$G$42,MATCH('Model Inputs &amp; Assumptions'!$L$29,'Model Inputs &amp; Assumptions'!$A$40:$A$42,0))*INDEX('Model Inputs &amp; Assumptions'!$H$40:$H$42,MATCH('Model Inputs &amp; Assumptions'!$L$29,'Model Inputs &amp; Assumptions'!$A$40:$A$42,0))</f>
        <v>2924.09919952587</v>
      </c>
      <c r="L818" s="51" t="n">
        <f aca="false">IFERROR(K818/I818,0)</f>
        <v>0.449861415311672</v>
      </c>
      <c r="M818" s="49" t="n">
        <f aca="false">IFERROR(I818/H818,0)</f>
        <v>425.130925859686</v>
      </c>
      <c r="N818" s="52" t="str">
        <f aca="false">'Model Inputs &amp; Assumptions'!$L$29</f>
        <v>PRD-EUAI</v>
      </c>
      <c r="P818" s="53" t="n">
        <v>-0.006577</v>
      </c>
      <c r="Q818" s="53" t="n">
        <v>0.120964</v>
      </c>
      <c r="R818" s="53" t="n">
        <v>-1.26411</v>
      </c>
      <c r="S818" s="53" t="n">
        <v>-0.74524</v>
      </c>
    </row>
    <row r="819" customFormat="false" ht="15" hidden="false" customHeight="false" outlineLevel="0" collapsed="false">
      <c r="A819" s="43" t="n">
        <v>316</v>
      </c>
      <c r="B819" s="44" t="str">
        <f aca="false">'Model Inputs &amp; Assumptions'!$B$29</f>
        <v>Handelsblatt — Native Explainer</v>
      </c>
      <c r="C819" s="45" t="n">
        <f aca="false">ROUND(MAX(0,'Model Inputs &amp; Assumptions'!$S$29*EXP('Model Inputs &amp; Assumptions'!$T$29*P819-'Model Inputs &amp; Assumptions'!$T$29^2/2)),0)</f>
        <v>243930</v>
      </c>
      <c r="D819" s="46" t="n">
        <f aca="false">MIN(1,'Model Inputs &amp; Assumptions'!$U$29*EXP('Model Inputs &amp; Assumptions'!$V$29*Q819-'Model Inputs &amp; Assumptions'!$V$29^2/2))</f>
        <v>0</v>
      </c>
      <c r="E819" s="45" t="n">
        <f aca="false">ROUND(C819*D819,0)</f>
        <v>0</v>
      </c>
      <c r="F819" s="47" t="n">
        <f aca="false">MIN(1,'Model Inputs &amp; Assumptions'!$W$29*EXP('Model Inputs &amp; Assumptions'!$X$29*R819-'Model Inputs &amp; Assumptions'!$X$29^2/2))</f>
        <v>0.00196029050445662</v>
      </c>
      <c r="G819" s="45" t="n">
        <f aca="false">ROUND(C819*F819,0)</f>
        <v>478</v>
      </c>
      <c r="H819" s="48" t="n">
        <f aca="false">MAX(0,(C819*'Model Inputs &amp; Assumptions'!$N$29+E819*'Model Inputs &amp; Assumptions'!$O$29+G819*'Model Inputs &amp; Assumptions'!$P$29)*EXP('Model Inputs &amp; Assumptions'!$Q$29*S819-'Model Inputs &amp; Assumptions'!$Q$29^2/2))</f>
        <v>27.36749674165</v>
      </c>
      <c r="I819" s="49" t="n">
        <f aca="false">IF('Model Inputs &amp; Assumptions'!$H$29="Fixed",'Model Inputs &amp; Assumptions'!$I$29*'Model Inputs &amp; Assumptions'!$K$29,IF('Model Inputs &amp; Assumptions'!$H$29="CPM",'Model Inputs &amp; Assumptions'!$I$29*'Model Inputs &amp; Assumptions'!$K$29*C819/1000,IF('Model Inputs &amp; Assumptions'!$H$29="CPC",'Model Inputs &amp; Assumptions'!$I$29*'Model Inputs &amp; Assumptions'!$K$29*G819,0)))</f>
        <v>6500</v>
      </c>
      <c r="J819" s="50" t="n">
        <f aca="false">H819*INDEX('Model Inputs &amp; Assumptions'!$D$40:$D$42,MATCH('Model Inputs &amp; Assumptions'!$L$29,'Model Inputs &amp; Assumptions'!$A$40:$A$42,0))*INDEX('Model Inputs &amp; Assumptions'!$H$40:$H$42,MATCH('Model Inputs &amp; Assumptions'!$L$29,'Model Inputs &amp; Assumptions'!$A$40:$A$42,0))</f>
        <v>232623.722304025</v>
      </c>
      <c r="K819" s="49" t="n">
        <f aca="false">H819*INDEX('Model Inputs &amp; Assumptions'!$G$40:$G$42,MATCH('Model Inputs &amp; Assumptions'!$L$29,'Model Inputs &amp; Assumptions'!$A$40:$A$42,0))*INDEX('Model Inputs &amp; Assumptions'!$H$40:$H$42,MATCH('Model Inputs &amp; Assumptions'!$L$29,'Model Inputs &amp; Assumptions'!$A$40:$A$42,0))</f>
        <v>5234.03375184056</v>
      </c>
      <c r="L819" s="51" t="n">
        <f aca="false">IFERROR(K819/I819,0)</f>
        <v>0.805235961821625</v>
      </c>
      <c r="M819" s="49" t="n">
        <f aca="false">IFERROR(I819/H819,0)</f>
        <v>237.508021334951</v>
      </c>
      <c r="N819" s="52" t="str">
        <f aca="false">'Model Inputs &amp; Assumptions'!$L$29</f>
        <v>PRD-EUAI</v>
      </c>
      <c r="P819" s="53" t="n">
        <v>1.058251</v>
      </c>
      <c r="Q819" s="53" t="n">
        <v>-0.344608</v>
      </c>
      <c r="R819" s="53" t="n">
        <v>-1.476044</v>
      </c>
      <c r="S819" s="53" t="n">
        <v>0.601592</v>
      </c>
    </row>
    <row r="820" customFormat="false" ht="15" hidden="false" customHeight="false" outlineLevel="0" collapsed="false">
      <c r="A820" s="43" t="n">
        <v>317</v>
      </c>
      <c r="B820" s="44" t="str">
        <f aca="false">'Model Inputs &amp; Assumptions'!$B$29</f>
        <v>Handelsblatt — Native Explainer</v>
      </c>
      <c r="C820" s="45" t="n">
        <f aca="false">ROUND(MAX(0,'Model Inputs &amp; Assumptions'!$S$29*EXP('Model Inputs &amp; Assumptions'!$T$29*P820-'Model Inputs &amp; Assumptions'!$T$29^2/2)),0)</f>
        <v>314502</v>
      </c>
      <c r="D820" s="46" t="n">
        <f aca="false">MIN(1,'Model Inputs &amp; Assumptions'!$U$29*EXP('Model Inputs &amp; Assumptions'!$V$29*Q820-'Model Inputs &amp; Assumptions'!$V$29^2/2))</f>
        <v>0</v>
      </c>
      <c r="E820" s="45" t="n">
        <f aca="false">ROUND(C820*D820,0)</f>
        <v>0</v>
      </c>
      <c r="F820" s="47" t="n">
        <f aca="false">MIN(1,'Model Inputs &amp; Assumptions'!$W$29*EXP('Model Inputs &amp; Assumptions'!$X$29*R820-'Model Inputs &amp; Assumptions'!$X$29^2/2))</f>
        <v>0.0040169154970345</v>
      </c>
      <c r="G820" s="45" t="n">
        <f aca="false">ROUND(C820*F820,0)</f>
        <v>1263</v>
      </c>
      <c r="H820" s="48" t="n">
        <f aca="false">MAX(0,(C820*'Model Inputs &amp; Assumptions'!$N$29+E820*'Model Inputs &amp; Assumptions'!$O$29+G820*'Model Inputs &amp; Assumptions'!$P$29)*EXP('Model Inputs &amp; Assumptions'!$Q$29*S820-'Model Inputs &amp; Assumptions'!$Q$29^2/2))</f>
        <v>54.3088365157416</v>
      </c>
      <c r="I820" s="49" t="n">
        <f aca="false">IF('Model Inputs &amp; Assumptions'!$H$29="Fixed",'Model Inputs &amp; Assumptions'!$I$29*'Model Inputs &amp; Assumptions'!$K$29,IF('Model Inputs &amp; Assumptions'!$H$29="CPM",'Model Inputs &amp; Assumptions'!$I$29*'Model Inputs &amp; Assumptions'!$K$29*C820/1000,IF('Model Inputs &amp; Assumptions'!$H$29="CPC",'Model Inputs &amp; Assumptions'!$I$29*'Model Inputs &amp; Assumptions'!$K$29*G820,0)))</f>
        <v>6500</v>
      </c>
      <c r="J820" s="50" t="n">
        <f aca="false">H820*INDEX('Model Inputs &amp; Assumptions'!$D$40:$D$42,MATCH('Model Inputs &amp; Assumptions'!$L$29,'Model Inputs &amp; Assumptions'!$A$40:$A$42,0))*INDEX('Model Inputs &amp; Assumptions'!$H$40:$H$42,MATCH('Model Inputs &amp; Assumptions'!$L$29,'Model Inputs &amp; Assumptions'!$A$40:$A$42,0))</f>
        <v>461625.110383803</v>
      </c>
      <c r="K820" s="49" t="n">
        <f aca="false">H820*INDEX('Model Inputs &amp; Assumptions'!$G$40:$G$42,MATCH('Model Inputs &amp; Assumptions'!$L$29,'Model Inputs &amp; Assumptions'!$A$40:$A$42,0))*INDEX('Model Inputs &amp; Assumptions'!$H$40:$H$42,MATCH('Model Inputs &amp; Assumptions'!$L$29,'Model Inputs &amp; Assumptions'!$A$40:$A$42,0))</f>
        <v>10386.5649836356</v>
      </c>
      <c r="L820" s="51" t="n">
        <f aca="false">IFERROR(K820/I820,0)</f>
        <v>1.59793307440547</v>
      </c>
      <c r="M820" s="49" t="n">
        <f aca="false">IFERROR(I820/H820,0)</f>
        <v>119.685863609248</v>
      </c>
      <c r="N820" s="52" t="str">
        <f aca="false">'Model Inputs &amp; Assumptions'!$L$29</f>
        <v>PRD-EUAI</v>
      </c>
      <c r="P820" s="53" t="n">
        <v>2.213285</v>
      </c>
      <c r="Q820" s="53" t="n">
        <v>-1.654335</v>
      </c>
      <c r="R820" s="53" t="n">
        <v>1.28327</v>
      </c>
      <c r="S820" s="53" t="n">
        <v>-0.352753</v>
      </c>
    </row>
    <row r="821" customFormat="false" ht="15" hidden="false" customHeight="false" outlineLevel="0" collapsed="false">
      <c r="A821" s="43" t="n">
        <v>318</v>
      </c>
      <c r="B821" s="44" t="str">
        <f aca="false">'Model Inputs &amp; Assumptions'!$B$29</f>
        <v>Handelsblatt — Native Explainer</v>
      </c>
      <c r="C821" s="45" t="n">
        <f aca="false">ROUND(MAX(0,'Model Inputs &amp; Assumptions'!$S$29*EXP('Model Inputs &amp; Assumptions'!$T$29*P821-'Model Inputs &amp; Assumptions'!$T$29^2/2)),0)</f>
        <v>197993</v>
      </c>
      <c r="D821" s="46" t="n">
        <f aca="false">MIN(1,'Model Inputs &amp; Assumptions'!$U$29*EXP('Model Inputs &amp; Assumptions'!$V$29*Q821-'Model Inputs &amp; Assumptions'!$V$29^2/2))</f>
        <v>0</v>
      </c>
      <c r="E821" s="45" t="n">
        <f aca="false">ROUND(C821*D821,0)</f>
        <v>0</v>
      </c>
      <c r="F821" s="47" t="n">
        <f aca="false">MIN(1,'Model Inputs &amp; Assumptions'!$W$29*EXP('Model Inputs &amp; Assumptions'!$X$29*R821-'Model Inputs &amp; Assumptions'!$X$29^2/2))</f>
        <v>0.0020434135102775</v>
      </c>
      <c r="G821" s="45" t="n">
        <f aca="false">ROUND(C821*F821,0)</f>
        <v>405</v>
      </c>
      <c r="H821" s="48" t="n">
        <f aca="false">MAX(0,(C821*'Model Inputs &amp; Assumptions'!$N$29+E821*'Model Inputs &amp; Assumptions'!$O$29+G821*'Model Inputs &amp; Assumptions'!$P$29)*EXP('Model Inputs &amp; Assumptions'!$Q$29*S821-'Model Inputs &amp; Assumptions'!$Q$29^2/2))</f>
        <v>23.2756114513452</v>
      </c>
      <c r="I821" s="49" t="n">
        <f aca="false">IF('Model Inputs &amp; Assumptions'!$H$29="Fixed",'Model Inputs &amp; Assumptions'!$I$29*'Model Inputs &amp; Assumptions'!$K$29,IF('Model Inputs &amp; Assumptions'!$H$29="CPM",'Model Inputs &amp; Assumptions'!$I$29*'Model Inputs &amp; Assumptions'!$K$29*C821/1000,IF('Model Inputs &amp; Assumptions'!$H$29="CPC",'Model Inputs &amp; Assumptions'!$I$29*'Model Inputs &amp; Assumptions'!$K$29*G821,0)))</f>
        <v>6500</v>
      </c>
      <c r="J821" s="50" t="n">
        <f aca="false">H821*INDEX('Model Inputs &amp; Assumptions'!$D$40:$D$42,MATCH('Model Inputs &amp; Assumptions'!$L$29,'Model Inputs &amp; Assumptions'!$A$40:$A$42,0))*INDEX('Model Inputs &amp; Assumptions'!$H$40:$H$42,MATCH('Model Inputs &amp; Assumptions'!$L$29,'Model Inputs &amp; Assumptions'!$A$40:$A$42,0))</f>
        <v>197842.697336434</v>
      </c>
      <c r="K821" s="49" t="n">
        <f aca="false">H821*INDEX('Model Inputs &amp; Assumptions'!$G$40:$G$42,MATCH('Model Inputs &amp; Assumptions'!$L$29,'Model Inputs &amp; Assumptions'!$A$40:$A$42,0))*INDEX('Model Inputs &amp; Assumptions'!$H$40:$H$42,MATCH('Model Inputs &amp; Assumptions'!$L$29,'Model Inputs &amp; Assumptions'!$A$40:$A$42,0))</f>
        <v>4451.46069006977</v>
      </c>
      <c r="L821" s="51" t="n">
        <f aca="false">IFERROR(K821/I821,0)</f>
        <v>0.68484010616458</v>
      </c>
      <c r="M821" s="49" t="n">
        <f aca="false">IFERROR(I821/H821,0)</f>
        <v>279.262266153027</v>
      </c>
      <c r="N821" s="52" t="str">
        <f aca="false">'Model Inputs &amp; Assumptions'!$L$29</f>
        <v>PRD-EUAI</v>
      </c>
      <c r="P821" s="53" t="n">
        <v>0.109839</v>
      </c>
      <c r="Q821" s="53" t="n">
        <v>-1.951272</v>
      </c>
      <c r="R821" s="53" t="n">
        <v>-1.316317</v>
      </c>
      <c r="S821" s="53" t="n">
        <v>0.614171</v>
      </c>
    </row>
    <row r="822" customFormat="false" ht="15" hidden="false" customHeight="false" outlineLevel="0" collapsed="false">
      <c r="A822" s="43" t="n">
        <v>319</v>
      </c>
      <c r="B822" s="44" t="str">
        <f aca="false">'Model Inputs &amp; Assumptions'!$B$29</f>
        <v>Handelsblatt — Native Explainer</v>
      </c>
      <c r="C822" s="45" t="n">
        <f aca="false">ROUND(MAX(0,'Model Inputs &amp; Assumptions'!$S$29*EXP('Model Inputs &amp; Assumptions'!$T$29*P822-'Model Inputs &amp; Assumptions'!$T$29^2/2)),0)</f>
        <v>155013</v>
      </c>
      <c r="D822" s="46" t="n">
        <f aca="false">MIN(1,'Model Inputs &amp; Assumptions'!$U$29*EXP('Model Inputs &amp; Assumptions'!$V$29*Q822-'Model Inputs &amp; Assumptions'!$V$29^2/2))</f>
        <v>0</v>
      </c>
      <c r="E822" s="45" t="n">
        <f aca="false">ROUND(C822*D822,0)</f>
        <v>0</v>
      </c>
      <c r="F822" s="47" t="n">
        <f aca="false">MIN(1,'Model Inputs &amp; Assumptions'!$W$29*EXP('Model Inputs &amp; Assumptions'!$X$29*R822-'Model Inputs &amp; Assumptions'!$X$29^2/2))</f>
        <v>0.00228500958439037</v>
      </c>
      <c r="G822" s="45" t="n">
        <f aca="false">ROUND(C822*F822,0)</f>
        <v>354</v>
      </c>
      <c r="H822" s="48" t="n">
        <f aca="false">MAX(0,(C822*'Model Inputs &amp; Assumptions'!$N$29+E822*'Model Inputs &amp; Assumptions'!$O$29+G822*'Model Inputs &amp; Assumptions'!$P$29)*EXP('Model Inputs &amp; Assumptions'!$Q$29*S822-'Model Inputs &amp; Assumptions'!$Q$29^2/2))</f>
        <v>11.4940020631069</v>
      </c>
      <c r="I822" s="49" t="n">
        <f aca="false">IF('Model Inputs &amp; Assumptions'!$H$29="Fixed",'Model Inputs &amp; Assumptions'!$I$29*'Model Inputs &amp; Assumptions'!$K$29,IF('Model Inputs &amp; Assumptions'!$H$29="CPM",'Model Inputs &amp; Assumptions'!$I$29*'Model Inputs &amp; Assumptions'!$K$29*C822/1000,IF('Model Inputs &amp; Assumptions'!$H$29="CPC",'Model Inputs &amp; Assumptions'!$I$29*'Model Inputs &amp; Assumptions'!$K$29*G822,0)))</f>
        <v>6500</v>
      </c>
      <c r="J822" s="50" t="n">
        <f aca="false">H822*INDEX('Model Inputs &amp; Assumptions'!$D$40:$D$42,MATCH('Model Inputs &amp; Assumptions'!$L$29,'Model Inputs &amp; Assumptions'!$A$40:$A$42,0))*INDEX('Model Inputs &amp; Assumptions'!$H$40:$H$42,MATCH('Model Inputs &amp; Assumptions'!$L$29,'Model Inputs &amp; Assumptions'!$A$40:$A$42,0))</f>
        <v>97699.0175364087</v>
      </c>
      <c r="K822" s="49" t="n">
        <f aca="false">H822*INDEX('Model Inputs &amp; Assumptions'!$G$40:$G$42,MATCH('Model Inputs &amp; Assumptions'!$L$29,'Model Inputs &amp; Assumptions'!$A$40:$A$42,0))*INDEX('Model Inputs &amp; Assumptions'!$H$40:$H$42,MATCH('Model Inputs &amp; Assumptions'!$L$29,'Model Inputs &amp; Assumptions'!$A$40:$A$42,0))</f>
        <v>2198.2278945692</v>
      </c>
      <c r="L822" s="51" t="n">
        <f aca="false">IFERROR(K822/I822,0)</f>
        <v>0.338188906856799</v>
      </c>
      <c r="M822" s="49" t="n">
        <f aca="false">IFERROR(I822/H822,0)</f>
        <v>565.512339767495</v>
      </c>
      <c r="N822" s="52" t="str">
        <f aca="false">'Model Inputs &amp; Assumptions'!$L$29</f>
        <v>PRD-EUAI</v>
      </c>
      <c r="P822" s="53" t="n">
        <v>-1.002542</v>
      </c>
      <c r="Q822" s="53" t="n">
        <v>-1.062605</v>
      </c>
      <c r="R822" s="53" t="n">
        <v>-0.886515</v>
      </c>
      <c r="S822" s="53" t="n">
        <v>-1.289131</v>
      </c>
    </row>
    <row r="823" customFormat="false" ht="15" hidden="false" customHeight="false" outlineLevel="0" collapsed="false">
      <c r="A823" s="43" t="n">
        <v>320</v>
      </c>
      <c r="B823" s="44" t="str">
        <f aca="false">'Model Inputs &amp; Assumptions'!$B$29</f>
        <v>Handelsblatt — Native Explainer</v>
      </c>
      <c r="C823" s="45" t="n">
        <f aca="false">ROUND(MAX(0,'Model Inputs &amp; Assumptions'!$S$29*EXP('Model Inputs &amp; Assumptions'!$T$29*P823-'Model Inputs &amp; Assumptions'!$T$29^2/2)),0)</f>
        <v>190411</v>
      </c>
      <c r="D823" s="46" t="n">
        <f aca="false">MIN(1,'Model Inputs &amp; Assumptions'!$U$29*EXP('Model Inputs &amp; Assumptions'!$V$29*Q823-'Model Inputs &amp; Assumptions'!$V$29^2/2))</f>
        <v>0</v>
      </c>
      <c r="E823" s="45" t="n">
        <f aca="false">ROUND(C823*D823,0)</f>
        <v>0</v>
      </c>
      <c r="F823" s="47" t="n">
        <f aca="false">MIN(1,'Model Inputs &amp; Assumptions'!$W$29*EXP('Model Inputs &amp; Assumptions'!$X$29*R823-'Model Inputs &amp; Assumptions'!$X$29^2/2))</f>
        <v>0.00546214941924539</v>
      </c>
      <c r="G823" s="45" t="n">
        <f aca="false">ROUND(C823*F823,0)</f>
        <v>1040</v>
      </c>
      <c r="H823" s="48" t="n">
        <f aca="false">MAX(0,(C823*'Model Inputs &amp; Assumptions'!$N$29+E823*'Model Inputs &amp; Assumptions'!$O$29+G823*'Model Inputs &amp; Assumptions'!$P$29)*EXP('Model Inputs &amp; Assumptions'!$Q$29*S823-'Model Inputs &amp; Assumptions'!$Q$29^2/2))</f>
        <v>64.323234972822</v>
      </c>
      <c r="I823" s="49" t="n">
        <f aca="false">IF('Model Inputs &amp; Assumptions'!$H$29="Fixed",'Model Inputs &amp; Assumptions'!$I$29*'Model Inputs &amp; Assumptions'!$K$29,IF('Model Inputs &amp; Assumptions'!$H$29="CPM",'Model Inputs &amp; Assumptions'!$I$29*'Model Inputs &amp; Assumptions'!$K$29*C823/1000,IF('Model Inputs &amp; Assumptions'!$H$29="CPC",'Model Inputs &amp; Assumptions'!$I$29*'Model Inputs &amp; Assumptions'!$K$29*G823,0)))</f>
        <v>6500</v>
      </c>
      <c r="J823" s="50" t="n">
        <f aca="false">H823*INDEX('Model Inputs &amp; Assumptions'!$D$40:$D$42,MATCH('Model Inputs &amp; Assumptions'!$L$29,'Model Inputs &amp; Assumptions'!$A$40:$A$42,0))*INDEX('Model Inputs &amp; Assumptions'!$H$40:$H$42,MATCH('Model Inputs &amp; Assumptions'!$L$29,'Model Inputs &amp; Assumptions'!$A$40:$A$42,0))</f>
        <v>546747.497268987</v>
      </c>
      <c r="K823" s="49" t="n">
        <f aca="false">H823*INDEX('Model Inputs &amp; Assumptions'!$G$40:$G$42,MATCH('Model Inputs &amp; Assumptions'!$L$29,'Model Inputs &amp; Assumptions'!$A$40:$A$42,0))*INDEX('Model Inputs &amp; Assumptions'!$H$40:$H$42,MATCH('Model Inputs &amp; Assumptions'!$L$29,'Model Inputs &amp; Assumptions'!$A$40:$A$42,0))</f>
        <v>12301.8186885522</v>
      </c>
      <c r="L823" s="51" t="n">
        <f aca="false">IFERROR(K823/I823,0)</f>
        <v>1.89258749054649</v>
      </c>
      <c r="M823" s="49" t="n">
        <f aca="false">IFERROR(I823/H823,0)</f>
        <v>101.052131515873</v>
      </c>
      <c r="N823" s="52" t="str">
        <f aca="false">'Model Inputs &amp; Assumptions'!$L$29</f>
        <v>PRD-EUAI</v>
      </c>
      <c r="P823" s="53" t="n">
        <v>-0.067639</v>
      </c>
      <c r="Q823" s="53" t="n">
        <v>-0.140084</v>
      </c>
      <c r="R823" s="53" t="n">
        <v>2.465301</v>
      </c>
      <c r="S823" s="53" t="n">
        <v>0.858924</v>
      </c>
    </row>
    <row r="824" customFormat="false" ht="15" hidden="false" customHeight="false" outlineLevel="0" collapsed="false">
      <c r="A824" s="43" t="n">
        <v>321</v>
      </c>
      <c r="B824" s="44" t="str">
        <f aca="false">'Model Inputs &amp; Assumptions'!$B$29</f>
        <v>Handelsblatt — Native Explainer</v>
      </c>
      <c r="C824" s="45" t="n">
        <f aca="false">ROUND(MAX(0,'Model Inputs &amp; Assumptions'!$S$29*EXP('Model Inputs &amp; Assumptions'!$T$29*P824-'Model Inputs &amp; Assumptions'!$T$29^2/2)),0)</f>
        <v>214438</v>
      </c>
      <c r="D824" s="46" t="n">
        <f aca="false">MIN(1,'Model Inputs &amp; Assumptions'!$U$29*EXP('Model Inputs &amp; Assumptions'!$V$29*Q824-'Model Inputs &amp; Assumptions'!$V$29^2/2))</f>
        <v>0</v>
      </c>
      <c r="E824" s="45" t="n">
        <f aca="false">ROUND(C824*D824,0)</f>
        <v>0</v>
      </c>
      <c r="F824" s="47" t="n">
        <f aca="false">MIN(1,'Model Inputs &amp; Assumptions'!$W$29*EXP('Model Inputs &amp; Assumptions'!$X$29*R824-'Model Inputs &amp; Assumptions'!$X$29^2/2))</f>
        <v>0.00297463082487632</v>
      </c>
      <c r="G824" s="45" t="n">
        <f aca="false">ROUND(C824*F824,0)</f>
        <v>638</v>
      </c>
      <c r="H824" s="48" t="n">
        <f aca="false">MAX(0,(C824*'Model Inputs &amp; Assumptions'!$N$29+E824*'Model Inputs &amp; Assumptions'!$O$29+G824*'Model Inputs &amp; Assumptions'!$P$29)*EXP('Model Inputs &amp; Assumptions'!$Q$29*S824-'Model Inputs &amp; Assumptions'!$Q$29^2/2))</f>
        <v>18.2736824959257</v>
      </c>
      <c r="I824" s="49" t="n">
        <f aca="false">IF('Model Inputs &amp; Assumptions'!$H$29="Fixed",'Model Inputs &amp; Assumptions'!$I$29*'Model Inputs &amp; Assumptions'!$K$29,IF('Model Inputs &amp; Assumptions'!$H$29="CPM",'Model Inputs &amp; Assumptions'!$I$29*'Model Inputs &amp; Assumptions'!$K$29*C824/1000,IF('Model Inputs &amp; Assumptions'!$H$29="CPC",'Model Inputs &amp; Assumptions'!$I$29*'Model Inputs &amp; Assumptions'!$K$29*G824,0)))</f>
        <v>6500</v>
      </c>
      <c r="J824" s="50" t="n">
        <f aca="false">H824*INDEX('Model Inputs &amp; Assumptions'!$D$40:$D$42,MATCH('Model Inputs &amp; Assumptions'!$L$29,'Model Inputs &amp; Assumptions'!$A$40:$A$42,0))*INDEX('Model Inputs &amp; Assumptions'!$H$40:$H$42,MATCH('Model Inputs &amp; Assumptions'!$L$29,'Model Inputs &amp; Assumptions'!$A$40:$A$42,0))</f>
        <v>155326.301215368</v>
      </c>
      <c r="K824" s="49" t="n">
        <f aca="false">H824*INDEX('Model Inputs &amp; Assumptions'!$G$40:$G$42,MATCH('Model Inputs &amp; Assumptions'!$L$29,'Model Inputs &amp; Assumptions'!$A$40:$A$42,0))*INDEX('Model Inputs &amp; Assumptions'!$H$40:$H$42,MATCH('Model Inputs &amp; Assumptions'!$L$29,'Model Inputs &amp; Assumptions'!$A$40:$A$42,0))</f>
        <v>3494.84177734579</v>
      </c>
      <c r="L824" s="51" t="n">
        <f aca="false">IFERROR(K824/I824,0)</f>
        <v>0.537667965745506</v>
      </c>
      <c r="M824" s="49" t="n">
        <f aca="false">IFERROR(I824/H824,0)</f>
        <v>355.702798352179</v>
      </c>
      <c r="N824" s="52" t="str">
        <f aca="false">'Model Inputs &amp; Assumptions'!$L$29</f>
        <v>PRD-EUAI</v>
      </c>
      <c r="P824" s="53" t="n">
        <v>0.472511</v>
      </c>
      <c r="Q824" s="53" t="n">
        <v>-0.859386</v>
      </c>
      <c r="R824" s="53" t="n">
        <v>0.127907</v>
      </c>
      <c r="S824" s="53" t="n">
        <v>-1.707147</v>
      </c>
    </row>
    <row r="825" customFormat="false" ht="15" hidden="false" customHeight="false" outlineLevel="0" collapsed="false">
      <c r="A825" s="43" t="n">
        <v>322</v>
      </c>
      <c r="B825" s="44" t="str">
        <f aca="false">'Model Inputs &amp; Assumptions'!$B$29</f>
        <v>Handelsblatt — Native Explainer</v>
      </c>
      <c r="C825" s="45" t="n">
        <f aca="false">ROUND(MAX(0,'Model Inputs &amp; Assumptions'!$S$29*EXP('Model Inputs &amp; Assumptions'!$T$29*P825-'Model Inputs &amp; Assumptions'!$T$29^2/2)),0)</f>
        <v>184477</v>
      </c>
      <c r="D825" s="46" t="n">
        <f aca="false">MIN(1,'Model Inputs &amp; Assumptions'!$U$29*EXP('Model Inputs &amp; Assumptions'!$V$29*Q825-'Model Inputs &amp; Assumptions'!$V$29^2/2))</f>
        <v>0</v>
      </c>
      <c r="E825" s="45" t="n">
        <f aca="false">ROUND(C825*D825,0)</f>
        <v>0</v>
      </c>
      <c r="F825" s="47" t="n">
        <f aca="false">MIN(1,'Model Inputs &amp; Assumptions'!$W$29*EXP('Model Inputs &amp; Assumptions'!$X$29*R825-'Model Inputs &amp; Assumptions'!$X$29^2/2))</f>
        <v>0.00310855733398772</v>
      </c>
      <c r="G825" s="45" t="n">
        <f aca="false">ROUND(C825*F825,0)</f>
        <v>573</v>
      </c>
      <c r="H825" s="48" t="n">
        <f aca="false">MAX(0,(C825*'Model Inputs &amp; Assumptions'!$N$29+E825*'Model Inputs &amp; Assumptions'!$O$29+G825*'Model Inputs &amp; Assumptions'!$P$29)*EXP('Model Inputs &amp; Assumptions'!$Q$29*S825-'Model Inputs &amp; Assumptions'!$Q$29^2/2))</f>
        <v>23.5606663893548</v>
      </c>
      <c r="I825" s="49" t="n">
        <f aca="false">IF('Model Inputs &amp; Assumptions'!$H$29="Fixed",'Model Inputs &amp; Assumptions'!$I$29*'Model Inputs &amp; Assumptions'!$K$29,IF('Model Inputs &amp; Assumptions'!$H$29="CPM",'Model Inputs &amp; Assumptions'!$I$29*'Model Inputs &amp; Assumptions'!$K$29*C825/1000,IF('Model Inputs &amp; Assumptions'!$H$29="CPC",'Model Inputs &amp; Assumptions'!$I$29*'Model Inputs &amp; Assumptions'!$K$29*G825,0)))</f>
        <v>6500</v>
      </c>
      <c r="J825" s="50" t="n">
        <f aca="false">H825*INDEX('Model Inputs &amp; Assumptions'!$D$40:$D$42,MATCH('Model Inputs &amp; Assumptions'!$L$29,'Model Inputs &amp; Assumptions'!$A$40:$A$42,0))*INDEX('Model Inputs &amp; Assumptions'!$H$40:$H$42,MATCH('Model Inputs &amp; Assumptions'!$L$29,'Model Inputs &amp; Assumptions'!$A$40:$A$42,0))</f>
        <v>200265.664309516</v>
      </c>
      <c r="K825" s="49" t="n">
        <f aca="false">H825*INDEX('Model Inputs &amp; Assumptions'!$G$40:$G$42,MATCH('Model Inputs &amp; Assumptions'!$L$29,'Model Inputs &amp; Assumptions'!$A$40:$A$42,0))*INDEX('Model Inputs &amp; Assumptions'!$H$40:$H$42,MATCH('Model Inputs &amp; Assumptions'!$L$29,'Model Inputs &amp; Assumptions'!$A$40:$A$42,0))</f>
        <v>4505.97744696411</v>
      </c>
      <c r="L825" s="51" t="n">
        <f aca="false">IFERROR(K825/I825,0)</f>
        <v>0.69322729953294</v>
      </c>
      <c r="M825" s="49" t="n">
        <f aca="false">IFERROR(I825/H825,0)</f>
        <v>275.883537951916</v>
      </c>
      <c r="N825" s="52" t="str">
        <f aca="false">'Model Inputs &amp; Assumptions'!$L$29</f>
        <v>PRD-EUAI</v>
      </c>
      <c r="P825" s="53" t="n">
        <v>-0.211551</v>
      </c>
      <c r="Q825" s="53" t="n">
        <v>1.599389</v>
      </c>
      <c r="R825" s="53" t="n">
        <v>0.297287</v>
      </c>
      <c r="S825" s="53" t="n">
        <v>-0.501916</v>
      </c>
    </row>
    <row r="826" customFormat="false" ht="15" hidden="false" customHeight="false" outlineLevel="0" collapsed="false">
      <c r="A826" s="43" t="n">
        <v>323</v>
      </c>
      <c r="B826" s="44" t="str">
        <f aca="false">'Model Inputs &amp; Assumptions'!$B$29</f>
        <v>Handelsblatt — Native Explainer</v>
      </c>
      <c r="C826" s="45" t="n">
        <f aca="false">ROUND(MAX(0,'Model Inputs &amp; Assumptions'!$S$29*EXP('Model Inputs &amp; Assumptions'!$T$29*P826-'Model Inputs &amp; Assumptions'!$T$29^2/2)),0)</f>
        <v>196102</v>
      </c>
      <c r="D826" s="46" t="n">
        <f aca="false">MIN(1,'Model Inputs &amp; Assumptions'!$U$29*EXP('Model Inputs &amp; Assumptions'!$V$29*Q826-'Model Inputs &amp; Assumptions'!$V$29^2/2))</f>
        <v>0</v>
      </c>
      <c r="E826" s="45" t="n">
        <f aca="false">ROUND(C826*D826,0)</f>
        <v>0</v>
      </c>
      <c r="F826" s="47" t="n">
        <f aca="false">MIN(1,'Model Inputs &amp; Assumptions'!$W$29*EXP('Model Inputs &amp; Assumptions'!$X$29*R826-'Model Inputs &amp; Assumptions'!$X$29^2/2))</f>
        <v>0.00429345709822506</v>
      </c>
      <c r="G826" s="45" t="n">
        <f aca="false">ROUND(C826*F826,0)</f>
        <v>842</v>
      </c>
      <c r="H826" s="48" t="n">
        <f aca="false">MAX(0,(C826*'Model Inputs &amp; Assumptions'!$N$29+E826*'Model Inputs &amp; Assumptions'!$O$29+G826*'Model Inputs &amp; Assumptions'!$P$29)*EXP('Model Inputs &amp; Assumptions'!$Q$29*S826-'Model Inputs &amp; Assumptions'!$Q$29^2/2))</f>
        <v>49.6114741520642</v>
      </c>
      <c r="I826" s="49" t="n">
        <f aca="false">IF('Model Inputs &amp; Assumptions'!$H$29="Fixed",'Model Inputs &amp; Assumptions'!$I$29*'Model Inputs &amp; Assumptions'!$K$29,IF('Model Inputs &amp; Assumptions'!$H$29="CPM",'Model Inputs &amp; Assumptions'!$I$29*'Model Inputs &amp; Assumptions'!$K$29*C826/1000,IF('Model Inputs &amp; Assumptions'!$H$29="CPC",'Model Inputs &amp; Assumptions'!$I$29*'Model Inputs &amp; Assumptions'!$K$29*G826,0)))</f>
        <v>6500</v>
      </c>
      <c r="J826" s="50" t="n">
        <f aca="false">H826*INDEX('Model Inputs &amp; Assumptions'!$D$40:$D$42,MATCH('Model Inputs &amp; Assumptions'!$L$29,'Model Inputs &amp; Assumptions'!$A$40:$A$42,0))*INDEX('Model Inputs &amp; Assumptions'!$H$40:$H$42,MATCH('Model Inputs &amp; Assumptions'!$L$29,'Model Inputs &amp; Assumptions'!$A$40:$A$42,0))</f>
        <v>421697.530292545</v>
      </c>
      <c r="K826" s="49" t="n">
        <f aca="false">H826*INDEX('Model Inputs &amp; Assumptions'!$G$40:$G$42,MATCH('Model Inputs &amp; Assumptions'!$L$29,'Model Inputs &amp; Assumptions'!$A$40:$A$42,0))*INDEX('Model Inputs &amp; Assumptions'!$H$40:$H$42,MATCH('Model Inputs &amp; Assumptions'!$L$29,'Model Inputs &amp; Assumptions'!$A$40:$A$42,0))</f>
        <v>9488.19443158227</v>
      </c>
      <c r="L826" s="51" t="n">
        <f aca="false">IFERROR(K826/I826,0)</f>
        <v>1.45972222024343</v>
      </c>
      <c r="M826" s="49" t="n">
        <f aca="false">IFERROR(I826/H826,0)</f>
        <v>131.01807819854</v>
      </c>
      <c r="N826" s="52" t="str">
        <f aca="false">'Model Inputs &amp; Assumptions'!$L$29</f>
        <v>PRD-EUAI</v>
      </c>
      <c r="P826" s="53" t="n">
        <v>0.066207</v>
      </c>
      <c r="Q826" s="53" t="n">
        <v>0.592681</v>
      </c>
      <c r="R826" s="53" t="n">
        <v>1.539339</v>
      </c>
      <c r="S826" s="53" t="n">
        <v>0.697248</v>
      </c>
    </row>
    <row r="827" customFormat="false" ht="15" hidden="false" customHeight="false" outlineLevel="0" collapsed="false">
      <c r="A827" s="43" t="n">
        <v>324</v>
      </c>
      <c r="B827" s="44" t="str">
        <f aca="false">'Model Inputs &amp; Assumptions'!$B$29</f>
        <v>Handelsblatt — Native Explainer</v>
      </c>
      <c r="C827" s="45" t="n">
        <f aca="false">ROUND(MAX(0,'Model Inputs &amp; Assumptions'!$S$29*EXP('Model Inputs &amp; Assumptions'!$T$29*P827-'Model Inputs &amp; Assumptions'!$T$29^2/2)),0)</f>
        <v>168828</v>
      </c>
      <c r="D827" s="46" t="n">
        <f aca="false">MIN(1,'Model Inputs &amp; Assumptions'!$U$29*EXP('Model Inputs &amp; Assumptions'!$V$29*Q827-'Model Inputs &amp; Assumptions'!$V$29^2/2))</f>
        <v>0</v>
      </c>
      <c r="E827" s="45" t="n">
        <f aca="false">ROUND(C827*D827,0)</f>
        <v>0</v>
      </c>
      <c r="F827" s="47" t="n">
        <f aca="false">MIN(1,'Model Inputs &amp; Assumptions'!$W$29*EXP('Model Inputs &amp; Assumptions'!$X$29*R827-'Model Inputs &amp; Assumptions'!$X$29^2/2))</f>
        <v>0.00194030977627245</v>
      </c>
      <c r="G827" s="45" t="n">
        <f aca="false">ROUND(C827*F827,0)</f>
        <v>328</v>
      </c>
      <c r="H827" s="48" t="n">
        <f aca="false">MAX(0,(C827*'Model Inputs &amp; Assumptions'!$N$29+E827*'Model Inputs &amp; Assumptions'!$O$29+G827*'Model Inputs &amp; Assumptions'!$P$29)*EXP('Model Inputs &amp; Assumptions'!$Q$29*S827-'Model Inputs &amp; Assumptions'!$Q$29^2/2))</f>
        <v>18.3567055869508</v>
      </c>
      <c r="I827" s="49" t="n">
        <f aca="false">IF('Model Inputs &amp; Assumptions'!$H$29="Fixed",'Model Inputs &amp; Assumptions'!$I$29*'Model Inputs &amp; Assumptions'!$K$29,IF('Model Inputs &amp; Assumptions'!$H$29="CPM",'Model Inputs &amp; Assumptions'!$I$29*'Model Inputs &amp; Assumptions'!$K$29*C827/1000,IF('Model Inputs &amp; Assumptions'!$H$29="CPC",'Model Inputs &amp; Assumptions'!$I$29*'Model Inputs &amp; Assumptions'!$K$29*G827,0)))</f>
        <v>6500</v>
      </c>
      <c r="J827" s="50" t="n">
        <f aca="false">H827*INDEX('Model Inputs &amp; Assumptions'!$D$40:$D$42,MATCH('Model Inputs &amp; Assumptions'!$L$29,'Model Inputs &amp; Assumptions'!$A$40:$A$42,0))*INDEX('Model Inputs &amp; Assumptions'!$H$40:$H$42,MATCH('Model Inputs &amp; Assumptions'!$L$29,'Model Inputs &amp; Assumptions'!$A$40:$A$42,0))</f>
        <v>156031.997489082</v>
      </c>
      <c r="K827" s="49" t="n">
        <f aca="false">H827*INDEX('Model Inputs &amp; Assumptions'!$G$40:$G$42,MATCH('Model Inputs &amp; Assumptions'!$L$29,'Model Inputs &amp; Assumptions'!$A$40:$A$42,0))*INDEX('Model Inputs &amp; Assumptions'!$H$40:$H$42,MATCH('Model Inputs &amp; Assumptions'!$L$29,'Model Inputs &amp; Assumptions'!$A$40:$A$42,0))</f>
        <v>3510.71994350434</v>
      </c>
      <c r="L827" s="51" t="n">
        <f aca="false">IFERROR(K827/I827,0)</f>
        <v>0.54011076053913</v>
      </c>
      <c r="M827" s="49" t="n">
        <f aca="false">IFERROR(I827/H827,0)</f>
        <v>354.094037691635</v>
      </c>
      <c r="N827" s="52" t="str">
        <f aca="false">'Model Inputs &amp; Assumptions'!$L$29</f>
        <v>PRD-EUAI</v>
      </c>
      <c r="P827" s="53" t="n">
        <v>-0.614473</v>
      </c>
      <c r="Q827" s="53" t="n">
        <v>-0.519746</v>
      </c>
      <c r="R827" s="53" t="n">
        <v>-1.515448</v>
      </c>
      <c r="S827" s="53" t="n">
        <v>0.525712</v>
      </c>
    </row>
    <row r="828" customFormat="false" ht="15" hidden="false" customHeight="false" outlineLevel="0" collapsed="false">
      <c r="A828" s="43" t="n">
        <v>325</v>
      </c>
      <c r="B828" s="44" t="str">
        <f aca="false">'Model Inputs &amp; Assumptions'!$B$29</f>
        <v>Handelsblatt — Native Explainer</v>
      </c>
      <c r="C828" s="45" t="n">
        <f aca="false">ROUND(MAX(0,'Model Inputs &amp; Assumptions'!$S$29*EXP('Model Inputs &amp; Assumptions'!$T$29*P828-'Model Inputs &amp; Assumptions'!$T$29^2/2)),0)</f>
        <v>154201</v>
      </c>
      <c r="D828" s="46" t="n">
        <f aca="false">MIN(1,'Model Inputs &amp; Assumptions'!$U$29*EXP('Model Inputs &amp; Assumptions'!$V$29*Q828-'Model Inputs &amp; Assumptions'!$V$29^2/2))</f>
        <v>0</v>
      </c>
      <c r="E828" s="45" t="n">
        <f aca="false">ROUND(C828*D828,0)</f>
        <v>0</v>
      </c>
      <c r="F828" s="47" t="n">
        <f aca="false">MIN(1,'Model Inputs &amp; Assumptions'!$W$29*EXP('Model Inputs &amp; Assumptions'!$X$29*R828-'Model Inputs &amp; Assumptions'!$X$29^2/2))</f>
        <v>0.00260613718375368</v>
      </c>
      <c r="G828" s="45" t="n">
        <f aca="false">ROUND(C828*F828,0)</f>
        <v>402</v>
      </c>
      <c r="H828" s="48" t="n">
        <f aca="false">MAX(0,(C828*'Model Inputs &amp; Assumptions'!$N$29+E828*'Model Inputs &amp; Assumptions'!$O$29+G828*'Model Inputs &amp; Assumptions'!$P$29)*EXP('Model Inputs &amp; Assumptions'!$Q$29*S828-'Model Inputs &amp; Assumptions'!$Q$29^2/2))</f>
        <v>17.1134382091267</v>
      </c>
      <c r="I828" s="49" t="n">
        <f aca="false">IF('Model Inputs &amp; Assumptions'!$H$29="Fixed",'Model Inputs &amp; Assumptions'!$I$29*'Model Inputs &amp; Assumptions'!$K$29,IF('Model Inputs &amp; Assumptions'!$H$29="CPM",'Model Inputs &amp; Assumptions'!$I$29*'Model Inputs &amp; Assumptions'!$K$29*C828/1000,IF('Model Inputs &amp; Assumptions'!$H$29="CPC",'Model Inputs &amp; Assumptions'!$I$29*'Model Inputs &amp; Assumptions'!$K$29*G828,0)))</f>
        <v>6500</v>
      </c>
      <c r="J828" s="50" t="n">
        <f aca="false">H828*INDEX('Model Inputs &amp; Assumptions'!$D$40:$D$42,MATCH('Model Inputs &amp; Assumptions'!$L$29,'Model Inputs &amp; Assumptions'!$A$40:$A$42,0))*INDEX('Model Inputs &amp; Assumptions'!$H$40:$H$42,MATCH('Model Inputs &amp; Assumptions'!$L$29,'Model Inputs &amp; Assumptions'!$A$40:$A$42,0))</f>
        <v>145464.224777577</v>
      </c>
      <c r="K828" s="49" t="n">
        <f aca="false">H828*INDEX('Model Inputs &amp; Assumptions'!$G$40:$G$42,MATCH('Model Inputs &amp; Assumptions'!$L$29,'Model Inputs &amp; Assumptions'!$A$40:$A$42,0))*INDEX('Model Inputs &amp; Assumptions'!$H$40:$H$42,MATCH('Model Inputs &amp; Assumptions'!$L$29,'Model Inputs &amp; Assumptions'!$A$40:$A$42,0))</f>
        <v>3272.94505749548</v>
      </c>
      <c r="L828" s="51" t="n">
        <f aca="false">IFERROR(K828/I828,0)</f>
        <v>0.503530008845459</v>
      </c>
      <c r="M828" s="49" t="n">
        <f aca="false">IFERROR(I828/H828,0)</f>
        <v>379.818474848234</v>
      </c>
      <c r="N828" s="52" t="str">
        <f aca="false">'Model Inputs &amp; Assumptions'!$L$29</f>
        <v>PRD-EUAI</v>
      </c>
      <c r="P828" s="53" t="n">
        <v>-1.026419</v>
      </c>
      <c r="Q828" s="53" t="n">
        <v>-0.628182</v>
      </c>
      <c r="R828" s="53" t="n">
        <v>-0.38075</v>
      </c>
      <c r="S828" s="53" t="n">
        <v>-0.386186</v>
      </c>
    </row>
    <row r="829" customFormat="false" ht="15" hidden="false" customHeight="false" outlineLevel="0" collapsed="false">
      <c r="A829" s="43" t="n">
        <v>326</v>
      </c>
      <c r="B829" s="44" t="str">
        <f aca="false">'Model Inputs &amp; Assumptions'!$B$29</f>
        <v>Handelsblatt — Native Explainer</v>
      </c>
      <c r="C829" s="45" t="n">
        <f aca="false">ROUND(MAX(0,'Model Inputs &amp; Assumptions'!$S$29*EXP('Model Inputs &amp; Assumptions'!$T$29*P829-'Model Inputs &amp; Assumptions'!$T$29^2/2)),0)</f>
        <v>156903</v>
      </c>
      <c r="D829" s="46" t="n">
        <f aca="false">MIN(1,'Model Inputs &amp; Assumptions'!$U$29*EXP('Model Inputs &amp; Assumptions'!$V$29*Q829-'Model Inputs &amp; Assumptions'!$V$29^2/2))</f>
        <v>0</v>
      </c>
      <c r="E829" s="45" t="n">
        <f aca="false">ROUND(C829*D829,0)</f>
        <v>0</v>
      </c>
      <c r="F829" s="47" t="n">
        <f aca="false">MIN(1,'Model Inputs &amp; Assumptions'!$W$29*EXP('Model Inputs &amp; Assumptions'!$X$29*R829-'Model Inputs &amp; Assumptions'!$X$29^2/2))</f>
        <v>0.00231701435007971</v>
      </c>
      <c r="G829" s="45" t="n">
        <f aca="false">ROUND(C829*F829,0)</f>
        <v>364</v>
      </c>
      <c r="H829" s="48" t="n">
        <f aca="false">MAX(0,(C829*'Model Inputs &amp; Assumptions'!$N$29+E829*'Model Inputs &amp; Assumptions'!$O$29+G829*'Model Inputs &amp; Assumptions'!$P$29)*EXP('Model Inputs &amp; Assumptions'!$Q$29*S829-'Model Inputs &amp; Assumptions'!$Q$29^2/2))</f>
        <v>29.1179841141441</v>
      </c>
      <c r="I829" s="49" t="n">
        <f aca="false">IF('Model Inputs &amp; Assumptions'!$H$29="Fixed",'Model Inputs &amp; Assumptions'!$I$29*'Model Inputs &amp; Assumptions'!$K$29,IF('Model Inputs &amp; Assumptions'!$H$29="CPM",'Model Inputs &amp; Assumptions'!$I$29*'Model Inputs &amp; Assumptions'!$K$29*C829/1000,IF('Model Inputs &amp; Assumptions'!$H$29="CPC",'Model Inputs &amp; Assumptions'!$I$29*'Model Inputs &amp; Assumptions'!$K$29*G829,0)))</f>
        <v>6500</v>
      </c>
      <c r="J829" s="50" t="n">
        <f aca="false">H829*INDEX('Model Inputs &amp; Assumptions'!$D$40:$D$42,MATCH('Model Inputs &amp; Assumptions'!$L$29,'Model Inputs &amp; Assumptions'!$A$40:$A$42,0))*INDEX('Model Inputs &amp; Assumptions'!$H$40:$H$42,MATCH('Model Inputs &amp; Assumptions'!$L$29,'Model Inputs &amp; Assumptions'!$A$40:$A$42,0))</f>
        <v>247502.864970225</v>
      </c>
      <c r="K829" s="49" t="n">
        <f aca="false">H829*INDEX('Model Inputs &amp; Assumptions'!$G$40:$G$42,MATCH('Model Inputs &amp; Assumptions'!$L$29,'Model Inputs &amp; Assumptions'!$A$40:$A$42,0))*INDEX('Model Inputs &amp; Assumptions'!$H$40:$H$42,MATCH('Model Inputs &amp; Assumptions'!$L$29,'Model Inputs &amp; Assumptions'!$A$40:$A$42,0))</f>
        <v>5568.81446183006</v>
      </c>
      <c r="L829" s="51" t="n">
        <f aca="false">IFERROR(K829/I829,0)</f>
        <v>0.856740686435394</v>
      </c>
      <c r="M829" s="49" t="n">
        <f aca="false">IFERROR(I829/H829,0)</f>
        <v>223.229739205834</v>
      </c>
      <c r="N829" s="52" t="str">
        <f aca="false">'Model Inputs &amp; Assumptions'!$L$29</f>
        <v>PRD-EUAI</v>
      </c>
      <c r="P829" s="53" t="n">
        <v>-0.947454</v>
      </c>
      <c r="Q829" s="53" t="n">
        <v>1.320438</v>
      </c>
      <c r="R829" s="53" t="n">
        <v>-0.833018</v>
      </c>
      <c r="S829" s="53" t="n">
        <v>1.716448</v>
      </c>
    </row>
    <row r="830" customFormat="false" ht="15" hidden="false" customHeight="false" outlineLevel="0" collapsed="false">
      <c r="A830" s="43" t="n">
        <v>327</v>
      </c>
      <c r="B830" s="44" t="str">
        <f aca="false">'Model Inputs &amp; Assumptions'!$B$29</f>
        <v>Handelsblatt — Native Explainer</v>
      </c>
      <c r="C830" s="45" t="n">
        <f aca="false">ROUND(MAX(0,'Model Inputs &amp; Assumptions'!$S$29*EXP('Model Inputs &amp; Assumptions'!$T$29*P830-'Model Inputs &amp; Assumptions'!$T$29^2/2)),0)</f>
        <v>192007</v>
      </c>
      <c r="D830" s="46" t="n">
        <f aca="false">MIN(1,'Model Inputs &amp; Assumptions'!$U$29*EXP('Model Inputs &amp; Assumptions'!$V$29*Q830-'Model Inputs &amp; Assumptions'!$V$29^2/2))</f>
        <v>0</v>
      </c>
      <c r="E830" s="45" t="n">
        <f aca="false">ROUND(C830*D830,0)</f>
        <v>0</v>
      </c>
      <c r="F830" s="47" t="n">
        <f aca="false">MIN(1,'Model Inputs &amp; Assumptions'!$W$29*EXP('Model Inputs &amp; Assumptions'!$X$29*R830-'Model Inputs &amp; Assumptions'!$X$29^2/2))</f>
        <v>0.00290055929522289</v>
      </c>
      <c r="G830" s="45" t="n">
        <f aca="false">ROUND(C830*F830,0)</f>
        <v>557</v>
      </c>
      <c r="H830" s="48" t="n">
        <f aca="false">MAX(0,(C830*'Model Inputs &amp; Assumptions'!$N$29+E830*'Model Inputs &amp; Assumptions'!$O$29+G830*'Model Inputs &amp; Assumptions'!$P$29)*EXP('Model Inputs &amp; Assumptions'!$Q$29*S830-'Model Inputs &amp; Assumptions'!$Q$29^2/2))</f>
        <v>28.8039999996161</v>
      </c>
      <c r="I830" s="49" t="n">
        <f aca="false">IF('Model Inputs &amp; Assumptions'!$H$29="Fixed",'Model Inputs &amp; Assumptions'!$I$29*'Model Inputs &amp; Assumptions'!$K$29,IF('Model Inputs &amp; Assumptions'!$H$29="CPM",'Model Inputs &amp; Assumptions'!$I$29*'Model Inputs &amp; Assumptions'!$K$29*C830/1000,IF('Model Inputs &amp; Assumptions'!$H$29="CPC",'Model Inputs &amp; Assumptions'!$I$29*'Model Inputs &amp; Assumptions'!$K$29*G830,0)))</f>
        <v>6500</v>
      </c>
      <c r="J830" s="50" t="n">
        <f aca="false">H830*INDEX('Model Inputs &amp; Assumptions'!$D$40:$D$42,MATCH('Model Inputs &amp; Assumptions'!$L$29,'Model Inputs &amp; Assumptions'!$A$40:$A$42,0))*INDEX('Model Inputs &amp; Assumptions'!$H$40:$H$42,MATCH('Model Inputs &amp; Assumptions'!$L$29,'Model Inputs &amp; Assumptions'!$A$40:$A$42,0))</f>
        <v>244833.999996737</v>
      </c>
      <c r="K830" s="49" t="n">
        <f aca="false">H830*INDEX('Model Inputs &amp; Assumptions'!$G$40:$G$42,MATCH('Model Inputs &amp; Assumptions'!$L$29,'Model Inputs &amp; Assumptions'!$A$40:$A$42,0))*INDEX('Model Inputs &amp; Assumptions'!$H$40:$H$42,MATCH('Model Inputs &amp; Assumptions'!$L$29,'Model Inputs &amp; Assumptions'!$A$40:$A$42,0))</f>
        <v>5508.76499992658</v>
      </c>
      <c r="L830" s="51" t="n">
        <f aca="false">IFERROR(K830/I830,0)</f>
        <v>0.847502307681013</v>
      </c>
      <c r="M830" s="49" t="n">
        <f aca="false">IFERROR(I830/H830,0)</f>
        <v>225.663102349904</v>
      </c>
      <c r="N830" s="52" t="str">
        <f aca="false">'Model Inputs &amp; Assumptions'!$L$29</f>
        <v>PRD-EUAI</v>
      </c>
      <c r="P830" s="53" t="n">
        <v>-0.029707</v>
      </c>
      <c r="Q830" s="53" t="n">
        <v>-0.89454</v>
      </c>
      <c r="R830" s="53" t="n">
        <v>0.030921</v>
      </c>
      <c r="S830" s="53" t="n">
        <v>0.262271</v>
      </c>
    </row>
    <row r="831" customFormat="false" ht="15" hidden="false" customHeight="false" outlineLevel="0" collapsed="false">
      <c r="A831" s="43" t="n">
        <v>328</v>
      </c>
      <c r="B831" s="44" t="str">
        <f aca="false">'Model Inputs &amp; Assumptions'!$B$29</f>
        <v>Handelsblatt — Native Explainer</v>
      </c>
      <c r="C831" s="45" t="n">
        <f aca="false">ROUND(MAX(0,'Model Inputs &amp; Assumptions'!$S$29*EXP('Model Inputs &amp; Assumptions'!$T$29*P831-'Model Inputs &amp; Assumptions'!$T$29^2/2)),0)</f>
        <v>194526</v>
      </c>
      <c r="D831" s="46" t="n">
        <f aca="false">MIN(1,'Model Inputs &amp; Assumptions'!$U$29*EXP('Model Inputs &amp; Assumptions'!$V$29*Q831-'Model Inputs &amp; Assumptions'!$V$29^2/2))</f>
        <v>0</v>
      </c>
      <c r="E831" s="45" t="n">
        <f aca="false">ROUND(C831*D831,0)</f>
        <v>0</v>
      </c>
      <c r="F831" s="47" t="n">
        <f aca="false">MIN(1,'Model Inputs &amp; Assumptions'!$W$29*EXP('Model Inputs &amp; Assumptions'!$X$29*R831-'Model Inputs &amp; Assumptions'!$X$29^2/2))</f>
        <v>0.00320317651640241</v>
      </c>
      <c r="G831" s="45" t="n">
        <f aca="false">ROUND(C831*F831,0)</f>
        <v>623</v>
      </c>
      <c r="H831" s="48" t="n">
        <f aca="false">MAX(0,(C831*'Model Inputs &amp; Assumptions'!$N$29+E831*'Model Inputs &amp; Assumptions'!$O$29+G831*'Model Inputs &amp; Assumptions'!$P$29)*EXP('Model Inputs &amp; Assumptions'!$Q$29*S831-'Model Inputs &amp; Assumptions'!$Q$29^2/2))</f>
        <v>24.9816922159052</v>
      </c>
      <c r="I831" s="49" t="n">
        <f aca="false">IF('Model Inputs &amp; Assumptions'!$H$29="Fixed",'Model Inputs &amp; Assumptions'!$I$29*'Model Inputs &amp; Assumptions'!$K$29,IF('Model Inputs &amp; Assumptions'!$H$29="CPM",'Model Inputs &amp; Assumptions'!$I$29*'Model Inputs &amp; Assumptions'!$K$29*C831/1000,IF('Model Inputs &amp; Assumptions'!$H$29="CPC",'Model Inputs &amp; Assumptions'!$I$29*'Model Inputs &amp; Assumptions'!$K$29*G831,0)))</f>
        <v>6500</v>
      </c>
      <c r="J831" s="50" t="n">
        <f aca="false">H831*INDEX('Model Inputs &amp; Assumptions'!$D$40:$D$42,MATCH('Model Inputs &amp; Assumptions'!$L$29,'Model Inputs &amp; Assumptions'!$A$40:$A$42,0))*INDEX('Model Inputs &amp; Assumptions'!$H$40:$H$42,MATCH('Model Inputs &amp; Assumptions'!$L$29,'Model Inputs &amp; Assumptions'!$A$40:$A$42,0))</f>
        <v>212344.383835194</v>
      </c>
      <c r="K831" s="49" t="n">
        <f aca="false">H831*INDEX('Model Inputs &amp; Assumptions'!$G$40:$G$42,MATCH('Model Inputs &amp; Assumptions'!$L$29,'Model Inputs &amp; Assumptions'!$A$40:$A$42,0))*INDEX('Model Inputs &amp; Assumptions'!$H$40:$H$42,MATCH('Model Inputs &amp; Assumptions'!$L$29,'Model Inputs &amp; Assumptions'!$A$40:$A$42,0))</f>
        <v>4777.74863629187</v>
      </c>
      <c r="L831" s="51" t="n">
        <f aca="false">IFERROR(K831/I831,0)</f>
        <v>0.735038251737211</v>
      </c>
      <c r="M831" s="49" t="n">
        <f aca="false">IFERROR(I831/H831,0)</f>
        <v>260.190540489552</v>
      </c>
      <c r="N831" s="52" t="str">
        <f aca="false">'Model Inputs &amp; Assumptions'!$L$29</f>
        <v>PRD-EUAI</v>
      </c>
      <c r="P831" s="53" t="n">
        <v>0.029548</v>
      </c>
      <c r="Q831" s="53" t="n">
        <v>-0.487179</v>
      </c>
      <c r="R831" s="53" t="n">
        <v>0.412611</v>
      </c>
      <c r="S831" s="53" t="n">
        <v>-0.58557</v>
      </c>
    </row>
    <row r="832" customFormat="false" ht="15" hidden="false" customHeight="false" outlineLevel="0" collapsed="false">
      <c r="A832" s="43" t="n">
        <v>329</v>
      </c>
      <c r="B832" s="44" t="str">
        <f aca="false">'Model Inputs &amp; Assumptions'!$B$29</f>
        <v>Handelsblatt — Native Explainer</v>
      </c>
      <c r="C832" s="45" t="n">
        <f aca="false">ROUND(MAX(0,'Model Inputs &amp; Assumptions'!$S$29*EXP('Model Inputs &amp; Assumptions'!$T$29*P832-'Model Inputs &amp; Assumptions'!$T$29^2/2)),0)</f>
        <v>240390</v>
      </c>
      <c r="D832" s="46" t="n">
        <f aca="false">MIN(1,'Model Inputs &amp; Assumptions'!$U$29*EXP('Model Inputs &amp; Assumptions'!$V$29*Q832-'Model Inputs &amp; Assumptions'!$V$29^2/2))</f>
        <v>0</v>
      </c>
      <c r="E832" s="45" t="n">
        <f aca="false">ROUND(C832*D832,0)</f>
        <v>0</v>
      </c>
      <c r="F832" s="47" t="n">
        <f aca="false">MIN(1,'Model Inputs &amp; Assumptions'!$W$29*EXP('Model Inputs &amp; Assumptions'!$X$29*R832-'Model Inputs &amp; Assumptions'!$X$29^2/2))</f>
        <v>0.00297096328561443</v>
      </c>
      <c r="G832" s="45" t="n">
        <f aca="false">ROUND(C832*F832,0)</f>
        <v>714</v>
      </c>
      <c r="H832" s="48" t="n">
        <f aca="false">MAX(0,(C832*'Model Inputs &amp; Assumptions'!$N$29+E832*'Model Inputs &amp; Assumptions'!$O$29+G832*'Model Inputs &amp; Assumptions'!$P$29)*EXP('Model Inputs &amp; Assumptions'!$Q$29*S832-'Model Inputs &amp; Assumptions'!$Q$29^2/2))</f>
        <v>31.2266278882995</v>
      </c>
      <c r="I832" s="49" t="n">
        <f aca="false">IF('Model Inputs &amp; Assumptions'!$H$29="Fixed",'Model Inputs &amp; Assumptions'!$I$29*'Model Inputs &amp; Assumptions'!$K$29,IF('Model Inputs &amp; Assumptions'!$H$29="CPM",'Model Inputs &amp; Assumptions'!$I$29*'Model Inputs &amp; Assumptions'!$K$29*C832/1000,IF('Model Inputs &amp; Assumptions'!$H$29="CPC",'Model Inputs &amp; Assumptions'!$I$29*'Model Inputs &amp; Assumptions'!$K$29*G832,0)))</f>
        <v>6500</v>
      </c>
      <c r="J832" s="50" t="n">
        <f aca="false">H832*INDEX('Model Inputs &amp; Assumptions'!$D$40:$D$42,MATCH('Model Inputs &amp; Assumptions'!$L$29,'Model Inputs &amp; Assumptions'!$A$40:$A$42,0))*INDEX('Model Inputs &amp; Assumptions'!$H$40:$H$42,MATCH('Model Inputs &amp; Assumptions'!$L$29,'Model Inputs &amp; Assumptions'!$A$40:$A$42,0))</f>
        <v>265426.337050545</v>
      </c>
      <c r="K832" s="49" t="n">
        <f aca="false">H832*INDEX('Model Inputs &amp; Assumptions'!$G$40:$G$42,MATCH('Model Inputs &amp; Assumptions'!$L$29,'Model Inputs &amp; Assumptions'!$A$40:$A$42,0))*INDEX('Model Inputs &amp; Assumptions'!$H$40:$H$42,MATCH('Model Inputs &amp; Assumptions'!$L$29,'Model Inputs &amp; Assumptions'!$A$40:$A$42,0))</f>
        <v>5972.09258363727</v>
      </c>
      <c r="L832" s="51" t="n">
        <f aca="false">IFERROR(K832/I832,0)</f>
        <v>0.918783474405734</v>
      </c>
      <c r="M832" s="49" t="n">
        <f aca="false">IFERROR(I832/H832,0)</f>
        <v>208.155681210636</v>
      </c>
      <c r="N832" s="52" t="str">
        <f aca="false">'Model Inputs &amp; Assumptions'!$L$29</f>
        <v>PRD-EUAI</v>
      </c>
      <c r="P832" s="53" t="n">
        <v>0.991799</v>
      </c>
      <c r="Q832" s="53" t="n">
        <v>-0.00043</v>
      </c>
      <c r="R832" s="53" t="n">
        <v>0.123162</v>
      </c>
      <c r="S832" s="53" t="n">
        <v>-0.296265</v>
      </c>
    </row>
    <row r="833" customFormat="false" ht="15" hidden="false" customHeight="false" outlineLevel="0" collapsed="false">
      <c r="A833" s="43" t="n">
        <v>330</v>
      </c>
      <c r="B833" s="44" t="str">
        <f aca="false">'Model Inputs &amp; Assumptions'!$B$29</f>
        <v>Handelsblatt — Native Explainer</v>
      </c>
      <c r="C833" s="45" t="n">
        <f aca="false">ROUND(MAX(0,'Model Inputs &amp; Assumptions'!$S$29*EXP('Model Inputs &amp; Assumptions'!$T$29*P833-'Model Inputs &amp; Assumptions'!$T$29^2/2)),0)</f>
        <v>153015</v>
      </c>
      <c r="D833" s="46" t="n">
        <f aca="false">MIN(1,'Model Inputs &amp; Assumptions'!$U$29*EXP('Model Inputs &amp; Assumptions'!$V$29*Q833-'Model Inputs &amp; Assumptions'!$V$29^2/2))</f>
        <v>0</v>
      </c>
      <c r="E833" s="45" t="n">
        <f aca="false">ROUND(C833*D833,0)</f>
        <v>0</v>
      </c>
      <c r="F833" s="47" t="n">
        <f aca="false">MIN(1,'Model Inputs &amp; Assumptions'!$W$29*EXP('Model Inputs &amp; Assumptions'!$X$29*R833-'Model Inputs &amp; Assumptions'!$X$29^2/2))</f>
        <v>0.00331109323991324</v>
      </c>
      <c r="G833" s="45" t="n">
        <f aca="false">ROUND(C833*F833,0)</f>
        <v>507</v>
      </c>
      <c r="H833" s="48" t="n">
        <f aca="false">MAX(0,(C833*'Model Inputs &amp; Assumptions'!$N$29+E833*'Model Inputs &amp; Assumptions'!$O$29+G833*'Model Inputs &amp; Assumptions'!$P$29)*EXP('Model Inputs &amp; Assumptions'!$Q$29*S833-'Model Inputs &amp; Assumptions'!$Q$29^2/2))</f>
        <v>24.444837050334</v>
      </c>
      <c r="I833" s="49" t="n">
        <f aca="false">IF('Model Inputs &amp; Assumptions'!$H$29="Fixed",'Model Inputs &amp; Assumptions'!$I$29*'Model Inputs &amp; Assumptions'!$K$29,IF('Model Inputs &amp; Assumptions'!$H$29="CPM",'Model Inputs &amp; Assumptions'!$I$29*'Model Inputs &amp; Assumptions'!$K$29*C833/1000,IF('Model Inputs &amp; Assumptions'!$H$29="CPC",'Model Inputs &amp; Assumptions'!$I$29*'Model Inputs &amp; Assumptions'!$K$29*G833,0)))</f>
        <v>6500</v>
      </c>
      <c r="J833" s="50" t="n">
        <f aca="false">H833*INDEX('Model Inputs &amp; Assumptions'!$D$40:$D$42,MATCH('Model Inputs &amp; Assumptions'!$L$29,'Model Inputs &amp; Assumptions'!$A$40:$A$42,0))*INDEX('Model Inputs &amp; Assumptions'!$H$40:$H$42,MATCH('Model Inputs &amp; Assumptions'!$L$29,'Model Inputs &amp; Assumptions'!$A$40:$A$42,0))</f>
        <v>207781.114927839</v>
      </c>
      <c r="K833" s="49" t="n">
        <f aca="false">H833*INDEX('Model Inputs &amp; Assumptions'!$G$40:$G$42,MATCH('Model Inputs &amp; Assumptions'!$L$29,'Model Inputs &amp; Assumptions'!$A$40:$A$42,0))*INDEX('Model Inputs &amp; Assumptions'!$H$40:$H$42,MATCH('Model Inputs &amp; Assumptions'!$L$29,'Model Inputs &amp; Assumptions'!$A$40:$A$42,0))</f>
        <v>4675.07508587639</v>
      </c>
      <c r="L833" s="51" t="n">
        <f aca="false">IFERROR(K833/I833,0)</f>
        <v>0.719242320904059</v>
      </c>
      <c r="M833" s="49" t="n">
        <f aca="false">IFERROR(I833/H833,0)</f>
        <v>265.904820171881</v>
      </c>
      <c r="N833" s="52" t="str">
        <f aca="false">'Model Inputs &amp; Assumptions'!$L$29</f>
        <v>PRD-EUAI</v>
      </c>
      <c r="P833" s="53" t="n">
        <v>-1.061493</v>
      </c>
      <c r="Q833" s="53" t="n">
        <v>0.109587</v>
      </c>
      <c r="R833" s="53" t="n">
        <v>0.540055</v>
      </c>
      <c r="S833" s="53" t="n">
        <v>0.028801</v>
      </c>
    </row>
    <row r="834" customFormat="false" ht="15" hidden="false" customHeight="false" outlineLevel="0" collapsed="false">
      <c r="A834" s="43" t="n">
        <v>331</v>
      </c>
      <c r="B834" s="44" t="str">
        <f aca="false">'Model Inputs &amp; Assumptions'!$B$29</f>
        <v>Handelsblatt — Native Explainer</v>
      </c>
      <c r="C834" s="45" t="n">
        <f aca="false">ROUND(MAX(0,'Model Inputs &amp; Assumptions'!$S$29*EXP('Model Inputs &amp; Assumptions'!$T$29*P834-'Model Inputs &amp; Assumptions'!$T$29^2/2)),0)</f>
        <v>156460</v>
      </c>
      <c r="D834" s="46" t="n">
        <f aca="false">MIN(1,'Model Inputs &amp; Assumptions'!$U$29*EXP('Model Inputs &amp; Assumptions'!$V$29*Q834-'Model Inputs &amp; Assumptions'!$V$29^2/2))</f>
        <v>0</v>
      </c>
      <c r="E834" s="45" t="n">
        <f aca="false">ROUND(C834*D834,0)</f>
        <v>0</v>
      </c>
      <c r="F834" s="47" t="n">
        <f aca="false">MIN(1,'Model Inputs &amp; Assumptions'!$W$29*EXP('Model Inputs &amp; Assumptions'!$X$29*R834-'Model Inputs &amp; Assumptions'!$X$29^2/2))</f>
        <v>0.00231187055014047</v>
      </c>
      <c r="G834" s="45" t="n">
        <f aca="false">ROUND(C834*F834,0)</f>
        <v>362</v>
      </c>
      <c r="H834" s="48" t="n">
        <f aca="false">MAX(0,(C834*'Model Inputs &amp; Assumptions'!$N$29+E834*'Model Inputs &amp; Assumptions'!$O$29+G834*'Model Inputs &amp; Assumptions'!$P$29)*EXP('Model Inputs &amp; Assumptions'!$Q$29*S834-'Model Inputs &amp; Assumptions'!$Q$29^2/2))</f>
        <v>25.2382156101913</v>
      </c>
      <c r="I834" s="49" t="n">
        <f aca="false">IF('Model Inputs &amp; Assumptions'!$H$29="Fixed",'Model Inputs &amp; Assumptions'!$I$29*'Model Inputs &amp; Assumptions'!$K$29,IF('Model Inputs &amp; Assumptions'!$H$29="CPM",'Model Inputs &amp; Assumptions'!$I$29*'Model Inputs &amp; Assumptions'!$K$29*C834/1000,IF('Model Inputs &amp; Assumptions'!$H$29="CPC",'Model Inputs &amp; Assumptions'!$I$29*'Model Inputs &amp; Assumptions'!$K$29*G834,0)))</f>
        <v>6500</v>
      </c>
      <c r="J834" s="50" t="n">
        <f aca="false">H834*INDEX('Model Inputs &amp; Assumptions'!$D$40:$D$42,MATCH('Model Inputs &amp; Assumptions'!$L$29,'Model Inputs &amp; Assumptions'!$A$40:$A$42,0))*INDEX('Model Inputs &amp; Assumptions'!$H$40:$H$42,MATCH('Model Inputs &amp; Assumptions'!$L$29,'Model Inputs &amp; Assumptions'!$A$40:$A$42,0))</f>
        <v>214524.832686626</v>
      </c>
      <c r="K834" s="49" t="n">
        <f aca="false">H834*INDEX('Model Inputs &amp; Assumptions'!$G$40:$G$42,MATCH('Model Inputs &amp; Assumptions'!$L$29,'Model Inputs &amp; Assumptions'!$A$40:$A$42,0))*INDEX('Model Inputs &amp; Assumptions'!$H$40:$H$42,MATCH('Model Inputs &amp; Assumptions'!$L$29,'Model Inputs &amp; Assumptions'!$A$40:$A$42,0))</f>
        <v>4826.80873544908</v>
      </c>
      <c r="L834" s="51" t="n">
        <f aca="false">IFERROR(K834/I834,0)</f>
        <v>0.742585959299859</v>
      </c>
      <c r="M834" s="49" t="n">
        <f aca="false">IFERROR(I834/H834,0)</f>
        <v>257.545941456149</v>
      </c>
      <c r="N834" s="52" t="str">
        <f aca="false">'Model Inputs &amp; Assumptions'!$L$29</f>
        <v>PRD-EUAI</v>
      </c>
      <c r="P834" s="53" t="n">
        <v>-0.960292</v>
      </c>
      <c r="Q834" s="53" t="n">
        <v>1.563663</v>
      </c>
      <c r="R834" s="53" t="n">
        <v>-0.841566</v>
      </c>
      <c r="S834" s="53" t="n">
        <v>1.258158</v>
      </c>
    </row>
    <row r="835" customFormat="false" ht="15" hidden="false" customHeight="false" outlineLevel="0" collapsed="false">
      <c r="A835" s="43" t="n">
        <v>332</v>
      </c>
      <c r="B835" s="44" t="str">
        <f aca="false">'Model Inputs &amp; Assumptions'!$B$29</f>
        <v>Handelsblatt — Native Explainer</v>
      </c>
      <c r="C835" s="45" t="n">
        <f aca="false">ROUND(MAX(0,'Model Inputs &amp; Assumptions'!$S$29*EXP('Model Inputs &amp; Assumptions'!$T$29*P835-'Model Inputs &amp; Assumptions'!$T$29^2/2)),0)</f>
        <v>206431</v>
      </c>
      <c r="D835" s="46" t="n">
        <f aca="false">MIN(1,'Model Inputs &amp; Assumptions'!$U$29*EXP('Model Inputs &amp; Assumptions'!$V$29*Q835-'Model Inputs &amp; Assumptions'!$V$29^2/2))</f>
        <v>0</v>
      </c>
      <c r="E835" s="45" t="n">
        <f aca="false">ROUND(C835*D835,0)</f>
        <v>0</v>
      </c>
      <c r="F835" s="47" t="n">
        <f aca="false">MIN(1,'Model Inputs &amp; Assumptions'!$W$29*EXP('Model Inputs &amp; Assumptions'!$X$29*R835-'Model Inputs &amp; Assumptions'!$X$29^2/2))</f>
        <v>0.00316678462365194</v>
      </c>
      <c r="G835" s="45" t="n">
        <f aca="false">ROUND(C835*F835,0)</f>
        <v>654</v>
      </c>
      <c r="H835" s="48" t="n">
        <f aca="false">MAX(0,(C835*'Model Inputs &amp; Assumptions'!$N$29+E835*'Model Inputs &amp; Assumptions'!$O$29+G835*'Model Inputs &amp; Assumptions'!$P$29)*EXP('Model Inputs &amp; Assumptions'!$Q$29*S835-'Model Inputs &amp; Assumptions'!$Q$29^2/2))</f>
        <v>41.8025682028627</v>
      </c>
      <c r="I835" s="49" t="n">
        <f aca="false">IF('Model Inputs &amp; Assumptions'!$H$29="Fixed",'Model Inputs &amp; Assumptions'!$I$29*'Model Inputs &amp; Assumptions'!$K$29,IF('Model Inputs &amp; Assumptions'!$H$29="CPM",'Model Inputs &amp; Assumptions'!$I$29*'Model Inputs &amp; Assumptions'!$K$29*C835/1000,IF('Model Inputs &amp; Assumptions'!$H$29="CPC",'Model Inputs &amp; Assumptions'!$I$29*'Model Inputs &amp; Assumptions'!$K$29*G835,0)))</f>
        <v>6500</v>
      </c>
      <c r="J835" s="50" t="n">
        <f aca="false">H835*INDEX('Model Inputs &amp; Assumptions'!$D$40:$D$42,MATCH('Model Inputs &amp; Assumptions'!$L$29,'Model Inputs &amp; Assumptions'!$A$40:$A$42,0))*INDEX('Model Inputs &amp; Assumptions'!$H$40:$H$42,MATCH('Model Inputs &amp; Assumptions'!$L$29,'Model Inputs &amp; Assumptions'!$A$40:$A$42,0))</f>
        <v>355321.829724333</v>
      </c>
      <c r="K835" s="49" t="n">
        <f aca="false">H835*INDEX('Model Inputs &amp; Assumptions'!$G$40:$G$42,MATCH('Model Inputs &amp; Assumptions'!$L$29,'Model Inputs &amp; Assumptions'!$A$40:$A$42,0))*INDEX('Model Inputs &amp; Assumptions'!$H$40:$H$42,MATCH('Model Inputs &amp; Assumptions'!$L$29,'Model Inputs &amp; Assumptions'!$A$40:$A$42,0))</f>
        <v>7994.74116879749</v>
      </c>
      <c r="L835" s="51" t="n">
        <f aca="false">IFERROR(K835/I835,0)</f>
        <v>1.229960179815</v>
      </c>
      <c r="M835" s="49" t="n">
        <f aca="false">IFERROR(I835/H835,0)</f>
        <v>155.492838824072</v>
      </c>
      <c r="N835" s="52" t="str">
        <f aca="false">'Model Inputs &amp; Assumptions'!$L$29</f>
        <v>PRD-EUAI</v>
      </c>
      <c r="P835" s="53" t="n">
        <v>0.299538</v>
      </c>
      <c r="Q835" s="53" t="n">
        <v>0.843603</v>
      </c>
      <c r="R835" s="53" t="n">
        <v>0.368664</v>
      </c>
      <c r="S835" s="53" t="n">
        <v>0.968609</v>
      </c>
    </row>
    <row r="836" customFormat="false" ht="15" hidden="false" customHeight="false" outlineLevel="0" collapsed="false">
      <c r="A836" s="43" t="n">
        <v>333</v>
      </c>
      <c r="B836" s="44" t="str">
        <f aca="false">'Model Inputs &amp; Assumptions'!$B$29</f>
        <v>Handelsblatt — Native Explainer</v>
      </c>
      <c r="C836" s="45" t="n">
        <f aca="false">ROUND(MAX(0,'Model Inputs &amp; Assumptions'!$S$29*EXP('Model Inputs &amp; Assumptions'!$T$29*P836-'Model Inputs &amp; Assumptions'!$T$29^2/2)),0)</f>
        <v>257350</v>
      </c>
      <c r="D836" s="46" t="n">
        <f aca="false">MIN(1,'Model Inputs &amp; Assumptions'!$U$29*EXP('Model Inputs &amp; Assumptions'!$V$29*Q836-'Model Inputs &amp; Assumptions'!$V$29^2/2))</f>
        <v>0</v>
      </c>
      <c r="E836" s="45" t="n">
        <f aca="false">ROUND(C836*D836,0)</f>
        <v>0</v>
      </c>
      <c r="F836" s="47" t="n">
        <f aca="false">MIN(1,'Model Inputs &amp; Assumptions'!$W$29*EXP('Model Inputs &amp; Assumptions'!$X$29*R836-'Model Inputs &amp; Assumptions'!$X$29^2/2))</f>
        <v>0.00306840363825292</v>
      </c>
      <c r="G836" s="45" t="n">
        <f aca="false">ROUND(C836*F836,0)</f>
        <v>790</v>
      </c>
      <c r="H836" s="48" t="n">
        <f aca="false">MAX(0,(C836*'Model Inputs &amp; Assumptions'!$N$29+E836*'Model Inputs &amp; Assumptions'!$O$29+G836*'Model Inputs &amp; Assumptions'!$P$29)*EXP('Model Inputs &amp; Assumptions'!$Q$29*S836-'Model Inputs &amp; Assumptions'!$Q$29^2/2))</f>
        <v>34.5717049643877</v>
      </c>
      <c r="I836" s="49" t="n">
        <f aca="false">IF('Model Inputs &amp; Assumptions'!$H$29="Fixed",'Model Inputs &amp; Assumptions'!$I$29*'Model Inputs &amp; Assumptions'!$K$29,IF('Model Inputs &amp; Assumptions'!$H$29="CPM",'Model Inputs &amp; Assumptions'!$I$29*'Model Inputs &amp; Assumptions'!$K$29*C836/1000,IF('Model Inputs &amp; Assumptions'!$H$29="CPC",'Model Inputs &amp; Assumptions'!$I$29*'Model Inputs &amp; Assumptions'!$K$29*G836,0)))</f>
        <v>6500</v>
      </c>
      <c r="J836" s="50" t="n">
        <f aca="false">H836*INDEX('Model Inputs &amp; Assumptions'!$D$40:$D$42,MATCH('Model Inputs &amp; Assumptions'!$L$29,'Model Inputs &amp; Assumptions'!$A$40:$A$42,0))*INDEX('Model Inputs &amp; Assumptions'!$H$40:$H$42,MATCH('Model Inputs &amp; Assumptions'!$L$29,'Model Inputs &amp; Assumptions'!$A$40:$A$42,0))</f>
        <v>293859.492197296</v>
      </c>
      <c r="K836" s="49" t="n">
        <f aca="false">H836*INDEX('Model Inputs &amp; Assumptions'!$G$40:$G$42,MATCH('Model Inputs &amp; Assumptions'!$L$29,'Model Inputs &amp; Assumptions'!$A$40:$A$42,0))*INDEX('Model Inputs &amp; Assumptions'!$H$40:$H$42,MATCH('Model Inputs &amp; Assumptions'!$L$29,'Model Inputs &amp; Assumptions'!$A$40:$A$42,0))</f>
        <v>6611.83857443915</v>
      </c>
      <c r="L836" s="51" t="n">
        <f aca="false">IFERROR(K836/I836,0)</f>
        <v>1.0172059345291</v>
      </c>
      <c r="M836" s="49" t="n">
        <f aca="false">IFERROR(I836/H836,0)</f>
        <v>188.015025776011</v>
      </c>
      <c r="N836" s="52" t="str">
        <f aca="false">'Model Inputs &amp; Assumptions'!$L$29</f>
        <v>PRD-EUAI</v>
      </c>
      <c r="P836" s="53" t="n">
        <v>1.301678</v>
      </c>
      <c r="Q836" s="53" t="n">
        <v>-0.520147</v>
      </c>
      <c r="R836" s="53" t="n">
        <v>0.247282</v>
      </c>
      <c r="S836" s="53" t="n">
        <v>-0.294217</v>
      </c>
    </row>
    <row r="837" customFormat="false" ht="15" hidden="false" customHeight="false" outlineLevel="0" collapsed="false">
      <c r="A837" s="43" t="n">
        <v>334</v>
      </c>
      <c r="B837" s="44" t="str">
        <f aca="false">'Model Inputs &amp; Assumptions'!$B$29</f>
        <v>Handelsblatt — Native Explainer</v>
      </c>
      <c r="C837" s="45" t="n">
        <f aca="false">ROUND(MAX(0,'Model Inputs &amp; Assumptions'!$S$29*EXP('Model Inputs &amp; Assumptions'!$T$29*P837-'Model Inputs &amp; Assumptions'!$T$29^2/2)),0)</f>
        <v>170668</v>
      </c>
      <c r="D837" s="46" t="n">
        <f aca="false">MIN(1,'Model Inputs &amp; Assumptions'!$U$29*EXP('Model Inputs &amp; Assumptions'!$V$29*Q837-'Model Inputs &amp; Assumptions'!$V$29^2/2))</f>
        <v>0</v>
      </c>
      <c r="E837" s="45" t="n">
        <f aca="false">ROUND(C837*D837,0)</f>
        <v>0</v>
      </c>
      <c r="F837" s="47" t="n">
        <f aca="false">MIN(1,'Model Inputs &amp; Assumptions'!$W$29*EXP('Model Inputs &amp; Assumptions'!$X$29*R837-'Model Inputs &amp; Assumptions'!$X$29^2/2))</f>
        <v>0.00250791577286339</v>
      </c>
      <c r="G837" s="45" t="n">
        <f aca="false">ROUND(C837*F837,0)</f>
        <v>428</v>
      </c>
      <c r="H837" s="48" t="n">
        <f aca="false">MAX(0,(C837*'Model Inputs &amp; Assumptions'!$N$29+E837*'Model Inputs &amp; Assumptions'!$O$29+G837*'Model Inputs &amp; Assumptions'!$P$29)*EXP('Model Inputs &amp; Assumptions'!$Q$29*S837-'Model Inputs &amp; Assumptions'!$Q$29^2/2))</f>
        <v>21.6124583099253</v>
      </c>
      <c r="I837" s="49" t="n">
        <f aca="false">IF('Model Inputs &amp; Assumptions'!$H$29="Fixed",'Model Inputs &amp; Assumptions'!$I$29*'Model Inputs &amp; Assumptions'!$K$29,IF('Model Inputs &amp; Assumptions'!$H$29="CPM",'Model Inputs &amp; Assumptions'!$I$29*'Model Inputs &amp; Assumptions'!$K$29*C837/1000,IF('Model Inputs &amp; Assumptions'!$H$29="CPC",'Model Inputs &amp; Assumptions'!$I$29*'Model Inputs &amp; Assumptions'!$K$29*G837,0)))</f>
        <v>6500</v>
      </c>
      <c r="J837" s="50" t="n">
        <f aca="false">H837*INDEX('Model Inputs &amp; Assumptions'!$D$40:$D$42,MATCH('Model Inputs &amp; Assumptions'!$L$29,'Model Inputs &amp; Assumptions'!$A$40:$A$42,0))*INDEX('Model Inputs &amp; Assumptions'!$H$40:$H$42,MATCH('Model Inputs &amp; Assumptions'!$L$29,'Model Inputs &amp; Assumptions'!$A$40:$A$42,0))</f>
        <v>183705.895634365</v>
      </c>
      <c r="K837" s="49" t="n">
        <f aca="false">H837*INDEX('Model Inputs &amp; Assumptions'!$G$40:$G$42,MATCH('Model Inputs &amp; Assumptions'!$L$29,'Model Inputs &amp; Assumptions'!$A$40:$A$42,0))*INDEX('Model Inputs &amp; Assumptions'!$H$40:$H$42,MATCH('Model Inputs &amp; Assumptions'!$L$29,'Model Inputs &amp; Assumptions'!$A$40:$A$42,0))</f>
        <v>4133.38265177322</v>
      </c>
      <c r="L837" s="51" t="n">
        <f aca="false">IFERROR(K837/I837,0)</f>
        <v>0.635905023349726</v>
      </c>
      <c r="M837" s="49" t="n">
        <f aca="false">IFERROR(I837/H837,0)</f>
        <v>300.752459844651</v>
      </c>
      <c r="N837" s="52" t="str">
        <f aca="false">'Model Inputs &amp; Assumptions'!$L$29</f>
        <v>PRD-EUAI</v>
      </c>
      <c r="P837" s="53" t="n">
        <v>-0.565221</v>
      </c>
      <c r="Q837" s="53" t="n">
        <v>-0.727296</v>
      </c>
      <c r="R837" s="53" t="n">
        <v>-0.528508</v>
      </c>
      <c r="S837" s="53" t="n">
        <v>0.18293</v>
      </c>
    </row>
    <row r="838" customFormat="false" ht="15" hidden="false" customHeight="false" outlineLevel="0" collapsed="false">
      <c r="A838" s="43" t="n">
        <v>335</v>
      </c>
      <c r="B838" s="44" t="str">
        <f aca="false">'Model Inputs &amp; Assumptions'!$B$29</f>
        <v>Handelsblatt — Native Explainer</v>
      </c>
      <c r="C838" s="45" t="n">
        <f aca="false">ROUND(MAX(0,'Model Inputs &amp; Assumptions'!$S$29*EXP('Model Inputs &amp; Assumptions'!$T$29*P838-'Model Inputs &amp; Assumptions'!$T$29^2/2)),0)</f>
        <v>136525</v>
      </c>
      <c r="D838" s="46" t="n">
        <f aca="false">MIN(1,'Model Inputs &amp; Assumptions'!$U$29*EXP('Model Inputs &amp; Assumptions'!$V$29*Q838-'Model Inputs &amp; Assumptions'!$V$29^2/2))</f>
        <v>0</v>
      </c>
      <c r="E838" s="45" t="n">
        <f aca="false">ROUND(C838*D838,0)</f>
        <v>0</v>
      </c>
      <c r="F838" s="47" t="n">
        <f aca="false">MIN(1,'Model Inputs &amp; Assumptions'!$W$29*EXP('Model Inputs &amp; Assumptions'!$X$29*R838-'Model Inputs &amp; Assumptions'!$X$29^2/2))</f>
        <v>0.00204100766395149</v>
      </c>
      <c r="G838" s="45" t="n">
        <f aca="false">ROUND(C838*F838,0)</f>
        <v>279</v>
      </c>
      <c r="H838" s="48" t="n">
        <f aca="false">MAX(0,(C838*'Model Inputs &amp; Assumptions'!$N$29+E838*'Model Inputs &amp; Assumptions'!$O$29+G838*'Model Inputs &amp; Assumptions'!$P$29)*EXP('Model Inputs &amp; Assumptions'!$Q$29*S838-'Model Inputs &amp; Assumptions'!$Q$29^2/2))</f>
        <v>17.3467714979411</v>
      </c>
      <c r="I838" s="49" t="n">
        <f aca="false">IF('Model Inputs &amp; Assumptions'!$H$29="Fixed",'Model Inputs &amp; Assumptions'!$I$29*'Model Inputs &amp; Assumptions'!$K$29,IF('Model Inputs &amp; Assumptions'!$H$29="CPM",'Model Inputs &amp; Assumptions'!$I$29*'Model Inputs &amp; Assumptions'!$K$29*C838/1000,IF('Model Inputs &amp; Assumptions'!$H$29="CPC",'Model Inputs &amp; Assumptions'!$I$29*'Model Inputs &amp; Assumptions'!$K$29*G838,0)))</f>
        <v>6500</v>
      </c>
      <c r="J838" s="50" t="n">
        <f aca="false">H838*INDEX('Model Inputs &amp; Assumptions'!$D$40:$D$42,MATCH('Model Inputs &amp; Assumptions'!$L$29,'Model Inputs &amp; Assumptions'!$A$40:$A$42,0))*INDEX('Model Inputs &amp; Assumptions'!$H$40:$H$42,MATCH('Model Inputs &amp; Assumptions'!$L$29,'Model Inputs &amp; Assumptions'!$A$40:$A$42,0))</f>
        <v>147447.557732499</v>
      </c>
      <c r="K838" s="49" t="n">
        <f aca="false">H838*INDEX('Model Inputs &amp; Assumptions'!$G$40:$G$42,MATCH('Model Inputs &amp; Assumptions'!$L$29,'Model Inputs &amp; Assumptions'!$A$40:$A$42,0))*INDEX('Model Inputs &amp; Assumptions'!$H$40:$H$42,MATCH('Model Inputs &amp; Assumptions'!$L$29,'Model Inputs &amp; Assumptions'!$A$40:$A$42,0))</f>
        <v>3317.57004898123</v>
      </c>
      <c r="L838" s="51" t="n">
        <f aca="false">IFERROR(K838/I838,0)</f>
        <v>0.510395392150959</v>
      </c>
      <c r="M838" s="49" t="n">
        <f aca="false">IFERROR(I838/H838,0)</f>
        <v>374.709495699041</v>
      </c>
      <c r="N838" s="52" t="str">
        <f aca="false">'Model Inputs &amp; Assumptions'!$L$29</f>
        <v>PRD-EUAI</v>
      </c>
      <c r="P838" s="53" t="n">
        <v>-1.579799</v>
      </c>
      <c r="Q838" s="53" t="n">
        <v>-0.615278</v>
      </c>
      <c r="R838" s="53" t="n">
        <v>-1.320848</v>
      </c>
      <c r="S838" s="53" t="n">
        <v>0.876423</v>
      </c>
    </row>
    <row r="839" customFormat="false" ht="15" hidden="false" customHeight="false" outlineLevel="0" collapsed="false">
      <c r="A839" s="43" t="n">
        <v>336</v>
      </c>
      <c r="B839" s="44" t="str">
        <f aca="false">'Model Inputs &amp; Assumptions'!$B$29</f>
        <v>Handelsblatt — Native Explainer</v>
      </c>
      <c r="C839" s="45" t="n">
        <f aca="false">ROUND(MAX(0,'Model Inputs &amp; Assumptions'!$S$29*EXP('Model Inputs &amp; Assumptions'!$T$29*P839-'Model Inputs &amp; Assumptions'!$T$29^2/2)),0)</f>
        <v>190749</v>
      </c>
      <c r="D839" s="46" t="n">
        <f aca="false">MIN(1,'Model Inputs &amp; Assumptions'!$U$29*EXP('Model Inputs &amp; Assumptions'!$V$29*Q839-'Model Inputs &amp; Assumptions'!$V$29^2/2))</f>
        <v>0</v>
      </c>
      <c r="E839" s="45" t="n">
        <f aca="false">ROUND(C839*D839,0)</f>
        <v>0</v>
      </c>
      <c r="F839" s="47" t="n">
        <f aca="false">MIN(1,'Model Inputs &amp; Assumptions'!$W$29*EXP('Model Inputs &amp; Assumptions'!$X$29*R839-'Model Inputs &amp; Assumptions'!$X$29^2/2))</f>
        <v>0.00345108570562452</v>
      </c>
      <c r="G839" s="45" t="n">
        <f aca="false">ROUND(C839*F839,0)</f>
        <v>658</v>
      </c>
      <c r="H839" s="48" t="n">
        <f aca="false">MAX(0,(C839*'Model Inputs &amp; Assumptions'!$N$29+E839*'Model Inputs &amp; Assumptions'!$O$29+G839*'Model Inputs &amp; Assumptions'!$P$29)*EXP('Model Inputs &amp; Assumptions'!$Q$29*S839-'Model Inputs &amp; Assumptions'!$Q$29^2/2))</f>
        <v>21.8967813953198</v>
      </c>
      <c r="I839" s="49" t="n">
        <f aca="false">IF('Model Inputs &amp; Assumptions'!$H$29="Fixed",'Model Inputs &amp; Assumptions'!$I$29*'Model Inputs &amp; Assumptions'!$K$29,IF('Model Inputs &amp; Assumptions'!$H$29="CPM",'Model Inputs &amp; Assumptions'!$I$29*'Model Inputs &amp; Assumptions'!$K$29*C839/1000,IF('Model Inputs &amp; Assumptions'!$H$29="CPC",'Model Inputs &amp; Assumptions'!$I$29*'Model Inputs &amp; Assumptions'!$K$29*G839,0)))</f>
        <v>6500</v>
      </c>
      <c r="J839" s="50" t="n">
        <f aca="false">H839*INDEX('Model Inputs &amp; Assumptions'!$D$40:$D$42,MATCH('Model Inputs &amp; Assumptions'!$L$29,'Model Inputs &amp; Assumptions'!$A$40:$A$42,0))*INDEX('Model Inputs &amp; Assumptions'!$H$40:$H$42,MATCH('Model Inputs &amp; Assumptions'!$L$29,'Model Inputs &amp; Assumptions'!$A$40:$A$42,0))</f>
        <v>186122.641860218</v>
      </c>
      <c r="K839" s="49" t="n">
        <f aca="false">H839*INDEX('Model Inputs &amp; Assumptions'!$G$40:$G$42,MATCH('Model Inputs &amp; Assumptions'!$L$29,'Model Inputs &amp; Assumptions'!$A$40:$A$42,0))*INDEX('Model Inputs &amp; Assumptions'!$H$40:$H$42,MATCH('Model Inputs &amp; Assumptions'!$L$29,'Model Inputs &amp; Assumptions'!$A$40:$A$42,0))</f>
        <v>4187.75944185491</v>
      </c>
      <c r="L839" s="51" t="n">
        <f aca="false">IFERROR(K839/I839,0)</f>
        <v>0.644270683362294</v>
      </c>
      <c r="M839" s="49" t="n">
        <f aca="false">IFERROR(I839/H839,0)</f>
        <v>296.84728009338</v>
      </c>
      <c r="N839" s="52" t="str">
        <f aca="false">'Model Inputs &amp; Assumptions'!$L$29</f>
        <v>PRD-EUAI</v>
      </c>
      <c r="P839" s="53" t="n">
        <v>-0.059592</v>
      </c>
      <c r="Q839" s="53" t="n">
        <v>-0.703587</v>
      </c>
      <c r="R839" s="53" t="n">
        <v>0.699326</v>
      </c>
      <c r="S839" s="53" t="n">
        <v>-1.20711</v>
      </c>
    </row>
    <row r="840" customFormat="false" ht="15" hidden="false" customHeight="false" outlineLevel="0" collapsed="false">
      <c r="A840" s="43" t="n">
        <v>337</v>
      </c>
      <c r="B840" s="44" t="str">
        <f aca="false">'Model Inputs &amp; Assumptions'!$B$29</f>
        <v>Handelsblatt — Native Explainer</v>
      </c>
      <c r="C840" s="45" t="n">
        <f aca="false">ROUND(MAX(0,'Model Inputs &amp; Assumptions'!$S$29*EXP('Model Inputs &amp; Assumptions'!$T$29*P840-'Model Inputs &amp; Assumptions'!$T$29^2/2)),0)</f>
        <v>175062</v>
      </c>
      <c r="D840" s="46" t="n">
        <f aca="false">MIN(1,'Model Inputs &amp; Assumptions'!$U$29*EXP('Model Inputs &amp; Assumptions'!$V$29*Q840-'Model Inputs &amp; Assumptions'!$V$29^2/2))</f>
        <v>0</v>
      </c>
      <c r="E840" s="45" t="n">
        <f aca="false">ROUND(C840*D840,0)</f>
        <v>0</v>
      </c>
      <c r="F840" s="47" t="n">
        <f aca="false">MIN(1,'Model Inputs &amp; Assumptions'!$W$29*EXP('Model Inputs &amp; Assumptions'!$X$29*R840-'Model Inputs &amp; Assumptions'!$X$29^2/2))</f>
        <v>0.0031719241109548</v>
      </c>
      <c r="G840" s="45" t="n">
        <f aca="false">ROUND(C840*F840,0)</f>
        <v>555</v>
      </c>
      <c r="H840" s="48" t="n">
        <f aca="false">MAX(0,(C840*'Model Inputs &amp; Assumptions'!$N$29+E840*'Model Inputs &amp; Assumptions'!$O$29+G840*'Model Inputs &amp; Assumptions'!$P$29)*EXP('Model Inputs &amp; Assumptions'!$Q$29*S840-'Model Inputs &amp; Assumptions'!$Q$29^2/2))</f>
        <v>23.2583368090163</v>
      </c>
      <c r="I840" s="49" t="n">
        <f aca="false">IF('Model Inputs &amp; Assumptions'!$H$29="Fixed",'Model Inputs &amp; Assumptions'!$I$29*'Model Inputs &amp; Assumptions'!$K$29,IF('Model Inputs &amp; Assumptions'!$H$29="CPM",'Model Inputs &amp; Assumptions'!$I$29*'Model Inputs &amp; Assumptions'!$K$29*C840/1000,IF('Model Inputs &amp; Assumptions'!$H$29="CPC",'Model Inputs &amp; Assumptions'!$I$29*'Model Inputs &amp; Assumptions'!$K$29*G840,0)))</f>
        <v>6500</v>
      </c>
      <c r="J840" s="50" t="n">
        <f aca="false">H840*INDEX('Model Inputs &amp; Assumptions'!$D$40:$D$42,MATCH('Model Inputs &amp; Assumptions'!$L$29,'Model Inputs &amp; Assumptions'!$A$40:$A$42,0))*INDEX('Model Inputs &amp; Assumptions'!$H$40:$H$42,MATCH('Model Inputs &amp; Assumptions'!$L$29,'Model Inputs &amp; Assumptions'!$A$40:$A$42,0))</f>
        <v>197695.862876639</v>
      </c>
      <c r="K840" s="49" t="n">
        <f aca="false">H840*INDEX('Model Inputs &amp; Assumptions'!$G$40:$G$42,MATCH('Model Inputs &amp; Assumptions'!$L$29,'Model Inputs &amp; Assumptions'!$A$40:$A$42,0))*INDEX('Model Inputs &amp; Assumptions'!$H$40:$H$42,MATCH('Model Inputs &amp; Assumptions'!$L$29,'Model Inputs &amp; Assumptions'!$A$40:$A$42,0))</f>
        <v>4448.15691472437</v>
      </c>
      <c r="L840" s="51" t="n">
        <f aca="false">IFERROR(K840/I840,0)</f>
        <v>0.684331833034518</v>
      </c>
      <c r="M840" s="49" t="n">
        <f aca="false">IFERROR(I840/H840,0)</f>
        <v>279.469682349781</v>
      </c>
      <c r="N840" s="52" t="str">
        <f aca="false">'Model Inputs &amp; Assumptions'!$L$29</f>
        <v>PRD-EUAI</v>
      </c>
      <c r="P840" s="53" t="n">
        <v>-0.44967</v>
      </c>
      <c r="Q840" s="53" t="n">
        <v>-1.279045</v>
      </c>
      <c r="R840" s="53" t="n">
        <v>0.374901</v>
      </c>
      <c r="S840" s="53" t="n">
        <v>-0.438574</v>
      </c>
    </row>
    <row r="841" customFormat="false" ht="15" hidden="false" customHeight="false" outlineLevel="0" collapsed="false">
      <c r="A841" s="43" t="n">
        <v>338</v>
      </c>
      <c r="B841" s="44" t="str">
        <f aca="false">'Model Inputs &amp; Assumptions'!$B$29</f>
        <v>Handelsblatt — Native Explainer</v>
      </c>
      <c r="C841" s="45" t="n">
        <f aca="false">ROUND(MAX(0,'Model Inputs &amp; Assumptions'!$S$29*EXP('Model Inputs &amp; Assumptions'!$T$29*P841-'Model Inputs &amp; Assumptions'!$T$29^2/2)),0)</f>
        <v>249694</v>
      </c>
      <c r="D841" s="46" t="n">
        <f aca="false">MIN(1,'Model Inputs &amp; Assumptions'!$U$29*EXP('Model Inputs &amp; Assumptions'!$V$29*Q841-'Model Inputs &amp; Assumptions'!$V$29^2/2))</f>
        <v>0</v>
      </c>
      <c r="E841" s="45" t="n">
        <f aca="false">ROUND(C841*D841,0)</f>
        <v>0</v>
      </c>
      <c r="F841" s="47" t="n">
        <f aca="false">MIN(1,'Model Inputs &amp; Assumptions'!$W$29*EXP('Model Inputs &amp; Assumptions'!$X$29*R841-'Model Inputs &amp; Assumptions'!$X$29^2/2))</f>
        <v>0.00261612030011193</v>
      </c>
      <c r="G841" s="45" t="n">
        <f aca="false">ROUND(C841*F841,0)</f>
        <v>653</v>
      </c>
      <c r="H841" s="48" t="n">
        <f aca="false">MAX(0,(C841*'Model Inputs &amp; Assumptions'!$N$29+E841*'Model Inputs &amp; Assumptions'!$O$29+G841*'Model Inputs &amp; Assumptions'!$P$29)*EXP('Model Inputs &amp; Assumptions'!$Q$29*S841-'Model Inputs &amp; Assumptions'!$Q$29^2/2))</f>
        <v>17.3035806784891</v>
      </c>
      <c r="I841" s="49" t="n">
        <f aca="false">IF('Model Inputs &amp; Assumptions'!$H$29="Fixed",'Model Inputs &amp; Assumptions'!$I$29*'Model Inputs &amp; Assumptions'!$K$29,IF('Model Inputs &amp; Assumptions'!$H$29="CPM",'Model Inputs &amp; Assumptions'!$I$29*'Model Inputs &amp; Assumptions'!$K$29*C841/1000,IF('Model Inputs &amp; Assumptions'!$H$29="CPC",'Model Inputs &amp; Assumptions'!$I$29*'Model Inputs &amp; Assumptions'!$K$29*G841,0)))</f>
        <v>6500</v>
      </c>
      <c r="J841" s="50" t="n">
        <f aca="false">H841*INDEX('Model Inputs &amp; Assumptions'!$D$40:$D$42,MATCH('Model Inputs &amp; Assumptions'!$L$29,'Model Inputs &amp; Assumptions'!$A$40:$A$42,0))*INDEX('Model Inputs &amp; Assumptions'!$H$40:$H$42,MATCH('Model Inputs &amp; Assumptions'!$L$29,'Model Inputs &amp; Assumptions'!$A$40:$A$42,0))</f>
        <v>147080.435767157</v>
      </c>
      <c r="K841" s="49" t="n">
        <f aca="false">H841*INDEX('Model Inputs &amp; Assumptions'!$G$40:$G$42,MATCH('Model Inputs &amp; Assumptions'!$L$29,'Model Inputs &amp; Assumptions'!$A$40:$A$42,0))*INDEX('Model Inputs &amp; Assumptions'!$H$40:$H$42,MATCH('Model Inputs &amp; Assumptions'!$L$29,'Model Inputs &amp; Assumptions'!$A$40:$A$42,0))</f>
        <v>3309.30980476104</v>
      </c>
      <c r="L841" s="51" t="n">
        <f aca="false">IFERROR(K841/I841,0)</f>
        <v>0.509124585347853</v>
      </c>
      <c r="M841" s="49" t="n">
        <f aca="false">IFERROR(I841/H841,0)</f>
        <v>375.644794032744</v>
      </c>
      <c r="N841" s="52" t="str">
        <f aca="false">'Model Inputs &amp; Assumptions'!$L$29</f>
        <v>PRD-EUAI</v>
      </c>
      <c r="P841" s="53" t="n">
        <v>1.164407</v>
      </c>
      <c r="Q841" s="53" t="n">
        <v>0.00111</v>
      </c>
      <c r="R841" s="53" t="n">
        <v>-0.366045</v>
      </c>
      <c r="S841" s="53" t="n">
        <v>-1.966438</v>
      </c>
    </row>
    <row r="842" customFormat="false" ht="15" hidden="false" customHeight="false" outlineLevel="0" collapsed="false">
      <c r="A842" s="43" t="n">
        <v>339</v>
      </c>
      <c r="B842" s="44" t="str">
        <f aca="false">'Model Inputs &amp; Assumptions'!$B$29</f>
        <v>Handelsblatt — Native Explainer</v>
      </c>
      <c r="C842" s="45" t="n">
        <f aca="false">ROUND(MAX(0,'Model Inputs &amp; Assumptions'!$S$29*EXP('Model Inputs &amp; Assumptions'!$T$29*P842-'Model Inputs &amp; Assumptions'!$T$29^2/2)),0)</f>
        <v>206627</v>
      </c>
      <c r="D842" s="46" t="n">
        <f aca="false">MIN(1,'Model Inputs &amp; Assumptions'!$U$29*EXP('Model Inputs &amp; Assumptions'!$V$29*Q842-'Model Inputs &amp; Assumptions'!$V$29^2/2))</f>
        <v>0</v>
      </c>
      <c r="E842" s="45" t="n">
        <f aca="false">ROUND(C842*D842,0)</f>
        <v>0</v>
      </c>
      <c r="F842" s="47" t="n">
        <f aca="false">MIN(1,'Model Inputs &amp; Assumptions'!$W$29*EXP('Model Inputs &amp; Assumptions'!$X$29*R842-'Model Inputs &amp; Assumptions'!$X$29^2/2))</f>
        <v>0.00275727203772527</v>
      </c>
      <c r="G842" s="45" t="n">
        <f aca="false">ROUND(C842*F842,0)</f>
        <v>570</v>
      </c>
      <c r="H842" s="48" t="n">
        <f aca="false">MAX(0,(C842*'Model Inputs &amp; Assumptions'!$N$29+E842*'Model Inputs &amp; Assumptions'!$O$29+G842*'Model Inputs &amp; Assumptions'!$P$29)*EXP('Model Inputs &amp; Assumptions'!$Q$29*S842-'Model Inputs &amp; Assumptions'!$Q$29^2/2))</f>
        <v>23.6794429880396</v>
      </c>
      <c r="I842" s="49" t="n">
        <f aca="false">IF('Model Inputs &amp; Assumptions'!$H$29="Fixed",'Model Inputs &amp; Assumptions'!$I$29*'Model Inputs &amp; Assumptions'!$K$29,IF('Model Inputs &amp; Assumptions'!$H$29="CPM",'Model Inputs &amp; Assumptions'!$I$29*'Model Inputs &amp; Assumptions'!$K$29*C842/1000,IF('Model Inputs &amp; Assumptions'!$H$29="CPC",'Model Inputs &amp; Assumptions'!$I$29*'Model Inputs &amp; Assumptions'!$K$29*G842,0)))</f>
        <v>6500</v>
      </c>
      <c r="J842" s="50" t="n">
        <f aca="false">H842*INDEX('Model Inputs &amp; Assumptions'!$D$40:$D$42,MATCH('Model Inputs &amp; Assumptions'!$L$29,'Model Inputs &amp; Assumptions'!$A$40:$A$42,0))*INDEX('Model Inputs &amp; Assumptions'!$H$40:$H$42,MATCH('Model Inputs &amp; Assumptions'!$L$29,'Model Inputs &amp; Assumptions'!$A$40:$A$42,0))</f>
        <v>201275.265398337</v>
      </c>
      <c r="K842" s="49" t="n">
        <f aca="false">H842*INDEX('Model Inputs &amp; Assumptions'!$G$40:$G$42,MATCH('Model Inputs &amp; Assumptions'!$L$29,'Model Inputs &amp; Assumptions'!$A$40:$A$42,0))*INDEX('Model Inputs &amp; Assumptions'!$H$40:$H$42,MATCH('Model Inputs &amp; Assumptions'!$L$29,'Model Inputs &amp; Assumptions'!$A$40:$A$42,0))</f>
        <v>4528.69347146258</v>
      </c>
      <c r="L842" s="51" t="n">
        <f aca="false">IFERROR(K842/I842,0)</f>
        <v>0.696722072532705</v>
      </c>
      <c r="M842" s="49" t="n">
        <f aca="false">IFERROR(I842/H842,0)</f>
        <v>274.499700152707</v>
      </c>
      <c r="N842" s="52" t="str">
        <f aca="false">'Model Inputs &amp; Assumptions'!$L$29</f>
        <v>PRD-EUAI</v>
      </c>
      <c r="P842" s="53" t="n">
        <v>0.303851</v>
      </c>
      <c r="Q842" s="53" t="n">
        <v>0.025663</v>
      </c>
      <c r="R842" s="53" t="n">
        <v>-0.163932</v>
      </c>
      <c r="S842" s="53" t="n">
        <v>-0.467656</v>
      </c>
    </row>
    <row r="843" customFormat="false" ht="15" hidden="false" customHeight="false" outlineLevel="0" collapsed="false">
      <c r="A843" s="43" t="n">
        <v>340</v>
      </c>
      <c r="B843" s="44" t="str">
        <f aca="false">'Model Inputs &amp; Assumptions'!$B$29</f>
        <v>Handelsblatt — Native Explainer</v>
      </c>
      <c r="C843" s="45" t="n">
        <f aca="false">ROUND(MAX(0,'Model Inputs &amp; Assumptions'!$S$29*EXP('Model Inputs &amp; Assumptions'!$T$29*P843-'Model Inputs &amp; Assumptions'!$T$29^2/2)),0)</f>
        <v>154313</v>
      </c>
      <c r="D843" s="46" t="n">
        <f aca="false">MIN(1,'Model Inputs &amp; Assumptions'!$U$29*EXP('Model Inputs &amp; Assumptions'!$V$29*Q843-'Model Inputs &amp; Assumptions'!$V$29^2/2))</f>
        <v>0</v>
      </c>
      <c r="E843" s="45" t="n">
        <f aca="false">ROUND(C843*D843,0)</f>
        <v>0</v>
      </c>
      <c r="F843" s="47" t="n">
        <f aca="false">MIN(1,'Model Inputs &amp; Assumptions'!$W$29*EXP('Model Inputs &amp; Assumptions'!$X$29*R843-'Model Inputs &amp; Assumptions'!$X$29^2/2))</f>
        <v>0.00449925937014673</v>
      </c>
      <c r="G843" s="45" t="n">
        <f aca="false">ROUND(C843*F843,0)</f>
        <v>694</v>
      </c>
      <c r="H843" s="48" t="n">
        <f aca="false">MAX(0,(C843*'Model Inputs &amp; Assumptions'!$N$29+E843*'Model Inputs &amp; Assumptions'!$O$29+G843*'Model Inputs &amp; Assumptions'!$P$29)*EXP('Model Inputs &amp; Assumptions'!$Q$29*S843-'Model Inputs &amp; Assumptions'!$Q$29^2/2))</f>
        <v>30.2758415814229</v>
      </c>
      <c r="I843" s="49" t="n">
        <f aca="false">IF('Model Inputs &amp; Assumptions'!$H$29="Fixed",'Model Inputs &amp; Assumptions'!$I$29*'Model Inputs &amp; Assumptions'!$K$29,IF('Model Inputs &amp; Assumptions'!$H$29="CPM",'Model Inputs &amp; Assumptions'!$I$29*'Model Inputs &amp; Assumptions'!$K$29*C843/1000,IF('Model Inputs &amp; Assumptions'!$H$29="CPC",'Model Inputs &amp; Assumptions'!$I$29*'Model Inputs &amp; Assumptions'!$K$29*G843,0)))</f>
        <v>6500</v>
      </c>
      <c r="J843" s="50" t="n">
        <f aca="false">H843*INDEX('Model Inputs &amp; Assumptions'!$D$40:$D$42,MATCH('Model Inputs &amp; Assumptions'!$L$29,'Model Inputs &amp; Assumptions'!$A$40:$A$42,0))*INDEX('Model Inputs &amp; Assumptions'!$H$40:$H$42,MATCH('Model Inputs &amp; Assumptions'!$L$29,'Model Inputs &amp; Assumptions'!$A$40:$A$42,0))</f>
        <v>257344.653442094</v>
      </c>
      <c r="K843" s="49" t="n">
        <f aca="false">H843*INDEX('Model Inputs &amp; Assumptions'!$G$40:$G$42,MATCH('Model Inputs &amp; Assumptions'!$L$29,'Model Inputs &amp; Assumptions'!$A$40:$A$42,0))*INDEX('Model Inputs &amp; Assumptions'!$H$40:$H$42,MATCH('Model Inputs &amp; Assumptions'!$L$29,'Model Inputs &amp; Assumptions'!$A$40:$A$42,0))</f>
        <v>5790.25470244712</v>
      </c>
      <c r="L843" s="51" t="n">
        <f aca="false">IFERROR(K843/I843,0)</f>
        <v>0.890808415761096</v>
      </c>
      <c r="M843" s="49" t="n">
        <f aca="false">IFERROR(I843/H843,0)</f>
        <v>214.692628197274</v>
      </c>
      <c r="N843" s="52" t="str">
        <f aca="false">'Model Inputs &amp; Assumptions'!$L$29</f>
        <v>PRD-EUAI</v>
      </c>
      <c r="P843" s="53" t="n">
        <v>-1.023116</v>
      </c>
      <c r="Q843" s="53" t="n">
        <v>0.598121</v>
      </c>
      <c r="R843" s="53" t="n">
        <v>1.719418</v>
      </c>
      <c r="S843" s="53" t="n">
        <v>-0.304632</v>
      </c>
    </row>
    <row r="844" customFormat="false" ht="15" hidden="false" customHeight="false" outlineLevel="0" collapsed="false">
      <c r="A844" s="43" t="n">
        <v>341</v>
      </c>
      <c r="B844" s="44" t="str">
        <f aca="false">'Model Inputs &amp; Assumptions'!$B$29</f>
        <v>Handelsblatt — Native Explainer</v>
      </c>
      <c r="C844" s="45" t="n">
        <f aca="false">ROUND(MAX(0,'Model Inputs &amp; Assumptions'!$S$29*EXP('Model Inputs &amp; Assumptions'!$T$29*P844-'Model Inputs &amp; Assumptions'!$T$29^2/2)),0)</f>
        <v>160141</v>
      </c>
      <c r="D844" s="46" t="n">
        <f aca="false">MIN(1,'Model Inputs &amp; Assumptions'!$U$29*EXP('Model Inputs &amp; Assumptions'!$V$29*Q844-'Model Inputs &amp; Assumptions'!$V$29^2/2))</f>
        <v>0</v>
      </c>
      <c r="E844" s="45" t="n">
        <f aca="false">ROUND(C844*D844,0)</f>
        <v>0</v>
      </c>
      <c r="F844" s="47" t="n">
        <f aca="false">MIN(1,'Model Inputs &amp; Assumptions'!$W$29*EXP('Model Inputs &amp; Assumptions'!$X$29*R844-'Model Inputs &amp; Assumptions'!$X$29^2/2))</f>
        <v>0.00383173245415826</v>
      </c>
      <c r="G844" s="45" t="n">
        <f aca="false">ROUND(C844*F844,0)</f>
        <v>614</v>
      </c>
      <c r="H844" s="48" t="n">
        <f aca="false">MAX(0,(C844*'Model Inputs &amp; Assumptions'!$N$29+E844*'Model Inputs &amp; Assumptions'!$O$29+G844*'Model Inputs &amp; Assumptions'!$P$29)*EXP('Model Inputs &amp; Assumptions'!$Q$29*S844-'Model Inputs &amp; Assumptions'!$Q$29^2/2))</f>
        <v>44.9838553138413</v>
      </c>
      <c r="I844" s="49" t="n">
        <f aca="false">IF('Model Inputs &amp; Assumptions'!$H$29="Fixed",'Model Inputs &amp; Assumptions'!$I$29*'Model Inputs &amp; Assumptions'!$K$29,IF('Model Inputs &amp; Assumptions'!$H$29="CPM",'Model Inputs &amp; Assumptions'!$I$29*'Model Inputs &amp; Assumptions'!$K$29*C844/1000,IF('Model Inputs &amp; Assumptions'!$H$29="CPC",'Model Inputs &amp; Assumptions'!$I$29*'Model Inputs &amp; Assumptions'!$K$29*G844,0)))</f>
        <v>6500</v>
      </c>
      <c r="J844" s="50" t="n">
        <f aca="false">H844*INDEX('Model Inputs &amp; Assumptions'!$D$40:$D$42,MATCH('Model Inputs &amp; Assumptions'!$L$29,'Model Inputs &amp; Assumptions'!$A$40:$A$42,0))*INDEX('Model Inputs &amp; Assumptions'!$H$40:$H$42,MATCH('Model Inputs &amp; Assumptions'!$L$29,'Model Inputs &amp; Assumptions'!$A$40:$A$42,0))</f>
        <v>382362.770167651</v>
      </c>
      <c r="K844" s="49" t="n">
        <f aca="false">H844*INDEX('Model Inputs &amp; Assumptions'!$G$40:$G$42,MATCH('Model Inputs &amp; Assumptions'!$L$29,'Model Inputs &amp; Assumptions'!$A$40:$A$42,0))*INDEX('Model Inputs &amp; Assumptions'!$H$40:$H$42,MATCH('Model Inputs &amp; Assumptions'!$L$29,'Model Inputs &amp; Assumptions'!$A$40:$A$42,0))</f>
        <v>8603.16232877215</v>
      </c>
      <c r="L844" s="51" t="n">
        <f aca="false">IFERROR(K844/I844,0)</f>
        <v>1.32356343519572</v>
      </c>
      <c r="M844" s="49" t="n">
        <f aca="false">IFERROR(I844/H844,0)</f>
        <v>144.496285492897</v>
      </c>
      <c r="N844" s="52" t="str">
        <f aca="false">'Model Inputs &amp; Assumptions'!$L$29</f>
        <v>PRD-EUAI</v>
      </c>
      <c r="P844" s="53" t="n">
        <v>-0.854615</v>
      </c>
      <c r="Q844" s="53" t="n">
        <v>1.975195</v>
      </c>
      <c r="R844" s="53" t="n">
        <v>1.101742</v>
      </c>
      <c r="S844" s="53" t="n">
        <v>1.42347</v>
      </c>
    </row>
    <row r="845" customFormat="false" ht="15" hidden="false" customHeight="false" outlineLevel="0" collapsed="false">
      <c r="A845" s="43" t="n">
        <v>342</v>
      </c>
      <c r="B845" s="44" t="str">
        <f aca="false">'Model Inputs &amp; Assumptions'!$B$29</f>
        <v>Handelsblatt — Native Explainer</v>
      </c>
      <c r="C845" s="45" t="n">
        <f aca="false">ROUND(MAX(0,'Model Inputs &amp; Assumptions'!$S$29*EXP('Model Inputs &amp; Assumptions'!$T$29*P845-'Model Inputs &amp; Assumptions'!$T$29^2/2)),0)</f>
        <v>318498</v>
      </c>
      <c r="D845" s="46" t="n">
        <f aca="false">MIN(1,'Model Inputs &amp; Assumptions'!$U$29*EXP('Model Inputs &amp; Assumptions'!$V$29*Q845-'Model Inputs &amp; Assumptions'!$V$29^2/2))</f>
        <v>0</v>
      </c>
      <c r="E845" s="45" t="n">
        <f aca="false">ROUND(C845*D845,0)</f>
        <v>0</v>
      </c>
      <c r="F845" s="47" t="n">
        <f aca="false">MIN(1,'Model Inputs &amp; Assumptions'!$W$29*EXP('Model Inputs &amp; Assumptions'!$X$29*R845-'Model Inputs &amp; Assumptions'!$X$29^2/2))</f>
        <v>0.00325813953869423</v>
      </c>
      <c r="G845" s="45" t="n">
        <f aca="false">ROUND(C845*F845,0)</f>
        <v>1038</v>
      </c>
      <c r="H845" s="48" t="n">
        <f aca="false">MAX(0,(C845*'Model Inputs &amp; Assumptions'!$N$29+E845*'Model Inputs &amp; Assumptions'!$O$29+G845*'Model Inputs &amp; Assumptions'!$P$29)*EXP('Model Inputs &amp; Assumptions'!$Q$29*S845-'Model Inputs &amp; Assumptions'!$Q$29^2/2))</f>
        <v>65.9552307684379</v>
      </c>
      <c r="I845" s="49" t="n">
        <f aca="false">IF('Model Inputs &amp; Assumptions'!$H$29="Fixed",'Model Inputs &amp; Assumptions'!$I$29*'Model Inputs &amp; Assumptions'!$K$29,IF('Model Inputs &amp; Assumptions'!$H$29="CPM",'Model Inputs &amp; Assumptions'!$I$29*'Model Inputs &amp; Assumptions'!$K$29*C845/1000,IF('Model Inputs &amp; Assumptions'!$H$29="CPC",'Model Inputs &amp; Assumptions'!$I$29*'Model Inputs &amp; Assumptions'!$K$29*G845,0)))</f>
        <v>6500</v>
      </c>
      <c r="J845" s="50" t="n">
        <f aca="false">H845*INDEX('Model Inputs &amp; Assumptions'!$D$40:$D$42,MATCH('Model Inputs &amp; Assumptions'!$L$29,'Model Inputs &amp; Assumptions'!$A$40:$A$42,0))*INDEX('Model Inputs &amp; Assumptions'!$H$40:$H$42,MATCH('Model Inputs &amp; Assumptions'!$L$29,'Model Inputs &amp; Assumptions'!$A$40:$A$42,0))</f>
        <v>560619.461531722</v>
      </c>
      <c r="K845" s="49" t="n">
        <f aca="false">H845*INDEX('Model Inputs &amp; Assumptions'!$G$40:$G$42,MATCH('Model Inputs &amp; Assumptions'!$L$29,'Model Inputs &amp; Assumptions'!$A$40:$A$42,0))*INDEX('Model Inputs &amp; Assumptions'!$H$40:$H$42,MATCH('Model Inputs &amp; Assumptions'!$L$29,'Model Inputs &amp; Assumptions'!$A$40:$A$42,0))</f>
        <v>12613.9378844637</v>
      </c>
      <c r="L845" s="51" t="n">
        <f aca="false">IFERROR(K845/I845,0)</f>
        <v>1.94060582837904</v>
      </c>
      <c r="M845" s="49" t="n">
        <f aca="false">IFERROR(I845/H845,0)</f>
        <v>98.5516982393836</v>
      </c>
      <c r="N845" s="52" t="str">
        <f aca="false">'Model Inputs &amp; Assumptions'!$L$29</f>
        <v>PRD-EUAI</v>
      </c>
      <c r="P845" s="53" t="n">
        <v>2.270676</v>
      </c>
      <c r="Q845" s="53" t="n">
        <v>1.19903</v>
      </c>
      <c r="R845" s="53" t="n">
        <v>0.478047</v>
      </c>
      <c r="S845" s="53" t="n">
        <v>0.948858</v>
      </c>
    </row>
    <row r="846" customFormat="false" ht="15" hidden="false" customHeight="false" outlineLevel="0" collapsed="false">
      <c r="A846" s="43" t="n">
        <v>343</v>
      </c>
      <c r="B846" s="44" t="str">
        <f aca="false">'Model Inputs &amp; Assumptions'!$B$29</f>
        <v>Handelsblatt — Native Explainer</v>
      </c>
      <c r="C846" s="45" t="n">
        <f aca="false">ROUND(MAX(0,'Model Inputs &amp; Assumptions'!$S$29*EXP('Model Inputs &amp; Assumptions'!$T$29*P846-'Model Inputs &amp; Assumptions'!$T$29^2/2)),0)</f>
        <v>191651</v>
      </c>
      <c r="D846" s="46" t="n">
        <f aca="false">MIN(1,'Model Inputs &amp; Assumptions'!$U$29*EXP('Model Inputs &amp; Assumptions'!$V$29*Q846-'Model Inputs &amp; Assumptions'!$V$29^2/2))</f>
        <v>0</v>
      </c>
      <c r="E846" s="45" t="n">
        <f aca="false">ROUND(C846*D846,0)</f>
        <v>0</v>
      </c>
      <c r="F846" s="47" t="n">
        <f aca="false">MIN(1,'Model Inputs &amp; Assumptions'!$W$29*EXP('Model Inputs &amp; Assumptions'!$X$29*R846-'Model Inputs &amp; Assumptions'!$X$29^2/2))</f>
        <v>0.003306739170064</v>
      </c>
      <c r="G846" s="45" t="n">
        <f aca="false">ROUND(C846*F846,0)</f>
        <v>634</v>
      </c>
      <c r="H846" s="48" t="n">
        <f aca="false">MAX(0,(C846*'Model Inputs &amp; Assumptions'!$N$29+E846*'Model Inputs &amp; Assumptions'!$O$29+G846*'Model Inputs &amp; Assumptions'!$P$29)*EXP('Model Inputs &amp; Assumptions'!$Q$29*S846-'Model Inputs &amp; Assumptions'!$Q$29^2/2))</f>
        <v>33.2568240584021</v>
      </c>
      <c r="I846" s="49" t="n">
        <f aca="false">IF('Model Inputs &amp; Assumptions'!$H$29="Fixed",'Model Inputs &amp; Assumptions'!$I$29*'Model Inputs &amp; Assumptions'!$K$29,IF('Model Inputs &amp; Assumptions'!$H$29="CPM",'Model Inputs &amp; Assumptions'!$I$29*'Model Inputs &amp; Assumptions'!$K$29*C846/1000,IF('Model Inputs &amp; Assumptions'!$H$29="CPC",'Model Inputs &amp; Assumptions'!$I$29*'Model Inputs &amp; Assumptions'!$K$29*G846,0)))</f>
        <v>6500</v>
      </c>
      <c r="J846" s="50" t="n">
        <f aca="false">H846*INDEX('Model Inputs &amp; Assumptions'!$D$40:$D$42,MATCH('Model Inputs &amp; Assumptions'!$L$29,'Model Inputs &amp; Assumptions'!$A$40:$A$42,0))*INDEX('Model Inputs &amp; Assumptions'!$H$40:$H$42,MATCH('Model Inputs &amp; Assumptions'!$L$29,'Model Inputs &amp; Assumptions'!$A$40:$A$42,0))</f>
        <v>282683.004496418</v>
      </c>
      <c r="K846" s="49" t="n">
        <f aca="false">H846*INDEX('Model Inputs &amp; Assumptions'!$G$40:$G$42,MATCH('Model Inputs &amp; Assumptions'!$L$29,'Model Inputs &amp; Assumptions'!$A$40:$A$42,0))*INDEX('Model Inputs &amp; Assumptions'!$H$40:$H$42,MATCH('Model Inputs &amp; Assumptions'!$L$29,'Model Inputs &amp; Assumptions'!$A$40:$A$42,0))</f>
        <v>6360.3676011694</v>
      </c>
      <c r="L846" s="51" t="n">
        <f aca="false">IFERROR(K846/I846,0)</f>
        <v>0.9785180924876</v>
      </c>
      <c r="M846" s="49" t="n">
        <f aca="false">IFERROR(I846/H846,0)</f>
        <v>195.448608940691</v>
      </c>
      <c r="N846" s="52" t="str">
        <f aca="false">'Model Inputs &amp; Assumptions'!$L$29</f>
        <v>PRD-EUAI</v>
      </c>
      <c r="P846" s="53" t="n">
        <v>-0.03814</v>
      </c>
      <c r="Q846" s="53" t="n">
        <v>-0.473716</v>
      </c>
      <c r="R846" s="53" t="n">
        <v>0.534994</v>
      </c>
      <c r="S846" s="53" t="n">
        <v>0.309811</v>
      </c>
    </row>
    <row r="847" customFormat="false" ht="15" hidden="false" customHeight="false" outlineLevel="0" collapsed="false">
      <c r="A847" s="43" t="n">
        <v>344</v>
      </c>
      <c r="B847" s="44" t="str">
        <f aca="false">'Model Inputs &amp; Assumptions'!$B$29</f>
        <v>Handelsblatt — Native Explainer</v>
      </c>
      <c r="C847" s="45" t="n">
        <f aca="false">ROUND(MAX(0,'Model Inputs &amp; Assumptions'!$S$29*EXP('Model Inputs &amp; Assumptions'!$T$29*P847-'Model Inputs &amp; Assumptions'!$T$29^2/2)),0)</f>
        <v>178225</v>
      </c>
      <c r="D847" s="46" t="n">
        <f aca="false">MIN(1,'Model Inputs &amp; Assumptions'!$U$29*EXP('Model Inputs &amp; Assumptions'!$V$29*Q847-'Model Inputs &amp; Assumptions'!$V$29^2/2))</f>
        <v>0</v>
      </c>
      <c r="E847" s="45" t="n">
        <f aca="false">ROUND(C847*D847,0)</f>
        <v>0</v>
      </c>
      <c r="F847" s="47" t="n">
        <f aca="false">MIN(1,'Model Inputs &amp; Assumptions'!$W$29*EXP('Model Inputs &amp; Assumptions'!$X$29*R847-'Model Inputs &amp; Assumptions'!$X$29^2/2))</f>
        <v>0.0036987320022468</v>
      </c>
      <c r="G847" s="45" t="n">
        <f aca="false">ROUND(C847*F847,0)</f>
        <v>659</v>
      </c>
      <c r="H847" s="48" t="n">
        <f aca="false">MAX(0,(C847*'Model Inputs &amp; Assumptions'!$N$29+E847*'Model Inputs &amp; Assumptions'!$O$29+G847*'Model Inputs &amp; Assumptions'!$P$29)*EXP('Model Inputs &amp; Assumptions'!$Q$29*S847-'Model Inputs &amp; Assumptions'!$Q$29^2/2))</f>
        <v>20.0337101253218</v>
      </c>
      <c r="I847" s="49" t="n">
        <f aca="false">IF('Model Inputs &amp; Assumptions'!$H$29="Fixed",'Model Inputs &amp; Assumptions'!$I$29*'Model Inputs &amp; Assumptions'!$K$29,IF('Model Inputs &amp; Assumptions'!$H$29="CPM",'Model Inputs &amp; Assumptions'!$I$29*'Model Inputs &amp; Assumptions'!$K$29*C847/1000,IF('Model Inputs &amp; Assumptions'!$H$29="CPC",'Model Inputs &amp; Assumptions'!$I$29*'Model Inputs &amp; Assumptions'!$K$29*G847,0)))</f>
        <v>6500</v>
      </c>
      <c r="J847" s="50" t="n">
        <f aca="false">H847*INDEX('Model Inputs &amp; Assumptions'!$D$40:$D$42,MATCH('Model Inputs &amp; Assumptions'!$L$29,'Model Inputs &amp; Assumptions'!$A$40:$A$42,0))*INDEX('Model Inputs &amp; Assumptions'!$H$40:$H$42,MATCH('Model Inputs &amp; Assumptions'!$L$29,'Model Inputs &amp; Assumptions'!$A$40:$A$42,0))</f>
        <v>170286.536065235</v>
      </c>
      <c r="K847" s="49" t="n">
        <f aca="false">H847*INDEX('Model Inputs &amp; Assumptions'!$G$40:$G$42,MATCH('Model Inputs &amp; Assumptions'!$L$29,'Model Inputs &amp; Assumptions'!$A$40:$A$42,0))*INDEX('Model Inputs &amp; Assumptions'!$H$40:$H$42,MATCH('Model Inputs &amp; Assumptions'!$L$29,'Model Inputs &amp; Assumptions'!$A$40:$A$42,0))</f>
        <v>3831.4470614678</v>
      </c>
      <c r="L847" s="51" t="n">
        <f aca="false">IFERROR(K847/I847,0)</f>
        <v>0.589453394071969</v>
      </c>
      <c r="M847" s="49" t="n">
        <f aca="false">IFERROR(I847/H847,0)</f>
        <v>324.453132212603</v>
      </c>
      <c r="N847" s="52" t="str">
        <f aca="false">'Model Inputs &amp; Assumptions'!$L$29</f>
        <v>PRD-EUAI</v>
      </c>
      <c r="P847" s="53" t="n">
        <v>-0.368286</v>
      </c>
      <c r="Q847" s="53" t="n">
        <v>0.657713</v>
      </c>
      <c r="R847" s="53" t="n">
        <v>0.965869</v>
      </c>
      <c r="S847" s="53" t="n">
        <v>-1.508583</v>
      </c>
    </row>
    <row r="848" customFormat="false" ht="15" hidden="false" customHeight="false" outlineLevel="0" collapsed="false">
      <c r="A848" s="43" t="n">
        <v>345</v>
      </c>
      <c r="B848" s="44" t="str">
        <f aca="false">'Model Inputs &amp; Assumptions'!$B$29</f>
        <v>Handelsblatt — Native Explainer</v>
      </c>
      <c r="C848" s="45" t="n">
        <f aca="false">ROUND(MAX(0,'Model Inputs &amp; Assumptions'!$S$29*EXP('Model Inputs &amp; Assumptions'!$T$29*P848-'Model Inputs &amp; Assumptions'!$T$29^2/2)),0)</f>
        <v>231563</v>
      </c>
      <c r="D848" s="46" t="n">
        <f aca="false">MIN(1,'Model Inputs &amp; Assumptions'!$U$29*EXP('Model Inputs &amp; Assumptions'!$V$29*Q848-'Model Inputs &amp; Assumptions'!$V$29^2/2))</f>
        <v>0</v>
      </c>
      <c r="E848" s="45" t="n">
        <f aca="false">ROUND(C848*D848,0)</f>
        <v>0</v>
      </c>
      <c r="F848" s="47" t="n">
        <f aca="false">MIN(1,'Model Inputs &amp; Assumptions'!$W$29*EXP('Model Inputs &amp; Assumptions'!$X$29*R848-'Model Inputs &amp; Assumptions'!$X$29^2/2))</f>
        <v>0.00323046050674202</v>
      </c>
      <c r="G848" s="45" t="n">
        <f aca="false">ROUND(C848*F848,0)</f>
        <v>748</v>
      </c>
      <c r="H848" s="48" t="n">
        <f aca="false">MAX(0,(C848*'Model Inputs &amp; Assumptions'!$N$29+E848*'Model Inputs &amp; Assumptions'!$O$29+G848*'Model Inputs &amp; Assumptions'!$P$29)*EXP('Model Inputs &amp; Assumptions'!$Q$29*S848-'Model Inputs &amp; Assumptions'!$Q$29^2/2))</f>
        <v>21.993498884114</v>
      </c>
      <c r="I848" s="49" t="n">
        <f aca="false">IF('Model Inputs &amp; Assumptions'!$H$29="Fixed",'Model Inputs &amp; Assumptions'!$I$29*'Model Inputs &amp; Assumptions'!$K$29,IF('Model Inputs &amp; Assumptions'!$H$29="CPM",'Model Inputs &amp; Assumptions'!$I$29*'Model Inputs &amp; Assumptions'!$K$29*C848/1000,IF('Model Inputs &amp; Assumptions'!$H$29="CPC",'Model Inputs &amp; Assumptions'!$I$29*'Model Inputs &amp; Assumptions'!$K$29*G848,0)))</f>
        <v>6500</v>
      </c>
      <c r="J848" s="50" t="n">
        <f aca="false">H848*INDEX('Model Inputs &amp; Assumptions'!$D$40:$D$42,MATCH('Model Inputs &amp; Assumptions'!$L$29,'Model Inputs &amp; Assumptions'!$A$40:$A$42,0))*INDEX('Model Inputs &amp; Assumptions'!$H$40:$H$42,MATCH('Model Inputs &amp; Assumptions'!$L$29,'Model Inputs &amp; Assumptions'!$A$40:$A$42,0))</f>
        <v>186944.740514969</v>
      </c>
      <c r="K848" s="49" t="n">
        <f aca="false">H848*INDEX('Model Inputs &amp; Assumptions'!$G$40:$G$42,MATCH('Model Inputs &amp; Assumptions'!$L$29,'Model Inputs &amp; Assumptions'!$A$40:$A$42,0))*INDEX('Model Inputs &amp; Assumptions'!$H$40:$H$42,MATCH('Model Inputs &amp; Assumptions'!$L$29,'Model Inputs &amp; Assumptions'!$A$40:$A$42,0))</f>
        <v>4206.25666158681</v>
      </c>
      <c r="L848" s="51" t="n">
        <f aca="false">IFERROR(K848/I848,0)</f>
        <v>0.647116409474893</v>
      </c>
      <c r="M848" s="49" t="n">
        <f aca="false">IFERROR(I848/H848,0)</f>
        <v>295.541879636758</v>
      </c>
      <c r="N848" s="52" t="str">
        <f aca="false">'Model Inputs &amp; Assumptions'!$L$29</f>
        <v>PRD-EUAI</v>
      </c>
      <c r="P848" s="53" t="n">
        <v>0.821746</v>
      </c>
      <c r="Q848" s="53" t="n">
        <v>-0.361831</v>
      </c>
      <c r="R848" s="53" t="n">
        <v>0.445233</v>
      </c>
      <c r="S848" s="53" t="n">
        <v>-1.619746</v>
      </c>
    </row>
    <row r="849" customFormat="false" ht="15" hidden="false" customHeight="false" outlineLevel="0" collapsed="false">
      <c r="A849" s="43" t="n">
        <v>346</v>
      </c>
      <c r="B849" s="44" t="str">
        <f aca="false">'Model Inputs &amp; Assumptions'!$B$29</f>
        <v>Handelsblatt — Native Explainer</v>
      </c>
      <c r="C849" s="45" t="n">
        <f aca="false">ROUND(MAX(0,'Model Inputs &amp; Assumptions'!$S$29*EXP('Model Inputs &amp; Assumptions'!$T$29*P849-'Model Inputs &amp; Assumptions'!$T$29^2/2)),0)</f>
        <v>147892</v>
      </c>
      <c r="D849" s="46" t="n">
        <f aca="false">MIN(1,'Model Inputs &amp; Assumptions'!$U$29*EXP('Model Inputs &amp; Assumptions'!$V$29*Q849-'Model Inputs &amp; Assumptions'!$V$29^2/2))</f>
        <v>0</v>
      </c>
      <c r="E849" s="45" t="n">
        <f aca="false">ROUND(C849*D849,0)</f>
        <v>0</v>
      </c>
      <c r="F849" s="47" t="n">
        <f aca="false">MIN(1,'Model Inputs &amp; Assumptions'!$W$29*EXP('Model Inputs &amp; Assumptions'!$X$29*R849-'Model Inputs &amp; Assumptions'!$X$29^2/2))</f>
        <v>0.00269199775766307</v>
      </c>
      <c r="G849" s="45" t="n">
        <f aca="false">ROUND(C849*F849,0)</f>
        <v>398</v>
      </c>
      <c r="H849" s="48" t="n">
        <f aca="false">MAX(0,(C849*'Model Inputs &amp; Assumptions'!$N$29+E849*'Model Inputs &amp; Assumptions'!$O$29+G849*'Model Inputs &amp; Assumptions'!$P$29)*EXP('Model Inputs &amp; Assumptions'!$Q$29*S849-'Model Inputs &amp; Assumptions'!$Q$29^2/2))</f>
        <v>16.8138479856048</v>
      </c>
      <c r="I849" s="49" t="n">
        <f aca="false">IF('Model Inputs &amp; Assumptions'!$H$29="Fixed",'Model Inputs &amp; Assumptions'!$I$29*'Model Inputs &amp; Assumptions'!$K$29,IF('Model Inputs &amp; Assumptions'!$H$29="CPM",'Model Inputs &amp; Assumptions'!$I$29*'Model Inputs &amp; Assumptions'!$K$29*C849/1000,IF('Model Inputs &amp; Assumptions'!$H$29="CPC",'Model Inputs &amp; Assumptions'!$I$29*'Model Inputs &amp; Assumptions'!$K$29*G849,0)))</f>
        <v>6500</v>
      </c>
      <c r="J849" s="50" t="n">
        <f aca="false">H849*INDEX('Model Inputs &amp; Assumptions'!$D$40:$D$42,MATCH('Model Inputs &amp; Assumptions'!$L$29,'Model Inputs &amp; Assumptions'!$A$40:$A$42,0))*INDEX('Model Inputs &amp; Assumptions'!$H$40:$H$42,MATCH('Model Inputs &amp; Assumptions'!$L$29,'Model Inputs &amp; Assumptions'!$A$40:$A$42,0))</f>
        <v>142917.707877641</v>
      </c>
      <c r="K849" s="49" t="n">
        <f aca="false">H849*INDEX('Model Inputs &amp; Assumptions'!$G$40:$G$42,MATCH('Model Inputs &amp; Assumptions'!$L$29,'Model Inputs &amp; Assumptions'!$A$40:$A$42,0))*INDEX('Model Inputs &amp; Assumptions'!$H$40:$H$42,MATCH('Model Inputs &amp; Assumptions'!$L$29,'Model Inputs &amp; Assumptions'!$A$40:$A$42,0))</f>
        <v>3215.64842724691</v>
      </c>
      <c r="L849" s="51" t="n">
        <f aca="false">IFERROR(K849/I849,0)</f>
        <v>0.494715142653371</v>
      </c>
      <c r="M849" s="49" t="n">
        <f aca="false">IFERROR(I849/H849,0)</f>
        <v>386.586104832457</v>
      </c>
      <c r="N849" s="52" t="str">
        <f aca="false">'Model Inputs &amp; Assumptions'!$L$29</f>
        <v>PRD-EUAI</v>
      </c>
      <c r="P849" s="53" t="n">
        <v>-1.216283</v>
      </c>
      <c r="Q849" s="53" t="n">
        <v>-0.7368</v>
      </c>
      <c r="R849" s="53" t="n">
        <v>-0.256079</v>
      </c>
      <c r="S849" s="53" t="n">
        <v>-0.411723</v>
      </c>
    </row>
    <row r="850" customFormat="false" ht="15" hidden="false" customHeight="false" outlineLevel="0" collapsed="false">
      <c r="A850" s="43" t="n">
        <v>347</v>
      </c>
      <c r="B850" s="44" t="str">
        <f aca="false">'Model Inputs &amp; Assumptions'!$B$29</f>
        <v>Handelsblatt — Native Explainer</v>
      </c>
      <c r="C850" s="45" t="n">
        <f aca="false">ROUND(MAX(0,'Model Inputs &amp; Assumptions'!$S$29*EXP('Model Inputs &amp; Assumptions'!$T$29*P850-'Model Inputs &amp; Assumptions'!$T$29^2/2)),0)</f>
        <v>170730</v>
      </c>
      <c r="D850" s="46" t="n">
        <f aca="false">MIN(1,'Model Inputs &amp; Assumptions'!$U$29*EXP('Model Inputs &amp; Assumptions'!$V$29*Q850-'Model Inputs &amp; Assumptions'!$V$29^2/2))</f>
        <v>0</v>
      </c>
      <c r="E850" s="45" t="n">
        <f aca="false">ROUND(C850*D850,0)</f>
        <v>0</v>
      </c>
      <c r="F850" s="47" t="n">
        <f aca="false">MIN(1,'Model Inputs &amp; Assumptions'!$W$29*EXP('Model Inputs &amp; Assumptions'!$X$29*R850-'Model Inputs &amp; Assumptions'!$X$29^2/2))</f>
        <v>0.00268368717041241</v>
      </c>
      <c r="G850" s="45" t="n">
        <f aca="false">ROUND(C850*F850,0)</f>
        <v>458</v>
      </c>
      <c r="H850" s="48" t="n">
        <f aca="false">MAX(0,(C850*'Model Inputs &amp; Assumptions'!$N$29+E850*'Model Inputs &amp; Assumptions'!$O$29+G850*'Model Inputs &amp; Assumptions'!$P$29)*EXP('Model Inputs &amp; Assumptions'!$Q$29*S850-'Model Inputs &amp; Assumptions'!$Q$29^2/2))</f>
        <v>19.3302767561625</v>
      </c>
      <c r="I850" s="49" t="n">
        <f aca="false">IF('Model Inputs &amp; Assumptions'!$H$29="Fixed",'Model Inputs &amp; Assumptions'!$I$29*'Model Inputs &amp; Assumptions'!$K$29,IF('Model Inputs &amp; Assumptions'!$H$29="CPM",'Model Inputs &amp; Assumptions'!$I$29*'Model Inputs &amp; Assumptions'!$K$29*C850/1000,IF('Model Inputs &amp; Assumptions'!$H$29="CPC",'Model Inputs &amp; Assumptions'!$I$29*'Model Inputs &amp; Assumptions'!$K$29*G850,0)))</f>
        <v>6500</v>
      </c>
      <c r="J850" s="50" t="n">
        <f aca="false">H850*INDEX('Model Inputs &amp; Assumptions'!$D$40:$D$42,MATCH('Model Inputs &amp; Assumptions'!$L$29,'Model Inputs &amp; Assumptions'!$A$40:$A$42,0))*INDEX('Model Inputs &amp; Assumptions'!$H$40:$H$42,MATCH('Model Inputs &amp; Assumptions'!$L$29,'Model Inputs &amp; Assumptions'!$A$40:$A$42,0))</f>
        <v>164307.352427381</v>
      </c>
      <c r="K850" s="49" t="n">
        <f aca="false">H850*INDEX('Model Inputs &amp; Assumptions'!$G$40:$G$42,MATCH('Model Inputs &amp; Assumptions'!$L$29,'Model Inputs &amp; Assumptions'!$A$40:$A$42,0))*INDEX('Model Inputs &amp; Assumptions'!$H$40:$H$42,MATCH('Model Inputs &amp; Assumptions'!$L$29,'Model Inputs &amp; Assumptions'!$A$40:$A$42,0))</f>
        <v>3696.91542961608</v>
      </c>
      <c r="L850" s="51" t="n">
        <f aca="false">IFERROR(K850/I850,0)</f>
        <v>0.568756219940936</v>
      </c>
      <c r="M850" s="49" t="n">
        <f aca="false">IFERROR(I850/H850,0)</f>
        <v>336.260058869969</v>
      </c>
      <c r="N850" s="52" t="str">
        <f aca="false">'Model Inputs &amp; Assumptions'!$L$29</f>
        <v>PRD-EUAI</v>
      </c>
      <c r="P850" s="53" t="n">
        <v>-0.563554</v>
      </c>
      <c r="Q850" s="53" t="n">
        <v>0.402945</v>
      </c>
      <c r="R850" s="53" t="n">
        <v>-0.267971</v>
      </c>
      <c r="S850" s="53" t="n">
        <v>-0.414881</v>
      </c>
    </row>
    <row r="851" customFormat="false" ht="15" hidden="false" customHeight="false" outlineLevel="0" collapsed="false">
      <c r="A851" s="43" t="n">
        <v>348</v>
      </c>
      <c r="B851" s="44" t="str">
        <f aca="false">'Model Inputs &amp; Assumptions'!$B$29</f>
        <v>Handelsblatt — Native Explainer</v>
      </c>
      <c r="C851" s="45" t="n">
        <f aca="false">ROUND(MAX(0,'Model Inputs &amp; Assumptions'!$S$29*EXP('Model Inputs &amp; Assumptions'!$T$29*P851-'Model Inputs &amp; Assumptions'!$T$29^2/2)),0)</f>
        <v>278203</v>
      </c>
      <c r="D851" s="46" t="n">
        <f aca="false">MIN(1,'Model Inputs &amp; Assumptions'!$U$29*EXP('Model Inputs &amp; Assumptions'!$V$29*Q851-'Model Inputs &amp; Assumptions'!$V$29^2/2))</f>
        <v>0</v>
      </c>
      <c r="E851" s="45" t="n">
        <f aca="false">ROUND(C851*D851,0)</f>
        <v>0</v>
      </c>
      <c r="F851" s="47" t="n">
        <f aca="false">MIN(1,'Model Inputs &amp; Assumptions'!$W$29*EXP('Model Inputs &amp; Assumptions'!$X$29*R851-'Model Inputs &amp; Assumptions'!$X$29^2/2))</f>
        <v>0.00320046182216416</v>
      </c>
      <c r="G851" s="45" t="n">
        <f aca="false">ROUND(C851*F851,0)</f>
        <v>890</v>
      </c>
      <c r="H851" s="48" t="n">
        <f aca="false">MAX(0,(C851*'Model Inputs &amp; Assumptions'!$N$29+E851*'Model Inputs &amp; Assumptions'!$O$29+G851*'Model Inputs &amp; Assumptions'!$P$29)*EXP('Model Inputs &amp; Assumptions'!$Q$29*S851-'Model Inputs &amp; Assumptions'!$Q$29^2/2))</f>
        <v>60.8024381410491</v>
      </c>
      <c r="I851" s="49" t="n">
        <f aca="false">IF('Model Inputs &amp; Assumptions'!$H$29="Fixed",'Model Inputs &amp; Assumptions'!$I$29*'Model Inputs &amp; Assumptions'!$K$29,IF('Model Inputs &amp; Assumptions'!$H$29="CPM",'Model Inputs &amp; Assumptions'!$I$29*'Model Inputs &amp; Assumptions'!$K$29*C851/1000,IF('Model Inputs &amp; Assumptions'!$H$29="CPC",'Model Inputs &amp; Assumptions'!$I$29*'Model Inputs &amp; Assumptions'!$K$29*G851,0)))</f>
        <v>6500</v>
      </c>
      <c r="J851" s="50" t="n">
        <f aca="false">H851*INDEX('Model Inputs &amp; Assumptions'!$D$40:$D$42,MATCH('Model Inputs &amp; Assumptions'!$L$29,'Model Inputs &amp; Assumptions'!$A$40:$A$42,0))*INDEX('Model Inputs &amp; Assumptions'!$H$40:$H$42,MATCH('Model Inputs &amp; Assumptions'!$L$29,'Model Inputs &amp; Assumptions'!$A$40:$A$42,0))</f>
        <v>516820.724198917</v>
      </c>
      <c r="K851" s="49" t="n">
        <f aca="false">H851*INDEX('Model Inputs &amp; Assumptions'!$G$40:$G$42,MATCH('Model Inputs &amp; Assumptions'!$L$29,'Model Inputs &amp; Assumptions'!$A$40:$A$42,0))*INDEX('Model Inputs &amp; Assumptions'!$H$40:$H$42,MATCH('Model Inputs &amp; Assumptions'!$L$29,'Model Inputs &amp; Assumptions'!$A$40:$A$42,0))</f>
        <v>11628.4662944756</v>
      </c>
      <c r="L851" s="51" t="n">
        <f aca="false">IFERROR(K851/I851,0)</f>
        <v>1.78899481453471</v>
      </c>
      <c r="M851" s="49" t="n">
        <f aca="false">IFERROR(I851/H851,0)</f>
        <v>106.903607794828</v>
      </c>
      <c r="N851" s="52" t="str">
        <f aca="false">'Model Inputs &amp; Assumptions'!$L$29</f>
        <v>PRD-EUAI</v>
      </c>
      <c r="P851" s="53" t="n">
        <v>1.655832</v>
      </c>
      <c r="Q851" s="53" t="n">
        <v>-0.109089</v>
      </c>
      <c r="R851" s="53" t="n">
        <v>0.40935</v>
      </c>
      <c r="S851" s="53" t="n">
        <v>1.190469</v>
      </c>
    </row>
    <row r="852" customFormat="false" ht="15" hidden="false" customHeight="false" outlineLevel="0" collapsed="false">
      <c r="A852" s="43" t="n">
        <v>349</v>
      </c>
      <c r="B852" s="44" t="str">
        <f aca="false">'Model Inputs &amp; Assumptions'!$B$29</f>
        <v>Handelsblatt — Native Explainer</v>
      </c>
      <c r="C852" s="45" t="n">
        <f aca="false">ROUND(MAX(0,'Model Inputs &amp; Assumptions'!$S$29*EXP('Model Inputs &amp; Assumptions'!$T$29*P852-'Model Inputs &amp; Assumptions'!$T$29^2/2)),0)</f>
        <v>246515</v>
      </c>
      <c r="D852" s="46" t="n">
        <f aca="false">MIN(1,'Model Inputs &amp; Assumptions'!$U$29*EXP('Model Inputs &amp; Assumptions'!$V$29*Q852-'Model Inputs &amp; Assumptions'!$V$29^2/2))</f>
        <v>0</v>
      </c>
      <c r="E852" s="45" t="n">
        <f aca="false">ROUND(C852*D852,0)</f>
        <v>0</v>
      </c>
      <c r="F852" s="47" t="n">
        <f aca="false">MIN(1,'Model Inputs &amp; Assumptions'!$W$29*EXP('Model Inputs &amp; Assumptions'!$X$29*R852-'Model Inputs &amp; Assumptions'!$X$29^2/2))</f>
        <v>0.00294266272082567</v>
      </c>
      <c r="G852" s="45" t="n">
        <f aca="false">ROUND(C852*F852,0)</f>
        <v>725</v>
      </c>
      <c r="H852" s="48" t="n">
        <f aca="false">MAX(0,(C852*'Model Inputs &amp; Assumptions'!$N$29+E852*'Model Inputs &amp; Assumptions'!$O$29+G852*'Model Inputs &amp; Assumptions'!$P$29)*EXP('Model Inputs &amp; Assumptions'!$Q$29*S852-'Model Inputs &amp; Assumptions'!$Q$29^2/2))</f>
        <v>27.3167012162336</v>
      </c>
      <c r="I852" s="49" t="n">
        <f aca="false">IF('Model Inputs &amp; Assumptions'!$H$29="Fixed",'Model Inputs &amp; Assumptions'!$I$29*'Model Inputs &amp; Assumptions'!$K$29,IF('Model Inputs &amp; Assumptions'!$H$29="CPM",'Model Inputs &amp; Assumptions'!$I$29*'Model Inputs &amp; Assumptions'!$K$29*C852/1000,IF('Model Inputs &amp; Assumptions'!$H$29="CPC",'Model Inputs &amp; Assumptions'!$I$29*'Model Inputs &amp; Assumptions'!$K$29*G852,0)))</f>
        <v>6500</v>
      </c>
      <c r="J852" s="50" t="n">
        <f aca="false">H852*INDEX('Model Inputs &amp; Assumptions'!$D$40:$D$42,MATCH('Model Inputs &amp; Assumptions'!$L$29,'Model Inputs &amp; Assumptions'!$A$40:$A$42,0))*INDEX('Model Inputs &amp; Assumptions'!$H$40:$H$42,MATCH('Model Inputs &amp; Assumptions'!$L$29,'Model Inputs &amp; Assumptions'!$A$40:$A$42,0))</f>
        <v>232191.960337986</v>
      </c>
      <c r="K852" s="49" t="n">
        <f aca="false">H852*INDEX('Model Inputs &amp; Assumptions'!$G$40:$G$42,MATCH('Model Inputs &amp; Assumptions'!$L$29,'Model Inputs &amp; Assumptions'!$A$40:$A$42,0))*INDEX('Model Inputs &amp; Assumptions'!$H$40:$H$42,MATCH('Model Inputs &amp; Assumptions'!$L$29,'Model Inputs &amp; Assumptions'!$A$40:$A$42,0))</f>
        <v>5224.31910760468</v>
      </c>
      <c r="L852" s="51" t="n">
        <f aca="false">IFERROR(K852/I852,0)</f>
        <v>0.803741401169951</v>
      </c>
      <c r="M852" s="49" t="n">
        <f aca="false">IFERROR(I852/H852,0)</f>
        <v>237.94966853967</v>
      </c>
      <c r="N852" s="52" t="str">
        <f aca="false">'Model Inputs &amp; Assumptions'!$L$29</f>
        <v>PRD-EUAI</v>
      </c>
      <c r="P852" s="53" t="n">
        <v>1.106172</v>
      </c>
      <c r="Q852" s="53" t="n">
        <v>-0.822792</v>
      </c>
      <c r="R852" s="53" t="n">
        <v>0.086349</v>
      </c>
      <c r="S852" s="53" t="n">
        <v>-0.793137</v>
      </c>
    </row>
    <row r="853" customFormat="false" ht="15" hidden="false" customHeight="false" outlineLevel="0" collapsed="false">
      <c r="A853" s="43" t="n">
        <v>350</v>
      </c>
      <c r="B853" s="44" t="str">
        <f aca="false">'Model Inputs &amp; Assumptions'!$B$29</f>
        <v>Handelsblatt — Native Explainer</v>
      </c>
      <c r="C853" s="45" t="n">
        <f aca="false">ROUND(MAX(0,'Model Inputs &amp; Assumptions'!$S$29*EXP('Model Inputs &amp; Assumptions'!$T$29*P853-'Model Inputs &amp; Assumptions'!$T$29^2/2)),0)</f>
        <v>390468</v>
      </c>
      <c r="D853" s="46" t="n">
        <f aca="false">MIN(1,'Model Inputs &amp; Assumptions'!$U$29*EXP('Model Inputs &amp; Assumptions'!$V$29*Q853-'Model Inputs &amp; Assumptions'!$V$29^2/2))</f>
        <v>0</v>
      </c>
      <c r="E853" s="45" t="n">
        <f aca="false">ROUND(C853*D853,0)</f>
        <v>0</v>
      </c>
      <c r="F853" s="47" t="n">
        <f aca="false">MIN(1,'Model Inputs &amp; Assumptions'!$W$29*EXP('Model Inputs &amp; Assumptions'!$X$29*R853-'Model Inputs &amp; Assumptions'!$X$29^2/2))</f>
        <v>0.0030697250545775</v>
      </c>
      <c r="G853" s="45" t="n">
        <f aca="false">ROUND(C853*F853,0)</f>
        <v>1199</v>
      </c>
      <c r="H853" s="48" t="n">
        <f aca="false">MAX(0,(C853*'Model Inputs &amp; Assumptions'!$N$29+E853*'Model Inputs &amp; Assumptions'!$O$29+G853*'Model Inputs &amp; Assumptions'!$P$29)*EXP('Model Inputs &amp; Assumptions'!$Q$29*S853-'Model Inputs &amp; Assumptions'!$Q$29^2/2))</f>
        <v>65.26640821413</v>
      </c>
      <c r="I853" s="49" t="n">
        <f aca="false">IF('Model Inputs &amp; Assumptions'!$H$29="Fixed",'Model Inputs &amp; Assumptions'!$I$29*'Model Inputs &amp; Assumptions'!$K$29,IF('Model Inputs &amp; Assumptions'!$H$29="CPM",'Model Inputs &amp; Assumptions'!$I$29*'Model Inputs &amp; Assumptions'!$K$29*C853/1000,IF('Model Inputs &amp; Assumptions'!$H$29="CPC",'Model Inputs &amp; Assumptions'!$I$29*'Model Inputs &amp; Assumptions'!$K$29*G853,0)))</f>
        <v>6500</v>
      </c>
      <c r="J853" s="50" t="n">
        <f aca="false">H853*INDEX('Model Inputs &amp; Assumptions'!$D$40:$D$42,MATCH('Model Inputs &amp; Assumptions'!$L$29,'Model Inputs &amp; Assumptions'!$A$40:$A$42,0))*INDEX('Model Inputs &amp; Assumptions'!$H$40:$H$42,MATCH('Model Inputs &amp; Assumptions'!$L$29,'Model Inputs &amp; Assumptions'!$A$40:$A$42,0))</f>
        <v>554764.469820105</v>
      </c>
      <c r="K853" s="49" t="n">
        <f aca="false">H853*INDEX('Model Inputs &amp; Assumptions'!$G$40:$G$42,MATCH('Model Inputs &amp; Assumptions'!$L$29,'Model Inputs &amp; Assumptions'!$A$40:$A$42,0))*INDEX('Model Inputs &amp; Assumptions'!$H$40:$H$42,MATCH('Model Inputs &amp; Assumptions'!$L$29,'Model Inputs &amp; Assumptions'!$A$40:$A$42,0))</f>
        <v>12482.2005709524</v>
      </c>
      <c r="L853" s="51" t="n">
        <f aca="false">IFERROR(K853/I853,0)</f>
        <v>1.92033854937729</v>
      </c>
      <c r="M853" s="49" t="n">
        <f aca="false">IFERROR(I853/H853,0)</f>
        <v>99.5918141944384</v>
      </c>
      <c r="N853" s="52" t="str">
        <f aca="false">'Model Inputs &amp; Assumptions'!$L$29</f>
        <v>PRD-EUAI</v>
      </c>
      <c r="P853" s="53" t="n">
        <v>3.196727</v>
      </c>
      <c r="Q853" s="53" t="n">
        <v>0.250431</v>
      </c>
      <c r="R853" s="53" t="n">
        <v>0.248938</v>
      </c>
      <c r="S853" s="53" t="n">
        <v>0.433222</v>
      </c>
    </row>
    <row r="854" customFormat="false" ht="15" hidden="false" customHeight="false" outlineLevel="0" collapsed="false">
      <c r="A854" s="43" t="n">
        <v>351</v>
      </c>
      <c r="B854" s="44" t="str">
        <f aca="false">'Model Inputs &amp; Assumptions'!$B$29</f>
        <v>Handelsblatt — Native Explainer</v>
      </c>
      <c r="C854" s="45" t="n">
        <f aca="false">ROUND(MAX(0,'Model Inputs &amp; Assumptions'!$S$29*EXP('Model Inputs &amp; Assumptions'!$T$29*P854-'Model Inputs &amp; Assumptions'!$T$29^2/2)),0)</f>
        <v>190794</v>
      </c>
      <c r="D854" s="46" t="n">
        <f aca="false">MIN(1,'Model Inputs &amp; Assumptions'!$U$29*EXP('Model Inputs &amp; Assumptions'!$V$29*Q854-'Model Inputs &amp; Assumptions'!$V$29^2/2))</f>
        <v>0</v>
      </c>
      <c r="E854" s="45" t="n">
        <f aca="false">ROUND(C854*D854,0)</f>
        <v>0</v>
      </c>
      <c r="F854" s="47" t="n">
        <f aca="false">MIN(1,'Model Inputs &amp; Assumptions'!$W$29*EXP('Model Inputs &amp; Assumptions'!$X$29*R854-'Model Inputs &amp; Assumptions'!$X$29^2/2))</f>
        <v>0.002329527829641</v>
      </c>
      <c r="G854" s="45" t="n">
        <f aca="false">ROUND(C854*F854,0)</f>
        <v>444</v>
      </c>
      <c r="H854" s="48" t="n">
        <f aca="false">MAX(0,(C854*'Model Inputs &amp; Assumptions'!$N$29+E854*'Model Inputs &amp; Assumptions'!$O$29+G854*'Model Inputs &amp; Assumptions'!$P$29)*EXP('Model Inputs &amp; Assumptions'!$Q$29*S854-'Model Inputs &amp; Assumptions'!$Q$29^2/2))</f>
        <v>23.4644823591711</v>
      </c>
      <c r="I854" s="49" t="n">
        <f aca="false">IF('Model Inputs &amp; Assumptions'!$H$29="Fixed",'Model Inputs &amp; Assumptions'!$I$29*'Model Inputs &amp; Assumptions'!$K$29,IF('Model Inputs &amp; Assumptions'!$H$29="CPM",'Model Inputs &amp; Assumptions'!$I$29*'Model Inputs &amp; Assumptions'!$K$29*C854/1000,IF('Model Inputs &amp; Assumptions'!$H$29="CPC",'Model Inputs &amp; Assumptions'!$I$29*'Model Inputs &amp; Assumptions'!$K$29*G854,0)))</f>
        <v>6500</v>
      </c>
      <c r="J854" s="50" t="n">
        <f aca="false">H854*INDEX('Model Inputs &amp; Assumptions'!$D$40:$D$42,MATCH('Model Inputs &amp; Assumptions'!$L$29,'Model Inputs &amp; Assumptions'!$A$40:$A$42,0))*INDEX('Model Inputs &amp; Assumptions'!$H$40:$H$42,MATCH('Model Inputs &amp; Assumptions'!$L$29,'Model Inputs &amp; Assumptions'!$A$40:$A$42,0))</f>
        <v>199448.100052955</v>
      </c>
      <c r="K854" s="49" t="n">
        <f aca="false">H854*INDEX('Model Inputs &amp; Assumptions'!$G$40:$G$42,MATCH('Model Inputs &amp; Assumptions'!$L$29,'Model Inputs &amp; Assumptions'!$A$40:$A$42,0))*INDEX('Model Inputs &amp; Assumptions'!$H$40:$H$42,MATCH('Model Inputs &amp; Assumptions'!$L$29,'Model Inputs &amp; Assumptions'!$A$40:$A$42,0))</f>
        <v>4487.58225119148</v>
      </c>
      <c r="L854" s="51" t="n">
        <f aca="false">IFERROR(K854/I854,0)</f>
        <v>0.690397269414073</v>
      </c>
      <c r="M854" s="49" t="n">
        <f aca="false">IFERROR(I854/H854,0)</f>
        <v>277.014421222016</v>
      </c>
      <c r="N854" s="52" t="str">
        <f aca="false">'Model Inputs &amp; Assumptions'!$L$29</f>
        <v>PRD-EUAI</v>
      </c>
      <c r="P854" s="53" t="n">
        <v>-0.05852</v>
      </c>
      <c r="Q854" s="53" t="n">
        <v>1.280659</v>
      </c>
      <c r="R854" s="53" t="n">
        <v>-0.812302</v>
      </c>
      <c r="S854" s="53" t="n">
        <v>0.334652</v>
      </c>
    </row>
    <row r="855" customFormat="false" ht="15" hidden="false" customHeight="false" outlineLevel="0" collapsed="false">
      <c r="A855" s="43" t="n">
        <v>352</v>
      </c>
      <c r="B855" s="44" t="str">
        <f aca="false">'Model Inputs &amp; Assumptions'!$B$29</f>
        <v>Handelsblatt — Native Explainer</v>
      </c>
      <c r="C855" s="45" t="n">
        <f aca="false">ROUND(MAX(0,'Model Inputs &amp; Assumptions'!$S$29*EXP('Model Inputs &amp; Assumptions'!$T$29*P855-'Model Inputs &amp; Assumptions'!$T$29^2/2)),0)</f>
        <v>219063</v>
      </c>
      <c r="D855" s="46" t="n">
        <f aca="false">MIN(1,'Model Inputs &amp; Assumptions'!$U$29*EXP('Model Inputs &amp; Assumptions'!$V$29*Q855-'Model Inputs &amp; Assumptions'!$V$29^2/2))</f>
        <v>0</v>
      </c>
      <c r="E855" s="45" t="n">
        <f aca="false">ROUND(C855*D855,0)</f>
        <v>0</v>
      </c>
      <c r="F855" s="47" t="n">
        <f aca="false">MIN(1,'Model Inputs &amp; Assumptions'!$W$29*EXP('Model Inputs &amp; Assumptions'!$X$29*R855-'Model Inputs &amp; Assumptions'!$X$29^2/2))</f>
        <v>0.00314028254645357</v>
      </c>
      <c r="G855" s="45" t="n">
        <f aca="false">ROUND(C855*F855,0)</f>
        <v>688</v>
      </c>
      <c r="H855" s="48" t="n">
        <f aca="false">MAX(0,(C855*'Model Inputs &amp; Assumptions'!$N$29+E855*'Model Inputs &amp; Assumptions'!$O$29+G855*'Model Inputs &amp; Assumptions'!$P$29)*EXP('Model Inputs &amp; Assumptions'!$Q$29*S855-'Model Inputs &amp; Assumptions'!$Q$29^2/2))</f>
        <v>33.7512874878593</v>
      </c>
      <c r="I855" s="49" t="n">
        <f aca="false">IF('Model Inputs &amp; Assumptions'!$H$29="Fixed",'Model Inputs &amp; Assumptions'!$I$29*'Model Inputs &amp; Assumptions'!$K$29,IF('Model Inputs &amp; Assumptions'!$H$29="CPM",'Model Inputs &amp; Assumptions'!$I$29*'Model Inputs &amp; Assumptions'!$K$29*C855/1000,IF('Model Inputs &amp; Assumptions'!$H$29="CPC",'Model Inputs &amp; Assumptions'!$I$29*'Model Inputs &amp; Assumptions'!$K$29*G855,0)))</f>
        <v>6500</v>
      </c>
      <c r="J855" s="50" t="n">
        <f aca="false">H855*INDEX('Model Inputs &amp; Assumptions'!$D$40:$D$42,MATCH('Model Inputs &amp; Assumptions'!$L$29,'Model Inputs &amp; Assumptions'!$A$40:$A$42,0))*INDEX('Model Inputs &amp; Assumptions'!$H$40:$H$42,MATCH('Model Inputs &amp; Assumptions'!$L$29,'Model Inputs &amp; Assumptions'!$A$40:$A$42,0))</f>
        <v>286885.943646804</v>
      </c>
      <c r="K855" s="49" t="n">
        <f aca="false">H855*INDEX('Model Inputs &amp; Assumptions'!$G$40:$G$42,MATCH('Model Inputs &amp; Assumptions'!$L$29,'Model Inputs &amp; Assumptions'!$A$40:$A$42,0))*INDEX('Model Inputs &amp; Assumptions'!$H$40:$H$42,MATCH('Model Inputs &amp; Assumptions'!$L$29,'Model Inputs &amp; Assumptions'!$A$40:$A$42,0))</f>
        <v>6454.93373205308</v>
      </c>
      <c r="L855" s="51" t="n">
        <f aca="false">IFERROR(K855/I855,0)</f>
        <v>0.993066728008167</v>
      </c>
      <c r="M855" s="49" t="n">
        <f aca="false">IFERROR(I855/H855,0)</f>
        <v>192.585245891379</v>
      </c>
      <c r="N855" s="52" t="str">
        <f aca="false">'Model Inputs &amp; Assumptions'!$L$29</f>
        <v>PRD-EUAI</v>
      </c>
      <c r="P855" s="53" t="n">
        <v>0.569514</v>
      </c>
      <c r="Q855" s="53" t="n">
        <v>0.317559</v>
      </c>
      <c r="R855" s="53" t="n">
        <v>0.336341</v>
      </c>
      <c r="S855" s="53" t="n">
        <v>0.08654</v>
      </c>
    </row>
    <row r="856" customFormat="false" ht="15" hidden="false" customHeight="false" outlineLevel="0" collapsed="false">
      <c r="A856" s="43" t="n">
        <v>353</v>
      </c>
      <c r="B856" s="44" t="str">
        <f aca="false">'Model Inputs &amp; Assumptions'!$B$29</f>
        <v>Handelsblatt — Native Explainer</v>
      </c>
      <c r="C856" s="45" t="n">
        <f aca="false">ROUND(MAX(0,'Model Inputs &amp; Assumptions'!$S$29*EXP('Model Inputs &amp; Assumptions'!$T$29*P856-'Model Inputs &amp; Assumptions'!$T$29^2/2)),0)</f>
        <v>253907</v>
      </c>
      <c r="D856" s="46" t="n">
        <f aca="false">MIN(1,'Model Inputs &amp; Assumptions'!$U$29*EXP('Model Inputs &amp; Assumptions'!$V$29*Q856-'Model Inputs &amp; Assumptions'!$V$29^2/2))</f>
        <v>0</v>
      </c>
      <c r="E856" s="45" t="n">
        <f aca="false">ROUND(C856*D856,0)</f>
        <v>0</v>
      </c>
      <c r="F856" s="47" t="n">
        <f aca="false">MIN(1,'Model Inputs &amp; Assumptions'!$W$29*EXP('Model Inputs &amp; Assumptions'!$X$29*R856-'Model Inputs &amp; Assumptions'!$X$29^2/2))</f>
        <v>0.0033089081761252</v>
      </c>
      <c r="G856" s="45" t="n">
        <f aca="false">ROUND(C856*F856,0)</f>
        <v>840</v>
      </c>
      <c r="H856" s="48" t="n">
        <f aca="false">MAX(0,(C856*'Model Inputs &amp; Assumptions'!$N$29+E856*'Model Inputs &amp; Assumptions'!$O$29+G856*'Model Inputs &amp; Assumptions'!$P$29)*EXP('Model Inputs &amp; Assumptions'!$Q$29*S856-'Model Inputs &amp; Assumptions'!$Q$29^2/2))</f>
        <v>28.7248476013113</v>
      </c>
      <c r="I856" s="49" t="n">
        <f aca="false">IF('Model Inputs &amp; Assumptions'!$H$29="Fixed",'Model Inputs &amp; Assumptions'!$I$29*'Model Inputs &amp; Assumptions'!$K$29,IF('Model Inputs &amp; Assumptions'!$H$29="CPM",'Model Inputs &amp; Assumptions'!$I$29*'Model Inputs &amp; Assumptions'!$K$29*C856/1000,IF('Model Inputs &amp; Assumptions'!$H$29="CPC",'Model Inputs &amp; Assumptions'!$I$29*'Model Inputs &amp; Assumptions'!$K$29*G856,0)))</f>
        <v>6500</v>
      </c>
      <c r="J856" s="50" t="n">
        <f aca="false">H856*INDEX('Model Inputs &amp; Assumptions'!$D$40:$D$42,MATCH('Model Inputs &amp; Assumptions'!$L$29,'Model Inputs &amp; Assumptions'!$A$40:$A$42,0))*INDEX('Model Inputs &amp; Assumptions'!$H$40:$H$42,MATCH('Model Inputs &amp; Assumptions'!$L$29,'Model Inputs &amp; Assumptions'!$A$40:$A$42,0))</f>
        <v>244161.204611146</v>
      </c>
      <c r="K856" s="49" t="n">
        <f aca="false">H856*INDEX('Model Inputs &amp; Assumptions'!$G$40:$G$42,MATCH('Model Inputs &amp; Assumptions'!$L$29,'Model Inputs &amp; Assumptions'!$A$40:$A$42,0))*INDEX('Model Inputs &amp; Assumptions'!$H$40:$H$42,MATCH('Model Inputs &amp; Assumptions'!$L$29,'Model Inputs &amp; Assumptions'!$A$40:$A$42,0))</f>
        <v>5493.62710375079</v>
      </c>
      <c r="L856" s="51" t="n">
        <f aca="false">IFERROR(K856/I856,0)</f>
        <v>0.845173400577045</v>
      </c>
      <c r="M856" s="49" t="n">
        <f aca="false">IFERROR(I856/H856,0)</f>
        <v>226.284925518744</v>
      </c>
      <c r="N856" s="52" t="str">
        <f aca="false">'Model Inputs &amp; Assumptions'!$L$29</f>
        <v>PRD-EUAI</v>
      </c>
      <c r="P856" s="53" t="n">
        <v>1.240456</v>
      </c>
      <c r="Q856" s="53" t="n">
        <v>-0.314369</v>
      </c>
      <c r="R856" s="53" t="n">
        <v>0.537516</v>
      </c>
      <c r="S856" s="53" t="n">
        <v>-1.116357</v>
      </c>
    </row>
    <row r="857" customFormat="false" ht="15" hidden="false" customHeight="false" outlineLevel="0" collapsed="false">
      <c r="A857" s="43" t="n">
        <v>354</v>
      </c>
      <c r="B857" s="44" t="str">
        <f aca="false">'Model Inputs &amp; Assumptions'!$B$29</f>
        <v>Handelsblatt — Native Explainer</v>
      </c>
      <c r="C857" s="45" t="n">
        <f aca="false">ROUND(MAX(0,'Model Inputs &amp; Assumptions'!$S$29*EXP('Model Inputs &amp; Assumptions'!$T$29*P857-'Model Inputs &amp; Assumptions'!$T$29^2/2)),0)</f>
        <v>156422</v>
      </c>
      <c r="D857" s="46" t="n">
        <f aca="false">MIN(1,'Model Inputs &amp; Assumptions'!$U$29*EXP('Model Inputs &amp; Assumptions'!$V$29*Q857-'Model Inputs &amp; Assumptions'!$V$29^2/2))</f>
        <v>0</v>
      </c>
      <c r="E857" s="45" t="n">
        <f aca="false">ROUND(C857*D857,0)</f>
        <v>0</v>
      </c>
      <c r="F857" s="47" t="n">
        <f aca="false">MIN(1,'Model Inputs &amp; Assumptions'!$W$29*EXP('Model Inputs &amp; Assumptions'!$X$29*R857-'Model Inputs &amp; Assumptions'!$X$29^2/2))</f>
        <v>0.0020872313582836</v>
      </c>
      <c r="G857" s="45" t="n">
        <f aca="false">ROUND(C857*F857,0)</f>
        <v>326</v>
      </c>
      <c r="H857" s="48" t="n">
        <f aca="false">MAX(0,(C857*'Model Inputs &amp; Assumptions'!$N$29+E857*'Model Inputs &amp; Assumptions'!$O$29+G857*'Model Inputs &amp; Assumptions'!$P$29)*EXP('Model Inputs &amp; Assumptions'!$Q$29*S857-'Model Inputs &amp; Assumptions'!$Q$29^2/2))</f>
        <v>12.5007695674942</v>
      </c>
      <c r="I857" s="49" t="n">
        <f aca="false">IF('Model Inputs &amp; Assumptions'!$H$29="Fixed",'Model Inputs &amp; Assumptions'!$I$29*'Model Inputs &amp; Assumptions'!$K$29,IF('Model Inputs &amp; Assumptions'!$H$29="CPM",'Model Inputs &amp; Assumptions'!$I$29*'Model Inputs &amp; Assumptions'!$K$29*C857/1000,IF('Model Inputs &amp; Assumptions'!$H$29="CPC",'Model Inputs &amp; Assumptions'!$I$29*'Model Inputs &amp; Assumptions'!$K$29*G857,0)))</f>
        <v>6500</v>
      </c>
      <c r="J857" s="50" t="n">
        <f aca="false">H857*INDEX('Model Inputs &amp; Assumptions'!$D$40:$D$42,MATCH('Model Inputs &amp; Assumptions'!$L$29,'Model Inputs &amp; Assumptions'!$A$40:$A$42,0))*INDEX('Model Inputs &amp; Assumptions'!$H$40:$H$42,MATCH('Model Inputs &amp; Assumptions'!$L$29,'Model Inputs &amp; Assumptions'!$A$40:$A$42,0))</f>
        <v>106256.5413237</v>
      </c>
      <c r="K857" s="49" t="n">
        <f aca="false">H857*INDEX('Model Inputs &amp; Assumptions'!$G$40:$G$42,MATCH('Model Inputs &amp; Assumptions'!$L$29,'Model Inputs &amp; Assumptions'!$A$40:$A$42,0))*INDEX('Model Inputs &amp; Assumptions'!$H$40:$H$42,MATCH('Model Inputs &amp; Assumptions'!$L$29,'Model Inputs &amp; Assumptions'!$A$40:$A$42,0))</f>
        <v>2390.77217978326</v>
      </c>
      <c r="L857" s="51" t="n">
        <f aca="false">IFERROR(K857/I857,0)</f>
        <v>0.36781110458204</v>
      </c>
      <c r="M857" s="49" t="n">
        <f aca="false">IFERROR(I857/H857,0)</f>
        <v>519.967987963077</v>
      </c>
      <c r="N857" s="52" t="str">
        <f aca="false">'Model Inputs &amp; Assumptions'!$L$29</f>
        <v>PRD-EUAI</v>
      </c>
      <c r="P857" s="53" t="n">
        <v>-0.961393</v>
      </c>
      <c r="Q857" s="53" t="n">
        <v>1.314211</v>
      </c>
      <c r="R857" s="53" t="n">
        <v>-1.234714</v>
      </c>
      <c r="S857" s="53" t="n">
        <v>-0.734583</v>
      </c>
    </row>
    <row r="858" customFormat="false" ht="15" hidden="false" customHeight="false" outlineLevel="0" collapsed="false">
      <c r="A858" s="43" t="n">
        <v>355</v>
      </c>
      <c r="B858" s="44" t="str">
        <f aca="false">'Model Inputs &amp; Assumptions'!$B$29</f>
        <v>Handelsblatt — Native Explainer</v>
      </c>
      <c r="C858" s="45" t="n">
        <f aca="false">ROUND(MAX(0,'Model Inputs &amp; Assumptions'!$S$29*EXP('Model Inputs &amp; Assumptions'!$T$29*P858-'Model Inputs &amp; Assumptions'!$T$29^2/2)),0)</f>
        <v>182051</v>
      </c>
      <c r="D858" s="46" t="n">
        <f aca="false">MIN(1,'Model Inputs &amp; Assumptions'!$U$29*EXP('Model Inputs &amp; Assumptions'!$V$29*Q858-'Model Inputs &amp; Assumptions'!$V$29^2/2))</f>
        <v>0</v>
      </c>
      <c r="E858" s="45" t="n">
        <f aca="false">ROUND(C858*D858,0)</f>
        <v>0</v>
      </c>
      <c r="F858" s="47" t="n">
        <f aca="false">MIN(1,'Model Inputs &amp; Assumptions'!$W$29*EXP('Model Inputs &amp; Assumptions'!$X$29*R858-'Model Inputs &amp; Assumptions'!$X$29^2/2))</f>
        <v>0.00256514790266727</v>
      </c>
      <c r="G858" s="45" t="n">
        <f aca="false">ROUND(C858*F858,0)</f>
        <v>467</v>
      </c>
      <c r="H858" s="48" t="n">
        <f aca="false">MAX(0,(C858*'Model Inputs &amp; Assumptions'!$N$29+E858*'Model Inputs &amp; Assumptions'!$O$29+G858*'Model Inputs &amp; Assumptions'!$P$29)*EXP('Model Inputs &amp; Assumptions'!$Q$29*S858-'Model Inputs &amp; Assumptions'!$Q$29^2/2))</f>
        <v>25.0350635472473</v>
      </c>
      <c r="I858" s="49" t="n">
        <f aca="false">IF('Model Inputs &amp; Assumptions'!$H$29="Fixed",'Model Inputs &amp; Assumptions'!$I$29*'Model Inputs &amp; Assumptions'!$K$29,IF('Model Inputs &amp; Assumptions'!$H$29="CPM",'Model Inputs &amp; Assumptions'!$I$29*'Model Inputs &amp; Assumptions'!$K$29*C858/1000,IF('Model Inputs &amp; Assumptions'!$H$29="CPC",'Model Inputs &amp; Assumptions'!$I$29*'Model Inputs &amp; Assumptions'!$K$29*G858,0)))</f>
        <v>6500</v>
      </c>
      <c r="J858" s="50" t="n">
        <f aca="false">H858*INDEX('Model Inputs &amp; Assumptions'!$D$40:$D$42,MATCH('Model Inputs &amp; Assumptions'!$L$29,'Model Inputs &amp; Assumptions'!$A$40:$A$42,0))*INDEX('Model Inputs &amp; Assumptions'!$H$40:$H$42,MATCH('Model Inputs &amp; Assumptions'!$L$29,'Model Inputs &amp; Assumptions'!$A$40:$A$42,0))</f>
        <v>212798.040151602</v>
      </c>
      <c r="K858" s="49" t="n">
        <f aca="false">H858*INDEX('Model Inputs &amp; Assumptions'!$G$40:$G$42,MATCH('Model Inputs &amp; Assumptions'!$L$29,'Model Inputs &amp; Assumptions'!$A$40:$A$42,0))*INDEX('Model Inputs &amp; Assumptions'!$H$40:$H$42,MATCH('Model Inputs &amp; Assumptions'!$L$29,'Model Inputs &amp; Assumptions'!$A$40:$A$42,0))</f>
        <v>4787.95590341104</v>
      </c>
      <c r="L858" s="51" t="n">
        <f aca="false">IFERROR(K858/I858,0)</f>
        <v>0.736608600524775</v>
      </c>
      <c r="M858" s="49" t="n">
        <f aca="false">IFERROR(I858/H858,0)</f>
        <v>259.635849844476</v>
      </c>
      <c r="N858" s="52" t="str">
        <f aca="false">'Model Inputs &amp; Assumptions'!$L$29</f>
        <v>PRD-EUAI</v>
      </c>
      <c r="P858" s="53" t="n">
        <v>-0.271732</v>
      </c>
      <c r="Q858" s="53" t="n">
        <v>-0.407591</v>
      </c>
      <c r="R858" s="53" t="n">
        <v>-0.441723</v>
      </c>
      <c r="S858" s="53" t="n">
        <v>0.382268</v>
      </c>
    </row>
    <row r="859" customFormat="false" ht="15" hidden="false" customHeight="false" outlineLevel="0" collapsed="false">
      <c r="A859" s="43" t="n">
        <v>356</v>
      </c>
      <c r="B859" s="44" t="str">
        <f aca="false">'Model Inputs &amp; Assumptions'!$B$29</f>
        <v>Handelsblatt — Native Explainer</v>
      </c>
      <c r="C859" s="45" t="n">
        <f aca="false">ROUND(MAX(0,'Model Inputs &amp; Assumptions'!$S$29*EXP('Model Inputs &amp; Assumptions'!$T$29*P859-'Model Inputs &amp; Assumptions'!$T$29^2/2)),0)</f>
        <v>208424</v>
      </c>
      <c r="D859" s="46" t="n">
        <f aca="false">MIN(1,'Model Inputs &amp; Assumptions'!$U$29*EXP('Model Inputs &amp; Assumptions'!$V$29*Q859-'Model Inputs &amp; Assumptions'!$V$29^2/2))</f>
        <v>0</v>
      </c>
      <c r="E859" s="45" t="n">
        <f aca="false">ROUND(C859*D859,0)</f>
        <v>0</v>
      </c>
      <c r="F859" s="47" t="n">
        <f aca="false">MIN(1,'Model Inputs &amp; Assumptions'!$W$29*EXP('Model Inputs &amp; Assumptions'!$X$29*R859-'Model Inputs &amp; Assumptions'!$X$29^2/2))</f>
        <v>0.0024162372114956</v>
      </c>
      <c r="G859" s="45" t="n">
        <f aca="false">ROUND(C859*F859,0)</f>
        <v>504</v>
      </c>
      <c r="H859" s="48" t="n">
        <f aca="false">MAX(0,(C859*'Model Inputs &amp; Assumptions'!$N$29+E859*'Model Inputs &amp; Assumptions'!$O$29+G859*'Model Inputs &amp; Assumptions'!$P$29)*EXP('Model Inputs &amp; Assumptions'!$Q$29*S859-'Model Inputs &amp; Assumptions'!$Q$29^2/2))</f>
        <v>23.0736666295396</v>
      </c>
      <c r="I859" s="49" t="n">
        <f aca="false">IF('Model Inputs &amp; Assumptions'!$H$29="Fixed",'Model Inputs &amp; Assumptions'!$I$29*'Model Inputs &amp; Assumptions'!$K$29,IF('Model Inputs &amp; Assumptions'!$H$29="CPM",'Model Inputs &amp; Assumptions'!$I$29*'Model Inputs &amp; Assumptions'!$K$29*C859/1000,IF('Model Inputs &amp; Assumptions'!$H$29="CPC",'Model Inputs &amp; Assumptions'!$I$29*'Model Inputs &amp; Assumptions'!$K$29*G859,0)))</f>
        <v>6500</v>
      </c>
      <c r="J859" s="50" t="n">
        <f aca="false">H859*INDEX('Model Inputs &amp; Assumptions'!$D$40:$D$42,MATCH('Model Inputs &amp; Assumptions'!$L$29,'Model Inputs &amp; Assumptions'!$A$40:$A$42,0))*INDEX('Model Inputs &amp; Assumptions'!$H$40:$H$42,MATCH('Model Inputs &amp; Assumptions'!$L$29,'Model Inputs &amp; Assumptions'!$A$40:$A$42,0))</f>
        <v>196126.166351087</v>
      </c>
      <c r="K859" s="49" t="n">
        <f aca="false">H859*INDEX('Model Inputs &amp; Assumptions'!$G$40:$G$42,MATCH('Model Inputs &amp; Assumptions'!$L$29,'Model Inputs &amp; Assumptions'!$A$40:$A$42,0))*INDEX('Model Inputs &amp; Assumptions'!$H$40:$H$42,MATCH('Model Inputs &amp; Assumptions'!$L$29,'Model Inputs &amp; Assumptions'!$A$40:$A$42,0))</f>
        <v>4412.83874289945</v>
      </c>
      <c r="L859" s="51" t="n">
        <f aca="false">IFERROR(K859/I859,0)</f>
        <v>0.678898268138377</v>
      </c>
      <c r="M859" s="49" t="n">
        <f aca="false">IFERROR(I859/H859,0)</f>
        <v>281.706419025683</v>
      </c>
      <c r="N859" s="52" t="str">
        <f aca="false">'Model Inputs &amp; Assumptions'!$L$29</f>
        <v>PRD-EUAI</v>
      </c>
      <c r="P859" s="53" t="n">
        <v>0.343216</v>
      </c>
      <c r="Q859" s="53" t="n">
        <v>0.058528</v>
      </c>
      <c r="R859" s="53" t="n">
        <v>-0.671741</v>
      </c>
      <c r="S859" s="53" t="n">
        <v>-0.14384</v>
      </c>
    </row>
    <row r="860" customFormat="false" ht="15" hidden="false" customHeight="false" outlineLevel="0" collapsed="false">
      <c r="A860" s="43" t="n">
        <v>357</v>
      </c>
      <c r="B860" s="44" t="str">
        <f aca="false">'Model Inputs &amp; Assumptions'!$B$29</f>
        <v>Handelsblatt — Native Explainer</v>
      </c>
      <c r="C860" s="45" t="n">
        <f aca="false">ROUND(MAX(0,'Model Inputs &amp; Assumptions'!$S$29*EXP('Model Inputs &amp; Assumptions'!$T$29*P860-'Model Inputs &amp; Assumptions'!$T$29^2/2)),0)</f>
        <v>236432</v>
      </c>
      <c r="D860" s="46" t="n">
        <f aca="false">MIN(1,'Model Inputs &amp; Assumptions'!$U$29*EXP('Model Inputs &amp; Assumptions'!$V$29*Q860-'Model Inputs &amp; Assumptions'!$V$29^2/2))</f>
        <v>0</v>
      </c>
      <c r="E860" s="45" t="n">
        <f aca="false">ROUND(C860*D860,0)</f>
        <v>0</v>
      </c>
      <c r="F860" s="47" t="n">
        <f aca="false">MIN(1,'Model Inputs &amp; Assumptions'!$W$29*EXP('Model Inputs &amp; Assumptions'!$X$29*R860-'Model Inputs &amp; Assumptions'!$X$29^2/2))</f>
        <v>0.00208947491761097</v>
      </c>
      <c r="G860" s="45" t="n">
        <f aca="false">ROUND(C860*F860,0)</f>
        <v>494</v>
      </c>
      <c r="H860" s="48" t="n">
        <f aca="false">MAX(0,(C860*'Model Inputs &amp; Assumptions'!$N$29+E860*'Model Inputs &amp; Assumptions'!$O$29+G860*'Model Inputs &amp; Assumptions'!$P$29)*EXP('Model Inputs &amp; Assumptions'!$Q$29*S860-'Model Inputs &amp; Assumptions'!$Q$29^2/2))</f>
        <v>19.7698063824924</v>
      </c>
      <c r="I860" s="49" t="n">
        <f aca="false">IF('Model Inputs &amp; Assumptions'!$H$29="Fixed",'Model Inputs &amp; Assumptions'!$I$29*'Model Inputs &amp; Assumptions'!$K$29,IF('Model Inputs &amp; Assumptions'!$H$29="CPM",'Model Inputs &amp; Assumptions'!$I$29*'Model Inputs &amp; Assumptions'!$K$29*C860/1000,IF('Model Inputs &amp; Assumptions'!$H$29="CPC",'Model Inputs &amp; Assumptions'!$I$29*'Model Inputs &amp; Assumptions'!$K$29*G860,0)))</f>
        <v>6500</v>
      </c>
      <c r="J860" s="50" t="n">
        <f aca="false">H860*INDEX('Model Inputs &amp; Assumptions'!$D$40:$D$42,MATCH('Model Inputs &amp; Assumptions'!$L$29,'Model Inputs &amp; Assumptions'!$A$40:$A$42,0))*INDEX('Model Inputs &amp; Assumptions'!$H$40:$H$42,MATCH('Model Inputs &amp; Assumptions'!$L$29,'Model Inputs &amp; Assumptions'!$A$40:$A$42,0))</f>
        <v>168043.354251185</v>
      </c>
      <c r="K860" s="49" t="n">
        <f aca="false">H860*INDEX('Model Inputs &amp; Assumptions'!$G$40:$G$42,MATCH('Model Inputs &amp; Assumptions'!$L$29,'Model Inputs &amp; Assumptions'!$A$40:$A$42,0))*INDEX('Model Inputs &amp; Assumptions'!$H$40:$H$42,MATCH('Model Inputs &amp; Assumptions'!$L$29,'Model Inputs &amp; Assumptions'!$A$40:$A$42,0))</f>
        <v>3780.97547065167</v>
      </c>
      <c r="L860" s="51" t="n">
        <f aca="false">IFERROR(K860/I860,0)</f>
        <v>0.581688533946411</v>
      </c>
      <c r="M860" s="49" t="n">
        <f aca="false">IFERROR(I860/H860,0)</f>
        <v>328.784201233059</v>
      </c>
      <c r="N860" s="52" t="str">
        <f aca="false">'Model Inputs &amp; Assumptions'!$L$29</f>
        <v>PRD-EUAI</v>
      </c>
      <c r="P860" s="53" t="n">
        <v>0.916344</v>
      </c>
      <c r="Q860" s="53" t="n">
        <v>1.347144</v>
      </c>
      <c r="R860" s="53" t="n">
        <v>-1.230582</v>
      </c>
      <c r="S860" s="53" t="n">
        <v>-0.592158</v>
      </c>
    </row>
    <row r="861" customFormat="false" ht="15" hidden="false" customHeight="false" outlineLevel="0" collapsed="false">
      <c r="A861" s="43" t="n">
        <v>358</v>
      </c>
      <c r="B861" s="44" t="str">
        <f aca="false">'Model Inputs &amp; Assumptions'!$B$29</f>
        <v>Handelsblatt — Native Explainer</v>
      </c>
      <c r="C861" s="45" t="n">
        <f aca="false">ROUND(MAX(0,'Model Inputs &amp; Assumptions'!$S$29*EXP('Model Inputs &amp; Assumptions'!$T$29*P861-'Model Inputs &amp; Assumptions'!$T$29^2/2)),0)</f>
        <v>143607</v>
      </c>
      <c r="D861" s="46" t="n">
        <f aca="false">MIN(1,'Model Inputs &amp; Assumptions'!$U$29*EXP('Model Inputs &amp; Assumptions'!$V$29*Q861-'Model Inputs &amp; Assumptions'!$V$29^2/2))</f>
        <v>0</v>
      </c>
      <c r="E861" s="45" t="n">
        <f aca="false">ROUND(C861*D861,0)</f>
        <v>0</v>
      </c>
      <c r="F861" s="47" t="n">
        <f aca="false">MIN(1,'Model Inputs &amp; Assumptions'!$W$29*EXP('Model Inputs &amp; Assumptions'!$X$29*R861-'Model Inputs &amp; Assumptions'!$X$29^2/2))</f>
        <v>0.00349693999457455</v>
      </c>
      <c r="G861" s="45" t="n">
        <f aca="false">ROUND(C861*F861,0)</f>
        <v>502</v>
      </c>
      <c r="H861" s="48" t="n">
        <f aca="false">MAX(0,(C861*'Model Inputs &amp; Assumptions'!$N$29+E861*'Model Inputs &amp; Assumptions'!$O$29+G861*'Model Inputs &amp; Assumptions'!$P$29)*EXP('Model Inputs &amp; Assumptions'!$Q$29*S861-'Model Inputs &amp; Assumptions'!$Q$29^2/2))</f>
        <v>17.5804000177738</v>
      </c>
      <c r="I861" s="49" t="n">
        <f aca="false">IF('Model Inputs &amp; Assumptions'!$H$29="Fixed",'Model Inputs &amp; Assumptions'!$I$29*'Model Inputs &amp; Assumptions'!$K$29,IF('Model Inputs &amp; Assumptions'!$H$29="CPM",'Model Inputs &amp; Assumptions'!$I$29*'Model Inputs &amp; Assumptions'!$K$29*C861/1000,IF('Model Inputs &amp; Assumptions'!$H$29="CPC",'Model Inputs &amp; Assumptions'!$I$29*'Model Inputs &amp; Assumptions'!$K$29*G861,0)))</f>
        <v>6500</v>
      </c>
      <c r="J861" s="50" t="n">
        <f aca="false">H861*INDEX('Model Inputs &amp; Assumptions'!$D$40:$D$42,MATCH('Model Inputs &amp; Assumptions'!$L$29,'Model Inputs &amp; Assumptions'!$A$40:$A$42,0))*INDEX('Model Inputs &amp; Assumptions'!$H$40:$H$42,MATCH('Model Inputs &amp; Assumptions'!$L$29,'Model Inputs &amp; Assumptions'!$A$40:$A$42,0))</f>
        <v>149433.400151077</v>
      </c>
      <c r="K861" s="49" t="n">
        <f aca="false">H861*INDEX('Model Inputs &amp; Assumptions'!$G$40:$G$42,MATCH('Model Inputs &amp; Assumptions'!$L$29,'Model Inputs &amp; Assumptions'!$A$40:$A$42,0))*INDEX('Model Inputs &amp; Assumptions'!$H$40:$H$42,MATCH('Model Inputs &amp; Assumptions'!$L$29,'Model Inputs &amp; Assumptions'!$A$40:$A$42,0))</f>
        <v>3362.25150339924</v>
      </c>
      <c r="L861" s="51" t="n">
        <f aca="false">IFERROR(K861/I861,0)</f>
        <v>0.517269462061421</v>
      </c>
      <c r="M861" s="49" t="n">
        <f aca="false">IFERROR(I861/H861,0)</f>
        <v>369.72992613527</v>
      </c>
      <c r="N861" s="52" t="str">
        <f aca="false">'Model Inputs &amp; Assumptions'!$L$29</f>
        <v>PRD-EUAI</v>
      </c>
      <c r="P861" s="53" t="n">
        <v>-1.349925</v>
      </c>
      <c r="Q861" s="53" t="n">
        <v>0.776605</v>
      </c>
      <c r="R861" s="53" t="n">
        <v>0.750093</v>
      </c>
      <c r="S861" s="53" t="n">
        <v>-1.036944</v>
      </c>
    </row>
    <row r="862" customFormat="false" ht="15" hidden="false" customHeight="false" outlineLevel="0" collapsed="false">
      <c r="A862" s="43" t="n">
        <v>359</v>
      </c>
      <c r="B862" s="44" t="str">
        <f aca="false">'Model Inputs &amp; Assumptions'!$B$29</f>
        <v>Handelsblatt — Native Explainer</v>
      </c>
      <c r="C862" s="45" t="n">
        <f aca="false">ROUND(MAX(0,'Model Inputs &amp; Assumptions'!$S$29*EXP('Model Inputs &amp; Assumptions'!$T$29*P862-'Model Inputs &amp; Assumptions'!$T$29^2/2)),0)</f>
        <v>212430</v>
      </c>
      <c r="D862" s="46" t="n">
        <f aca="false">MIN(1,'Model Inputs &amp; Assumptions'!$U$29*EXP('Model Inputs &amp; Assumptions'!$V$29*Q862-'Model Inputs &amp; Assumptions'!$V$29^2/2))</f>
        <v>0</v>
      </c>
      <c r="E862" s="45" t="n">
        <f aca="false">ROUND(C862*D862,0)</f>
        <v>0</v>
      </c>
      <c r="F862" s="47" t="n">
        <f aca="false">MIN(1,'Model Inputs &amp; Assumptions'!$W$29*EXP('Model Inputs &amp; Assumptions'!$X$29*R862-'Model Inputs &amp; Assumptions'!$X$29^2/2))</f>
        <v>0.00266405047299721</v>
      </c>
      <c r="G862" s="45" t="n">
        <f aca="false">ROUND(C862*F862,0)</f>
        <v>566</v>
      </c>
      <c r="H862" s="48" t="n">
        <f aca="false">MAX(0,(C862*'Model Inputs &amp; Assumptions'!$N$29+E862*'Model Inputs &amp; Assumptions'!$O$29+G862*'Model Inputs &amp; Assumptions'!$P$29)*EXP('Model Inputs &amp; Assumptions'!$Q$29*S862-'Model Inputs &amp; Assumptions'!$Q$29^2/2))</f>
        <v>35.5384711704162</v>
      </c>
      <c r="I862" s="49" t="n">
        <f aca="false">IF('Model Inputs &amp; Assumptions'!$H$29="Fixed",'Model Inputs &amp; Assumptions'!$I$29*'Model Inputs &amp; Assumptions'!$K$29,IF('Model Inputs &amp; Assumptions'!$H$29="CPM",'Model Inputs &amp; Assumptions'!$I$29*'Model Inputs &amp; Assumptions'!$K$29*C862/1000,IF('Model Inputs &amp; Assumptions'!$H$29="CPC",'Model Inputs &amp; Assumptions'!$I$29*'Model Inputs &amp; Assumptions'!$K$29*G862,0)))</f>
        <v>6500</v>
      </c>
      <c r="J862" s="50" t="n">
        <f aca="false">H862*INDEX('Model Inputs &amp; Assumptions'!$D$40:$D$42,MATCH('Model Inputs &amp; Assumptions'!$L$29,'Model Inputs &amp; Assumptions'!$A$40:$A$42,0))*INDEX('Model Inputs &amp; Assumptions'!$H$40:$H$42,MATCH('Model Inputs &amp; Assumptions'!$L$29,'Model Inputs &amp; Assumptions'!$A$40:$A$42,0))</f>
        <v>302077.004948537</v>
      </c>
      <c r="K862" s="49" t="n">
        <f aca="false">H862*INDEX('Model Inputs &amp; Assumptions'!$G$40:$G$42,MATCH('Model Inputs &amp; Assumptions'!$L$29,'Model Inputs &amp; Assumptions'!$A$40:$A$42,0))*INDEX('Model Inputs &amp; Assumptions'!$H$40:$H$42,MATCH('Model Inputs &amp; Assumptions'!$L$29,'Model Inputs &amp; Assumptions'!$A$40:$A$42,0))</f>
        <v>6796.73261134209</v>
      </c>
      <c r="L862" s="51" t="n">
        <f aca="false">IFERROR(K862/I862,0)</f>
        <v>1.04565117097571</v>
      </c>
      <c r="M862" s="49" t="n">
        <f aca="false">IFERROR(I862/H862,0)</f>
        <v>182.90038332912</v>
      </c>
      <c r="N862" s="52" t="str">
        <f aca="false">'Model Inputs &amp; Assumptions'!$L$29</f>
        <v>PRD-EUAI</v>
      </c>
      <c r="P862" s="53" t="n">
        <v>0.429759</v>
      </c>
      <c r="Q862" s="53" t="n">
        <v>-0.815947</v>
      </c>
      <c r="R862" s="53" t="n">
        <v>-0.296217</v>
      </c>
      <c r="S862" s="53" t="n">
        <v>0.90918</v>
      </c>
    </row>
    <row r="863" customFormat="false" ht="15" hidden="false" customHeight="false" outlineLevel="0" collapsed="false">
      <c r="A863" s="43" t="n">
        <v>360</v>
      </c>
      <c r="B863" s="44" t="str">
        <f aca="false">'Model Inputs &amp; Assumptions'!$B$29</f>
        <v>Handelsblatt — Native Explainer</v>
      </c>
      <c r="C863" s="45" t="n">
        <f aca="false">ROUND(MAX(0,'Model Inputs &amp; Assumptions'!$S$29*EXP('Model Inputs &amp; Assumptions'!$T$29*P863-'Model Inputs &amp; Assumptions'!$T$29^2/2)),0)</f>
        <v>241462</v>
      </c>
      <c r="D863" s="46" t="n">
        <f aca="false">MIN(1,'Model Inputs &amp; Assumptions'!$U$29*EXP('Model Inputs &amp; Assumptions'!$V$29*Q863-'Model Inputs &amp; Assumptions'!$V$29^2/2))</f>
        <v>0</v>
      </c>
      <c r="E863" s="45" t="n">
        <f aca="false">ROUND(C863*D863,0)</f>
        <v>0</v>
      </c>
      <c r="F863" s="47" t="n">
        <f aca="false">MIN(1,'Model Inputs &amp; Assumptions'!$W$29*EXP('Model Inputs &amp; Assumptions'!$X$29*R863-'Model Inputs &amp; Assumptions'!$X$29^2/2))</f>
        <v>0.00181765665415579</v>
      </c>
      <c r="G863" s="45" t="n">
        <f aca="false">ROUND(C863*F863,0)</f>
        <v>439</v>
      </c>
      <c r="H863" s="48" t="n">
        <f aca="false">MAX(0,(C863*'Model Inputs &amp; Assumptions'!$N$29+E863*'Model Inputs &amp; Assumptions'!$O$29+G863*'Model Inputs &amp; Assumptions'!$P$29)*EXP('Model Inputs &amp; Assumptions'!$Q$29*S863-'Model Inputs &amp; Assumptions'!$Q$29^2/2))</f>
        <v>23.5043765392034</v>
      </c>
      <c r="I863" s="49" t="n">
        <f aca="false">IF('Model Inputs &amp; Assumptions'!$H$29="Fixed",'Model Inputs &amp; Assumptions'!$I$29*'Model Inputs &amp; Assumptions'!$K$29,IF('Model Inputs &amp; Assumptions'!$H$29="CPM",'Model Inputs &amp; Assumptions'!$I$29*'Model Inputs &amp; Assumptions'!$K$29*C863/1000,IF('Model Inputs &amp; Assumptions'!$H$29="CPC",'Model Inputs &amp; Assumptions'!$I$29*'Model Inputs &amp; Assumptions'!$K$29*G863,0)))</f>
        <v>6500</v>
      </c>
      <c r="J863" s="50" t="n">
        <f aca="false">H863*INDEX('Model Inputs &amp; Assumptions'!$D$40:$D$42,MATCH('Model Inputs &amp; Assumptions'!$L$29,'Model Inputs &amp; Assumptions'!$A$40:$A$42,0))*INDEX('Model Inputs &amp; Assumptions'!$H$40:$H$42,MATCH('Model Inputs &amp; Assumptions'!$L$29,'Model Inputs &amp; Assumptions'!$A$40:$A$42,0))</f>
        <v>199787.200583229</v>
      </c>
      <c r="K863" s="49" t="n">
        <f aca="false">H863*INDEX('Model Inputs &amp; Assumptions'!$G$40:$G$42,MATCH('Model Inputs &amp; Assumptions'!$L$29,'Model Inputs &amp; Assumptions'!$A$40:$A$42,0))*INDEX('Model Inputs &amp; Assumptions'!$H$40:$H$42,MATCH('Model Inputs &amp; Assumptions'!$L$29,'Model Inputs &amp; Assumptions'!$A$40:$A$42,0))</f>
        <v>4495.21201312266</v>
      </c>
      <c r="L863" s="51" t="n">
        <f aca="false">IFERROR(K863/I863,0)</f>
        <v>0.691571078941947</v>
      </c>
      <c r="M863" s="49" t="n">
        <f aca="false">IFERROR(I863/H863,0)</f>
        <v>276.544242267329</v>
      </c>
      <c r="N863" s="52" t="str">
        <f aca="false">'Model Inputs &amp; Assumptions'!$L$29</f>
        <v>PRD-EUAI</v>
      </c>
      <c r="P863" s="53" t="n">
        <v>1.012028</v>
      </c>
      <c r="Q863" s="53" t="n">
        <v>-0.853328</v>
      </c>
      <c r="R863" s="53" t="n">
        <v>-1.7666</v>
      </c>
      <c r="S863" s="53" t="n">
        <v>0.378065</v>
      </c>
    </row>
    <row r="864" customFormat="false" ht="15" hidden="false" customHeight="false" outlineLevel="0" collapsed="false">
      <c r="A864" s="43" t="n">
        <v>361</v>
      </c>
      <c r="B864" s="44" t="str">
        <f aca="false">'Model Inputs &amp; Assumptions'!$B$29</f>
        <v>Handelsblatt — Native Explainer</v>
      </c>
      <c r="C864" s="45" t="n">
        <f aca="false">ROUND(MAX(0,'Model Inputs &amp; Assumptions'!$S$29*EXP('Model Inputs &amp; Assumptions'!$T$29*P864-'Model Inputs &amp; Assumptions'!$T$29^2/2)),0)</f>
        <v>186987</v>
      </c>
      <c r="D864" s="46" t="n">
        <f aca="false">MIN(1,'Model Inputs &amp; Assumptions'!$U$29*EXP('Model Inputs &amp; Assumptions'!$V$29*Q864-'Model Inputs &amp; Assumptions'!$V$29^2/2))</f>
        <v>0</v>
      </c>
      <c r="E864" s="45" t="n">
        <f aca="false">ROUND(C864*D864,0)</f>
        <v>0</v>
      </c>
      <c r="F864" s="47" t="n">
        <f aca="false">MIN(1,'Model Inputs &amp; Assumptions'!$W$29*EXP('Model Inputs &amp; Assumptions'!$X$29*R864-'Model Inputs &amp; Assumptions'!$X$29^2/2))</f>
        <v>0.00342133340235432</v>
      </c>
      <c r="G864" s="45" t="n">
        <f aca="false">ROUND(C864*F864,0)</f>
        <v>640</v>
      </c>
      <c r="H864" s="48" t="n">
        <f aca="false">MAX(0,(C864*'Model Inputs &amp; Assumptions'!$N$29+E864*'Model Inputs &amp; Assumptions'!$O$29+G864*'Model Inputs &amp; Assumptions'!$P$29)*EXP('Model Inputs &amp; Assumptions'!$Q$29*S864-'Model Inputs &amp; Assumptions'!$Q$29^2/2))</f>
        <v>35.7236131461158</v>
      </c>
      <c r="I864" s="49" t="n">
        <f aca="false">IF('Model Inputs &amp; Assumptions'!$H$29="Fixed",'Model Inputs &amp; Assumptions'!$I$29*'Model Inputs &amp; Assumptions'!$K$29,IF('Model Inputs &amp; Assumptions'!$H$29="CPM",'Model Inputs &amp; Assumptions'!$I$29*'Model Inputs &amp; Assumptions'!$K$29*C864/1000,IF('Model Inputs &amp; Assumptions'!$H$29="CPC",'Model Inputs &amp; Assumptions'!$I$29*'Model Inputs &amp; Assumptions'!$K$29*G864,0)))</f>
        <v>6500</v>
      </c>
      <c r="J864" s="50" t="n">
        <f aca="false">H864*INDEX('Model Inputs &amp; Assumptions'!$D$40:$D$42,MATCH('Model Inputs &amp; Assumptions'!$L$29,'Model Inputs &amp; Assumptions'!$A$40:$A$42,0))*INDEX('Model Inputs &amp; Assumptions'!$H$40:$H$42,MATCH('Model Inputs &amp; Assumptions'!$L$29,'Model Inputs &amp; Assumptions'!$A$40:$A$42,0))</f>
        <v>303650.711741984</v>
      </c>
      <c r="K864" s="49" t="n">
        <f aca="false">H864*INDEX('Model Inputs &amp; Assumptions'!$G$40:$G$42,MATCH('Model Inputs &amp; Assumptions'!$L$29,'Model Inputs &amp; Assumptions'!$A$40:$A$42,0))*INDEX('Model Inputs &amp; Assumptions'!$H$40:$H$42,MATCH('Model Inputs &amp; Assumptions'!$L$29,'Model Inputs &amp; Assumptions'!$A$40:$A$42,0))</f>
        <v>6832.14101419465</v>
      </c>
      <c r="L864" s="51" t="n">
        <f aca="false">IFERROR(K864/I864,0)</f>
        <v>1.05109861756841</v>
      </c>
      <c r="M864" s="49" t="n">
        <f aca="false">IFERROR(I864/H864,0)</f>
        <v>181.952479818149</v>
      </c>
      <c r="N864" s="52" t="str">
        <f aca="false">'Model Inputs &amp; Assumptions'!$L$29</f>
        <v>PRD-EUAI</v>
      </c>
      <c r="P864" s="53" t="n">
        <v>-0.150115</v>
      </c>
      <c r="Q864" s="53" t="n">
        <v>1.441099</v>
      </c>
      <c r="R864" s="53" t="n">
        <v>0.666024</v>
      </c>
      <c r="S864" s="53" t="n">
        <v>0.51692</v>
      </c>
    </row>
    <row r="865" customFormat="false" ht="15" hidden="false" customHeight="false" outlineLevel="0" collapsed="false">
      <c r="A865" s="43" t="n">
        <v>362</v>
      </c>
      <c r="B865" s="44" t="str">
        <f aca="false">'Model Inputs &amp; Assumptions'!$B$29</f>
        <v>Handelsblatt — Native Explainer</v>
      </c>
      <c r="C865" s="45" t="n">
        <f aca="false">ROUND(MAX(0,'Model Inputs &amp; Assumptions'!$S$29*EXP('Model Inputs &amp; Assumptions'!$T$29*P865-'Model Inputs &amp; Assumptions'!$T$29^2/2)),0)</f>
        <v>184367</v>
      </c>
      <c r="D865" s="46" t="n">
        <f aca="false">MIN(1,'Model Inputs &amp; Assumptions'!$U$29*EXP('Model Inputs &amp; Assumptions'!$V$29*Q865-'Model Inputs &amp; Assumptions'!$V$29^2/2))</f>
        <v>0</v>
      </c>
      <c r="E865" s="45" t="n">
        <f aca="false">ROUND(C865*D865,0)</f>
        <v>0</v>
      </c>
      <c r="F865" s="47" t="n">
        <f aca="false">MIN(1,'Model Inputs &amp; Assumptions'!$W$29*EXP('Model Inputs &amp; Assumptions'!$X$29*R865-'Model Inputs &amp; Assumptions'!$X$29^2/2))</f>
        <v>0.00252260777756108</v>
      </c>
      <c r="G865" s="45" t="n">
        <f aca="false">ROUND(C865*F865,0)</f>
        <v>465</v>
      </c>
      <c r="H865" s="48" t="n">
        <f aca="false">MAX(0,(C865*'Model Inputs &amp; Assumptions'!$N$29+E865*'Model Inputs &amp; Assumptions'!$O$29+G865*'Model Inputs &amp; Assumptions'!$P$29)*EXP('Model Inputs &amp; Assumptions'!$Q$29*S865-'Model Inputs &amp; Assumptions'!$Q$29^2/2))</f>
        <v>28.5216124661981</v>
      </c>
      <c r="I865" s="49" t="n">
        <f aca="false">IF('Model Inputs &amp; Assumptions'!$H$29="Fixed",'Model Inputs &amp; Assumptions'!$I$29*'Model Inputs &amp; Assumptions'!$K$29,IF('Model Inputs &amp; Assumptions'!$H$29="CPM",'Model Inputs &amp; Assumptions'!$I$29*'Model Inputs &amp; Assumptions'!$K$29*C865/1000,IF('Model Inputs &amp; Assumptions'!$H$29="CPC",'Model Inputs &amp; Assumptions'!$I$29*'Model Inputs &amp; Assumptions'!$K$29*G865,0)))</f>
        <v>6500</v>
      </c>
      <c r="J865" s="50" t="n">
        <f aca="false">H865*INDEX('Model Inputs &amp; Assumptions'!$D$40:$D$42,MATCH('Model Inputs &amp; Assumptions'!$L$29,'Model Inputs &amp; Assumptions'!$A$40:$A$42,0))*INDEX('Model Inputs &amp; Assumptions'!$H$40:$H$42,MATCH('Model Inputs &amp; Assumptions'!$L$29,'Model Inputs &amp; Assumptions'!$A$40:$A$42,0))</f>
        <v>242433.705962684</v>
      </c>
      <c r="K865" s="49" t="n">
        <f aca="false">H865*INDEX('Model Inputs &amp; Assumptions'!$G$40:$G$42,MATCH('Model Inputs &amp; Assumptions'!$L$29,'Model Inputs &amp; Assumptions'!$A$40:$A$42,0))*INDEX('Model Inputs &amp; Assumptions'!$H$40:$H$42,MATCH('Model Inputs &amp; Assumptions'!$L$29,'Model Inputs &amp; Assumptions'!$A$40:$A$42,0))</f>
        <v>5454.75838416039</v>
      </c>
      <c r="L865" s="51" t="n">
        <f aca="false">IFERROR(K865/I865,0)</f>
        <v>0.839193597563137</v>
      </c>
      <c r="M865" s="49" t="n">
        <f aca="false">IFERROR(I865/H865,0)</f>
        <v>227.897353549115</v>
      </c>
      <c r="N865" s="52" t="str">
        <f aca="false">'Model Inputs &amp; Assumptions'!$L$29</f>
        <v>PRD-EUAI</v>
      </c>
      <c r="P865" s="53" t="n">
        <v>-0.214261</v>
      </c>
      <c r="Q865" s="53" t="n">
        <v>-0.703556</v>
      </c>
      <c r="R865" s="53" t="n">
        <v>-0.506042</v>
      </c>
      <c r="S865" s="53" t="n">
        <v>0.83119</v>
      </c>
    </row>
    <row r="866" customFormat="false" ht="15" hidden="false" customHeight="false" outlineLevel="0" collapsed="false">
      <c r="A866" s="43" t="n">
        <v>363</v>
      </c>
      <c r="B866" s="44" t="str">
        <f aca="false">'Model Inputs &amp; Assumptions'!$B$29</f>
        <v>Handelsblatt — Native Explainer</v>
      </c>
      <c r="C866" s="45" t="n">
        <f aca="false">ROUND(MAX(0,'Model Inputs &amp; Assumptions'!$S$29*EXP('Model Inputs &amp; Assumptions'!$T$29*P866-'Model Inputs &amp; Assumptions'!$T$29^2/2)),0)</f>
        <v>232336</v>
      </c>
      <c r="D866" s="46" t="n">
        <f aca="false">MIN(1,'Model Inputs &amp; Assumptions'!$U$29*EXP('Model Inputs &amp; Assumptions'!$V$29*Q866-'Model Inputs &amp; Assumptions'!$V$29^2/2))</f>
        <v>0</v>
      </c>
      <c r="E866" s="45" t="n">
        <f aca="false">ROUND(C866*D866,0)</f>
        <v>0</v>
      </c>
      <c r="F866" s="47" t="n">
        <f aca="false">MIN(1,'Model Inputs &amp; Assumptions'!$W$29*EXP('Model Inputs &amp; Assumptions'!$X$29*R866-'Model Inputs &amp; Assumptions'!$X$29^2/2))</f>
        <v>0.00370905163079464</v>
      </c>
      <c r="G866" s="45" t="n">
        <f aca="false">ROUND(C866*F866,0)</f>
        <v>862</v>
      </c>
      <c r="H866" s="48" t="n">
        <f aca="false">MAX(0,(C866*'Model Inputs &amp; Assumptions'!$N$29+E866*'Model Inputs &amp; Assumptions'!$O$29+G866*'Model Inputs &amp; Assumptions'!$P$29)*EXP('Model Inputs &amp; Assumptions'!$Q$29*S866-'Model Inputs &amp; Assumptions'!$Q$29^2/2))</f>
        <v>45.1423078740103</v>
      </c>
      <c r="I866" s="49" t="n">
        <f aca="false">IF('Model Inputs &amp; Assumptions'!$H$29="Fixed",'Model Inputs &amp; Assumptions'!$I$29*'Model Inputs &amp; Assumptions'!$K$29,IF('Model Inputs &amp; Assumptions'!$H$29="CPM",'Model Inputs &amp; Assumptions'!$I$29*'Model Inputs &amp; Assumptions'!$K$29*C866/1000,IF('Model Inputs &amp; Assumptions'!$H$29="CPC",'Model Inputs &amp; Assumptions'!$I$29*'Model Inputs &amp; Assumptions'!$K$29*G866,0)))</f>
        <v>6500</v>
      </c>
      <c r="J866" s="50" t="n">
        <f aca="false">H866*INDEX('Model Inputs &amp; Assumptions'!$D$40:$D$42,MATCH('Model Inputs &amp; Assumptions'!$L$29,'Model Inputs &amp; Assumptions'!$A$40:$A$42,0))*INDEX('Model Inputs &amp; Assumptions'!$H$40:$H$42,MATCH('Model Inputs &amp; Assumptions'!$L$29,'Model Inputs &amp; Assumptions'!$A$40:$A$42,0))</f>
        <v>383709.616929087</v>
      </c>
      <c r="K866" s="49" t="n">
        <f aca="false">H866*INDEX('Model Inputs &amp; Assumptions'!$G$40:$G$42,MATCH('Model Inputs &amp; Assumptions'!$L$29,'Model Inputs &amp; Assumptions'!$A$40:$A$42,0))*INDEX('Model Inputs &amp; Assumptions'!$H$40:$H$42,MATCH('Model Inputs &amp; Assumptions'!$L$29,'Model Inputs &amp; Assumptions'!$A$40:$A$42,0))</f>
        <v>8633.46638090446</v>
      </c>
      <c r="L866" s="51" t="n">
        <f aca="false">IFERROR(K866/I866,0)</f>
        <v>1.32822559706223</v>
      </c>
      <c r="M866" s="49" t="n">
        <f aca="false">IFERROR(I866/H866,0)</f>
        <v>143.989093737545</v>
      </c>
      <c r="N866" s="52" t="str">
        <f aca="false">'Model Inputs &amp; Assumptions'!$L$29</f>
        <v>PRD-EUAI</v>
      </c>
      <c r="P866" s="53" t="n">
        <v>0.8369</v>
      </c>
      <c r="Q866" s="53" t="n">
        <v>0.063059</v>
      </c>
      <c r="R866" s="53" t="n">
        <v>0.976585</v>
      </c>
      <c r="S866" s="53" t="n">
        <v>0.304323</v>
      </c>
    </row>
    <row r="867" customFormat="false" ht="15" hidden="false" customHeight="false" outlineLevel="0" collapsed="false">
      <c r="A867" s="43" t="n">
        <v>364</v>
      </c>
      <c r="B867" s="44" t="str">
        <f aca="false">'Model Inputs &amp; Assumptions'!$B$29</f>
        <v>Handelsblatt — Native Explainer</v>
      </c>
      <c r="C867" s="45" t="n">
        <f aca="false">ROUND(MAX(0,'Model Inputs &amp; Assumptions'!$S$29*EXP('Model Inputs &amp; Assumptions'!$T$29*P867-'Model Inputs &amp; Assumptions'!$T$29^2/2)),0)</f>
        <v>215639</v>
      </c>
      <c r="D867" s="46" t="n">
        <f aca="false">MIN(1,'Model Inputs &amp; Assumptions'!$U$29*EXP('Model Inputs &amp; Assumptions'!$V$29*Q867-'Model Inputs &amp; Assumptions'!$V$29^2/2))</f>
        <v>0</v>
      </c>
      <c r="E867" s="45" t="n">
        <f aca="false">ROUND(C867*D867,0)</f>
        <v>0</v>
      </c>
      <c r="F867" s="47" t="n">
        <f aca="false">MIN(1,'Model Inputs &amp; Assumptions'!$W$29*EXP('Model Inputs &amp; Assumptions'!$X$29*R867-'Model Inputs &amp; Assumptions'!$X$29^2/2))</f>
        <v>0.00317539304638225</v>
      </c>
      <c r="G867" s="45" t="n">
        <f aca="false">ROUND(C867*F867,0)</f>
        <v>685</v>
      </c>
      <c r="H867" s="48" t="n">
        <f aca="false">MAX(0,(C867*'Model Inputs &amp; Assumptions'!$N$29+E867*'Model Inputs &amp; Assumptions'!$O$29+G867*'Model Inputs &amp; Assumptions'!$P$29)*EXP('Model Inputs &amp; Assumptions'!$Q$29*S867-'Model Inputs &amp; Assumptions'!$Q$29^2/2))</f>
        <v>26.0072661089807</v>
      </c>
      <c r="I867" s="49" t="n">
        <f aca="false">IF('Model Inputs &amp; Assumptions'!$H$29="Fixed",'Model Inputs &amp; Assumptions'!$I$29*'Model Inputs &amp; Assumptions'!$K$29,IF('Model Inputs &amp; Assumptions'!$H$29="CPM",'Model Inputs &amp; Assumptions'!$I$29*'Model Inputs &amp; Assumptions'!$K$29*C867/1000,IF('Model Inputs &amp; Assumptions'!$H$29="CPC",'Model Inputs &amp; Assumptions'!$I$29*'Model Inputs &amp; Assumptions'!$K$29*G867,0)))</f>
        <v>6500</v>
      </c>
      <c r="J867" s="50" t="n">
        <f aca="false">H867*INDEX('Model Inputs &amp; Assumptions'!$D$40:$D$42,MATCH('Model Inputs &amp; Assumptions'!$L$29,'Model Inputs &amp; Assumptions'!$A$40:$A$42,0))*INDEX('Model Inputs &amp; Assumptions'!$H$40:$H$42,MATCH('Model Inputs &amp; Assumptions'!$L$29,'Model Inputs &amp; Assumptions'!$A$40:$A$42,0))</f>
        <v>221061.761926336</v>
      </c>
      <c r="K867" s="49" t="n">
        <f aca="false">H867*INDEX('Model Inputs &amp; Assumptions'!$G$40:$G$42,MATCH('Model Inputs &amp; Assumptions'!$L$29,'Model Inputs &amp; Assumptions'!$A$40:$A$42,0))*INDEX('Model Inputs &amp; Assumptions'!$H$40:$H$42,MATCH('Model Inputs &amp; Assumptions'!$L$29,'Model Inputs &amp; Assumptions'!$A$40:$A$42,0))</f>
        <v>4973.88964334255</v>
      </c>
      <c r="L867" s="51" t="n">
        <f aca="false">IFERROR(K867/I867,0)</f>
        <v>0.765213791283469</v>
      </c>
      <c r="M867" s="49" t="n">
        <f aca="false">IFERROR(I867/H867,0)</f>
        <v>249.930153087312</v>
      </c>
      <c r="N867" s="52" t="str">
        <f aca="false">'Model Inputs &amp; Assumptions'!$L$29</f>
        <v>PRD-EUAI</v>
      </c>
      <c r="P867" s="53" t="n">
        <v>0.497909</v>
      </c>
      <c r="Q867" s="53" t="n">
        <v>1.322078</v>
      </c>
      <c r="R867" s="53" t="n">
        <v>0.379105</v>
      </c>
      <c r="S867" s="53" t="n">
        <v>-0.767702</v>
      </c>
    </row>
    <row r="868" customFormat="false" ht="15" hidden="false" customHeight="false" outlineLevel="0" collapsed="false">
      <c r="A868" s="43" t="n">
        <v>365</v>
      </c>
      <c r="B868" s="44" t="str">
        <f aca="false">'Model Inputs &amp; Assumptions'!$B$29</f>
        <v>Handelsblatt — Native Explainer</v>
      </c>
      <c r="C868" s="45" t="n">
        <f aca="false">ROUND(MAX(0,'Model Inputs &amp; Assumptions'!$S$29*EXP('Model Inputs &amp; Assumptions'!$T$29*P868-'Model Inputs &amp; Assumptions'!$T$29^2/2)),0)</f>
        <v>238644</v>
      </c>
      <c r="D868" s="46" t="n">
        <f aca="false">MIN(1,'Model Inputs &amp; Assumptions'!$U$29*EXP('Model Inputs &amp; Assumptions'!$V$29*Q868-'Model Inputs &amp; Assumptions'!$V$29^2/2))</f>
        <v>0</v>
      </c>
      <c r="E868" s="45" t="n">
        <f aca="false">ROUND(C868*D868,0)</f>
        <v>0</v>
      </c>
      <c r="F868" s="47" t="n">
        <f aca="false">MIN(1,'Model Inputs &amp; Assumptions'!$W$29*EXP('Model Inputs &amp; Assumptions'!$X$29*R868-'Model Inputs &amp; Assumptions'!$X$29^2/2))</f>
        <v>0.00386948985840421</v>
      </c>
      <c r="G868" s="45" t="n">
        <f aca="false">ROUND(C868*F868,0)</f>
        <v>923</v>
      </c>
      <c r="H868" s="48" t="n">
        <f aca="false">MAX(0,(C868*'Model Inputs &amp; Assumptions'!$N$29+E868*'Model Inputs &amp; Assumptions'!$O$29+G868*'Model Inputs &amp; Assumptions'!$P$29)*EXP('Model Inputs &amp; Assumptions'!$Q$29*S868-'Model Inputs &amp; Assumptions'!$Q$29^2/2))</f>
        <v>76.8531425348533</v>
      </c>
      <c r="I868" s="49" t="n">
        <f aca="false">IF('Model Inputs &amp; Assumptions'!$H$29="Fixed",'Model Inputs &amp; Assumptions'!$I$29*'Model Inputs &amp; Assumptions'!$K$29,IF('Model Inputs &amp; Assumptions'!$H$29="CPM",'Model Inputs &amp; Assumptions'!$I$29*'Model Inputs &amp; Assumptions'!$K$29*C868/1000,IF('Model Inputs &amp; Assumptions'!$H$29="CPC",'Model Inputs &amp; Assumptions'!$I$29*'Model Inputs &amp; Assumptions'!$K$29*G868,0)))</f>
        <v>6500</v>
      </c>
      <c r="J868" s="50" t="n">
        <f aca="false">H868*INDEX('Model Inputs &amp; Assumptions'!$D$40:$D$42,MATCH('Model Inputs &amp; Assumptions'!$L$29,'Model Inputs &amp; Assumptions'!$A$40:$A$42,0))*INDEX('Model Inputs &amp; Assumptions'!$H$40:$H$42,MATCH('Model Inputs &amp; Assumptions'!$L$29,'Model Inputs &amp; Assumptions'!$A$40:$A$42,0))</f>
        <v>653251.711546253</v>
      </c>
      <c r="K868" s="49" t="n">
        <f aca="false">H868*INDEX('Model Inputs &amp; Assumptions'!$G$40:$G$42,MATCH('Model Inputs &amp; Assumptions'!$L$29,'Model Inputs &amp; Assumptions'!$A$40:$A$42,0))*INDEX('Model Inputs &amp; Assumptions'!$H$40:$H$42,MATCH('Model Inputs &amp; Assumptions'!$L$29,'Model Inputs &amp; Assumptions'!$A$40:$A$42,0))</f>
        <v>14698.1635097907</v>
      </c>
      <c r="L868" s="51" t="n">
        <f aca="false">IFERROR(K868/I868,0)</f>
        <v>2.26125592458318</v>
      </c>
      <c r="M868" s="49" t="n">
        <f aca="false">IFERROR(I868/H868,0)</f>
        <v>84.5768928323551</v>
      </c>
      <c r="N868" s="52" t="str">
        <f aca="false">'Model Inputs &amp; Assumptions'!$L$29</f>
        <v>PRD-EUAI</v>
      </c>
      <c r="P868" s="53" t="n">
        <v>0.958654</v>
      </c>
      <c r="Q868" s="53" t="n">
        <v>1.345433</v>
      </c>
      <c r="R868" s="53" t="n">
        <v>1.139456</v>
      </c>
      <c r="S868" s="53" t="n">
        <v>1.849998</v>
      </c>
    </row>
    <row r="869" customFormat="false" ht="15" hidden="false" customHeight="false" outlineLevel="0" collapsed="false">
      <c r="A869" s="43" t="n">
        <v>366</v>
      </c>
      <c r="B869" s="44" t="str">
        <f aca="false">'Model Inputs &amp; Assumptions'!$B$29</f>
        <v>Handelsblatt — Native Explainer</v>
      </c>
      <c r="C869" s="45" t="n">
        <f aca="false">ROUND(MAX(0,'Model Inputs &amp; Assumptions'!$S$29*EXP('Model Inputs &amp; Assumptions'!$T$29*P869-'Model Inputs &amp; Assumptions'!$T$29^2/2)),0)</f>
        <v>158687</v>
      </c>
      <c r="D869" s="46" t="n">
        <f aca="false">MIN(1,'Model Inputs &amp; Assumptions'!$U$29*EXP('Model Inputs &amp; Assumptions'!$V$29*Q869-'Model Inputs &amp; Assumptions'!$V$29^2/2))</f>
        <v>0</v>
      </c>
      <c r="E869" s="45" t="n">
        <f aca="false">ROUND(C869*D869,0)</f>
        <v>0</v>
      </c>
      <c r="F869" s="47" t="n">
        <f aca="false">MIN(1,'Model Inputs &amp; Assumptions'!$W$29*EXP('Model Inputs &amp; Assumptions'!$X$29*R869-'Model Inputs &amp; Assumptions'!$X$29^2/2))</f>
        <v>0.00206415970033404</v>
      </c>
      <c r="G869" s="45" t="n">
        <f aca="false">ROUND(C869*F869,0)</f>
        <v>328</v>
      </c>
      <c r="H869" s="48" t="n">
        <f aca="false">MAX(0,(C869*'Model Inputs &amp; Assumptions'!$N$29+E869*'Model Inputs &amp; Assumptions'!$O$29+G869*'Model Inputs &amp; Assumptions'!$P$29)*EXP('Model Inputs &amp; Assumptions'!$Q$29*S869-'Model Inputs &amp; Assumptions'!$Q$29^2/2))</f>
        <v>24.9884529165729</v>
      </c>
      <c r="I869" s="49" t="n">
        <f aca="false">IF('Model Inputs &amp; Assumptions'!$H$29="Fixed",'Model Inputs &amp; Assumptions'!$I$29*'Model Inputs &amp; Assumptions'!$K$29,IF('Model Inputs &amp; Assumptions'!$H$29="CPM",'Model Inputs &amp; Assumptions'!$I$29*'Model Inputs &amp; Assumptions'!$K$29*C869/1000,IF('Model Inputs &amp; Assumptions'!$H$29="CPC",'Model Inputs &amp; Assumptions'!$I$29*'Model Inputs &amp; Assumptions'!$K$29*G869,0)))</f>
        <v>6500</v>
      </c>
      <c r="J869" s="50" t="n">
        <f aca="false">H869*INDEX('Model Inputs &amp; Assumptions'!$D$40:$D$42,MATCH('Model Inputs &amp; Assumptions'!$L$29,'Model Inputs &amp; Assumptions'!$A$40:$A$42,0))*INDEX('Model Inputs &amp; Assumptions'!$H$40:$H$42,MATCH('Model Inputs &amp; Assumptions'!$L$29,'Model Inputs &amp; Assumptions'!$A$40:$A$42,0))</f>
        <v>212401.84979087</v>
      </c>
      <c r="K869" s="49" t="n">
        <f aca="false">H869*INDEX('Model Inputs &amp; Assumptions'!$G$40:$G$42,MATCH('Model Inputs &amp; Assumptions'!$L$29,'Model Inputs &amp; Assumptions'!$A$40:$A$42,0))*INDEX('Model Inputs &amp; Assumptions'!$H$40:$H$42,MATCH('Model Inputs &amp; Assumptions'!$L$29,'Model Inputs &amp; Assumptions'!$A$40:$A$42,0))</f>
        <v>4779.04162029457</v>
      </c>
      <c r="L869" s="51" t="n">
        <f aca="false">IFERROR(K869/I869,0)</f>
        <v>0.735237172353011</v>
      </c>
      <c r="M869" s="49" t="n">
        <f aca="false">IFERROR(I869/H869,0)</f>
        <v>260.120145160689</v>
      </c>
      <c r="N869" s="52" t="str">
        <f aca="false">'Model Inputs &amp; Assumptions'!$L$29</f>
        <v>PRD-EUAI</v>
      </c>
      <c r="P869" s="53" t="n">
        <v>-0.896052</v>
      </c>
      <c r="Q869" s="53" t="n">
        <v>-2.076248</v>
      </c>
      <c r="R869" s="53" t="n">
        <v>-1.277465</v>
      </c>
      <c r="S869" s="53" t="n">
        <v>1.553775</v>
      </c>
    </row>
    <row r="870" customFormat="false" ht="15" hidden="false" customHeight="false" outlineLevel="0" collapsed="false">
      <c r="A870" s="43" t="n">
        <v>367</v>
      </c>
      <c r="B870" s="44" t="str">
        <f aca="false">'Model Inputs &amp; Assumptions'!$B$29</f>
        <v>Handelsblatt — Native Explainer</v>
      </c>
      <c r="C870" s="45" t="n">
        <f aca="false">ROUND(MAX(0,'Model Inputs &amp; Assumptions'!$S$29*EXP('Model Inputs &amp; Assumptions'!$T$29*P870-'Model Inputs &amp; Assumptions'!$T$29^2/2)),0)</f>
        <v>194856</v>
      </c>
      <c r="D870" s="46" t="n">
        <f aca="false">MIN(1,'Model Inputs &amp; Assumptions'!$U$29*EXP('Model Inputs &amp; Assumptions'!$V$29*Q870-'Model Inputs &amp; Assumptions'!$V$29^2/2))</f>
        <v>0</v>
      </c>
      <c r="E870" s="45" t="n">
        <f aca="false">ROUND(C870*D870,0)</f>
        <v>0</v>
      </c>
      <c r="F870" s="47" t="n">
        <f aca="false">MIN(1,'Model Inputs &amp; Assumptions'!$W$29*EXP('Model Inputs &amp; Assumptions'!$X$29*R870-'Model Inputs &amp; Assumptions'!$X$29^2/2))</f>
        <v>0.00291002111979604</v>
      </c>
      <c r="G870" s="45" t="n">
        <f aca="false">ROUND(C870*F870,0)</f>
        <v>567</v>
      </c>
      <c r="H870" s="48" t="n">
        <f aca="false">MAX(0,(C870*'Model Inputs &amp; Assumptions'!$N$29+E870*'Model Inputs &amp; Assumptions'!$O$29+G870*'Model Inputs &amp; Assumptions'!$P$29)*EXP('Model Inputs &amp; Assumptions'!$Q$29*S870-'Model Inputs &amp; Assumptions'!$Q$29^2/2))</f>
        <v>23.6862551913651</v>
      </c>
      <c r="I870" s="49" t="n">
        <f aca="false">IF('Model Inputs &amp; Assumptions'!$H$29="Fixed",'Model Inputs &amp; Assumptions'!$I$29*'Model Inputs &amp; Assumptions'!$K$29,IF('Model Inputs &amp; Assumptions'!$H$29="CPM",'Model Inputs &amp; Assumptions'!$I$29*'Model Inputs &amp; Assumptions'!$K$29*C870/1000,IF('Model Inputs &amp; Assumptions'!$H$29="CPC",'Model Inputs &amp; Assumptions'!$I$29*'Model Inputs &amp; Assumptions'!$K$29*G870,0)))</f>
        <v>6500</v>
      </c>
      <c r="J870" s="50" t="n">
        <f aca="false">H870*INDEX('Model Inputs &amp; Assumptions'!$D$40:$D$42,MATCH('Model Inputs &amp; Assumptions'!$L$29,'Model Inputs &amp; Assumptions'!$A$40:$A$42,0))*INDEX('Model Inputs &amp; Assumptions'!$H$40:$H$42,MATCH('Model Inputs &amp; Assumptions'!$L$29,'Model Inputs &amp; Assumptions'!$A$40:$A$42,0))</f>
        <v>201333.169126603</v>
      </c>
      <c r="K870" s="49" t="n">
        <f aca="false">H870*INDEX('Model Inputs &amp; Assumptions'!$G$40:$G$42,MATCH('Model Inputs &amp; Assumptions'!$L$29,'Model Inputs &amp; Assumptions'!$A$40:$A$42,0))*INDEX('Model Inputs &amp; Assumptions'!$H$40:$H$42,MATCH('Model Inputs &amp; Assumptions'!$L$29,'Model Inputs &amp; Assumptions'!$A$40:$A$42,0))</f>
        <v>4529.99630534858</v>
      </c>
      <c r="L870" s="51" t="n">
        <f aca="false">IFERROR(K870/I870,0)</f>
        <v>0.696922508515166</v>
      </c>
      <c r="M870" s="49" t="n">
        <f aca="false">IFERROR(I870/H870,0)</f>
        <v>274.420753617887</v>
      </c>
      <c r="N870" s="52" t="str">
        <f aca="false">'Model Inputs &amp; Assumptions'!$L$29</f>
        <v>PRD-EUAI</v>
      </c>
      <c r="P870" s="53" t="n">
        <v>0.037246</v>
      </c>
      <c r="Q870" s="53" t="n">
        <v>0.734465</v>
      </c>
      <c r="R870" s="53" t="n">
        <v>0.043447</v>
      </c>
      <c r="S870" s="53" t="n">
        <v>-0.449107</v>
      </c>
    </row>
    <row r="871" customFormat="false" ht="15" hidden="false" customHeight="false" outlineLevel="0" collapsed="false">
      <c r="A871" s="43" t="n">
        <v>368</v>
      </c>
      <c r="B871" s="44" t="str">
        <f aca="false">'Model Inputs &amp; Assumptions'!$B$29</f>
        <v>Handelsblatt — Native Explainer</v>
      </c>
      <c r="C871" s="45" t="n">
        <f aca="false">ROUND(MAX(0,'Model Inputs &amp; Assumptions'!$S$29*EXP('Model Inputs &amp; Assumptions'!$T$29*P871-'Model Inputs &amp; Assumptions'!$T$29^2/2)),0)</f>
        <v>229661</v>
      </c>
      <c r="D871" s="46" t="n">
        <f aca="false">MIN(1,'Model Inputs &amp; Assumptions'!$U$29*EXP('Model Inputs &amp; Assumptions'!$V$29*Q871-'Model Inputs &amp; Assumptions'!$V$29^2/2))</f>
        <v>0</v>
      </c>
      <c r="E871" s="45" t="n">
        <f aca="false">ROUND(C871*D871,0)</f>
        <v>0</v>
      </c>
      <c r="F871" s="47" t="n">
        <f aca="false">MIN(1,'Model Inputs &amp; Assumptions'!$W$29*EXP('Model Inputs &amp; Assumptions'!$X$29*R871-'Model Inputs &amp; Assumptions'!$X$29^2/2))</f>
        <v>0.00384975203148493</v>
      </c>
      <c r="G871" s="45" t="n">
        <f aca="false">ROUND(C871*F871,0)</f>
        <v>884</v>
      </c>
      <c r="H871" s="48" t="n">
        <f aca="false">MAX(0,(C871*'Model Inputs &amp; Assumptions'!$N$29+E871*'Model Inputs &amp; Assumptions'!$O$29+G871*'Model Inputs &amp; Assumptions'!$P$29)*EXP('Model Inputs &amp; Assumptions'!$Q$29*S871-'Model Inputs &amp; Assumptions'!$Q$29^2/2))</f>
        <v>36.7740373385735</v>
      </c>
      <c r="I871" s="49" t="n">
        <f aca="false">IF('Model Inputs &amp; Assumptions'!$H$29="Fixed",'Model Inputs &amp; Assumptions'!$I$29*'Model Inputs &amp; Assumptions'!$K$29,IF('Model Inputs &amp; Assumptions'!$H$29="CPM",'Model Inputs &amp; Assumptions'!$I$29*'Model Inputs &amp; Assumptions'!$K$29*C871/1000,IF('Model Inputs &amp; Assumptions'!$H$29="CPC",'Model Inputs &amp; Assumptions'!$I$29*'Model Inputs &amp; Assumptions'!$K$29*G871,0)))</f>
        <v>6500</v>
      </c>
      <c r="J871" s="50" t="n">
        <f aca="false">H871*INDEX('Model Inputs &amp; Assumptions'!$D$40:$D$42,MATCH('Model Inputs &amp; Assumptions'!$L$29,'Model Inputs &amp; Assumptions'!$A$40:$A$42,0))*INDEX('Model Inputs &amp; Assumptions'!$H$40:$H$42,MATCH('Model Inputs &amp; Assumptions'!$L$29,'Model Inputs &amp; Assumptions'!$A$40:$A$42,0))</f>
        <v>312579.317377875</v>
      </c>
      <c r="K871" s="49" t="n">
        <f aca="false">H871*INDEX('Model Inputs &amp; Assumptions'!$G$40:$G$42,MATCH('Model Inputs &amp; Assumptions'!$L$29,'Model Inputs &amp; Assumptions'!$A$40:$A$42,0))*INDEX('Model Inputs &amp; Assumptions'!$H$40:$H$42,MATCH('Model Inputs &amp; Assumptions'!$L$29,'Model Inputs &amp; Assumptions'!$A$40:$A$42,0))</f>
        <v>7033.03464100218</v>
      </c>
      <c r="L871" s="51" t="n">
        <f aca="false">IFERROR(K871/I871,0)</f>
        <v>1.08200532938495</v>
      </c>
      <c r="M871" s="49" t="n">
        <f aca="false">IFERROR(I871/H871,0)</f>
        <v>176.755136787277</v>
      </c>
      <c r="N871" s="52" t="str">
        <f aca="false">'Model Inputs &amp; Assumptions'!$L$29</f>
        <v>PRD-EUAI</v>
      </c>
      <c r="P871" s="53" t="n">
        <v>0.78427</v>
      </c>
      <c r="Q871" s="53" t="n">
        <v>1.553937</v>
      </c>
      <c r="R871" s="53" t="n">
        <v>1.119787</v>
      </c>
      <c r="S871" s="53" t="n">
        <v>-0.463109</v>
      </c>
    </row>
    <row r="872" customFormat="false" ht="15" hidden="false" customHeight="false" outlineLevel="0" collapsed="false">
      <c r="A872" s="43" t="n">
        <v>369</v>
      </c>
      <c r="B872" s="44" t="str">
        <f aca="false">'Model Inputs &amp; Assumptions'!$B$29</f>
        <v>Handelsblatt — Native Explainer</v>
      </c>
      <c r="C872" s="45" t="n">
        <f aca="false">ROUND(MAX(0,'Model Inputs &amp; Assumptions'!$S$29*EXP('Model Inputs &amp; Assumptions'!$T$29*P872-'Model Inputs &amp; Assumptions'!$T$29^2/2)),0)</f>
        <v>210507</v>
      </c>
      <c r="D872" s="46" t="n">
        <f aca="false">MIN(1,'Model Inputs &amp; Assumptions'!$U$29*EXP('Model Inputs &amp; Assumptions'!$V$29*Q872-'Model Inputs &amp; Assumptions'!$V$29^2/2))</f>
        <v>0</v>
      </c>
      <c r="E872" s="45" t="n">
        <f aca="false">ROUND(C872*D872,0)</f>
        <v>0</v>
      </c>
      <c r="F872" s="47" t="n">
        <f aca="false">MIN(1,'Model Inputs &amp; Assumptions'!$W$29*EXP('Model Inputs &amp; Assumptions'!$X$29*R872-'Model Inputs &amp; Assumptions'!$X$29^2/2))</f>
        <v>0.00275224405473513</v>
      </c>
      <c r="G872" s="45" t="n">
        <f aca="false">ROUND(C872*F872,0)</f>
        <v>579</v>
      </c>
      <c r="H872" s="48" t="n">
        <f aca="false">MAX(0,(C872*'Model Inputs &amp; Assumptions'!$N$29+E872*'Model Inputs &amp; Assumptions'!$O$29+G872*'Model Inputs &amp; Assumptions'!$P$29)*EXP('Model Inputs &amp; Assumptions'!$Q$29*S872-'Model Inputs &amp; Assumptions'!$Q$29^2/2))</f>
        <v>32.9664673527293</v>
      </c>
      <c r="I872" s="49" t="n">
        <f aca="false">IF('Model Inputs &amp; Assumptions'!$H$29="Fixed",'Model Inputs &amp; Assumptions'!$I$29*'Model Inputs &amp; Assumptions'!$K$29,IF('Model Inputs &amp; Assumptions'!$H$29="CPM",'Model Inputs &amp; Assumptions'!$I$29*'Model Inputs &amp; Assumptions'!$K$29*C872/1000,IF('Model Inputs &amp; Assumptions'!$H$29="CPC",'Model Inputs &amp; Assumptions'!$I$29*'Model Inputs &amp; Assumptions'!$K$29*G872,0)))</f>
        <v>6500</v>
      </c>
      <c r="J872" s="50" t="n">
        <f aca="false">H872*INDEX('Model Inputs &amp; Assumptions'!$D$40:$D$42,MATCH('Model Inputs &amp; Assumptions'!$L$29,'Model Inputs &amp; Assumptions'!$A$40:$A$42,0))*INDEX('Model Inputs &amp; Assumptions'!$H$40:$H$42,MATCH('Model Inputs &amp; Assumptions'!$L$29,'Model Inputs &amp; Assumptions'!$A$40:$A$42,0))</f>
        <v>280214.972498199</v>
      </c>
      <c r="K872" s="49" t="n">
        <f aca="false">H872*INDEX('Model Inputs &amp; Assumptions'!$G$40:$G$42,MATCH('Model Inputs &amp; Assumptions'!$L$29,'Model Inputs &amp; Assumptions'!$A$40:$A$42,0))*INDEX('Model Inputs &amp; Assumptions'!$H$40:$H$42,MATCH('Model Inputs &amp; Assumptions'!$L$29,'Model Inputs &amp; Assumptions'!$A$40:$A$42,0))</f>
        <v>6304.83688120949</v>
      </c>
      <c r="L872" s="51" t="n">
        <f aca="false">IFERROR(K872/I872,0)</f>
        <v>0.969974904801459</v>
      </c>
      <c r="M872" s="49" t="n">
        <f aca="false">IFERROR(I872/H872,0)</f>
        <v>197.170049506741</v>
      </c>
      <c r="N872" s="52" t="str">
        <f aca="false">'Model Inputs &amp; Assumptions'!$L$29</f>
        <v>PRD-EUAI</v>
      </c>
      <c r="P872" s="53" t="n">
        <v>0.388424</v>
      </c>
      <c r="Q872" s="53" t="n">
        <v>1.03059</v>
      </c>
      <c r="R872" s="53" t="n">
        <v>-0.170952</v>
      </c>
      <c r="S872" s="53" t="n">
        <v>0.583069</v>
      </c>
    </row>
    <row r="873" customFormat="false" ht="15" hidden="false" customHeight="false" outlineLevel="0" collapsed="false">
      <c r="A873" s="43" t="n">
        <v>370</v>
      </c>
      <c r="B873" s="44" t="str">
        <f aca="false">'Model Inputs &amp; Assumptions'!$B$29</f>
        <v>Handelsblatt — Native Explainer</v>
      </c>
      <c r="C873" s="45" t="n">
        <f aca="false">ROUND(MAX(0,'Model Inputs &amp; Assumptions'!$S$29*EXP('Model Inputs &amp; Assumptions'!$T$29*P873-'Model Inputs &amp; Assumptions'!$T$29^2/2)),0)</f>
        <v>186580</v>
      </c>
      <c r="D873" s="46" t="n">
        <f aca="false">MIN(1,'Model Inputs &amp; Assumptions'!$U$29*EXP('Model Inputs &amp; Assumptions'!$V$29*Q873-'Model Inputs &amp; Assumptions'!$V$29^2/2))</f>
        <v>0</v>
      </c>
      <c r="E873" s="45" t="n">
        <f aca="false">ROUND(C873*D873,0)</f>
        <v>0</v>
      </c>
      <c r="F873" s="47" t="n">
        <f aca="false">MIN(1,'Model Inputs &amp; Assumptions'!$W$29*EXP('Model Inputs &amp; Assumptions'!$X$29*R873-'Model Inputs &amp; Assumptions'!$X$29^2/2))</f>
        <v>0.00407109228775859</v>
      </c>
      <c r="G873" s="45" t="n">
        <f aca="false">ROUND(C873*F873,0)</f>
        <v>760</v>
      </c>
      <c r="H873" s="48" t="n">
        <f aca="false">MAX(0,(C873*'Model Inputs &amp; Assumptions'!$N$29+E873*'Model Inputs &amp; Assumptions'!$O$29+G873*'Model Inputs &amp; Assumptions'!$P$29)*EXP('Model Inputs &amp; Assumptions'!$Q$29*S873-'Model Inputs &amp; Assumptions'!$Q$29^2/2))</f>
        <v>39.1561210833511</v>
      </c>
      <c r="I873" s="49" t="n">
        <f aca="false">IF('Model Inputs &amp; Assumptions'!$H$29="Fixed",'Model Inputs &amp; Assumptions'!$I$29*'Model Inputs &amp; Assumptions'!$K$29,IF('Model Inputs &amp; Assumptions'!$H$29="CPM",'Model Inputs &amp; Assumptions'!$I$29*'Model Inputs &amp; Assumptions'!$K$29*C873/1000,IF('Model Inputs &amp; Assumptions'!$H$29="CPC",'Model Inputs &amp; Assumptions'!$I$29*'Model Inputs &amp; Assumptions'!$K$29*G873,0)))</f>
        <v>6500</v>
      </c>
      <c r="J873" s="50" t="n">
        <f aca="false">H873*INDEX('Model Inputs &amp; Assumptions'!$D$40:$D$42,MATCH('Model Inputs &amp; Assumptions'!$L$29,'Model Inputs &amp; Assumptions'!$A$40:$A$42,0))*INDEX('Model Inputs &amp; Assumptions'!$H$40:$H$42,MATCH('Model Inputs &amp; Assumptions'!$L$29,'Model Inputs &amp; Assumptions'!$A$40:$A$42,0))</f>
        <v>332827.029208485</v>
      </c>
      <c r="K873" s="49" t="n">
        <f aca="false">H873*INDEX('Model Inputs &amp; Assumptions'!$G$40:$G$42,MATCH('Model Inputs &amp; Assumptions'!$L$29,'Model Inputs &amp; Assumptions'!$A$40:$A$42,0))*INDEX('Model Inputs &amp; Assumptions'!$H$40:$H$42,MATCH('Model Inputs &amp; Assumptions'!$L$29,'Model Inputs &amp; Assumptions'!$A$40:$A$42,0))</f>
        <v>7488.6081571909</v>
      </c>
      <c r="L873" s="51" t="n">
        <f aca="false">IFERROR(K873/I873,0)</f>
        <v>1.15209356264475</v>
      </c>
      <c r="M873" s="49" t="n">
        <f aca="false">IFERROR(I873/H873,0)</f>
        <v>166.002142708762</v>
      </c>
      <c r="N873" s="52" t="str">
        <f aca="false">'Model Inputs &amp; Assumptions'!$L$29</f>
        <v>PRD-EUAI</v>
      </c>
      <c r="P873" s="53" t="n">
        <v>-0.16003</v>
      </c>
      <c r="Q873" s="53" t="n">
        <v>0.72229</v>
      </c>
      <c r="R873" s="53" t="n">
        <v>1.334797</v>
      </c>
      <c r="S873" s="53" t="n">
        <v>0.249902</v>
      </c>
    </row>
    <row r="874" customFormat="false" ht="15" hidden="false" customHeight="false" outlineLevel="0" collapsed="false">
      <c r="A874" s="43" t="n">
        <v>371</v>
      </c>
      <c r="B874" s="44" t="str">
        <f aca="false">'Model Inputs &amp; Assumptions'!$B$29</f>
        <v>Handelsblatt — Native Explainer</v>
      </c>
      <c r="C874" s="45" t="n">
        <f aca="false">ROUND(MAX(0,'Model Inputs &amp; Assumptions'!$S$29*EXP('Model Inputs &amp; Assumptions'!$T$29*P874-'Model Inputs &amp; Assumptions'!$T$29^2/2)),0)</f>
        <v>299171</v>
      </c>
      <c r="D874" s="46" t="n">
        <f aca="false">MIN(1,'Model Inputs &amp; Assumptions'!$U$29*EXP('Model Inputs &amp; Assumptions'!$V$29*Q874-'Model Inputs &amp; Assumptions'!$V$29^2/2))</f>
        <v>0</v>
      </c>
      <c r="E874" s="45" t="n">
        <f aca="false">ROUND(C874*D874,0)</f>
        <v>0</v>
      </c>
      <c r="F874" s="47" t="n">
        <f aca="false">MIN(1,'Model Inputs &amp; Assumptions'!$W$29*EXP('Model Inputs &amp; Assumptions'!$X$29*R874-'Model Inputs &amp; Assumptions'!$X$29^2/2))</f>
        <v>0.00241538863305724</v>
      </c>
      <c r="G874" s="45" t="n">
        <f aca="false">ROUND(C874*F874,0)</f>
        <v>723</v>
      </c>
      <c r="H874" s="48" t="n">
        <f aca="false">MAX(0,(C874*'Model Inputs &amp; Assumptions'!$N$29+E874*'Model Inputs &amp; Assumptions'!$O$29+G874*'Model Inputs &amp; Assumptions'!$P$29)*EXP('Model Inputs &amp; Assumptions'!$Q$29*S874-'Model Inputs &amp; Assumptions'!$Q$29^2/2))</f>
        <v>39.2204403582225</v>
      </c>
      <c r="I874" s="49" t="n">
        <f aca="false">IF('Model Inputs &amp; Assumptions'!$H$29="Fixed",'Model Inputs &amp; Assumptions'!$I$29*'Model Inputs &amp; Assumptions'!$K$29,IF('Model Inputs &amp; Assumptions'!$H$29="CPM",'Model Inputs &amp; Assumptions'!$I$29*'Model Inputs &amp; Assumptions'!$K$29*C874/1000,IF('Model Inputs &amp; Assumptions'!$H$29="CPC",'Model Inputs &amp; Assumptions'!$I$29*'Model Inputs &amp; Assumptions'!$K$29*G874,0)))</f>
        <v>6500</v>
      </c>
      <c r="J874" s="50" t="n">
        <f aca="false">H874*INDEX('Model Inputs &amp; Assumptions'!$D$40:$D$42,MATCH('Model Inputs &amp; Assumptions'!$L$29,'Model Inputs &amp; Assumptions'!$A$40:$A$42,0))*INDEX('Model Inputs &amp; Assumptions'!$H$40:$H$42,MATCH('Model Inputs &amp; Assumptions'!$L$29,'Model Inputs &amp; Assumptions'!$A$40:$A$42,0))</f>
        <v>333373.743044892</v>
      </c>
      <c r="K874" s="49" t="n">
        <f aca="false">H874*INDEX('Model Inputs &amp; Assumptions'!$G$40:$G$42,MATCH('Model Inputs &amp; Assumptions'!$L$29,'Model Inputs &amp; Assumptions'!$A$40:$A$42,0))*INDEX('Model Inputs &amp; Assumptions'!$H$40:$H$42,MATCH('Model Inputs &amp; Assumptions'!$L$29,'Model Inputs &amp; Assumptions'!$A$40:$A$42,0))</f>
        <v>7500.90921851006</v>
      </c>
      <c r="L874" s="51" t="n">
        <f aca="false">IFERROR(K874/I874,0)</f>
        <v>1.15398603361693</v>
      </c>
      <c r="M874" s="49" t="n">
        <f aca="false">IFERROR(I874/H874,0)</f>
        <v>165.729908706578</v>
      </c>
      <c r="N874" s="52" t="str">
        <f aca="false">'Model Inputs &amp; Assumptions'!$L$29</f>
        <v>PRD-EUAI</v>
      </c>
      <c r="P874" s="53" t="n">
        <v>1.986136</v>
      </c>
      <c r="Q874" s="53" t="n">
        <v>0.863616</v>
      </c>
      <c r="R874" s="53" t="n">
        <v>-0.673092</v>
      </c>
      <c r="S874" s="53" t="n">
        <v>0.421737</v>
      </c>
    </row>
    <row r="875" customFormat="false" ht="15" hidden="false" customHeight="false" outlineLevel="0" collapsed="false">
      <c r="A875" s="43" t="n">
        <v>372</v>
      </c>
      <c r="B875" s="44" t="str">
        <f aca="false">'Model Inputs &amp; Assumptions'!$B$29</f>
        <v>Handelsblatt — Native Explainer</v>
      </c>
      <c r="C875" s="45" t="n">
        <f aca="false">ROUND(MAX(0,'Model Inputs &amp; Assumptions'!$S$29*EXP('Model Inputs &amp; Assumptions'!$T$29*P875-'Model Inputs &amp; Assumptions'!$T$29^2/2)),0)</f>
        <v>114350</v>
      </c>
      <c r="D875" s="46" t="n">
        <f aca="false">MIN(1,'Model Inputs &amp; Assumptions'!$U$29*EXP('Model Inputs &amp; Assumptions'!$V$29*Q875-'Model Inputs &amp; Assumptions'!$V$29^2/2))</f>
        <v>0</v>
      </c>
      <c r="E875" s="45" t="n">
        <f aca="false">ROUND(C875*D875,0)</f>
        <v>0</v>
      </c>
      <c r="F875" s="47" t="n">
        <f aca="false">MIN(1,'Model Inputs &amp; Assumptions'!$W$29*EXP('Model Inputs &amp; Assumptions'!$X$29*R875-'Model Inputs &amp; Assumptions'!$X$29^2/2))</f>
        <v>0.00298966499350371</v>
      </c>
      <c r="G875" s="45" t="n">
        <f aca="false">ROUND(C875*F875,0)</f>
        <v>342</v>
      </c>
      <c r="H875" s="48" t="n">
        <f aca="false">MAX(0,(C875*'Model Inputs &amp; Assumptions'!$N$29+E875*'Model Inputs &amp; Assumptions'!$O$29+G875*'Model Inputs &amp; Assumptions'!$P$29)*EXP('Model Inputs &amp; Assumptions'!$Q$29*S875-'Model Inputs &amp; Assumptions'!$Q$29^2/2))</f>
        <v>17.2606106325499</v>
      </c>
      <c r="I875" s="49" t="n">
        <f aca="false">IF('Model Inputs &amp; Assumptions'!$H$29="Fixed",'Model Inputs &amp; Assumptions'!$I$29*'Model Inputs &amp; Assumptions'!$K$29,IF('Model Inputs &amp; Assumptions'!$H$29="CPM",'Model Inputs &amp; Assumptions'!$I$29*'Model Inputs &amp; Assumptions'!$K$29*C875/1000,IF('Model Inputs &amp; Assumptions'!$H$29="CPC",'Model Inputs &amp; Assumptions'!$I$29*'Model Inputs &amp; Assumptions'!$K$29*G875,0)))</f>
        <v>6500</v>
      </c>
      <c r="J875" s="50" t="n">
        <f aca="false">H875*INDEX('Model Inputs &amp; Assumptions'!$D$40:$D$42,MATCH('Model Inputs &amp; Assumptions'!$L$29,'Model Inputs &amp; Assumptions'!$A$40:$A$42,0))*INDEX('Model Inputs &amp; Assumptions'!$H$40:$H$42,MATCH('Model Inputs &amp; Assumptions'!$L$29,'Model Inputs &amp; Assumptions'!$A$40:$A$42,0))</f>
        <v>146715.190376674</v>
      </c>
      <c r="K875" s="49" t="n">
        <f aca="false">H875*INDEX('Model Inputs &amp; Assumptions'!$G$40:$G$42,MATCH('Model Inputs &amp; Assumptions'!$L$29,'Model Inputs &amp; Assumptions'!$A$40:$A$42,0))*INDEX('Model Inputs &amp; Assumptions'!$H$40:$H$42,MATCH('Model Inputs &amp; Assumptions'!$L$29,'Model Inputs &amp; Assumptions'!$A$40:$A$42,0))</f>
        <v>3301.09178347517</v>
      </c>
      <c r="L875" s="51" t="n">
        <f aca="false">IFERROR(K875/I875,0)</f>
        <v>0.507860274380795</v>
      </c>
      <c r="M875" s="49" t="n">
        <f aca="false">IFERROR(I875/H875,0)</f>
        <v>376.579956432269</v>
      </c>
      <c r="N875" s="52" t="str">
        <f aca="false">'Model Inputs &amp; Assumptions'!$L$29</f>
        <v>PRD-EUAI</v>
      </c>
      <c r="P875" s="53" t="n">
        <v>-2.385453</v>
      </c>
      <c r="Q875" s="53" t="n">
        <v>0.041452</v>
      </c>
      <c r="R875" s="53" t="n">
        <v>0.147297</v>
      </c>
      <c r="S875" s="53" t="n">
        <v>0.181162</v>
      </c>
    </row>
    <row r="876" customFormat="false" ht="15" hidden="false" customHeight="false" outlineLevel="0" collapsed="false">
      <c r="A876" s="43" t="n">
        <v>373</v>
      </c>
      <c r="B876" s="44" t="str">
        <f aca="false">'Model Inputs &amp; Assumptions'!$B$29</f>
        <v>Handelsblatt — Native Explainer</v>
      </c>
      <c r="C876" s="45" t="n">
        <f aca="false">ROUND(MAX(0,'Model Inputs &amp; Assumptions'!$S$29*EXP('Model Inputs &amp; Assumptions'!$T$29*P876-'Model Inputs &amp; Assumptions'!$T$29^2/2)),0)</f>
        <v>128505</v>
      </c>
      <c r="D876" s="46" t="n">
        <f aca="false">MIN(1,'Model Inputs &amp; Assumptions'!$U$29*EXP('Model Inputs &amp; Assumptions'!$V$29*Q876-'Model Inputs &amp; Assumptions'!$V$29^2/2))</f>
        <v>0</v>
      </c>
      <c r="E876" s="45" t="n">
        <f aca="false">ROUND(C876*D876,0)</f>
        <v>0</v>
      </c>
      <c r="F876" s="47" t="n">
        <f aca="false">MIN(1,'Model Inputs &amp; Assumptions'!$W$29*EXP('Model Inputs &amp; Assumptions'!$X$29*R876-'Model Inputs &amp; Assumptions'!$X$29^2/2))</f>
        <v>0.00147290166777383</v>
      </c>
      <c r="G876" s="45" t="n">
        <f aca="false">ROUND(C876*F876,0)</f>
        <v>189</v>
      </c>
      <c r="H876" s="48" t="n">
        <f aca="false">MAX(0,(C876*'Model Inputs &amp; Assumptions'!$N$29+E876*'Model Inputs &amp; Assumptions'!$O$29+G876*'Model Inputs &amp; Assumptions'!$P$29)*EXP('Model Inputs &amp; Assumptions'!$Q$29*S876-'Model Inputs &amp; Assumptions'!$Q$29^2/2))</f>
        <v>5.65043843637257</v>
      </c>
      <c r="I876" s="49" t="n">
        <f aca="false">IF('Model Inputs &amp; Assumptions'!$H$29="Fixed",'Model Inputs &amp; Assumptions'!$I$29*'Model Inputs &amp; Assumptions'!$K$29,IF('Model Inputs &amp; Assumptions'!$H$29="CPM",'Model Inputs &amp; Assumptions'!$I$29*'Model Inputs &amp; Assumptions'!$K$29*C876/1000,IF('Model Inputs &amp; Assumptions'!$H$29="CPC",'Model Inputs &amp; Assumptions'!$I$29*'Model Inputs &amp; Assumptions'!$K$29*G876,0)))</f>
        <v>6500</v>
      </c>
      <c r="J876" s="50" t="n">
        <f aca="false">H876*INDEX('Model Inputs &amp; Assumptions'!$D$40:$D$42,MATCH('Model Inputs &amp; Assumptions'!$L$29,'Model Inputs &amp; Assumptions'!$A$40:$A$42,0))*INDEX('Model Inputs &amp; Assumptions'!$H$40:$H$42,MATCH('Model Inputs &amp; Assumptions'!$L$29,'Model Inputs &amp; Assumptions'!$A$40:$A$42,0))</f>
        <v>48028.7267091668</v>
      </c>
      <c r="K876" s="49" t="n">
        <f aca="false">H876*INDEX('Model Inputs &amp; Assumptions'!$G$40:$G$42,MATCH('Model Inputs &amp; Assumptions'!$L$29,'Model Inputs &amp; Assumptions'!$A$40:$A$42,0))*INDEX('Model Inputs &amp; Assumptions'!$H$40:$H$42,MATCH('Model Inputs &amp; Assumptions'!$L$29,'Model Inputs &amp; Assumptions'!$A$40:$A$42,0))</f>
        <v>1080.64635095625</v>
      </c>
      <c r="L876" s="51" t="n">
        <f aca="false">IFERROR(K876/I876,0)</f>
        <v>0.166253284762501</v>
      </c>
      <c r="M876" s="49" t="n">
        <f aca="false">IFERROR(I876/H876,0)</f>
        <v>1150.35321120547</v>
      </c>
      <c r="N876" s="52" t="str">
        <f aca="false">'Model Inputs &amp; Assumptions'!$L$29</f>
        <v>PRD-EUAI</v>
      </c>
      <c r="P876" s="53" t="n">
        <v>-1.855013</v>
      </c>
      <c r="Q876" s="53" t="n">
        <v>1.310134</v>
      </c>
      <c r="R876" s="53" t="n">
        <v>-2.575499</v>
      </c>
      <c r="S876" s="53" t="n">
        <v>-1.564272</v>
      </c>
    </row>
    <row r="877" customFormat="false" ht="15" hidden="false" customHeight="false" outlineLevel="0" collapsed="false">
      <c r="A877" s="43" t="n">
        <v>374</v>
      </c>
      <c r="B877" s="44" t="str">
        <f aca="false">'Model Inputs &amp; Assumptions'!$B$29</f>
        <v>Handelsblatt — Native Explainer</v>
      </c>
      <c r="C877" s="45" t="n">
        <f aca="false">ROUND(MAX(0,'Model Inputs &amp; Assumptions'!$S$29*EXP('Model Inputs &amp; Assumptions'!$T$29*P877-'Model Inputs &amp; Assumptions'!$T$29^2/2)),0)</f>
        <v>182340</v>
      </c>
      <c r="D877" s="46" t="n">
        <f aca="false">MIN(1,'Model Inputs &amp; Assumptions'!$U$29*EXP('Model Inputs &amp; Assumptions'!$V$29*Q877-'Model Inputs &amp; Assumptions'!$V$29^2/2))</f>
        <v>0</v>
      </c>
      <c r="E877" s="45" t="n">
        <f aca="false">ROUND(C877*D877,0)</f>
        <v>0</v>
      </c>
      <c r="F877" s="47" t="n">
        <f aca="false">MIN(1,'Model Inputs &amp; Assumptions'!$W$29*EXP('Model Inputs &amp; Assumptions'!$X$29*R877-'Model Inputs &amp; Assumptions'!$X$29^2/2))</f>
        <v>0.00250336788385497</v>
      </c>
      <c r="G877" s="45" t="n">
        <f aca="false">ROUND(C877*F877,0)</f>
        <v>456</v>
      </c>
      <c r="H877" s="48" t="n">
        <f aca="false">MAX(0,(C877*'Model Inputs &amp; Assumptions'!$N$29+E877*'Model Inputs &amp; Assumptions'!$O$29+G877*'Model Inputs &amp; Assumptions'!$P$29)*EXP('Model Inputs &amp; Assumptions'!$Q$29*S877-'Model Inputs &amp; Assumptions'!$Q$29^2/2))</f>
        <v>23.7991683302659</v>
      </c>
      <c r="I877" s="49" t="n">
        <f aca="false">IF('Model Inputs &amp; Assumptions'!$H$29="Fixed",'Model Inputs &amp; Assumptions'!$I$29*'Model Inputs &amp; Assumptions'!$K$29,IF('Model Inputs &amp; Assumptions'!$H$29="CPM",'Model Inputs &amp; Assumptions'!$I$29*'Model Inputs &amp; Assumptions'!$K$29*C877/1000,IF('Model Inputs &amp; Assumptions'!$H$29="CPC",'Model Inputs &amp; Assumptions'!$I$29*'Model Inputs &amp; Assumptions'!$K$29*G877,0)))</f>
        <v>6500</v>
      </c>
      <c r="J877" s="50" t="n">
        <f aca="false">H877*INDEX('Model Inputs &amp; Assumptions'!$D$40:$D$42,MATCH('Model Inputs &amp; Assumptions'!$L$29,'Model Inputs &amp; Assumptions'!$A$40:$A$42,0))*INDEX('Model Inputs &amp; Assumptions'!$H$40:$H$42,MATCH('Model Inputs &amp; Assumptions'!$L$29,'Model Inputs &amp; Assumptions'!$A$40:$A$42,0))</f>
        <v>202292.93080726</v>
      </c>
      <c r="K877" s="49" t="n">
        <f aca="false">H877*INDEX('Model Inputs &amp; Assumptions'!$G$40:$G$42,MATCH('Model Inputs &amp; Assumptions'!$L$29,'Model Inputs &amp; Assumptions'!$A$40:$A$42,0))*INDEX('Model Inputs &amp; Assumptions'!$H$40:$H$42,MATCH('Model Inputs &amp; Assumptions'!$L$29,'Model Inputs &amp; Assumptions'!$A$40:$A$42,0))</f>
        <v>4551.59094316336</v>
      </c>
      <c r="L877" s="51" t="n">
        <f aca="false">IFERROR(K877/I877,0)</f>
        <v>0.70024476048667</v>
      </c>
      <c r="M877" s="49" t="n">
        <f aca="false">IFERROR(I877/H877,0)</f>
        <v>273.118787589473</v>
      </c>
      <c r="N877" s="52" t="str">
        <f aca="false">'Model Inputs &amp; Assumptions'!$L$29</f>
        <v>PRD-EUAI</v>
      </c>
      <c r="P877" s="53" t="n">
        <v>-0.26453</v>
      </c>
      <c r="Q877" s="53" t="n">
        <v>-1.485579</v>
      </c>
      <c r="R877" s="53" t="n">
        <v>-0.535489</v>
      </c>
      <c r="S877" s="53" t="n">
        <v>0.292967</v>
      </c>
    </row>
    <row r="878" customFormat="false" ht="15" hidden="false" customHeight="false" outlineLevel="0" collapsed="false">
      <c r="A878" s="43" t="n">
        <v>375</v>
      </c>
      <c r="B878" s="44" t="str">
        <f aca="false">'Model Inputs &amp; Assumptions'!$B$29</f>
        <v>Handelsblatt — Native Explainer</v>
      </c>
      <c r="C878" s="45" t="n">
        <f aca="false">ROUND(MAX(0,'Model Inputs &amp; Assumptions'!$S$29*EXP('Model Inputs &amp; Assumptions'!$T$29*P878-'Model Inputs &amp; Assumptions'!$T$29^2/2)),0)</f>
        <v>201732</v>
      </c>
      <c r="D878" s="46" t="n">
        <f aca="false">MIN(1,'Model Inputs &amp; Assumptions'!$U$29*EXP('Model Inputs &amp; Assumptions'!$V$29*Q878-'Model Inputs &amp; Assumptions'!$V$29^2/2))</f>
        <v>0</v>
      </c>
      <c r="E878" s="45" t="n">
        <f aca="false">ROUND(C878*D878,0)</f>
        <v>0</v>
      </c>
      <c r="F878" s="47" t="n">
        <f aca="false">MIN(1,'Model Inputs &amp; Assumptions'!$W$29*EXP('Model Inputs &amp; Assumptions'!$X$29*R878-'Model Inputs &amp; Assumptions'!$X$29^2/2))</f>
        <v>0.00453084809231637</v>
      </c>
      <c r="G878" s="45" t="n">
        <f aca="false">ROUND(C878*F878,0)</f>
        <v>914</v>
      </c>
      <c r="H878" s="48" t="n">
        <f aca="false">MAX(0,(C878*'Model Inputs &amp; Assumptions'!$N$29+E878*'Model Inputs &amp; Assumptions'!$O$29+G878*'Model Inputs &amp; Assumptions'!$P$29)*EXP('Model Inputs &amp; Assumptions'!$Q$29*S878-'Model Inputs &amp; Assumptions'!$Q$29^2/2))</f>
        <v>48.122358264697</v>
      </c>
      <c r="I878" s="49" t="n">
        <f aca="false">IF('Model Inputs &amp; Assumptions'!$H$29="Fixed",'Model Inputs &amp; Assumptions'!$I$29*'Model Inputs &amp; Assumptions'!$K$29,IF('Model Inputs &amp; Assumptions'!$H$29="CPM",'Model Inputs &amp; Assumptions'!$I$29*'Model Inputs &amp; Assumptions'!$K$29*C878/1000,IF('Model Inputs &amp; Assumptions'!$H$29="CPC",'Model Inputs &amp; Assumptions'!$I$29*'Model Inputs &amp; Assumptions'!$K$29*G878,0)))</f>
        <v>6500</v>
      </c>
      <c r="J878" s="50" t="n">
        <f aca="false">H878*INDEX('Model Inputs &amp; Assumptions'!$D$40:$D$42,MATCH('Model Inputs &amp; Assumptions'!$L$29,'Model Inputs &amp; Assumptions'!$A$40:$A$42,0))*INDEX('Model Inputs &amp; Assumptions'!$H$40:$H$42,MATCH('Model Inputs &amp; Assumptions'!$L$29,'Model Inputs &amp; Assumptions'!$A$40:$A$42,0))</f>
        <v>409040.045249924</v>
      </c>
      <c r="K878" s="49" t="n">
        <f aca="false">H878*INDEX('Model Inputs &amp; Assumptions'!$G$40:$G$42,MATCH('Model Inputs &amp; Assumptions'!$L$29,'Model Inputs &amp; Assumptions'!$A$40:$A$42,0))*INDEX('Model Inputs &amp; Assumptions'!$H$40:$H$42,MATCH('Model Inputs &amp; Assumptions'!$L$29,'Model Inputs &amp; Assumptions'!$A$40:$A$42,0))</f>
        <v>9203.40101812329</v>
      </c>
      <c r="L878" s="51" t="n">
        <f aca="false">IFERROR(K878/I878,0)</f>
        <v>1.41590784894205</v>
      </c>
      <c r="M878" s="49" t="n">
        <f aca="false">IFERROR(I878/H878,0)</f>
        <v>135.072349618586</v>
      </c>
      <c r="N878" s="52" t="str">
        <f aca="false">'Model Inputs &amp; Assumptions'!$L$29</f>
        <v>PRD-EUAI</v>
      </c>
      <c r="P878" s="53" t="n">
        <v>0.194873</v>
      </c>
      <c r="Q878" s="53" t="n">
        <v>1.224329</v>
      </c>
      <c r="R878" s="53" t="n">
        <v>1.746327</v>
      </c>
      <c r="S878" s="53" t="n">
        <v>0.322162</v>
      </c>
    </row>
    <row r="879" customFormat="false" ht="15" hidden="false" customHeight="false" outlineLevel="0" collapsed="false">
      <c r="A879" s="43" t="n">
        <v>376</v>
      </c>
      <c r="B879" s="44" t="str">
        <f aca="false">'Model Inputs &amp; Assumptions'!$B$29</f>
        <v>Handelsblatt — Native Explainer</v>
      </c>
      <c r="C879" s="45" t="n">
        <f aca="false">ROUND(MAX(0,'Model Inputs &amp; Assumptions'!$S$29*EXP('Model Inputs &amp; Assumptions'!$T$29*P879-'Model Inputs &amp; Assumptions'!$T$29^2/2)),0)</f>
        <v>233020</v>
      </c>
      <c r="D879" s="46" t="n">
        <f aca="false">MIN(1,'Model Inputs &amp; Assumptions'!$U$29*EXP('Model Inputs &amp; Assumptions'!$V$29*Q879-'Model Inputs &amp; Assumptions'!$V$29^2/2))</f>
        <v>0</v>
      </c>
      <c r="E879" s="45" t="n">
        <f aca="false">ROUND(C879*D879,0)</f>
        <v>0</v>
      </c>
      <c r="F879" s="47" t="n">
        <f aca="false">MIN(1,'Model Inputs &amp; Assumptions'!$W$29*EXP('Model Inputs &amp; Assumptions'!$X$29*R879-'Model Inputs &amp; Assumptions'!$X$29^2/2))</f>
        <v>0.00301614727087394</v>
      </c>
      <c r="G879" s="45" t="n">
        <f aca="false">ROUND(C879*F879,0)</f>
        <v>703</v>
      </c>
      <c r="H879" s="48" t="n">
        <f aca="false">MAX(0,(C879*'Model Inputs &amp; Assumptions'!$N$29+E879*'Model Inputs &amp; Assumptions'!$O$29+G879*'Model Inputs &amp; Assumptions'!$P$29)*EXP('Model Inputs &amp; Assumptions'!$Q$29*S879-'Model Inputs &amp; Assumptions'!$Q$29^2/2))</f>
        <v>37.4739422556216</v>
      </c>
      <c r="I879" s="49" t="n">
        <f aca="false">IF('Model Inputs &amp; Assumptions'!$H$29="Fixed",'Model Inputs &amp; Assumptions'!$I$29*'Model Inputs &amp; Assumptions'!$K$29,IF('Model Inputs &amp; Assumptions'!$H$29="CPM",'Model Inputs &amp; Assumptions'!$I$29*'Model Inputs &amp; Assumptions'!$K$29*C879/1000,IF('Model Inputs &amp; Assumptions'!$H$29="CPC",'Model Inputs &amp; Assumptions'!$I$29*'Model Inputs &amp; Assumptions'!$K$29*G879,0)))</f>
        <v>6500</v>
      </c>
      <c r="J879" s="50" t="n">
        <f aca="false">H879*INDEX('Model Inputs &amp; Assumptions'!$D$40:$D$42,MATCH('Model Inputs &amp; Assumptions'!$L$29,'Model Inputs &amp; Assumptions'!$A$40:$A$42,0))*INDEX('Model Inputs &amp; Assumptions'!$H$40:$H$42,MATCH('Model Inputs &amp; Assumptions'!$L$29,'Model Inputs &amp; Assumptions'!$A$40:$A$42,0))</f>
        <v>318528.509172784</v>
      </c>
      <c r="K879" s="49" t="n">
        <f aca="false">H879*INDEX('Model Inputs &amp; Assumptions'!$G$40:$G$42,MATCH('Model Inputs &amp; Assumptions'!$L$29,'Model Inputs &amp; Assumptions'!$A$40:$A$42,0))*INDEX('Model Inputs &amp; Assumptions'!$H$40:$H$42,MATCH('Model Inputs &amp; Assumptions'!$L$29,'Model Inputs &amp; Assumptions'!$A$40:$A$42,0))</f>
        <v>7166.89145638764</v>
      </c>
      <c r="L879" s="51" t="n">
        <f aca="false">IFERROR(K879/I879,0)</f>
        <v>1.1025986855981</v>
      </c>
      <c r="M879" s="49" t="n">
        <f aca="false">IFERROR(I879/H879,0)</f>
        <v>173.453861770439</v>
      </c>
      <c r="N879" s="52" t="str">
        <f aca="false">'Model Inputs &amp; Assumptions'!$L$29</f>
        <v>PRD-EUAI</v>
      </c>
      <c r="P879" s="53" t="n">
        <v>0.850256</v>
      </c>
      <c r="Q879" s="53" t="n">
        <v>0.653731</v>
      </c>
      <c r="R879" s="53" t="n">
        <v>0.181216</v>
      </c>
      <c r="S879" s="53" t="n">
        <v>0.363404</v>
      </c>
    </row>
    <row r="880" customFormat="false" ht="15" hidden="false" customHeight="false" outlineLevel="0" collapsed="false">
      <c r="A880" s="43" t="n">
        <v>377</v>
      </c>
      <c r="B880" s="44" t="str">
        <f aca="false">'Model Inputs &amp; Assumptions'!$B$29</f>
        <v>Handelsblatt — Native Explainer</v>
      </c>
      <c r="C880" s="45" t="n">
        <f aca="false">ROUND(MAX(0,'Model Inputs &amp; Assumptions'!$S$29*EXP('Model Inputs &amp; Assumptions'!$T$29*P880-'Model Inputs &amp; Assumptions'!$T$29^2/2)),0)</f>
        <v>237907</v>
      </c>
      <c r="D880" s="46" t="n">
        <f aca="false">MIN(1,'Model Inputs &amp; Assumptions'!$U$29*EXP('Model Inputs &amp; Assumptions'!$V$29*Q880-'Model Inputs &amp; Assumptions'!$V$29^2/2))</f>
        <v>0</v>
      </c>
      <c r="E880" s="45" t="n">
        <f aca="false">ROUND(C880*D880,0)</f>
        <v>0</v>
      </c>
      <c r="F880" s="47" t="n">
        <f aca="false">MIN(1,'Model Inputs &amp; Assumptions'!$W$29*EXP('Model Inputs &amp; Assumptions'!$X$29*R880-'Model Inputs &amp; Assumptions'!$X$29^2/2))</f>
        <v>0.00293963145725814</v>
      </c>
      <c r="G880" s="45" t="n">
        <f aca="false">ROUND(C880*F880,0)</f>
        <v>699</v>
      </c>
      <c r="H880" s="48" t="n">
        <f aca="false">MAX(0,(C880*'Model Inputs &amp; Assumptions'!$N$29+E880*'Model Inputs &amp; Assumptions'!$O$29+G880*'Model Inputs &amp; Assumptions'!$P$29)*EXP('Model Inputs &amp; Assumptions'!$Q$29*S880-'Model Inputs &amp; Assumptions'!$Q$29^2/2))</f>
        <v>41.7209736955535</v>
      </c>
      <c r="I880" s="49" t="n">
        <f aca="false">IF('Model Inputs &amp; Assumptions'!$H$29="Fixed",'Model Inputs &amp; Assumptions'!$I$29*'Model Inputs &amp; Assumptions'!$K$29,IF('Model Inputs &amp; Assumptions'!$H$29="CPM",'Model Inputs &amp; Assumptions'!$I$29*'Model Inputs &amp; Assumptions'!$K$29*C880/1000,IF('Model Inputs &amp; Assumptions'!$H$29="CPC",'Model Inputs &amp; Assumptions'!$I$29*'Model Inputs &amp; Assumptions'!$K$29*G880,0)))</f>
        <v>6500</v>
      </c>
      <c r="J880" s="50" t="n">
        <f aca="false">H880*INDEX('Model Inputs &amp; Assumptions'!$D$40:$D$42,MATCH('Model Inputs &amp; Assumptions'!$L$29,'Model Inputs &amp; Assumptions'!$A$40:$A$42,0))*INDEX('Model Inputs &amp; Assumptions'!$H$40:$H$42,MATCH('Model Inputs &amp; Assumptions'!$L$29,'Model Inputs &amp; Assumptions'!$A$40:$A$42,0))</f>
        <v>354628.276412204</v>
      </c>
      <c r="K880" s="49" t="n">
        <f aca="false">H880*INDEX('Model Inputs &amp; Assumptions'!$G$40:$G$42,MATCH('Model Inputs &amp; Assumptions'!$L$29,'Model Inputs &amp; Assumptions'!$A$40:$A$42,0))*INDEX('Model Inputs &amp; Assumptions'!$H$40:$H$42,MATCH('Model Inputs &amp; Assumptions'!$L$29,'Model Inputs &amp; Assumptions'!$A$40:$A$42,0))</f>
        <v>7979.1362192746</v>
      </c>
      <c r="L880" s="51" t="n">
        <f aca="false">IFERROR(K880/I880,0)</f>
        <v>1.22755941834994</v>
      </c>
      <c r="M880" s="49" t="n">
        <f aca="false">IFERROR(I880/H880,0)</f>
        <v>155.796939147007</v>
      </c>
      <c r="N880" s="52" t="str">
        <f aca="false">'Model Inputs &amp; Assumptions'!$L$29</f>
        <v>PRD-EUAI</v>
      </c>
      <c r="P880" s="53" t="n">
        <v>0.944609</v>
      </c>
      <c r="Q880" s="53" t="n">
        <v>-0.463532</v>
      </c>
      <c r="R880" s="53" t="n">
        <v>0.082385</v>
      </c>
      <c r="S880" s="53" t="n">
        <v>0.740285</v>
      </c>
    </row>
    <row r="881" customFormat="false" ht="15" hidden="false" customHeight="false" outlineLevel="0" collapsed="false">
      <c r="A881" s="43" t="n">
        <v>378</v>
      </c>
      <c r="B881" s="44" t="str">
        <f aca="false">'Model Inputs &amp; Assumptions'!$B$29</f>
        <v>Handelsblatt — Native Explainer</v>
      </c>
      <c r="C881" s="45" t="n">
        <f aca="false">ROUND(MAX(0,'Model Inputs &amp; Assumptions'!$S$29*EXP('Model Inputs &amp; Assumptions'!$T$29*P881-'Model Inputs &amp; Assumptions'!$T$29^2/2)),0)</f>
        <v>273176</v>
      </c>
      <c r="D881" s="46" t="n">
        <f aca="false">MIN(1,'Model Inputs &amp; Assumptions'!$U$29*EXP('Model Inputs &amp; Assumptions'!$V$29*Q881-'Model Inputs &amp; Assumptions'!$V$29^2/2))</f>
        <v>0</v>
      </c>
      <c r="E881" s="45" t="n">
        <f aca="false">ROUND(C881*D881,0)</f>
        <v>0</v>
      </c>
      <c r="F881" s="47" t="n">
        <f aca="false">MIN(1,'Model Inputs &amp; Assumptions'!$W$29*EXP('Model Inputs &amp; Assumptions'!$X$29*R881-'Model Inputs &amp; Assumptions'!$X$29^2/2))</f>
        <v>0.00265525585907958</v>
      </c>
      <c r="G881" s="45" t="n">
        <f aca="false">ROUND(C881*F881,0)</f>
        <v>725</v>
      </c>
      <c r="H881" s="48" t="n">
        <f aca="false">MAX(0,(C881*'Model Inputs &amp; Assumptions'!$N$29+E881*'Model Inputs &amp; Assumptions'!$O$29+G881*'Model Inputs &amp; Assumptions'!$P$29)*EXP('Model Inputs &amp; Assumptions'!$Q$29*S881-'Model Inputs &amp; Assumptions'!$Q$29^2/2))</f>
        <v>27.4249746357095</v>
      </c>
      <c r="I881" s="49" t="n">
        <f aca="false">IF('Model Inputs &amp; Assumptions'!$H$29="Fixed",'Model Inputs &amp; Assumptions'!$I$29*'Model Inputs &amp; Assumptions'!$K$29,IF('Model Inputs &amp; Assumptions'!$H$29="CPM",'Model Inputs &amp; Assumptions'!$I$29*'Model Inputs &amp; Assumptions'!$K$29*C881/1000,IF('Model Inputs &amp; Assumptions'!$H$29="CPC",'Model Inputs &amp; Assumptions'!$I$29*'Model Inputs &amp; Assumptions'!$K$29*G881,0)))</f>
        <v>6500</v>
      </c>
      <c r="J881" s="50" t="n">
        <f aca="false">H881*INDEX('Model Inputs &amp; Assumptions'!$D$40:$D$42,MATCH('Model Inputs &amp; Assumptions'!$L$29,'Model Inputs &amp; Assumptions'!$A$40:$A$42,0))*INDEX('Model Inputs &amp; Assumptions'!$H$40:$H$42,MATCH('Model Inputs &amp; Assumptions'!$L$29,'Model Inputs &amp; Assumptions'!$A$40:$A$42,0))</f>
        <v>233112.284403531</v>
      </c>
      <c r="K881" s="49" t="n">
        <f aca="false">H881*INDEX('Model Inputs &amp; Assumptions'!$G$40:$G$42,MATCH('Model Inputs &amp; Assumptions'!$L$29,'Model Inputs &amp; Assumptions'!$A$40:$A$42,0))*INDEX('Model Inputs &amp; Assumptions'!$H$40:$H$42,MATCH('Model Inputs &amp; Assumptions'!$L$29,'Model Inputs &amp; Assumptions'!$A$40:$A$42,0))</f>
        <v>5245.02639907944</v>
      </c>
      <c r="L881" s="51" t="n">
        <f aca="false">IFERROR(K881/I881,0)</f>
        <v>0.806927138319914</v>
      </c>
      <c r="M881" s="49" t="n">
        <f aca="false">IFERROR(I881/H881,0)</f>
        <v>237.010246548651</v>
      </c>
      <c r="N881" s="52" t="str">
        <f aca="false">'Model Inputs &amp; Assumptions'!$L$29</f>
        <v>PRD-EUAI</v>
      </c>
      <c r="P881" s="53" t="n">
        <v>1.572951</v>
      </c>
      <c r="Q881" s="53" t="n">
        <v>-2.104978</v>
      </c>
      <c r="R881" s="53" t="n">
        <v>-0.308935</v>
      </c>
      <c r="S881" s="53" t="n">
        <v>-0.779951</v>
      </c>
    </row>
    <row r="882" customFormat="false" ht="15" hidden="false" customHeight="false" outlineLevel="0" collapsed="false">
      <c r="A882" s="43" t="n">
        <v>379</v>
      </c>
      <c r="B882" s="44" t="str">
        <f aca="false">'Model Inputs &amp; Assumptions'!$B$29</f>
        <v>Handelsblatt — Native Explainer</v>
      </c>
      <c r="C882" s="45" t="n">
        <f aca="false">ROUND(MAX(0,'Model Inputs &amp; Assumptions'!$S$29*EXP('Model Inputs &amp; Assumptions'!$T$29*P882-'Model Inputs &amp; Assumptions'!$T$29^2/2)),0)</f>
        <v>191021</v>
      </c>
      <c r="D882" s="46" t="n">
        <f aca="false">MIN(1,'Model Inputs &amp; Assumptions'!$U$29*EXP('Model Inputs &amp; Assumptions'!$V$29*Q882-'Model Inputs &amp; Assumptions'!$V$29^2/2))</f>
        <v>0</v>
      </c>
      <c r="E882" s="45" t="n">
        <f aca="false">ROUND(C882*D882,0)</f>
        <v>0</v>
      </c>
      <c r="F882" s="47" t="n">
        <f aca="false">MIN(1,'Model Inputs &amp; Assumptions'!$W$29*EXP('Model Inputs &amp; Assumptions'!$X$29*R882-'Model Inputs &amp; Assumptions'!$X$29^2/2))</f>
        <v>0.00371408993889857</v>
      </c>
      <c r="G882" s="45" t="n">
        <f aca="false">ROUND(C882*F882,0)</f>
        <v>709</v>
      </c>
      <c r="H882" s="48" t="n">
        <f aca="false">MAX(0,(C882*'Model Inputs &amp; Assumptions'!$N$29+E882*'Model Inputs &amp; Assumptions'!$O$29+G882*'Model Inputs &amp; Assumptions'!$P$29)*EXP('Model Inputs &amp; Assumptions'!$Q$29*S882-'Model Inputs &amp; Assumptions'!$Q$29^2/2))</f>
        <v>48.546949128453</v>
      </c>
      <c r="I882" s="49" t="n">
        <f aca="false">IF('Model Inputs &amp; Assumptions'!$H$29="Fixed",'Model Inputs &amp; Assumptions'!$I$29*'Model Inputs &amp; Assumptions'!$K$29,IF('Model Inputs &amp; Assumptions'!$H$29="CPM",'Model Inputs &amp; Assumptions'!$I$29*'Model Inputs &amp; Assumptions'!$K$29*C882/1000,IF('Model Inputs &amp; Assumptions'!$H$29="CPC",'Model Inputs &amp; Assumptions'!$I$29*'Model Inputs &amp; Assumptions'!$K$29*G882,0)))</f>
        <v>6500</v>
      </c>
      <c r="J882" s="50" t="n">
        <f aca="false">H882*INDEX('Model Inputs &amp; Assumptions'!$D$40:$D$42,MATCH('Model Inputs &amp; Assumptions'!$L$29,'Model Inputs &amp; Assumptions'!$A$40:$A$42,0))*INDEX('Model Inputs &amp; Assumptions'!$H$40:$H$42,MATCH('Model Inputs &amp; Assumptions'!$L$29,'Model Inputs &amp; Assumptions'!$A$40:$A$42,0))</f>
        <v>412649.067591851</v>
      </c>
      <c r="K882" s="49" t="n">
        <f aca="false">H882*INDEX('Model Inputs &amp; Assumptions'!$G$40:$G$42,MATCH('Model Inputs &amp; Assumptions'!$L$29,'Model Inputs &amp; Assumptions'!$A$40:$A$42,0))*INDEX('Model Inputs &amp; Assumptions'!$H$40:$H$42,MATCH('Model Inputs &amp; Assumptions'!$L$29,'Model Inputs &amp; Assumptions'!$A$40:$A$42,0))</f>
        <v>9284.60402081664</v>
      </c>
      <c r="L882" s="51" t="n">
        <f aca="false">IFERROR(K882/I882,0)</f>
        <v>1.42840061858718</v>
      </c>
      <c r="M882" s="49" t="n">
        <f aca="false">IFERROR(I882/H882,0)</f>
        <v>133.891008944791</v>
      </c>
      <c r="N882" s="52" t="str">
        <f aca="false">'Model Inputs &amp; Assumptions'!$L$29</f>
        <v>PRD-EUAI</v>
      </c>
      <c r="P882" s="53" t="n">
        <v>-0.053111</v>
      </c>
      <c r="Q882" s="53" t="n">
        <v>-0.518556</v>
      </c>
      <c r="R882" s="53" t="n">
        <v>0.981806</v>
      </c>
      <c r="S882" s="53" t="n">
        <v>1.198027</v>
      </c>
    </row>
    <row r="883" customFormat="false" ht="15" hidden="false" customHeight="false" outlineLevel="0" collapsed="false">
      <c r="A883" s="43" t="n">
        <v>380</v>
      </c>
      <c r="B883" s="44" t="str">
        <f aca="false">'Model Inputs &amp; Assumptions'!$B$29</f>
        <v>Handelsblatt — Native Explainer</v>
      </c>
      <c r="C883" s="45" t="n">
        <f aca="false">ROUND(MAX(0,'Model Inputs &amp; Assumptions'!$S$29*EXP('Model Inputs &amp; Assumptions'!$T$29*P883-'Model Inputs &amp; Assumptions'!$T$29^2/2)),0)</f>
        <v>226438</v>
      </c>
      <c r="D883" s="46" t="n">
        <f aca="false">MIN(1,'Model Inputs &amp; Assumptions'!$U$29*EXP('Model Inputs &amp; Assumptions'!$V$29*Q883-'Model Inputs &amp; Assumptions'!$V$29^2/2))</f>
        <v>0</v>
      </c>
      <c r="E883" s="45" t="n">
        <f aca="false">ROUND(C883*D883,0)</f>
        <v>0</v>
      </c>
      <c r="F883" s="47" t="n">
        <f aca="false">MIN(1,'Model Inputs &amp; Assumptions'!$W$29*EXP('Model Inputs &amp; Assumptions'!$X$29*R883-'Model Inputs &amp; Assumptions'!$X$29^2/2))</f>
        <v>0.00250679513543536</v>
      </c>
      <c r="G883" s="45" t="n">
        <f aca="false">ROUND(C883*F883,0)</f>
        <v>568</v>
      </c>
      <c r="H883" s="48" t="n">
        <f aca="false">MAX(0,(C883*'Model Inputs &amp; Assumptions'!$N$29+E883*'Model Inputs &amp; Assumptions'!$O$29+G883*'Model Inputs &amp; Assumptions'!$P$29)*EXP('Model Inputs &amp; Assumptions'!$Q$29*S883-'Model Inputs &amp; Assumptions'!$Q$29^2/2))</f>
        <v>22.9135616065736</v>
      </c>
      <c r="I883" s="49" t="n">
        <f aca="false">IF('Model Inputs &amp; Assumptions'!$H$29="Fixed",'Model Inputs &amp; Assumptions'!$I$29*'Model Inputs &amp; Assumptions'!$K$29,IF('Model Inputs &amp; Assumptions'!$H$29="CPM",'Model Inputs &amp; Assumptions'!$I$29*'Model Inputs &amp; Assumptions'!$K$29*C883/1000,IF('Model Inputs &amp; Assumptions'!$H$29="CPC",'Model Inputs &amp; Assumptions'!$I$29*'Model Inputs &amp; Assumptions'!$K$29*G883,0)))</f>
        <v>6500</v>
      </c>
      <c r="J883" s="50" t="n">
        <f aca="false">H883*INDEX('Model Inputs &amp; Assumptions'!$D$40:$D$42,MATCH('Model Inputs &amp; Assumptions'!$L$29,'Model Inputs &amp; Assumptions'!$A$40:$A$42,0))*INDEX('Model Inputs &amp; Assumptions'!$H$40:$H$42,MATCH('Model Inputs &amp; Assumptions'!$L$29,'Model Inputs &amp; Assumptions'!$A$40:$A$42,0))</f>
        <v>194765.273655876</v>
      </c>
      <c r="K883" s="49" t="n">
        <f aca="false">H883*INDEX('Model Inputs &amp; Assumptions'!$G$40:$G$42,MATCH('Model Inputs &amp; Assumptions'!$L$29,'Model Inputs &amp; Assumptions'!$A$40:$A$42,0))*INDEX('Model Inputs &amp; Assumptions'!$H$40:$H$42,MATCH('Model Inputs &amp; Assumptions'!$L$29,'Model Inputs &amp; Assumptions'!$A$40:$A$42,0))</f>
        <v>4382.21865725721</v>
      </c>
      <c r="L883" s="51" t="n">
        <f aca="false">IFERROR(K883/I883,0)</f>
        <v>0.674187485731878</v>
      </c>
      <c r="M883" s="49" t="n">
        <f aca="false">IFERROR(I883/H883,0)</f>
        <v>283.67479973673</v>
      </c>
      <c r="N883" s="52" t="str">
        <f aca="false">'Model Inputs &amp; Assumptions'!$L$29</f>
        <v>PRD-EUAI</v>
      </c>
      <c r="P883" s="53" t="n">
        <v>0.720011</v>
      </c>
      <c r="Q883" s="53" t="n">
        <v>0.03154</v>
      </c>
      <c r="R883" s="53" t="n">
        <v>-0.530227</v>
      </c>
      <c r="S883" s="53" t="n">
        <v>-0.565534</v>
      </c>
    </row>
    <row r="884" customFormat="false" ht="15" hidden="false" customHeight="false" outlineLevel="0" collapsed="false">
      <c r="A884" s="43" t="n">
        <v>381</v>
      </c>
      <c r="B884" s="44" t="str">
        <f aca="false">'Model Inputs &amp; Assumptions'!$B$29</f>
        <v>Handelsblatt — Native Explainer</v>
      </c>
      <c r="C884" s="45" t="n">
        <f aca="false">ROUND(MAX(0,'Model Inputs &amp; Assumptions'!$S$29*EXP('Model Inputs &amp; Assumptions'!$T$29*P884-'Model Inputs &amp; Assumptions'!$T$29^2/2)),0)</f>
        <v>302981</v>
      </c>
      <c r="D884" s="46" t="n">
        <f aca="false">MIN(1,'Model Inputs &amp; Assumptions'!$U$29*EXP('Model Inputs &amp; Assumptions'!$V$29*Q884-'Model Inputs &amp; Assumptions'!$V$29^2/2))</f>
        <v>0</v>
      </c>
      <c r="E884" s="45" t="n">
        <f aca="false">ROUND(C884*D884,0)</f>
        <v>0</v>
      </c>
      <c r="F884" s="47" t="n">
        <f aca="false">MIN(1,'Model Inputs &amp; Assumptions'!$W$29*EXP('Model Inputs &amp; Assumptions'!$X$29*R884-'Model Inputs &amp; Assumptions'!$X$29^2/2))</f>
        <v>0.00230063299162083</v>
      </c>
      <c r="G884" s="45" t="n">
        <f aca="false">ROUND(C884*F884,0)</f>
        <v>697</v>
      </c>
      <c r="H884" s="48" t="n">
        <f aca="false">MAX(0,(C884*'Model Inputs &amp; Assumptions'!$N$29+E884*'Model Inputs &amp; Assumptions'!$O$29+G884*'Model Inputs &amp; Assumptions'!$P$29)*EXP('Model Inputs &amp; Assumptions'!$Q$29*S884-'Model Inputs &amp; Assumptions'!$Q$29^2/2))</f>
        <v>39.730312572238</v>
      </c>
      <c r="I884" s="49" t="n">
        <f aca="false">IF('Model Inputs &amp; Assumptions'!$H$29="Fixed",'Model Inputs &amp; Assumptions'!$I$29*'Model Inputs &amp; Assumptions'!$K$29,IF('Model Inputs &amp; Assumptions'!$H$29="CPM",'Model Inputs &amp; Assumptions'!$I$29*'Model Inputs &amp; Assumptions'!$K$29*C884/1000,IF('Model Inputs &amp; Assumptions'!$H$29="CPC",'Model Inputs &amp; Assumptions'!$I$29*'Model Inputs &amp; Assumptions'!$K$29*G884,0)))</f>
        <v>6500</v>
      </c>
      <c r="J884" s="50" t="n">
        <f aca="false">H884*INDEX('Model Inputs &amp; Assumptions'!$D$40:$D$42,MATCH('Model Inputs &amp; Assumptions'!$L$29,'Model Inputs &amp; Assumptions'!$A$40:$A$42,0))*INDEX('Model Inputs &amp; Assumptions'!$H$40:$H$42,MATCH('Model Inputs &amp; Assumptions'!$L$29,'Model Inputs &amp; Assumptions'!$A$40:$A$42,0))</f>
        <v>337707.656864023</v>
      </c>
      <c r="K884" s="49" t="n">
        <f aca="false">H884*INDEX('Model Inputs &amp; Assumptions'!$G$40:$G$42,MATCH('Model Inputs &amp; Assumptions'!$L$29,'Model Inputs &amp; Assumptions'!$A$40:$A$42,0))*INDEX('Model Inputs &amp; Assumptions'!$H$40:$H$42,MATCH('Model Inputs &amp; Assumptions'!$L$29,'Model Inputs &amp; Assumptions'!$A$40:$A$42,0))</f>
        <v>7598.42227944051</v>
      </c>
      <c r="L884" s="51" t="n">
        <f aca="false">IFERROR(K884/I884,0)</f>
        <v>1.16898804299085</v>
      </c>
      <c r="M884" s="49" t="n">
        <f aca="false">IFERROR(I884/H884,0)</f>
        <v>163.603042089882</v>
      </c>
      <c r="N884" s="52" t="str">
        <f aca="false">'Model Inputs &amp; Assumptions'!$L$29</f>
        <v>PRD-EUAI</v>
      </c>
      <c r="P884" s="53" t="n">
        <v>2.043648</v>
      </c>
      <c r="Q884" s="53" t="n">
        <v>0.830165</v>
      </c>
      <c r="R884" s="53" t="n">
        <v>-0.860307</v>
      </c>
      <c r="S884" s="53" t="n">
        <v>0.586871</v>
      </c>
    </row>
    <row r="885" customFormat="false" ht="15" hidden="false" customHeight="false" outlineLevel="0" collapsed="false">
      <c r="A885" s="43" t="n">
        <v>382</v>
      </c>
      <c r="B885" s="44" t="str">
        <f aca="false">'Model Inputs &amp; Assumptions'!$B$29</f>
        <v>Handelsblatt — Native Explainer</v>
      </c>
      <c r="C885" s="45" t="n">
        <f aca="false">ROUND(MAX(0,'Model Inputs &amp; Assumptions'!$S$29*EXP('Model Inputs &amp; Assumptions'!$T$29*P885-'Model Inputs &amp; Assumptions'!$T$29^2/2)),0)</f>
        <v>192302</v>
      </c>
      <c r="D885" s="46" t="n">
        <f aca="false">MIN(1,'Model Inputs &amp; Assumptions'!$U$29*EXP('Model Inputs &amp; Assumptions'!$V$29*Q885-'Model Inputs &amp; Assumptions'!$V$29^2/2))</f>
        <v>0</v>
      </c>
      <c r="E885" s="45" t="n">
        <f aca="false">ROUND(C885*D885,0)</f>
        <v>0</v>
      </c>
      <c r="F885" s="47" t="n">
        <f aca="false">MIN(1,'Model Inputs &amp; Assumptions'!$W$29*EXP('Model Inputs &amp; Assumptions'!$X$29*R885-'Model Inputs &amp; Assumptions'!$X$29^2/2))</f>
        <v>0.00334804562080065</v>
      </c>
      <c r="G885" s="45" t="n">
        <f aca="false">ROUND(C885*F885,0)</f>
        <v>644</v>
      </c>
      <c r="H885" s="48" t="n">
        <f aca="false">MAX(0,(C885*'Model Inputs &amp; Assumptions'!$N$29+E885*'Model Inputs &amp; Assumptions'!$O$29+G885*'Model Inputs &amp; Assumptions'!$P$29)*EXP('Model Inputs &amp; Assumptions'!$Q$29*S885-'Model Inputs &amp; Assumptions'!$Q$29^2/2))</f>
        <v>28.2780179673015</v>
      </c>
      <c r="I885" s="49" t="n">
        <f aca="false">IF('Model Inputs &amp; Assumptions'!$H$29="Fixed",'Model Inputs &amp; Assumptions'!$I$29*'Model Inputs &amp; Assumptions'!$K$29,IF('Model Inputs &amp; Assumptions'!$H$29="CPM",'Model Inputs &amp; Assumptions'!$I$29*'Model Inputs &amp; Assumptions'!$K$29*C885/1000,IF('Model Inputs &amp; Assumptions'!$H$29="CPC",'Model Inputs &amp; Assumptions'!$I$29*'Model Inputs &amp; Assumptions'!$K$29*G885,0)))</f>
        <v>6500</v>
      </c>
      <c r="J885" s="50" t="n">
        <f aca="false">H885*INDEX('Model Inputs &amp; Assumptions'!$D$40:$D$42,MATCH('Model Inputs &amp; Assumptions'!$L$29,'Model Inputs &amp; Assumptions'!$A$40:$A$42,0))*INDEX('Model Inputs &amp; Assumptions'!$H$40:$H$42,MATCH('Model Inputs &amp; Assumptions'!$L$29,'Model Inputs &amp; Assumptions'!$A$40:$A$42,0))</f>
        <v>240363.152722063</v>
      </c>
      <c r="K885" s="49" t="n">
        <f aca="false">H885*INDEX('Model Inputs &amp; Assumptions'!$G$40:$G$42,MATCH('Model Inputs &amp; Assumptions'!$L$29,'Model Inputs &amp; Assumptions'!$A$40:$A$42,0))*INDEX('Model Inputs &amp; Assumptions'!$H$40:$H$42,MATCH('Model Inputs &amp; Assumptions'!$L$29,'Model Inputs &amp; Assumptions'!$A$40:$A$42,0))</f>
        <v>5408.17093624642</v>
      </c>
      <c r="L885" s="51" t="n">
        <f aca="false">IFERROR(K885/I885,0)</f>
        <v>0.832026297884065</v>
      </c>
      <c r="M885" s="49" t="n">
        <f aca="false">IFERROR(I885/H885,0)</f>
        <v>229.860523022373</v>
      </c>
      <c r="N885" s="52" t="str">
        <f aca="false">'Model Inputs &amp; Assumptions'!$L$29</f>
        <v>PRD-EUAI</v>
      </c>
      <c r="P885" s="53" t="n">
        <v>-0.022716</v>
      </c>
      <c r="Q885" s="53" t="n">
        <v>1.181876</v>
      </c>
      <c r="R885" s="53" t="n">
        <v>0.582741</v>
      </c>
      <c r="S885" s="53" t="n">
        <v>-0.282939</v>
      </c>
    </row>
    <row r="886" customFormat="false" ht="15" hidden="false" customHeight="false" outlineLevel="0" collapsed="false">
      <c r="A886" s="43" t="n">
        <v>383</v>
      </c>
      <c r="B886" s="44" t="str">
        <f aca="false">'Model Inputs &amp; Assumptions'!$B$29</f>
        <v>Handelsblatt — Native Explainer</v>
      </c>
      <c r="C886" s="45" t="n">
        <f aca="false">ROUND(MAX(0,'Model Inputs &amp; Assumptions'!$S$29*EXP('Model Inputs &amp; Assumptions'!$T$29*P886-'Model Inputs &amp; Assumptions'!$T$29^2/2)),0)</f>
        <v>255272</v>
      </c>
      <c r="D886" s="46" t="n">
        <f aca="false">MIN(1,'Model Inputs &amp; Assumptions'!$U$29*EXP('Model Inputs &amp; Assumptions'!$V$29*Q886-'Model Inputs &amp; Assumptions'!$V$29^2/2))</f>
        <v>0</v>
      </c>
      <c r="E886" s="45" t="n">
        <f aca="false">ROUND(C886*D886,0)</f>
        <v>0</v>
      </c>
      <c r="F886" s="47" t="n">
        <f aca="false">MIN(1,'Model Inputs &amp; Assumptions'!$W$29*EXP('Model Inputs &amp; Assumptions'!$X$29*R886-'Model Inputs &amp; Assumptions'!$X$29^2/2))</f>
        <v>0.00309036509860707</v>
      </c>
      <c r="G886" s="45" t="n">
        <f aca="false">ROUND(C886*F886,0)</f>
        <v>789</v>
      </c>
      <c r="H886" s="48" t="n">
        <f aca="false">MAX(0,(C886*'Model Inputs &amp; Assumptions'!$N$29+E886*'Model Inputs &amp; Assumptions'!$O$29+G886*'Model Inputs &amp; Assumptions'!$P$29)*EXP('Model Inputs &amp; Assumptions'!$Q$29*S886-'Model Inputs &amp; Assumptions'!$Q$29^2/2))</f>
        <v>58.6172632138636</v>
      </c>
      <c r="I886" s="49" t="n">
        <f aca="false">IF('Model Inputs &amp; Assumptions'!$H$29="Fixed",'Model Inputs &amp; Assumptions'!$I$29*'Model Inputs &amp; Assumptions'!$K$29,IF('Model Inputs &amp; Assumptions'!$H$29="CPM",'Model Inputs &amp; Assumptions'!$I$29*'Model Inputs &amp; Assumptions'!$K$29*C886/1000,IF('Model Inputs &amp; Assumptions'!$H$29="CPC",'Model Inputs &amp; Assumptions'!$I$29*'Model Inputs &amp; Assumptions'!$K$29*G886,0)))</f>
        <v>6500</v>
      </c>
      <c r="J886" s="50" t="n">
        <f aca="false">H886*INDEX('Model Inputs &amp; Assumptions'!$D$40:$D$42,MATCH('Model Inputs &amp; Assumptions'!$L$29,'Model Inputs &amp; Assumptions'!$A$40:$A$42,0))*INDEX('Model Inputs &amp; Assumptions'!$H$40:$H$42,MATCH('Model Inputs &amp; Assumptions'!$L$29,'Model Inputs &amp; Assumptions'!$A$40:$A$42,0))</f>
        <v>498246.737317841</v>
      </c>
      <c r="K886" s="49" t="n">
        <f aca="false">H886*INDEX('Model Inputs &amp; Assumptions'!$G$40:$G$42,MATCH('Model Inputs &amp; Assumptions'!$L$29,'Model Inputs &amp; Assumptions'!$A$40:$A$42,0))*INDEX('Model Inputs &amp; Assumptions'!$H$40:$H$42,MATCH('Model Inputs &amp; Assumptions'!$L$29,'Model Inputs &amp; Assumptions'!$A$40:$A$42,0))</f>
        <v>11210.5515896514</v>
      </c>
      <c r="L886" s="51" t="n">
        <f aca="false">IFERROR(K886/I886,0)</f>
        <v>1.72470024456176</v>
      </c>
      <c r="M886" s="49" t="n">
        <f aca="false">IFERROR(I886/H886,0)</f>
        <v>110.888834510832</v>
      </c>
      <c r="N886" s="52" t="str">
        <f aca="false">'Model Inputs &amp; Assumptions'!$L$29</f>
        <v>PRD-EUAI</v>
      </c>
      <c r="P886" s="53" t="n">
        <v>1.264836</v>
      </c>
      <c r="Q886" s="53" t="n">
        <v>1.462354</v>
      </c>
      <c r="R886" s="53" t="n">
        <v>0.274712</v>
      </c>
      <c r="S886" s="53" t="n">
        <v>1.469984</v>
      </c>
    </row>
    <row r="887" customFormat="false" ht="15" hidden="false" customHeight="false" outlineLevel="0" collapsed="false">
      <c r="A887" s="43" t="n">
        <v>384</v>
      </c>
      <c r="B887" s="44" t="str">
        <f aca="false">'Model Inputs &amp; Assumptions'!$B$29</f>
        <v>Handelsblatt — Native Explainer</v>
      </c>
      <c r="C887" s="45" t="n">
        <f aca="false">ROUND(MAX(0,'Model Inputs &amp; Assumptions'!$S$29*EXP('Model Inputs &amp; Assumptions'!$T$29*P887-'Model Inputs &amp; Assumptions'!$T$29^2/2)),0)</f>
        <v>138793</v>
      </c>
      <c r="D887" s="46" t="n">
        <f aca="false">MIN(1,'Model Inputs &amp; Assumptions'!$U$29*EXP('Model Inputs &amp; Assumptions'!$V$29*Q887-'Model Inputs &amp; Assumptions'!$V$29^2/2))</f>
        <v>0</v>
      </c>
      <c r="E887" s="45" t="n">
        <f aca="false">ROUND(C887*D887,0)</f>
        <v>0</v>
      </c>
      <c r="F887" s="47" t="n">
        <f aca="false">MIN(1,'Model Inputs &amp; Assumptions'!$W$29*EXP('Model Inputs &amp; Assumptions'!$X$29*R887-'Model Inputs &amp; Assumptions'!$X$29^2/2))</f>
        <v>0.00403523725326132</v>
      </c>
      <c r="G887" s="45" t="n">
        <f aca="false">ROUND(C887*F887,0)</f>
        <v>560</v>
      </c>
      <c r="H887" s="48" t="n">
        <f aca="false">MAX(0,(C887*'Model Inputs &amp; Assumptions'!$N$29+E887*'Model Inputs &amp; Assumptions'!$O$29+G887*'Model Inputs &amp; Assumptions'!$P$29)*EXP('Model Inputs &amp; Assumptions'!$Q$29*S887-'Model Inputs &amp; Assumptions'!$Q$29^2/2))</f>
        <v>38.5197967399444</v>
      </c>
      <c r="I887" s="49" t="n">
        <f aca="false">IF('Model Inputs &amp; Assumptions'!$H$29="Fixed",'Model Inputs &amp; Assumptions'!$I$29*'Model Inputs &amp; Assumptions'!$K$29,IF('Model Inputs &amp; Assumptions'!$H$29="CPM",'Model Inputs &amp; Assumptions'!$I$29*'Model Inputs &amp; Assumptions'!$K$29*C887/1000,IF('Model Inputs &amp; Assumptions'!$H$29="CPC",'Model Inputs &amp; Assumptions'!$I$29*'Model Inputs &amp; Assumptions'!$K$29*G887,0)))</f>
        <v>6500</v>
      </c>
      <c r="J887" s="50" t="n">
        <f aca="false">H887*INDEX('Model Inputs &amp; Assumptions'!$D$40:$D$42,MATCH('Model Inputs &amp; Assumptions'!$L$29,'Model Inputs &amp; Assumptions'!$A$40:$A$42,0))*INDEX('Model Inputs &amp; Assumptions'!$H$40:$H$42,MATCH('Model Inputs &amp; Assumptions'!$L$29,'Model Inputs &amp; Assumptions'!$A$40:$A$42,0))</f>
        <v>327418.272289528</v>
      </c>
      <c r="K887" s="49" t="n">
        <f aca="false">H887*INDEX('Model Inputs &amp; Assumptions'!$G$40:$G$42,MATCH('Model Inputs &amp; Assumptions'!$L$29,'Model Inputs &amp; Assumptions'!$A$40:$A$42,0))*INDEX('Model Inputs &amp; Assumptions'!$H$40:$H$42,MATCH('Model Inputs &amp; Assumptions'!$L$29,'Model Inputs &amp; Assumptions'!$A$40:$A$42,0))</f>
        <v>7366.91112651437</v>
      </c>
      <c r="L887" s="51" t="n">
        <f aca="false">IFERROR(K887/I887,0)</f>
        <v>1.13337094254067</v>
      </c>
      <c r="M887" s="49" t="n">
        <f aca="false">IFERROR(I887/H887,0)</f>
        <v>168.744400285467</v>
      </c>
      <c r="N887" s="52" t="str">
        <f aca="false">'Model Inputs &amp; Assumptions'!$L$29</f>
        <v>PRD-EUAI</v>
      </c>
      <c r="P887" s="53" t="n">
        <v>-1.504914</v>
      </c>
      <c r="Q887" s="53" t="n">
        <v>-1.730628</v>
      </c>
      <c r="R887" s="53" t="n">
        <v>1.300773</v>
      </c>
      <c r="S887" s="53" t="n">
        <v>1.213226</v>
      </c>
    </row>
    <row r="888" customFormat="false" ht="15" hidden="false" customHeight="false" outlineLevel="0" collapsed="false">
      <c r="A888" s="43" t="n">
        <v>385</v>
      </c>
      <c r="B888" s="44" t="str">
        <f aca="false">'Model Inputs &amp; Assumptions'!$B$29</f>
        <v>Handelsblatt — Native Explainer</v>
      </c>
      <c r="C888" s="45" t="n">
        <f aca="false">ROUND(MAX(0,'Model Inputs &amp; Assumptions'!$S$29*EXP('Model Inputs &amp; Assumptions'!$T$29*P888-'Model Inputs &amp; Assumptions'!$T$29^2/2)),0)</f>
        <v>207715</v>
      </c>
      <c r="D888" s="46" t="n">
        <f aca="false">MIN(1,'Model Inputs &amp; Assumptions'!$U$29*EXP('Model Inputs &amp; Assumptions'!$V$29*Q888-'Model Inputs &amp; Assumptions'!$V$29^2/2))</f>
        <v>0</v>
      </c>
      <c r="E888" s="45" t="n">
        <f aca="false">ROUND(C888*D888,0)</f>
        <v>0</v>
      </c>
      <c r="F888" s="47" t="n">
        <f aca="false">MIN(1,'Model Inputs &amp; Assumptions'!$W$29*EXP('Model Inputs &amp; Assumptions'!$X$29*R888-'Model Inputs &amp; Assumptions'!$X$29^2/2))</f>
        <v>0.00277075303991704</v>
      </c>
      <c r="G888" s="45" t="n">
        <f aca="false">ROUND(C888*F888,0)</f>
        <v>576</v>
      </c>
      <c r="H888" s="48" t="n">
        <f aca="false">MAX(0,(C888*'Model Inputs &amp; Assumptions'!$N$29+E888*'Model Inputs &amp; Assumptions'!$O$29+G888*'Model Inputs &amp; Assumptions'!$P$29)*EXP('Model Inputs &amp; Assumptions'!$Q$29*S888-'Model Inputs &amp; Assumptions'!$Q$29^2/2))</f>
        <v>18.2876082768711</v>
      </c>
      <c r="I888" s="49" t="n">
        <f aca="false">IF('Model Inputs &amp; Assumptions'!$H$29="Fixed",'Model Inputs &amp; Assumptions'!$I$29*'Model Inputs &amp; Assumptions'!$K$29,IF('Model Inputs &amp; Assumptions'!$H$29="CPM",'Model Inputs &amp; Assumptions'!$I$29*'Model Inputs &amp; Assumptions'!$K$29*C888/1000,IF('Model Inputs &amp; Assumptions'!$H$29="CPC",'Model Inputs &amp; Assumptions'!$I$29*'Model Inputs &amp; Assumptions'!$K$29*G888,0)))</f>
        <v>6500</v>
      </c>
      <c r="J888" s="50" t="n">
        <f aca="false">H888*INDEX('Model Inputs &amp; Assumptions'!$D$40:$D$42,MATCH('Model Inputs &amp; Assumptions'!$L$29,'Model Inputs &amp; Assumptions'!$A$40:$A$42,0))*INDEX('Model Inputs &amp; Assumptions'!$H$40:$H$42,MATCH('Model Inputs &amp; Assumptions'!$L$29,'Model Inputs &amp; Assumptions'!$A$40:$A$42,0))</f>
        <v>155444.670353405</v>
      </c>
      <c r="K888" s="49" t="n">
        <f aca="false">H888*INDEX('Model Inputs &amp; Assumptions'!$G$40:$G$42,MATCH('Model Inputs &amp; Assumptions'!$L$29,'Model Inputs &amp; Assumptions'!$A$40:$A$42,0))*INDEX('Model Inputs &amp; Assumptions'!$H$40:$H$42,MATCH('Model Inputs &amp; Assumptions'!$L$29,'Model Inputs &amp; Assumptions'!$A$40:$A$42,0))</f>
        <v>3497.5050829516</v>
      </c>
      <c r="L888" s="51" t="n">
        <f aca="false">IFERROR(K888/I888,0)</f>
        <v>0.538077705069478</v>
      </c>
      <c r="M888" s="49" t="n">
        <f aca="false">IFERROR(I888/H888,0)</f>
        <v>355.431935198478</v>
      </c>
      <c r="N888" s="52" t="str">
        <f aca="false">'Model Inputs &amp; Assumptions'!$L$29</f>
        <v>PRD-EUAI</v>
      </c>
      <c r="P888" s="53" t="n">
        <v>0.327724</v>
      </c>
      <c r="Q888" s="53" t="n">
        <v>-0.091211</v>
      </c>
      <c r="R888" s="53" t="n">
        <v>-0.145173</v>
      </c>
      <c r="S888" s="53" t="n">
        <v>-1.363839</v>
      </c>
    </row>
    <row r="889" customFormat="false" ht="15" hidden="false" customHeight="false" outlineLevel="0" collapsed="false">
      <c r="A889" s="43" t="n">
        <v>386</v>
      </c>
      <c r="B889" s="44" t="str">
        <f aca="false">'Model Inputs &amp; Assumptions'!$B$29</f>
        <v>Handelsblatt — Native Explainer</v>
      </c>
      <c r="C889" s="45" t="n">
        <f aca="false">ROUND(MAX(0,'Model Inputs &amp; Assumptions'!$S$29*EXP('Model Inputs &amp; Assumptions'!$T$29*P889-'Model Inputs &amp; Assumptions'!$T$29^2/2)),0)</f>
        <v>142285</v>
      </c>
      <c r="D889" s="46" t="n">
        <f aca="false">MIN(1,'Model Inputs &amp; Assumptions'!$U$29*EXP('Model Inputs &amp; Assumptions'!$V$29*Q889-'Model Inputs &amp; Assumptions'!$V$29^2/2))</f>
        <v>0</v>
      </c>
      <c r="E889" s="45" t="n">
        <f aca="false">ROUND(C889*D889,0)</f>
        <v>0</v>
      </c>
      <c r="F889" s="47" t="n">
        <f aca="false">MIN(1,'Model Inputs &amp; Assumptions'!$W$29*EXP('Model Inputs &amp; Assumptions'!$X$29*R889-'Model Inputs &amp; Assumptions'!$X$29^2/2))</f>
        <v>0.00296161900163277</v>
      </c>
      <c r="G889" s="45" t="n">
        <f aca="false">ROUND(C889*F889,0)</f>
        <v>421</v>
      </c>
      <c r="H889" s="48" t="n">
        <f aca="false">MAX(0,(C889*'Model Inputs &amp; Assumptions'!$N$29+E889*'Model Inputs &amp; Assumptions'!$O$29+G889*'Model Inputs &amp; Assumptions'!$P$29)*EXP('Model Inputs &amp; Assumptions'!$Q$29*S889-'Model Inputs &amp; Assumptions'!$Q$29^2/2))</f>
        <v>16.7802040307594</v>
      </c>
      <c r="I889" s="49" t="n">
        <f aca="false">IF('Model Inputs &amp; Assumptions'!$H$29="Fixed",'Model Inputs &amp; Assumptions'!$I$29*'Model Inputs &amp; Assumptions'!$K$29,IF('Model Inputs &amp; Assumptions'!$H$29="CPM",'Model Inputs &amp; Assumptions'!$I$29*'Model Inputs &amp; Assumptions'!$K$29*C889/1000,IF('Model Inputs &amp; Assumptions'!$H$29="CPC",'Model Inputs &amp; Assumptions'!$I$29*'Model Inputs &amp; Assumptions'!$K$29*G889,0)))</f>
        <v>6500</v>
      </c>
      <c r="J889" s="50" t="n">
        <f aca="false">H889*INDEX('Model Inputs &amp; Assumptions'!$D$40:$D$42,MATCH('Model Inputs &amp; Assumptions'!$L$29,'Model Inputs &amp; Assumptions'!$A$40:$A$42,0))*INDEX('Model Inputs &amp; Assumptions'!$H$40:$H$42,MATCH('Model Inputs &amp; Assumptions'!$L$29,'Model Inputs &amp; Assumptions'!$A$40:$A$42,0))</f>
        <v>142631.734261455</v>
      </c>
      <c r="K889" s="49" t="n">
        <f aca="false">H889*INDEX('Model Inputs &amp; Assumptions'!$G$40:$G$42,MATCH('Model Inputs &amp; Assumptions'!$L$29,'Model Inputs &amp; Assumptions'!$A$40:$A$42,0))*INDEX('Model Inputs &amp; Assumptions'!$H$40:$H$42,MATCH('Model Inputs &amp; Assumptions'!$L$29,'Model Inputs &amp; Assumptions'!$A$40:$A$42,0))</f>
        <v>3209.21402088273</v>
      </c>
      <c r="L889" s="51" t="n">
        <f aca="false">IFERROR(K889/I889,0)</f>
        <v>0.493725233981959</v>
      </c>
      <c r="M889" s="49" t="n">
        <f aca="false">IFERROR(I889/H889,0)</f>
        <v>387.361201811671</v>
      </c>
      <c r="N889" s="52" t="str">
        <f aca="false">'Model Inputs &amp; Assumptions'!$L$29</f>
        <v>PRD-EUAI</v>
      </c>
      <c r="P889" s="53" t="n">
        <v>-1.391986</v>
      </c>
      <c r="Q889" s="53" t="n">
        <v>-0.371708</v>
      </c>
      <c r="R889" s="53" t="n">
        <v>0.111046</v>
      </c>
      <c r="S889" s="53" t="n">
        <v>-0.605669</v>
      </c>
    </row>
    <row r="890" customFormat="false" ht="15" hidden="false" customHeight="false" outlineLevel="0" collapsed="false">
      <c r="A890" s="43" t="n">
        <v>387</v>
      </c>
      <c r="B890" s="44" t="str">
        <f aca="false">'Model Inputs &amp; Assumptions'!$B$29</f>
        <v>Handelsblatt — Native Explainer</v>
      </c>
      <c r="C890" s="45" t="n">
        <f aca="false">ROUND(MAX(0,'Model Inputs &amp; Assumptions'!$S$29*EXP('Model Inputs &amp; Assumptions'!$T$29*P890-'Model Inputs &amp; Assumptions'!$T$29^2/2)),0)</f>
        <v>144164</v>
      </c>
      <c r="D890" s="46" t="n">
        <f aca="false">MIN(1,'Model Inputs &amp; Assumptions'!$U$29*EXP('Model Inputs &amp; Assumptions'!$V$29*Q890-'Model Inputs &amp; Assumptions'!$V$29^2/2))</f>
        <v>0</v>
      </c>
      <c r="E890" s="45" t="n">
        <f aca="false">ROUND(C890*D890,0)</f>
        <v>0</v>
      </c>
      <c r="F890" s="47" t="n">
        <f aca="false">MIN(1,'Model Inputs &amp; Assumptions'!$W$29*EXP('Model Inputs &amp; Assumptions'!$X$29*R890-'Model Inputs &amp; Assumptions'!$X$29^2/2))</f>
        <v>0.00264880808300575</v>
      </c>
      <c r="G890" s="45" t="n">
        <f aca="false">ROUND(C890*F890,0)</f>
        <v>382</v>
      </c>
      <c r="H890" s="48" t="n">
        <f aca="false">MAX(0,(C890*'Model Inputs &amp; Assumptions'!$N$29+E890*'Model Inputs &amp; Assumptions'!$O$29+G890*'Model Inputs &amp; Assumptions'!$P$29)*EXP('Model Inputs &amp; Assumptions'!$Q$29*S890-'Model Inputs &amp; Assumptions'!$Q$29^2/2))</f>
        <v>13.5777976780801</v>
      </c>
      <c r="I890" s="49" t="n">
        <f aca="false">IF('Model Inputs &amp; Assumptions'!$H$29="Fixed",'Model Inputs &amp; Assumptions'!$I$29*'Model Inputs &amp; Assumptions'!$K$29,IF('Model Inputs &amp; Assumptions'!$H$29="CPM",'Model Inputs &amp; Assumptions'!$I$29*'Model Inputs &amp; Assumptions'!$K$29*C890/1000,IF('Model Inputs &amp; Assumptions'!$H$29="CPC",'Model Inputs &amp; Assumptions'!$I$29*'Model Inputs &amp; Assumptions'!$K$29*G890,0)))</f>
        <v>6500</v>
      </c>
      <c r="J890" s="50" t="n">
        <f aca="false">H890*INDEX('Model Inputs &amp; Assumptions'!$D$40:$D$42,MATCH('Model Inputs &amp; Assumptions'!$L$29,'Model Inputs &amp; Assumptions'!$A$40:$A$42,0))*INDEX('Model Inputs &amp; Assumptions'!$H$40:$H$42,MATCH('Model Inputs &amp; Assumptions'!$L$29,'Model Inputs &amp; Assumptions'!$A$40:$A$42,0))</f>
        <v>115411.280263681</v>
      </c>
      <c r="K890" s="49" t="n">
        <f aca="false">H890*INDEX('Model Inputs &amp; Assumptions'!$G$40:$G$42,MATCH('Model Inputs &amp; Assumptions'!$L$29,'Model Inputs &amp; Assumptions'!$A$40:$A$42,0))*INDEX('Model Inputs &amp; Assumptions'!$H$40:$H$42,MATCH('Model Inputs &amp; Assumptions'!$L$29,'Model Inputs &amp; Assumptions'!$A$40:$A$42,0))</f>
        <v>2596.75380593283</v>
      </c>
      <c r="L890" s="51" t="n">
        <f aca="false">IFERROR(K890/I890,0)</f>
        <v>0.399500585528127</v>
      </c>
      <c r="M890" s="49" t="n">
        <f aca="false">IFERROR(I890/H890,0)</f>
        <v>478.722702614249</v>
      </c>
      <c r="N890" s="52" t="str">
        <f aca="false">'Model Inputs &amp; Assumptions'!$L$29</f>
        <v>PRD-EUAI</v>
      </c>
      <c r="P890" s="53" t="n">
        <v>-1.332352</v>
      </c>
      <c r="Q890" s="53" t="n">
        <v>-0.324899</v>
      </c>
      <c r="R890" s="53" t="n">
        <v>-0.318286</v>
      </c>
      <c r="S890" s="53" t="n">
        <v>-0.987508</v>
      </c>
    </row>
    <row r="891" customFormat="false" ht="15" hidden="false" customHeight="false" outlineLevel="0" collapsed="false">
      <c r="A891" s="43" t="n">
        <v>388</v>
      </c>
      <c r="B891" s="44" t="str">
        <f aca="false">'Model Inputs &amp; Assumptions'!$B$29</f>
        <v>Handelsblatt — Native Explainer</v>
      </c>
      <c r="C891" s="45" t="n">
        <f aca="false">ROUND(MAX(0,'Model Inputs &amp; Assumptions'!$S$29*EXP('Model Inputs &amp; Assumptions'!$T$29*P891-'Model Inputs &amp; Assumptions'!$T$29^2/2)),0)</f>
        <v>181898</v>
      </c>
      <c r="D891" s="46" t="n">
        <f aca="false">MIN(1,'Model Inputs &amp; Assumptions'!$U$29*EXP('Model Inputs &amp; Assumptions'!$V$29*Q891-'Model Inputs &amp; Assumptions'!$V$29^2/2))</f>
        <v>0</v>
      </c>
      <c r="E891" s="45" t="n">
        <f aca="false">ROUND(C891*D891,0)</f>
        <v>0</v>
      </c>
      <c r="F891" s="47" t="n">
        <f aca="false">MIN(1,'Model Inputs &amp; Assumptions'!$W$29*EXP('Model Inputs &amp; Assumptions'!$X$29*R891-'Model Inputs &amp; Assumptions'!$X$29^2/2))</f>
        <v>0.0029141475426029</v>
      </c>
      <c r="G891" s="45" t="n">
        <f aca="false">ROUND(C891*F891,0)</f>
        <v>530</v>
      </c>
      <c r="H891" s="48" t="n">
        <f aca="false">MAX(0,(C891*'Model Inputs &amp; Assumptions'!$N$29+E891*'Model Inputs &amp; Assumptions'!$O$29+G891*'Model Inputs &amp; Assumptions'!$P$29)*EXP('Model Inputs &amp; Assumptions'!$Q$29*S891-'Model Inputs &amp; Assumptions'!$Q$29^2/2))</f>
        <v>23.2609184602056</v>
      </c>
      <c r="I891" s="49" t="n">
        <f aca="false">IF('Model Inputs &amp; Assumptions'!$H$29="Fixed",'Model Inputs &amp; Assumptions'!$I$29*'Model Inputs &amp; Assumptions'!$K$29,IF('Model Inputs &amp; Assumptions'!$H$29="CPM",'Model Inputs &amp; Assumptions'!$I$29*'Model Inputs &amp; Assumptions'!$K$29*C891/1000,IF('Model Inputs &amp; Assumptions'!$H$29="CPC",'Model Inputs &amp; Assumptions'!$I$29*'Model Inputs &amp; Assumptions'!$K$29*G891,0)))</f>
        <v>6500</v>
      </c>
      <c r="J891" s="50" t="n">
        <f aca="false">H891*INDEX('Model Inputs &amp; Assumptions'!$D$40:$D$42,MATCH('Model Inputs &amp; Assumptions'!$L$29,'Model Inputs &amp; Assumptions'!$A$40:$A$42,0))*INDEX('Model Inputs &amp; Assumptions'!$H$40:$H$42,MATCH('Model Inputs &amp; Assumptions'!$L$29,'Model Inputs &amp; Assumptions'!$A$40:$A$42,0))</f>
        <v>197717.806911747</v>
      </c>
      <c r="K891" s="49" t="n">
        <f aca="false">H891*INDEX('Model Inputs &amp; Assumptions'!$G$40:$G$42,MATCH('Model Inputs &amp; Assumptions'!$L$29,'Model Inputs &amp; Assumptions'!$A$40:$A$42,0))*INDEX('Model Inputs &amp; Assumptions'!$H$40:$H$42,MATCH('Model Inputs &amp; Assumptions'!$L$29,'Model Inputs &amp; Assumptions'!$A$40:$A$42,0))</f>
        <v>4448.65065551431</v>
      </c>
      <c r="L891" s="51" t="n">
        <f aca="false">IFERROR(K891/I891,0)</f>
        <v>0.684407793156048</v>
      </c>
      <c r="M891" s="49" t="n">
        <f aca="false">IFERROR(I891/H891,0)</f>
        <v>279.438664948682</v>
      </c>
      <c r="N891" s="52" t="str">
        <f aca="false">'Model Inputs &amp; Assumptions'!$L$29</f>
        <v>PRD-EUAI</v>
      </c>
      <c r="P891" s="53" t="n">
        <v>-0.275553</v>
      </c>
      <c r="Q891" s="53" t="n">
        <v>0.617404</v>
      </c>
      <c r="R891" s="53" t="n">
        <v>0.048897</v>
      </c>
      <c r="S891" s="53" t="n">
        <v>-0.284567</v>
      </c>
    </row>
    <row r="892" customFormat="false" ht="15" hidden="false" customHeight="false" outlineLevel="0" collapsed="false">
      <c r="A892" s="43" t="n">
        <v>389</v>
      </c>
      <c r="B892" s="44" t="str">
        <f aca="false">'Model Inputs &amp; Assumptions'!$B$29</f>
        <v>Handelsblatt — Native Explainer</v>
      </c>
      <c r="C892" s="45" t="n">
        <f aca="false">ROUND(MAX(0,'Model Inputs &amp; Assumptions'!$S$29*EXP('Model Inputs &amp; Assumptions'!$T$29*P892-'Model Inputs &amp; Assumptions'!$T$29^2/2)),0)</f>
        <v>227243</v>
      </c>
      <c r="D892" s="46" t="n">
        <f aca="false">MIN(1,'Model Inputs &amp; Assumptions'!$U$29*EXP('Model Inputs &amp; Assumptions'!$V$29*Q892-'Model Inputs &amp; Assumptions'!$V$29^2/2))</f>
        <v>0</v>
      </c>
      <c r="E892" s="45" t="n">
        <f aca="false">ROUND(C892*D892,0)</f>
        <v>0</v>
      </c>
      <c r="F892" s="47" t="n">
        <f aca="false">MIN(1,'Model Inputs &amp; Assumptions'!$W$29*EXP('Model Inputs &amp; Assumptions'!$X$29*R892-'Model Inputs &amp; Assumptions'!$X$29^2/2))</f>
        <v>0.00312356743980251</v>
      </c>
      <c r="G892" s="45" t="n">
        <f aca="false">ROUND(C892*F892,0)</f>
        <v>710</v>
      </c>
      <c r="H892" s="48" t="n">
        <f aca="false">MAX(0,(C892*'Model Inputs &amp; Assumptions'!$N$29+E892*'Model Inputs &amp; Assumptions'!$O$29+G892*'Model Inputs &amp; Assumptions'!$P$29)*EXP('Model Inputs &amp; Assumptions'!$Q$29*S892-'Model Inputs &amp; Assumptions'!$Q$29^2/2))</f>
        <v>39.0854821089861</v>
      </c>
      <c r="I892" s="49" t="n">
        <f aca="false">IF('Model Inputs &amp; Assumptions'!$H$29="Fixed",'Model Inputs &amp; Assumptions'!$I$29*'Model Inputs &amp; Assumptions'!$K$29,IF('Model Inputs &amp; Assumptions'!$H$29="CPM",'Model Inputs &amp; Assumptions'!$I$29*'Model Inputs &amp; Assumptions'!$K$29*C892/1000,IF('Model Inputs &amp; Assumptions'!$H$29="CPC",'Model Inputs &amp; Assumptions'!$I$29*'Model Inputs &amp; Assumptions'!$K$29*G892,0)))</f>
        <v>6500</v>
      </c>
      <c r="J892" s="50" t="n">
        <f aca="false">H892*INDEX('Model Inputs &amp; Assumptions'!$D$40:$D$42,MATCH('Model Inputs &amp; Assumptions'!$L$29,'Model Inputs &amp; Assumptions'!$A$40:$A$42,0))*INDEX('Model Inputs &amp; Assumptions'!$H$40:$H$42,MATCH('Model Inputs &amp; Assumptions'!$L$29,'Model Inputs &amp; Assumptions'!$A$40:$A$42,0))</f>
        <v>332226.597926382</v>
      </c>
      <c r="K892" s="49" t="n">
        <f aca="false">H892*INDEX('Model Inputs &amp; Assumptions'!$G$40:$G$42,MATCH('Model Inputs &amp; Assumptions'!$L$29,'Model Inputs &amp; Assumptions'!$A$40:$A$42,0))*INDEX('Model Inputs &amp; Assumptions'!$H$40:$H$42,MATCH('Model Inputs &amp; Assumptions'!$L$29,'Model Inputs &amp; Assumptions'!$A$40:$A$42,0))</f>
        <v>7475.09845334359</v>
      </c>
      <c r="L892" s="51" t="n">
        <f aca="false">IFERROR(K892/I892,0)</f>
        <v>1.15001514666825</v>
      </c>
      <c r="M892" s="49" t="n">
        <f aca="false">IFERROR(I892/H892,0)</f>
        <v>166.302157457733</v>
      </c>
      <c r="N892" s="52" t="str">
        <f aca="false">'Model Inputs &amp; Assumptions'!$L$29</f>
        <v>PRD-EUAI</v>
      </c>
      <c r="P892" s="53" t="n">
        <v>0.736151</v>
      </c>
      <c r="Q892" s="53" t="n">
        <v>-1.89184</v>
      </c>
      <c r="R892" s="53" t="n">
        <v>0.315814</v>
      </c>
      <c r="S892" s="53" t="n">
        <v>0.470728</v>
      </c>
    </row>
    <row r="893" customFormat="false" ht="15" hidden="false" customHeight="false" outlineLevel="0" collapsed="false">
      <c r="A893" s="43" t="n">
        <v>390</v>
      </c>
      <c r="B893" s="44" t="str">
        <f aca="false">'Model Inputs &amp; Assumptions'!$B$29</f>
        <v>Handelsblatt — Native Explainer</v>
      </c>
      <c r="C893" s="45" t="n">
        <f aca="false">ROUND(MAX(0,'Model Inputs &amp; Assumptions'!$S$29*EXP('Model Inputs &amp; Assumptions'!$T$29*P893-'Model Inputs &amp; Assumptions'!$T$29^2/2)),0)</f>
        <v>252442</v>
      </c>
      <c r="D893" s="46" t="n">
        <f aca="false">MIN(1,'Model Inputs &amp; Assumptions'!$U$29*EXP('Model Inputs &amp; Assumptions'!$V$29*Q893-'Model Inputs &amp; Assumptions'!$V$29^2/2))</f>
        <v>0</v>
      </c>
      <c r="E893" s="45" t="n">
        <f aca="false">ROUND(C893*D893,0)</f>
        <v>0</v>
      </c>
      <c r="F893" s="47" t="n">
        <f aca="false">MIN(1,'Model Inputs &amp; Assumptions'!$W$29*EXP('Model Inputs &amp; Assumptions'!$X$29*R893-'Model Inputs &amp; Assumptions'!$X$29^2/2))</f>
        <v>0.00346148559216966</v>
      </c>
      <c r="G893" s="45" t="n">
        <f aca="false">ROUND(C893*F893,0)</f>
        <v>874</v>
      </c>
      <c r="H893" s="48" t="n">
        <f aca="false">MAX(0,(C893*'Model Inputs &amp; Assumptions'!$N$29+E893*'Model Inputs &amp; Assumptions'!$O$29+G893*'Model Inputs &amp; Assumptions'!$P$29)*EXP('Model Inputs &amp; Assumptions'!$Q$29*S893-'Model Inputs &amp; Assumptions'!$Q$29^2/2))</f>
        <v>19.2348473881397</v>
      </c>
      <c r="I893" s="49" t="n">
        <f aca="false">IF('Model Inputs &amp; Assumptions'!$H$29="Fixed",'Model Inputs &amp; Assumptions'!$I$29*'Model Inputs &amp; Assumptions'!$K$29,IF('Model Inputs &amp; Assumptions'!$H$29="CPM",'Model Inputs &amp; Assumptions'!$I$29*'Model Inputs &amp; Assumptions'!$K$29*C893/1000,IF('Model Inputs &amp; Assumptions'!$H$29="CPC",'Model Inputs &amp; Assumptions'!$I$29*'Model Inputs &amp; Assumptions'!$K$29*G893,0)))</f>
        <v>6500</v>
      </c>
      <c r="J893" s="50" t="n">
        <f aca="false">H893*INDEX('Model Inputs &amp; Assumptions'!$D$40:$D$42,MATCH('Model Inputs &amp; Assumptions'!$L$29,'Model Inputs &amp; Assumptions'!$A$40:$A$42,0))*INDEX('Model Inputs &amp; Assumptions'!$H$40:$H$42,MATCH('Model Inputs &amp; Assumptions'!$L$29,'Model Inputs &amp; Assumptions'!$A$40:$A$42,0))</f>
        <v>163496.202799188</v>
      </c>
      <c r="K893" s="49" t="n">
        <f aca="false">H893*INDEX('Model Inputs &amp; Assumptions'!$G$40:$G$42,MATCH('Model Inputs &amp; Assumptions'!$L$29,'Model Inputs &amp; Assumptions'!$A$40:$A$42,0))*INDEX('Model Inputs &amp; Assumptions'!$H$40:$H$42,MATCH('Model Inputs &amp; Assumptions'!$L$29,'Model Inputs &amp; Assumptions'!$A$40:$A$42,0))</f>
        <v>3678.66456298172</v>
      </c>
      <c r="L893" s="51" t="n">
        <f aca="false">IFERROR(K893/I893,0)</f>
        <v>0.56594839430488</v>
      </c>
      <c r="M893" s="49" t="n">
        <f aca="false">IFERROR(I893/H893,0)</f>
        <v>337.928337503105</v>
      </c>
      <c r="N893" s="52" t="str">
        <f aca="false">'Model Inputs &amp; Assumptions'!$L$29</f>
        <v>PRD-EUAI</v>
      </c>
      <c r="P893" s="53" t="n">
        <v>1.214149</v>
      </c>
      <c r="Q893" s="53" t="n">
        <v>0.220914</v>
      </c>
      <c r="R893" s="53" t="n">
        <v>0.710899</v>
      </c>
      <c r="S893" s="53" t="n">
        <v>-2.585415</v>
      </c>
    </row>
    <row r="894" customFormat="false" ht="15" hidden="false" customHeight="false" outlineLevel="0" collapsed="false">
      <c r="A894" s="43" t="n">
        <v>391</v>
      </c>
      <c r="B894" s="44" t="str">
        <f aca="false">'Model Inputs &amp; Assumptions'!$B$29</f>
        <v>Handelsblatt — Native Explainer</v>
      </c>
      <c r="C894" s="45" t="n">
        <f aca="false">ROUND(MAX(0,'Model Inputs &amp; Assumptions'!$S$29*EXP('Model Inputs &amp; Assumptions'!$T$29*P894-'Model Inputs &amp; Assumptions'!$T$29^2/2)),0)</f>
        <v>184779</v>
      </c>
      <c r="D894" s="46" t="n">
        <f aca="false">MIN(1,'Model Inputs &amp; Assumptions'!$U$29*EXP('Model Inputs &amp; Assumptions'!$V$29*Q894-'Model Inputs &amp; Assumptions'!$V$29^2/2))</f>
        <v>0</v>
      </c>
      <c r="E894" s="45" t="n">
        <f aca="false">ROUND(C894*D894,0)</f>
        <v>0</v>
      </c>
      <c r="F894" s="47" t="n">
        <f aca="false">MIN(1,'Model Inputs &amp; Assumptions'!$W$29*EXP('Model Inputs &amp; Assumptions'!$X$29*R894-'Model Inputs &amp; Assumptions'!$X$29^2/2))</f>
        <v>0.00299496785559081</v>
      </c>
      <c r="G894" s="45" t="n">
        <f aca="false">ROUND(C894*F894,0)</f>
        <v>553</v>
      </c>
      <c r="H894" s="48" t="n">
        <f aca="false">MAX(0,(C894*'Model Inputs &amp; Assumptions'!$N$29+E894*'Model Inputs &amp; Assumptions'!$O$29+G894*'Model Inputs &amp; Assumptions'!$P$29)*EXP('Model Inputs &amp; Assumptions'!$Q$29*S894-'Model Inputs &amp; Assumptions'!$Q$29^2/2))</f>
        <v>33.7121979205813</v>
      </c>
      <c r="I894" s="49" t="n">
        <f aca="false">IF('Model Inputs &amp; Assumptions'!$H$29="Fixed",'Model Inputs &amp; Assumptions'!$I$29*'Model Inputs &amp; Assumptions'!$K$29,IF('Model Inputs &amp; Assumptions'!$H$29="CPM",'Model Inputs &amp; Assumptions'!$I$29*'Model Inputs &amp; Assumptions'!$K$29*C894/1000,IF('Model Inputs &amp; Assumptions'!$H$29="CPC",'Model Inputs &amp; Assumptions'!$I$29*'Model Inputs &amp; Assumptions'!$K$29*G894,0)))</f>
        <v>6500</v>
      </c>
      <c r="J894" s="50" t="n">
        <f aca="false">H894*INDEX('Model Inputs &amp; Assumptions'!$D$40:$D$42,MATCH('Model Inputs &amp; Assumptions'!$L$29,'Model Inputs &amp; Assumptions'!$A$40:$A$42,0))*INDEX('Model Inputs &amp; Assumptions'!$H$40:$H$42,MATCH('Model Inputs &amp; Assumptions'!$L$29,'Model Inputs &amp; Assumptions'!$A$40:$A$42,0))</f>
        <v>286553.682324941</v>
      </c>
      <c r="K894" s="49" t="n">
        <f aca="false">H894*INDEX('Model Inputs &amp; Assumptions'!$G$40:$G$42,MATCH('Model Inputs &amp; Assumptions'!$L$29,'Model Inputs &amp; Assumptions'!$A$40:$A$42,0))*INDEX('Model Inputs &amp; Assumptions'!$H$40:$H$42,MATCH('Model Inputs &amp; Assumptions'!$L$29,'Model Inputs &amp; Assumptions'!$A$40:$A$42,0))</f>
        <v>6447.45785231117</v>
      </c>
      <c r="L894" s="51" t="n">
        <f aca="false">IFERROR(K894/I894,0)</f>
        <v>0.991916592663257</v>
      </c>
      <c r="M894" s="49" t="n">
        <f aca="false">IFERROR(I894/H894,0)</f>
        <v>192.808550048045</v>
      </c>
      <c r="N894" s="52" t="str">
        <f aca="false">'Model Inputs &amp; Assumptions'!$L$29</f>
        <v>PRD-EUAI</v>
      </c>
      <c r="P894" s="53" t="n">
        <v>-0.204131</v>
      </c>
      <c r="Q894" s="53" t="n">
        <v>2.138086</v>
      </c>
      <c r="R894" s="53" t="n">
        <v>0.154113</v>
      </c>
      <c r="S894" s="53" t="n">
        <v>0.81078</v>
      </c>
    </row>
    <row r="895" customFormat="false" ht="15" hidden="false" customHeight="false" outlineLevel="0" collapsed="false">
      <c r="A895" s="43" t="n">
        <v>392</v>
      </c>
      <c r="B895" s="44" t="str">
        <f aca="false">'Model Inputs &amp; Assumptions'!$B$29</f>
        <v>Handelsblatt — Native Explainer</v>
      </c>
      <c r="C895" s="45" t="n">
        <f aca="false">ROUND(MAX(0,'Model Inputs &amp; Assumptions'!$S$29*EXP('Model Inputs &amp; Assumptions'!$T$29*P895-'Model Inputs &amp; Assumptions'!$T$29^2/2)),0)</f>
        <v>288018</v>
      </c>
      <c r="D895" s="46" t="n">
        <f aca="false">MIN(1,'Model Inputs &amp; Assumptions'!$U$29*EXP('Model Inputs &amp; Assumptions'!$V$29*Q895-'Model Inputs &amp; Assumptions'!$V$29^2/2))</f>
        <v>0</v>
      </c>
      <c r="E895" s="45" t="n">
        <f aca="false">ROUND(C895*D895,0)</f>
        <v>0</v>
      </c>
      <c r="F895" s="47" t="n">
        <f aca="false">MIN(1,'Model Inputs &amp; Assumptions'!$W$29*EXP('Model Inputs &amp; Assumptions'!$X$29*R895-'Model Inputs &amp; Assumptions'!$X$29^2/2))</f>
        <v>0.00221133334872904</v>
      </c>
      <c r="G895" s="45" t="n">
        <f aca="false">ROUND(C895*F895,0)</f>
        <v>637</v>
      </c>
      <c r="H895" s="48" t="n">
        <f aca="false">MAX(0,(C895*'Model Inputs &amp; Assumptions'!$N$29+E895*'Model Inputs &amp; Assumptions'!$O$29+G895*'Model Inputs &amp; Assumptions'!$P$29)*EXP('Model Inputs &amp; Assumptions'!$Q$29*S895-'Model Inputs &amp; Assumptions'!$Q$29^2/2))</f>
        <v>23.9579133850156</v>
      </c>
      <c r="I895" s="49" t="n">
        <f aca="false">IF('Model Inputs &amp; Assumptions'!$H$29="Fixed",'Model Inputs &amp; Assumptions'!$I$29*'Model Inputs &amp; Assumptions'!$K$29,IF('Model Inputs &amp; Assumptions'!$H$29="CPM",'Model Inputs &amp; Assumptions'!$I$29*'Model Inputs &amp; Assumptions'!$K$29*C895/1000,IF('Model Inputs &amp; Assumptions'!$H$29="CPC",'Model Inputs &amp; Assumptions'!$I$29*'Model Inputs &amp; Assumptions'!$K$29*G895,0)))</f>
        <v>6500</v>
      </c>
      <c r="J895" s="50" t="n">
        <f aca="false">H895*INDEX('Model Inputs &amp; Assumptions'!$D$40:$D$42,MATCH('Model Inputs &amp; Assumptions'!$L$29,'Model Inputs &amp; Assumptions'!$A$40:$A$42,0))*INDEX('Model Inputs &amp; Assumptions'!$H$40:$H$42,MATCH('Model Inputs &amp; Assumptions'!$L$29,'Model Inputs &amp; Assumptions'!$A$40:$A$42,0))</f>
        <v>203642.263772633</v>
      </c>
      <c r="K895" s="49" t="n">
        <f aca="false">H895*INDEX('Model Inputs &amp; Assumptions'!$G$40:$G$42,MATCH('Model Inputs &amp; Assumptions'!$L$29,'Model Inputs &amp; Assumptions'!$A$40:$A$42,0))*INDEX('Model Inputs &amp; Assumptions'!$H$40:$H$42,MATCH('Model Inputs &amp; Assumptions'!$L$29,'Model Inputs &amp; Assumptions'!$A$40:$A$42,0))</f>
        <v>4581.95093488423</v>
      </c>
      <c r="L895" s="51" t="n">
        <f aca="false">IFERROR(K895/I895,0)</f>
        <v>0.704915528443728</v>
      </c>
      <c r="M895" s="49" t="n">
        <f aca="false">IFERROR(I895/H895,0)</f>
        <v>271.30910340737</v>
      </c>
      <c r="N895" s="52" t="str">
        <f aca="false">'Model Inputs &amp; Assumptions'!$L$29</f>
        <v>PRD-EUAI</v>
      </c>
      <c r="P895" s="53" t="n">
        <v>1.813433</v>
      </c>
      <c r="Q895" s="53" t="n">
        <v>0.104418</v>
      </c>
      <c r="R895" s="53" t="n">
        <v>-1.012571</v>
      </c>
      <c r="S895" s="53" t="n">
        <v>-0.799129</v>
      </c>
    </row>
    <row r="896" customFormat="false" ht="15" hidden="false" customHeight="false" outlineLevel="0" collapsed="false">
      <c r="A896" s="43" t="n">
        <v>393</v>
      </c>
      <c r="B896" s="44" t="str">
        <f aca="false">'Model Inputs &amp; Assumptions'!$B$29</f>
        <v>Handelsblatt — Native Explainer</v>
      </c>
      <c r="C896" s="45" t="n">
        <f aca="false">ROUND(MAX(0,'Model Inputs &amp; Assumptions'!$S$29*EXP('Model Inputs &amp; Assumptions'!$T$29*P896-'Model Inputs &amp; Assumptions'!$T$29^2/2)),0)</f>
        <v>147678</v>
      </c>
      <c r="D896" s="46" t="n">
        <f aca="false">MIN(1,'Model Inputs &amp; Assumptions'!$U$29*EXP('Model Inputs &amp; Assumptions'!$V$29*Q896-'Model Inputs &amp; Assumptions'!$V$29^2/2))</f>
        <v>0</v>
      </c>
      <c r="E896" s="45" t="n">
        <f aca="false">ROUND(C896*D896,0)</f>
        <v>0</v>
      </c>
      <c r="F896" s="47" t="n">
        <f aca="false">MIN(1,'Model Inputs &amp; Assumptions'!$W$29*EXP('Model Inputs &amp; Assumptions'!$X$29*R896-'Model Inputs &amp; Assumptions'!$X$29^2/2))</f>
        <v>0.00198407545286793</v>
      </c>
      <c r="G896" s="45" t="n">
        <f aca="false">ROUND(C896*F896,0)</f>
        <v>293</v>
      </c>
      <c r="H896" s="48" t="n">
        <f aca="false">MAX(0,(C896*'Model Inputs &amp; Assumptions'!$N$29+E896*'Model Inputs &amp; Assumptions'!$O$29+G896*'Model Inputs &amp; Assumptions'!$P$29)*EXP('Model Inputs &amp; Assumptions'!$Q$29*S896-'Model Inputs &amp; Assumptions'!$Q$29^2/2))</f>
        <v>17.8892475256158</v>
      </c>
      <c r="I896" s="49" t="n">
        <f aca="false">IF('Model Inputs &amp; Assumptions'!$H$29="Fixed",'Model Inputs &amp; Assumptions'!$I$29*'Model Inputs &amp; Assumptions'!$K$29,IF('Model Inputs &amp; Assumptions'!$H$29="CPM",'Model Inputs &amp; Assumptions'!$I$29*'Model Inputs &amp; Assumptions'!$K$29*C896/1000,IF('Model Inputs &amp; Assumptions'!$H$29="CPC",'Model Inputs &amp; Assumptions'!$I$29*'Model Inputs &amp; Assumptions'!$K$29*G896,0)))</f>
        <v>6500</v>
      </c>
      <c r="J896" s="50" t="n">
        <f aca="false">H896*INDEX('Model Inputs &amp; Assumptions'!$D$40:$D$42,MATCH('Model Inputs &amp; Assumptions'!$L$29,'Model Inputs &amp; Assumptions'!$A$40:$A$42,0))*INDEX('Model Inputs &amp; Assumptions'!$H$40:$H$42,MATCH('Model Inputs &amp; Assumptions'!$L$29,'Model Inputs &amp; Assumptions'!$A$40:$A$42,0))</f>
        <v>152058.603967735</v>
      </c>
      <c r="K896" s="49" t="n">
        <f aca="false">H896*INDEX('Model Inputs &amp; Assumptions'!$G$40:$G$42,MATCH('Model Inputs &amp; Assumptions'!$L$29,'Model Inputs &amp; Assumptions'!$A$40:$A$42,0))*INDEX('Model Inputs &amp; Assumptions'!$H$40:$H$42,MATCH('Model Inputs &amp; Assumptions'!$L$29,'Model Inputs &amp; Assumptions'!$A$40:$A$42,0))</f>
        <v>3421.31858927403</v>
      </c>
      <c r="L896" s="51" t="n">
        <f aca="false">IFERROR(K896/I896,0)</f>
        <v>0.526356706042158</v>
      </c>
      <c r="M896" s="49" t="n">
        <f aca="false">IFERROR(I896/H896,0)</f>
        <v>363.346752885641</v>
      </c>
      <c r="N896" s="52" t="str">
        <f aca="false">'Model Inputs &amp; Assumptions'!$L$29</f>
        <v>PRD-EUAI</v>
      </c>
      <c r="P896" s="53" t="n">
        <v>-1.222874</v>
      </c>
      <c r="Q896" s="53" t="n">
        <v>-0.391621</v>
      </c>
      <c r="R896" s="53" t="n">
        <v>-1.429658</v>
      </c>
      <c r="S896" s="53" t="n">
        <v>0.815865</v>
      </c>
    </row>
    <row r="897" customFormat="false" ht="15" hidden="false" customHeight="false" outlineLevel="0" collapsed="false">
      <c r="A897" s="43" t="n">
        <v>394</v>
      </c>
      <c r="B897" s="44" t="str">
        <f aca="false">'Model Inputs &amp; Assumptions'!$B$29</f>
        <v>Handelsblatt — Native Explainer</v>
      </c>
      <c r="C897" s="45" t="n">
        <f aca="false">ROUND(MAX(0,'Model Inputs &amp; Assumptions'!$S$29*EXP('Model Inputs &amp; Assumptions'!$T$29*P897-'Model Inputs &amp; Assumptions'!$T$29^2/2)),0)</f>
        <v>191479</v>
      </c>
      <c r="D897" s="46" t="n">
        <f aca="false">MIN(1,'Model Inputs &amp; Assumptions'!$U$29*EXP('Model Inputs &amp; Assumptions'!$V$29*Q897-'Model Inputs &amp; Assumptions'!$V$29^2/2))</f>
        <v>0</v>
      </c>
      <c r="E897" s="45" t="n">
        <f aca="false">ROUND(C897*D897,0)</f>
        <v>0</v>
      </c>
      <c r="F897" s="47" t="n">
        <f aca="false">MIN(1,'Model Inputs &amp; Assumptions'!$W$29*EXP('Model Inputs &amp; Assumptions'!$X$29*R897-'Model Inputs &amp; Assumptions'!$X$29^2/2))</f>
        <v>0.00348441726822861</v>
      </c>
      <c r="G897" s="45" t="n">
        <f aca="false">ROUND(C897*F897,0)</f>
        <v>667</v>
      </c>
      <c r="H897" s="48" t="n">
        <f aca="false">MAX(0,(C897*'Model Inputs &amp; Assumptions'!$N$29+E897*'Model Inputs &amp; Assumptions'!$O$29+G897*'Model Inputs &amp; Assumptions'!$P$29)*EXP('Model Inputs &amp; Assumptions'!$Q$29*S897-'Model Inputs &amp; Assumptions'!$Q$29^2/2))</f>
        <v>21.3246306325304</v>
      </c>
      <c r="I897" s="49" t="n">
        <f aca="false">IF('Model Inputs &amp; Assumptions'!$H$29="Fixed",'Model Inputs &amp; Assumptions'!$I$29*'Model Inputs &amp; Assumptions'!$K$29,IF('Model Inputs &amp; Assumptions'!$H$29="CPM",'Model Inputs &amp; Assumptions'!$I$29*'Model Inputs &amp; Assumptions'!$K$29*C897/1000,IF('Model Inputs &amp; Assumptions'!$H$29="CPC",'Model Inputs &amp; Assumptions'!$I$29*'Model Inputs &amp; Assumptions'!$K$29*G897,0)))</f>
        <v>6500</v>
      </c>
      <c r="J897" s="50" t="n">
        <f aca="false">H897*INDEX('Model Inputs &amp; Assumptions'!$D$40:$D$42,MATCH('Model Inputs &amp; Assumptions'!$L$29,'Model Inputs &amp; Assumptions'!$A$40:$A$42,0))*INDEX('Model Inputs &amp; Assumptions'!$H$40:$H$42,MATCH('Model Inputs &amp; Assumptions'!$L$29,'Model Inputs &amp; Assumptions'!$A$40:$A$42,0))</f>
        <v>181259.360376508</v>
      </c>
      <c r="K897" s="49" t="n">
        <f aca="false">H897*INDEX('Model Inputs &amp; Assumptions'!$G$40:$G$42,MATCH('Model Inputs &amp; Assumptions'!$L$29,'Model Inputs &amp; Assumptions'!$A$40:$A$42,0))*INDEX('Model Inputs &amp; Assumptions'!$H$40:$H$42,MATCH('Model Inputs &amp; Assumptions'!$L$29,'Model Inputs &amp; Assumptions'!$A$40:$A$42,0))</f>
        <v>4078.33560847143</v>
      </c>
      <c r="L897" s="51" t="n">
        <f aca="false">IFERROR(K897/I897,0)</f>
        <v>0.627436247457144</v>
      </c>
      <c r="M897" s="49" t="n">
        <f aca="false">IFERROR(I897/H897,0)</f>
        <v>304.811844669626</v>
      </c>
      <c r="N897" s="52" t="str">
        <f aca="false">'Model Inputs &amp; Assumptions'!$L$29</f>
        <v>PRD-EUAI</v>
      </c>
      <c r="P897" s="53" t="n">
        <v>-0.042223</v>
      </c>
      <c r="Q897" s="53" t="n">
        <v>-3.016612</v>
      </c>
      <c r="R897" s="53" t="n">
        <v>0.736295</v>
      </c>
      <c r="S897" s="53" t="n">
        <v>-1.34065</v>
      </c>
    </row>
    <row r="898" customFormat="false" ht="15" hidden="false" customHeight="false" outlineLevel="0" collapsed="false">
      <c r="A898" s="43" t="n">
        <v>395</v>
      </c>
      <c r="B898" s="44" t="str">
        <f aca="false">'Model Inputs &amp; Assumptions'!$B$29</f>
        <v>Handelsblatt — Native Explainer</v>
      </c>
      <c r="C898" s="45" t="n">
        <f aca="false">ROUND(MAX(0,'Model Inputs &amp; Assumptions'!$S$29*EXP('Model Inputs &amp; Assumptions'!$T$29*P898-'Model Inputs &amp; Assumptions'!$T$29^2/2)),0)</f>
        <v>205149</v>
      </c>
      <c r="D898" s="46" t="n">
        <f aca="false">MIN(1,'Model Inputs &amp; Assumptions'!$U$29*EXP('Model Inputs &amp; Assumptions'!$V$29*Q898-'Model Inputs &amp; Assumptions'!$V$29^2/2))</f>
        <v>0</v>
      </c>
      <c r="E898" s="45" t="n">
        <f aca="false">ROUND(C898*D898,0)</f>
        <v>0</v>
      </c>
      <c r="F898" s="47" t="n">
        <f aca="false">MIN(1,'Model Inputs &amp; Assumptions'!$W$29*EXP('Model Inputs &amp; Assumptions'!$X$29*R898-'Model Inputs &amp; Assumptions'!$X$29^2/2))</f>
        <v>0.00338649674606988</v>
      </c>
      <c r="G898" s="45" t="n">
        <f aca="false">ROUND(C898*F898,0)</f>
        <v>695</v>
      </c>
      <c r="H898" s="48" t="n">
        <f aca="false">MAX(0,(C898*'Model Inputs &amp; Assumptions'!$N$29+E898*'Model Inputs &amp; Assumptions'!$O$29+G898*'Model Inputs &amp; Assumptions'!$P$29)*EXP('Model Inputs &amp; Assumptions'!$Q$29*S898-'Model Inputs &amp; Assumptions'!$Q$29^2/2))</f>
        <v>40.2159616186934</v>
      </c>
      <c r="I898" s="49" t="n">
        <f aca="false">IF('Model Inputs &amp; Assumptions'!$H$29="Fixed",'Model Inputs &amp; Assumptions'!$I$29*'Model Inputs &amp; Assumptions'!$K$29,IF('Model Inputs &amp; Assumptions'!$H$29="CPM",'Model Inputs &amp; Assumptions'!$I$29*'Model Inputs &amp; Assumptions'!$K$29*C898/1000,IF('Model Inputs &amp; Assumptions'!$H$29="CPC",'Model Inputs &amp; Assumptions'!$I$29*'Model Inputs &amp; Assumptions'!$K$29*G898,0)))</f>
        <v>6500</v>
      </c>
      <c r="J898" s="50" t="n">
        <f aca="false">H898*INDEX('Model Inputs &amp; Assumptions'!$D$40:$D$42,MATCH('Model Inputs &amp; Assumptions'!$L$29,'Model Inputs &amp; Assumptions'!$A$40:$A$42,0))*INDEX('Model Inputs &amp; Assumptions'!$H$40:$H$42,MATCH('Model Inputs &amp; Assumptions'!$L$29,'Model Inputs &amp; Assumptions'!$A$40:$A$42,0))</f>
        <v>341835.673758894</v>
      </c>
      <c r="K898" s="49" t="n">
        <f aca="false">H898*INDEX('Model Inputs &amp; Assumptions'!$G$40:$G$42,MATCH('Model Inputs &amp; Assumptions'!$L$29,'Model Inputs &amp; Assumptions'!$A$40:$A$42,0))*INDEX('Model Inputs &amp; Assumptions'!$H$40:$H$42,MATCH('Model Inputs &amp; Assumptions'!$L$29,'Model Inputs &amp; Assumptions'!$A$40:$A$42,0))</f>
        <v>7691.30265957512</v>
      </c>
      <c r="L898" s="51" t="n">
        <f aca="false">IFERROR(K898/I898,0)</f>
        <v>1.18327733224233</v>
      </c>
      <c r="M898" s="49" t="n">
        <f aca="false">IFERROR(I898/H898,0)</f>
        <v>161.627367303301</v>
      </c>
      <c r="N898" s="52" t="str">
        <f aca="false">'Model Inputs &amp; Assumptions'!$L$29</f>
        <v>PRD-EUAI</v>
      </c>
      <c r="P898" s="53" t="n">
        <v>0.271226</v>
      </c>
      <c r="Q898" s="53" t="n">
        <v>-0.87892</v>
      </c>
      <c r="R898" s="53" t="n">
        <v>0.626661</v>
      </c>
      <c r="S898" s="53" t="n">
        <v>0.636948</v>
      </c>
    </row>
    <row r="899" customFormat="false" ht="15" hidden="false" customHeight="false" outlineLevel="0" collapsed="false">
      <c r="A899" s="43" t="n">
        <v>396</v>
      </c>
      <c r="B899" s="44" t="str">
        <f aca="false">'Model Inputs &amp; Assumptions'!$B$29</f>
        <v>Handelsblatt — Native Explainer</v>
      </c>
      <c r="C899" s="45" t="n">
        <f aca="false">ROUND(MAX(0,'Model Inputs &amp; Assumptions'!$S$29*EXP('Model Inputs &amp; Assumptions'!$T$29*P899-'Model Inputs &amp; Assumptions'!$T$29^2/2)),0)</f>
        <v>242165</v>
      </c>
      <c r="D899" s="46" t="n">
        <f aca="false">MIN(1,'Model Inputs &amp; Assumptions'!$U$29*EXP('Model Inputs &amp; Assumptions'!$V$29*Q899-'Model Inputs &amp; Assumptions'!$V$29^2/2))</f>
        <v>0</v>
      </c>
      <c r="E899" s="45" t="n">
        <f aca="false">ROUND(C899*D899,0)</f>
        <v>0</v>
      </c>
      <c r="F899" s="47" t="n">
        <f aca="false">MIN(1,'Model Inputs &amp; Assumptions'!$W$29*EXP('Model Inputs &amp; Assumptions'!$X$29*R899-'Model Inputs &amp; Assumptions'!$X$29^2/2))</f>
        <v>0.00360039066928077</v>
      </c>
      <c r="G899" s="45" t="n">
        <f aca="false">ROUND(C899*F899,0)</f>
        <v>872</v>
      </c>
      <c r="H899" s="48" t="n">
        <f aca="false">MAX(0,(C899*'Model Inputs &amp; Assumptions'!$N$29+E899*'Model Inputs &amp; Assumptions'!$O$29+G899*'Model Inputs &amp; Assumptions'!$P$29)*EXP('Model Inputs &amp; Assumptions'!$Q$29*S899-'Model Inputs &amp; Assumptions'!$Q$29^2/2))</f>
        <v>45.1055974307948</v>
      </c>
      <c r="I899" s="49" t="n">
        <f aca="false">IF('Model Inputs &amp; Assumptions'!$H$29="Fixed",'Model Inputs &amp; Assumptions'!$I$29*'Model Inputs &amp; Assumptions'!$K$29,IF('Model Inputs &amp; Assumptions'!$H$29="CPM",'Model Inputs &amp; Assumptions'!$I$29*'Model Inputs &amp; Assumptions'!$K$29*C899/1000,IF('Model Inputs &amp; Assumptions'!$H$29="CPC",'Model Inputs &amp; Assumptions'!$I$29*'Model Inputs &amp; Assumptions'!$K$29*G899,0)))</f>
        <v>6500</v>
      </c>
      <c r="J899" s="50" t="n">
        <f aca="false">H899*INDEX('Model Inputs &amp; Assumptions'!$D$40:$D$42,MATCH('Model Inputs &amp; Assumptions'!$L$29,'Model Inputs &amp; Assumptions'!$A$40:$A$42,0))*INDEX('Model Inputs &amp; Assumptions'!$H$40:$H$42,MATCH('Model Inputs &amp; Assumptions'!$L$29,'Model Inputs &amp; Assumptions'!$A$40:$A$42,0))</f>
        <v>383397.578161756</v>
      </c>
      <c r="K899" s="49" t="n">
        <f aca="false">H899*INDEX('Model Inputs &amp; Assumptions'!$G$40:$G$42,MATCH('Model Inputs &amp; Assumptions'!$L$29,'Model Inputs &amp; Assumptions'!$A$40:$A$42,0))*INDEX('Model Inputs &amp; Assumptions'!$H$40:$H$42,MATCH('Model Inputs &amp; Assumptions'!$L$29,'Model Inputs &amp; Assumptions'!$A$40:$A$42,0))</f>
        <v>8626.44550863951</v>
      </c>
      <c r="L899" s="51" t="n">
        <f aca="false">IFERROR(K899/I899,0)</f>
        <v>1.32714546286762</v>
      </c>
      <c r="M899" s="49" t="n">
        <f aca="false">IFERROR(I899/H899,0)</f>
        <v>144.106283260584</v>
      </c>
      <c r="N899" s="52" t="str">
        <f aca="false">'Model Inputs &amp; Assumptions'!$L$29</f>
        <v>PRD-EUAI</v>
      </c>
      <c r="P899" s="53" t="n">
        <v>1.025238</v>
      </c>
      <c r="Q899" s="53" t="n">
        <v>-0.249203</v>
      </c>
      <c r="R899" s="53" t="n">
        <v>0.862224</v>
      </c>
      <c r="S899" s="53" t="n">
        <v>0.263164</v>
      </c>
    </row>
    <row r="900" customFormat="false" ht="15" hidden="false" customHeight="false" outlineLevel="0" collapsed="false">
      <c r="A900" s="43" t="n">
        <v>397</v>
      </c>
      <c r="B900" s="44" t="str">
        <f aca="false">'Model Inputs &amp; Assumptions'!$B$29</f>
        <v>Handelsblatt — Native Explainer</v>
      </c>
      <c r="C900" s="45" t="n">
        <f aca="false">ROUND(MAX(0,'Model Inputs &amp; Assumptions'!$S$29*EXP('Model Inputs &amp; Assumptions'!$T$29*P900-'Model Inputs &amp; Assumptions'!$T$29^2/2)),0)</f>
        <v>176672</v>
      </c>
      <c r="D900" s="46" t="n">
        <f aca="false">MIN(1,'Model Inputs &amp; Assumptions'!$U$29*EXP('Model Inputs &amp; Assumptions'!$V$29*Q900-'Model Inputs &amp; Assumptions'!$V$29^2/2))</f>
        <v>0</v>
      </c>
      <c r="E900" s="45" t="n">
        <f aca="false">ROUND(C900*D900,0)</f>
        <v>0</v>
      </c>
      <c r="F900" s="47" t="n">
        <f aca="false">MIN(1,'Model Inputs &amp; Assumptions'!$W$29*EXP('Model Inputs &amp; Assumptions'!$X$29*R900-'Model Inputs &amp; Assumptions'!$X$29^2/2))</f>
        <v>0.00249398491523898</v>
      </c>
      <c r="G900" s="45" t="n">
        <f aca="false">ROUND(C900*F900,0)</f>
        <v>441</v>
      </c>
      <c r="H900" s="48" t="n">
        <f aca="false">MAX(0,(C900*'Model Inputs &amp; Assumptions'!$N$29+E900*'Model Inputs &amp; Assumptions'!$O$29+G900*'Model Inputs &amp; Assumptions'!$P$29)*EXP('Model Inputs &amp; Assumptions'!$Q$29*S900-'Model Inputs &amp; Assumptions'!$Q$29^2/2))</f>
        <v>35.1970158454671</v>
      </c>
      <c r="I900" s="49" t="n">
        <f aca="false">IF('Model Inputs &amp; Assumptions'!$H$29="Fixed",'Model Inputs &amp; Assumptions'!$I$29*'Model Inputs &amp; Assumptions'!$K$29,IF('Model Inputs &amp; Assumptions'!$H$29="CPM",'Model Inputs &amp; Assumptions'!$I$29*'Model Inputs &amp; Assumptions'!$K$29*C900/1000,IF('Model Inputs &amp; Assumptions'!$H$29="CPC",'Model Inputs &amp; Assumptions'!$I$29*'Model Inputs &amp; Assumptions'!$K$29*G900,0)))</f>
        <v>6500</v>
      </c>
      <c r="J900" s="50" t="n">
        <f aca="false">H900*INDEX('Model Inputs &amp; Assumptions'!$D$40:$D$42,MATCH('Model Inputs &amp; Assumptions'!$L$29,'Model Inputs &amp; Assumptions'!$A$40:$A$42,0))*INDEX('Model Inputs &amp; Assumptions'!$H$40:$H$42,MATCH('Model Inputs &amp; Assumptions'!$L$29,'Model Inputs &amp; Assumptions'!$A$40:$A$42,0))</f>
        <v>299174.63468647</v>
      </c>
      <c r="K900" s="49" t="n">
        <f aca="false">H900*INDEX('Model Inputs &amp; Assumptions'!$G$40:$G$42,MATCH('Model Inputs &amp; Assumptions'!$L$29,'Model Inputs &amp; Assumptions'!$A$40:$A$42,0))*INDEX('Model Inputs &amp; Assumptions'!$H$40:$H$42,MATCH('Model Inputs &amp; Assumptions'!$L$29,'Model Inputs &amp; Assumptions'!$A$40:$A$42,0))</f>
        <v>6731.42928044557</v>
      </c>
      <c r="L900" s="51" t="n">
        <f aca="false">IFERROR(K900/I900,0)</f>
        <v>1.03560450468393</v>
      </c>
      <c r="M900" s="49" t="n">
        <f aca="false">IFERROR(I900/H900,0)</f>
        <v>184.674747101809</v>
      </c>
      <c r="N900" s="52" t="str">
        <f aca="false">'Model Inputs &amp; Assumptions'!$L$29</f>
        <v>PRD-EUAI</v>
      </c>
      <c r="P900" s="53" t="n">
        <v>-0.408066</v>
      </c>
      <c r="Q900" s="53" t="n">
        <v>0.382493</v>
      </c>
      <c r="R900" s="53" t="n">
        <v>-0.549932</v>
      </c>
      <c r="S900" s="53" t="n">
        <v>1.708829</v>
      </c>
    </row>
    <row r="901" customFormat="false" ht="15" hidden="false" customHeight="false" outlineLevel="0" collapsed="false">
      <c r="A901" s="43" t="n">
        <v>398</v>
      </c>
      <c r="B901" s="44" t="str">
        <f aca="false">'Model Inputs &amp; Assumptions'!$B$29</f>
        <v>Handelsblatt — Native Explainer</v>
      </c>
      <c r="C901" s="45" t="n">
        <f aca="false">ROUND(MAX(0,'Model Inputs &amp; Assumptions'!$S$29*EXP('Model Inputs &amp; Assumptions'!$T$29*P901-'Model Inputs &amp; Assumptions'!$T$29^2/2)),0)</f>
        <v>131625</v>
      </c>
      <c r="D901" s="46" t="n">
        <f aca="false">MIN(1,'Model Inputs &amp; Assumptions'!$U$29*EXP('Model Inputs &amp; Assumptions'!$V$29*Q901-'Model Inputs &amp; Assumptions'!$V$29^2/2))</f>
        <v>0</v>
      </c>
      <c r="E901" s="45" t="n">
        <f aca="false">ROUND(C901*D901,0)</f>
        <v>0</v>
      </c>
      <c r="F901" s="47" t="n">
        <f aca="false">MIN(1,'Model Inputs &amp; Assumptions'!$W$29*EXP('Model Inputs &amp; Assumptions'!$X$29*R901-'Model Inputs &amp; Assumptions'!$X$29^2/2))</f>
        <v>0.00284247473647363</v>
      </c>
      <c r="G901" s="45" t="n">
        <f aca="false">ROUND(C901*F901,0)</f>
        <v>374</v>
      </c>
      <c r="H901" s="48" t="n">
        <f aca="false">MAX(0,(C901*'Model Inputs &amp; Assumptions'!$N$29+E901*'Model Inputs &amp; Assumptions'!$O$29+G901*'Model Inputs &amp; Assumptions'!$P$29)*EXP('Model Inputs &amp; Assumptions'!$Q$29*S901-'Model Inputs &amp; Assumptions'!$Q$29^2/2))</f>
        <v>10.4664324212524</v>
      </c>
      <c r="I901" s="49" t="n">
        <f aca="false">IF('Model Inputs &amp; Assumptions'!$H$29="Fixed",'Model Inputs &amp; Assumptions'!$I$29*'Model Inputs &amp; Assumptions'!$K$29,IF('Model Inputs &amp; Assumptions'!$H$29="CPM",'Model Inputs &amp; Assumptions'!$I$29*'Model Inputs &amp; Assumptions'!$K$29*C901/1000,IF('Model Inputs &amp; Assumptions'!$H$29="CPC",'Model Inputs &amp; Assumptions'!$I$29*'Model Inputs &amp; Assumptions'!$K$29*G901,0)))</f>
        <v>6500</v>
      </c>
      <c r="J901" s="50" t="n">
        <f aca="false">H901*INDEX('Model Inputs &amp; Assumptions'!$D$40:$D$42,MATCH('Model Inputs &amp; Assumptions'!$L$29,'Model Inputs &amp; Assumptions'!$A$40:$A$42,0))*INDEX('Model Inputs &amp; Assumptions'!$H$40:$H$42,MATCH('Model Inputs &amp; Assumptions'!$L$29,'Model Inputs &amp; Assumptions'!$A$40:$A$42,0))</f>
        <v>88964.6755806457</v>
      </c>
      <c r="K901" s="49" t="n">
        <f aca="false">H901*INDEX('Model Inputs &amp; Assumptions'!$G$40:$G$42,MATCH('Model Inputs &amp; Assumptions'!$L$29,'Model Inputs &amp; Assumptions'!$A$40:$A$42,0))*INDEX('Model Inputs &amp; Assumptions'!$H$40:$H$42,MATCH('Model Inputs &amp; Assumptions'!$L$29,'Model Inputs &amp; Assumptions'!$A$40:$A$42,0))</f>
        <v>2001.70520056453</v>
      </c>
      <c r="L901" s="51" t="n">
        <f aca="false">IFERROR(K901/I901,0)</f>
        <v>0.307954646240697</v>
      </c>
      <c r="M901" s="49" t="n">
        <f aca="false">IFERROR(I901/H901,0)</f>
        <v>621.033007082866</v>
      </c>
      <c r="N901" s="52" t="str">
        <f aca="false">'Model Inputs &amp; Assumptions'!$L$29</f>
        <v>PRD-EUAI</v>
      </c>
      <c r="P901" s="53" t="n">
        <v>-1.745947</v>
      </c>
      <c r="Q901" s="53" t="n">
        <v>-0.051218</v>
      </c>
      <c r="R901" s="53" t="n">
        <v>-0.046881</v>
      </c>
      <c r="S901" s="53" t="n">
        <v>-1.784501</v>
      </c>
    </row>
    <row r="902" customFormat="false" ht="15" hidden="false" customHeight="false" outlineLevel="0" collapsed="false">
      <c r="A902" s="43" t="n">
        <v>399</v>
      </c>
      <c r="B902" s="44" t="str">
        <f aca="false">'Model Inputs &amp; Assumptions'!$B$29</f>
        <v>Handelsblatt — Native Explainer</v>
      </c>
      <c r="C902" s="45" t="n">
        <f aca="false">ROUND(MAX(0,'Model Inputs &amp; Assumptions'!$S$29*EXP('Model Inputs &amp; Assumptions'!$T$29*P902-'Model Inputs &amp; Assumptions'!$T$29^2/2)),0)</f>
        <v>175769</v>
      </c>
      <c r="D902" s="46" t="n">
        <f aca="false">MIN(1,'Model Inputs &amp; Assumptions'!$U$29*EXP('Model Inputs &amp; Assumptions'!$V$29*Q902-'Model Inputs &amp; Assumptions'!$V$29^2/2))</f>
        <v>0</v>
      </c>
      <c r="E902" s="45" t="n">
        <f aca="false">ROUND(C902*D902,0)</f>
        <v>0</v>
      </c>
      <c r="F902" s="47" t="n">
        <f aca="false">MIN(1,'Model Inputs &amp; Assumptions'!$W$29*EXP('Model Inputs &amp; Assumptions'!$X$29*R902-'Model Inputs &amp; Assumptions'!$X$29^2/2))</f>
        <v>0.00292665326209582</v>
      </c>
      <c r="G902" s="45" t="n">
        <f aca="false">ROUND(C902*F902,0)</f>
        <v>514</v>
      </c>
      <c r="H902" s="48" t="n">
        <f aca="false">MAX(0,(C902*'Model Inputs &amp; Assumptions'!$N$29+E902*'Model Inputs &amp; Assumptions'!$O$29+G902*'Model Inputs &amp; Assumptions'!$P$29)*EXP('Model Inputs &amp; Assumptions'!$Q$29*S902-'Model Inputs &amp; Assumptions'!$Q$29^2/2))</f>
        <v>30.2452846171419</v>
      </c>
      <c r="I902" s="49" t="n">
        <f aca="false">IF('Model Inputs &amp; Assumptions'!$H$29="Fixed",'Model Inputs &amp; Assumptions'!$I$29*'Model Inputs &amp; Assumptions'!$K$29,IF('Model Inputs &amp; Assumptions'!$H$29="CPM",'Model Inputs &amp; Assumptions'!$I$29*'Model Inputs &amp; Assumptions'!$K$29*C902/1000,IF('Model Inputs &amp; Assumptions'!$H$29="CPC",'Model Inputs &amp; Assumptions'!$I$29*'Model Inputs &amp; Assumptions'!$K$29*G902,0)))</f>
        <v>6500</v>
      </c>
      <c r="J902" s="50" t="n">
        <f aca="false">H902*INDEX('Model Inputs &amp; Assumptions'!$D$40:$D$42,MATCH('Model Inputs &amp; Assumptions'!$L$29,'Model Inputs &amp; Assumptions'!$A$40:$A$42,0))*INDEX('Model Inputs &amp; Assumptions'!$H$40:$H$42,MATCH('Model Inputs &amp; Assumptions'!$L$29,'Model Inputs &amp; Assumptions'!$A$40:$A$42,0))</f>
        <v>257084.919245706</v>
      </c>
      <c r="K902" s="49" t="n">
        <f aca="false">H902*INDEX('Model Inputs &amp; Assumptions'!$G$40:$G$42,MATCH('Model Inputs &amp; Assumptions'!$L$29,'Model Inputs &amp; Assumptions'!$A$40:$A$42,0))*INDEX('Model Inputs &amp; Assumptions'!$H$40:$H$42,MATCH('Model Inputs &amp; Assumptions'!$L$29,'Model Inputs &amp; Assumptions'!$A$40:$A$42,0))</f>
        <v>5784.41068302839</v>
      </c>
      <c r="L902" s="51" t="n">
        <f aca="false">IFERROR(K902/I902,0)</f>
        <v>0.889909335850522</v>
      </c>
      <c r="M902" s="49" t="n">
        <f aca="false">IFERROR(I902/H902,0)</f>
        <v>214.909533247243</v>
      </c>
      <c r="N902" s="52" t="str">
        <f aca="false">'Model Inputs &amp; Assumptions'!$L$29</f>
        <v>PRD-EUAI</v>
      </c>
      <c r="P902" s="53" t="n">
        <v>-0.431352</v>
      </c>
      <c r="Q902" s="53" t="n">
        <v>0.901173</v>
      </c>
      <c r="R902" s="53" t="n">
        <v>0.065367</v>
      </c>
      <c r="S902" s="53" t="n">
        <v>0.692831</v>
      </c>
    </row>
    <row r="903" customFormat="false" ht="15" hidden="false" customHeight="false" outlineLevel="0" collapsed="false">
      <c r="A903" s="43" t="n">
        <v>400</v>
      </c>
      <c r="B903" s="44" t="str">
        <f aca="false">'Model Inputs &amp; Assumptions'!$B$29</f>
        <v>Handelsblatt — Native Explainer</v>
      </c>
      <c r="C903" s="45" t="n">
        <f aca="false">ROUND(MAX(0,'Model Inputs &amp; Assumptions'!$S$29*EXP('Model Inputs &amp; Assumptions'!$T$29*P903-'Model Inputs &amp; Assumptions'!$T$29^2/2)),0)</f>
        <v>197739</v>
      </c>
      <c r="D903" s="46" t="n">
        <f aca="false">MIN(1,'Model Inputs &amp; Assumptions'!$U$29*EXP('Model Inputs &amp; Assumptions'!$V$29*Q903-'Model Inputs &amp; Assumptions'!$V$29^2/2))</f>
        <v>0</v>
      </c>
      <c r="E903" s="45" t="n">
        <f aca="false">ROUND(C903*D903,0)</f>
        <v>0</v>
      </c>
      <c r="F903" s="47" t="n">
        <f aca="false">MIN(1,'Model Inputs &amp; Assumptions'!$W$29*EXP('Model Inputs &amp; Assumptions'!$X$29*R903-'Model Inputs &amp; Assumptions'!$X$29^2/2))</f>
        <v>0.00240397163812623</v>
      </c>
      <c r="G903" s="45" t="n">
        <f aca="false">ROUND(C903*F903,0)</f>
        <v>475</v>
      </c>
      <c r="H903" s="48" t="n">
        <f aca="false">MAX(0,(C903*'Model Inputs &amp; Assumptions'!$N$29+E903*'Model Inputs &amp; Assumptions'!$O$29+G903*'Model Inputs &amp; Assumptions'!$P$29)*EXP('Model Inputs &amp; Assumptions'!$Q$29*S903-'Model Inputs &amp; Assumptions'!$Q$29^2/2))</f>
        <v>32.8600367332789</v>
      </c>
      <c r="I903" s="49" t="n">
        <f aca="false">IF('Model Inputs &amp; Assumptions'!$H$29="Fixed",'Model Inputs &amp; Assumptions'!$I$29*'Model Inputs &amp; Assumptions'!$K$29,IF('Model Inputs &amp; Assumptions'!$H$29="CPM",'Model Inputs &amp; Assumptions'!$I$29*'Model Inputs &amp; Assumptions'!$K$29*C903/1000,IF('Model Inputs &amp; Assumptions'!$H$29="CPC",'Model Inputs &amp; Assumptions'!$I$29*'Model Inputs &amp; Assumptions'!$K$29*G903,0)))</f>
        <v>6500</v>
      </c>
      <c r="J903" s="50" t="n">
        <f aca="false">H903*INDEX('Model Inputs &amp; Assumptions'!$D$40:$D$42,MATCH('Model Inputs &amp; Assumptions'!$L$29,'Model Inputs &amp; Assumptions'!$A$40:$A$42,0))*INDEX('Model Inputs &amp; Assumptions'!$H$40:$H$42,MATCH('Model Inputs &amp; Assumptions'!$L$29,'Model Inputs &amp; Assumptions'!$A$40:$A$42,0))</f>
        <v>279310.312232871</v>
      </c>
      <c r="K903" s="49" t="n">
        <f aca="false">H903*INDEX('Model Inputs &amp; Assumptions'!$G$40:$G$42,MATCH('Model Inputs &amp; Assumptions'!$L$29,'Model Inputs &amp; Assumptions'!$A$40:$A$42,0))*INDEX('Model Inputs &amp; Assumptions'!$H$40:$H$42,MATCH('Model Inputs &amp; Assumptions'!$L$29,'Model Inputs &amp; Assumptions'!$A$40:$A$42,0))</f>
        <v>6284.4820252396</v>
      </c>
      <c r="L903" s="51" t="n">
        <f aca="false">IFERROR(K903/I903,0)</f>
        <v>0.9668433884984</v>
      </c>
      <c r="M903" s="49" t="n">
        <f aca="false">IFERROR(I903/H903,0)</f>
        <v>197.808665059012</v>
      </c>
      <c r="N903" s="52" t="str">
        <f aca="false">'Model Inputs &amp; Assumptions'!$L$29</f>
        <v>PRD-EUAI</v>
      </c>
      <c r="P903" s="53" t="n">
        <v>0.104009</v>
      </c>
      <c r="Q903" s="53" t="n">
        <v>-1.768492</v>
      </c>
      <c r="R903" s="53" t="n">
        <v>-0.691315</v>
      </c>
      <c r="S903" s="53" t="n">
        <v>1.232249</v>
      </c>
    </row>
    <row r="904" customFormat="false" ht="15" hidden="false" customHeight="false" outlineLevel="0" collapsed="false">
      <c r="A904" s="43" t="n">
        <v>401</v>
      </c>
      <c r="B904" s="44" t="str">
        <f aca="false">'Model Inputs &amp; Assumptions'!$B$29</f>
        <v>Handelsblatt — Native Explainer</v>
      </c>
      <c r="C904" s="45" t="n">
        <f aca="false">ROUND(MAX(0,'Model Inputs &amp; Assumptions'!$S$29*EXP('Model Inputs &amp; Assumptions'!$T$29*P904-'Model Inputs &amp; Assumptions'!$T$29^2/2)),0)</f>
        <v>183381</v>
      </c>
      <c r="D904" s="46" t="n">
        <f aca="false">MIN(1,'Model Inputs &amp; Assumptions'!$U$29*EXP('Model Inputs &amp; Assumptions'!$V$29*Q904-'Model Inputs &amp; Assumptions'!$V$29^2/2))</f>
        <v>0</v>
      </c>
      <c r="E904" s="45" t="n">
        <f aca="false">ROUND(C904*D904,0)</f>
        <v>0</v>
      </c>
      <c r="F904" s="47" t="n">
        <f aca="false">MIN(1,'Model Inputs &amp; Assumptions'!$W$29*EXP('Model Inputs &amp; Assumptions'!$X$29*R904-'Model Inputs &amp; Assumptions'!$X$29^2/2))</f>
        <v>0.00265426260747163</v>
      </c>
      <c r="G904" s="45" t="n">
        <f aca="false">ROUND(C904*F904,0)</f>
        <v>487</v>
      </c>
      <c r="H904" s="48" t="n">
        <f aca="false">MAX(0,(C904*'Model Inputs &amp; Assumptions'!$N$29+E904*'Model Inputs &amp; Assumptions'!$O$29+G904*'Model Inputs &amp; Assumptions'!$P$29)*EXP('Model Inputs &amp; Assumptions'!$Q$29*S904-'Model Inputs &amp; Assumptions'!$Q$29^2/2))</f>
        <v>23.8813937014487</v>
      </c>
      <c r="I904" s="49" t="n">
        <f aca="false">IF('Model Inputs &amp; Assumptions'!$H$29="Fixed",'Model Inputs &amp; Assumptions'!$I$29*'Model Inputs &amp; Assumptions'!$K$29,IF('Model Inputs &amp; Assumptions'!$H$29="CPM",'Model Inputs &amp; Assumptions'!$I$29*'Model Inputs &amp; Assumptions'!$K$29*C904/1000,IF('Model Inputs &amp; Assumptions'!$H$29="CPC",'Model Inputs &amp; Assumptions'!$I$29*'Model Inputs &amp; Assumptions'!$K$29*G904,0)))</f>
        <v>6500</v>
      </c>
      <c r="J904" s="50" t="n">
        <f aca="false">H904*INDEX('Model Inputs &amp; Assumptions'!$D$40:$D$42,MATCH('Model Inputs &amp; Assumptions'!$L$29,'Model Inputs &amp; Assumptions'!$A$40:$A$42,0))*INDEX('Model Inputs &amp; Assumptions'!$H$40:$H$42,MATCH('Model Inputs &amp; Assumptions'!$L$29,'Model Inputs &amp; Assumptions'!$A$40:$A$42,0))</f>
        <v>202991.846462314</v>
      </c>
      <c r="K904" s="49" t="n">
        <f aca="false">H904*INDEX('Model Inputs &amp; Assumptions'!$G$40:$G$42,MATCH('Model Inputs &amp; Assumptions'!$L$29,'Model Inputs &amp; Assumptions'!$A$40:$A$42,0))*INDEX('Model Inputs &amp; Assumptions'!$H$40:$H$42,MATCH('Model Inputs &amp; Assumptions'!$L$29,'Model Inputs &amp; Assumptions'!$A$40:$A$42,0))</f>
        <v>4567.31654540207</v>
      </c>
      <c r="L904" s="51" t="n">
        <f aca="false">IFERROR(K904/I904,0)</f>
        <v>0.702664083908011</v>
      </c>
      <c r="M904" s="49" t="n">
        <f aca="false">IFERROR(I904/H904,0)</f>
        <v>272.178419788192</v>
      </c>
      <c r="N904" s="52" t="str">
        <f aca="false">'Model Inputs &amp; Assumptions'!$L$29</f>
        <v>PRD-EUAI</v>
      </c>
      <c r="P904" s="53" t="n">
        <v>-0.23864</v>
      </c>
      <c r="Q904" s="53" t="n">
        <v>-0.809237</v>
      </c>
      <c r="R904" s="53" t="n">
        <v>-0.310374</v>
      </c>
      <c r="S904" s="53" t="n">
        <v>0.085226</v>
      </c>
    </row>
    <row r="905" customFormat="false" ht="15" hidden="false" customHeight="false" outlineLevel="0" collapsed="false">
      <c r="A905" s="43" t="n">
        <v>402</v>
      </c>
      <c r="B905" s="44" t="str">
        <f aca="false">'Model Inputs &amp; Assumptions'!$B$29</f>
        <v>Handelsblatt — Native Explainer</v>
      </c>
      <c r="C905" s="45" t="n">
        <f aca="false">ROUND(MAX(0,'Model Inputs &amp; Assumptions'!$S$29*EXP('Model Inputs &amp; Assumptions'!$T$29*P905-'Model Inputs &amp; Assumptions'!$T$29^2/2)),0)</f>
        <v>136526</v>
      </c>
      <c r="D905" s="46" t="n">
        <f aca="false">MIN(1,'Model Inputs &amp; Assumptions'!$U$29*EXP('Model Inputs &amp; Assumptions'!$V$29*Q905-'Model Inputs &amp; Assumptions'!$V$29^2/2))</f>
        <v>0</v>
      </c>
      <c r="E905" s="45" t="n">
        <f aca="false">ROUND(C905*D905,0)</f>
        <v>0</v>
      </c>
      <c r="F905" s="47" t="n">
        <f aca="false">MIN(1,'Model Inputs &amp; Assumptions'!$W$29*EXP('Model Inputs &amp; Assumptions'!$X$29*R905-'Model Inputs &amp; Assumptions'!$X$29^2/2))</f>
        <v>0.00234928108204677</v>
      </c>
      <c r="G905" s="45" t="n">
        <f aca="false">ROUND(C905*F905,0)</f>
        <v>321</v>
      </c>
      <c r="H905" s="48" t="n">
        <f aca="false">MAX(0,(C905*'Model Inputs &amp; Assumptions'!$N$29+E905*'Model Inputs &amp; Assumptions'!$O$29+G905*'Model Inputs &amp; Assumptions'!$P$29)*EXP('Model Inputs &amp; Assumptions'!$Q$29*S905-'Model Inputs &amp; Assumptions'!$Q$29^2/2))</f>
        <v>15.3819300880638</v>
      </c>
      <c r="I905" s="49" t="n">
        <f aca="false">IF('Model Inputs &amp; Assumptions'!$H$29="Fixed",'Model Inputs &amp; Assumptions'!$I$29*'Model Inputs &amp; Assumptions'!$K$29,IF('Model Inputs &amp; Assumptions'!$H$29="CPM",'Model Inputs &amp; Assumptions'!$I$29*'Model Inputs &amp; Assumptions'!$K$29*C905/1000,IF('Model Inputs &amp; Assumptions'!$H$29="CPC",'Model Inputs &amp; Assumptions'!$I$29*'Model Inputs &amp; Assumptions'!$K$29*G905,0)))</f>
        <v>6500</v>
      </c>
      <c r="J905" s="50" t="n">
        <f aca="false">H905*INDEX('Model Inputs &amp; Assumptions'!$D$40:$D$42,MATCH('Model Inputs &amp; Assumptions'!$L$29,'Model Inputs &amp; Assumptions'!$A$40:$A$42,0))*INDEX('Model Inputs &amp; Assumptions'!$H$40:$H$42,MATCH('Model Inputs &amp; Assumptions'!$L$29,'Model Inputs &amp; Assumptions'!$A$40:$A$42,0))</f>
        <v>130746.405748543</v>
      </c>
      <c r="K905" s="49" t="n">
        <f aca="false">H905*INDEX('Model Inputs &amp; Assumptions'!$G$40:$G$42,MATCH('Model Inputs &amp; Assumptions'!$L$29,'Model Inputs &amp; Assumptions'!$A$40:$A$42,0))*INDEX('Model Inputs &amp; Assumptions'!$H$40:$H$42,MATCH('Model Inputs &amp; Assumptions'!$L$29,'Model Inputs &amp; Assumptions'!$A$40:$A$42,0))</f>
        <v>2941.79412934221</v>
      </c>
      <c r="L905" s="51" t="n">
        <f aca="false">IFERROR(K905/I905,0)</f>
        <v>0.452583712206494</v>
      </c>
      <c r="M905" s="49" t="n">
        <f aca="false">IFERROR(I905/H905,0)</f>
        <v>422.573757830554</v>
      </c>
      <c r="N905" s="52" t="str">
        <f aca="false">'Model Inputs &amp; Assumptions'!$L$29</f>
        <v>PRD-EUAI</v>
      </c>
      <c r="P905" s="53" t="n">
        <v>-1.579777</v>
      </c>
      <c r="Q905" s="53" t="n">
        <v>0.477214</v>
      </c>
      <c r="R905" s="53" t="n">
        <v>-0.779826</v>
      </c>
      <c r="S905" s="53" t="n">
        <v>0.008282</v>
      </c>
    </row>
    <row r="906" customFormat="false" ht="15" hidden="false" customHeight="false" outlineLevel="0" collapsed="false">
      <c r="A906" s="43" t="n">
        <v>403</v>
      </c>
      <c r="B906" s="44" t="str">
        <f aca="false">'Model Inputs &amp; Assumptions'!$B$29</f>
        <v>Handelsblatt — Native Explainer</v>
      </c>
      <c r="C906" s="45" t="n">
        <f aca="false">ROUND(MAX(0,'Model Inputs &amp; Assumptions'!$S$29*EXP('Model Inputs &amp; Assumptions'!$T$29*P906-'Model Inputs &amp; Assumptions'!$T$29^2/2)),0)</f>
        <v>216956</v>
      </c>
      <c r="D906" s="46" t="n">
        <f aca="false">MIN(1,'Model Inputs &amp; Assumptions'!$U$29*EXP('Model Inputs &amp; Assumptions'!$V$29*Q906-'Model Inputs &amp; Assumptions'!$V$29^2/2))</f>
        <v>0</v>
      </c>
      <c r="E906" s="45" t="n">
        <f aca="false">ROUND(C906*D906,0)</f>
        <v>0</v>
      </c>
      <c r="F906" s="47" t="n">
        <f aca="false">MIN(1,'Model Inputs &amp; Assumptions'!$W$29*EXP('Model Inputs &amp; Assumptions'!$X$29*R906-'Model Inputs &amp; Assumptions'!$X$29^2/2))</f>
        <v>0.00598917000339157</v>
      </c>
      <c r="G906" s="45" t="n">
        <f aca="false">ROUND(C906*F906,0)</f>
        <v>1299</v>
      </c>
      <c r="H906" s="48" t="n">
        <f aca="false">MAX(0,(C906*'Model Inputs &amp; Assumptions'!$N$29+E906*'Model Inputs &amp; Assumptions'!$O$29+G906*'Model Inputs &amp; Assumptions'!$P$29)*EXP('Model Inputs &amp; Assumptions'!$Q$29*S906-'Model Inputs &amp; Assumptions'!$Q$29^2/2))</f>
        <v>65.5370310951494</v>
      </c>
      <c r="I906" s="49" t="n">
        <f aca="false">IF('Model Inputs &amp; Assumptions'!$H$29="Fixed",'Model Inputs &amp; Assumptions'!$I$29*'Model Inputs &amp; Assumptions'!$K$29,IF('Model Inputs &amp; Assumptions'!$H$29="CPM",'Model Inputs &amp; Assumptions'!$I$29*'Model Inputs &amp; Assumptions'!$K$29*C906/1000,IF('Model Inputs &amp; Assumptions'!$H$29="CPC",'Model Inputs &amp; Assumptions'!$I$29*'Model Inputs &amp; Assumptions'!$K$29*G906,0)))</f>
        <v>6500</v>
      </c>
      <c r="J906" s="50" t="n">
        <f aca="false">H906*INDEX('Model Inputs &amp; Assumptions'!$D$40:$D$42,MATCH('Model Inputs &amp; Assumptions'!$L$29,'Model Inputs &amp; Assumptions'!$A$40:$A$42,0))*INDEX('Model Inputs &amp; Assumptions'!$H$40:$H$42,MATCH('Model Inputs &amp; Assumptions'!$L$29,'Model Inputs &amp; Assumptions'!$A$40:$A$42,0))</f>
        <v>557064.76430877</v>
      </c>
      <c r="K906" s="49" t="n">
        <f aca="false">H906*INDEX('Model Inputs &amp; Assumptions'!$G$40:$G$42,MATCH('Model Inputs &amp; Assumptions'!$L$29,'Model Inputs &amp; Assumptions'!$A$40:$A$42,0))*INDEX('Model Inputs &amp; Assumptions'!$H$40:$H$42,MATCH('Model Inputs &amp; Assumptions'!$L$29,'Model Inputs &amp; Assumptions'!$A$40:$A$42,0))</f>
        <v>12533.9571969473</v>
      </c>
      <c r="L906" s="51" t="n">
        <f aca="false">IFERROR(K906/I906,0)</f>
        <v>1.92830110722266</v>
      </c>
      <c r="M906" s="49" t="n">
        <f aca="false">IFERROR(I906/H906,0)</f>
        <v>99.1805684722433</v>
      </c>
      <c r="N906" s="52" t="str">
        <f aca="false">'Model Inputs &amp; Assumptions'!$L$29</f>
        <v>PRD-EUAI</v>
      </c>
      <c r="P906" s="53" t="n">
        <v>0.52558</v>
      </c>
      <c r="Q906" s="53" t="n">
        <v>0.287005</v>
      </c>
      <c r="R906" s="53" t="n">
        <v>2.819572</v>
      </c>
      <c r="S906" s="53" t="n">
        <v>0.179992</v>
      </c>
    </row>
    <row r="907" customFormat="false" ht="15" hidden="false" customHeight="false" outlineLevel="0" collapsed="false">
      <c r="A907" s="43" t="n">
        <v>404</v>
      </c>
      <c r="B907" s="44" t="str">
        <f aca="false">'Model Inputs &amp; Assumptions'!$B$29</f>
        <v>Handelsblatt — Native Explainer</v>
      </c>
      <c r="C907" s="45" t="n">
        <f aca="false">ROUND(MAX(0,'Model Inputs &amp; Assumptions'!$S$29*EXP('Model Inputs &amp; Assumptions'!$T$29*P907-'Model Inputs &amp; Assumptions'!$T$29^2/2)),0)</f>
        <v>136737</v>
      </c>
      <c r="D907" s="46" t="n">
        <f aca="false">MIN(1,'Model Inputs &amp; Assumptions'!$U$29*EXP('Model Inputs &amp; Assumptions'!$V$29*Q907-'Model Inputs &amp; Assumptions'!$V$29^2/2))</f>
        <v>0</v>
      </c>
      <c r="E907" s="45" t="n">
        <f aca="false">ROUND(C907*D907,0)</f>
        <v>0</v>
      </c>
      <c r="F907" s="47" t="n">
        <f aca="false">MIN(1,'Model Inputs &amp; Assumptions'!$W$29*EXP('Model Inputs &amp; Assumptions'!$X$29*R907-'Model Inputs &amp; Assumptions'!$X$29^2/2))</f>
        <v>0.00537097082424658</v>
      </c>
      <c r="G907" s="45" t="n">
        <f aca="false">ROUND(C907*F907,0)</f>
        <v>734</v>
      </c>
      <c r="H907" s="48" t="n">
        <f aca="false">MAX(0,(C907*'Model Inputs &amp; Assumptions'!$N$29+E907*'Model Inputs &amp; Assumptions'!$O$29+G907*'Model Inputs &amp; Assumptions'!$P$29)*EXP('Model Inputs &amp; Assumptions'!$Q$29*S907-'Model Inputs &amp; Assumptions'!$Q$29^2/2))</f>
        <v>40.3069074520516</v>
      </c>
      <c r="I907" s="49" t="n">
        <f aca="false">IF('Model Inputs &amp; Assumptions'!$H$29="Fixed",'Model Inputs &amp; Assumptions'!$I$29*'Model Inputs &amp; Assumptions'!$K$29,IF('Model Inputs &amp; Assumptions'!$H$29="CPM",'Model Inputs &amp; Assumptions'!$I$29*'Model Inputs &amp; Assumptions'!$K$29*C907/1000,IF('Model Inputs &amp; Assumptions'!$H$29="CPC",'Model Inputs &amp; Assumptions'!$I$29*'Model Inputs &amp; Assumptions'!$K$29*G907,0)))</f>
        <v>6500</v>
      </c>
      <c r="J907" s="50" t="n">
        <f aca="false">H907*INDEX('Model Inputs &amp; Assumptions'!$D$40:$D$42,MATCH('Model Inputs &amp; Assumptions'!$L$29,'Model Inputs &amp; Assumptions'!$A$40:$A$42,0))*INDEX('Model Inputs &amp; Assumptions'!$H$40:$H$42,MATCH('Model Inputs &amp; Assumptions'!$L$29,'Model Inputs &amp; Assumptions'!$A$40:$A$42,0))</f>
        <v>342608.713342439</v>
      </c>
      <c r="K907" s="49" t="n">
        <f aca="false">H907*INDEX('Model Inputs &amp; Assumptions'!$G$40:$G$42,MATCH('Model Inputs &amp; Assumptions'!$L$29,'Model Inputs &amp; Assumptions'!$A$40:$A$42,0))*INDEX('Model Inputs &amp; Assumptions'!$H$40:$H$42,MATCH('Model Inputs &amp; Assumptions'!$L$29,'Model Inputs &amp; Assumptions'!$A$40:$A$42,0))</f>
        <v>7708.69605020487</v>
      </c>
      <c r="L907" s="51" t="n">
        <f aca="false">IFERROR(K907/I907,0)</f>
        <v>1.18595323849306</v>
      </c>
      <c r="M907" s="49" t="n">
        <f aca="false">IFERROR(I907/H907,0)</f>
        <v>161.262682028689</v>
      </c>
      <c r="N907" s="52" t="str">
        <f aca="false">'Model Inputs &amp; Assumptions'!$L$29</f>
        <v>PRD-EUAI</v>
      </c>
      <c r="P907" s="53" t="n">
        <v>-1.572773</v>
      </c>
      <c r="Q907" s="53" t="n">
        <v>-0.162642</v>
      </c>
      <c r="R907" s="53" t="n">
        <v>2.400556</v>
      </c>
      <c r="S907" s="53" t="n">
        <v>0.462487</v>
      </c>
    </row>
    <row r="908" customFormat="false" ht="15" hidden="false" customHeight="false" outlineLevel="0" collapsed="false">
      <c r="A908" s="43" t="n">
        <v>405</v>
      </c>
      <c r="B908" s="44" t="str">
        <f aca="false">'Model Inputs &amp; Assumptions'!$B$29</f>
        <v>Handelsblatt — Native Explainer</v>
      </c>
      <c r="C908" s="45" t="n">
        <f aca="false">ROUND(MAX(0,'Model Inputs &amp; Assumptions'!$S$29*EXP('Model Inputs &amp; Assumptions'!$T$29*P908-'Model Inputs &amp; Assumptions'!$T$29^2/2)),0)</f>
        <v>206324</v>
      </c>
      <c r="D908" s="46" t="n">
        <f aca="false">MIN(1,'Model Inputs &amp; Assumptions'!$U$29*EXP('Model Inputs &amp; Assumptions'!$V$29*Q908-'Model Inputs &amp; Assumptions'!$V$29^2/2))</f>
        <v>0</v>
      </c>
      <c r="E908" s="45" t="n">
        <f aca="false">ROUND(C908*D908,0)</f>
        <v>0</v>
      </c>
      <c r="F908" s="47" t="n">
        <f aca="false">MIN(1,'Model Inputs &amp; Assumptions'!$W$29*EXP('Model Inputs &amp; Assumptions'!$X$29*R908-'Model Inputs &amp; Assumptions'!$X$29^2/2))</f>
        <v>0.00259348948081028</v>
      </c>
      <c r="G908" s="45" t="n">
        <f aca="false">ROUND(C908*F908,0)</f>
        <v>535</v>
      </c>
      <c r="H908" s="48" t="n">
        <f aca="false">MAX(0,(C908*'Model Inputs &amp; Assumptions'!$N$29+E908*'Model Inputs &amp; Assumptions'!$O$29+G908*'Model Inputs &amp; Assumptions'!$P$29)*EXP('Model Inputs &amp; Assumptions'!$Q$29*S908-'Model Inputs &amp; Assumptions'!$Q$29^2/2))</f>
        <v>22.5902765679479</v>
      </c>
      <c r="I908" s="49" t="n">
        <f aca="false">IF('Model Inputs &amp; Assumptions'!$H$29="Fixed",'Model Inputs &amp; Assumptions'!$I$29*'Model Inputs &amp; Assumptions'!$K$29,IF('Model Inputs &amp; Assumptions'!$H$29="CPM",'Model Inputs &amp; Assumptions'!$I$29*'Model Inputs &amp; Assumptions'!$K$29*C908/1000,IF('Model Inputs &amp; Assumptions'!$H$29="CPC",'Model Inputs &amp; Assumptions'!$I$29*'Model Inputs &amp; Assumptions'!$K$29*G908,0)))</f>
        <v>6500</v>
      </c>
      <c r="J908" s="50" t="n">
        <f aca="false">H908*INDEX('Model Inputs &amp; Assumptions'!$D$40:$D$42,MATCH('Model Inputs &amp; Assumptions'!$L$29,'Model Inputs &amp; Assumptions'!$A$40:$A$42,0))*INDEX('Model Inputs &amp; Assumptions'!$H$40:$H$42,MATCH('Model Inputs &amp; Assumptions'!$L$29,'Model Inputs &amp; Assumptions'!$A$40:$A$42,0))</f>
        <v>192017.350827557</v>
      </c>
      <c r="K908" s="49" t="n">
        <f aca="false">H908*INDEX('Model Inputs &amp; Assumptions'!$G$40:$G$42,MATCH('Model Inputs &amp; Assumptions'!$L$29,'Model Inputs &amp; Assumptions'!$A$40:$A$42,0))*INDEX('Model Inputs &amp; Assumptions'!$H$40:$H$42,MATCH('Model Inputs &amp; Assumptions'!$L$29,'Model Inputs &amp; Assumptions'!$A$40:$A$42,0))</f>
        <v>4320.39039362004</v>
      </c>
      <c r="L908" s="51" t="n">
        <f aca="false">IFERROR(K908/I908,0)</f>
        <v>0.664675445172314</v>
      </c>
      <c r="M908" s="49" t="n">
        <f aca="false">IFERROR(I908/H908,0)</f>
        <v>287.734414426005</v>
      </c>
      <c r="N908" s="52" t="str">
        <f aca="false">'Model Inputs &amp; Assumptions'!$L$29</f>
        <v>PRD-EUAI</v>
      </c>
      <c r="P908" s="53" t="n">
        <v>0.297188</v>
      </c>
      <c r="Q908" s="53" t="n">
        <v>-0.92626</v>
      </c>
      <c r="R908" s="53" t="n">
        <v>-0.399461</v>
      </c>
      <c r="S908" s="53" t="n">
        <v>-0.413383</v>
      </c>
    </row>
    <row r="909" customFormat="false" ht="15" hidden="false" customHeight="false" outlineLevel="0" collapsed="false">
      <c r="A909" s="43" t="n">
        <v>406</v>
      </c>
      <c r="B909" s="44" t="str">
        <f aca="false">'Model Inputs &amp; Assumptions'!$B$29</f>
        <v>Handelsblatt — Native Explainer</v>
      </c>
      <c r="C909" s="45" t="n">
        <f aca="false">ROUND(MAX(0,'Model Inputs &amp; Assumptions'!$S$29*EXP('Model Inputs &amp; Assumptions'!$T$29*P909-'Model Inputs &amp; Assumptions'!$T$29^2/2)),0)</f>
        <v>223195</v>
      </c>
      <c r="D909" s="46" t="n">
        <f aca="false">MIN(1,'Model Inputs &amp; Assumptions'!$U$29*EXP('Model Inputs &amp; Assumptions'!$V$29*Q909-'Model Inputs &amp; Assumptions'!$V$29^2/2))</f>
        <v>0</v>
      </c>
      <c r="E909" s="45" t="n">
        <f aca="false">ROUND(C909*D909,0)</f>
        <v>0</v>
      </c>
      <c r="F909" s="47" t="n">
        <f aca="false">MIN(1,'Model Inputs &amp; Assumptions'!$W$29*EXP('Model Inputs &amp; Assumptions'!$X$29*R909-'Model Inputs &amp; Assumptions'!$X$29^2/2))</f>
        <v>0.00207437216915803</v>
      </c>
      <c r="G909" s="45" t="n">
        <f aca="false">ROUND(C909*F909,0)</f>
        <v>463</v>
      </c>
      <c r="H909" s="48" t="n">
        <f aca="false">MAX(0,(C909*'Model Inputs &amp; Assumptions'!$N$29+E909*'Model Inputs &amp; Assumptions'!$O$29+G909*'Model Inputs &amp; Assumptions'!$P$29)*EXP('Model Inputs &amp; Assumptions'!$Q$29*S909-'Model Inputs &amp; Assumptions'!$Q$29^2/2))</f>
        <v>15.9300614359203</v>
      </c>
      <c r="I909" s="49" t="n">
        <f aca="false">IF('Model Inputs &amp; Assumptions'!$H$29="Fixed",'Model Inputs &amp; Assumptions'!$I$29*'Model Inputs &amp; Assumptions'!$K$29,IF('Model Inputs &amp; Assumptions'!$H$29="CPM",'Model Inputs &amp; Assumptions'!$I$29*'Model Inputs &amp; Assumptions'!$K$29*C909/1000,IF('Model Inputs &amp; Assumptions'!$H$29="CPC",'Model Inputs &amp; Assumptions'!$I$29*'Model Inputs &amp; Assumptions'!$K$29*G909,0)))</f>
        <v>6500</v>
      </c>
      <c r="J909" s="50" t="n">
        <f aca="false">H909*INDEX('Model Inputs &amp; Assumptions'!$D$40:$D$42,MATCH('Model Inputs &amp; Assumptions'!$L$29,'Model Inputs &amp; Assumptions'!$A$40:$A$42,0))*INDEX('Model Inputs &amp; Assumptions'!$H$40:$H$42,MATCH('Model Inputs &amp; Assumptions'!$L$29,'Model Inputs &amp; Assumptions'!$A$40:$A$42,0))</f>
        <v>135405.522205323</v>
      </c>
      <c r="K909" s="49" t="n">
        <f aca="false">H909*INDEX('Model Inputs &amp; Assumptions'!$G$40:$G$42,MATCH('Model Inputs &amp; Assumptions'!$L$29,'Model Inputs &amp; Assumptions'!$A$40:$A$42,0))*INDEX('Model Inputs &amp; Assumptions'!$H$40:$H$42,MATCH('Model Inputs &amp; Assumptions'!$L$29,'Model Inputs &amp; Assumptions'!$A$40:$A$42,0))</f>
        <v>3046.62424961976</v>
      </c>
      <c r="L909" s="51" t="n">
        <f aca="false">IFERROR(K909/I909,0)</f>
        <v>0.468711423018425</v>
      </c>
      <c r="M909" s="49" t="n">
        <f aca="false">IFERROR(I909/H909,0)</f>
        <v>408.033580168329</v>
      </c>
      <c r="N909" s="52" t="str">
        <f aca="false">'Model Inputs &amp; Assumptions'!$L$29</f>
        <v>PRD-EUAI</v>
      </c>
      <c r="P909" s="53" t="n">
        <v>0.654459</v>
      </c>
      <c r="Q909" s="53" t="n">
        <v>0.920111</v>
      </c>
      <c r="R909" s="53" t="n">
        <v>-1.258483</v>
      </c>
      <c r="S909" s="53" t="n">
        <v>-1.095956</v>
      </c>
    </row>
    <row r="910" customFormat="false" ht="15" hidden="false" customHeight="false" outlineLevel="0" collapsed="false">
      <c r="A910" s="43" t="n">
        <v>407</v>
      </c>
      <c r="B910" s="44" t="str">
        <f aca="false">'Model Inputs &amp; Assumptions'!$B$29</f>
        <v>Handelsblatt — Native Explainer</v>
      </c>
      <c r="C910" s="45" t="n">
        <f aca="false">ROUND(MAX(0,'Model Inputs &amp; Assumptions'!$S$29*EXP('Model Inputs &amp; Assumptions'!$T$29*P910-'Model Inputs &amp; Assumptions'!$T$29^2/2)),0)</f>
        <v>105983</v>
      </c>
      <c r="D910" s="46" t="n">
        <f aca="false">MIN(1,'Model Inputs &amp; Assumptions'!$U$29*EXP('Model Inputs &amp; Assumptions'!$V$29*Q910-'Model Inputs &amp; Assumptions'!$V$29^2/2))</f>
        <v>0</v>
      </c>
      <c r="E910" s="45" t="n">
        <f aca="false">ROUND(C910*D910,0)</f>
        <v>0</v>
      </c>
      <c r="F910" s="47" t="n">
        <f aca="false">MIN(1,'Model Inputs &amp; Assumptions'!$W$29*EXP('Model Inputs &amp; Assumptions'!$X$29*R910-'Model Inputs &amp; Assumptions'!$X$29^2/2))</f>
        <v>0.00245752149284772</v>
      </c>
      <c r="G910" s="45" t="n">
        <f aca="false">ROUND(C910*F910,0)</f>
        <v>260</v>
      </c>
      <c r="H910" s="48" t="n">
        <f aca="false">MAX(0,(C910*'Model Inputs &amp; Assumptions'!$N$29+E910*'Model Inputs &amp; Assumptions'!$O$29+G910*'Model Inputs &amp; Assumptions'!$P$29)*EXP('Model Inputs &amp; Assumptions'!$Q$29*S910-'Model Inputs &amp; Assumptions'!$Q$29^2/2))</f>
        <v>21.2175752076804</v>
      </c>
      <c r="I910" s="49" t="n">
        <f aca="false">IF('Model Inputs &amp; Assumptions'!$H$29="Fixed",'Model Inputs &amp; Assumptions'!$I$29*'Model Inputs &amp; Assumptions'!$K$29,IF('Model Inputs &amp; Assumptions'!$H$29="CPM",'Model Inputs &amp; Assumptions'!$I$29*'Model Inputs &amp; Assumptions'!$K$29*C910/1000,IF('Model Inputs &amp; Assumptions'!$H$29="CPC",'Model Inputs &amp; Assumptions'!$I$29*'Model Inputs &amp; Assumptions'!$K$29*G910,0)))</f>
        <v>6500</v>
      </c>
      <c r="J910" s="50" t="n">
        <f aca="false">H910*INDEX('Model Inputs &amp; Assumptions'!$D$40:$D$42,MATCH('Model Inputs &amp; Assumptions'!$L$29,'Model Inputs &amp; Assumptions'!$A$40:$A$42,0))*INDEX('Model Inputs &amp; Assumptions'!$H$40:$H$42,MATCH('Model Inputs &amp; Assumptions'!$L$29,'Model Inputs &amp; Assumptions'!$A$40:$A$42,0))</f>
        <v>180349.389265284</v>
      </c>
      <c r="K910" s="49" t="n">
        <f aca="false">H910*INDEX('Model Inputs &amp; Assumptions'!$G$40:$G$42,MATCH('Model Inputs &amp; Assumptions'!$L$29,'Model Inputs &amp; Assumptions'!$A$40:$A$42,0))*INDEX('Model Inputs &amp; Assumptions'!$H$40:$H$42,MATCH('Model Inputs &amp; Assumptions'!$L$29,'Model Inputs &amp; Assumptions'!$A$40:$A$42,0))</f>
        <v>4057.86125846888</v>
      </c>
      <c r="L910" s="51" t="n">
        <f aca="false">IFERROR(K910/I910,0)</f>
        <v>0.624286347456751</v>
      </c>
      <c r="M910" s="49" t="n">
        <f aca="false">IFERROR(I910/H910,0)</f>
        <v>306.349803706462</v>
      </c>
      <c r="N910" s="52" t="str">
        <f aca="false">'Model Inputs &amp; Assumptions'!$L$29</f>
        <v>PRD-EUAI</v>
      </c>
      <c r="P910" s="53" t="n">
        <v>-2.730865</v>
      </c>
      <c r="Q910" s="53" t="n">
        <v>0.628417</v>
      </c>
      <c r="R910" s="53" t="n">
        <v>-0.60658</v>
      </c>
      <c r="S910" s="53" t="n">
        <v>1.782935</v>
      </c>
    </row>
    <row r="911" customFormat="false" ht="15" hidden="false" customHeight="false" outlineLevel="0" collapsed="false">
      <c r="A911" s="43" t="n">
        <v>408</v>
      </c>
      <c r="B911" s="44" t="str">
        <f aca="false">'Model Inputs &amp; Assumptions'!$B$29</f>
        <v>Handelsblatt — Native Explainer</v>
      </c>
      <c r="C911" s="45" t="n">
        <f aca="false">ROUND(MAX(0,'Model Inputs &amp; Assumptions'!$S$29*EXP('Model Inputs &amp; Assumptions'!$T$29*P911-'Model Inputs &amp; Assumptions'!$T$29^2/2)),0)</f>
        <v>137219</v>
      </c>
      <c r="D911" s="46" t="n">
        <f aca="false">MIN(1,'Model Inputs &amp; Assumptions'!$U$29*EXP('Model Inputs &amp; Assumptions'!$V$29*Q911-'Model Inputs &amp; Assumptions'!$V$29^2/2))</f>
        <v>0</v>
      </c>
      <c r="E911" s="45" t="n">
        <f aca="false">ROUND(C911*D911,0)</f>
        <v>0</v>
      </c>
      <c r="F911" s="47" t="n">
        <f aca="false">MIN(1,'Model Inputs &amp; Assumptions'!$W$29*EXP('Model Inputs &amp; Assumptions'!$X$29*R911-'Model Inputs &amp; Assumptions'!$X$29^2/2))</f>
        <v>0.00303924995248184</v>
      </c>
      <c r="G911" s="45" t="n">
        <f aca="false">ROUND(C911*F911,0)</f>
        <v>417</v>
      </c>
      <c r="H911" s="48" t="n">
        <f aca="false">MAX(0,(C911*'Model Inputs &amp; Assumptions'!$N$29+E911*'Model Inputs &amp; Assumptions'!$O$29+G911*'Model Inputs &amp; Assumptions'!$P$29)*EXP('Model Inputs &amp; Assumptions'!$Q$29*S911-'Model Inputs &amp; Assumptions'!$Q$29^2/2))</f>
        <v>33.1930875608082</v>
      </c>
      <c r="I911" s="49" t="n">
        <f aca="false">IF('Model Inputs &amp; Assumptions'!$H$29="Fixed",'Model Inputs &amp; Assumptions'!$I$29*'Model Inputs &amp; Assumptions'!$K$29,IF('Model Inputs &amp; Assumptions'!$H$29="CPM",'Model Inputs &amp; Assumptions'!$I$29*'Model Inputs &amp; Assumptions'!$K$29*C911/1000,IF('Model Inputs &amp; Assumptions'!$H$29="CPC",'Model Inputs &amp; Assumptions'!$I$29*'Model Inputs &amp; Assumptions'!$K$29*G911,0)))</f>
        <v>6500</v>
      </c>
      <c r="J911" s="50" t="n">
        <f aca="false">H911*INDEX('Model Inputs &amp; Assumptions'!$D$40:$D$42,MATCH('Model Inputs &amp; Assumptions'!$L$29,'Model Inputs &amp; Assumptions'!$A$40:$A$42,0))*INDEX('Model Inputs &amp; Assumptions'!$H$40:$H$42,MATCH('Model Inputs &amp; Assumptions'!$L$29,'Model Inputs &amp; Assumptions'!$A$40:$A$42,0))</f>
        <v>282141.244266869</v>
      </c>
      <c r="K911" s="49" t="n">
        <f aca="false">H911*INDEX('Model Inputs &amp; Assumptions'!$G$40:$G$42,MATCH('Model Inputs &amp; Assumptions'!$L$29,'Model Inputs &amp; Assumptions'!$A$40:$A$42,0))*INDEX('Model Inputs &amp; Assumptions'!$H$40:$H$42,MATCH('Model Inputs &amp; Assumptions'!$L$29,'Model Inputs &amp; Assumptions'!$A$40:$A$42,0))</f>
        <v>6348.17799600456</v>
      </c>
      <c r="L911" s="51" t="n">
        <f aca="false">IFERROR(K911/I911,0)</f>
        <v>0.976642768616086</v>
      </c>
      <c r="M911" s="49" t="n">
        <f aca="false">IFERROR(I911/H911,0)</f>
        <v>195.823904241879</v>
      </c>
      <c r="N911" s="52" t="str">
        <f aca="false">'Model Inputs &amp; Assumptions'!$L$29</f>
        <v>PRD-EUAI</v>
      </c>
      <c r="P911" s="53" t="n">
        <v>-1.556773</v>
      </c>
      <c r="Q911" s="53" t="n">
        <v>0.02209</v>
      </c>
      <c r="R911" s="53" t="n">
        <v>0.210564</v>
      </c>
      <c r="S911" s="53" t="n">
        <v>1.699959</v>
      </c>
    </row>
    <row r="912" customFormat="false" ht="15" hidden="false" customHeight="false" outlineLevel="0" collapsed="false">
      <c r="A912" s="43" t="n">
        <v>409</v>
      </c>
      <c r="B912" s="44" t="str">
        <f aca="false">'Model Inputs &amp; Assumptions'!$B$29</f>
        <v>Handelsblatt — Native Explainer</v>
      </c>
      <c r="C912" s="45" t="n">
        <f aca="false">ROUND(MAX(0,'Model Inputs &amp; Assumptions'!$S$29*EXP('Model Inputs &amp; Assumptions'!$T$29*P912-'Model Inputs &amp; Assumptions'!$T$29^2/2)),0)</f>
        <v>179364</v>
      </c>
      <c r="D912" s="46" t="n">
        <f aca="false">MIN(1,'Model Inputs &amp; Assumptions'!$U$29*EXP('Model Inputs &amp; Assumptions'!$V$29*Q912-'Model Inputs &amp; Assumptions'!$V$29^2/2))</f>
        <v>0</v>
      </c>
      <c r="E912" s="45" t="n">
        <f aca="false">ROUND(C912*D912,0)</f>
        <v>0</v>
      </c>
      <c r="F912" s="47" t="n">
        <f aca="false">MIN(1,'Model Inputs &amp; Assumptions'!$W$29*EXP('Model Inputs &amp; Assumptions'!$X$29*R912-'Model Inputs &amp; Assumptions'!$X$29^2/2))</f>
        <v>0.00242735837804172</v>
      </c>
      <c r="G912" s="45" t="n">
        <f aca="false">ROUND(C912*F912,0)</f>
        <v>435</v>
      </c>
      <c r="H912" s="48" t="n">
        <f aca="false">MAX(0,(C912*'Model Inputs &amp; Assumptions'!$N$29+E912*'Model Inputs &amp; Assumptions'!$O$29+G912*'Model Inputs &amp; Assumptions'!$P$29)*EXP('Model Inputs &amp; Assumptions'!$Q$29*S912-'Model Inputs &amp; Assumptions'!$Q$29^2/2))</f>
        <v>29.213863018974</v>
      </c>
      <c r="I912" s="49" t="n">
        <f aca="false">IF('Model Inputs &amp; Assumptions'!$H$29="Fixed",'Model Inputs &amp; Assumptions'!$I$29*'Model Inputs &amp; Assumptions'!$K$29,IF('Model Inputs &amp; Assumptions'!$H$29="CPM",'Model Inputs &amp; Assumptions'!$I$29*'Model Inputs &amp; Assumptions'!$K$29*C912/1000,IF('Model Inputs &amp; Assumptions'!$H$29="CPC",'Model Inputs &amp; Assumptions'!$I$29*'Model Inputs &amp; Assumptions'!$K$29*G912,0)))</f>
        <v>6500</v>
      </c>
      <c r="J912" s="50" t="n">
        <f aca="false">H912*INDEX('Model Inputs &amp; Assumptions'!$D$40:$D$42,MATCH('Model Inputs &amp; Assumptions'!$L$29,'Model Inputs &amp; Assumptions'!$A$40:$A$42,0))*INDEX('Model Inputs &amp; Assumptions'!$H$40:$H$42,MATCH('Model Inputs &amp; Assumptions'!$L$29,'Model Inputs &amp; Assumptions'!$A$40:$A$42,0))</f>
        <v>248317.835661279</v>
      </c>
      <c r="K912" s="49" t="n">
        <f aca="false">H912*INDEX('Model Inputs &amp; Assumptions'!$G$40:$G$42,MATCH('Model Inputs &amp; Assumptions'!$L$29,'Model Inputs &amp; Assumptions'!$A$40:$A$42,0))*INDEX('Model Inputs &amp; Assumptions'!$H$40:$H$42,MATCH('Model Inputs &amp; Assumptions'!$L$29,'Model Inputs &amp; Assumptions'!$A$40:$A$42,0))</f>
        <v>5587.15130237878</v>
      </c>
      <c r="L912" s="51" t="n">
        <f aca="false">IFERROR(K912/I912,0)</f>
        <v>0.859561738827504</v>
      </c>
      <c r="M912" s="49" t="n">
        <f aca="false">IFERROR(I912/H912,0)</f>
        <v>222.49710679407</v>
      </c>
      <c r="N912" s="52" t="str">
        <f aca="false">'Model Inputs &amp; Assumptions'!$L$29</f>
        <v>PRD-EUAI</v>
      </c>
      <c r="P912" s="53" t="n">
        <v>-0.339325</v>
      </c>
      <c r="Q912" s="53" t="n">
        <v>-1.349549</v>
      </c>
      <c r="R912" s="53" t="n">
        <v>-0.654079</v>
      </c>
      <c r="S912" s="53" t="n">
        <v>1.133432</v>
      </c>
    </row>
    <row r="913" customFormat="false" ht="15" hidden="false" customHeight="false" outlineLevel="0" collapsed="false">
      <c r="A913" s="43" t="n">
        <v>410</v>
      </c>
      <c r="B913" s="44" t="str">
        <f aca="false">'Model Inputs &amp; Assumptions'!$B$29</f>
        <v>Handelsblatt — Native Explainer</v>
      </c>
      <c r="C913" s="45" t="n">
        <f aca="false">ROUND(MAX(0,'Model Inputs &amp; Assumptions'!$S$29*EXP('Model Inputs &amp; Assumptions'!$T$29*P913-'Model Inputs &amp; Assumptions'!$T$29^2/2)),0)</f>
        <v>174331</v>
      </c>
      <c r="D913" s="46" t="n">
        <f aca="false">MIN(1,'Model Inputs &amp; Assumptions'!$U$29*EXP('Model Inputs &amp; Assumptions'!$V$29*Q913-'Model Inputs &amp; Assumptions'!$V$29^2/2))</f>
        <v>0</v>
      </c>
      <c r="E913" s="45" t="n">
        <f aca="false">ROUND(C913*D913,0)</f>
        <v>0</v>
      </c>
      <c r="F913" s="47" t="n">
        <f aca="false">MIN(1,'Model Inputs &amp; Assumptions'!$W$29*EXP('Model Inputs &amp; Assumptions'!$X$29*R913-'Model Inputs &amp; Assumptions'!$X$29^2/2))</f>
        <v>0.00249202222349027</v>
      </c>
      <c r="G913" s="45" t="n">
        <f aca="false">ROUND(C913*F913,0)</f>
        <v>434</v>
      </c>
      <c r="H913" s="48" t="n">
        <f aca="false">MAX(0,(C913*'Model Inputs &amp; Assumptions'!$N$29+E913*'Model Inputs &amp; Assumptions'!$O$29+G913*'Model Inputs &amp; Assumptions'!$P$29)*EXP('Model Inputs &amp; Assumptions'!$Q$29*S913-'Model Inputs &amp; Assumptions'!$Q$29^2/2))</f>
        <v>19.9098754129737</v>
      </c>
      <c r="I913" s="49" t="n">
        <f aca="false">IF('Model Inputs &amp; Assumptions'!$H$29="Fixed",'Model Inputs &amp; Assumptions'!$I$29*'Model Inputs &amp; Assumptions'!$K$29,IF('Model Inputs &amp; Assumptions'!$H$29="CPM",'Model Inputs &amp; Assumptions'!$I$29*'Model Inputs &amp; Assumptions'!$K$29*C913/1000,IF('Model Inputs &amp; Assumptions'!$H$29="CPC",'Model Inputs &amp; Assumptions'!$I$29*'Model Inputs &amp; Assumptions'!$K$29*G913,0)))</f>
        <v>6500</v>
      </c>
      <c r="J913" s="50" t="n">
        <f aca="false">H913*INDEX('Model Inputs &amp; Assumptions'!$D$40:$D$42,MATCH('Model Inputs &amp; Assumptions'!$L$29,'Model Inputs &amp; Assumptions'!$A$40:$A$42,0))*INDEX('Model Inputs &amp; Assumptions'!$H$40:$H$42,MATCH('Model Inputs &amp; Assumptions'!$L$29,'Model Inputs &amp; Assumptions'!$A$40:$A$42,0))</f>
        <v>169233.941010276</v>
      </c>
      <c r="K913" s="49" t="n">
        <f aca="false">H913*INDEX('Model Inputs &amp; Assumptions'!$G$40:$G$42,MATCH('Model Inputs &amp; Assumptions'!$L$29,'Model Inputs &amp; Assumptions'!$A$40:$A$42,0))*INDEX('Model Inputs &amp; Assumptions'!$H$40:$H$42,MATCH('Model Inputs &amp; Assumptions'!$L$29,'Model Inputs &amp; Assumptions'!$A$40:$A$42,0))</f>
        <v>3807.76367273121</v>
      </c>
      <c r="L913" s="51" t="n">
        <f aca="false">IFERROR(K913/I913,0)</f>
        <v>0.585809795804802</v>
      </c>
      <c r="M913" s="49" t="n">
        <f aca="false">IFERROR(I913/H913,0)</f>
        <v>326.471153896045</v>
      </c>
      <c r="N913" s="52" t="str">
        <f aca="false">'Model Inputs &amp; Assumptions'!$L$29</f>
        <v>PRD-EUAI</v>
      </c>
      <c r="P913" s="53" t="n">
        <v>-0.468696</v>
      </c>
      <c r="Q913" s="53" t="n">
        <v>0.336265</v>
      </c>
      <c r="R913" s="53" t="n">
        <v>-0.55296</v>
      </c>
      <c r="S913" s="53" t="n">
        <v>-0.136988</v>
      </c>
    </row>
    <row r="914" customFormat="false" ht="15" hidden="false" customHeight="false" outlineLevel="0" collapsed="false">
      <c r="A914" s="43" t="n">
        <v>411</v>
      </c>
      <c r="B914" s="44" t="str">
        <f aca="false">'Model Inputs &amp; Assumptions'!$B$29</f>
        <v>Handelsblatt — Native Explainer</v>
      </c>
      <c r="C914" s="45" t="n">
        <f aca="false">ROUND(MAX(0,'Model Inputs &amp; Assumptions'!$S$29*EXP('Model Inputs &amp; Assumptions'!$T$29*P914-'Model Inputs &amp; Assumptions'!$T$29^2/2)),0)</f>
        <v>202001</v>
      </c>
      <c r="D914" s="46" t="n">
        <f aca="false">MIN(1,'Model Inputs &amp; Assumptions'!$U$29*EXP('Model Inputs &amp; Assumptions'!$V$29*Q914-'Model Inputs &amp; Assumptions'!$V$29^2/2))</f>
        <v>0</v>
      </c>
      <c r="E914" s="45" t="n">
        <f aca="false">ROUND(C914*D914,0)</f>
        <v>0</v>
      </c>
      <c r="F914" s="47" t="n">
        <f aca="false">MIN(1,'Model Inputs &amp; Assumptions'!$W$29*EXP('Model Inputs &amp; Assumptions'!$X$29*R914-'Model Inputs &amp; Assumptions'!$X$29^2/2))</f>
        <v>0.00420218361626818</v>
      </c>
      <c r="G914" s="45" t="n">
        <f aca="false">ROUND(C914*F914,0)</f>
        <v>849</v>
      </c>
      <c r="H914" s="48" t="n">
        <f aca="false">MAX(0,(C914*'Model Inputs &amp; Assumptions'!$N$29+E914*'Model Inputs &amp; Assumptions'!$O$29+G914*'Model Inputs &amp; Assumptions'!$P$29)*EXP('Model Inputs &amp; Assumptions'!$Q$29*S914-'Model Inputs &amp; Assumptions'!$Q$29^2/2))</f>
        <v>38.3351915124204</v>
      </c>
      <c r="I914" s="49" t="n">
        <f aca="false">IF('Model Inputs &amp; Assumptions'!$H$29="Fixed",'Model Inputs &amp; Assumptions'!$I$29*'Model Inputs &amp; Assumptions'!$K$29,IF('Model Inputs &amp; Assumptions'!$H$29="CPM",'Model Inputs &amp; Assumptions'!$I$29*'Model Inputs &amp; Assumptions'!$K$29*C914/1000,IF('Model Inputs &amp; Assumptions'!$H$29="CPC",'Model Inputs &amp; Assumptions'!$I$29*'Model Inputs &amp; Assumptions'!$K$29*G914,0)))</f>
        <v>6500</v>
      </c>
      <c r="J914" s="50" t="n">
        <f aca="false">H914*INDEX('Model Inputs &amp; Assumptions'!$D$40:$D$42,MATCH('Model Inputs &amp; Assumptions'!$L$29,'Model Inputs &amp; Assumptions'!$A$40:$A$42,0))*INDEX('Model Inputs &amp; Assumptions'!$H$40:$H$42,MATCH('Model Inputs &amp; Assumptions'!$L$29,'Model Inputs &amp; Assumptions'!$A$40:$A$42,0))</f>
        <v>325849.127855573</v>
      </c>
      <c r="K914" s="49" t="n">
        <f aca="false">H914*INDEX('Model Inputs &amp; Assumptions'!$G$40:$G$42,MATCH('Model Inputs &amp; Assumptions'!$L$29,'Model Inputs &amp; Assumptions'!$A$40:$A$42,0))*INDEX('Model Inputs &amp; Assumptions'!$H$40:$H$42,MATCH('Model Inputs &amp; Assumptions'!$L$29,'Model Inputs &amp; Assumptions'!$A$40:$A$42,0))</f>
        <v>7331.6053767504</v>
      </c>
      <c r="L914" s="51" t="n">
        <f aca="false">IFERROR(K914/I914,0)</f>
        <v>1.12793928873083</v>
      </c>
      <c r="M914" s="49" t="n">
        <f aca="false">IFERROR(I914/H914,0)</f>
        <v>169.556998245177</v>
      </c>
      <c r="N914" s="52" t="str">
        <f aca="false">'Model Inputs &amp; Assumptions'!$L$29</f>
        <v>PRD-EUAI</v>
      </c>
      <c r="P914" s="53" t="n">
        <v>0.200944</v>
      </c>
      <c r="Q914" s="53" t="n">
        <v>-2.512186</v>
      </c>
      <c r="R914" s="53" t="n">
        <v>1.456693</v>
      </c>
      <c r="S914" s="53" t="n">
        <v>-0.189862</v>
      </c>
    </row>
    <row r="915" customFormat="false" ht="15" hidden="false" customHeight="false" outlineLevel="0" collapsed="false">
      <c r="A915" s="43" t="n">
        <v>412</v>
      </c>
      <c r="B915" s="44" t="str">
        <f aca="false">'Model Inputs &amp; Assumptions'!$B$29</f>
        <v>Handelsblatt — Native Explainer</v>
      </c>
      <c r="C915" s="45" t="n">
        <f aca="false">ROUND(MAX(0,'Model Inputs &amp; Assumptions'!$S$29*EXP('Model Inputs &amp; Assumptions'!$T$29*P915-'Model Inputs &amp; Assumptions'!$T$29^2/2)),0)</f>
        <v>222517</v>
      </c>
      <c r="D915" s="46" t="n">
        <f aca="false">MIN(1,'Model Inputs &amp; Assumptions'!$U$29*EXP('Model Inputs &amp; Assumptions'!$V$29*Q915-'Model Inputs &amp; Assumptions'!$V$29^2/2))</f>
        <v>0</v>
      </c>
      <c r="E915" s="45" t="n">
        <f aca="false">ROUND(C915*D915,0)</f>
        <v>0</v>
      </c>
      <c r="F915" s="47" t="n">
        <f aca="false">MIN(1,'Model Inputs &amp; Assumptions'!$W$29*EXP('Model Inputs &amp; Assumptions'!$X$29*R915-'Model Inputs &amp; Assumptions'!$X$29^2/2))</f>
        <v>0.00328298397998228</v>
      </c>
      <c r="G915" s="45" t="n">
        <f aca="false">ROUND(C915*F915,0)</f>
        <v>731</v>
      </c>
      <c r="H915" s="48" t="n">
        <f aca="false">MAX(0,(C915*'Model Inputs &amp; Assumptions'!$N$29+E915*'Model Inputs &amp; Assumptions'!$O$29+G915*'Model Inputs &amp; Assumptions'!$P$29)*EXP('Model Inputs &amp; Assumptions'!$Q$29*S915-'Model Inputs &amp; Assumptions'!$Q$29^2/2))</f>
        <v>32.2080907396731</v>
      </c>
      <c r="I915" s="49" t="n">
        <f aca="false">IF('Model Inputs &amp; Assumptions'!$H$29="Fixed",'Model Inputs &amp; Assumptions'!$I$29*'Model Inputs &amp; Assumptions'!$K$29,IF('Model Inputs &amp; Assumptions'!$H$29="CPM",'Model Inputs &amp; Assumptions'!$I$29*'Model Inputs &amp; Assumptions'!$K$29*C915/1000,IF('Model Inputs &amp; Assumptions'!$H$29="CPC",'Model Inputs &amp; Assumptions'!$I$29*'Model Inputs &amp; Assumptions'!$K$29*G915,0)))</f>
        <v>6500</v>
      </c>
      <c r="J915" s="50" t="n">
        <f aca="false">H915*INDEX('Model Inputs &amp; Assumptions'!$D$40:$D$42,MATCH('Model Inputs &amp; Assumptions'!$L$29,'Model Inputs &amp; Assumptions'!$A$40:$A$42,0))*INDEX('Model Inputs &amp; Assumptions'!$H$40:$H$42,MATCH('Model Inputs &amp; Assumptions'!$L$29,'Model Inputs &amp; Assumptions'!$A$40:$A$42,0))</f>
        <v>273768.771287222</v>
      </c>
      <c r="K915" s="49" t="n">
        <f aca="false">H915*INDEX('Model Inputs &amp; Assumptions'!$G$40:$G$42,MATCH('Model Inputs &amp; Assumptions'!$L$29,'Model Inputs &amp; Assumptions'!$A$40:$A$42,0))*INDEX('Model Inputs &amp; Assumptions'!$H$40:$H$42,MATCH('Model Inputs &amp; Assumptions'!$L$29,'Model Inputs &amp; Assumptions'!$A$40:$A$42,0))</f>
        <v>6159.79735396249</v>
      </c>
      <c r="L915" s="51" t="n">
        <f aca="false">IFERROR(K915/I915,0)</f>
        <v>0.947661131378844</v>
      </c>
      <c r="M915" s="49" t="n">
        <f aca="false">IFERROR(I915/H915,0)</f>
        <v>201.812645541061</v>
      </c>
      <c r="N915" s="52" t="str">
        <f aca="false">'Model Inputs &amp; Assumptions'!$L$29</f>
        <v>PRD-EUAI</v>
      </c>
      <c r="P915" s="53" t="n">
        <v>0.640618</v>
      </c>
      <c r="Q915" s="53" t="n">
        <v>-0.644719</v>
      </c>
      <c r="R915" s="53" t="n">
        <v>0.507264</v>
      </c>
      <c r="S915" s="53" t="n">
        <v>-0.271545</v>
      </c>
    </row>
    <row r="916" customFormat="false" ht="15" hidden="false" customHeight="false" outlineLevel="0" collapsed="false">
      <c r="A916" s="43" t="n">
        <v>413</v>
      </c>
      <c r="B916" s="44" t="str">
        <f aca="false">'Model Inputs &amp; Assumptions'!$B$29</f>
        <v>Handelsblatt — Native Explainer</v>
      </c>
      <c r="C916" s="45" t="n">
        <f aca="false">ROUND(MAX(0,'Model Inputs &amp; Assumptions'!$S$29*EXP('Model Inputs &amp; Assumptions'!$T$29*P916-'Model Inputs &amp; Assumptions'!$T$29^2/2)),0)</f>
        <v>300357</v>
      </c>
      <c r="D916" s="46" t="n">
        <f aca="false">MIN(1,'Model Inputs &amp; Assumptions'!$U$29*EXP('Model Inputs &amp; Assumptions'!$V$29*Q916-'Model Inputs &amp; Assumptions'!$V$29^2/2))</f>
        <v>0</v>
      </c>
      <c r="E916" s="45" t="n">
        <f aca="false">ROUND(C916*D916,0)</f>
        <v>0</v>
      </c>
      <c r="F916" s="47" t="n">
        <f aca="false">MIN(1,'Model Inputs &amp; Assumptions'!$W$29*EXP('Model Inputs &amp; Assumptions'!$X$29*R916-'Model Inputs &amp; Assumptions'!$X$29^2/2))</f>
        <v>0.00281229540169084</v>
      </c>
      <c r="G916" s="45" t="n">
        <f aca="false">ROUND(C916*F916,0)</f>
        <v>845</v>
      </c>
      <c r="H916" s="48" t="n">
        <f aca="false">MAX(0,(C916*'Model Inputs &amp; Assumptions'!$N$29+E916*'Model Inputs &amp; Assumptions'!$O$29+G916*'Model Inputs &amp; Assumptions'!$P$29)*EXP('Model Inputs &amp; Assumptions'!$Q$29*S916-'Model Inputs &amp; Assumptions'!$Q$29^2/2))</f>
        <v>37.8320964135224</v>
      </c>
      <c r="I916" s="49" t="n">
        <f aca="false">IF('Model Inputs &amp; Assumptions'!$H$29="Fixed",'Model Inputs &amp; Assumptions'!$I$29*'Model Inputs &amp; Assumptions'!$K$29,IF('Model Inputs &amp; Assumptions'!$H$29="CPM",'Model Inputs &amp; Assumptions'!$I$29*'Model Inputs &amp; Assumptions'!$K$29*C916/1000,IF('Model Inputs &amp; Assumptions'!$H$29="CPC",'Model Inputs &amp; Assumptions'!$I$29*'Model Inputs &amp; Assumptions'!$K$29*G916,0)))</f>
        <v>6500</v>
      </c>
      <c r="J916" s="50" t="n">
        <f aca="false">H916*INDEX('Model Inputs &amp; Assumptions'!$D$40:$D$42,MATCH('Model Inputs &amp; Assumptions'!$L$29,'Model Inputs &amp; Assumptions'!$A$40:$A$42,0))*INDEX('Model Inputs &amp; Assumptions'!$H$40:$H$42,MATCH('Model Inputs &amp; Assumptions'!$L$29,'Model Inputs &amp; Assumptions'!$A$40:$A$42,0))</f>
        <v>321572.819514941</v>
      </c>
      <c r="K916" s="49" t="n">
        <f aca="false">H916*INDEX('Model Inputs &amp; Assumptions'!$G$40:$G$42,MATCH('Model Inputs &amp; Assumptions'!$L$29,'Model Inputs &amp; Assumptions'!$A$40:$A$42,0))*INDEX('Model Inputs &amp; Assumptions'!$H$40:$H$42,MATCH('Model Inputs &amp; Assumptions'!$L$29,'Model Inputs &amp; Assumptions'!$A$40:$A$42,0))</f>
        <v>7235.38843908616</v>
      </c>
      <c r="L916" s="51" t="n">
        <f aca="false">IFERROR(K916/I916,0)</f>
        <v>1.11313668293633</v>
      </c>
      <c r="M916" s="49" t="n">
        <f aca="false">IFERROR(I916/H916,0)</f>
        <v>171.811784600884</v>
      </c>
      <c r="N916" s="52" t="str">
        <f aca="false">'Model Inputs &amp; Assumptions'!$L$29</f>
        <v>PRD-EUAI</v>
      </c>
      <c r="P916" s="53" t="n">
        <v>2.004119</v>
      </c>
      <c r="Q916" s="53" t="n">
        <v>-0.057256</v>
      </c>
      <c r="R916" s="53" t="n">
        <v>-0.087935</v>
      </c>
      <c r="S916" s="53" t="n">
        <v>-0.218155</v>
      </c>
    </row>
    <row r="917" customFormat="false" ht="15" hidden="false" customHeight="false" outlineLevel="0" collapsed="false">
      <c r="A917" s="43" t="n">
        <v>414</v>
      </c>
      <c r="B917" s="44" t="str">
        <f aca="false">'Model Inputs &amp; Assumptions'!$B$29</f>
        <v>Handelsblatt — Native Explainer</v>
      </c>
      <c r="C917" s="45" t="n">
        <f aca="false">ROUND(MAX(0,'Model Inputs &amp; Assumptions'!$S$29*EXP('Model Inputs &amp; Assumptions'!$T$29*P917-'Model Inputs &amp; Assumptions'!$T$29^2/2)),0)</f>
        <v>235941</v>
      </c>
      <c r="D917" s="46" t="n">
        <f aca="false">MIN(1,'Model Inputs &amp; Assumptions'!$U$29*EXP('Model Inputs &amp; Assumptions'!$V$29*Q917-'Model Inputs &amp; Assumptions'!$V$29^2/2))</f>
        <v>0</v>
      </c>
      <c r="E917" s="45" t="n">
        <f aca="false">ROUND(C917*D917,0)</f>
        <v>0</v>
      </c>
      <c r="F917" s="47" t="n">
        <f aca="false">MIN(1,'Model Inputs &amp; Assumptions'!$W$29*EXP('Model Inputs &amp; Assumptions'!$X$29*R917-'Model Inputs &amp; Assumptions'!$X$29^2/2))</f>
        <v>0.00375189459907693</v>
      </c>
      <c r="G917" s="45" t="n">
        <f aca="false">ROUND(C917*F917,0)</f>
        <v>885</v>
      </c>
      <c r="H917" s="48" t="n">
        <f aca="false">MAX(0,(C917*'Model Inputs &amp; Assumptions'!$N$29+E917*'Model Inputs &amp; Assumptions'!$O$29+G917*'Model Inputs &amp; Assumptions'!$P$29)*EXP('Model Inputs &amp; Assumptions'!$Q$29*S917-'Model Inputs &amp; Assumptions'!$Q$29^2/2))</f>
        <v>66.3099705632179</v>
      </c>
      <c r="I917" s="49" t="n">
        <f aca="false">IF('Model Inputs &amp; Assumptions'!$H$29="Fixed",'Model Inputs &amp; Assumptions'!$I$29*'Model Inputs &amp; Assumptions'!$K$29,IF('Model Inputs &amp; Assumptions'!$H$29="CPM",'Model Inputs &amp; Assumptions'!$I$29*'Model Inputs &amp; Assumptions'!$K$29*C917/1000,IF('Model Inputs &amp; Assumptions'!$H$29="CPC",'Model Inputs &amp; Assumptions'!$I$29*'Model Inputs &amp; Assumptions'!$K$29*G917,0)))</f>
        <v>6500</v>
      </c>
      <c r="J917" s="50" t="n">
        <f aca="false">H917*INDEX('Model Inputs &amp; Assumptions'!$D$40:$D$42,MATCH('Model Inputs &amp; Assumptions'!$L$29,'Model Inputs &amp; Assumptions'!$A$40:$A$42,0))*INDEX('Model Inputs &amp; Assumptions'!$H$40:$H$42,MATCH('Model Inputs &amp; Assumptions'!$L$29,'Model Inputs &amp; Assumptions'!$A$40:$A$42,0))</f>
        <v>563634.749787352</v>
      </c>
      <c r="K917" s="49" t="n">
        <f aca="false">H917*INDEX('Model Inputs &amp; Assumptions'!$G$40:$G$42,MATCH('Model Inputs &amp; Assumptions'!$L$29,'Model Inputs &amp; Assumptions'!$A$40:$A$42,0))*INDEX('Model Inputs &amp; Assumptions'!$H$40:$H$42,MATCH('Model Inputs &amp; Assumptions'!$L$29,'Model Inputs &amp; Assumptions'!$A$40:$A$42,0))</f>
        <v>12681.7818702154</v>
      </c>
      <c r="L917" s="51" t="n">
        <f aca="false">IFERROR(K917/I917,0)</f>
        <v>1.95104336464853</v>
      </c>
      <c r="M917" s="49" t="n">
        <f aca="false">IFERROR(I917/H917,0)</f>
        <v>98.0244742199531</v>
      </c>
      <c r="N917" s="52" t="str">
        <f aca="false">'Model Inputs &amp; Assumptions'!$L$29</f>
        <v>PRD-EUAI</v>
      </c>
      <c r="P917" s="53" t="n">
        <v>0.906891</v>
      </c>
      <c r="Q917" s="53" t="n">
        <v>-0.11858</v>
      </c>
      <c r="R917" s="53" t="n">
        <v>1.020757</v>
      </c>
      <c r="S917" s="53" t="n">
        <v>1.498283</v>
      </c>
    </row>
    <row r="918" customFormat="false" ht="15" hidden="false" customHeight="false" outlineLevel="0" collapsed="false">
      <c r="A918" s="43" t="n">
        <v>415</v>
      </c>
      <c r="B918" s="44" t="str">
        <f aca="false">'Model Inputs &amp; Assumptions'!$B$29</f>
        <v>Handelsblatt — Native Explainer</v>
      </c>
      <c r="C918" s="45" t="n">
        <f aca="false">ROUND(MAX(0,'Model Inputs &amp; Assumptions'!$S$29*EXP('Model Inputs &amp; Assumptions'!$T$29*P918-'Model Inputs &amp; Assumptions'!$T$29^2/2)),0)</f>
        <v>214723</v>
      </c>
      <c r="D918" s="46" t="n">
        <f aca="false">MIN(1,'Model Inputs &amp; Assumptions'!$U$29*EXP('Model Inputs &amp; Assumptions'!$V$29*Q918-'Model Inputs &amp; Assumptions'!$V$29^2/2))</f>
        <v>0</v>
      </c>
      <c r="E918" s="45" t="n">
        <f aca="false">ROUND(C918*D918,0)</f>
        <v>0</v>
      </c>
      <c r="F918" s="47" t="n">
        <f aca="false">MIN(1,'Model Inputs &amp; Assumptions'!$W$29*EXP('Model Inputs &amp; Assumptions'!$X$29*R918-'Model Inputs &amp; Assumptions'!$X$29^2/2))</f>
        <v>0.00273934450168885</v>
      </c>
      <c r="G918" s="45" t="n">
        <f aca="false">ROUND(C918*F918,0)</f>
        <v>588</v>
      </c>
      <c r="H918" s="48" t="n">
        <f aca="false">MAX(0,(C918*'Model Inputs &amp; Assumptions'!$N$29+E918*'Model Inputs &amp; Assumptions'!$O$29+G918*'Model Inputs &amp; Assumptions'!$P$29)*EXP('Model Inputs &amp; Assumptions'!$Q$29*S918-'Model Inputs &amp; Assumptions'!$Q$29^2/2))</f>
        <v>25.0696606090104</v>
      </c>
      <c r="I918" s="49" t="n">
        <f aca="false">IF('Model Inputs &amp; Assumptions'!$H$29="Fixed",'Model Inputs &amp; Assumptions'!$I$29*'Model Inputs &amp; Assumptions'!$K$29,IF('Model Inputs &amp; Assumptions'!$H$29="CPM",'Model Inputs &amp; Assumptions'!$I$29*'Model Inputs &amp; Assumptions'!$K$29*C918/1000,IF('Model Inputs &amp; Assumptions'!$H$29="CPC",'Model Inputs &amp; Assumptions'!$I$29*'Model Inputs &amp; Assumptions'!$K$29*G918,0)))</f>
        <v>6500</v>
      </c>
      <c r="J918" s="50" t="n">
        <f aca="false">H918*INDEX('Model Inputs &amp; Assumptions'!$D$40:$D$42,MATCH('Model Inputs &amp; Assumptions'!$L$29,'Model Inputs &amp; Assumptions'!$A$40:$A$42,0))*INDEX('Model Inputs &amp; Assumptions'!$H$40:$H$42,MATCH('Model Inputs &amp; Assumptions'!$L$29,'Model Inputs &amp; Assumptions'!$A$40:$A$42,0))</f>
        <v>213092.115176588</v>
      </c>
      <c r="K918" s="49" t="n">
        <f aca="false">H918*INDEX('Model Inputs &amp; Assumptions'!$G$40:$G$42,MATCH('Model Inputs &amp; Assumptions'!$L$29,'Model Inputs &amp; Assumptions'!$A$40:$A$42,0))*INDEX('Model Inputs &amp; Assumptions'!$H$40:$H$42,MATCH('Model Inputs &amp; Assumptions'!$L$29,'Model Inputs &amp; Assumptions'!$A$40:$A$42,0))</f>
        <v>4794.57259147323</v>
      </c>
      <c r="L918" s="51" t="n">
        <f aca="false">IFERROR(K918/I918,0)</f>
        <v>0.737626552534344</v>
      </c>
      <c r="M918" s="49" t="n">
        <f aca="false">IFERROR(I918/H918,0)</f>
        <v>259.277542738804</v>
      </c>
      <c r="N918" s="52" t="str">
        <f aca="false">'Model Inputs &amp; Assumptions'!$L$29</f>
        <v>PRD-EUAI</v>
      </c>
      <c r="P918" s="53" t="n">
        <v>0.478559</v>
      </c>
      <c r="Q918" s="53" t="n">
        <v>-0.437451</v>
      </c>
      <c r="R918" s="53" t="n">
        <v>-0.189021</v>
      </c>
      <c r="S918" s="53" t="n">
        <v>-0.381121</v>
      </c>
    </row>
    <row r="919" customFormat="false" ht="15" hidden="false" customHeight="false" outlineLevel="0" collapsed="false">
      <c r="A919" s="43" t="n">
        <v>416</v>
      </c>
      <c r="B919" s="44" t="str">
        <f aca="false">'Model Inputs &amp; Assumptions'!$B$29</f>
        <v>Handelsblatt — Native Explainer</v>
      </c>
      <c r="C919" s="45" t="n">
        <f aca="false">ROUND(MAX(0,'Model Inputs &amp; Assumptions'!$S$29*EXP('Model Inputs &amp; Assumptions'!$T$29*P919-'Model Inputs &amp; Assumptions'!$T$29^2/2)),0)</f>
        <v>190075</v>
      </c>
      <c r="D919" s="46" t="n">
        <f aca="false">MIN(1,'Model Inputs &amp; Assumptions'!$U$29*EXP('Model Inputs &amp; Assumptions'!$V$29*Q919-'Model Inputs &amp; Assumptions'!$V$29^2/2))</f>
        <v>0</v>
      </c>
      <c r="E919" s="45" t="n">
        <f aca="false">ROUND(C919*D919,0)</f>
        <v>0</v>
      </c>
      <c r="F919" s="47" t="n">
        <f aca="false">MIN(1,'Model Inputs &amp; Assumptions'!$W$29*EXP('Model Inputs &amp; Assumptions'!$X$29*R919-'Model Inputs &amp; Assumptions'!$X$29^2/2))</f>
        <v>0.00173711817483943</v>
      </c>
      <c r="G919" s="45" t="n">
        <f aca="false">ROUND(C919*F919,0)</f>
        <v>330</v>
      </c>
      <c r="H919" s="48" t="n">
        <f aca="false">MAX(0,(C919*'Model Inputs &amp; Assumptions'!$N$29+E919*'Model Inputs &amp; Assumptions'!$O$29+G919*'Model Inputs &amp; Assumptions'!$P$29)*EXP('Model Inputs &amp; Assumptions'!$Q$29*S919-'Model Inputs &amp; Assumptions'!$Q$29^2/2))</f>
        <v>12.7739875551555</v>
      </c>
      <c r="I919" s="49" t="n">
        <f aca="false">IF('Model Inputs &amp; Assumptions'!$H$29="Fixed",'Model Inputs &amp; Assumptions'!$I$29*'Model Inputs &amp; Assumptions'!$K$29,IF('Model Inputs &amp; Assumptions'!$H$29="CPM",'Model Inputs &amp; Assumptions'!$I$29*'Model Inputs &amp; Assumptions'!$K$29*C919/1000,IF('Model Inputs &amp; Assumptions'!$H$29="CPC",'Model Inputs &amp; Assumptions'!$I$29*'Model Inputs &amp; Assumptions'!$K$29*G919,0)))</f>
        <v>6500</v>
      </c>
      <c r="J919" s="50" t="n">
        <f aca="false">H919*INDEX('Model Inputs &amp; Assumptions'!$D$40:$D$42,MATCH('Model Inputs &amp; Assumptions'!$L$29,'Model Inputs &amp; Assumptions'!$A$40:$A$42,0))*INDEX('Model Inputs &amp; Assumptions'!$H$40:$H$42,MATCH('Model Inputs &amp; Assumptions'!$L$29,'Model Inputs &amp; Assumptions'!$A$40:$A$42,0))</f>
        <v>108578.894218822</v>
      </c>
      <c r="K919" s="49" t="n">
        <f aca="false">H919*INDEX('Model Inputs &amp; Assumptions'!$G$40:$G$42,MATCH('Model Inputs &amp; Assumptions'!$L$29,'Model Inputs &amp; Assumptions'!$A$40:$A$42,0))*INDEX('Model Inputs &amp; Assumptions'!$H$40:$H$42,MATCH('Model Inputs &amp; Assumptions'!$L$29,'Model Inputs &amp; Assumptions'!$A$40:$A$42,0))</f>
        <v>2443.02511992349</v>
      </c>
      <c r="L919" s="51" t="n">
        <f aca="false">IFERROR(K919/I919,0)</f>
        <v>0.375850018449767</v>
      </c>
      <c r="M919" s="49" t="n">
        <f aca="false">IFERROR(I919/H919,0)</f>
        <v>508.846589362509</v>
      </c>
      <c r="N919" s="52" t="str">
        <f aca="false">'Model Inputs &amp; Assumptions'!$L$29</f>
        <v>PRD-EUAI</v>
      </c>
      <c r="P919" s="53" t="n">
        <v>-0.075669</v>
      </c>
      <c r="Q919" s="53" t="n">
        <v>1.549298</v>
      </c>
      <c r="R919" s="53" t="n">
        <v>-1.94091</v>
      </c>
      <c r="S919" s="53" t="n">
        <v>-0.703165</v>
      </c>
    </row>
    <row r="920" customFormat="false" ht="15" hidden="false" customHeight="false" outlineLevel="0" collapsed="false">
      <c r="A920" s="43" t="n">
        <v>417</v>
      </c>
      <c r="B920" s="44" t="str">
        <f aca="false">'Model Inputs &amp; Assumptions'!$B$29</f>
        <v>Handelsblatt — Native Explainer</v>
      </c>
      <c r="C920" s="45" t="n">
        <f aca="false">ROUND(MAX(0,'Model Inputs &amp; Assumptions'!$S$29*EXP('Model Inputs &amp; Assumptions'!$T$29*P920-'Model Inputs &amp; Assumptions'!$T$29^2/2)),0)</f>
        <v>185875</v>
      </c>
      <c r="D920" s="46" t="n">
        <f aca="false">MIN(1,'Model Inputs &amp; Assumptions'!$U$29*EXP('Model Inputs &amp; Assumptions'!$V$29*Q920-'Model Inputs &amp; Assumptions'!$V$29^2/2))</f>
        <v>0</v>
      </c>
      <c r="E920" s="45" t="n">
        <f aca="false">ROUND(C920*D920,0)</f>
        <v>0</v>
      </c>
      <c r="F920" s="47" t="n">
        <f aca="false">MIN(1,'Model Inputs &amp; Assumptions'!$W$29*EXP('Model Inputs &amp; Assumptions'!$X$29*R920-'Model Inputs &amp; Assumptions'!$X$29^2/2))</f>
        <v>0.0015311703211948</v>
      </c>
      <c r="G920" s="45" t="n">
        <f aca="false">ROUND(C920*F920,0)</f>
        <v>285</v>
      </c>
      <c r="H920" s="48" t="n">
        <f aca="false">MAX(0,(C920*'Model Inputs &amp; Assumptions'!$N$29+E920*'Model Inputs &amp; Assumptions'!$O$29+G920*'Model Inputs &amp; Assumptions'!$P$29)*EXP('Model Inputs &amp; Assumptions'!$Q$29*S920-'Model Inputs &amp; Assumptions'!$Q$29^2/2))</f>
        <v>11.9558058635509</v>
      </c>
      <c r="I920" s="49" t="n">
        <f aca="false">IF('Model Inputs &amp; Assumptions'!$H$29="Fixed",'Model Inputs &amp; Assumptions'!$I$29*'Model Inputs &amp; Assumptions'!$K$29,IF('Model Inputs &amp; Assumptions'!$H$29="CPM",'Model Inputs &amp; Assumptions'!$I$29*'Model Inputs &amp; Assumptions'!$K$29*C920/1000,IF('Model Inputs &amp; Assumptions'!$H$29="CPC",'Model Inputs &amp; Assumptions'!$I$29*'Model Inputs &amp; Assumptions'!$K$29*G920,0)))</f>
        <v>6500</v>
      </c>
      <c r="J920" s="50" t="n">
        <f aca="false">H920*INDEX('Model Inputs &amp; Assumptions'!$D$40:$D$42,MATCH('Model Inputs &amp; Assumptions'!$L$29,'Model Inputs &amp; Assumptions'!$A$40:$A$42,0))*INDEX('Model Inputs &amp; Assumptions'!$H$40:$H$42,MATCH('Model Inputs &amp; Assumptions'!$L$29,'Model Inputs &amp; Assumptions'!$A$40:$A$42,0))</f>
        <v>101624.349840183</v>
      </c>
      <c r="K920" s="49" t="n">
        <f aca="false">H920*INDEX('Model Inputs &amp; Assumptions'!$G$40:$G$42,MATCH('Model Inputs &amp; Assumptions'!$L$29,'Model Inputs &amp; Assumptions'!$A$40:$A$42,0))*INDEX('Model Inputs &amp; Assumptions'!$H$40:$H$42,MATCH('Model Inputs &amp; Assumptions'!$L$29,'Model Inputs &amp; Assumptions'!$A$40:$A$42,0))</f>
        <v>2286.54787140411</v>
      </c>
      <c r="L920" s="51" t="n">
        <f aca="false">IFERROR(K920/I920,0)</f>
        <v>0.351776595600632</v>
      </c>
      <c r="M920" s="49" t="n">
        <f aca="false">IFERROR(I920/H920,0)</f>
        <v>543.668914850503</v>
      </c>
      <c r="N920" s="52" t="str">
        <f aca="false">'Model Inputs &amp; Assumptions'!$L$29</f>
        <v>PRD-EUAI</v>
      </c>
      <c r="P920" s="53" t="n">
        <v>-0.177244</v>
      </c>
      <c r="Q920" s="53" t="n">
        <v>-0.317657</v>
      </c>
      <c r="R920" s="53" t="n">
        <v>-2.426276</v>
      </c>
      <c r="S920" s="53" t="n">
        <v>-0.435133</v>
      </c>
    </row>
    <row r="921" customFormat="false" ht="15" hidden="false" customHeight="false" outlineLevel="0" collapsed="false">
      <c r="A921" s="43" t="n">
        <v>418</v>
      </c>
      <c r="B921" s="44" t="str">
        <f aca="false">'Model Inputs &amp; Assumptions'!$B$29</f>
        <v>Handelsblatt — Native Explainer</v>
      </c>
      <c r="C921" s="45" t="n">
        <f aca="false">ROUND(MAX(0,'Model Inputs &amp; Assumptions'!$S$29*EXP('Model Inputs &amp; Assumptions'!$T$29*P921-'Model Inputs &amp; Assumptions'!$T$29^2/2)),0)</f>
        <v>318192</v>
      </c>
      <c r="D921" s="46" t="n">
        <f aca="false">MIN(1,'Model Inputs &amp; Assumptions'!$U$29*EXP('Model Inputs &amp; Assumptions'!$V$29*Q921-'Model Inputs &amp; Assumptions'!$V$29^2/2))</f>
        <v>0</v>
      </c>
      <c r="E921" s="45" t="n">
        <f aca="false">ROUND(C921*D921,0)</f>
        <v>0</v>
      </c>
      <c r="F921" s="47" t="n">
        <f aca="false">MIN(1,'Model Inputs &amp; Assumptions'!$W$29*EXP('Model Inputs &amp; Assumptions'!$X$29*R921-'Model Inputs &amp; Assumptions'!$X$29^2/2))</f>
        <v>0.0022075890199453</v>
      </c>
      <c r="G921" s="45" t="n">
        <f aca="false">ROUND(C921*F921,0)</f>
        <v>702</v>
      </c>
      <c r="H921" s="48" t="n">
        <f aca="false">MAX(0,(C921*'Model Inputs &amp; Assumptions'!$N$29+E921*'Model Inputs &amp; Assumptions'!$O$29+G921*'Model Inputs &amp; Assumptions'!$P$29)*EXP('Model Inputs &amp; Assumptions'!$Q$29*S921-'Model Inputs &amp; Assumptions'!$Q$29^2/2))</f>
        <v>54.597971523246</v>
      </c>
      <c r="I921" s="49" t="n">
        <f aca="false">IF('Model Inputs &amp; Assumptions'!$H$29="Fixed",'Model Inputs &amp; Assumptions'!$I$29*'Model Inputs &amp; Assumptions'!$K$29,IF('Model Inputs &amp; Assumptions'!$H$29="CPM",'Model Inputs &amp; Assumptions'!$I$29*'Model Inputs &amp; Assumptions'!$K$29*C921/1000,IF('Model Inputs &amp; Assumptions'!$H$29="CPC",'Model Inputs &amp; Assumptions'!$I$29*'Model Inputs &amp; Assumptions'!$K$29*G921,0)))</f>
        <v>6500</v>
      </c>
      <c r="J921" s="50" t="n">
        <f aca="false">H921*INDEX('Model Inputs &amp; Assumptions'!$D$40:$D$42,MATCH('Model Inputs &amp; Assumptions'!$L$29,'Model Inputs &amp; Assumptions'!$A$40:$A$42,0))*INDEX('Model Inputs &amp; Assumptions'!$H$40:$H$42,MATCH('Model Inputs &amp; Assumptions'!$L$29,'Model Inputs &amp; Assumptions'!$A$40:$A$42,0))</f>
        <v>464082.757947591</v>
      </c>
      <c r="K921" s="49" t="n">
        <f aca="false">H921*INDEX('Model Inputs &amp; Assumptions'!$G$40:$G$42,MATCH('Model Inputs &amp; Assumptions'!$L$29,'Model Inputs &amp; Assumptions'!$A$40:$A$42,0))*INDEX('Model Inputs &amp; Assumptions'!$H$40:$H$42,MATCH('Model Inputs &amp; Assumptions'!$L$29,'Model Inputs &amp; Assumptions'!$A$40:$A$42,0))</f>
        <v>10441.8620538208</v>
      </c>
      <c r="L921" s="51" t="n">
        <f aca="false">IFERROR(K921/I921,0)</f>
        <v>1.60644031597243</v>
      </c>
      <c r="M921" s="49" t="n">
        <f aca="false">IFERROR(I921/H921,0)</f>
        <v>119.052042020142</v>
      </c>
      <c r="N921" s="52" t="str">
        <f aca="false">'Model Inputs &amp; Assumptions'!$L$29</f>
        <v>PRD-EUAI</v>
      </c>
      <c r="P921" s="53" t="n">
        <v>2.266303</v>
      </c>
      <c r="Q921" s="53" t="n">
        <v>-0.105199</v>
      </c>
      <c r="R921" s="53" t="n">
        <v>-1.019089</v>
      </c>
      <c r="S921" s="53" t="n">
        <v>1.622652</v>
      </c>
    </row>
    <row r="922" customFormat="false" ht="15" hidden="false" customHeight="false" outlineLevel="0" collapsed="false">
      <c r="A922" s="43" t="n">
        <v>419</v>
      </c>
      <c r="B922" s="44" t="str">
        <f aca="false">'Model Inputs &amp; Assumptions'!$B$29</f>
        <v>Handelsblatt — Native Explainer</v>
      </c>
      <c r="C922" s="45" t="n">
        <f aca="false">ROUND(MAX(0,'Model Inputs &amp; Assumptions'!$S$29*EXP('Model Inputs &amp; Assumptions'!$T$29*P922-'Model Inputs &amp; Assumptions'!$T$29^2/2)),0)</f>
        <v>219276</v>
      </c>
      <c r="D922" s="46" t="n">
        <f aca="false">MIN(1,'Model Inputs &amp; Assumptions'!$U$29*EXP('Model Inputs &amp; Assumptions'!$V$29*Q922-'Model Inputs &amp; Assumptions'!$V$29^2/2))</f>
        <v>0</v>
      </c>
      <c r="E922" s="45" t="n">
        <f aca="false">ROUND(C922*D922,0)</f>
        <v>0</v>
      </c>
      <c r="F922" s="47" t="n">
        <f aca="false">MIN(1,'Model Inputs &amp; Assumptions'!$W$29*EXP('Model Inputs &amp; Assumptions'!$X$29*R922-'Model Inputs &amp; Assumptions'!$X$29^2/2))</f>
        <v>0.0031081863808907</v>
      </c>
      <c r="G922" s="45" t="n">
        <f aca="false">ROUND(C922*F922,0)</f>
        <v>682</v>
      </c>
      <c r="H922" s="48" t="n">
        <f aca="false">MAX(0,(C922*'Model Inputs &amp; Assumptions'!$N$29+E922*'Model Inputs &amp; Assumptions'!$O$29+G922*'Model Inputs &amp; Assumptions'!$P$29)*EXP('Model Inputs &amp; Assumptions'!$Q$29*S922-'Model Inputs &amp; Assumptions'!$Q$29^2/2))</f>
        <v>56.0740301286379</v>
      </c>
      <c r="I922" s="49" t="n">
        <f aca="false">IF('Model Inputs &amp; Assumptions'!$H$29="Fixed",'Model Inputs &amp; Assumptions'!$I$29*'Model Inputs &amp; Assumptions'!$K$29,IF('Model Inputs &amp; Assumptions'!$H$29="CPM",'Model Inputs &amp; Assumptions'!$I$29*'Model Inputs &amp; Assumptions'!$K$29*C922/1000,IF('Model Inputs &amp; Assumptions'!$H$29="CPC",'Model Inputs &amp; Assumptions'!$I$29*'Model Inputs &amp; Assumptions'!$K$29*G922,0)))</f>
        <v>6500</v>
      </c>
      <c r="J922" s="50" t="n">
        <f aca="false">H922*INDEX('Model Inputs &amp; Assumptions'!$D$40:$D$42,MATCH('Model Inputs &amp; Assumptions'!$L$29,'Model Inputs &amp; Assumptions'!$A$40:$A$42,0))*INDEX('Model Inputs &amp; Assumptions'!$H$40:$H$42,MATCH('Model Inputs &amp; Assumptions'!$L$29,'Model Inputs &amp; Assumptions'!$A$40:$A$42,0))</f>
        <v>476629.256093422</v>
      </c>
      <c r="K922" s="49" t="n">
        <f aca="false">H922*INDEX('Model Inputs &amp; Assumptions'!$G$40:$G$42,MATCH('Model Inputs &amp; Assumptions'!$L$29,'Model Inputs &amp; Assumptions'!$A$40:$A$42,0))*INDEX('Model Inputs &amp; Assumptions'!$H$40:$H$42,MATCH('Model Inputs &amp; Assumptions'!$L$29,'Model Inputs &amp; Assumptions'!$A$40:$A$42,0))</f>
        <v>10724.158262102</v>
      </c>
      <c r="L922" s="51" t="n">
        <f aca="false">IFERROR(K922/I922,0)</f>
        <v>1.64987050186185</v>
      </c>
      <c r="M922" s="49" t="n">
        <f aca="false">IFERROR(I922/H922,0)</f>
        <v>115.918188599759</v>
      </c>
      <c r="N922" s="52" t="str">
        <f aca="false">'Model Inputs &amp; Assumptions'!$L$29</f>
        <v>PRD-EUAI</v>
      </c>
      <c r="P922" s="53" t="n">
        <v>0.573921</v>
      </c>
      <c r="Q922" s="53" t="n">
        <v>-0.204046</v>
      </c>
      <c r="R922" s="53" t="n">
        <v>0.296828</v>
      </c>
      <c r="S922" s="53" t="n">
        <v>1.807918</v>
      </c>
    </row>
    <row r="923" customFormat="false" ht="15" hidden="false" customHeight="false" outlineLevel="0" collapsed="false">
      <c r="A923" s="43" t="n">
        <v>420</v>
      </c>
      <c r="B923" s="44" t="str">
        <f aca="false">'Model Inputs &amp; Assumptions'!$B$29</f>
        <v>Handelsblatt — Native Explainer</v>
      </c>
      <c r="C923" s="45" t="n">
        <f aca="false">ROUND(MAX(0,'Model Inputs &amp; Assumptions'!$S$29*EXP('Model Inputs &amp; Assumptions'!$T$29*P923-'Model Inputs &amp; Assumptions'!$T$29^2/2)),0)</f>
        <v>206971</v>
      </c>
      <c r="D923" s="46" t="n">
        <f aca="false">MIN(1,'Model Inputs &amp; Assumptions'!$U$29*EXP('Model Inputs &amp; Assumptions'!$V$29*Q923-'Model Inputs &amp; Assumptions'!$V$29^2/2))</f>
        <v>0</v>
      </c>
      <c r="E923" s="45" t="n">
        <f aca="false">ROUND(C923*D923,0)</f>
        <v>0</v>
      </c>
      <c r="F923" s="47" t="n">
        <f aca="false">MIN(1,'Model Inputs &amp; Assumptions'!$W$29*EXP('Model Inputs &amp; Assumptions'!$X$29*R923-'Model Inputs &amp; Assumptions'!$X$29^2/2))</f>
        <v>0.00328537827928698</v>
      </c>
      <c r="G923" s="45" t="n">
        <f aca="false">ROUND(C923*F923,0)</f>
        <v>680</v>
      </c>
      <c r="H923" s="48" t="n">
        <f aca="false">MAX(0,(C923*'Model Inputs &amp; Assumptions'!$N$29+E923*'Model Inputs &amp; Assumptions'!$O$29+G923*'Model Inputs &amp; Assumptions'!$P$29)*EXP('Model Inputs &amp; Assumptions'!$Q$29*S923-'Model Inputs &amp; Assumptions'!$Q$29^2/2))</f>
        <v>18.8242969168909</v>
      </c>
      <c r="I923" s="49" t="n">
        <f aca="false">IF('Model Inputs &amp; Assumptions'!$H$29="Fixed",'Model Inputs &amp; Assumptions'!$I$29*'Model Inputs &amp; Assumptions'!$K$29,IF('Model Inputs &amp; Assumptions'!$H$29="CPM",'Model Inputs &amp; Assumptions'!$I$29*'Model Inputs &amp; Assumptions'!$K$29*C923/1000,IF('Model Inputs &amp; Assumptions'!$H$29="CPC",'Model Inputs &amp; Assumptions'!$I$29*'Model Inputs &amp; Assumptions'!$K$29*G923,0)))</f>
        <v>6500</v>
      </c>
      <c r="J923" s="50" t="n">
        <f aca="false">H923*INDEX('Model Inputs &amp; Assumptions'!$D$40:$D$42,MATCH('Model Inputs &amp; Assumptions'!$L$29,'Model Inputs &amp; Assumptions'!$A$40:$A$42,0))*INDEX('Model Inputs &amp; Assumptions'!$H$40:$H$42,MATCH('Model Inputs &amp; Assumptions'!$L$29,'Model Inputs &amp; Assumptions'!$A$40:$A$42,0))</f>
        <v>160006.523793573</v>
      </c>
      <c r="K923" s="49" t="n">
        <f aca="false">H923*INDEX('Model Inputs &amp; Assumptions'!$G$40:$G$42,MATCH('Model Inputs &amp; Assumptions'!$L$29,'Model Inputs &amp; Assumptions'!$A$40:$A$42,0))*INDEX('Model Inputs &amp; Assumptions'!$H$40:$H$42,MATCH('Model Inputs &amp; Assumptions'!$L$29,'Model Inputs &amp; Assumptions'!$A$40:$A$42,0))</f>
        <v>3600.14678535539</v>
      </c>
      <c r="L923" s="51" t="n">
        <f aca="false">IFERROR(K923/I923,0)</f>
        <v>0.553868736208522</v>
      </c>
      <c r="M923" s="49" t="n">
        <f aca="false">IFERROR(I923/H923,0)</f>
        <v>345.298420902381</v>
      </c>
      <c r="N923" s="52" t="str">
        <f aca="false">'Model Inputs &amp; Assumptions'!$L$29</f>
        <v>PRD-EUAI</v>
      </c>
      <c r="P923" s="53" t="n">
        <v>0.311412</v>
      </c>
      <c r="Q923" s="53" t="n">
        <v>-0.336796</v>
      </c>
      <c r="R923" s="53" t="n">
        <v>0.510068</v>
      </c>
      <c r="S923" s="53" t="n">
        <v>-1.820707</v>
      </c>
    </row>
    <row r="924" customFormat="false" ht="15" hidden="false" customHeight="false" outlineLevel="0" collapsed="false">
      <c r="A924" s="43" t="n">
        <v>421</v>
      </c>
      <c r="B924" s="44" t="str">
        <f aca="false">'Model Inputs &amp; Assumptions'!$B$29</f>
        <v>Handelsblatt — Native Explainer</v>
      </c>
      <c r="C924" s="45" t="n">
        <f aca="false">ROUND(MAX(0,'Model Inputs &amp; Assumptions'!$S$29*EXP('Model Inputs &amp; Assumptions'!$T$29*P924-'Model Inputs &amp; Assumptions'!$T$29^2/2)),0)</f>
        <v>266578</v>
      </c>
      <c r="D924" s="46" t="n">
        <f aca="false">MIN(1,'Model Inputs &amp; Assumptions'!$U$29*EXP('Model Inputs &amp; Assumptions'!$V$29*Q924-'Model Inputs &amp; Assumptions'!$V$29^2/2))</f>
        <v>0</v>
      </c>
      <c r="E924" s="45" t="n">
        <f aca="false">ROUND(C924*D924,0)</f>
        <v>0</v>
      </c>
      <c r="F924" s="47" t="n">
        <f aca="false">MIN(1,'Model Inputs &amp; Assumptions'!$W$29*EXP('Model Inputs &amp; Assumptions'!$X$29*R924-'Model Inputs &amp; Assumptions'!$X$29^2/2))</f>
        <v>0.00238594425210298</v>
      </c>
      <c r="G924" s="45" t="n">
        <f aca="false">ROUND(C924*F924,0)</f>
        <v>636</v>
      </c>
      <c r="H924" s="48" t="n">
        <f aca="false">MAX(0,(C924*'Model Inputs &amp; Assumptions'!$N$29+E924*'Model Inputs &amp; Assumptions'!$O$29+G924*'Model Inputs &amp; Assumptions'!$P$29)*EXP('Model Inputs &amp; Assumptions'!$Q$29*S924-'Model Inputs &amp; Assumptions'!$Q$29^2/2))</f>
        <v>37.0470523467936</v>
      </c>
      <c r="I924" s="49" t="n">
        <f aca="false">IF('Model Inputs &amp; Assumptions'!$H$29="Fixed",'Model Inputs &amp; Assumptions'!$I$29*'Model Inputs &amp; Assumptions'!$K$29,IF('Model Inputs &amp; Assumptions'!$H$29="CPM",'Model Inputs &amp; Assumptions'!$I$29*'Model Inputs &amp; Assumptions'!$K$29*C924/1000,IF('Model Inputs &amp; Assumptions'!$H$29="CPC",'Model Inputs &amp; Assumptions'!$I$29*'Model Inputs &amp; Assumptions'!$K$29*G924,0)))</f>
        <v>6500</v>
      </c>
      <c r="J924" s="50" t="n">
        <f aca="false">H924*INDEX('Model Inputs &amp; Assumptions'!$D$40:$D$42,MATCH('Model Inputs &amp; Assumptions'!$L$29,'Model Inputs &amp; Assumptions'!$A$40:$A$42,0))*INDEX('Model Inputs &amp; Assumptions'!$H$40:$H$42,MATCH('Model Inputs &amp; Assumptions'!$L$29,'Model Inputs &amp; Assumptions'!$A$40:$A$42,0))</f>
        <v>314899.944947746</v>
      </c>
      <c r="K924" s="49" t="n">
        <f aca="false">H924*INDEX('Model Inputs &amp; Assumptions'!$G$40:$G$42,MATCH('Model Inputs &amp; Assumptions'!$L$29,'Model Inputs &amp; Assumptions'!$A$40:$A$42,0))*INDEX('Model Inputs &amp; Assumptions'!$H$40:$H$42,MATCH('Model Inputs &amp; Assumptions'!$L$29,'Model Inputs &amp; Assumptions'!$A$40:$A$42,0))</f>
        <v>7085.24876132428</v>
      </c>
      <c r="L924" s="51" t="n">
        <f aca="false">IFERROR(K924/I924,0)</f>
        <v>1.09003827097297</v>
      </c>
      <c r="M924" s="49" t="n">
        <f aca="false">IFERROR(I924/H924,0)</f>
        <v>175.452555284404</v>
      </c>
      <c r="N924" s="52" t="str">
        <f aca="false">'Model Inputs &amp; Assumptions'!$L$29</f>
        <v>PRD-EUAI</v>
      </c>
      <c r="P924" s="53" t="n">
        <v>1.461816</v>
      </c>
      <c r="Q924" s="53" t="n">
        <v>-2.281274</v>
      </c>
      <c r="R924" s="53" t="n">
        <v>-0.720266</v>
      </c>
      <c r="S924" s="53" t="n">
        <v>0.659075</v>
      </c>
    </row>
    <row r="925" customFormat="false" ht="15" hidden="false" customHeight="false" outlineLevel="0" collapsed="false">
      <c r="A925" s="43" t="n">
        <v>422</v>
      </c>
      <c r="B925" s="44" t="str">
        <f aca="false">'Model Inputs &amp; Assumptions'!$B$29</f>
        <v>Handelsblatt — Native Explainer</v>
      </c>
      <c r="C925" s="45" t="n">
        <f aca="false">ROUND(MAX(0,'Model Inputs &amp; Assumptions'!$S$29*EXP('Model Inputs &amp; Assumptions'!$T$29*P925-'Model Inputs &amp; Assumptions'!$T$29^2/2)),0)</f>
        <v>179295</v>
      </c>
      <c r="D925" s="46" t="n">
        <f aca="false">MIN(1,'Model Inputs &amp; Assumptions'!$U$29*EXP('Model Inputs &amp; Assumptions'!$V$29*Q925-'Model Inputs &amp; Assumptions'!$V$29^2/2))</f>
        <v>0</v>
      </c>
      <c r="E925" s="45" t="n">
        <f aca="false">ROUND(C925*D925,0)</f>
        <v>0</v>
      </c>
      <c r="F925" s="47" t="n">
        <f aca="false">MIN(1,'Model Inputs &amp; Assumptions'!$W$29*EXP('Model Inputs &amp; Assumptions'!$X$29*R925-'Model Inputs &amp; Assumptions'!$X$29^2/2))</f>
        <v>0.0026550991505033</v>
      </c>
      <c r="G925" s="45" t="n">
        <f aca="false">ROUND(C925*F925,0)</f>
        <v>476</v>
      </c>
      <c r="H925" s="48" t="n">
        <f aca="false">MAX(0,(C925*'Model Inputs &amp; Assumptions'!$N$29+E925*'Model Inputs &amp; Assumptions'!$O$29+G925*'Model Inputs &amp; Assumptions'!$P$29)*EXP('Model Inputs &amp; Assumptions'!$Q$29*S925-'Model Inputs &amp; Assumptions'!$Q$29^2/2))</f>
        <v>16.4249214280264</v>
      </c>
      <c r="I925" s="49" t="n">
        <f aca="false">IF('Model Inputs &amp; Assumptions'!$H$29="Fixed",'Model Inputs &amp; Assumptions'!$I$29*'Model Inputs &amp; Assumptions'!$K$29,IF('Model Inputs &amp; Assumptions'!$H$29="CPM",'Model Inputs &amp; Assumptions'!$I$29*'Model Inputs &amp; Assumptions'!$K$29*C925/1000,IF('Model Inputs &amp; Assumptions'!$H$29="CPC",'Model Inputs &amp; Assumptions'!$I$29*'Model Inputs &amp; Assumptions'!$K$29*G925,0)))</f>
        <v>6500</v>
      </c>
      <c r="J925" s="50" t="n">
        <f aca="false">H925*INDEX('Model Inputs &amp; Assumptions'!$D$40:$D$42,MATCH('Model Inputs &amp; Assumptions'!$L$29,'Model Inputs &amp; Assumptions'!$A$40:$A$42,0))*INDEX('Model Inputs &amp; Assumptions'!$H$40:$H$42,MATCH('Model Inputs &amp; Assumptions'!$L$29,'Model Inputs &amp; Assumptions'!$A$40:$A$42,0))</f>
        <v>139611.832138224</v>
      </c>
      <c r="K925" s="49" t="n">
        <f aca="false">H925*INDEX('Model Inputs &amp; Assumptions'!$G$40:$G$42,MATCH('Model Inputs &amp; Assumptions'!$L$29,'Model Inputs &amp; Assumptions'!$A$40:$A$42,0))*INDEX('Model Inputs &amp; Assumptions'!$H$40:$H$42,MATCH('Model Inputs &amp; Assumptions'!$L$29,'Model Inputs &amp; Assumptions'!$A$40:$A$42,0))</f>
        <v>3141.26622311005</v>
      </c>
      <c r="L925" s="51" t="n">
        <f aca="false">IFERROR(K925/I925,0)</f>
        <v>0.483271726632315</v>
      </c>
      <c r="M925" s="49" t="n">
        <f aca="false">IFERROR(I925/H925,0)</f>
        <v>395.740097052083</v>
      </c>
      <c r="N925" s="52" t="str">
        <f aca="false">'Model Inputs &amp; Assumptions'!$L$29</f>
        <v>PRD-EUAI</v>
      </c>
      <c r="P925" s="53" t="n">
        <v>-0.341072</v>
      </c>
      <c r="Q925" s="53" t="n">
        <v>1.912464</v>
      </c>
      <c r="R925" s="53" t="n">
        <v>-0.309162</v>
      </c>
      <c r="S925" s="53" t="n">
        <v>-1.086286</v>
      </c>
    </row>
    <row r="926" customFormat="false" ht="15" hidden="false" customHeight="false" outlineLevel="0" collapsed="false">
      <c r="A926" s="43" t="n">
        <v>423</v>
      </c>
      <c r="B926" s="44" t="str">
        <f aca="false">'Model Inputs &amp; Assumptions'!$B$29</f>
        <v>Handelsblatt — Native Explainer</v>
      </c>
      <c r="C926" s="45" t="n">
        <f aca="false">ROUND(MAX(0,'Model Inputs &amp; Assumptions'!$S$29*EXP('Model Inputs &amp; Assumptions'!$T$29*P926-'Model Inputs &amp; Assumptions'!$T$29^2/2)),0)</f>
        <v>183610</v>
      </c>
      <c r="D926" s="46" t="n">
        <f aca="false">MIN(1,'Model Inputs &amp; Assumptions'!$U$29*EXP('Model Inputs &amp; Assumptions'!$V$29*Q926-'Model Inputs &amp; Assumptions'!$V$29^2/2))</f>
        <v>0</v>
      </c>
      <c r="E926" s="45" t="n">
        <f aca="false">ROUND(C926*D926,0)</f>
        <v>0</v>
      </c>
      <c r="F926" s="47" t="n">
        <f aca="false">MIN(1,'Model Inputs &amp; Assumptions'!$W$29*EXP('Model Inputs &amp; Assumptions'!$X$29*R926-'Model Inputs &amp; Assumptions'!$X$29^2/2))</f>
        <v>0.00312598689214571</v>
      </c>
      <c r="G926" s="45" t="n">
        <f aca="false">ROUND(C926*F926,0)</f>
        <v>574</v>
      </c>
      <c r="H926" s="48" t="n">
        <f aca="false">MAX(0,(C926*'Model Inputs &amp; Assumptions'!$N$29+E926*'Model Inputs &amp; Assumptions'!$O$29+G926*'Model Inputs &amp; Assumptions'!$P$29)*EXP('Model Inputs &amp; Assumptions'!$Q$29*S926-'Model Inputs &amp; Assumptions'!$Q$29^2/2))</f>
        <v>16.8233806251611</v>
      </c>
      <c r="I926" s="49" t="n">
        <f aca="false">IF('Model Inputs &amp; Assumptions'!$H$29="Fixed",'Model Inputs &amp; Assumptions'!$I$29*'Model Inputs &amp; Assumptions'!$K$29,IF('Model Inputs &amp; Assumptions'!$H$29="CPM",'Model Inputs &amp; Assumptions'!$I$29*'Model Inputs &amp; Assumptions'!$K$29*C926/1000,IF('Model Inputs &amp; Assumptions'!$H$29="CPC",'Model Inputs &amp; Assumptions'!$I$29*'Model Inputs &amp; Assumptions'!$K$29*G926,0)))</f>
        <v>6500</v>
      </c>
      <c r="J926" s="50" t="n">
        <f aca="false">H926*INDEX('Model Inputs &amp; Assumptions'!$D$40:$D$42,MATCH('Model Inputs &amp; Assumptions'!$L$29,'Model Inputs &amp; Assumptions'!$A$40:$A$42,0))*INDEX('Model Inputs &amp; Assumptions'!$H$40:$H$42,MATCH('Model Inputs &amp; Assumptions'!$L$29,'Model Inputs &amp; Assumptions'!$A$40:$A$42,0))</f>
        <v>142998.73531387</v>
      </c>
      <c r="K926" s="49" t="n">
        <f aca="false">H926*INDEX('Model Inputs &amp; Assumptions'!$G$40:$G$42,MATCH('Model Inputs &amp; Assumptions'!$L$29,'Model Inputs &amp; Assumptions'!$A$40:$A$42,0))*INDEX('Model Inputs &amp; Assumptions'!$H$40:$H$42,MATCH('Model Inputs &amp; Assumptions'!$L$29,'Model Inputs &amp; Assumptions'!$A$40:$A$42,0))</f>
        <v>3217.47154456207</v>
      </c>
      <c r="L926" s="51" t="n">
        <f aca="false">IFERROR(K926/I926,0)</f>
        <v>0.494995622240318</v>
      </c>
      <c r="M926" s="49" t="n">
        <f aca="false">IFERROR(I926/H926,0)</f>
        <v>386.367053377997</v>
      </c>
      <c r="N926" s="52" t="str">
        <f aca="false">'Model Inputs &amp; Assumptions'!$L$29</f>
        <v>PRD-EUAI</v>
      </c>
      <c r="P926" s="53" t="n">
        <v>-0.232969</v>
      </c>
      <c r="Q926" s="53" t="n">
        <v>-0.255355</v>
      </c>
      <c r="R926" s="53" t="n">
        <v>0.318792</v>
      </c>
      <c r="S926" s="53" t="n">
        <v>-1.630425</v>
      </c>
    </row>
    <row r="927" customFormat="false" ht="15" hidden="false" customHeight="false" outlineLevel="0" collapsed="false">
      <c r="A927" s="43" t="n">
        <v>424</v>
      </c>
      <c r="B927" s="44" t="str">
        <f aca="false">'Model Inputs &amp; Assumptions'!$B$29</f>
        <v>Handelsblatt — Native Explainer</v>
      </c>
      <c r="C927" s="45" t="n">
        <f aca="false">ROUND(MAX(0,'Model Inputs &amp; Assumptions'!$S$29*EXP('Model Inputs &amp; Assumptions'!$T$29*P927-'Model Inputs &amp; Assumptions'!$T$29^2/2)),0)</f>
        <v>278051</v>
      </c>
      <c r="D927" s="46" t="n">
        <f aca="false">MIN(1,'Model Inputs &amp; Assumptions'!$U$29*EXP('Model Inputs &amp; Assumptions'!$V$29*Q927-'Model Inputs &amp; Assumptions'!$V$29^2/2))</f>
        <v>0</v>
      </c>
      <c r="E927" s="45" t="n">
        <f aca="false">ROUND(C927*D927,0)</f>
        <v>0</v>
      </c>
      <c r="F927" s="47" t="n">
        <f aca="false">MIN(1,'Model Inputs &amp; Assumptions'!$W$29*EXP('Model Inputs &amp; Assumptions'!$X$29*R927-'Model Inputs &amp; Assumptions'!$X$29^2/2))</f>
        <v>0.00240012015052352</v>
      </c>
      <c r="G927" s="45" t="n">
        <f aca="false">ROUND(C927*F927,0)</f>
        <v>667</v>
      </c>
      <c r="H927" s="48" t="n">
        <f aca="false">MAX(0,(C927*'Model Inputs &amp; Assumptions'!$N$29+E927*'Model Inputs &amp; Assumptions'!$O$29+G927*'Model Inputs &amp; Assumptions'!$P$29)*EXP('Model Inputs &amp; Assumptions'!$Q$29*S927-'Model Inputs &amp; Assumptions'!$Q$29^2/2))</f>
        <v>22.5239361438581</v>
      </c>
      <c r="I927" s="49" t="n">
        <f aca="false">IF('Model Inputs &amp; Assumptions'!$H$29="Fixed",'Model Inputs &amp; Assumptions'!$I$29*'Model Inputs &amp; Assumptions'!$K$29,IF('Model Inputs &amp; Assumptions'!$H$29="CPM",'Model Inputs &amp; Assumptions'!$I$29*'Model Inputs &amp; Assumptions'!$K$29*C927/1000,IF('Model Inputs &amp; Assumptions'!$H$29="CPC",'Model Inputs &amp; Assumptions'!$I$29*'Model Inputs &amp; Assumptions'!$K$29*G927,0)))</f>
        <v>6500</v>
      </c>
      <c r="J927" s="50" t="n">
        <f aca="false">H927*INDEX('Model Inputs &amp; Assumptions'!$D$40:$D$42,MATCH('Model Inputs &amp; Assumptions'!$L$29,'Model Inputs &amp; Assumptions'!$A$40:$A$42,0))*INDEX('Model Inputs &amp; Assumptions'!$H$40:$H$42,MATCH('Model Inputs &amp; Assumptions'!$L$29,'Model Inputs &amp; Assumptions'!$A$40:$A$42,0))</f>
        <v>191453.457222794</v>
      </c>
      <c r="K927" s="49" t="n">
        <f aca="false">H927*INDEX('Model Inputs &amp; Assumptions'!$G$40:$G$42,MATCH('Model Inputs &amp; Assumptions'!$L$29,'Model Inputs &amp; Assumptions'!$A$40:$A$42,0))*INDEX('Model Inputs &amp; Assumptions'!$H$40:$H$42,MATCH('Model Inputs &amp; Assumptions'!$L$29,'Model Inputs &amp; Assumptions'!$A$40:$A$42,0))</f>
        <v>4307.70278751287</v>
      </c>
      <c r="L927" s="51" t="n">
        <f aca="false">IFERROR(K927/I927,0)</f>
        <v>0.662723505771211</v>
      </c>
      <c r="M927" s="49" t="n">
        <f aca="false">IFERROR(I927/H927,0)</f>
        <v>288.58188721923</v>
      </c>
      <c r="N927" s="52" t="str">
        <f aca="false">'Model Inputs &amp; Assumptions'!$L$29</f>
        <v>PRD-EUAI</v>
      </c>
      <c r="P927" s="53" t="n">
        <v>1.653349</v>
      </c>
      <c r="Q927" s="53" t="n">
        <v>-1.51985</v>
      </c>
      <c r="R927" s="53" t="n">
        <v>-0.697482</v>
      </c>
      <c r="S927" s="53" t="n">
        <v>-1.158264</v>
      </c>
    </row>
    <row r="928" customFormat="false" ht="15" hidden="false" customHeight="false" outlineLevel="0" collapsed="false">
      <c r="A928" s="43" t="n">
        <v>425</v>
      </c>
      <c r="B928" s="44" t="str">
        <f aca="false">'Model Inputs &amp; Assumptions'!$B$29</f>
        <v>Handelsblatt — Native Explainer</v>
      </c>
      <c r="C928" s="45" t="n">
        <f aca="false">ROUND(MAX(0,'Model Inputs &amp; Assumptions'!$S$29*EXP('Model Inputs &amp; Assumptions'!$T$29*P928-'Model Inputs &amp; Assumptions'!$T$29^2/2)),0)</f>
        <v>260149</v>
      </c>
      <c r="D928" s="46" t="n">
        <f aca="false">MIN(1,'Model Inputs &amp; Assumptions'!$U$29*EXP('Model Inputs &amp; Assumptions'!$V$29*Q928-'Model Inputs &amp; Assumptions'!$V$29^2/2))</f>
        <v>0</v>
      </c>
      <c r="E928" s="45" t="n">
        <f aca="false">ROUND(C928*D928,0)</f>
        <v>0</v>
      </c>
      <c r="F928" s="47" t="n">
        <f aca="false">MIN(1,'Model Inputs &amp; Assumptions'!$W$29*EXP('Model Inputs &amp; Assumptions'!$X$29*R928-'Model Inputs &amp; Assumptions'!$X$29^2/2))</f>
        <v>0.00461855219751235</v>
      </c>
      <c r="G928" s="45" t="n">
        <f aca="false">ROUND(C928*F928,0)</f>
        <v>1202</v>
      </c>
      <c r="H928" s="48" t="n">
        <f aca="false">MAX(0,(C928*'Model Inputs &amp; Assumptions'!$N$29+E928*'Model Inputs &amp; Assumptions'!$O$29+G928*'Model Inputs &amp; Assumptions'!$P$29)*EXP('Model Inputs &amp; Assumptions'!$Q$29*S928-'Model Inputs &amp; Assumptions'!$Q$29^2/2))</f>
        <v>58.2165478440348</v>
      </c>
      <c r="I928" s="49" t="n">
        <f aca="false">IF('Model Inputs &amp; Assumptions'!$H$29="Fixed",'Model Inputs &amp; Assumptions'!$I$29*'Model Inputs &amp; Assumptions'!$K$29,IF('Model Inputs &amp; Assumptions'!$H$29="CPM",'Model Inputs &amp; Assumptions'!$I$29*'Model Inputs &amp; Assumptions'!$K$29*C928/1000,IF('Model Inputs &amp; Assumptions'!$H$29="CPC",'Model Inputs &amp; Assumptions'!$I$29*'Model Inputs &amp; Assumptions'!$K$29*G928,0)))</f>
        <v>6500</v>
      </c>
      <c r="J928" s="50" t="n">
        <f aca="false">H928*INDEX('Model Inputs &amp; Assumptions'!$D$40:$D$42,MATCH('Model Inputs &amp; Assumptions'!$L$29,'Model Inputs &amp; Assumptions'!$A$40:$A$42,0))*INDEX('Model Inputs &amp; Assumptions'!$H$40:$H$42,MATCH('Model Inputs &amp; Assumptions'!$L$29,'Model Inputs &amp; Assumptions'!$A$40:$A$42,0))</f>
        <v>494840.656674296</v>
      </c>
      <c r="K928" s="49" t="n">
        <f aca="false">H928*INDEX('Model Inputs &amp; Assumptions'!$G$40:$G$42,MATCH('Model Inputs &amp; Assumptions'!$L$29,'Model Inputs &amp; Assumptions'!$A$40:$A$42,0))*INDEX('Model Inputs &amp; Assumptions'!$H$40:$H$42,MATCH('Model Inputs &amp; Assumptions'!$L$29,'Model Inputs &amp; Assumptions'!$A$40:$A$42,0))</f>
        <v>11133.9147751717</v>
      </c>
      <c r="L928" s="51" t="n">
        <f aca="false">IFERROR(K928/I928,0)</f>
        <v>1.71290996541102</v>
      </c>
      <c r="M928" s="49" t="n">
        <f aca="false">IFERROR(I928/H928,0)</f>
        <v>111.652103065504</v>
      </c>
      <c r="N928" s="52" t="str">
        <f aca="false">'Model Inputs &amp; Assumptions'!$L$29</f>
        <v>PRD-EUAI</v>
      </c>
      <c r="P928" s="53" t="n">
        <v>1.350846</v>
      </c>
      <c r="Q928" s="53" t="n">
        <v>-0.651113</v>
      </c>
      <c r="R928" s="53" t="n">
        <v>1.820066</v>
      </c>
      <c r="S928" s="53" t="n">
        <v>0.043866</v>
      </c>
    </row>
    <row r="929" customFormat="false" ht="15" hidden="false" customHeight="false" outlineLevel="0" collapsed="false">
      <c r="A929" s="43" t="n">
        <v>426</v>
      </c>
      <c r="B929" s="44" t="str">
        <f aca="false">'Model Inputs &amp; Assumptions'!$B$29</f>
        <v>Handelsblatt — Native Explainer</v>
      </c>
      <c r="C929" s="45" t="n">
        <f aca="false">ROUND(MAX(0,'Model Inputs &amp; Assumptions'!$S$29*EXP('Model Inputs &amp; Assumptions'!$T$29*P929-'Model Inputs &amp; Assumptions'!$T$29^2/2)),0)</f>
        <v>163011</v>
      </c>
      <c r="D929" s="46" t="n">
        <f aca="false">MIN(1,'Model Inputs &amp; Assumptions'!$U$29*EXP('Model Inputs &amp; Assumptions'!$V$29*Q929-'Model Inputs &amp; Assumptions'!$V$29^2/2))</f>
        <v>0</v>
      </c>
      <c r="E929" s="45" t="n">
        <f aca="false">ROUND(C929*D929,0)</f>
        <v>0</v>
      </c>
      <c r="F929" s="47" t="n">
        <f aca="false">MIN(1,'Model Inputs &amp; Assumptions'!$W$29*EXP('Model Inputs &amp; Assumptions'!$X$29*R929-'Model Inputs &amp; Assumptions'!$X$29^2/2))</f>
        <v>0.00509955478478627</v>
      </c>
      <c r="G929" s="45" t="n">
        <f aca="false">ROUND(C929*F929,0)</f>
        <v>831</v>
      </c>
      <c r="H929" s="48" t="n">
        <f aca="false">MAX(0,(C929*'Model Inputs &amp; Assumptions'!$N$29+E929*'Model Inputs &amp; Assumptions'!$O$29+G929*'Model Inputs &amp; Assumptions'!$P$29)*EXP('Model Inputs &amp; Assumptions'!$Q$29*S929-'Model Inputs &amp; Assumptions'!$Q$29^2/2))</f>
        <v>50.3371020898713</v>
      </c>
      <c r="I929" s="49" t="n">
        <f aca="false">IF('Model Inputs &amp; Assumptions'!$H$29="Fixed",'Model Inputs &amp; Assumptions'!$I$29*'Model Inputs &amp; Assumptions'!$K$29,IF('Model Inputs &amp; Assumptions'!$H$29="CPM",'Model Inputs &amp; Assumptions'!$I$29*'Model Inputs &amp; Assumptions'!$K$29*C929/1000,IF('Model Inputs &amp; Assumptions'!$H$29="CPC",'Model Inputs &amp; Assumptions'!$I$29*'Model Inputs &amp; Assumptions'!$K$29*G929,0)))</f>
        <v>6500</v>
      </c>
      <c r="J929" s="50" t="n">
        <f aca="false">H929*INDEX('Model Inputs &amp; Assumptions'!$D$40:$D$42,MATCH('Model Inputs &amp; Assumptions'!$L$29,'Model Inputs &amp; Assumptions'!$A$40:$A$42,0))*INDEX('Model Inputs &amp; Assumptions'!$H$40:$H$42,MATCH('Model Inputs &amp; Assumptions'!$L$29,'Model Inputs &amp; Assumptions'!$A$40:$A$42,0))</f>
        <v>427865.367763906</v>
      </c>
      <c r="K929" s="49" t="n">
        <f aca="false">H929*INDEX('Model Inputs &amp; Assumptions'!$G$40:$G$42,MATCH('Model Inputs &amp; Assumptions'!$L$29,'Model Inputs &amp; Assumptions'!$A$40:$A$42,0))*INDEX('Model Inputs &amp; Assumptions'!$H$40:$H$42,MATCH('Model Inputs &amp; Assumptions'!$L$29,'Model Inputs &amp; Assumptions'!$A$40:$A$42,0))</f>
        <v>9626.97077468788</v>
      </c>
      <c r="L929" s="51" t="n">
        <f aca="false">IFERROR(K929/I929,0)</f>
        <v>1.48107242687506</v>
      </c>
      <c r="M929" s="49" t="n">
        <f aca="false">IFERROR(I929/H929,0)</f>
        <v>129.129404159878</v>
      </c>
      <c r="N929" s="52" t="str">
        <f aca="false">'Model Inputs &amp; Assumptions'!$L$29</f>
        <v>PRD-EUAI</v>
      </c>
      <c r="P929" s="53" t="n">
        <v>-0.773857</v>
      </c>
      <c r="Q929" s="53" t="n">
        <v>-1.574775</v>
      </c>
      <c r="R929" s="53" t="n">
        <v>2.201112</v>
      </c>
      <c r="S929" s="53" t="n">
        <v>0.789483</v>
      </c>
    </row>
    <row r="930" customFormat="false" ht="15" hidden="false" customHeight="false" outlineLevel="0" collapsed="false">
      <c r="A930" s="43" t="n">
        <v>427</v>
      </c>
      <c r="B930" s="44" t="str">
        <f aca="false">'Model Inputs &amp; Assumptions'!$B$29</f>
        <v>Handelsblatt — Native Explainer</v>
      </c>
      <c r="C930" s="45" t="n">
        <f aca="false">ROUND(MAX(0,'Model Inputs &amp; Assumptions'!$S$29*EXP('Model Inputs &amp; Assumptions'!$T$29*P930-'Model Inputs &amp; Assumptions'!$T$29^2/2)),0)</f>
        <v>181550</v>
      </c>
      <c r="D930" s="46" t="n">
        <f aca="false">MIN(1,'Model Inputs &amp; Assumptions'!$U$29*EXP('Model Inputs &amp; Assumptions'!$V$29*Q930-'Model Inputs &amp; Assumptions'!$V$29^2/2))</f>
        <v>0</v>
      </c>
      <c r="E930" s="45" t="n">
        <f aca="false">ROUND(C930*D930,0)</f>
        <v>0</v>
      </c>
      <c r="F930" s="47" t="n">
        <f aca="false">MIN(1,'Model Inputs &amp; Assumptions'!$W$29*EXP('Model Inputs &amp; Assumptions'!$X$29*R930-'Model Inputs &amp; Assumptions'!$X$29^2/2))</f>
        <v>0.00337140367636154</v>
      </c>
      <c r="G930" s="45" t="n">
        <f aca="false">ROUND(C930*F930,0)</f>
        <v>612</v>
      </c>
      <c r="H930" s="48" t="n">
        <f aca="false">MAX(0,(C930*'Model Inputs &amp; Assumptions'!$N$29+E930*'Model Inputs &amp; Assumptions'!$O$29+G930*'Model Inputs &amp; Assumptions'!$P$29)*EXP('Model Inputs &amp; Assumptions'!$Q$29*S930-'Model Inputs &amp; Assumptions'!$Q$29^2/2))</f>
        <v>24.168083739219</v>
      </c>
      <c r="I930" s="49" t="n">
        <f aca="false">IF('Model Inputs &amp; Assumptions'!$H$29="Fixed",'Model Inputs &amp; Assumptions'!$I$29*'Model Inputs &amp; Assumptions'!$K$29,IF('Model Inputs &amp; Assumptions'!$H$29="CPM",'Model Inputs &amp; Assumptions'!$I$29*'Model Inputs &amp; Assumptions'!$K$29*C930/1000,IF('Model Inputs &amp; Assumptions'!$H$29="CPC",'Model Inputs &amp; Assumptions'!$I$29*'Model Inputs &amp; Assumptions'!$K$29*G930,0)))</f>
        <v>6500</v>
      </c>
      <c r="J930" s="50" t="n">
        <f aca="false">H930*INDEX('Model Inputs &amp; Assumptions'!$D$40:$D$42,MATCH('Model Inputs &amp; Assumptions'!$L$29,'Model Inputs &amp; Assumptions'!$A$40:$A$42,0))*INDEX('Model Inputs &amp; Assumptions'!$H$40:$H$42,MATCH('Model Inputs &amp; Assumptions'!$L$29,'Model Inputs &amp; Assumptions'!$A$40:$A$42,0))</f>
        <v>205428.711783362</v>
      </c>
      <c r="K930" s="49" t="n">
        <f aca="false">H930*INDEX('Model Inputs &amp; Assumptions'!$G$40:$G$42,MATCH('Model Inputs &amp; Assumptions'!$L$29,'Model Inputs &amp; Assumptions'!$A$40:$A$42,0))*INDEX('Model Inputs &amp; Assumptions'!$H$40:$H$42,MATCH('Model Inputs &amp; Assumptions'!$L$29,'Model Inputs &amp; Assumptions'!$A$40:$A$42,0))</f>
        <v>4622.14601512564</v>
      </c>
      <c r="L930" s="51" t="n">
        <f aca="false">IFERROR(K930/I930,0)</f>
        <v>0.711099386942406</v>
      </c>
      <c r="M930" s="49" t="n">
        <f aca="false">IFERROR(I930/H930,0)</f>
        <v>268.949746704661</v>
      </c>
      <c r="N930" s="52" t="str">
        <f aca="false">'Model Inputs &amp; Assumptions'!$L$29</f>
        <v>PRD-EUAI</v>
      </c>
      <c r="P930" s="53" t="n">
        <v>-0.284263</v>
      </c>
      <c r="Q930" s="53" t="n">
        <v>-0.824767</v>
      </c>
      <c r="R930" s="53" t="n">
        <v>0.609481</v>
      </c>
      <c r="S930" s="53" t="n">
        <v>-0.636557</v>
      </c>
    </row>
    <row r="931" customFormat="false" ht="15" hidden="false" customHeight="false" outlineLevel="0" collapsed="false">
      <c r="A931" s="43" t="n">
        <v>428</v>
      </c>
      <c r="B931" s="44" t="str">
        <f aca="false">'Model Inputs &amp; Assumptions'!$B$29</f>
        <v>Handelsblatt — Native Explainer</v>
      </c>
      <c r="C931" s="45" t="n">
        <f aca="false">ROUND(MAX(0,'Model Inputs &amp; Assumptions'!$S$29*EXP('Model Inputs &amp; Assumptions'!$T$29*P931-'Model Inputs &amp; Assumptions'!$T$29^2/2)),0)</f>
        <v>253498</v>
      </c>
      <c r="D931" s="46" t="n">
        <f aca="false">MIN(1,'Model Inputs &amp; Assumptions'!$U$29*EXP('Model Inputs &amp; Assumptions'!$V$29*Q931-'Model Inputs &amp; Assumptions'!$V$29^2/2))</f>
        <v>0</v>
      </c>
      <c r="E931" s="45" t="n">
        <f aca="false">ROUND(C931*D931,0)</f>
        <v>0</v>
      </c>
      <c r="F931" s="47" t="n">
        <f aca="false">MIN(1,'Model Inputs &amp; Assumptions'!$W$29*EXP('Model Inputs &amp; Assumptions'!$X$29*R931-'Model Inputs &amp; Assumptions'!$X$29^2/2))</f>
        <v>0.0036250624611452</v>
      </c>
      <c r="G931" s="45" t="n">
        <f aca="false">ROUND(C931*F931,0)</f>
        <v>919</v>
      </c>
      <c r="H931" s="48" t="n">
        <f aca="false">MAX(0,(C931*'Model Inputs &amp; Assumptions'!$N$29+E931*'Model Inputs &amp; Assumptions'!$O$29+G931*'Model Inputs &amp; Assumptions'!$P$29)*EXP('Model Inputs &amp; Assumptions'!$Q$29*S931-'Model Inputs &amp; Assumptions'!$Q$29^2/2))</f>
        <v>43.3552563143285</v>
      </c>
      <c r="I931" s="49" t="n">
        <f aca="false">IF('Model Inputs &amp; Assumptions'!$H$29="Fixed",'Model Inputs &amp; Assumptions'!$I$29*'Model Inputs &amp; Assumptions'!$K$29,IF('Model Inputs &amp; Assumptions'!$H$29="CPM",'Model Inputs &amp; Assumptions'!$I$29*'Model Inputs &amp; Assumptions'!$K$29*C931/1000,IF('Model Inputs &amp; Assumptions'!$H$29="CPC",'Model Inputs &amp; Assumptions'!$I$29*'Model Inputs &amp; Assumptions'!$K$29*G931,0)))</f>
        <v>6500</v>
      </c>
      <c r="J931" s="50" t="n">
        <f aca="false">H931*INDEX('Model Inputs &amp; Assumptions'!$D$40:$D$42,MATCH('Model Inputs &amp; Assumptions'!$L$29,'Model Inputs &amp; Assumptions'!$A$40:$A$42,0))*INDEX('Model Inputs &amp; Assumptions'!$H$40:$H$42,MATCH('Model Inputs &amp; Assumptions'!$L$29,'Model Inputs &amp; Assumptions'!$A$40:$A$42,0))</f>
        <v>368519.678671793</v>
      </c>
      <c r="K931" s="49" t="n">
        <f aca="false">H931*INDEX('Model Inputs &amp; Assumptions'!$G$40:$G$42,MATCH('Model Inputs &amp; Assumptions'!$L$29,'Model Inputs &amp; Assumptions'!$A$40:$A$42,0))*INDEX('Model Inputs &amp; Assumptions'!$H$40:$H$42,MATCH('Model Inputs &amp; Assumptions'!$L$29,'Model Inputs &amp; Assumptions'!$A$40:$A$42,0))</f>
        <v>8291.69277011533</v>
      </c>
      <c r="L931" s="51" t="n">
        <f aca="false">IFERROR(K931/I931,0)</f>
        <v>1.27564504155621</v>
      </c>
      <c r="M931" s="49" t="n">
        <f aca="false">IFERROR(I931/H931,0)</f>
        <v>149.92415113117</v>
      </c>
      <c r="N931" s="52" t="str">
        <f aca="false">'Model Inputs &amp; Assumptions'!$L$29</f>
        <v>PRD-EUAI</v>
      </c>
      <c r="P931" s="53" t="n">
        <v>1.233128</v>
      </c>
      <c r="Q931" s="53" t="n">
        <v>0.275805</v>
      </c>
      <c r="R931" s="53" t="n">
        <v>0.88849</v>
      </c>
      <c r="S931" s="53" t="n">
        <v>-0.043753</v>
      </c>
    </row>
    <row r="932" customFormat="false" ht="15" hidden="false" customHeight="false" outlineLevel="0" collapsed="false">
      <c r="A932" s="43" t="n">
        <v>429</v>
      </c>
      <c r="B932" s="44" t="str">
        <f aca="false">'Model Inputs &amp; Assumptions'!$B$29</f>
        <v>Handelsblatt — Native Explainer</v>
      </c>
      <c r="C932" s="45" t="n">
        <f aca="false">ROUND(MAX(0,'Model Inputs &amp; Assumptions'!$S$29*EXP('Model Inputs &amp; Assumptions'!$T$29*P932-'Model Inputs &amp; Assumptions'!$T$29^2/2)),0)</f>
        <v>201118</v>
      </c>
      <c r="D932" s="46" t="n">
        <f aca="false">MIN(1,'Model Inputs &amp; Assumptions'!$U$29*EXP('Model Inputs &amp; Assumptions'!$V$29*Q932-'Model Inputs &amp; Assumptions'!$V$29^2/2))</f>
        <v>0</v>
      </c>
      <c r="E932" s="45" t="n">
        <f aca="false">ROUND(C932*D932,0)</f>
        <v>0</v>
      </c>
      <c r="F932" s="47" t="n">
        <f aca="false">MIN(1,'Model Inputs &amp; Assumptions'!$W$29*EXP('Model Inputs &amp; Assumptions'!$X$29*R932-'Model Inputs &amp; Assumptions'!$X$29^2/2))</f>
        <v>0.00229309592953127</v>
      </c>
      <c r="G932" s="45" t="n">
        <f aca="false">ROUND(C932*F932,0)</f>
        <v>461</v>
      </c>
      <c r="H932" s="48" t="n">
        <f aca="false">MAX(0,(C932*'Model Inputs &amp; Assumptions'!$N$29+E932*'Model Inputs &amp; Assumptions'!$O$29+G932*'Model Inputs &amp; Assumptions'!$P$29)*EXP('Model Inputs &amp; Assumptions'!$Q$29*S932-'Model Inputs &amp; Assumptions'!$Q$29^2/2))</f>
        <v>16.8479311600725</v>
      </c>
      <c r="I932" s="49" t="n">
        <f aca="false">IF('Model Inputs &amp; Assumptions'!$H$29="Fixed",'Model Inputs &amp; Assumptions'!$I$29*'Model Inputs &amp; Assumptions'!$K$29,IF('Model Inputs &amp; Assumptions'!$H$29="CPM",'Model Inputs &amp; Assumptions'!$I$29*'Model Inputs &amp; Assumptions'!$K$29*C932/1000,IF('Model Inputs &amp; Assumptions'!$H$29="CPC",'Model Inputs &amp; Assumptions'!$I$29*'Model Inputs &amp; Assumptions'!$K$29*G932,0)))</f>
        <v>6500</v>
      </c>
      <c r="J932" s="50" t="n">
        <f aca="false">H932*INDEX('Model Inputs &amp; Assumptions'!$D$40:$D$42,MATCH('Model Inputs &amp; Assumptions'!$L$29,'Model Inputs &amp; Assumptions'!$A$40:$A$42,0))*INDEX('Model Inputs &amp; Assumptions'!$H$40:$H$42,MATCH('Model Inputs &amp; Assumptions'!$L$29,'Model Inputs &amp; Assumptions'!$A$40:$A$42,0))</f>
        <v>143207.414860616</v>
      </c>
      <c r="K932" s="49" t="n">
        <f aca="false">H932*INDEX('Model Inputs &amp; Assumptions'!$G$40:$G$42,MATCH('Model Inputs &amp; Assumptions'!$L$29,'Model Inputs &amp; Assumptions'!$A$40:$A$42,0))*INDEX('Model Inputs &amp; Assumptions'!$H$40:$H$42,MATCH('Model Inputs &amp; Assumptions'!$L$29,'Model Inputs &amp; Assumptions'!$A$40:$A$42,0))</f>
        <v>3222.16683436387</v>
      </c>
      <c r="L932" s="51" t="n">
        <f aca="false">IFERROR(K932/I932,0)</f>
        <v>0.495717974517519</v>
      </c>
      <c r="M932" s="49" t="n">
        <f aca="false">IFERROR(I932/H932,0)</f>
        <v>385.804045508221</v>
      </c>
      <c r="N932" s="52" t="str">
        <f aca="false">'Model Inputs &amp; Assumptions'!$L$29</f>
        <v>PRD-EUAI</v>
      </c>
      <c r="P932" s="53" t="n">
        <v>0.181026</v>
      </c>
      <c r="Q932" s="53" t="n">
        <v>1.280667</v>
      </c>
      <c r="R932" s="53" t="n">
        <v>-0.872928</v>
      </c>
      <c r="S932" s="53" t="n">
        <v>-0.894793</v>
      </c>
    </row>
    <row r="933" customFormat="false" ht="15" hidden="false" customHeight="false" outlineLevel="0" collapsed="false">
      <c r="A933" s="43" t="n">
        <v>430</v>
      </c>
      <c r="B933" s="44" t="str">
        <f aca="false">'Model Inputs &amp; Assumptions'!$B$29</f>
        <v>Handelsblatt — Native Explainer</v>
      </c>
      <c r="C933" s="45" t="n">
        <f aca="false">ROUND(MAX(0,'Model Inputs &amp; Assumptions'!$S$29*EXP('Model Inputs &amp; Assumptions'!$T$29*P933-'Model Inputs &amp; Assumptions'!$T$29^2/2)),0)</f>
        <v>244672</v>
      </c>
      <c r="D933" s="46" t="n">
        <f aca="false">MIN(1,'Model Inputs &amp; Assumptions'!$U$29*EXP('Model Inputs &amp; Assumptions'!$V$29*Q933-'Model Inputs &amp; Assumptions'!$V$29^2/2))</f>
        <v>0</v>
      </c>
      <c r="E933" s="45" t="n">
        <f aca="false">ROUND(C933*D933,0)</f>
        <v>0</v>
      </c>
      <c r="F933" s="47" t="n">
        <f aca="false">MIN(1,'Model Inputs &amp; Assumptions'!$W$29*EXP('Model Inputs &amp; Assumptions'!$X$29*R933-'Model Inputs &amp; Assumptions'!$X$29^2/2))</f>
        <v>0.00366613927179102</v>
      </c>
      <c r="G933" s="45" t="n">
        <f aca="false">ROUND(C933*F933,0)</f>
        <v>897</v>
      </c>
      <c r="H933" s="48" t="n">
        <f aca="false">MAX(0,(C933*'Model Inputs &amp; Assumptions'!$N$29+E933*'Model Inputs &amp; Assumptions'!$O$29+G933*'Model Inputs &amp; Assumptions'!$P$29)*EXP('Model Inputs &amp; Assumptions'!$Q$29*S933-'Model Inputs &amp; Assumptions'!$Q$29^2/2))</f>
        <v>43.9985460258317</v>
      </c>
      <c r="I933" s="49" t="n">
        <f aca="false">IF('Model Inputs &amp; Assumptions'!$H$29="Fixed",'Model Inputs &amp; Assumptions'!$I$29*'Model Inputs &amp; Assumptions'!$K$29,IF('Model Inputs &amp; Assumptions'!$H$29="CPM",'Model Inputs &amp; Assumptions'!$I$29*'Model Inputs &amp; Assumptions'!$K$29*C933/1000,IF('Model Inputs &amp; Assumptions'!$H$29="CPC",'Model Inputs &amp; Assumptions'!$I$29*'Model Inputs &amp; Assumptions'!$K$29*G933,0)))</f>
        <v>6500</v>
      </c>
      <c r="J933" s="50" t="n">
        <f aca="false">H933*INDEX('Model Inputs &amp; Assumptions'!$D$40:$D$42,MATCH('Model Inputs &amp; Assumptions'!$L$29,'Model Inputs &amp; Assumptions'!$A$40:$A$42,0))*INDEX('Model Inputs &amp; Assumptions'!$H$40:$H$42,MATCH('Model Inputs &amp; Assumptions'!$L$29,'Model Inputs &amp; Assumptions'!$A$40:$A$42,0))</f>
        <v>373987.641219569</v>
      </c>
      <c r="K933" s="49" t="n">
        <f aca="false">H933*INDEX('Model Inputs &amp; Assumptions'!$G$40:$G$42,MATCH('Model Inputs &amp; Assumptions'!$L$29,'Model Inputs &amp; Assumptions'!$A$40:$A$42,0))*INDEX('Model Inputs &amp; Assumptions'!$H$40:$H$42,MATCH('Model Inputs &amp; Assumptions'!$L$29,'Model Inputs &amp; Assumptions'!$A$40:$A$42,0))</f>
        <v>8414.72192744031</v>
      </c>
      <c r="L933" s="51" t="n">
        <f aca="false">IFERROR(K933/I933,0)</f>
        <v>1.29457260422159</v>
      </c>
      <c r="M933" s="49" t="n">
        <f aca="false">IFERROR(I933/H933,0)</f>
        <v>147.732154516739</v>
      </c>
      <c r="N933" s="52" t="str">
        <f aca="false">'Model Inputs &amp; Assumptions'!$L$29</f>
        <v>PRD-EUAI</v>
      </c>
      <c r="P933" s="53" t="n">
        <v>1.072047</v>
      </c>
      <c r="Q933" s="53" t="n">
        <v>0.005728</v>
      </c>
      <c r="R933" s="53" t="n">
        <v>0.931827</v>
      </c>
      <c r="S933" s="53" t="n">
        <v>0.08611</v>
      </c>
    </row>
    <row r="934" customFormat="false" ht="15" hidden="false" customHeight="false" outlineLevel="0" collapsed="false">
      <c r="A934" s="43" t="n">
        <v>431</v>
      </c>
      <c r="B934" s="44" t="str">
        <f aca="false">'Model Inputs &amp; Assumptions'!$B$29</f>
        <v>Handelsblatt — Native Explainer</v>
      </c>
      <c r="C934" s="45" t="n">
        <f aca="false">ROUND(MAX(0,'Model Inputs &amp; Assumptions'!$S$29*EXP('Model Inputs &amp; Assumptions'!$T$29*P934-'Model Inputs &amp; Assumptions'!$T$29^2/2)),0)</f>
        <v>204613</v>
      </c>
      <c r="D934" s="46" t="n">
        <f aca="false">MIN(1,'Model Inputs &amp; Assumptions'!$U$29*EXP('Model Inputs &amp; Assumptions'!$V$29*Q934-'Model Inputs &amp; Assumptions'!$V$29^2/2))</f>
        <v>0</v>
      </c>
      <c r="E934" s="45" t="n">
        <f aca="false">ROUND(C934*D934,0)</f>
        <v>0</v>
      </c>
      <c r="F934" s="47" t="n">
        <f aca="false">MIN(1,'Model Inputs &amp; Assumptions'!$W$29*EXP('Model Inputs &amp; Assumptions'!$X$29*R934-'Model Inputs &amp; Assumptions'!$X$29^2/2))</f>
        <v>0.00329425426399995</v>
      </c>
      <c r="G934" s="45" t="n">
        <f aca="false">ROUND(C934*F934,0)</f>
        <v>674</v>
      </c>
      <c r="H934" s="48" t="n">
        <f aca="false">MAX(0,(C934*'Model Inputs &amp; Assumptions'!$N$29+E934*'Model Inputs &amp; Assumptions'!$O$29+G934*'Model Inputs &amp; Assumptions'!$P$29)*EXP('Model Inputs &amp; Assumptions'!$Q$29*S934-'Model Inputs &amp; Assumptions'!$Q$29^2/2))</f>
        <v>30.5333563660503</v>
      </c>
      <c r="I934" s="49" t="n">
        <f aca="false">IF('Model Inputs &amp; Assumptions'!$H$29="Fixed",'Model Inputs &amp; Assumptions'!$I$29*'Model Inputs &amp; Assumptions'!$K$29,IF('Model Inputs &amp; Assumptions'!$H$29="CPM",'Model Inputs &amp; Assumptions'!$I$29*'Model Inputs &amp; Assumptions'!$K$29*C934/1000,IF('Model Inputs &amp; Assumptions'!$H$29="CPC",'Model Inputs &amp; Assumptions'!$I$29*'Model Inputs &amp; Assumptions'!$K$29*G934,0)))</f>
        <v>6500</v>
      </c>
      <c r="J934" s="50" t="n">
        <f aca="false">H934*INDEX('Model Inputs &amp; Assumptions'!$D$40:$D$42,MATCH('Model Inputs &amp; Assumptions'!$L$29,'Model Inputs &amp; Assumptions'!$A$40:$A$42,0))*INDEX('Model Inputs &amp; Assumptions'!$H$40:$H$42,MATCH('Model Inputs &amp; Assumptions'!$L$29,'Model Inputs &amp; Assumptions'!$A$40:$A$42,0))</f>
        <v>259533.529111428</v>
      </c>
      <c r="K934" s="49" t="n">
        <f aca="false">H934*INDEX('Model Inputs &amp; Assumptions'!$G$40:$G$42,MATCH('Model Inputs &amp; Assumptions'!$L$29,'Model Inputs &amp; Assumptions'!$A$40:$A$42,0))*INDEX('Model Inputs &amp; Assumptions'!$H$40:$H$42,MATCH('Model Inputs &amp; Assumptions'!$L$29,'Model Inputs &amp; Assumptions'!$A$40:$A$42,0))</f>
        <v>5839.50440500712</v>
      </c>
      <c r="L934" s="51" t="n">
        <f aca="false">IFERROR(K934/I934,0)</f>
        <v>0.898385293078019</v>
      </c>
      <c r="M934" s="49" t="n">
        <f aca="false">IFERROR(I934/H934,0)</f>
        <v>212.881935483099</v>
      </c>
      <c r="N934" s="52" t="str">
        <f aca="false">'Model Inputs &amp; Assumptions'!$L$29</f>
        <v>PRD-EUAI</v>
      </c>
      <c r="P934" s="53" t="n">
        <v>0.259327</v>
      </c>
      <c r="Q934" s="53" t="n">
        <v>0.203819</v>
      </c>
      <c r="R934" s="53" t="n">
        <v>0.520445</v>
      </c>
      <c r="S934" s="53" t="n">
        <v>-0.178927</v>
      </c>
    </row>
    <row r="935" customFormat="false" ht="15" hidden="false" customHeight="false" outlineLevel="0" collapsed="false">
      <c r="A935" s="43" t="n">
        <v>432</v>
      </c>
      <c r="B935" s="44" t="str">
        <f aca="false">'Model Inputs &amp; Assumptions'!$B$29</f>
        <v>Handelsblatt — Native Explainer</v>
      </c>
      <c r="C935" s="45" t="n">
        <f aca="false">ROUND(MAX(0,'Model Inputs &amp; Assumptions'!$S$29*EXP('Model Inputs &amp; Assumptions'!$T$29*P935-'Model Inputs &amp; Assumptions'!$T$29^2/2)),0)</f>
        <v>167989</v>
      </c>
      <c r="D935" s="46" t="n">
        <f aca="false">MIN(1,'Model Inputs &amp; Assumptions'!$U$29*EXP('Model Inputs &amp; Assumptions'!$V$29*Q935-'Model Inputs &amp; Assumptions'!$V$29^2/2))</f>
        <v>0</v>
      </c>
      <c r="E935" s="45" t="n">
        <f aca="false">ROUND(C935*D935,0)</f>
        <v>0</v>
      </c>
      <c r="F935" s="47" t="n">
        <f aca="false">MIN(1,'Model Inputs &amp; Assumptions'!$W$29*EXP('Model Inputs &amp; Assumptions'!$X$29*R935-'Model Inputs &amp; Assumptions'!$X$29^2/2))</f>
        <v>0.00214263769717735</v>
      </c>
      <c r="G935" s="45" t="n">
        <f aca="false">ROUND(C935*F935,0)</f>
        <v>360</v>
      </c>
      <c r="H935" s="48" t="n">
        <f aca="false">MAX(0,(C935*'Model Inputs &amp; Assumptions'!$N$29+E935*'Model Inputs &amp; Assumptions'!$O$29+G935*'Model Inputs &amp; Assumptions'!$P$29)*EXP('Model Inputs &amp; Assumptions'!$Q$29*S935-'Model Inputs &amp; Assumptions'!$Q$29^2/2))</f>
        <v>20.0686211397823</v>
      </c>
      <c r="I935" s="49" t="n">
        <f aca="false">IF('Model Inputs &amp; Assumptions'!$H$29="Fixed",'Model Inputs &amp; Assumptions'!$I$29*'Model Inputs &amp; Assumptions'!$K$29,IF('Model Inputs &amp; Assumptions'!$H$29="CPM",'Model Inputs &amp; Assumptions'!$I$29*'Model Inputs &amp; Assumptions'!$K$29*C935/1000,IF('Model Inputs &amp; Assumptions'!$H$29="CPC",'Model Inputs &amp; Assumptions'!$I$29*'Model Inputs &amp; Assumptions'!$K$29*G935,0)))</f>
        <v>6500</v>
      </c>
      <c r="J935" s="50" t="n">
        <f aca="false">H935*INDEX('Model Inputs &amp; Assumptions'!$D$40:$D$42,MATCH('Model Inputs &amp; Assumptions'!$L$29,'Model Inputs &amp; Assumptions'!$A$40:$A$42,0))*INDEX('Model Inputs &amp; Assumptions'!$H$40:$H$42,MATCH('Model Inputs &amp; Assumptions'!$L$29,'Model Inputs &amp; Assumptions'!$A$40:$A$42,0))</f>
        <v>170583.27968815</v>
      </c>
      <c r="K935" s="49" t="n">
        <f aca="false">H935*INDEX('Model Inputs &amp; Assumptions'!$G$40:$G$42,MATCH('Model Inputs &amp; Assumptions'!$L$29,'Model Inputs &amp; Assumptions'!$A$40:$A$42,0))*INDEX('Model Inputs &amp; Assumptions'!$H$40:$H$42,MATCH('Model Inputs &amp; Assumptions'!$L$29,'Model Inputs &amp; Assumptions'!$A$40:$A$42,0))</f>
        <v>3838.12379298336</v>
      </c>
      <c r="L935" s="51" t="n">
        <f aca="false">IFERROR(K935/I935,0)</f>
        <v>0.590480583535902</v>
      </c>
      <c r="M935" s="49" t="n">
        <f aca="false">IFERROR(I935/H935,0)</f>
        <v>323.888719345793</v>
      </c>
      <c r="N935" s="52" t="str">
        <f aca="false">'Model Inputs &amp; Assumptions'!$L$29</f>
        <v>PRD-EUAI</v>
      </c>
      <c r="P935" s="53" t="n">
        <v>-0.637139</v>
      </c>
      <c r="Q935" s="53" t="n">
        <v>-0.69308</v>
      </c>
      <c r="R935" s="53" t="n">
        <v>-1.133948</v>
      </c>
      <c r="S935" s="53" t="n">
        <v>0.512619</v>
      </c>
    </row>
    <row r="936" customFormat="false" ht="15" hidden="false" customHeight="false" outlineLevel="0" collapsed="false">
      <c r="A936" s="43" t="n">
        <v>433</v>
      </c>
      <c r="B936" s="44" t="str">
        <f aca="false">'Model Inputs &amp; Assumptions'!$B$29</f>
        <v>Handelsblatt — Native Explainer</v>
      </c>
      <c r="C936" s="45" t="n">
        <f aca="false">ROUND(MAX(0,'Model Inputs &amp; Assumptions'!$S$29*EXP('Model Inputs &amp; Assumptions'!$T$29*P936-'Model Inputs &amp; Assumptions'!$T$29^2/2)),0)</f>
        <v>204540</v>
      </c>
      <c r="D936" s="46" t="n">
        <f aca="false">MIN(1,'Model Inputs &amp; Assumptions'!$U$29*EXP('Model Inputs &amp; Assumptions'!$V$29*Q936-'Model Inputs &amp; Assumptions'!$V$29^2/2))</f>
        <v>0</v>
      </c>
      <c r="E936" s="45" t="n">
        <f aca="false">ROUND(C936*D936,0)</f>
        <v>0</v>
      </c>
      <c r="F936" s="47" t="n">
        <f aca="false">MIN(1,'Model Inputs &amp; Assumptions'!$W$29*EXP('Model Inputs &amp; Assumptions'!$X$29*R936-'Model Inputs &amp; Assumptions'!$X$29^2/2))</f>
        <v>0.00474494299750457</v>
      </c>
      <c r="G936" s="45" t="n">
        <f aca="false">ROUND(C936*F936,0)</f>
        <v>971</v>
      </c>
      <c r="H936" s="48" t="n">
        <f aca="false">MAX(0,(C936*'Model Inputs &amp; Assumptions'!$N$29+E936*'Model Inputs &amp; Assumptions'!$O$29+G936*'Model Inputs &amp; Assumptions'!$P$29)*EXP('Model Inputs &amp; Assumptions'!$Q$29*S936-'Model Inputs &amp; Assumptions'!$Q$29^2/2))</f>
        <v>45.302109318957</v>
      </c>
      <c r="I936" s="49" t="n">
        <f aca="false">IF('Model Inputs &amp; Assumptions'!$H$29="Fixed",'Model Inputs &amp; Assumptions'!$I$29*'Model Inputs &amp; Assumptions'!$K$29,IF('Model Inputs &amp; Assumptions'!$H$29="CPM",'Model Inputs &amp; Assumptions'!$I$29*'Model Inputs &amp; Assumptions'!$K$29*C936/1000,IF('Model Inputs &amp; Assumptions'!$H$29="CPC",'Model Inputs &amp; Assumptions'!$I$29*'Model Inputs &amp; Assumptions'!$K$29*G936,0)))</f>
        <v>6500</v>
      </c>
      <c r="J936" s="50" t="n">
        <f aca="false">H936*INDEX('Model Inputs &amp; Assumptions'!$D$40:$D$42,MATCH('Model Inputs &amp; Assumptions'!$L$29,'Model Inputs &amp; Assumptions'!$A$40:$A$42,0))*INDEX('Model Inputs &amp; Assumptions'!$H$40:$H$42,MATCH('Model Inputs &amp; Assumptions'!$L$29,'Model Inputs &amp; Assumptions'!$A$40:$A$42,0))</f>
        <v>385067.929211134</v>
      </c>
      <c r="K936" s="49" t="n">
        <f aca="false">H936*INDEX('Model Inputs &amp; Assumptions'!$G$40:$G$42,MATCH('Model Inputs &amp; Assumptions'!$L$29,'Model Inputs &amp; Assumptions'!$A$40:$A$42,0))*INDEX('Model Inputs &amp; Assumptions'!$H$40:$H$42,MATCH('Model Inputs &amp; Assumptions'!$L$29,'Model Inputs &amp; Assumptions'!$A$40:$A$42,0))</f>
        <v>8664.02840725053</v>
      </c>
      <c r="L936" s="51" t="n">
        <f aca="false">IFERROR(K936/I936,0)</f>
        <v>1.33292744726931</v>
      </c>
      <c r="M936" s="49" t="n">
        <f aca="false">IFERROR(I936/H936,0)</f>
        <v>143.481177757876</v>
      </c>
      <c r="N936" s="52" t="str">
        <f aca="false">'Model Inputs &amp; Assumptions'!$L$29</f>
        <v>PRD-EUAI</v>
      </c>
      <c r="P936" s="53" t="n">
        <v>0.257718</v>
      </c>
      <c r="Q936" s="53" t="n">
        <v>-0.275337</v>
      </c>
      <c r="R936" s="53" t="n">
        <v>1.923905</v>
      </c>
      <c r="S936" s="53" t="n">
        <v>-0.080802</v>
      </c>
    </row>
    <row r="937" customFormat="false" ht="15" hidden="false" customHeight="false" outlineLevel="0" collapsed="false">
      <c r="A937" s="43" t="n">
        <v>434</v>
      </c>
      <c r="B937" s="44" t="str">
        <f aca="false">'Model Inputs &amp; Assumptions'!$B$29</f>
        <v>Handelsblatt — Native Explainer</v>
      </c>
      <c r="C937" s="45" t="n">
        <f aca="false">ROUND(MAX(0,'Model Inputs &amp; Assumptions'!$S$29*EXP('Model Inputs &amp; Assumptions'!$T$29*P937-'Model Inputs &amp; Assumptions'!$T$29^2/2)),0)</f>
        <v>136797</v>
      </c>
      <c r="D937" s="46" t="n">
        <f aca="false">MIN(1,'Model Inputs &amp; Assumptions'!$U$29*EXP('Model Inputs &amp; Assumptions'!$V$29*Q937-'Model Inputs &amp; Assumptions'!$V$29^2/2))</f>
        <v>0</v>
      </c>
      <c r="E937" s="45" t="n">
        <f aca="false">ROUND(C937*D937,0)</f>
        <v>0</v>
      </c>
      <c r="F937" s="47" t="n">
        <f aca="false">MIN(1,'Model Inputs &amp; Assumptions'!$W$29*EXP('Model Inputs &amp; Assumptions'!$X$29*R937-'Model Inputs &amp; Assumptions'!$X$29^2/2))</f>
        <v>0.00181752008056593</v>
      </c>
      <c r="G937" s="45" t="n">
        <f aca="false">ROUND(C937*F937,0)</f>
        <v>249</v>
      </c>
      <c r="H937" s="48" t="n">
        <f aca="false">MAX(0,(C937*'Model Inputs &amp; Assumptions'!$N$29+E937*'Model Inputs &amp; Assumptions'!$O$29+G937*'Model Inputs &amp; Assumptions'!$P$29)*EXP('Model Inputs &amp; Assumptions'!$Q$29*S937-'Model Inputs &amp; Assumptions'!$Q$29^2/2))</f>
        <v>12.9739204452309</v>
      </c>
      <c r="I937" s="49" t="n">
        <f aca="false">IF('Model Inputs &amp; Assumptions'!$H$29="Fixed",'Model Inputs &amp; Assumptions'!$I$29*'Model Inputs &amp; Assumptions'!$K$29,IF('Model Inputs &amp; Assumptions'!$H$29="CPM",'Model Inputs &amp; Assumptions'!$I$29*'Model Inputs &amp; Assumptions'!$K$29*C937/1000,IF('Model Inputs &amp; Assumptions'!$H$29="CPC",'Model Inputs &amp; Assumptions'!$I$29*'Model Inputs &amp; Assumptions'!$K$29*G937,0)))</f>
        <v>6500</v>
      </c>
      <c r="J937" s="50" t="n">
        <f aca="false">H937*INDEX('Model Inputs &amp; Assumptions'!$D$40:$D$42,MATCH('Model Inputs &amp; Assumptions'!$L$29,'Model Inputs &amp; Assumptions'!$A$40:$A$42,0))*INDEX('Model Inputs &amp; Assumptions'!$H$40:$H$42,MATCH('Model Inputs &amp; Assumptions'!$L$29,'Model Inputs &amp; Assumptions'!$A$40:$A$42,0))</f>
        <v>110278.323784463</v>
      </c>
      <c r="K937" s="49" t="n">
        <f aca="false">H937*INDEX('Model Inputs &amp; Assumptions'!$G$40:$G$42,MATCH('Model Inputs &amp; Assumptions'!$L$29,'Model Inputs &amp; Assumptions'!$A$40:$A$42,0))*INDEX('Model Inputs &amp; Assumptions'!$H$40:$H$42,MATCH('Model Inputs &amp; Assumptions'!$L$29,'Model Inputs &amp; Assumptions'!$A$40:$A$42,0))</f>
        <v>2481.26228515041</v>
      </c>
      <c r="L937" s="51" t="n">
        <f aca="false">IFERROR(K937/I937,0)</f>
        <v>0.381732659253909</v>
      </c>
      <c r="M937" s="49" t="n">
        <f aca="false">IFERROR(I937/H937,0)</f>
        <v>501.005076101677</v>
      </c>
      <c r="N937" s="52" t="str">
        <f aca="false">'Model Inputs &amp; Assumptions'!$L$29</f>
        <v>PRD-EUAI</v>
      </c>
      <c r="P937" s="53" t="n">
        <v>-1.570768</v>
      </c>
      <c r="Q937" s="53" t="n">
        <v>-0.130561</v>
      </c>
      <c r="R937" s="53" t="n">
        <v>-1.766889</v>
      </c>
      <c r="S937" s="53" t="n">
        <v>0.287402</v>
      </c>
    </row>
    <row r="938" customFormat="false" ht="15" hidden="false" customHeight="false" outlineLevel="0" collapsed="false">
      <c r="A938" s="43" t="n">
        <v>435</v>
      </c>
      <c r="B938" s="44" t="str">
        <f aca="false">'Model Inputs &amp; Assumptions'!$B$29</f>
        <v>Handelsblatt — Native Explainer</v>
      </c>
      <c r="C938" s="45" t="n">
        <f aca="false">ROUND(MAX(0,'Model Inputs &amp; Assumptions'!$S$29*EXP('Model Inputs &amp; Assumptions'!$T$29*P938-'Model Inputs &amp; Assumptions'!$T$29^2/2)),0)</f>
        <v>242956</v>
      </c>
      <c r="D938" s="46" t="n">
        <f aca="false">MIN(1,'Model Inputs &amp; Assumptions'!$U$29*EXP('Model Inputs &amp; Assumptions'!$V$29*Q938-'Model Inputs &amp; Assumptions'!$V$29^2/2))</f>
        <v>0</v>
      </c>
      <c r="E938" s="45" t="n">
        <f aca="false">ROUND(C938*D938,0)</f>
        <v>0</v>
      </c>
      <c r="F938" s="47" t="n">
        <f aca="false">MIN(1,'Model Inputs &amp; Assumptions'!$W$29*EXP('Model Inputs &amp; Assumptions'!$X$29*R938-'Model Inputs &amp; Assumptions'!$X$29^2/2))</f>
        <v>0.00169599583030301</v>
      </c>
      <c r="G938" s="45" t="n">
        <f aca="false">ROUND(C938*F938,0)</f>
        <v>412</v>
      </c>
      <c r="H938" s="48" t="n">
        <f aca="false">MAX(0,(C938*'Model Inputs &amp; Assumptions'!$N$29+E938*'Model Inputs &amp; Assumptions'!$O$29+G938*'Model Inputs &amp; Assumptions'!$P$29)*EXP('Model Inputs &amp; Assumptions'!$Q$29*S938-'Model Inputs &amp; Assumptions'!$Q$29^2/2))</f>
        <v>19.1506694989369</v>
      </c>
      <c r="I938" s="49" t="n">
        <f aca="false">IF('Model Inputs &amp; Assumptions'!$H$29="Fixed",'Model Inputs &amp; Assumptions'!$I$29*'Model Inputs &amp; Assumptions'!$K$29,IF('Model Inputs &amp; Assumptions'!$H$29="CPM",'Model Inputs &amp; Assumptions'!$I$29*'Model Inputs &amp; Assumptions'!$K$29*C938/1000,IF('Model Inputs &amp; Assumptions'!$H$29="CPC",'Model Inputs &amp; Assumptions'!$I$29*'Model Inputs &amp; Assumptions'!$K$29*G938,0)))</f>
        <v>6500</v>
      </c>
      <c r="J938" s="50" t="n">
        <f aca="false">H938*INDEX('Model Inputs &amp; Assumptions'!$D$40:$D$42,MATCH('Model Inputs &amp; Assumptions'!$L$29,'Model Inputs &amp; Assumptions'!$A$40:$A$42,0))*INDEX('Model Inputs &amp; Assumptions'!$H$40:$H$42,MATCH('Model Inputs &amp; Assumptions'!$L$29,'Model Inputs &amp; Assumptions'!$A$40:$A$42,0))</f>
        <v>162780.690740964</v>
      </c>
      <c r="K938" s="49" t="n">
        <f aca="false">H938*INDEX('Model Inputs &amp; Assumptions'!$G$40:$G$42,MATCH('Model Inputs &amp; Assumptions'!$L$29,'Model Inputs &amp; Assumptions'!$A$40:$A$42,0))*INDEX('Model Inputs &amp; Assumptions'!$H$40:$H$42,MATCH('Model Inputs &amp; Assumptions'!$L$29,'Model Inputs &amp; Assumptions'!$A$40:$A$42,0))</f>
        <v>3662.56554167168</v>
      </c>
      <c r="L938" s="51" t="n">
        <f aca="false">IFERROR(K938/I938,0)</f>
        <v>0.563471621795643</v>
      </c>
      <c r="M938" s="49" t="n">
        <f aca="false">IFERROR(I938/H938,0)</f>
        <v>339.413721298926</v>
      </c>
      <c r="N938" s="52" t="str">
        <f aca="false">'Model Inputs &amp; Assumptions'!$L$29</f>
        <v>PRD-EUAI</v>
      </c>
      <c r="P938" s="53" t="n">
        <v>1.040059</v>
      </c>
      <c r="Q938" s="53" t="n">
        <v>0.650456</v>
      </c>
      <c r="R938" s="53" t="n">
        <v>-2.033054</v>
      </c>
      <c r="S938" s="53" t="n">
        <v>-0.093178</v>
      </c>
    </row>
    <row r="939" customFormat="false" ht="15" hidden="false" customHeight="false" outlineLevel="0" collapsed="false">
      <c r="A939" s="43" t="n">
        <v>436</v>
      </c>
      <c r="B939" s="44" t="str">
        <f aca="false">'Model Inputs &amp; Assumptions'!$B$29</f>
        <v>Handelsblatt — Native Explainer</v>
      </c>
      <c r="C939" s="45" t="n">
        <f aca="false">ROUND(MAX(0,'Model Inputs &amp; Assumptions'!$S$29*EXP('Model Inputs &amp; Assumptions'!$T$29*P939-'Model Inputs &amp; Assumptions'!$T$29^2/2)),0)</f>
        <v>170842</v>
      </c>
      <c r="D939" s="46" t="n">
        <f aca="false">MIN(1,'Model Inputs &amp; Assumptions'!$U$29*EXP('Model Inputs &amp; Assumptions'!$V$29*Q939-'Model Inputs &amp; Assumptions'!$V$29^2/2))</f>
        <v>0</v>
      </c>
      <c r="E939" s="45" t="n">
        <f aca="false">ROUND(C939*D939,0)</f>
        <v>0</v>
      </c>
      <c r="F939" s="47" t="n">
        <f aca="false">MIN(1,'Model Inputs &amp; Assumptions'!$W$29*EXP('Model Inputs &amp; Assumptions'!$X$29*R939-'Model Inputs &amp; Assumptions'!$X$29^2/2))</f>
        <v>0.00262953461699498</v>
      </c>
      <c r="G939" s="45" t="n">
        <f aca="false">ROUND(C939*F939,0)</f>
        <v>449</v>
      </c>
      <c r="H939" s="48" t="n">
        <f aca="false">MAX(0,(C939*'Model Inputs &amp; Assumptions'!$N$29+E939*'Model Inputs &amp; Assumptions'!$O$29+G939*'Model Inputs &amp; Assumptions'!$P$29)*EXP('Model Inputs &amp; Assumptions'!$Q$29*S939-'Model Inputs &amp; Assumptions'!$Q$29^2/2))</f>
        <v>29.2081013471144</v>
      </c>
      <c r="I939" s="49" t="n">
        <f aca="false">IF('Model Inputs &amp; Assumptions'!$H$29="Fixed",'Model Inputs &amp; Assumptions'!$I$29*'Model Inputs &amp; Assumptions'!$K$29,IF('Model Inputs &amp; Assumptions'!$H$29="CPM",'Model Inputs &amp; Assumptions'!$I$29*'Model Inputs &amp; Assumptions'!$K$29*C939/1000,IF('Model Inputs &amp; Assumptions'!$H$29="CPC",'Model Inputs &amp; Assumptions'!$I$29*'Model Inputs &amp; Assumptions'!$K$29*G939,0)))</f>
        <v>6500</v>
      </c>
      <c r="J939" s="50" t="n">
        <f aca="false">H939*INDEX('Model Inputs &amp; Assumptions'!$D$40:$D$42,MATCH('Model Inputs &amp; Assumptions'!$L$29,'Model Inputs &amp; Assumptions'!$A$40:$A$42,0))*INDEX('Model Inputs &amp; Assumptions'!$H$40:$H$42,MATCH('Model Inputs &amp; Assumptions'!$L$29,'Model Inputs &amp; Assumptions'!$A$40:$A$42,0))</f>
        <v>248268.861450472</v>
      </c>
      <c r="K939" s="49" t="n">
        <f aca="false">H939*INDEX('Model Inputs &amp; Assumptions'!$G$40:$G$42,MATCH('Model Inputs &amp; Assumptions'!$L$29,'Model Inputs &amp; Assumptions'!$A$40:$A$42,0))*INDEX('Model Inputs &amp; Assumptions'!$H$40:$H$42,MATCH('Model Inputs &amp; Assumptions'!$L$29,'Model Inputs &amp; Assumptions'!$A$40:$A$42,0))</f>
        <v>5586.04938263563</v>
      </c>
      <c r="L939" s="51" t="n">
        <f aca="false">IFERROR(K939/I939,0)</f>
        <v>0.859392212713174</v>
      </c>
      <c r="M939" s="49" t="n">
        <f aca="false">IFERROR(I939/H939,0)</f>
        <v>222.540997196388</v>
      </c>
      <c r="N939" s="52" t="str">
        <f aca="false">'Model Inputs &amp; Assumptions'!$L$29</f>
        <v>PRD-EUAI</v>
      </c>
      <c r="P939" s="53" t="n">
        <v>-0.560592</v>
      </c>
      <c r="Q939" s="53" t="n">
        <v>0.227087</v>
      </c>
      <c r="R939" s="53" t="n">
        <v>-0.346374</v>
      </c>
      <c r="S939" s="53" t="n">
        <v>1.027185</v>
      </c>
    </row>
    <row r="940" customFormat="false" ht="15" hidden="false" customHeight="false" outlineLevel="0" collapsed="false">
      <c r="A940" s="43" t="n">
        <v>437</v>
      </c>
      <c r="B940" s="44" t="str">
        <f aca="false">'Model Inputs &amp; Assumptions'!$B$29</f>
        <v>Handelsblatt — Native Explainer</v>
      </c>
      <c r="C940" s="45" t="n">
        <f aca="false">ROUND(MAX(0,'Model Inputs &amp; Assumptions'!$S$29*EXP('Model Inputs &amp; Assumptions'!$T$29*P940-'Model Inputs &amp; Assumptions'!$T$29^2/2)),0)</f>
        <v>235651</v>
      </c>
      <c r="D940" s="46" t="n">
        <f aca="false">MIN(1,'Model Inputs &amp; Assumptions'!$U$29*EXP('Model Inputs &amp; Assumptions'!$V$29*Q940-'Model Inputs &amp; Assumptions'!$V$29^2/2))</f>
        <v>0</v>
      </c>
      <c r="E940" s="45" t="n">
        <f aca="false">ROUND(C940*D940,0)</f>
        <v>0</v>
      </c>
      <c r="F940" s="47" t="n">
        <f aca="false">MIN(1,'Model Inputs &amp; Assumptions'!$W$29*EXP('Model Inputs &amp; Assumptions'!$X$29*R940-'Model Inputs &amp; Assumptions'!$X$29^2/2))</f>
        <v>0.00363502343795016</v>
      </c>
      <c r="G940" s="45" t="n">
        <f aca="false">ROUND(C940*F940,0)</f>
        <v>857</v>
      </c>
      <c r="H940" s="48" t="n">
        <f aca="false">MAX(0,(C940*'Model Inputs &amp; Assumptions'!$N$29+E940*'Model Inputs &amp; Assumptions'!$O$29+G940*'Model Inputs &amp; Assumptions'!$P$29)*EXP('Model Inputs &amp; Assumptions'!$Q$29*S940-'Model Inputs &amp; Assumptions'!$Q$29^2/2))</f>
        <v>74.6530996113728</v>
      </c>
      <c r="I940" s="49" t="n">
        <f aca="false">IF('Model Inputs &amp; Assumptions'!$H$29="Fixed",'Model Inputs &amp; Assumptions'!$I$29*'Model Inputs &amp; Assumptions'!$K$29,IF('Model Inputs &amp; Assumptions'!$H$29="CPM",'Model Inputs &amp; Assumptions'!$I$29*'Model Inputs &amp; Assumptions'!$K$29*C940/1000,IF('Model Inputs &amp; Assumptions'!$H$29="CPC",'Model Inputs &amp; Assumptions'!$I$29*'Model Inputs &amp; Assumptions'!$K$29*G940,0)))</f>
        <v>6500</v>
      </c>
      <c r="J940" s="50" t="n">
        <f aca="false">H940*INDEX('Model Inputs &amp; Assumptions'!$D$40:$D$42,MATCH('Model Inputs &amp; Assumptions'!$L$29,'Model Inputs &amp; Assumptions'!$A$40:$A$42,0))*INDEX('Model Inputs &amp; Assumptions'!$H$40:$H$42,MATCH('Model Inputs &amp; Assumptions'!$L$29,'Model Inputs &amp; Assumptions'!$A$40:$A$42,0))</f>
        <v>634551.346696669</v>
      </c>
      <c r="K940" s="49" t="n">
        <f aca="false">H940*INDEX('Model Inputs &amp; Assumptions'!$G$40:$G$42,MATCH('Model Inputs &amp; Assumptions'!$L$29,'Model Inputs &amp; Assumptions'!$A$40:$A$42,0))*INDEX('Model Inputs &amp; Assumptions'!$H$40:$H$42,MATCH('Model Inputs &amp; Assumptions'!$L$29,'Model Inputs &amp; Assumptions'!$A$40:$A$42,0))</f>
        <v>14277.4053006751</v>
      </c>
      <c r="L940" s="51" t="n">
        <f aca="false">IFERROR(K940/I940,0)</f>
        <v>2.19652389241155</v>
      </c>
      <c r="M940" s="49" t="n">
        <f aca="false">IFERROR(I940/H940,0)</f>
        <v>87.0693920793314</v>
      </c>
      <c r="N940" s="52" t="str">
        <f aca="false">'Model Inputs &amp; Assumptions'!$L$29</f>
        <v>PRD-EUAI</v>
      </c>
      <c r="P940" s="53" t="n">
        <v>0.901292</v>
      </c>
      <c r="Q940" s="53" t="n">
        <v>2.667604</v>
      </c>
      <c r="R940" s="53" t="n">
        <v>0.899044</v>
      </c>
      <c r="S940" s="53" t="n">
        <v>2.000488</v>
      </c>
    </row>
    <row r="941" customFormat="false" ht="15" hidden="false" customHeight="false" outlineLevel="0" collapsed="false">
      <c r="A941" s="43" t="n">
        <v>438</v>
      </c>
      <c r="B941" s="44" t="str">
        <f aca="false">'Model Inputs &amp; Assumptions'!$B$29</f>
        <v>Handelsblatt — Native Explainer</v>
      </c>
      <c r="C941" s="45" t="n">
        <f aca="false">ROUND(MAX(0,'Model Inputs &amp; Assumptions'!$S$29*EXP('Model Inputs &amp; Assumptions'!$T$29*P941-'Model Inputs &amp; Assumptions'!$T$29^2/2)),0)</f>
        <v>239487</v>
      </c>
      <c r="D941" s="46" t="n">
        <f aca="false">MIN(1,'Model Inputs &amp; Assumptions'!$U$29*EXP('Model Inputs &amp; Assumptions'!$V$29*Q941-'Model Inputs &amp; Assumptions'!$V$29^2/2))</f>
        <v>0</v>
      </c>
      <c r="E941" s="45" t="n">
        <f aca="false">ROUND(C941*D941,0)</f>
        <v>0</v>
      </c>
      <c r="F941" s="47" t="n">
        <f aca="false">MIN(1,'Model Inputs &amp; Assumptions'!$W$29*EXP('Model Inputs &amp; Assumptions'!$X$29*R941-'Model Inputs &amp; Assumptions'!$X$29^2/2))</f>
        <v>0.00396817701403277</v>
      </c>
      <c r="G941" s="45" t="n">
        <f aca="false">ROUND(C941*F941,0)</f>
        <v>950</v>
      </c>
      <c r="H941" s="48" t="n">
        <f aca="false">MAX(0,(C941*'Model Inputs &amp; Assumptions'!$N$29+E941*'Model Inputs &amp; Assumptions'!$O$29+G941*'Model Inputs &amp; Assumptions'!$P$29)*EXP('Model Inputs &amp; Assumptions'!$Q$29*S941-'Model Inputs &amp; Assumptions'!$Q$29^2/2))</f>
        <v>34.6394397838081</v>
      </c>
      <c r="I941" s="49" t="n">
        <f aca="false">IF('Model Inputs &amp; Assumptions'!$H$29="Fixed",'Model Inputs &amp; Assumptions'!$I$29*'Model Inputs &amp; Assumptions'!$K$29,IF('Model Inputs &amp; Assumptions'!$H$29="CPM",'Model Inputs &amp; Assumptions'!$I$29*'Model Inputs &amp; Assumptions'!$K$29*C941/1000,IF('Model Inputs &amp; Assumptions'!$H$29="CPC",'Model Inputs &amp; Assumptions'!$I$29*'Model Inputs &amp; Assumptions'!$K$29*G941,0)))</f>
        <v>6500</v>
      </c>
      <c r="J941" s="50" t="n">
        <f aca="false">H941*INDEX('Model Inputs &amp; Assumptions'!$D$40:$D$42,MATCH('Model Inputs &amp; Assumptions'!$L$29,'Model Inputs &amp; Assumptions'!$A$40:$A$42,0))*INDEX('Model Inputs &amp; Assumptions'!$H$40:$H$42,MATCH('Model Inputs &amp; Assumptions'!$L$29,'Model Inputs &amp; Assumptions'!$A$40:$A$42,0))</f>
        <v>294435.238162368</v>
      </c>
      <c r="K941" s="49" t="n">
        <f aca="false">H941*INDEX('Model Inputs &amp; Assumptions'!$G$40:$G$42,MATCH('Model Inputs &amp; Assumptions'!$L$29,'Model Inputs &amp; Assumptions'!$A$40:$A$42,0))*INDEX('Model Inputs &amp; Assumptions'!$H$40:$H$42,MATCH('Model Inputs &amp; Assumptions'!$L$29,'Model Inputs &amp; Assumptions'!$A$40:$A$42,0))</f>
        <v>6624.79285865329</v>
      </c>
      <c r="L941" s="51" t="n">
        <f aca="false">IFERROR(K941/I941,0)</f>
        <v>1.01919890133128</v>
      </c>
      <c r="M941" s="49" t="n">
        <f aca="false">IFERROR(I941/H941,0)</f>
        <v>187.647376532873</v>
      </c>
      <c r="N941" s="52" t="str">
        <f aca="false">'Model Inputs &amp; Assumptions'!$L$29</f>
        <v>PRD-EUAI</v>
      </c>
      <c r="P941" s="53" t="n">
        <v>0.974697</v>
      </c>
      <c r="Q941" s="53" t="n">
        <v>-0.211949</v>
      </c>
      <c r="R941" s="53" t="n">
        <v>1.236318</v>
      </c>
      <c r="S941" s="53" t="n">
        <v>-0.902456</v>
      </c>
    </row>
    <row r="942" customFormat="false" ht="15" hidden="false" customHeight="false" outlineLevel="0" collapsed="false">
      <c r="A942" s="43" t="n">
        <v>439</v>
      </c>
      <c r="B942" s="44" t="str">
        <f aca="false">'Model Inputs &amp; Assumptions'!$B$29</f>
        <v>Handelsblatt — Native Explainer</v>
      </c>
      <c r="C942" s="45" t="n">
        <f aca="false">ROUND(MAX(0,'Model Inputs &amp; Assumptions'!$S$29*EXP('Model Inputs &amp; Assumptions'!$T$29*P942-'Model Inputs &amp; Assumptions'!$T$29^2/2)),0)</f>
        <v>172675</v>
      </c>
      <c r="D942" s="46" t="n">
        <f aca="false">MIN(1,'Model Inputs &amp; Assumptions'!$U$29*EXP('Model Inputs &amp; Assumptions'!$V$29*Q942-'Model Inputs &amp; Assumptions'!$V$29^2/2))</f>
        <v>0</v>
      </c>
      <c r="E942" s="45" t="n">
        <f aca="false">ROUND(C942*D942,0)</f>
        <v>0</v>
      </c>
      <c r="F942" s="47" t="n">
        <f aca="false">MIN(1,'Model Inputs &amp; Assumptions'!$W$29*EXP('Model Inputs &amp; Assumptions'!$X$29*R942-'Model Inputs &amp; Assumptions'!$X$29^2/2))</f>
        <v>0.00268025778631103</v>
      </c>
      <c r="G942" s="45" t="n">
        <f aca="false">ROUND(C942*F942,0)</f>
        <v>463</v>
      </c>
      <c r="H942" s="48" t="n">
        <f aca="false">MAX(0,(C942*'Model Inputs &amp; Assumptions'!$N$29+E942*'Model Inputs &amp; Assumptions'!$O$29+G942*'Model Inputs &amp; Assumptions'!$P$29)*EXP('Model Inputs &amp; Assumptions'!$Q$29*S942-'Model Inputs &amp; Assumptions'!$Q$29^2/2))</f>
        <v>25.7847512540609</v>
      </c>
      <c r="I942" s="49" t="n">
        <f aca="false">IF('Model Inputs &amp; Assumptions'!$H$29="Fixed",'Model Inputs &amp; Assumptions'!$I$29*'Model Inputs &amp; Assumptions'!$K$29,IF('Model Inputs &amp; Assumptions'!$H$29="CPM",'Model Inputs &amp; Assumptions'!$I$29*'Model Inputs &amp; Assumptions'!$K$29*C942/1000,IF('Model Inputs &amp; Assumptions'!$H$29="CPC",'Model Inputs &amp; Assumptions'!$I$29*'Model Inputs &amp; Assumptions'!$K$29*G942,0)))</f>
        <v>6500</v>
      </c>
      <c r="J942" s="50" t="n">
        <f aca="false">H942*INDEX('Model Inputs &amp; Assumptions'!$D$40:$D$42,MATCH('Model Inputs &amp; Assumptions'!$L$29,'Model Inputs &amp; Assumptions'!$A$40:$A$42,0))*INDEX('Model Inputs &amp; Assumptions'!$H$40:$H$42,MATCH('Model Inputs &amp; Assumptions'!$L$29,'Model Inputs &amp; Assumptions'!$A$40:$A$42,0))</f>
        <v>219170.385659517</v>
      </c>
      <c r="K942" s="49" t="n">
        <f aca="false">H942*INDEX('Model Inputs &amp; Assumptions'!$G$40:$G$42,MATCH('Model Inputs &amp; Assumptions'!$L$29,'Model Inputs &amp; Assumptions'!$A$40:$A$42,0))*INDEX('Model Inputs &amp; Assumptions'!$H$40:$H$42,MATCH('Model Inputs &amp; Assumptions'!$L$29,'Model Inputs &amp; Assumptions'!$A$40:$A$42,0))</f>
        <v>4931.33367733914</v>
      </c>
      <c r="L942" s="51" t="n">
        <f aca="false">IFERROR(K942/I942,0)</f>
        <v>0.758666719590637</v>
      </c>
      <c r="M942" s="49" t="n">
        <f aca="false">IFERROR(I942/H942,0)</f>
        <v>252.08697714221</v>
      </c>
      <c r="N942" s="52" t="str">
        <f aca="false">'Model Inputs &amp; Assumptions'!$L$29</f>
        <v>PRD-EUAI</v>
      </c>
      <c r="P942" s="53" t="n">
        <v>-0.51206</v>
      </c>
      <c r="Q942" s="53" t="n">
        <v>1.645659</v>
      </c>
      <c r="R942" s="53" t="n">
        <v>-0.272889</v>
      </c>
      <c r="S942" s="53" t="n">
        <v>0.509295</v>
      </c>
    </row>
    <row r="943" customFormat="false" ht="15" hidden="false" customHeight="false" outlineLevel="0" collapsed="false">
      <c r="A943" s="43" t="n">
        <v>440</v>
      </c>
      <c r="B943" s="44" t="str">
        <f aca="false">'Model Inputs &amp; Assumptions'!$B$29</f>
        <v>Handelsblatt — Native Explainer</v>
      </c>
      <c r="C943" s="45" t="n">
        <f aca="false">ROUND(MAX(0,'Model Inputs &amp; Assumptions'!$S$29*EXP('Model Inputs &amp; Assumptions'!$T$29*P943-'Model Inputs &amp; Assumptions'!$T$29^2/2)),0)</f>
        <v>248210</v>
      </c>
      <c r="D943" s="46" t="n">
        <f aca="false">MIN(1,'Model Inputs &amp; Assumptions'!$U$29*EXP('Model Inputs &amp; Assumptions'!$V$29*Q943-'Model Inputs &amp; Assumptions'!$V$29^2/2))</f>
        <v>0</v>
      </c>
      <c r="E943" s="45" t="n">
        <f aca="false">ROUND(C943*D943,0)</f>
        <v>0</v>
      </c>
      <c r="F943" s="47" t="n">
        <f aca="false">MIN(1,'Model Inputs &amp; Assumptions'!$W$29*EXP('Model Inputs &amp; Assumptions'!$X$29*R943-'Model Inputs &amp; Assumptions'!$X$29^2/2))</f>
        <v>0.0029176979113582</v>
      </c>
      <c r="G943" s="45" t="n">
        <f aca="false">ROUND(C943*F943,0)</f>
        <v>724</v>
      </c>
      <c r="H943" s="48" t="n">
        <f aca="false">MAX(0,(C943*'Model Inputs &amp; Assumptions'!$N$29+E943*'Model Inputs &amp; Assumptions'!$O$29+G943*'Model Inputs &amp; Assumptions'!$P$29)*EXP('Model Inputs &amp; Assumptions'!$Q$29*S943-'Model Inputs &amp; Assumptions'!$Q$29^2/2))</f>
        <v>36.8602862776209</v>
      </c>
      <c r="I943" s="49" t="n">
        <f aca="false">IF('Model Inputs &amp; Assumptions'!$H$29="Fixed",'Model Inputs &amp; Assumptions'!$I$29*'Model Inputs &amp; Assumptions'!$K$29,IF('Model Inputs &amp; Assumptions'!$H$29="CPM",'Model Inputs &amp; Assumptions'!$I$29*'Model Inputs &amp; Assumptions'!$K$29*C943/1000,IF('Model Inputs &amp; Assumptions'!$H$29="CPC",'Model Inputs &amp; Assumptions'!$I$29*'Model Inputs &amp; Assumptions'!$K$29*G943,0)))</f>
        <v>6500</v>
      </c>
      <c r="J943" s="50" t="n">
        <f aca="false">H943*INDEX('Model Inputs &amp; Assumptions'!$D$40:$D$42,MATCH('Model Inputs &amp; Assumptions'!$L$29,'Model Inputs &amp; Assumptions'!$A$40:$A$42,0))*INDEX('Model Inputs &amp; Assumptions'!$H$40:$H$42,MATCH('Model Inputs &amp; Assumptions'!$L$29,'Model Inputs &amp; Assumptions'!$A$40:$A$42,0))</f>
        <v>313312.433359778</v>
      </c>
      <c r="K943" s="49" t="n">
        <f aca="false">H943*INDEX('Model Inputs &amp; Assumptions'!$G$40:$G$42,MATCH('Model Inputs &amp; Assumptions'!$L$29,'Model Inputs &amp; Assumptions'!$A$40:$A$42,0))*INDEX('Model Inputs &amp; Assumptions'!$H$40:$H$42,MATCH('Model Inputs &amp; Assumptions'!$L$29,'Model Inputs &amp; Assumptions'!$A$40:$A$42,0))</f>
        <v>7049.52975059499</v>
      </c>
      <c r="L943" s="51" t="n">
        <f aca="false">IFERROR(K943/I943,0)</f>
        <v>1.08454303855308</v>
      </c>
      <c r="M943" s="49" t="n">
        <f aca="false">IFERROR(I943/H943,0)</f>
        <v>176.341549575712</v>
      </c>
      <c r="N943" s="52" t="str">
        <f aca="false">'Model Inputs &amp; Assumptions'!$L$29</f>
        <v>PRD-EUAI</v>
      </c>
      <c r="P943" s="53" t="n">
        <v>1.137306</v>
      </c>
      <c r="Q943" s="53" t="n">
        <v>0.85788</v>
      </c>
      <c r="R943" s="53" t="n">
        <v>0.05358</v>
      </c>
      <c r="S943" s="53" t="n">
        <v>0.210252</v>
      </c>
    </row>
    <row r="944" customFormat="false" ht="15" hidden="false" customHeight="false" outlineLevel="0" collapsed="false">
      <c r="A944" s="43" t="n">
        <v>441</v>
      </c>
      <c r="B944" s="44" t="str">
        <f aca="false">'Model Inputs &amp; Assumptions'!$B$29</f>
        <v>Handelsblatt — Native Explainer</v>
      </c>
      <c r="C944" s="45" t="n">
        <f aca="false">ROUND(MAX(0,'Model Inputs &amp; Assumptions'!$S$29*EXP('Model Inputs &amp; Assumptions'!$T$29*P944-'Model Inputs &amp; Assumptions'!$T$29^2/2)),0)</f>
        <v>318289</v>
      </c>
      <c r="D944" s="46" t="n">
        <f aca="false">MIN(1,'Model Inputs &amp; Assumptions'!$U$29*EXP('Model Inputs &amp; Assumptions'!$V$29*Q944-'Model Inputs &amp; Assumptions'!$V$29^2/2))</f>
        <v>0</v>
      </c>
      <c r="E944" s="45" t="n">
        <f aca="false">ROUND(C944*D944,0)</f>
        <v>0</v>
      </c>
      <c r="F944" s="47" t="n">
        <f aca="false">MIN(1,'Model Inputs &amp; Assumptions'!$W$29*EXP('Model Inputs &amp; Assumptions'!$X$29*R944-'Model Inputs &amp; Assumptions'!$X$29^2/2))</f>
        <v>0.00349944665987785</v>
      </c>
      <c r="G944" s="45" t="n">
        <f aca="false">ROUND(C944*F944,0)</f>
        <v>1114</v>
      </c>
      <c r="H944" s="48" t="n">
        <f aca="false">MAX(0,(C944*'Model Inputs &amp; Assumptions'!$N$29+E944*'Model Inputs &amp; Assumptions'!$O$29+G944*'Model Inputs &amp; Assumptions'!$P$29)*EXP('Model Inputs &amp; Assumptions'!$Q$29*S944-'Model Inputs &amp; Assumptions'!$Q$29^2/2))</f>
        <v>63.7792400882347</v>
      </c>
      <c r="I944" s="49" t="n">
        <f aca="false">IF('Model Inputs &amp; Assumptions'!$H$29="Fixed",'Model Inputs &amp; Assumptions'!$I$29*'Model Inputs &amp; Assumptions'!$K$29,IF('Model Inputs &amp; Assumptions'!$H$29="CPM",'Model Inputs &amp; Assumptions'!$I$29*'Model Inputs &amp; Assumptions'!$K$29*C944/1000,IF('Model Inputs &amp; Assumptions'!$H$29="CPC",'Model Inputs &amp; Assumptions'!$I$29*'Model Inputs &amp; Assumptions'!$K$29*G944,0)))</f>
        <v>6500</v>
      </c>
      <c r="J944" s="50" t="n">
        <f aca="false">H944*INDEX('Model Inputs &amp; Assumptions'!$D$40:$D$42,MATCH('Model Inputs &amp; Assumptions'!$L$29,'Model Inputs &amp; Assumptions'!$A$40:$A$42,0))*INDEX('Model Inputs &amp; Assumptions'!$H$40:$H$42,MATCH('Model Inputs &amp; Assumptions'!$L$29,'Model Inputs &amp; Assumptions'!$A$40:$A$42,0))</f>
        <v>542123.540749995</v>
      </c>
      <c r="K944" s="49" t="n">
        <f aca="false">H944*INDEX('Model Inputs &amp; Assumptions'!$G$40:$G$42,MATCH('Model Inputs &amp; Assumptions'!$L$29,'Model Inputs &amp; Assumptions'!$A$40:$A$42,0))*INDEX('Model Inputs &amp; Assumptions'!$H$40:$H$42,MATCH('Model Inputs &amp; Assumptions'!$L$29,'Model Inputs &amp; Assumptions'!$A$40:$A$42,0))</f>
        <v>12197.7796668749</v>
      </c>
      <c r="L944" s="51" t="n">
        <f aca="false">IFERROR(K944/I944,0)</f>
        <v>1.87658148721152</v>
      </c>
      <c r="M944" s="49" t="n">
        <f aca="false">IFERROR(I944/H944,0)</f>
        <v>101.914039599839</v>
      </c>
      <c r="N944" s="52" t="str">
        <f aca="false">'Model Inputs &amp; Assumptions'!$L$29</f>
        <v>PRD-EUAI</v>
      </c>
      <c r="P944" s="53" t="n">
        <v>2.267688</v>
      </c>
      <c r="Q944" s="53" t="n">
        <v>-0.235921</v>
      </c>
      <c r="R944" s="53" t="n">
        <v>0.752849</v>
      </c>
      <c r="S944" s="53" t="n">
        <v>0.601492</v>
      </c>
    </row>
    <row r="945" customFormat="false" ht="15" hidden="false" customHeight="false" outlineLevel="0" collapsed="false">
      <c r="A945" s="43" t="n">
        <v>442</v>
      </c>
      <c r="B945" s="44" t="str">
        <f aca="false">'Model Inputs &amp; Assumptions'!$B$29</f>
        <v>Handelsblatt — Native Explainer</v>
      </c>
      <c r="C945" s="45" t="n">
        <f aca="false">ROUND(MAX(0,'Model Inputs &amp; Assumptions'!$S$29*EXP('Model Inputs &amp; Assumptions'!$T$29*P945-'Model Inputs &amp; Assumptions'!$T$29^2/2)),0)</f>
        <v>154151</v>
      </c>
      <c r="D945" s="46" t="n">
        <f aca="false">MIN(1,'Model Inputs &amp; Assumptions'!$U$29*EXP('Model Inputs &amp; Assumptions'!$V$29*Q945-'Model Inputs &amp; Assumptions'!$V$29^2/2))</f>
        <v>0</v>
      </c>
      <c r="E945" s="45" t="n">
        <f aca="false">ROUND(C945*D945,0)</f>
        <v>0</v>
      </c>
      <c r="F945" s="47" t="n">
        <f aca="false">MIN(1,'Model Inputs &amp; Assumptions'!$W$29*EXP('Model Inputs &amp; Assumptions'!$X$29*R945-'Model Inputs &amp; Assumptions'!$X$29^2/2))</f>
        <v>0.00273167173470864</v>
      </c>
      <c r="G945" s="45" t="n">
        <f aca="false">ROUND(C945*F945,0)</f>
        <v>421</v>
      </c>
      <c r="H945" s="48" t="n">
        <f aca="false">MAX(0,(C945*'Model Inputs &amp; Assumptions'!$N$29+E945*'Model Inputs &amp; Assumptions'!$O$29+G945*'Model Inputs &amp; Assumptions'!$P$29)*EXP('Model Inputs &amp; Assumptions'!$Q$29*S945-'Model Inputs &amp; Assumptions'!$Q$29^2/2))</f>
        <v>23.1708740279055</v>
      </c>
      <c r="I945" s="49" t="n">
        <f aca="false">IF('Model Inputs &amp; Assumptions'!$H$29="Fixed",'Model Inputs &amp; Assumptions'!$I$29*'Model Inputs &amp; Assumptions'!$K$29,IF('Model Inputs &amp; Assumptions'!$H$29="CPM",'Model Inputs &amp; Assumptions'!$I$29*'Model Inputs &amp; Assumptions'!$K$29*C945/1000,IF('Model Inputs &amp; Assumptions'!$H$29="CPC",'Model Inputs &amp; Assumptions'!$I$29*'Model Inputs &amp; Assumptions'!$K$29*G945,0)))</f>
        <v>6500</v>
      </c>
      <c r="J945" s="50" t="n">
        <f aca="false">H945*INDEX('Model Inputs &amp; Assumptions'!$D$40:$D$42,MATCH('Model Inputs &amp; Assumptions'!$L$29,'Model Inputs &amp; Assumptions'!$A$40:$A$42,0))*INDEX('Model Inputs &amp; Assumptions'!$H$40:$H$42,MATCH('Model Inputs &amp; Assumptions'!$L$29,'Model Inputs &amp; Assumptions'!$A$40:$A$42,0))</f>
        <v>196952.429237197</v>
      </c>
      <c r="K945" s="49" t="n">
        <f aca="false">H945*INDEX('Model Inputs &amp; Assumptions'!$G$40:$G$42,MATCH('Model Inputs &amp; Assumptions'!$L$29,'Model Inputs &amp; Assumptions'!$A$40:$A$42,0))*INDEX('Model Inputs &amp; Assumptions'!$H$40:$H$42,MATCH('Model Inputs &amp; Assumptions'!$L$29,'Model Inputs &amp; Assumptions'!$A$40:$A$42,0))</f>
        <v>4431.42965783693</v>
      </c>
      <c r="L945" s="51" t="n">
        <f aca="false">IFERROR(K945/I945,0)</f>
        <v>0.68175840889799</v>
      </c>
      <c r="M945" s="49" t="n">
        <f aca="false">IFERROR(I945/H945,0)</f>
        <v>280.524592735337</v>
      </c>
      <c r="N945" s="52" t="str">
        <f aca="false">'Model Inputs &amp; Assumptions'!$L$29</f>
        <v>PRD-EUAI</v>
      </c>
      <c r="P945" s="53" t="n">
        <v>-1.027888</v>
      </c>
      <c r="Q945" s="53" t="n">
        <v>0.169541</v>
      </c>
      <c r="R945" s="53" t="n">
        <v>-0.199809</v>
      </c>
      <c r="S945" s="53" t="n">
        <v>0.469985</v>
      </c>
    </row>
    <row r="946" customFormat="false" ht="15" hidden="false" customHeight="false" outlineLevel="0" collapsed="false">
      <c r="A946" s="43" t="n">
        <v>443</v>
      </c>
      <c r="B946" s="44" t="str">
        <f aca="false">'Model Inputs &amp; Assumptions'!$B$29</f>
        <v>Handelsblatt — Native Explainer</v>
      </c>
      <c r="C946" s="45" t="n">
        <f aca="false">ROUND(MAX(0,'Model Inputs &amp; Assumptions'!$S$29*EXP('Model Inputs &amp; Assumptions'!$T$29*P946-'Model Inputs &amp; Assumptions'!$T$29^2/2)),0)</f>
        <v>187491</v>
      </c>
      <c r="D946" s="46" t="n">
        <f aca="false">MIN(1,'Model Inputs &amp; Assumptions'!$U$29*EXP('Model Inputs &amp; Assumptions'!$V$29*Q946-'Model Inputs &amp; Assumptions'!$V$29^2/2))</f>
        <v>0</v>
      </c>
      <c r="E946" s="45" t="n">
        <f aca="false">ROUND(C946*D946,0)</f>
        <v>0</v>
      </c>
      <c r="F946" s="47" t="n">
        <f aca="false">MIN(1,'Model Inputs &amp; Assumptions'!$W$29*EXP('Model Inputs &amp; Assumptions'!$X$29*R946-'Model Inputs &amp; Assumptions'!$X$29^2/2))</f>
        <v>0.00234379811318685</v>
      </c>
      <c r="G946" s="45" t="n">
        <f aca="false">ROUND(C946*F946,0)</f>
        <v>439</v>
      </c>
      <c r="H946" s="48" t="n">
        <f aca="false">MAX(0,(C946*'Model Inputs &amp; Assumptions'!$N$29+E946*'Model Inputs &amp; Assumptions'!$O$29+G946*'Model Inputs &amp; Assumptions'!$P$29)*EXP('Model Inputs &amp; Assumptions'!$Q$29*S946-'Model Inputs &amp; Assumptions'!$Q$29^2/2))</f>
        <v>13.8084364112233</v>
      </c>
      <c r="I946" s="49" t="n">
        <f aca="false">IF('Model Inputs &amp; Assumptions'!$H$29="Fixed",'Model Inputs &amp; Assumptions'!$I$29*'Model Inputs &amp; Assumptions'!$K$29,IF('Model Inputs &amp; Assumptions'!$H$29="CPM",'Model Inputs &amp; Assumptions'!$I$29*'Model Inputs &amp; Assumptions'!$K$29*C946/1000,IF('Model Inputs &amp; Assumptions'!$H$29="CPC",'Model Inputs &amp; Assumptions'!$I$29*'Model Inputs &amp; Assumptions'!$K$29*G946,0)))</f>
        <v>6500</v>
      </c>
      <c r="J946" s="50" t="n">
        <f aca="false">H946*INDEX('Model Inputs &amp; Assumptions'!$D$40:$D$42,MATCH('Model Inputs &amp; Assumptions'!$L$29,'Model Inputs &amp; Assumptions'!$A$40:$A$42,0))*INDEX('Model Inputs &amp; Assumptions'!$H$40:$H$42,MATCH('Model Inputs &amp; Assumptions'!$L$29,'Model Inputs &amp; Assumptions'!$A$40:$A$42,0))</f>
        <v>117371.709495398</v>
      </c>
      <c r="K946" s="49" t="n">
        <f aca="false">H946*INDEX('Model Inputs &amp; Assumptions'!$G$40:$G$42,MATCH('Model Inputs &amp; Assumptions'!$L$29,'Model Inputs &amp; Assumptions'!$A$40:$A$42,0))*INDEX('Model Inputs &amp; Assumptions'!$H$40:$H$42,MATCH('Model Inputs &amp; Assumptions'!$L$29,'Model Inputs &amp; Assumptions'!$A$40:$A$42,0))</f>
        <v>2640.86346364646</v>
      </c>
      <c r="L946" s="51" t="n">
        <f aca="false">IFERROR(K946/I946,0)</f>
        <v>0.40628668671484</v>
      </c>
      <c r="M946" s="49" t="n">
        <f aca="false">IFERROR(I946/H946,0)</f>
        <v>470.726721435084</v>
      </c>
      <c r="N946" s="52" t="str">
        <f aca="false">'Model Inputs &amp; Assumptions'!$L$29</f>
        <v>PRD-EUAI</v>
      </c>
      <c r="P946" s="53" t="n">
        <v>-0.137895</v>
      </c>
      <c r="Q946" s="53" t="n">
        <v>0.88535</v>
      </c>
      <c r="R946" s="53" t="n">
        <v>-0.788813</v>
      </c>
      <c r="S946" s="53" t="n">
        <v>-1.394958</v>
      </c>
    </row>
    <row r="947" customFormat="false" ht="15" hidden="false" customHeight="false" outlineLevel="0" collapsed="false">
      <c r="A947" s="43" t="n">
        <v>444</v>
      </c>
      <c r="B947" s="44" t="str">
        <f aca="false">'Model Inputs &amp; Assumptions'!$B$29</f>
        <v>Handelsblatt — Native Explainer</v>
      </c>
      <c r="C947" s="45" t="n">
        <f aca="false">ROUND(MAX(0,'Model Inputs &amp; Assumptions'!$S$29*EXP('Model Inputs &amp; Assumptions'!$T$29*P947-'Model Inputs &amp; Assumptions'!$T$29^2/2)),0)</f>
        <v>204409</v>
      </c>
      <c r="D947" s="46" t="n">
        <f aca="false">MIN(1,'Model Inputs &amp; Assumptions'!$U$29*EXP('Model Inputs &amp; Assumptions'!$V$29*Q947-'Model Inputs &amp; Assumptions'!$V$29^2/2))</f>
        <v>0</v>
      </c>
      <c r="E947" s="45" t="n">
        <f aca="false">ROUND(C947*D947,0)</f>
        <v>0</v>
      </c>
      <c r="F947" s="47" t="n">
        <f aca="false">MIN(1,'Model Inputs &amp; Assumptions'!$W$29*EXP('Model Inputs &amp; Assumptions'!$X$29*R947-'Model Inputs &amp; Assumptions'!$X$29^2/2))</f>
        <v>0.0029809880286947</v>
      </c>
      <c r="G947" s="45" t="n">
        <f aca="false">ROUND(C947*F947,0)</f>
        <v>609</v>
      </c>
      <c r="H947" s="48" t="n">
        <f aca="false">MAX(0,(C947*'Model Inputs &amp; Assumptions'!$N$29+E947*'Model Inputs &amp; Assumptions'!$O$29+G947*'Model Inputs &amp; Assumptions'!$P$29)*EXP('Model Inputs &amp; Assumptions'!$Q$29*S947-'Model Inputs &amp; Assumptions'!$Q$29^2/2))</f>
        <v>40.263888254745</v>
      </c>
      <c r="I947" s="49" t="n">
        <f aca="false">IF('Model Inputs &amp; Assumptions'!$H$29="Fixed",'Model Inputs &amp; Assumptions'!$I$29*'Model Inputs &amp; Assumptions'!$K$29,IF('Model Inputs &amp; Assumptions'!$H$29="CPM",'Model Inputs &amp; Assumptions'!$I$29*'Model Inputs &amp; Assumptions'!$K$29*C947/1000,IF('Model Inputs &amp; Assumptions'!$H$29="CPC",'Model Inputs &amp; Assumptions'!$I$29*'Model Inputs &amp; Assumptions'!$K$29*G947,0)))</f>
        <v>6500</v>
      </c>
      <c r="J947" s="50" t="n">
        <f aca="false">H947*INDEX('Model Inputs &amp; Assumptions'!$D$40:$D$42,MATCH('Model Inputs &amp; Assumptions'!$L$29,'Model Inputs &amp; Assumptions'!$A$40:$A$42,0))*INDEX('Model Inputs &amp; Assumptions'!$H$40:$H$42,MATCH('Model Inputs &amp; Assumptions'!$L$29,'Model Inputs &amp; Assumptions'!$A$40:$A$42,0))</f>
        <v>342243.050165332</v>
      </c>
      <c r="K947" s="49" t="n">
        <f aca="false">H947*INDEX('Model Inputs &amp; Assumptions'!$G$40:$G$42,MATCH('Model Inputs &amp; Assumptions'!$L$29,'Model Inputs &amp; Assumptions'!$A$40:$A$42,0))*INDEX('Model Inputs &amp; Assumptions'!$H$40:$H$42,MATCH('Model Inputs &amp; Assumptions'!$L$29,'Model Inputs &amp; Assumptions'!$A$40:$A$42,0))</f>
        <v>7700.46862871997</v>
      </c>
      <c r="L947" s="51" t="n">
        <f aca="false">IFERROR(K947/I947,0)</f>
        <v>1.18468748134153</v>
      </c>
      <c r="M947" s="49" t="n">
        <f aca="false">IFERROR(I947/H947,0)</f>
        <v>161.434980121027</v>
      </c>
      <c r="N947" s="52" t="str">
        <f aca="false">'Model Inputs &amp; Assumptions'!$L$29</f>
        <v>PRD-EUAI</v>
      </c>
      <c r="P947" s="53" t="n">
        <v>0.254806</v>
      </c>
      <c r="Q947" s="53" t="n">
        <v>-1.037273</v>
      </c>
      <c r="R947" s="53" t="n">
        <v>0.136118</v>
      </c>
      <c r="S947" s="53" t="n">
        <v>1.08123</v>
      </c>
    </row>
    <row r="948" customFormat="false" ht="15" hidden="false" customHeight="false" outlineLevel="0" collapsed="false">
      <c r="A948" s="43" t="n">
        <v>445</v>
      </c>
      <c r="B948" s="44" t="str">
        <f aca="false">'Model Inputs &amp; Assumptions'!$B$29</f>
        <v>Handelsblatt — Native Explainer</v>
      </c>
      <c r="C948" s="45" t="n">
        <f aca="false">ROUND(MAX(0,'Model Inputs &amp; Assumptions'!$S$29*EXP('Model Inputs &amp; Assumptions'!$T$29*P948-'Model Inputs &amp; Assumptions'!$T$29^2/2)),0)</f>
        <v>219547</v>
      </c>
      <c r="D948" s="46" t="n">
        <f aca="false">MIN(1,'Model Inputs &amp; Assumptions'!$U$29*EXP('Model Inputs &amp; Assumptions'!$V$29*Q948-'Model Inputs &amp; Assumptions'!$V$29^2/2))</f>
        <v>0</v>
      </c>
      <c r="E948" s="45" t="n">
        <f aca="false">ROUND(C948*D948,0)</f>
        <v>0</v>
      </c>
      <c r="F948" s="47" t="n">
        <f aca="false">MIN(1,'Model Inputs &amp; Assumptions'!$W$29*EXP('Model Inputs &amp; Assumptions'!$X$29*R948-'Model Inputs &amp; Assumptions'!$X$29^2/2))</f>
        <v>0.00340465958245334</v>
      </c>
      <c r="G948" s="45" t="n">
        <f aca="false">ROUND(C948*F948,0)</f>
        <v>747</v>
      </c>
      <c r="H948" s="48" t="n">
        <f aca="false">MAX(0,(C948*'Model Inputs &amp; Assumptions'!$N$29+E948*'Model Inputs &amp; Assumptions'!$O$29+G948*'Model Inputs &amp; Assumptions'!$P$29)*EXP('Model Inputs &amp; Assumptions'!$Q$29*S948-'Model Inputs &amp; Assumptions'!$Q$29^2/2))</f>
        <v>45.8307842981495</v>
      </c>
      <c r="I948" s="49" t="n">
        <f aca="false">IF('Model Inputs &amp; Assumptions'!$H$29="Fixed",'Model Inputs &amp; Assumptions'!$I$29*'Model Inputs &amp; Assumptions'!$K$29,IF('Model Inputs &amp; Assumptions'!$H$29="CPM",'Model Inputs &amp; Assumptions'!$I$29*'Model Inputs &amp; Assumptions'!$K$29*C948/1000,IF('Model Inputs &amp; Assumptions'!$H$29="CPC",'Model Inputs &amp; Assumptions'!$I$29*'Model Inputs &amp; Assumptions'!$K$29*G948,0)))</f>
        <v>6500</v>
      </c>
      <c r="J948" s="50" t="n">
        <f aca="false">H948*INDEX('Model Inputs &amp; Assumptions'!$D$40:$D$42,MATCH('Model Inputs &amp; Assumptions'!$L$29,'Model Inputs &amp; Assumptions'!$A$40:$A$42,0))*INDEX('Model Inputs &amp; Assumptions'!$H$40:$H$42,MATCH('Model Inputs &amp; Assumptions'!$L$29,'Model Inputs &amp; Assumptions'!$A$40:$A$42,0))</f>
        <v>389561.666534271</v>
      </c>
      <c r="K948" s="49" t="n">
        <f aca="false">H948*INDEX('Model Inputs &amp; Assumptions'!$G$40:$G$42,MATCH('Model Inputs &amp; Assumptions'!$L$29,'Model Inputs &amp; Assumptions'!$A$40:$A$42,0))*INDEX('Model Inputs &amp; Assumptions'!$H$40:$H$42,MATCH('Model Inputs &amp; Assumptions'!$L$29,'Model Inputs &amp; Assumptions'!$A$40:$A$42,0))</f>
        <v>8765.1374970211</v>
      </c>
      <c r="L948" s="51" t="n">
        <f aca="false">IFERROR(K948/I948,0)</f>
        <v>1.3484826918494</v>
      </c>
      <c r="M948" s="49" t="n">
        <f aca="false">IFERROR(I948/H948,0)</f>
        <v>141.826069519444</v>
      </c>
      <c r="N948" s="52" t="str">
        <f aca="false">'Model Inputs &amp; Assumptions'!$L$29</f>
        <v>PRD-EUAI</v>
      </c>
      <c r="P948" s="53" t="n">
        <v>0.579534</v>
      </c>
      <c r="Q948" s="53" t="n">
        <v>-0.166488</v>
      </c>
      <c r="R948" s="53" t="n">
        <v>0.647234</v>
      </c>
      <c r="S948" s="53" t="n">
        <v>0.832077</v>
      </c>
    </row>
    <row r="949" customFormat="false" ht="15" hidden="false" customHeight="false" outlineLevel="0" collapsed="false">
      <c r="A949" s="43" t="n">
        <v>446</v>
      </c>
      <c r="B949" s="44" t="str">
        <f aca="false">'Model Inputs &amp; Assumptions'!$B$29</f>
        <v>Handelsblatt — Native Explainer</v>
      </c>
      <c r="C949" s="45" t="n">
        <f aca="false">ROUND(MAX(0,'Model Inputs &amp; Assumptions'!$S$29*EXP('Model Inputs &amp; Assumptions'!$T$29*P949-'Model Inputs &amp; Assumptions'!$T$29^2/2)),0)</f>
        <v>238002</v>
      </c>
      <c r="D949" s="46" t="n">
        <f aca="false">MIN(1,'Model Inputs &amp; Assumptions'!$U$29*EXP('Model Inputs &amp; Assumptions'!$V$29*Q949-'Model Inputs &amp; Assumptions'!$V$29^2/2))</f>
        <v>0</v>
      </c>
      <c r="E949" s="45" t="n">
        <f aca="false">ROUND(C949*D949,0)</f>
        <v>0</v>
      </c>
      <c r="F949" s="47" t="n">
        <f aca="false">MIN(1,'Model Inputs &amp; Assumptions'!$W$29*EXP('Model Inputs &amp; Assumptions'!$X$29*R949-'Model Inputs &amp; Assumptions'!$X$29^2/2))</f>
        <v>0.00539649419086338</v>
      </c>
      <c r="G949" s="45" t="n">
        <f aca="false">ROUND(C949*F949,0)</f>
        <v>1284</v>
      </c>
      <c r="H949" s="48" t="n">
        <f aca="false">MAX(0,(C949*'Model Inputs &amp; Assumptions'!$N$29+E949*'Model Inputs &amp; Assumptions'!$O$29+G949*'Model Inputs &amp; Assumptions'!$P$29)*EXP('Model Inputs &amp; Assumptions'!$Q$29*S949-'Model Inputs &amp; Assumptions'!$Q$29^2/2))</f>
        <v>55.982834149291</v>
      </c>
      <c r="I949" s="49" t="n">
        <f aca="false">IF('Model Inputs &amp; Assumptions'!$H$29="Fixed",'Model Inputs &amp; Assumptions'!$I$29*'Model Inputs &amp; Assumptions'!$K$29,IF('Model Inputs &amp; Assumptions'!$H$29="CPM",'Model Inputs &amp; Assumptions'!$I$29*'Model Inputs &amp; Assumptions'!$K$29*C949/1000,IF('Model Inputs &amp; Assumptions'!$H$29="CPC",'Model Inputs &amp; Assumptions'!$I$29*'Model Inputs &amp; Assumptions'!$K$29*G949,0)))</f>
        <v>6500</v>
      </c>
      <c r="J949" s="50" t="n">
        <f aca="false">H949*INDEX('Model Inputs &amp; Assumptions'!$D$40:$D$42,MATCH('Model Inputs &amp; Assumptions'!$L$29,'Model Inputs &amp; Assumptions'!$A$40:$A$42,0))*INDEX('Model Inputs &amp; Assumptions'!$H$40:$H$42,MATCH('Model Inputs &amp; Assumptions'!$L$29,'Model Inputs &amp; Assumptions'!$A$40:$A$42,0))</f>
        <v>475854.090268973</v>
      </c>
      <c r="K949" s="49" t="n">
        <f aca="false">H949*INDEX('Model Inputs &amp; Assumptions'!$G$40:$G$42,MATCH('Model Inputs &amp; Assumptions'!$L$29,'Model Inputs &amp; Assumptions'!$A$40:$A$42,0))*INDEX('Model Inputs &amp; Assumptions'!$H$40:$H$42,MATCH('Model Inputs &amp; Assumptions'!$L$29,'Model Inputs &amp; Assumptions'!$A$40:$A$42,0))</f>
        <v>10706.7170310519</v>
      </c>
      <c r="L949" s="51" t="n">
        <f aca="false">IFERROR(K949/I949,0)</f>
        <v>1.64718723554645</v>
      </c>
      <c r="M949" s="49" t="n">
        <f aca="false">IFERROR(I949/H949,0)</f>
        <v>116.107019209965</v>
      </c>
      <c r="N949" s="52" t="str">
        <f aca="false">'Model Inputs &amp; Assumptions'!$L$29</f>
        <v>PRD-EUAI</v>
      </c>
      <c r="P949" s="53" t="n">
        <v>0.946413</v>
      </c>
      <c r="Q949" s="53" t="n">
        <v>-1.361427</v>
      </c>
      <c r="R949" s="53" t="n">
        <v>2.41879</v>
      </c>
      <c r="S949" s="53" t="n">
        <v>-0.306527</v>
      </c>
    </row>
    <row r="950" customFormat="false" ht="15" hidden="false" customHeight="false" outlineLevel="0" collapsed="false">
      <c r="A950" s="43" t="n">
        <v>447</v>
      </c>
      <c r="B950" s="44" t="str">
        <f aca="false">'Model Inputs &amp; Assumptions'!$B$29</f>
        <v>Handelsblatt — Native Explainer</v>
      </c>
      <c r="C950" s="45" t="n">
        <f aca="false">ROUND(MAX(0,'Model Inputs &amp; Assumptions'!$S$29*EXP('Model Inputs &amp; Assumptions'!$T$29*P950-'Model Inputs &amp; Assumptions'!$T$29^2/2)),0)</f>
        <v>146732</v>
      </c>
      <c r="D950" s="46" t="n">
        <f aca="false">MIN(1,'Model Inputs &amp; Assumptions'!$U$29*EXP('Model Inputs &amp; Assumptions'!$V$29*Q950-'Model Inputs &amp; Assumptions'!$V$29^2/2))</f>
        <v>0</v>
      </c>
      <c r="E950" s="45" t="n">
        <f aca="false">ROUND(C950*D950,0)</f>
        <v>0</v>
      </c>
      <c r="F950" s="47" t="n">
        <f aca="false">MIN(1,'Model Inputs &amp; Assumptions'!$W$29*EXP('Model Inputs &amp; Assumptions'!$X$29*R950-'Model Inputs &amp; Assumptions'!$X$29^2/2))</f>
        <v>0.002203567986778</v>
      </c>
      <c r="G950" s="45" t="n">
        <f aca="false">ROUND(C950*F950,0)</f>
        <v>323</v>
      </c>
      <c r="H950" s="48" t="n">
        <f aca="false">MAX(0,(C950*'Model Inputs &amp; Assumptions'!$N$29+E950*'Model Inputs &amp; Assumptions'!$O$29+G950*'Model Inputs &amp; Assumptions'!$P$29)*EXP('Model Inputs &amp; Assumptions'!$Q$29*S950-'Model Inputs &amp; Assumptions'!$Q$29^2/2))</f>
        <v>14.3668310399026</v>
      </c>
      <c r="I950" s="49" t="n">
        <f aca="false">IF('Model Inputs &amp; Assumptions'!$H$29="Fixed",'Model Inputs &amp; Assumptions'!$I$29*'Model Inputs &amp; Assumptions'!$K$29,IF('Model Inputs &amp; Assumptions'!$H$29="CPM",'Model Inputs &amp; Assumptions'!$I$29*'Model Inputs &amp; Assumptions'!$K$29*C950/1000,IF('Model Inputs &amp; Assumptions'!$H$29="CPC",'Model Inputs &amp; Assumptions'!$I$29*'Model Inputs &amp; Assumptions'!$K$29*G950,0)))</f>
        <v>6500</v>
      </c>
      <c r="J950" s="50" t="n">
        <f aca="false">H950*INDEX('Model Inputs &amp; Assumptions'!$D$40:$D$42,MATCH('Model Inputs &amp; Assumptions'!$L$29,'Model Inputs &amp; Assumptions'!$A$40:$A$42,0))*INDEX('Model Inputs &amp; Assumptions'!$H$40:$H$42,MATCH('Model Inputs &amp; Assumptions'!$L$29,'Model Inputs &amp; Assumptions'!$A$40:$A$42,0))</f>
        <v>122118.063839172</v>
      </c>
      <c r="K950" s="49" t="n">
        <f aca="false">H950*INDEX('Model Inputs &amp; Assumptions'!$G$40:$G$42,MATCH('Model Inputs &amp; Assumptions'!$L$29,'Model Inputs &amp; Assumptions'!$A$40:$A$42,0))*INDEX('Model Inputs &amp; Assumptions'!$H$40:$H$42,MATCH('Model Inputs &amp; Assumptions'!$L$29,'Model Inputs &amp; Assumptions'!$A$40:$A$42,0))</f>
        <v>2747.65643638137</v>
      </c>
      <c r="L950" s="51" t="n">
        <f aca="false">IFERROR(K950/I950,0)</f>
        <v>0.422716374827903</v>
      </c>
      <c r="M950" s="49" t="n">
        <f aca="false">IFERROR(I950/H950,0)</f>
        <v>452.431018499962</v>
      </c>
      <c r="N950" s="52" t="str">
        <f aca="false">'Model Inputs &amp; Assumptions'!$L$29</f>
        <v>PRD-EUAI</v>
      </c>
      <c r="P950" s="53" t="n">
        <v>-1.252078</v>
      </c>
      <c r="Q950" s="53" t="n">
        <v>0.181533</v>
      </c>
      <c r="R950" s="53" t="n">
        <v>-1.026101</v>
      </c>
      <c r="S950" s="53" t="n">
        <v>-0.239993</v>
      </c>
    </row>
    <row r="951" customFormat="false" ht="15" hidden="false" customHeight="false" outlineLevel="0" collapsed="false">
      <c r="A951" s="43" t="n">
        <v>448</v>
      </c>
      <c r="B951" s="44" t="str">
        <f aca="false">'Model Inputs &amp; Assumptions'!$B$29</f>
        <v>Handelsblatt — Native Explainer</v>
      </c>
      <c r="C951" s="45" t="n">
        <f aca="false">ROUND(MAX(0,'Model Inputs &amp; Assumptions'!$S$29*EXP('Model Inputs &amp; Assumptions'!$T$29*P951-'Model Inputs &amp; Assumptions'!$T$29^2/2)),0)</f>
        <v>168367</v>
      </c>
      <c r="D951" s="46" t="n">
        <f aca="false">MIN(1,'Model Inputs &amp; Assumptions'!$U$29*EXP('Model Inputs &amp; Assumptions'!$V$29*Q951-'Model Inputs &amp; Assumptions'!$V$29^2/2))</f>
        <v>0</v>
      </c>
      <c r="E951" s="45" t="n">
        <f aca="false">ROUND(C951*D951,0)</f>
        <v>0</v>
      </c>
      <c r="F951" s="47" t="n">
        <f aca="false">MIN(1,'Model Inputs &amp; Assumptions'!$W$29*EXP('Model Inputs &amp; Assumptions'!$X$29*R951-'Model Inputs &amp; Assumptions'!$X$29^2/2))</f>
        <v>0.00284002438617883</v>
      </c>
      <c r="G951" s="45" t="n">
        <f aca="false">ROUND(C951*F951,0)</f>
        <v>478</v>
      </c>
      <c r="H951" s="48" t="n">
        <f aca="false">MAX(0,(C951*'Model Inputs &amp; Assumptions'!$N$29+E951*'Model Inputs &amp; Assumptions'!$O$29+G951*'Model Inputs &amp; Assumptions'!$P$29)*EXP('Model Inputs &amp; Assumptions'!$Q$29*S951-'Model Inputs &amp; Assumptions'!$Q$29^2/2))</f>
        <v>24.835534215987</v>
      </c>
      <c r="I951" s="49" t="n">
        <f aca="false">IF('Model Inputs &amp; Assumptions'!$H$29="Fixed",'Model Inputs &amp; Assumptions'!$I$29*'Model Inputs &amp; Assumptions'!$K$29,IF('Model Inputs &amp; Assumptions'!$H$29="CPM",'Model Inputs &amp; Assumptions'!$I$29*'Model Inputs &amp; Assumptions'!$K$29*C951/1000,IF('Model Inputs &amp; Assumptions'!$H$29="CPC",'Model Inputs &amp; Assumptions'!$I$29*'Model Inputs &amp; Assumptions'!$K$29*G951,0)))</f>
        <v>6500</v>
      </c>
      <c r="J951" s="50" t="n">
        <f aca="false">H951*INDEX('Model Inputs &amp; Assumptions'!$D$40:$D$42,MATCH('Model Inputs &amp; Assumptions'!$L$29,'Model Inputs &amp; Assumptions'!$A$40:$A$42,0))*INDEX('Model Inputs &amp; Assumptions'!$H$40:$H$42,MATCH('Model Inputs &amp; Assumptions'!$L$29,'Model Inputs &amp; Assumptions'!$A$40:$A$42,0))</f>
        <v>211102.040835889</v>
      </c>
      <c r="K951" s="49" t="n">
        <f aca="false">H951*INDEX('Model Inputs &amp; Assumptions'!$G$40:$G$42,MATCH('Model Inputs &amp; Assumptions'!$L$29,'Model Inputs &amp; Assumptions'!$A$40:$A$42,0))*INDEX('Model Inputs &amp; Assumptions'!$H$40:$H$42,MATCH('Model Inputs &amp; Assumptions'!$L$29,'Model Inputs &amp; Assumptions'!$A$40:$A$42,0))</f>
        <v>4749.79591880751</v>
      </c>
      <c r="L951" s="51" t="n">
        <f aca="false">IFERROR(K951/I951,0)</f>
        <v>0.730737833662693</v>
      </c>
      <c r="M951" s="49" t="n">
        <f aca="false">IFERROR(I951/H951,0)</f>
        <v>261.721771050766</v>
      </c>
      <c r="N951" s="52" t="str">
        <f aca="false">'Model Inputs &amp; Assumptions'!$L$29</f>
        <v>PRD-EUAI</v>
      </c>
      <c r="P951" s="53" t="n">
        <v>-0.626924</v>
      </c>
      <c r="Q951" s="53" t="n">
        <v>-0.419168</v>
      </c>
      <c r="R951" s="53" t="n">
        <v>-0.050198</v>
      </c>
      <c r="S951" s="53" t="n">
        <v>0.27799</v>
      </c>
    </row>
    <row r="952" customFormat="false" ht="15" hidden="false" customHeight="false" outlineLevel="0" collapsed="false">
      <c r="A952" s="43" t="n">
        <v>449</v>
      </c>
      <c r="B952" s="44" t="str">
        <f aca="false">'Model Inputs &amp; Assumptions'!$B$29</f>
        <v>Handelsblatt — Native Explainer</v>
      </c>
      <c r="C952" s="45" t="n">
        <f aca="false">ROUND(MAX(0,'Model Inputs &amp; Assumptions'!$S$29*EXP('Model Inputs &amp; Assumptions'!$T$29*P952-'Model Inputs &amp; Assumptions'!$T$29^2/2)),0)</f>
        <v>167387</v>
      </c>
      <c r="D952" s="46" t="n">
        <f aca="false">MIN(1,'Model Inputs &amp; Assumptions'!$U$29*EXP('Model Inputs &amp; Assumptions'!$V$29*Q952-'Model Inputs &amp; Assumptions'!$V$29^2/2))</f>
        <v>0</v>
      </c>
      <c r="E952" s="45" t="n">
        <f aca="false">ROUND(C952*D952,0)</f>
        <v>0</v>
      </c>
      <c r="F952" s="47" t="n">
        <f aca="false">MIN(1,'Model Inputs &amp; Assumptions'!$W$29*EXP('Model Inputs &amp; Assumptions'!$X$29*R952-'Model Inputs &amp; Assumptions'!$X$29^2/2))</f>
        <v>0.00245816628360966</v>
      </c>
      <c r="G952" s="45" t="n">
        <f aca="false">ROUND(C952*F952,0)</f>
        <v>411</v>
      </c>
      <c r="H952" s="48" t="n">
        <f aca="false">MAX(0,(C952*'Model Inputs &amp; Assumptions'!$N$29+E952*'Model Inputs &amp; Assumptions'!$O$29+G952*'Model Inputs &amp; Assumptions'!$P$29)*EXP('Model Inputs &amp; Assumptions'!$Q$29*S952-'Model Inputs &amp; Assumptions'!$Q$29^2/2))</f>
        <v>20.8280875952873</v>
      </c>
      <c r="I952" s="49" t="n">
        <f aca="false">IF('Model Inputs &amp; Assumptions'!$H$29="Fixed",'Model Inputs &amp; Assumptions'!$I$29*'Model Inputs &amp; Assumptions'!$K$29,IF('Model Inputs &amp; Assumptions'!$H$29="CPM",'Model Inputs &amp; Assumptions'!$I$29*'Model Inputs &amp; Assumptions'!$K$29*C952/1000,IF('Model Inputs &amp; Assumptions'!$H$29="CPC",'Model Inputs &amp; Assumptions'!$I$29*'Model Inputs &amp; Assumptions'!$K$29*G952,0)))</f>
        <v>6500</v>
      </c>
      <c r="J952" s="50" t="n">
        <f aca="false">H952*INDEX('Model Inputs &amp; Assumptions'!$D$40:$D$42,MATCH('Model Inputs &amp; Assumptions'!$L$29,'Model Inputs &amp; Assumptions'!$A$40:$A$42,0))*INDEX('Model Inputs &amp; Assumptions'!$H$40:$H$42,MATCH('Model Inputs &amp; Assumptions'!$L$29,'Model Inputs &amp; Assumptions'!$A$40:$A$42,0))</f>
        <v>177038.744559942</v>
      </c>
      <c r="K952" s="49" t="n">
        <f aca="false">H952*INDEX('Model Inputs &amp; Assumptions'!$G$40:$G$42,MATCH('Model Inputs &amp; Assumptions'!$L$29,'Model Inputs &amp; Assumptions'!$A$40:$A$42,0))*INDEX('Model Inputs &amp; Assumptions'!$H$40:$H$42,MATCH('Model Inputs &amp; Assumptions'!$L$29,'Model Inputs &amp; Assumptions'!$A$40:$A$42,0))</f>
        <v>3983.37175259869</v>
      </c>
      <c r="L952" s="51" t="n">
        <f aca="false">IFERROR(K952/I952,0)</f>
        <v>0.612826423476721</v>
      </c>
      <c r="M952" s="49" t="n">
        <f aca="false">IFERROR(I952/H952,0)</f>
        <v>312.078579959052</v>
      </c>
      <c r="N952" s="52" t="str">
        <f aca="false">'Model Inputs &amp; Assumptions'!$L$29</f>
        <v>PRD-EUAI</v>
      </c>
      <c r="P952" s="53" t="n">
        <v>-0.653458</v>
      </c>
      <c r="Q952" s="53" t="n">
        <v>-0.4831</v>
      </c>
      <c r="R952" s="53" t="n">
        <v>-0.605571</v>
      </c>
      <c r="S952" s="53" t="n">
        <v>0.194805</v>
      </c>
    </row>
    <row r="953" customFormat="false" ht="15" hidden="false" customHeight="false" outlineLevel="0" collapsed="false">
      <c r="A953" s="43" t="n">
        <v>450</v>
      </c>
      <c r="B953" s="44" t="str">
        <f aca="false">'Model Inputs &amp; Assumptions'!$B$29</f>
        <v>Handelsblatt — Native Explainer</v>
      </c>
      <c r="C953" s="45" t="n">
        <f aca="false">ROUND(MAX(0,'Model Inputs &amp; Assumptions'!$S$29*EXP('Model Inputs &amp; Assumptions'!$T$29*P953-'Model Inputs &amp; Assumptions'!$T$29^2/2)),0)</f>
        <v>223017</v>
      </c>
      <c r="D953" s="46" t="n">
        <f aca="false">MIN(1,'Model Inputs &amp; Assumptions'!$U$29*EXP('Model Inputs &amp; Assumptions'!$V$29*Q953-'Model Inputs &amp; Assumptions'!$V$29^2/2))</f>
        <v>0</v>
      </c>
      <c r="E953" s="45" t="n">
        <f aca="false">ROUND(C953*D953,0)</f>
        <v>0</v>
      </c>
      <c r="F953" s="47" t="n">
        <f aca="false">MIN(1,'Model Inputs &amp; Assumptions'!$W$29*EXP('Model Inputs &amp; Assumptions'!$X$29*R953-'Model Inputs &amp; Assumptions'!$X$29^2/2))</f>
        <v>0.00379327225656412</v>
      </c>
      <c r="G953" s="45" t="n">
        <f aca="false">ROUND(C953*F953,0)</f>
        <v>846</v>
      </c>
      <c r="H953" s="48" t="n">
        <f aca="false">MAX(0,(C953*'Model Inputs &amp; Assumptions'!$N$29+E953*'Model Inputs &amp; Assumptions'!$O$29+G953*'Model Inputs &amp; Assumptions'!$P$29)*EXP('Model Inputs &amp; Assumptions'!$Q$29*S953-'Model Inputs &amp; Assumptions'!$Q$29^2/2))</f>
        <v>42.4907279417505</v>
      </c>
      <c r="I953" s="49" t="n">
        <f aca="false">IF('Model Inputs &amp; Assumptions'!$H$29="Fixed",'Model Inputs &amp; Assumptions'!$I$29*'Model Inputs &amp; Assumptions'!$K$29,IF('Model Inputs &amp; Assumptions'!$H$29="CPM",'Model Inputs &amp; Assumptions'!$I$29*'Model Inputs &amp; Assumptions'!$K$29*C953/1000,IF('Model Inputs &amp; Assumptions'!$H$29="CPC",'Model Inputs &amp; Assumptions'!$I$29*'Model Inputs &amp; Assumptions'!$K$29*G953,0)))</f>
        <v>6500</v>
      </c>
      <c r="J953" s="50" t="n">
        <f aca="false">H953*INDEX('Model Inputs &amp; Assumptions'!$D$40:$D$42,MATCH('Model Inputs &amp; Assumptions'!$L$29,'Model Inputs &amp; Assumptions'!$A$40:$A$42,0))*INDEX('Model Inputs &amp; Assumptions'!$H$40:$H$42,MATCH('Model Inputs &amp; Assumptions'!$L$29,'Model Inputs &amp; Assumptions'!$A$40:$A$42,0))</f>
        <v>361171.187504879</v>
      </c>
      <c r="K953" s="49" t="n">
        <f aca="false">H953*INDEX('Model Inputs &amp; Assumptions'!$G$40:$G$42,MATCH('Model Inputs &amp; Assumptions'!$L$29,'Model Inputs &amp; Assumptions'!$A$40:$A$42,0))*INDEX('Model Inputs &amp; Assumptions'!$H$40:$H$42,MATCH('Model Inputs &amp; Assumptions'!$L$29,'Model Inputs &amp; Assumptions'!$A$40:$A$42,0))</f>
        <v>8126.35171885979</v>
      </c>
      <c r="L953" s="51" t="n">
        <f aca="false">IFERROR(K953/I953,0)</f>
        <v>1.25020795674766</v>
      </c>
      <c r="M953" s="49" t="n">
        <f aca="false">IFERROR(I953/H953,0)</f>
        <v>152.974550328031</v>
      </c>
      <c r="N953" s="52" t="str">
        <f aca="false">'Model Inputs &amp; Assumptions'!$L$29</f>
        <v>PRD-EUAI</v>
      </c>
      <c r="P953" s="53" t="n">
        <v>0.650815</v>
      </c>
      <c r="Q953" s="53" t="n">
        <v>-0.424449</v>
      </c>
      <c r="R953" s="53" t="n">
        <v>1.062942</v>
      </c>
      <c r="S953" s="53" t="n">
        <v>0.164996</v>
      </c>
    </row>
    <row r="954" customFormat="false" ht="15" hidden="false" customHeight="false" outlineLevel="0" collapsed="false">
      <c r="A954" s="43" t="n">
        <v>451</v>
      </c>
      <c r="B954" s="44" t="str">
        <f aca="false">'Model Inputs &amp; Assumptions'!$B$29</f>
        <v>Handelsblatt — Native Explainer</v>
      </c>
      <c r="C954" s="45" t="n">
        <f aca="false">ROUND(MAX(0,'Model Inputs &amp; Assumptions'!$S$29*EXP('Model Inputs &amp; Assumptions'!$T$29*P954-'Model Inputs &amp; Assumptions'!$T$29^2/2)),0)</f>
        <v>157397</v>
      </c>
      <c r="D954" s="46" t="n">
        <f aca="false">MIN(1,'Model Inputs &amp; Assumptions'!$U$29*EXP('Model Inputs &amp; Assumptions'!$V$29*Q954-'Model Inputs &amp; Assumptions'!$V$29^2/2))</f>
        <v>0</v>
      </c>
      <c r="E954" s="45" t="n">
        <f aca="false">ROUND(C954*D954,0)</f>
        <v>0</v>
      </c>
      <c r="F954" s="47" t="n">
        <f aca="false">MIN(1,'Model Inputs &amp; Assumptions'!$W$29*EXP('Model Inputs &amp; Assumptions'!$X$29*R954-'Model Inputs &amp; Assumptions'!$X$29^2/2))</f>
        <v>0.00198809445328584</v>
      </c>
      <c r="G954" s="45" t="n">
        <f aca="false">ROUND(C954*F954,0)</f>
        <v>313</v>
      </c>
      <c r="H954" s="48" t="n">
        <f aca="false">MAX(0,(C954*'Model Inputs &amp; Assumptions'!$N$29+E954*'Model Inputs &amp; Assumptions'!$O$29+G954*'Model Inputs &amp; Assumptions'!$P$29)*EXP('Model Inputs &amp; Assumptions'!$Q$29*S954-'Model Inputs &amp; Assumptions'!$Q$29^2/2))</f>
        <v>19.4012329269639</v>
      </c>
      <c r="I954" s="49" t="n">
        <f aca="false">IF('Model Inputs &amp; Assumptions'!$H$29="Fixed",'Model Inputs &amp; Assumptions'!$I$29*'Model Inputs &amp; Assumptions'!$K$29,IF('Model Inputs &amp; Assumptions'!$H$29="CPM",'Model Inputs &amp; Assumptions'!$I$29*'Model Inputs &amp; Assumptions'!$K$29*C954/1000,IF('Model Inputs &amp; Assumptions'!$H$29="CPC",'Model Inputs &amp; Assumptions'!$I$29*'Model Inputs &amp; Assumptions'!$K$29*G954,0)))</f>
        <v>6500</v>
      </c>
      <c r="J954" s="50" t="n">
        <f aca="false">H954*INDEX('Model Inputs &amp; Assumptions'!$D$40:$D$42,MATCH('Model Inputs &amp; Assumptions'!$L$29,'Model Inputs &amp; Assumptions'!$A$40:$A$42,0))*INDEX('Model Inputs &amp; Assumptions'!$H$40:$H$42,MATCH('Model Inputs &amp; Assumptions'!$L$29,'Model Inputs &amp; Assumptions'!$A$40:$A$42,0))</f>
        <v>164910.479879193</v>
      </c>
      <c r="K954" s="49" t="n">
        <f aca="false">H954*INDEX('Model Inputs &amp; Assumptions'!$G$40:$G$42,MATCH('Model Inputs &amp; Assumptions'!$L$29,'Model Inputs &amp; Assumptions'!$A$40:$A$42,0))*INDEX('Model Inputs &amp; Assumptions'!$H$40:$H$42,MATCH('Model Inputs &amp; Assumptions'!$L$29,'Model Inputs &amp; Assumptions'!$A$40:$A$42,0))</f>
        <v>3710.48579728184</v>
      </c>
      <c r="L954" s="51" t="n">
        <f aca="false">IFERROR(K954/I954,0)</f>
        <v>0.570843968812591</v>
      </c>
      <c r="M954" s="49" t="n">
        <f aca="false">IFERROR(I954/H954,0)</f>
        <v>335.030254235353</v>
      </c>
      <c r="N954" s="52" t="str">
        <f aca="false">'Model Inputs &amp; Assumptions'!$L$29</f>
        <v>PRD-EUAI</v>
      </c>
      <c r="P954" s="53" t="n">
        <v>-0.933154</v>
      </c>
      <c r="Q954" s="53" t="n">
        <v>0.009283</v>
      </c>
      <c r="R954" s="53" t="n">
        <v>-1.421875</v>
      </c>
      <c r="S954" s="53" t="n">
        <v>0.866219</v>
      </c>
    </row>
    <row r="955" customFormat="false" ht="15" hidden="false" customHeight="false" outlineLevel="0" collapsed="false">
      <c r="A955" s="43" t="n">
        <v>452</v>
      </c>
      <c r="B955" s="44" t="str">
        <f aca="false">'Model Inputs &amp; Assumptions'!$B$29</f>
        <v>Handelsblatt — Native Explainer</v>
      </c>
      <c r="C955" s="45" t="n">
        <f aca="false">ROUND(MAX(0,'Model Inputs &amp; Assumptions'!$S$29*EXP('Model Inputs &amp; Assumptions'!$T$29*P955-'Model Inputs &amp; Assumptions'!$T$29^2/2)),0)</f>
        <v>238460</v>
      </c>
      <c r="D955" s="46" t="n">
        <f aca="false">MIN(1,'Model Inputs &amp; Assumptions'!$U$29*EXP('Model Inputs &amp; Assumptions'!$V$29*Q955-'Model Inputs &amp; Assumptions'!$V$29^2/2))</f>
        <v>0</v>
      </c>
      <c r="E955" s="45" t="n">
        <f aca="false">ROUND(C955*D955,0)</f>
        <v>0</v>
      </c>
      <c r="F955" s="47" t="n">
        <f aca="false">MIN(1,'Model Inputs &amp; Assumptions'!$W$29*EXP('Model Inputs &amp; Assumptions'!$X$29*R955-'Model Inputs &amp; Assumptions'!$X$29^2/2))</f>
        <v>0.00195175424076832</v>
      </c>
      <c r="G955" s="45" t="n">
        <f aca="false">ROUND(C955*F955,0)</f>
        <v>465</v>
      </c>
      <c r="H955" s="48" t="n">
        <f aca="false">MAX(0,(C955*'Model Inputs &amp; Assumptions'!$N$29+E955*'Model Inputs &amp; Assumptions'!$O$29+G955*'Model Inputs &amp; Assumptions'!$P$29)*EXP('Model Inputs &amp; Assumptions'!$Q$29*S955-'Model Inputs &amp; Assumptions'!$Q$29^2/2))</f>
        <v>20.6227437445549</v>
      </c>
      <c r="I955" s="49" t="n">
        <f aca="false">IF('Model Inputs &amp; Assumptions'!$H$29="Fixed",'Model Inputs &amp; Assumptions'!$I$29*'Model Inputs &amp; Assumptions'!$K$29,IF('Model Inputs &amp; Assumptions'!$H$29="CPM",'Model Inputs &amp; Assumptions'!$I$29*'Model Inputs &amp; Assumptions'!$K$29*C955/1000,IF('Model Inputs &amp; Assumptions'!$H$29="CPC",'Model Inputs &amp; Assumptions'!$I$29*'Model Inputs &amp; Assumptions'!$K$29*G955,0)))</f>
        <v>6500</v>
      </c>
      <c r="J955" s="50" t="n">
        <f aca="false">H955*INDEX('Model Inputs &amp; Assumptions'!$D$40:$D$42,MATCH('Model Inputs &amp; Assumptions'!$L$29,'Model Inputs &amp; Assumptions'!$A$40:$A$42,0))*INDEX('Model Inputs &amp; Assumptions'!$H$40:$H$42,MATCH('Model Inputs &amp; Assumptions'!$L$29,'Model Inputs &amp; Assumptions'!$A$40:$A$42,0))</f>
        <v>175293.321828717</v>
      </c>
      <c r="K955" s="49" t="n">
        <f aca="false">H955*INDEX('Model Inputs &amp; Assumptions'!$G$40:$G$42,MATCH('Model Inputs &amp; Assumptions'!$L$29,'Model Inputs &amp; Assumptions'!$A$40:$A$42,0))*INDEX('Model Inputs &amp; Assumptions'!$H$40:$H$42,MATCH('Model Inputs &amp; Assumptions'!$L$29,'Model Inputs &amp; Assumptions'!$A$40:$A$42,0))</f>
        <v>3944.09974114613</v>
      </c>
      <c r="L955" s="51" t="n">
        <f aca="false">IFERROR(K955/I955,0)</f>
        <v>0.606784575560943</v>
      </c>
      <c r="M955" s="49" t="n">
        <f aca="false">IFERROR(I955/H955,0)</f>
        <v>315.185994672324</v>
      </c>
      <c r="N955" s="52" t="str">
        <f aca="false">'Model Inputs &amp; Assumptions'!$L$29</f>
        <v>PRD-EUAI</v>
      </c>
      <c r="P955" s="53" t="n">
        <v>0.955156</v>
      </c>
      <c r="Q955" s="53" t="n">
        <v>1.216284</v>
      </c>
      <c r="R955" s="53" t="n">
        <v>-1.492829</v>
      </c>
      <c r="S955" s="53" t="n">
        <v>-0.249702</v>
      </c>
    </row>
    <row r="956" customFormat="false" ht="15" hidden="false" customHeight="false" outlineLevel="0" collapsed="false">
      <c r="A956" s="43" t="n">
        <v>453</v>
      </c>
      <c r="B956" s="44" t="str">
        <f aca="false">'Model Inputs &amp; Assumptions'!$B$29</f>
        <v>Handelsblatt — Native Explainer</v>
      </c>
      <c r="C956" s="45" t="n">
        <f aca="false">ROUND(MAX(0,'Model Inputs &amp; Assumptions'!$S$29*EXP('Model Inputs &amp; Assumptions'!$T$29*P956-'Model Inputs &amp; Assumptions'!$T$29^2/2)),0)</f>
        <v>202987</v>
      </c>
      <c r="D956" s="46" t="n">
        <f aca="false">MIN(1,'Model Inputs &amp; Assumptions'!$U$29*EXP('Model Inputs &amp; Assumptions'!$V$29*Q956-'Model Inputs &amp; Assumptions'!$V$29^2/2))</f>
        <v>0</v>
      </c>
      <c r="E956" s="45" t="n">
        <f aca="false">ROUND(C956*D956,0)</f>
        <v>0</v>
      </c>
      <c r="F956" s="47" t="n">
        <f aca="false">MIN(1,'Model Inputs &amp; Assumptions'!$W$29*EXP('Model Inputs &amp; Assumptions'!$X$29*R956-'Model Inputs &amp; Assumptions'!$X$29^2/2))</f>
        <v>0.00260978927054164</v>
      </c>
      <c r="G956" s="45" t="n">
        <f aca="false">ROUND(C956*F956,0)</f>
        <v>530</v>
      </c>
      <c r="H956" s="48" t="n">
        <f aca="false">MAX(0,(C956*'Model Inputs &amp; Assumptions'!$N$29+E956*'Model Inputs &amp; Assumptions'!$O$29+G956*'Model Inputs &amp; Assumptions'!$P$29)*EXP('Model Inputs &amp; Assumptions'!$Q$29*S956-'Model Inputs &amp; Assumptions'!$Q$29^2/2))</f>
        <v>22.9605616438463</v>
      </c>
      <c r="I956" s="49" t="n">
        <f aca="false">IF('Model Inputs &amp; Assumptions'!$H$29="Fixed",'Model Inputs &amp; Assumptions'!$I$29*'Model Inputs &amp; Assumptions'!$K$29,IF('Model Inputs &amp; Assumptions'!$H$29="CPM",'Model Inputs &amp; Assumptions'!$I$29*'Model Inputs &amp; Assumptions'!$K$29*C956/1000,IF('Model Inputs &amp; Assumptions'!$H$29="CPC",'Model Inputs &amp; Assumptions'!$I$29*'Model Inputs &amp; Assumptions'!$K$29*G956,0)))</f>
        <v>6500</v>
      </c>
      <c r="J956" s="50" t="n">
        <f aca="false">H956*INDEX('Model Inputs &amp; Assumptions'!$D$40:$D$42,MATCH('Model Inputs &amp; Assumptions'!$L$29,'Model Inputs &amp; Assumptions'!$A$40:$A$42,0))*INDEX('Model Inputs &amp; Assumptions'!$H$40:$H$42,MATCH('Model Inputs &amp; Assumptions'!$L$29,'Model Inputs &amp; Assumptions'!$A$40:$A$42,0))</f>
        <v>195164.773972694</v>
      </c>
      <c r="K956" s="49" t="n">
        <f aca="false">H956*INDEX('Model Inputs &amp; Assumptions'!$G$40:$G$42,MATCH('Model Inputs &amp; Assumptions'!$L$29,'Model Inputs &amp; Assumptions'!$A$40:$A$42,0))*INDEX('Model Inputs &amp; Assumptions'!$H$40:$H$42,MATCH('Model Inputs &amp; Assumptions'!$L$29,'Model Inputs &amp; Assumptions'!$A$40:$A$42,0))</f>
        <v>4391.20741438561</v>
      </c>
      <c r="L956" s="51" t="n">
        <f aca="false">IFERROR(K956/I956,0)</f>
        <v>0.67557037144394</v>
      </c>
      <c r="M956" s="49" t="n">
        <f aca="false">IFERROR(I956/H956,0)</f>
        <v>283.094120293093</v>
      </c>
      <c r="N956" s="52" t="str">
        <f aca="false">'Model Inputs &amp; Assumptions'!$L$29</f>
        <v>PRD-EUAI</v>
      </c>
      <c r="P956" s="53" t="n">
        <v>0.22306</v>
      </c>
      <c r="Q956" s="53" t="n">
        <v>1.049059</v>
      </c>
      <c r="R956" s="53" t="n">
        <v>-0.375364</v>
      </c>
      <c r="S956" s="53" t="n">
        <v>-0.327889</v>
      </c>
    </row>
    <row r="957" customFormat="false" ht="15" hidden="false" customHeight="false" outlineLevel="0" collapsed="false">
      <c r="A957" s="43" t="n">
        <v>454</v>
      </c>
      <c r="B957" s="44" t="str">
        <f aca="false">'Model Inputs &amp; Assumptions'!$B$29</f>
        <v>Handelsblatt — Native Explainer</v>
      </c>
      <c r="C957" s="45" t="n">
        <f aca="false">ROUND(MAX(0,'Model Inputs &amp; Assumptions'!$S$29*EXP('Model Inputs &amp; Assumptions'!$T$29*P957-'Model Inputs &amp; Assumptions'!$T$29^2/2)),0)</f>
        <v>222242</v>
      </c>
      <c r="D957" s="46" t="n">
        <f aca="false">MIN(1,'Model Inputs &amp; Assumptions'!$U$29*EXP('Model Inputs &amp; Assumptions'!$V$29*Q957-'Model Inputs &amp; Assumptions'!$V$29^2/2))</f>
        <v>0</v>
      </c>
      <c r="E957" s="45" t="n">
        <f aca="false">ROUND(C957*D957,0)</f>
        <v>0</v>
      </c>
      <c r="F957" s="47" t="n">
        <f aca="false">MIN(1,'Model Inputs &amp; Assumptions'!$W$29*EXP('Model Inputs &amp; Assumptions'!$X$29*R957-'Model Inputs &amp; Assumptions'!$X$29^2/2))</f>
        <v>0.00185016661800077</v>
      </c>
      <c r="G957" s="45" t="n">
        <f aca="false">ROUND(C957*F957,0)</f>
        <v>411</v>
      </c>
      <c r="H957" s="48" t="n">
        <f aca="false">MAX(0,(C957*'Model Inputs &amp; Assumptions'!$N$29+E957*'Model Inputs &amp; Assumptions'!$O$29+G957*'Model Inputs &amp; Assumptions'!$P$29)*EXP('Model Inputs &amp; Assumptions'!$Q$29*S957-'Model Inputs &amp; Assumptions'!$Q$29^2/2))</f>
        <v>21.699040455805</v>
      </c>
      <c r="I957" s="49" t="n">
        <f aca="false">IF('Model Inputs &amp; Assumptions'!$H$29="Fixed",'Model Inputs &amp; Assumptions'!$I$29*'Model Inputs &amp; Assumptions'!$K$29,IF('Model Inputs &amp; Assumptions'!$H$29="CPM",'Model Inputs &amp; Assumptions'!$I$29*'Model Inputs &amp; Assumptions'!$K$29*C957/1000,IF('Model Inputs &amp; Assumptions'!$H$29="CPC",'Model Inputs &amp; Assumptions'!$I$29*'Model Inputs &amp; Assumptions'!$K$29*G957,0)))</f>
        <v>6500</v>
      </c>
      <c r="J957" s="50" t="n">
        <f aca="false">H957*INDEX('Model Inputs &amp; Assumptions'!$D$40:$D$42,MATCH('Model Inputs &amp; Assumptions'!$L$29,'Model Inputs &amp; Assumptions'!$A$40:$A$42,0))*INDEX('Model Inputs &amp; Assumptions'!$H$40:$H$42,MATCH('Model Inputs &amp; Assumptions'!$L$29,'Model Inputs &amp; Assumptions'!$A$40:$A$42,0))</f>
        <v>184441.843874342</v>
      </c>
      <c r="K957" s="49" t="n">
        <f aca="false">H957*INDEX('Model Inputs &amp; Assumptions'!$G$40:$G$42,MATCH('Model Inputs &amp; Assumptions'!$L$29,'Model Inputs &amp; Assumptions'!$A$40:$A$42,0))*INDEX('Model Inputs &amp; Assumptions'!$H$40:$H$42,MATCH('Model Inputs &amp; Assumptions'!$L$29,'Model Inputs &amp; Assumptions'!$A$40:$A$42,0))</f>
        <v>4149.94148717271</v>
      </c>
      <c r="L957" s="51" t="n">
        <f aca="false">IFERROR(K957/I957,0)</f>
        <v>0.638452536488108</v>
      </c>
      <c r="M957" s="49" t="n">
        <f aca="false">IFERROR(I957/H957,0)</f>
        <v>299.552416303326</v>
      </c>
      <c r="N957" s="52" t="str">
        <f aca="false">'Model Inputs &amp; Assumptions'!$L$29</f>
        <v>PRD-EUAI</v>
      </c>
      <c r="P957" s="53" t="n">
        <v>0.635003</v>
      </c>
      <c r="Q957" s="53" t="n">
        <v>1.129874</v>
      </c>
      <c r="R957" s="53" t="n">
        <v>-1.698417</v>
      </c>
      <c r="S957" s="53" t="n">
        <v>0.331357</v>
      </c>
    </row>
    <row r="958" customFormat="false" ht="15" hidden="false" customHeight="false" outlineLevel="0" collapsed="false">
      <c r="A958" s="43" t="n">
        <v>455</v>
      </c>
      <c r="B958" s="44" t="str">
        <f aca="false">'Model Inputs &amp; Assumptions'!$B$29</f>
        <v>Handelsblatt — Native Explainer</v>
      </c>
      <c r="C958" s="45" t="n">
        <f aca="false">ROUND(MAX(0,'Model Inputs &amp; Assumptions'!$S$29*EXP('Model Inputs &amp; Assumptions'!$T$29*P958-'Model Inputs &amp; Assumptions'!$T$29^2/2)),0)</f>
        <v>159448</v>
      </c>
      <c r="D958" s="46" t="n">
        <f aca="false">MIN(1,'Model Inputs &amp; Assumptions'!$U$29*EXP('Model Inputs &amp; Assumptions'!$V$29*Q958-'Model Inputs &amp; Assumptions'!$V$29^2/2))</f>
        <v>0</v>
      </c>
      <c r="E958" s="45" t="n">
        <f aca="false">ROUND(C958*D958,0)</f>
        <v>0</v>
      </c>
      <c r="F958" s="47" t="n">
        <f aca="false">MIN(1,'Model Inputs &amp; Assumptions'!$W$29*EXP('Model Inputs &amp; Assumptions'!$X$29*R958-'Model Inputs &amp; Assumptions'!$X$29^2/2))</f>
        <v>0.00174210159707955</v>
      </c>
      <c r="G958" s="45" t="n">
        <f aca="false">ROUND(C958*F958,0)</f>
        <v>278</v>
      </c>
      <c r="H958" s="48" t="n">
        <f aca="false">MAX(0,(C958*'Model Inputs &amp; Assumptions'!$N$29+E958*'Model Inputs &amp; Assumptions'!$O$29+G958*'Model Inputs &amp; Assumptions'!$P$29)*EXP('Model Inputs &amp; Assumptions'!$Q$29*S958-'Model Inputs &amp; Assumptions'!$Q$29^2/2))</f>
        <v>19.714546024118</v>
      </c>
      <c r="I958" s="49" t="n">
        <f aca="false">IF('Model Inputs &amp; Assumptions'!$H$29="Fixed",'Model Inputs &amp; Assumptions'!$I$29*'Model Inputs &amp; Assumptions'!$K$29,IF('Model Inputs &amp; Assumptions'!$H$29="CPM",'Model Inputs &amp; Assumptions'!$I$29*'Model Inputs &amp; Assumptions'!$K$29*C958/1000,IF('Model Inputs &amp; Assumptions'!$H$29="CPC",'Model Inputs &amp; Assumptions'!$I$29*'Model Inputs &amp; Assumptions'!$K$29*G958,0)))</f>
        <v>6500</v>
      </c>
      <c r="J958" s="50" t="n">
        <f aca="false">H958*INDEX('Model Inputs &amp; Assumptions'!$D$40:$D$42,MATCH('Model Inputs &amp; Assumptions'!$L$29,'Model Inputs &amp; Assumptions'!$A$40:$A$42,0))*INDEX('Model Inputs &amp; Assumptions'!$H$40:$H$42,MATCH('Model Inputs &amp; Assumptions'!$L$29,'Model Inputs &amp; Assumptions'!$A$40:$A$42,0))</f>
        <v>167573.641205003</v>
      </c>
      <c r="K958" s="49" t="n">
        <f aca="false">H958*INDEX('Model Inputs &amp; Assumptions'!$G$40:$G$42,MATCH('Model Inputs &amp; Assumptions'!$L$29,'Model Inputs &amp; Assumptions'!$A$40:$A$42,0))*INDEX('Model Inputs &amp; Assumptions'!$H$40:$H$42,MATCH('Model Inputs &amp; Assumptions'!$L$29,'Model Inputs &amp; Assumptions'!$A$40:$A$42,0))</f>
        <v>3770.40692711257</v>
      </c>
      <c r="L958" s="51" t="n">
        <f aca="false">IFERROR(K958/I958,0)</f>
        <v>0.580062604171165</v>
      </c>
      <c r="M958" s="49" t="n">
        <f aca="false">IFERROR(I958/H958,0)</f>
        <v>329.705791452065</v>
      </c>
      <c r="N958" s="52" t="str">
        <f aca="false">'Model Inputs &amp; Assumptions'!$L$29</f>
        <v>PRD-EUAI</v>
      </c>
      <c r="P958" s="53" t="n">
        <v>-0.874322</v>
      </c>
      <c r="Q958" s="53" t="n">
        <v>0.129514</v>
      </c>
      <c r="R958" s="53" t="n">
        <v>-1.929892</v>
      </c>
      <c r="S958" s="53" t="n">
        <v>1.314893</v>
      </c>
    </row>
    <row r="959" customFormat="false" ht="15" hidden="false" customHeight="false" outlineLevel="0" collapsed="false">
      <c r="A959" s="43" t="n">
        <v>456</v>
      </c>
      <c r="B959" s="44" t="str">
        <f aca="false">'Model Inputs &amp; Assumptions'!$B$29</f>
        <v>Handelsblatt — Native Explainer</v>
      </c>
      <c r="C959" s="45" t="n">
        <f aca="false">ROUND(MAX(0,'Model Inputs &amp; Assumptions'!$S$29*EXP('Model Inputs &amp; Assumptions'!$T$29*P959-'Model Inputs &amp; Assumptions'!$T$29^2/2)),0)</f>
        <v>153642</v>
      </c>
      <c r="D959" s="46" t="n">
        <f aca="false">MIN(1,'Model Inputs &amp; Assumptions'!$U$29*EXP('Model Inputs &amp; Assumptions'!$V$29*Q959-'Model Inputs &amp; Assumptions'!$V$29^2/2))</f>
        <v>0</v>
      </c>
      <c r="E959" s="45" t="n">
        <f aca="false">ROUND(C959*D959,0)</f>
        <v>0</v>
      </c>
      <c r="F959" s="47" t="n">
        <f aca="false">MIN(1,'Model Inputs &amp; Assumptions'!$W$29*EXP('Model Inputs &amp; Assumptions'!$X$29*R959-'Model Inputs &amp; Assumptions'!$X$29^2/2))</f>
        <v>0.00223883069591336</v>
      </c>
      <c r="G959" s="45" t="n">
        <f aca="false">ROUND(C959*F959,0)</f>
        <v>344</v>
      </c>
      <c r="H959" s="48" t="n">
        <f aca="false">MAX(0,(C959*'Model Inputs &amp; Assumptions'!$N$29+E959*'Model Inputs &amp; Assumptions'!$O$29+G959*'Model Inputs &amp; Assumptions'!$P$29)*EXP('Model Inputs &amp; Assumptions'!$Q$29*S959-'Model Inputs &amp; Assumptions'!$Q$29^2/2))</f>
        <v>18.3384763209134</v>
      </c>
      <c r="I959" s="49" t="n">
        <f aca="false">IF('Model Inputs &amp; Assumptions'!$H$29="Fixed",'Model Inputs &amp; Assumptions'!$I$29*'Model Inputs &amp; Assumptions'!$K$29,IF('Model Inputs &amp; Assumptions'!$H$29="CPM",'Model Inputs &amp; Assumptions'!$I$29*'Model Inputs &amp; Assumptions'!$K$29*C959/1000,IF('Model Inputs &amp; Assumptions'!$H$29="CPC",'Model Inputs &amp; Assumptions'!$I$29*'Model Inputs &amp; Assumptions'!$K$29*G959,0)))</f>
        <v>6500</v>
      </c>
      <c r="J959" s="50" t="n">
        <f aca="false">H959*INDEX('Model Inputs &amp; Assumptions'!$D$40:$D$42,MATCH('Model Inputs &amp; Assumptions'!$L$29,'Model Inputs &amp; Assumptions'!$A$40:$A$42,0))*INDEX('Model Inputs &amp; Assumptions'!$H$40:$H$42,MATCH('Model Inputs &amp; Assumptions'!$L$29,'Model Inputs &amp; Assumptions'!$A$40:$A$42,0))</f>
        <v>155877.048727764</v>
      </c>
      <c r="K959" s="49" t="n">
        <f aca="false">H959*INDEX('Model Inputs &amp; Assumptions'!$G$40:$G$42,MATCH('Model Inputs &amp; Assumptions'!$L$29,'Model Inputs &amp; Assumptions'!$A$40:$A$42,0))*INDEX('Model Inputs &amp; Assumptions'!$H$40:$H$42,MATCH('Model Inputs &amp; Assumptions'!$L$29,'Model Inputs &amp; Assumptions'!$A$40:$A$42,0))</f>
        <v>3507.23359637468</v>
      </c>
      <c r="L959" s="51" t="n">
        <f aca="false">IFERROR(K959/I959,0)</f>
        <v>0.539574399442259</v>
      </c>
      <c r="M959" s="49" t="n">
        <f aca="false">IFERROR(I959/H959,0)</f>
        <v>354.446023009411</v>
      </c>
      <c r="N959" s="52" t="str">
        <f aca="false">'Model Inputs &amp; Assumptions'!$L$29</f>
        <v>PRD-EUAI</v>
      </c>
      <c r="P959" s="53" t="n">
        <v>-1.042911</v>
      </c>
      <c r="Q959" s="53" t="n">
        <v>-1.475932</v>
      </c>
      <c r="R959" s="53" t="n">
        <v>-0.96504</v>
      </c>
      <c r="S959" s="53" t="n">
        <v>0.36364</v>
      </c>
    </row>
    <row r="960" customFormat="false" ht="15" hidden="false" customHeight="false" outlineLevel="0" collapsed="false">
      <c r="A960" s="43" t="n">
        <v>457</v>
      </c>
      <c r="B960" s="44" t="str">
        <f aca="false">'Model Inputs &amp; Assumptions'!$B$29</f>
        <v>Handelsblatt — Native Explainer</v>
      </c>
      <c r="C960" s="45" t="n">
        <f aca="false">ROUND(MAX(0,'Model Inputs &amp; Assumptions'!$S$29*EXP('Model Inputs &amp; Assumptions'!$T$29*P960-'Model Inputs &amp; Assumptions'!$T$29^2/2)),0)</f>
        <v>113102</v>
      </c>
      <c r="D960" s="46" t="n">
        <f aca="false">MIN(1,'Model Inputs &amp; Assumptions'!$U$29*EXP('Model Inputs &amp; Assumptions'!$V$29*Q960-'Model Inputs &amp; Assumptions'!$V$29^2/2))</f>
        <v>0</v>
      </c>
      <c r="E960" s="45" t="n">
        <f aca="false">ROUND(C960*D960,0)</f>
        <v>0</v>
      </c>
      <c r="F960" s="47" t="n">
        <f aca="false">MIN(1,'Model Inputs &amp; Assumptions'!$W$29*EXP('Model Inputs &amp; Assumptions'!$X$29*R960-'Model Inputs &amp; Assumptions'!$X$29^2/2))</f>
        <v>0.00266911025438759</v>
      </c>
      <c r="G960" s="45" t="n">
        <f aca="false">ROUND(C960*F960,0)</f>
        <v>302</v>
      </c>
      <c r="H960" s="48" t="n">
        <f aca="false">MAX(0,(C960*'Model Inputs &amp; Assumptions'!$N$29+E960*'Model Inputs &amp; Assumptions'!$O$29+G960*'Model Inputs &amp; Assumptions'!$P$29)*EXP('Model Inputs &amp; Assumptions'!$Q$29*S960-'Model Inputs &amp; Assumptions'!$Q$29^2/2))</f>
        <v>15.202721286293</v>
      </c>
      <c r="I960" s="49" t="n">
        <f aca="false">IF('Model Inputs &amp; Assumptions'!$H$29="Fixed",'Model Inputs &amp; Assumptions'!$I$29*'Model Inputs &amp; Assumptions'!$K$29,IF('Model Inputs &amp; Assumptions'!$H$29="CPM",'Model Inputs &amp; Assumptions'!$I$29*'Model Inputs &amp; Assumptions'!$K$29*C960/1000,IF('Model Inputs &amp; Assumptions'!$H$29="CPC",'Model Inputs &amp; Assumptions'!$I$29*'Model Inputs &amp; Assumptions'!$K$29*G960,0)))</f>
        <v>6500</v>
      </c>
      <c r="J960" s="50" t="n">
        <f aca="false">H960*INDEX('Model Inputs &amp; Assumptions'!$D$40:$D$42,MATCH('Model Inputs &amp; Assumptions'!$L$29,'Model Inputs &amp; Assumptions'!$A$40:$A$42,0))*INDEX('Model Inputs &amp; Assumptions'!$H$40:$H$42,MATCH('Model Inputs &amp; Assumptions'!$L$29,'Model Inputs &amp; Assumptions'!$A$40:$A$42,0))</f>
        <v>129223.130933491</v>
      </c>
      <c r="K960" s="49" t="n">
        <f aca="false">H960*INDEX('Model Inputs &amp; Assumptions'!$G$40:$G$42,MATCH('Model Inputs &amp; Assumptions'!$L$29,'Model Inputs &amp; Assumptions'!$A$40:$A$42,0))*INDEX('Model Inputs &amp; Assumptions'!$H$40:$H$42,MATCH('Model Inputs &amp; Assumptions'!$L$29,'Model Inputs &amp; Assumptions'!$A$40:$A$42,0))</f>
        <v>2907.52044600354</v>
      </c>
      <c r="L960" s="51" t="n">
        <f aca="false">IFERROR(K960/I960,0)</f>
        <v>0.447310837846699</v>
      </c>
      <c r="M960" s="49" t="n">
        <f aca="false">IFERROR(I960/H960,0)</f>
        <v>427.555032917724</v>
      </c>
      <c r="N960" s="52" t="str">
        <f aca="false">'Model Inputs &amp; Assumptions'!$L$29</f>
        <v>PRD-EUAI</v>
      </c>
      <c r="P960" s="53" t="n">
        <v>-2.43536</v>
      </c>
      <c r="Q960" s="53" t="n">
        <v>0.74547</v>
      </c>
      <c r="R960" s="53" t="n">
        <v>-0.288919</v>
      </c>
      <c r="S960" s="53" t="n">
        <v>0.172599</v>
      </c>
    </row>
    <row r="961" customFormat="false" ht="15" hidden="false" customHeight="false" outlineLevel="0" collapsed="false">
      <c r="A961" s="43" t="n">
        <v>458</v>
      </c>
      <c r="B961" s="44" t="str">
        <f aca="false">'Model Inputs &amp; Assumptions'!$B$29</f>
        <v>Handelsblatt — Native Explainer</v>
      </c>
      <c r="C961" s="45" t="n">
        <f aca="false">ROUND(MAX(0,'Model Inputs &amp; Assumptions'!$S$29*EXP('Model Inputs &amp; Assumptions'!$T$29*P961-'Model Inputs &amp; Assumptions'!$T$29^2/2)),0)</f>
        <v>211539</v>
      </c>
      <c r="D961" s="46" t="n">
        <f aca="false">MIN(1,'Model Inputs &amp; Assumptions'!$U$29*EXP('Model Inputs &amp; Assumptions'!$V$29*Q961-'Model Inputs &amp; Assumptions'!$V$29^2/2))</f>
        <v>0</v>
      </c>
      <c r="E961" s="45" t="n">
        <f aca="false">ROUND(C961*D961,0)</f>
        <v>0</v>
      </c>
      <c r="F961" s="47" t="n">
        <f aca="false">MIN(1,'Model Inputs &amp; Assumptions'!$W$29*EXP('Model Inputs &amp; Assumptions'!$X$29*R961-'Model Inputs &amp; Assumptions'!$X$29^2/2))</f>
        <v>0.00311611127687219</v>
      </c>
      <c r="G961" s="45" t="n">
        <f aca="false">ROUND(C961*F961,0)</f>
        <v>659</v>
      </c>
      <c r="H961" s="48" t="n">
        <f aca="false">MAX(0,(C961*'Model Inputs &amp; Assumptions'!$N$29+E961*'Model Inputs &amp; Assumptions'!$O$29+G961*'Model Inputs &amp; Assumptions'!$P$29)*EXP('Model Inputs &amp; Assumptions'!$Q$29*S961-'Model Inputs &amp; Assumptions'!$Q$29^2/2))</f>
        <v>31.1825723725083</v>
      </c>
      <c r="I961" s="49" t="n">
        <f aca="false">IF('Model Inputs &amp; Assumptions'!$H$29="Fixed",'Model Inputs &amp; Assumptions'!$I$29*'Model Inputs &amp; Assumptions'!$K$29,IF('Model Inputs &amp; Assumptions'!$H$29="CPM",'Model Inputs &amp; Assumptions'!$I$29*'Model Inputs &amp; Assumptions'!$K$29*C961/1000,IF('Model Inputs &amp; Assumptions'!$H$29="CPC",'Model Inputs &amp; Assumptions'!$I$29*'Model Inputs &amp; Assumptions'!$K$29*G961,0)))</f>
        <v>6500</v>
      </c>
      <c r="J961" s="50" t="n">
        <f aca="false">H961*INDEX('Model Inputs &amp; Assumptions'!$D$40:$D$42,MATCH('Model Inputs &amp; Assumptions'!$L$29,'Model Inputs &amp; Assumptions'!$A$40:$A$42,0))*INDEX('Model Inputs &amp; Assumptions'!$H$40:$H$42,MATCH('Model Inputs &amp; Assumptions'!$L$29,'Model Inputs &amp; Assumptions'!$A$40:$A$42,0))</f>
        <v>265051.865166321</v>
      </c>
      <c r="K961" s="49" t="n">
        <f aca="false">H961*INDEX('Model Inputs &amp; Assumptions'!$G$40:$G$42,MATCH('Model Inputs &amp; Assumptions'!$L$29,'Model Inputs &amp; Assumptions'!$A$40:$A$42,0))*INDEX('Model Inputs &amp; Assumptions'!$H$40:$H$42,MATCH('Model Inputs &amp; Assumptions'!$L$29,'Model Inputs &amp; Assumptions'!$A$40:$A$42,0))</f>
        <v>5963.66696624222</v>
      </c>
      <c r="L961" s="51" t="n">
        <f aca="false">IFERROR(K961/I961,0)</f>
        <v>0.917487225575726</v>
      </c>
      <c r="M961" s="49" t="n">
        <f aca="false">IFERROR(I961/H961,0)</f>
        <v>208.449768747451</v>
      </c>
      <c r="N961" s="52" t="str">
        <f aca="false">'Model Inputs &amp; Assumptions'!$L$29</f>
        <v>PRD-EUAI</v>
      </c>
      <c r="P961" s="53" t="n">
        <v>0.410657</v>
      </c>
      <c r="Q961" s="53" t="n">
        <v>-0.143706</v>
      </c>
      <c r="R961" s="53" t="n">
        <v>0.306622</v>
      </c>
      <c r="S961" s="53" t="n">
        <v>-0.033773</v>
      </c>
    </row>
    <row r="962" customFormat="false" ht="15" hidden="false" customHeight="false" outlineLevel="0" collapsed="false">
      <c r="A962" s="43" t="n">
        <v>459</v>
      </c>
      <c r="B962" s="44" t="str">
        <f aca="false">'Model Inputs &amp; Assumptions'!$B$29</f>
        <v>Handelsblatt — Native Explainer</v>
      </c>
      <c r="C962" s="45" t="n">
        <f aca="false">ROUND(MAX(0,'Model Inputs &amp; Assumptions'!$S$29*EXP('Model Inputs &amp; Assumptions'!$T$29*P962-'Model Inputs &amp; Assumptions'!$T$29^2/2)),0)</f>
        <v>165723</v>
      </c>
      <c r="D962" s="46" t="n">
        <f aca="false">MIN(1,'Model Inputs &amp; Assumptions'!$U$29*EXP('Model Inputs &amp; Assumptions'!$V$29*Q962-'Model Inputs &amp; Assumptions'!$V$29^2/2))</f>
        <v>0</v>
      </c>
      <c r="E962" s="45" t="n">
        <f aca="false">ROUND(C962*D962,0)</f>
        <v>0</v>
      </c>
      <c r="F962" s="47" t="n">
        <f aca="false">MIN(1,'Model Inputs &amp; Assumptions'!$W$29*EXP('Model Inputs &amp; Assumptions'!$X$29*R962-'Model Inputs &amp; Assumptions'!$X$29^2/2))</f>
        <v>0.00376460920412318</v>
      </c>
      <c r="G962" s="45" t="n">
        <f aca="false">ROUND(C962*F962,0)</f>
        <v>624</v>
      </c>
      <c r="H962" s="48" t="n">
        <f aca="false">MAX(0,(C962*'Model Inputs &amp; Assumptions'!$N$29+E962*'Model Inputs &amp; Assumptions'!$O$29+G962*'Model Inputs &amp; Assumptions'!$P$29)*EXP('Model Inputs &amp; Assumptions'!$Q$29*S962-'Model Inputs &amp; Assumptions'!$Q$29^2/2))</f>
        <v>24.1393742786953</v>
      </c>
      <c r="I962" s="49" t="n">
        <f aca="false">IF('Model Inputs &amp; Assumptions'!$H$29="Fixed",'Model Inputs &amp; Assumptions'!$I$29*'Model Inputs &amp; Assumptions'!$K$29,IF('Model Inputs &amp; Assumptions'!$H$29="CPM",'Model Inputs &amp; Assumptions'!$I$29*'Model Inputs &amp; Assumptions'!$K$29*C962/1000,IF('Model Inputs &amp; Assumptions'!$H$29="CPC",'Model Inputs &amp; Assumptions'!$I$29*'Model Inputs &amp; Assumptions'!$K$29*G962,0)))</f>
        <v>6500</v>
      </c>
      <c r="J962" s="50" t="n">
        <f aca="false">H962*INDEX('Model Inputs &amp; Assumptions'!$D$40:$D$42,MATCH('Model Inputs &amp; Assumptions'!$L$29,'Model Inputs &amp; Assumptions'!$A$40:$A$42,0))*INDEX('Model Inputs &amp; Assumptions'!$H$40:$H$42,MATCH('Model Inputs &amp; Assumptions'!$L$29,'Model Inputs &amp; Assumptions'!$A$40:$A$42,0))</f>
        <v>205184.68136891</v>
      </c>
      <c r="K962" s="49" t="n">
        <f aca="false">H962*INDEX('Model Inputs &amp; Assumptions'!$G$40:$G$42,MATCH('Model Inputs &amp; Assumptions'!$L$29,'Model Inputs &amp; Assumptions'!$A$40:$A$42,0))*INDEX('Model Inputs &amp; Assumptions'!$H$40:$H$42,MATCH('Model Inputs &amp; Assumptions'!$L$29,'Model Inputs &amp; Assumptions'!$A$40:$A$42,0))</f>
        <v>4616.65533080048</v>
      </c>
      <c r="L962" s="51" t="n">
        <f aca="false">IFERROR(K962/I962,0)</f>
        <v>0.710254666276997</v>
      </c>
      <c r="M962" s="49" t="n">
        <f aca="false">IFERROR(I962/H962,0)</f>
        <v>269.269614239202</v>
      </c>
      <c r="N962" s="52" t="str">
        <f aca="false">'Model Inputs &amp; Assumptions'!$L$29</f>
        <v>PRD-EUAI</v>
      </c>
      <c r="P962" s="53" t="n">
        <v>-0.698868</v>
      </c>
      <c r="Q962" s="53" t="n">
        <v>-1.962319</v>
      </c>
      <c r="R962" s="53" t="n">
        <v>1.033769</v>
      </c>
      <c r="S962" s="53" t="n">
        <v>-0.705246</v>
      </c>
    </row>
    <row r="963" customFormat="false" ht="15" hidden="false" customHeight="false" outlineLevel="0" collapsed="false">
      <c r="A963" s="43" t="n">
        <v>460</v>
      </c>
      <c r="B963" s="44" t="str">
        <f aca="false">'Model Inputs &amp; Assumptions'!$B$29</f>
        <v>Handelsblatt — Native Explainer</v>
      </c>
      <c r="C963" s="45" t="n">
        <f aca="false">ROUND(MAX(0,'Model Inputs &amp; Assumptions'!$S$29*EXP('Model Inputs &amp; Assumptions'!$T$29*P963-'Model Inputs &amp; Assumptions'!$T$29^2/2)),0)</f>
        <v>145520</v>
      </c>
      <c r="D963" s="46" t="n">
        <f aca="false">MIN(1,'Model Inputs &amp; Assumptions'!$U$29*EXP('Model Inputs &amp; Assumptions'!$V$29*Q963-'Model Inputs &amp; Assumptions'!$V$29^2/2))</f>
        <v>0</v>
      </c>
      <c r="E963" s="45" t="n">
        <f aca="false">ROUND(C963*D963,0)</f>
        <v>0</v>
      </c>
      <c r="F963" s="47" t="n">
        <f aca="false">MIN(1,'Model Inputs &amp; Assumptions'!$W$29*EXP('Model Inputs &amp; Assumptions'!$X$29*R963-'Model Inputs &amp; Assumptions'!$X$29^2/2))</f>
        <v>0.00281046288860133</v>
      </c>
      <c r="G963" s="45" t="n">
        <f aca="false">ROUND(C963*F963,0)</f>
        <v>409</v>
      </c>
      <c r="H963" s="48" t="n">
        <f aca="false">MAX(0,(C963*'Model Inputs &amp; Assumptions'!$N$29+E963*'Model Inputs &amp; Assumptions'!$O$29+G963*'Model Inputs &amp; Assumptions'!$P$29)*EXP('Model Inputs &amp; Assumptions'!$Q$29*S963-'Model Inputs &amp; Assumptions'!$Q$29^2/2))</f>
        <v>17.5360065185394</v>
      </c>
      <c r="I963" s="49" t="n">
        <f aca="false">IF('Model Inputs &amp; Assumptions'!$H$29="Fixed",'Model Inputs &amp; Assumptions'!$I$29*'Model Inputs &amp; Assumptions'!$K$29,IF('Model Inputs &amp; Assumptions'!$H$29="CPM",'Model Inputs &amp; Assumptions'!$I$29*'Model Inputs &amp; Assumptions'!$K$29*C963/1000,IF('Model Inputs &amp; Assumptions'!$H$29="CPC",'Model Inputs &amp; Assumptions'!$I$29*'Model Inputs &amp; Assumptions'!$K$29*G963,0)))</f>
        <v>6500</v>
      </c>
      <c r="J963" s="50" t="n">
        <f aca="false">H963*INDEX('Model Inputs &amp; Assumptions'!$D$40:$D$42,MATCH('Model Inputs &amp; Assumptions'!$L$29,'Model Inputs &amp; Assumptions'!$A$40:$A$42,0))*INDEX('Model Inputs &amp; Assumptions'!$H$40:$H$42,MATCH('Model Inputs &amp; Assumptions'!$L$29,'Model Inputs &amp; Assumptions'!$A$40:$A$42,0))</f>
        <v>149056.055407584</v>
      </c>
      <c r="K963" s="49" t="n">
        <f aca="false">H963*INDEX('Model Inputs &amp; Assumptions'!$G$40:$G$42,MATCH('Model Inputs &amp; Assumptions'!$L$29,'Model Inputs &amp; Assumptions'!$A$40:$A$42,0))*INDEX('Model Inputs &amp; Assumptions'!$H$40:$H$42,MATCH('Model Inputs &amp; Assumptions'!$L$29,'Model Inputs &amp; Assumptions'!$A$40:$A$42,0))</f>
        <v>3353.76124667065</v>
      </c>
      <c r="L963" s="51" t="n">
        <f aca="false">IFERROR(K963/I963,0)</f>
        <v>0.515963268718562</v>
      </c>
      <c r="M963" s="49" t="n">
        <f aca="false">IFERROR(I963/H963,0)</f>
        <v>370.665920609011</v>
      </c>
      <c r="N963" s="52" t="str">
        <f aca="false">'Model Inputs &amp; Assumptions'!$L$29</f>
        <v>PRD-EUAI</v>
      </c>
      <c r="P963" s="53" t="n">
        <v>-1.289784</v>
      </c>
      <c r="Q963" s="53" t="n">
        <v>-0.178873</v>
      </c>
      <c r="R963" s="53" t="n">
        <v>-0.090442</v>
      </c>
      <c r="S963" s="53" t="n">
        <v>-0.362422</v>
      </c>
    </row>
    <row r="964" customFormat="false" ht="15" hidden="false" customHeight="false" outlineLevel="0" collapsed="false">
      <c r="A964" s="43" t="n">
        <v>461</v>
      </c>
      <c r="B964" s="44" t="str">
        <f aca="false">'Model Inputs &amp; Assumptions'!$B$29</f>
        <v>Handelsblatt — Native Explainer</v>
      </c>
      <c r="C964" s="45" t="n">
        <f aca="false">ROUND(MAX(0,'Model Inputs &amp; Assumptions'!$S$29*EXP('Model Inputs &amp; Assumptions'!$T$29*P964-'Model Inputs &amp; Assumptions'!$T$29^2/2)),0)</f>
        <v>202407</v>
      </c>
      <c r="D964" s="46" t="n">
        <f aca="false">MIN(1,'Model Inputs &amp; Assumptions'!$U$29*EXP('Model Inputs &amp; Assumptions'!$V$29*Q964-'Model Inputs &amp; Assumptions'!$V$29^2/2))</f>
        <v>0</v>
      </c>
      <c r="E964" s="45" t="n">
        <f aca="false">ROUND(C964*D964,0)</f>
        <v>0</v>
      </c>
      <c r="F964" s="47" t="n">
        <f aca="false">MIN(1,'Model Inputs &amp; Assumptions'!$W$29*EXP('Model Inputs &amp; Assumptions'!$X$29*R964-'Model Inputs &amp; Assumptions'!$X$29^2/2))</f>
        <v>0.00263922855072101</v>
      </c>
      <c r="G964" s="45" t="n">
        <f aca="false">ROUND(C964*F964,0)</f>
        <v>534</v>
      </c>
      <c r="H964" s="48" t="n">
        <f aca="false">MAX(0,(C964*'Model Inputs &amp; Assumptions'!$N$29+E964*'Model Inputs &amp; Assumptions'!$O$29+G964*'Model Inputs &amp; Assumptions'!$P$29)*EXP('Model Inputs &amp; Assumptions'!$Q$29*S964-'Model Inputs &amp; Assumptions'!$Q$29^2/2))</f>
        <v>16.223051540195</v>
      </c>
      <c r="I964" s="49" t="n">
        <f aca="false">IF('Model Inputs &amp; Assumptions'!$H$29="Fixed",'Model Inputs &amp; Assumptions'!$I$29*'Model Inputs &amp; Assumptions'!$K$29,IF('Model Inputs &amp; Assumptions'!$H$29="CPM",'Model Inputs &amp; Assumptions'!$I$29*'Model Inputs &amp; Assumptions'!$K$29*C964/1000,IF('Model Inputs &amp; Assumptions'!$H$29="CPC",'Model Inputs &amp; Assumptions'!$I$29*'Model Inputs &amp; Assumptions'!$K$29*G964,0)))</f>
        <v>6500</v>
      </c>
      <c r="J964" s="50" t="n">
        <f aca="false">H964*INDEX('Model Inputs &amp; Assumptions'!$D$40:$D$42,MATCH('Model Inputs &amp; Assumptions'!$L$29,'Model Inputs &amp; Assumptions'!$A$40:$A$42,0))*INDEX('Model Inputs &amp; Assumptions'!$H$40:$H$42,MATCH('Model Inputs &amp; Assumptions'!$L$29,'Model Inputs &amp; Assumptions'!$A$40:$A$42,0))</f>
        <v>137895.938091658</v>
      </c>
      <c r="K964" s="49" t="n">
        <f aca="false">H964*INDEX('Model Inputs &amp; Assumptions'!$G$40:$G$42,MATCH('Model Inputs &amp; Assumptions'!$L$29,'Model Inputs &amp; Assumptions'!$A$40:$A$42,0))*INDEX('Model Inputs &amp; Assumptions'!$H$40:$H$42,MATCH('Model Inputs &amp; Assumptions'!$L$29,'Model Inputs &amp; Assumptions'!$A$40:$A$42,0))</f>
        <v>3102.6586070623</v>
      </c>
      <c r="L964" s="51" t="n">
        <f aca="false">IFERROR(K964/I964,0)</f>
        <v>0.4773320933942</v>
      </c>
      <c r="M964" s="49" t="n">
        <f aca="false">IFERROR(I964/H964,0)</f>
        <v>400.664448602366</v>
      </c>
      <c r="N964" s="52" t="str">
        <f aca="false">'Model Inputs &amp; Assumptions'!$L$29</f>
        <v>PRD-EUAI</v>
      </c>
      <c r="P964" s="53" t="n">
        <v>0.210057</v>
      </c>
      <c r="Q964" s="53" t="n">
        <v>-0.323353</v>
      </c>
      <c r="R964" s="53" t="n">
        <v>-0.332221</v>
      </c>
      <c r="S964" s="53" t="n">
        <v>-1.510768</v>
      </c>
    </row>
    <row r="965" customFormat="false" ht="15" hidden="false" customHeight="false" outlineLevel="0" collapsed="false">
      <c r="A965" s="43" t="n">
        <v>462</v>
      </c>
      <c r="B965" s="44" t="str">
        <f aca="false">'Model Inputs &amp; Assumptions'!$B$29</f>
        <v>Handelsblatt — Native Explainer</v>
      </c>
      <c r="C965" s="45" t="n">
        <f aca="false">ROUND(MAX(0,'Model Inputs &amp; Assumptions'!$S$29*EXP('Model Inputs &amp; Assumptions'!$T$29*P965-'Model Inputs &amp; Assumptions'!$T$29^2/2)),0)</f>
        <v>207080</v>
      </c>
      <c r="D965" s="46" t="n">
        <f aca="false">MIN(1,'Model Inputs &amp; Assumptions'!$U$29*EXP('Model Inputs &amp; Assumptions'!$V$29*Q965-'Model Inputs &amp; Assumptions'!$V$29^2/2))</f>
        <v>0</v>
      </c>
      <c r="E965" s="45" t="n">
        <f aca="false">ROUND(C965*D965,0)</f>
        <v>0</v>
      </c>
      <c r="F965" s="47" t="n">
        <f aca="false">MIN(1,'Model Inputs &amp; Assumptions'!$W$29*EXP('Model Inputs &amp; Assumptions'!$X$29*R965-'Model Inputs &amp; Assumptions'!$X$29^2/2))</f>
        <v>0.0025996025262428</v>
      </c>
      <c r="G965" s="45" t="n">
        <f aca="false">ROUND(C965*F965,0)</f>
        <v>538</v>
      </c>
      <c r="H965" s="48" t="n">
        <f aca="false">MAX(0,(C965*'Model Inputs &amp; Assumptions'!$N$29+E965*'Model Inputs &amp; Assumptions'!$O$29+G965*'Model Inputs &amp; Assumptions'!$P$29)*EXP('Model Inputs &amp; Assumptions'!$Q$29*S965-'Model Inputs &amp; Assumptions'!$Q$29^2/2))</f>
        <v>28.4421524682233</v>
      </c>
      <c r="I965" s="49" t="n">
        <f aca="false">IF('Model Inputs &amp; Assumptions'!$H$29="Fixed",'Model Inputs &amp; Assumptions'!$I$29*'Model Inputs &amp; Assumptions'!$K$29,IF('Model Inputs &amp; Assumptions'!$H$29="CPM",'Model Inputs &amp; Assumptions'!$I$29*'Model Inputs &amp; Assumptions'!$K$29*C965/1000,IF('Model Inputs &amp; Assumptions'!$H$29="CPC",'Model Inputs &amp; Assumptions'!$I$29*'Model Inputs &amp; Assumptions'!$K$29*G965,0)))</f>
        <v>6500</v>
      </c>
      <c r="J965" s="50" t="n">
        <f aca="false">H965*INDEX('Model Inputs &amp; Assumptions'!$D$40:$D$42,MATCH('Model Inputs &amp; Assumptions'!$L$29,'Model Inputs &amp; Assumptions'!$A$40:$A$42,0))*INDEX('Model Inputs &amp; Assumptions'!$H$40:$H$42,MATCH('Model Inputs &amp; Assumptions'!$L$29,'Model Inputs &amp; Assumptions'!$A$40:$A$42,0))</f>
        <v>241758.295979898</v>
      </c>
      <c r="K965" s="49" t="n">
        <f aca="false">H965*INDEX('Model Inputs &amp; Assumptions'!$G$40:$G$42,MATCH('Model Inputs &amp; Assumptions'!$L$29,'Model Inputs &amp; Assumptions'!$A$40:$A$42,0))*INDEX('Model Inputs &amp; Assumptions'!$H$40:$H$42,MATCH('Model Inputs &amp; Assumptions'!$L$29,'Model Inputs &amp; Assumptions'!$A$40:$A$42,0))</f>
        <v>5439.5616595477</v>
      </c>
      <c r="L965" s="51" t="n">
        <f aca="false">IFERROR(K965/I965,0)</f>
        <v>0.836855639930416</v>
      </c>
      <c r="M965" s="49" t="n">
        <f aca="false">IFERROR(I965/H965,0)</f>
        <v>228.534039653365</v>
      </c>
      <c r="N965" s="52" t="str">
        <f aca="false">'Model Inputs &amp; Assumptions'!$L$29</f>
        <v>PRD-EUAI</v>
      </c>
      <c r="P965" s="53" t="n">
        <v>0.313803</v>
      </c>
      <c r="Q965" s="53" t="n">
        <v>0.554582</v>
      </c>
      <c r="R965" s="53" t="n">
        <v>-0.390406</v>
      </c>
      <c r="S965" s="53" t="n">
        <v>0.33582</v>
      </c>
    </row>
    <row r="966" customFormat="false" ht="15" hidden="false" customHeight="false" outlineLevel="0" collapsed="false">
      <c r="A966" s="43" t="n">
        <v>463</v>
      </c>
      <c r="B966" s="44" t="str">
        <f aca="false">'Model Inputs &amp; Assumptions'!$B$29</f>
        <v>Handelsblatt — Native Explainer</v>
      </c>
      <c r="C966" s="45" t="n">
        <f aca="false">ROUND(MAX(0,'Model Inputs &amp; Assumptions'!$S$29*EXP('Model Inputs &amp; Assumptions'!$T$29*P966-'Model Inputs &amp; Assumptions'!$T$29^2/2)),0)</f>
        <v>263258</v>
      </c>
      <c r="D966" s="46" t="n">
        <f aca="false">MIN(1,'Model Inputs &amp; Assumptions'!$U$29*EXP('Model Inputs &amp; Assumptions'!$V$29*Q966-'Model Inputs &amp; Assumptions'!$V$29^2/2))</f>
        <v>0</v>
      </c>
      <c r="E966" s="45" t="n">
        <f aca="false">ROUND(C966*D966,0)</f>
        <v>0</v>
      </c>
      <c r="F966" s="47" t="n">
        <f aca="false">MIN(1,'Model Inputs &amp; Assumptions'!$W$29*EXP('Model Inputs &amp; Assumptions'!$X$29*R966-'Model Inputs &amp; Assumptions'!$X$29^2/2))</f>
        <v>0.0029659064986299</v>
      </c>
      <c r="G966" s="45" t="n">
        <f aca="false">ROUND(C966*F966,0)</f>
        <v>781</v>
      </c>
      <c r="H966" s="48" t="n">
        <f aca="false">MAX(0,(C966*'Model Inputs &amp; Assumptions'!$N$29+E966*'Model Inputs &amp; Assumptions'!$O$29+G966*'Model Inputs &amp; Assumptions'!$P$29)*EXP('Model Inputs &amp; Assumptions'!$Q$29*S966-'Model Inputs &amp; Assumptions'!$Q$29^2/2))</f>
        <v>30.7669104456236</v>
      </c>
      <c r="I966" s="49" t="n">
        <f aca="false">IF('Model Inputs &amp; Assumptions'!$H$29="Fixed",'Model Inputs &amp; Assumptions'!$I$29*'Model Inputs &amp; Assumptions'!$K$29,IF('Model Inputs &amp; Assumptions'!$H$29="CPM",'Model Inputs &amp; Assumptions'!$I$29*'Model Inputs &amp; Assumptions'!$K$29*C966/1000,IF('Model Inputs &amp; Assumptions'!$H$29="CPC",'Model Inputs &amp; Assumptions'!$I$29*'Model Inputs &amp; Assumptions'!$K$29*G966,0)))</f>
        <v>6500</v>
      </c>
      <c r="J966" s="50" t="n">
        <f aca="false">H966*INDEX('Model Inputs &amp; Assumptions'!$D$40:$D$42,MATCH('Model Inputs &amp; Assumptions'!$L$29,'Model Inputs &amp; Assumptions'!$A$40:$A$42,0))*INDEX('Model Inputs &amp; Assumptions'!$H$40:$H$42,MATCH('Model Inputs &amp; Assumptions'!$L$29,'Model Inputs &amp; Assumptions'!$A$40:$A$42,0))</f>
        <v>261518.7387878</v>
      </c>
      <c r="K966" s="49" t="n">
        <f aca="false">H966*INDEX('Model Inputs &amp; Assumptions'!$G$40:$G$42,MATCH('Model Inputs &amp; Assumptions'!$L$29,'Model Inputs &amp; Assumptions'!$A$40:$A$42,0))*INDEX('Model Inputs &amp; Assumptions'!$H$40:$H$42,MATCH('Model Inputs &amp; Assumptions'!$L$29,'Model Inputs &amp; Assumptions'!$A$40:$A$42,0))</f>
        <v>5884.17162272551</v>
      </c>
      <c r="L966" s="51" t="n">
        <f aca="false">IFERROR(K966/I966,0)</f>
        <v>0.905257172727001</v>
      </c>
      <c r="M966" s="49" t="n">
        <f aca="false">IFERROR(I966/H966,0)</f>
        <v>211.265931673181</v>
      </c>
      <c r="N966" s="52" t="str">
        <f aca="false">'Model Inputs &amp; Assumptions'!$L$29</f>
        <v>PRD-EUAI</v>
      </c>
      <c r="P966" s="53" t="n">
        <v>1.404849</v>
      </c>
      <c r="Q966" s="53" t="n">
        <v>0.67696</v>
      </c>
      <c r="R966" s="53" t="n">
        <v>0.11661</v>
      </c>
      <c r="S966" s="53" t="n">
        <v>-0.644677</v>
      </c>
    </row>
    <row r="967" customFormat="false" ht="15" hidden="false" customHeight="false" outlineLevel="0" collapsed="false">
      <c r="A967" s="43" t="n">
        <v>464</v>
      </c>
      <c r="B967" s="44" t="str">
        <f aca="false">'Model Inputs &amp; Assumptions'!$B$29</f>
        <v>Handelsblatt — Native Explainer</v>
      </c>
      <c r="C967" s="45" t="n">
        <f aca="false">ROUND(MAX(0,'Model Inputs &amp; Assumptions'!$S$29*EXP('Model Inputs &amp; Assumptions'!$T$29*P967-'Model Inputs &amp; Assumptions'!$T$29^2/2)),0)</f>
        <v>159266</v>
      </c>
      <c r="D967" s="46" t="n">
        <f aca="false">MIN(1,'Model Inputs &amp; Assumptions'!$U$29*EXP('Model Inputs &amp; Assumptions'!$V$29*Q967-'Model Inputs &amp; Assumptions'!$V$29^2/2))</f>
        <v>0</v>
      </c>
      <c r="E967" s="45" t="n">
        <f aca="false">ROUND(C967*D967,0)</f>
        <v>0</v>
      </c>
      <c r="F967" s="47" t="n">
        <f aca="false">MIN(1,'Model Inputs &amp; Assumptions'!$W$29*EXP('Model Inputs &amp; Assumptions'!$X$29*R967-'Model Inputs &amp; Assumptions'!$X$29^2/2))</f>
        <v>0.00259792819375458</v>
      </c>
      <c r="G967" s="45" t="n">
        <f aca="false">ROUND(C967*F967,0)</f>
        <v>414</v>
      </c>
      <c r="H967" s="48" t="n">
        <f aca="false">MAX(0,(C967*'Model Inputs &amp; Assumptions'!$N$29+E967*'Model Inputs &amp; Assumptions'!$O$29+G967*'Model Inputs &amp; Assumptions'!$P$29)*EXP('Model Inputs &amp; Assumptions'!$Q$29*S967-'Model Inputs &amp; Assumptions'!$Q$29^2/2))</f>
        <v>15.619447934286</v>
      </c>
      <c r="I967" s="49" t="n">
        <f aca="false">IF('Model Inputs &amp; Assumptions'!$H$29="Fixed",'Model Inputs &amp; Assumptions'!$I$29*'Model Inputs &amp; Assumptions'!$K$29,IF('Model Inputs &amp; Assumptions'!$H$29="CPM",'Model Inputs &amp; Assumptions'!$I$29*'Model Inputs &amp; Assumptions'!$K$29*C967/1000,IF('Model Inputs &amp; Assumptions'!$H$29="CPC",'Model Inputs &amp; Assumptions'!$I$29*'Model Inputs &amp; Assumptions'!$K$29*G967,0)))</f>
        <v>6500</v>
      </c>
      <c r="J967" s="50" t="n">
        <f aca="false">H967*INDEX('Model Inputs &amp; Assumptions'!$D$40:$D$42,MATCH('Model Inputs &amp; Assumptions'!$L$29,'Model Inputs &amp; Assumptions'!$A$40:$A$42,0))*INDEX('Model Inputs &amp; Assumptions'!$H$40:$H$42,MATCH('Model Inputs &amp; Assumptions'!$L$29,'Model Inputs &amp; Assumptions'!$A$40:$A$42,0))</f>
        <v>132765.307441431</v>
      </c>
      <c r="K967" s="49" t="n">
        <f aca="false">H967*INDEX('Model Inputs &amp; Assumptions'!$G$40:$G$42,MATCH('Model Inputs &amp; Assumptions'!$L$29,'Model Inputs &amp; Assumptions'!$A$40:$A$42,0))*INDEX('Model Inputs &amp; Assumptions'!$H$40:$H$42,MATCH('Model Inputs &amp; Assumptions'!$L$29,'Model Inputs &amp; Assumptions'!$A$40:$A$42,0))</f>
        <v>2987.2194174322</v>
      </c>
      <c r="L967" s="51" t="n">
        <f aca="false">IFERROR(K967/I967,0)</f>
        <v>0.459572218066493</v>
      </c>
      <c r="M967" s="49" t="n">
        <f aca="false">IFERROR(I967/H967,0)</f>
        <v>416.147870740805</v>
      </c>
      <c r="N967" s="52" t="str">
        <f aca="false">'Model Inputs &amp; Assumptions'!$L$29</f>
        <v>PRD-EUAI</v>
      </c>
      <c r="P967" s="53" t="n">
        <v>-0.879507</v>
      </c>
      <c r="Q967" s="53" t="n">
        <v>0.736096</v>
      </c>
      <c r="R967" s="53" t="n">
        <v>-0.392884</v>
      </c>
      <c r="S967" s="53" t="n">
        <v>-0.788723</v>
      </c>
    </row>
    <row r="968" customFormat="false" ht="15" hidden="false" customHeight="false" outlineLevel="0" collapsed="false">
      <c r="A968" s="43" t="n">
        <v>465</v>
      </c>
      <c r="B968" s="44" t="str">
        <f aca="false">'Model Inputs &amp; Assumptions'!$B$29</f>
        <v>Handelsblatt — Native Explainer</v>
      </c>
      <c r="C968" s="45" t="n">
        <f aca="false">ROUND(MAX(0,'Model Inputs &amp; Assumptions'!$S$29*EXP('Model Inputs &amp; Assumptions'!$T$29*P968-'Model Inputs &amp; Assumptions'!$T$29^2/2)),0)</f>
        <v>159360</v>
      </c>
      <c r="D968" s="46" t="n">
        <f aca="false">MIN(1,'Model Inputs &amp; Assumptions'!$U$29*EXP('Model Inputs &amp; Assumptions'!$V$29*Q968-'Model Inputs &amp; Assumptions'!$V$29^2/2))</f>
        <v>0</v>
      </c>
      <c r="E968" s="45" t="n">
        <f aca="false">ROUND(C968*D968,0)</f>
        <v>0</v>
      </c>
      <c r="F968" s="47" t="n">
        <f aca="false">MIN(1,'Model Inputs &amp; Assumptions'!$W$29*EXP('Model Inputs &amp; Assumptions'!$X$29*R968-'Model Inputs &amp; Assumptions'!$X$29^2/2))</f>
        <v>0.00345147784025914</v>
      </c>
      <c r="G968" s="45" t="n">
        <f aca="false">ROUND(C968*F968,0)</f>
        <v>550</v>
      </c>
      <c r="H968" s="48" t="n">
        <f aca="false">MAX(0,(C968*'Model Inputs &amp; Assumptions'!$N$29+E968*'Model Inputs &amp; Assumptions'!$O$29+G968*'Model Inputs &amp; Assumptions'!$P$29)*EXP('Model Inputs &amp; Assumptions'!$Q$29*S968-'Model Inputs &amp; Assumptions'!$Q$29^2/2))</f>
        <v>18.5334147334707</v>
      </c>
      <c r="I968" s="49" t="n">
        <f aca="false">IF('Model Inputs &amp; Assumptions'!$H$29="Fixed",'Model Inputs &amp; Assumptions'!$I$29*'Model Inputs &amp; Assumptions'!$K$29,IF('Model Inputs &amp; Assumptions'!$H$29="CPM",'Model Inputs &amp; Assumptions'!$I$29*'Model Inputs &amp; Assumptions'!$K$29*C968/1000,IF('Model Inputs &amp; Assumptions'!$H$29="CPC",'Model Inputs &amp; Assumptions'!$I$29*'Model Inputs &amp; Assumptions'!$K$29*G968,0)))</f>
        <v>6500</v>
      </c>
      <c r="J968" s="50" t="n">
        <f aca="false">H968*INDEX('Model Inputs &amp; Assumptions'!$D$40:$D$42,MATCH('Model Inputs &amp; Assumptions'!$L$29,'Model Inputs &amp; Assumptions'!$A$40:$A$42,0))*INDEX('Model Inputs &amp; Assumptions'!$H$40:$H$42,MATCH('Model Inputs &amp; Assumptions'!$L$29,'Model Inputs &amp; Assumptions'!$A$40:$A$42,0))</f>
        <v>157534.025234501</v>
      </c>
      <c r="K968" s="49" t="n">
        <f aca="false">H968*INDEX('Model Inputs &amp; Assumptions'!$G$40:$G$42,MATCH('Model Inputs &amp; Assumptions'!$L$29,'Model Inputs &amp; Assumptions'!$A$40:$A$42,0))*INDEX('Model Inputs &amp; Assumptions'!$H$40:$H$42,MATCH('Model Inputs &amp; Assumptions'!$L$29,'Model Inputs &amp; Assumptions'!$A$40:$A$42,0))</f>
        <v>3544.51556777628</v>
      </c>
      <c r="L968" s="51" t="n">
        <f aca="false">IFERROR(K968/I968,0)</f>
        <v>0.545310087350196</v>
      </c>
      <c r="M968" s="49" t="n">
        <f aca="false">IFERROR(I968/H968,0)</f>
        <v>350.717884074607</v>
      </c>
      <c r="N968" s="52" t="str">
        <f aca="false">'Model Inputs &amp; Assumptions'!$L$29</f>
        <v>PRD-EUAI</v>
      </c>
      <c r="P968" s="53" t="n">
        <v>-0.876825</v>
      </c>
      <c r="Q968" s="53" t="n">
        <v>1.825363</v>
      </c>
      <c r="R968" s="53" t="n">
        <v>0.699763</v>
      </c>
      <c r="S968" s="53" t="n">
        <v>-1.165369</v>
      </c>
    </row>
    <row r="969" customFormat="false" ht="15" hidden="false" customHeight="false" outlineLevel="0" collapsed="false">
      <c r="A969" s="43" t="n">
        <v>466</v>
      </c>
      <c r="B969" s="44" t="str">
        <f aca="false">'Model Inputs &amp; Assumptions'!$B$29</f>
        <v>Handelsblatt — Native Explainer</v>
      </c>
      <c r="C969" s="45" t="n">
        <f aca="false">ROUND(MAX(0,'Model Inputs &amp; Assumptions'!$S$29*EXP('Model Inputs &amp; Assumptions'!$T$29*P969-'Model Inputs &amp; Assumptions'!$T$29^2/2)),0)</f>
        <v>261964</v>
      </c>
      <c r="D969" s="46" t="n">
        <f aca="false">MIN(1,'Model Inputs &amp; Assumptions'!$U$29*EXP('Model Inputs &amp; Assumptions'!$V$29*Q969-'Model Inputs &amp; Assumptions'!$V$29^2/2))</f>
        <v>0</v>
      </c>
      <c r="E969" s="45" t="n">
        <f aca="false">ROUND(C969*D969,0)</f>
        <v>0</v>
      </c>
      <c r="F969" s="47" t="n">
        <f aca="false">MIN(1,'Model Inputs &amp; Assumptions'!$W$29*EXP('Model Inputs &amp; Assumptions'!$X$29*R969-'Model Inputs &amp; Assumptions'!$X$29^2/2))</f>
        <v>0.00377286756186255</v>
      </c>
      <c r="G969" s="45" t="n">
        <f aca="false">ROUND(C969*F969,0)</f>
        <v>988</v>
      </c>
      <c r="H969" s="48" t="n">
        <f aca="false">MAX(0,(C969*'Model Inputs &amp; Assumptions'!$N$29+E969*'Model Inputs &amp; Assumptions'!$O$29+G969*'Model Inputs &amp; Assumptions'!$P$29)*EXP('Model Inputs &amp; Assumptions'!$Q$29*S969-'Model Inputs &amp; Assumptions'!$Q$29^2/2))</f>
        <v>33.9329569721866</v>
      </c>
      <c r="I969" s="49" t="n">
        <f aca="false">IF('Model Inputs &amp; Assumptions'!$H$29="Fixed",'Model Inputs &amp; Assumptions'!$I$29*'Model Inputs &amp; Assumptions'!$K$29,IF('Model Inputs &amp; Assumptions'!$H$29="CPM",'Model Inputs &amp; Assumptions'!$I$29*'Model Inputs &amp; Assumptions'!$K$29*C969/1000,IF('Model Inputs &amp; Assumptions'!$H$29="CPC",'Model Inputs &amp; Assumptions'!$I$29*'Model Inputs &amp; Assumptions'!$K$29*G969,0)))</f>
        <v>6500</v>
      </c>
      <c r="J969" s="50" t="n">
        <f aca="false">H969*INDEX('Model Inputs &amp; Assumptions'!$D$40:$D$42,MATCH('Model Inputs &amp; Assumptions'!$L$29,'Model Inputs &amp; Assumptions'!$A$40:$A$42,0))*INDEX('Model Inputs &amp; Assumptions'!$H$40:$H$42,MATCH('Model Inputs &amp; Assumptions'!$L$29,'Model Inputs &amp; Assumptions'!$A$40:$A$42,0))</f>
        <v>288430.134263586</v>
      </c>
      <c r="K969" s="49" t="n">
        <f aca="false">H969*INDEX('Model Inputs &amp; Assumptions'!$G$40:$G$42,MATCH('Model Inputs &amp; Assumptions'!$L$29,'Model Inputs &amp; Assumptions'!$A$40:$A$42,0))*INDEX('Model Inputs &amp; Assumptions'!$H$40:$H$42,MATCH('Model Inputs &amp; Assumptions'!$L$29,'Model Inputs &amp; Assumptions'!$A$40:$A$42,0))</f>
        <v>6489.67802093069</v>
      </c>
      <c r="L969" s="51" t="n">
        <f aca="false">IFERROR(K969/I969,0)</f>
        <v>0.998412003220107</v>
      </c>
      <c r="M969" s="49" t="n">
        <f aca="false">IFERROR(I969/H969,0)</f>
        <v>191.554187432818</v>
      </c>
      <c r="N969" s="52" t="str">
        <f aca="false">'Model Inputs &amp; Assumptions'!$L$29</f>
        <v>PRD-EUAI</v>
      </c>
      <c r="P969" s="53" t="n">
        <v>1.382448</v>
      </c>
      <c r="Q969" s="53" t="n">
        <v>-0.284111</v>
      </c>
      <c r="R969" s="53" t="n">
        <v>1.042197</v>
      </c>
      <c r="S969" s="53" t="n">
        <v>-1.101879</v>
      </c>
    </row>
    <row r="970" customFormat="false" ht="15" hidden="false" customHeight="false" outlineLevel="0" collapsed="false">
      <c r="A970" s="43" t="n">
        <v>467</v>
      </c>
      <c r="B970" s="44" t="str">
        <f aca="false">'Model Inputs &amp; Assumptions'!$B$29</f>
        <v>Handelsblatt — Native Explainer</v>
      </c>
      <c r="C970" s="45" t="n">
        <f aca="false">ROUND(MAX(0,'Model Inputs &amp; Assumptions'!$S$29*EXP('Model Inputs &amp; Assumptions'!$T$29*P970-'Model Inputs &amp; Assumptions'!$T$29^2/2)),0)</f>
        <v>181057</v>
      </c>
      <c r="D970" s="46" t="n">
        <f aca="false">MIN(1,'Model Inputs &amp; Assumptions'!$U$29*EXP('Model Inputs &amp; Assumptions'!$V$29*Q970-'Model Inputs &amp; Assumptions'!$V$29^2/2))</f>
        <v>0</v>
      </c>
      <c r="E970" s="45" t="n">
        <f aca="false">ROUND(C970*D970,0)</f>
        <v>0</v>
      </c>
      <c r="F970" s="47" t="n">
        <f aca="false">MIN(1,'Model Inputs &amp; Assumptions'!$W$29*EXP('Model Inputs &amp; Assumptions'!$X$29*R970-'Model Inputs &amp; Assumptions'!$X$29^2/2))</f>
        <v>0.00251934492874221</v>
      </c>
      <c r="G970" s="45" t="n">
        <f aca="false">ROUND(C970*F970,0)</f>
        <v>456</v>
      </c>
      <c r="H970" s="48" t="n">
        <f aca="false">MAX(0,(C970*'Model Inputs &amp; Assumptions'!$N$29+E970*'Model Inputs &amp; Assumptions'!$O$29+G970*'Model Inputs &amp; Assumptions'!$P$29)*EXP('Model Inputs &amp; Assumptions'!$Q$29*S970-'Model Inputs &amp; Assumptions'!$Q$29^2/2))</f>
        <v>12.4458612255509</v>
      </c>
      <c r="I970" s="49" t="n">
        <f aca="false">IF('Model Inputs &amp; Assumptions'!$H$29="Fixed",'Model Inputs &amp; Assumptions'!$I$29*'Model Inputs &amp; Assumptions'!$K$29,IF('Model Inputs &amp; Assumptions'!$H$29="CPM",'Model Inputs &amp; Assumptions'!$I$29*'Model Inputs &amp; Assumptions'!$K$29*C970/1000,IF('Model Inputs &amp; Assumptions'!$H$29="CPC",'Model Inputs &amp; Assumptions'!$I$29*'Model Inputs &amp; Assumptions'!$K$29*G970,0)))</f>
        <v>6500</v>
      </c>
      <c r="J970" s="50" t="n">
        <f aca="false">H970*INDEX('Model Inputs &amp; Assumptions'!$D$40:$D$42,MATCH('Model Inputs &amp; Assumptions'!$L$29,'Model Inputs &amp; Assumptions'!$A$40:$A$42,0))*INDEX('Model Inputs &amp; Assumptions'!$H$40:$H$42,MATCH('Model Inputs &amp; Assumptions'!$L$29,'Model Inputs &amp; Assumptions'!$A$40:$A$42,0))</f>
        <v>105789.820417182</v>
      </c>
      <c r="K970" s="49" t="n">
        <f aca="false">H970*INDEX('Model Inputs &amp; Assumptions'!$G$40:$G$42,MATCH('Model Inputs &amp; Assumptions'!$L$29,'Model Inputs &amp; Assumptions'!$A$40:$A$42,0))*INDEX('Model Inputs &amp; Assumptions'!$H$40:$H$42,MATCH('Model Inputs &amp; Assumptions'!$L$29,'Model Inputs &amp; Assumptions'!$A$40:$A$42,0))</f>
        <v>2380.2709593866</v>
      </c>
      <c r="L970" s="51" t="n">
        <f aca="false">IFERROR(K970/I970,0)</f>
        <v>0.366195532213324</v>
      </c>
      <c r="M970" s="49" t="n">
        <f aca="false">IFERROR(I970/H970,0)</f>
        <v>522.261969839078</v>
      </c>
      <c r="N970" s="52" t="str">
        <f aca="false">'Model Inputs &amp; Assumptions'!$L$29</f>
        <v>PRD-EUAI</v>
      </c>
      <c r="P970" s="53" t="n">
        <v>-0.296612</v>
      </c>
      <c r="Q970" s="53" t="n">
        <v>1.698989</v>
      </c>
      <c r="R970" s="53" t="n">
        <v>-0.51102</v>
      </c>
      <c r="S970" s="53" t="n">
        <v>-1.867908</v>
      </c>
    </row>
    <row r="971" customFormat="false" ht="15" hidden="false" customHeight="false" outlineLevel="0" collapsed="false">
      <c r="A971" s="43" t="n">
        <v>468</v>
      </c>
      <c r="B971" s="44" t="str">
        <f aca="false">'Model Inputs &amp; Assumptions'!$B$29</f>
        <v>Handelsblatt — Native Explainer</v>
      </c>
      <c r="C971" s="45" t="n">
        <f aca="false">ROUND(MAX(0,'Model Inputs &amp; Assumptions'!$S$29*EXP('Model Inputs &amp; Assumptions'!$T$29*P971-'Model Inputs &amp; Assumptions'!$T$29^2/2)),0)</f>
        <v>139328</v>
      </c>
      <c r="D971" s="46" t="n">
        <f aca="false">MIN(1,'Model Inputs &amp; Assumptions'!$U$29*EXP('Model Inputs &amp; Assumptions'!$V$29*Q971-'Model Inputs &amp; Assumptions'!$V$29^2/2))</f>
        <v>0</v>
      </c>
      <c r="E971" s="45" t="n">
        <f aca="false">ROUND(C971*D971,0)</f>
        <v>0</v>
      </c>
      <c r="F971" s="47" t="n">
        <f aca="false">MIN(1,'Model Inputs &amp; Assumptions'!$W$29*EXP('Model Inputs &amp; Assumptions'!$X$29*R971-'Model Inputs &amp; Assumptions'!$X$29^2/2))</f>
        <v>0.00242954932895974</v>
      </c>
      <c r="G971" s="45" t="n">
        <f aca="false">ROUND(C971*F971,0)</f>
        <v>339</v>
      </c>
      <c r="H971" s="48" t="n">
        <f aca="false">MAX(0,(C971*'Model Inputs &amp; Assumptions'!$N$29+E971*'Model Inputs &amp; Assumptions'!$O$29+G971*'Model Inputs &amp; Assumptions'!$P$29)*EXP('Model Inputs &amp; Assumptions'!$Q$29*S971-'Model Inputs &amp; Assumptions'!$Q$29^2/2))</f>
        <v>15.6908232301051</v>
      </c>
      <c r="I971" s="49" t="n">
        <f aca="false">IF('Model Inputs &amp; Assumptions'!$H$29="Fixed",'Model Inputs &amp; Assumptions'!$I$29*'Model Inputs &amp; Assumptions'!$K$29,IF('Model Inputs &amp; Assumptions'!$H$29="CPM",'Model Inputs &amp; Assumptions'!$I$29*'Model Inputs &amp; Assumptions'!$K$29*C971/1000,IF('Model Inputs &amp; Assumptions'!$H$29="CPC",'Model Inputs &amp; Assumptions'!$I$29*'Model Inputs &amp; Assumptions'!$K$29*G971,0)))</f>
        <v>6500</v>
      </c>
      <c r="J971" s="50" t="n">
        <f aca="false">H971*INDEX('Model Inputs &amp; Assumptions'!$D$40:$D$42,MATCH('Model Inputs &amp; Assumptions'!$L$29,'Model Inputs &amp; Assumptions'!$A$40:$A$42,0))*INDEX('Model Inputs &amp; Assumptions'!$H$40:$H$42,MATCH('Model Inputs &amp; Assumptions'!$L$29,'Model Inputs &amp; Assumptions'!$A$40:$A$42,0))</f>
        <v>133371.997455893</v>
      </c>
      <c r="K971" s="49" t="n">
        <f aca="false">H971*INDEX('Model Inputs &amp; Assumptions'!$G$40:$G$42,MATCH('Model Inputs &amp; Assumptions'!$L$29,'Model Inputs &amp; Assumptions'!$A$40:$A$42,0))*INDEX('Model Inputs &amp; Assumptions'!$H$40:$H$42,MATCH('Model Inputs &amp; Assumptions'!$L$29,'Model Inputs &amp; Assumptions'!$A$40:$A$42,0))</f>
        <v>3000.86994275759</v>
      </c>
      <c r="L971" s="51" t="n">
        <f aca="false">IFERROR(K971/I971,0)</f>
        <v>0.461672298885784</v>
      </c>
      <c r="M971" s="49" t="n">
        <f aca="false">IFERROR(I971/H971,0)</f>
        <v>414.254873990858</v>
      </c>
      <c r="N971" s="52" t="str">
        <f aca="false">'Model Inputs &amp; Assumptions'!$L$29</f>
        <v>PRD-EUAI</v>
      </c>
      <c r="P971" s="53" t="n">
        <v>-1.487432</v>
      </c>
      <c r="Q971" s="53" t="n">
        <v>0.872313</v>
      </c>
      <c r="R971" s="53" t="n">
        <v>-0.650609</v>
      </c>
      <c r="S971" s="53" t="n">
        <v>-0.107306</v>
      </c>
    </row>
    <row r="972" customFormat="false" ht="15" hidden="false" customHeight="false" outlineLevel="0" collapsed="false">
      <c r="A972" s="43" t="n">
        <v>469</v>
      </c>
      <c r="B972" s="44" t="str">
        <f aca="false">'Model Inputs &amp; Assumptions'!$B$29</f>
        <v>Handelsblatt — Native Explainer</v>
      </c>
      <c r="C972" s="45" t="n">
        <f aca="false">ROUND(MAX(0,'Model Inputs &amp; Assumptions'!$S$29*EXP('Model Inputs &amp; Assumptions'!$T$29*P972-'Model Inputs &amp; Assumptions'!$T$29^2/2)),0)</f>
        <v>280177</v>
      </c>
      <c r="D972" s="46" t="n">
        <f aca="false">MIN(1,'Model Inputs &amp; Assumptions'!$U$29*EXP('Model Inputs &amp; Assumptions'!$V$29*Q972-'Model Inputs &amp; Assumptions'!$V$29^2/2))</f>
        <v>0</v>
      </c>
      <c r="E972" s="45" t="n">
        <f aca="false">ROUND(C972*D972,0)</f>
        <v>0</v>
      </c>
      <c r="F972" s="47" t="n">
        <f aca="false">MIN(1,'Model Inputs &amp; Assumptions'!$W$29*EXP('Model Inputs &amp; Assumptions'!$X$29*R972-'Model Inputs &amp; Assumptions'!$X$29^2/2))</f>
        <v>0.00166916325978281</v>
      </c>
      <c r="G972" s="45" t="n">
        <f aca="false">ROUND(C972*F972,0)</f>
        <v>468</v>
      </c>
      <c r="H972" s="48" t="n">
        <f aca="false">MAX(0,(C972*'Model Inputs &amp; Assumptions'!$N$29+E972*'Model Inputs &amp; Assumptions'!$O$29+G972*'Model Inputs &amp; Assumptions'!$P$29)*EXP('Model Inputs &amp; Assumptions'!$Q$29*S972-'Model Inputs &amp; Assumptions'!$Q$29^2/2))</f>
        <v>26.3165974626118</v>
      </c>
      <c r="I972" s="49" t="n">
        <f aca="false">IF('Model Inputs &amp; Assumptions'!$H$29="Fixed",'Model Inputs &amp; Assumptions'!$I$29*'Model Inputs &amp; Assumptions'!$K$29,IF('Model Inputs &amp; Assumptions'!$H$29="CPM",'Model Inputs &amp; Assumptions'!$I$29*'Model Inputs &amp; Assumptions'!$K$29*C972/1000,IF('Model Inputs &amp; Assumptions'!$H$29="CPC",'Model Inputs &amp; Assumptions'!$I$29*'Model Inputs &amp; Assumptions'!$K$29*G972,0)))</f>
        <v>6500</v>
      </c>
      <c r="J972" s="50" t="n">
        <f aca="false">H972*INDEX('Model Inputs &amp; Assumptions'!$D$40:$D$42,MATCH('Model Inputs &amp; Assumptions'!$L$29,'Model Inputs &amp; Assumptions'!$A$40:$A$42,0))*INDEX('Model Inputs &amp; Assumptions'!$H$40:$H$42,MATCH('Model Inputs &amp; Assumptions'!$L$29,'Model Inputs &amp; Assumptions'!$A$40:$A$42,0))</f>
        <v>223691.078432201</v>
      </c>
      <c r="K972" s="49" t="n">
        <f aca="false">H972*INDEX('Model Inputs &amp; Assumptions'!$G$40:$G$42,MATCH('Model Inputs &amp; Assumptions'!$L$29,'Model Inputs &amp; Assumptions'!$A$40:$A$42,0))*INDEX('Model Inputs &amp; Assumptions'!$H$40:$H$42,MATCH('Model Inputs &amp; Assumptions'!$L$29,'Model Inputs &amp; Assumptions'!$A$40:$A$42,0))</f>
        <v>5033.04926472451</v>
      </c>
      <c r="L972" s="51" t="n">
        <f aca="false">IFERROR(K972/I972,0)</f>
        <v>0.774315271496079</v>
      </c>
      <c r="M972" s="49" t="n">
        <f aca="false">IFERROR(I972/H972,0)</f>
        <v>246.992416448767</v>
      </c>
      <c r="N972" s="52" t="str">
        <f aca="false">'Model Inputs &amp; Assumptions'!$L$29</f>
        <v>PRD-EUAI</v>
      </c>
      <c r="P972" s="53" t="n">
        <v>1.687975</v>
      </c>
      <c r="Q972" s="53" t="n">
        <v>0.147998</v>
      </c>
      <c r="R972" s="53" t="n">
        <v>-2.094391</v>
      </c>
      <c r="S972" s="53" t="n">
        <v>0.541546</v>
      </c>
    </row>
    <row r="973" customFormat="false" ht="15" hidden="false" customHeight="false" outlineLevel="0" collapsed="false">
      <c r="A973" s="43" t="n">
        <v>470</v>
      </c>
      <c r="B973" s="44" t="str">
        <f aca="false">'Model Inputs &amp; Assumptions'!$B$29</f>
        <v>Handelsblatt — Native Explainer</v>
      </c>
      <c r="C973" s="45" t="n">
        <f aca="false">ROUND(MAX(0,'Model Inputs &amp; Assumptions'!$S$29*EXP('Model Inputs &amp; Assumptions'!$T$29*P973-'Model Inputs &amp; Assumptions'!$T$29^2/2)),0)</f>
        <v>267446</v>
      </c>
      <c r="D973" s="46" t="n">
        <f aca="false">MIN(1,'Model Inputs &amp; Assumptions'!$U$29*EXP('Model Inputs &amp; Assumptions'!$V$29*Q973-'Model Inputs &amp; Assumptions'!$V$29^2/2))</f>
        <v>0</v>
      </c>
      <c r="E973" s="45" t="n">
        <f aca="false">ROUND(C973*D973,0)</f>
        <v>0</v>
      </c>
      <c r="F973" s="47" t="n">
        <f aca="false">MIN(1,'Model Inputs &amp; Assumptions'!$W$29*EXP('Model Inputs &amp; Assumptions'!$X$29*R973-'Model Inputs &amp; Assumptions'!$X$29^2/2))</f>
        <v>0.00265867468210015</v>
      </c>
      <c r="G973" s="45" t="n">
        <f aca="false">ROUND(C973*F973,0)</f>
        <v>711</v>
      </c>
      <c r="H973" s="48" t="n">
        <f aca="false">MAX(0,(C973*'Model Inputs &amp; Assumptions'!$N$29+E973*'Model Inputs &amp; Assumptions'!$O$29+G973*'Model Inputs &amp; Assumptions'!$P$29)*EXP('Model Inputs &amp; Assumptions'!$Q$29*S973-'Model Inputs &amp; Assumptions'!$Q$29^2/2))</f>
        <v>44.8484871338547</v>
      </c>
      <c r="I973" s="49" t="n">
        <f aca="false">IF('Model Inputs &amp; Assumptions'!$H$29="Fixed",'Model Inputs &amp; Assumptions'!$I$29*'Model Inputs &amp; Assumptions'!$K$29,IF('Model Inputs &amp; Assumptions'!$H$29="CPM",'Model Inputs &amp; Assumptions'!$I$29*'Model Inputs &amp; Assumptions'!$K$29*C973/1000,IF('Model Inputs &amp; Assumptions'!$H$29="CPC",'Model Inputs &amp; Assumptions'!$I$29*'Model Inputs &amp; Assumptions'!$K$29*G973,0)))</f>
        <v>6500</v>
      </c>
      <c r="J973" s="50" t="n">
        <f aca="false">H973*INDEX('Model Inputs &amp; Assumptions'!$D$40:$D$42,MATCH('Model Inputs &amp; Assumptions'!$L$29,'Model Inputs &amp; Assumptions'!$A$40:$A$42,0))*INDEX('Model Inputs &amp; Assumptions'!$H$40:$H$42,MATCH('Model Inputs &amp; Assumptions'!$L$29,'Model Inputs &amp; Assumptions'!$A$40:$A$42,0))</f>
        <v>381212.140637765</v>
      </c>
      <c r="K973" s="49" t="n">
        <f aca="false">H973*INDEX('Model Inputs &amp; Assumptions'!$G$40:$G$42,MATCH('Model Inputs &amp; Assumptions'!$L$29,'Model Inputs &amp; Assumptions'!$A$40:$A$42,0))*INDEX('Model Inputs &amp; Assumptions'!$H$40:$H$42,MATCH('Model Inputs &amp; Assumptions'!$L$29,'Model Inputs &amp; Assumptions'!$A$40:$A$42,0))</f>
        <v>8577.27316434971</v>
      </c>
      <c r="L973" s="51" t="n">
        <f aca="false">IFERROR(K973/I973,0)</f>
        <v>1.31958048682303</v>
      </c>
      <c r="M973" s="49" t="n">
        <f aca="false">IFERROR(I973/H973,0)</f>
        <v>144.932425047028</v>
      </c>
      <c r="N973" s="52" t="str">
        <f aca="false">'Model Inputs &amp; Assumptions'!$L$29</f>
        <v>PRD-EUAI</v>
      </c>
      <c r="P973" s="53" t="n">
        <v>1.476601</v>
      </c>
      <c r="Q973" s="53" t="n">
        <v>-0.234568</v>
      </c>
      <c r="R973" s="53" t="n">
        <v>-0.303986</v>
      </c>
      <c r="S973" s="53" t="n">
        <v>0.924499</v>
      </c>
    </row>
    <row r="974" customFormat="false" ht="15" hidden="false" customHeight="false" outlineLevel="0" collapsed="false">
      <c r="A974" s="43" t="n">
        <v>471</v>
      </c>
      <c r="B974" s="44" t="str">
        <f aca="false">'Model Inputs &amp; Assumptions'!$B$29</f>
        <v>Handelsblatt — Native Explainer</v>
      </c>
      <c r="C974" s="45" t="n">
        <f aca="false">ROUND(MAX(0,'Model Inputs &amp; Assumptions'!$S$29*EXP('Model Inputs &amp; Assumptions'!$T$29*P974-'Model Inputs &amp; Assumptions'!$T$29^2/2)),0)</f>
        <v>232751</v>
      </c>
      <c r="D974" s="46" t="n">
        <f aca="false">MIN(1,'Model Inputs &amp; Assumptions'!$U$29*EXP('Model Inputs &amp; Assumptions'!$V$29*Q974-'Model Inputs &amp; Assumptions'!$V$29^2/2))</f>
        <v>0</v>
      </c>
      <c r="E974" s="45" t="n">
        <f aca="false">ROUND(C974*D974,0)</f>
        <v>0</v>
      </c>
      <c r="F974" s="47" t="n">
        <f aca="false">MIN(1,'Model Inputs &amp; Assumptions'!$W$29*EXP('Model Inputs &amp; Assumptions'!$X$29*R974-'Model Inputs &amp; Assumptions'!$X$29^2/2))</f>
        <v>0.00243464096693422</v>
      </c>
      <c r="G974" s="45" t="n">
        <f aca="false">ROUND(C974*F974,0)</f>
        <v>567</v>
      </c>
      <c r="H974" s="48" t="n">
        <f aca="false">MAX(0,(C974*'Model Inputs &amp; Assumptions'!$N$29+E974*'Model Inputs &amp; Assumptions'!$O$29+G974*'Model Inputs &amp; Assumptions'!$P$29)*EXP('Model Inputs &amp; Assumptions'!$Q$29*S974-'Model Inputs &amp; Assumptions'!$Q$29^2/2))</f>
        <v>22.5236671603872</v>
      </c>
      <c r="I974" s="49" t="n">
        <f aca="false">IF('Model Inputs &amp; Assumptions'!$H$29="Fixed",'Model Inputs &amp; Assumptions'!$I$29*'Model Inputs &amp; Assumptions'!$K$29,IF('Model Inputs &amp; Assumptions'!$H$29="CPM",'Model Inputs &amp; Assumptions'!$I$29*'Model Inputs &amp; Assumptions'!$K$29*C974/1000,IF('Model Inputs &amp; Assumptions'!$H$29="CPC",'Model Inputs &amp; Assumptions'!$I$29*'Model Inputs &amp; Assumptions'!$K$29*G974,0)))</f>
        <v>6500</v>
      </c>
      <c r="J974" s="50" t="n">
        <f aca="false">H974*INDEX('Model Inputs &amp; Assumptions'!$D$40:$D$42,MATCH('Model Inputs &amp; Assumptions'!$L$29,'Model Inputs &amp; Assumptions'!$A$40:$A$42,0))*INDEX('Model Inputs &amp; Assumptions'!$H$40:$H$42,MATCH('Model Inputs &amp; Assumptions'!$L$29,'Model Inputs &amp; Assumptions'!$A$40:$A$42,0))</f>
        <v>191451.170863291</v>
      </c>
      <c r="K974" s="49" t="n">
        <f aca="false">H974*INDEX('Model Inputs &amp; Assumptions'!$G$40:$G$42,MATCH('Model Inputs &amp; Assumptions'!$L$29,'Model Inputs &amp; Assumptions'!$A$40:$A$42,0))*INDEX('Model Inputs &amp; Assumptions'!$H$40:$H$42,MATCH('Model Inputs &amp; Assumptions'!$L$29,'Model Inputs &amp; Assumptions'!$A$40:$A$42,0))</f>
        <v>4307.65134442406</v>
      </c>
      <c r="L974" s="51" t="n">
        <f aca="false">IFERROR(K974/I974,0)</f>
        <v>0.662715591449855</v>
      </c>
      <c r="M974" s="49" t="n">
        <f aca="false">IFERROR(I974/H974,0)</f>
        <v>288.585333538921</v>
      </c>
      <c r="N974" s="52" t="str">
        <f aca="false">'Model Inputs &amp; Assumptions'!$L$29</f>
        <v>PRD-EUAI</v>
      </c>
      <c r="P974" s="53" t="n">
        <v>0.845001</v>
      </c>
      <c r="Q974" s="53" t="n">
        <v>0.053252</v>
      </c>
      <c r="R974" s="53" t="n">
        <v>-0.642557</v>
      </c>
      <c r="S974" s="53" t="n">
        <v>-0.616868</v>
      </c>
    </row>
    <row r="975" customFormat="false" ht="15" hidden="false" customHeight="false" outlineLevel="0" collapsed="false">
      <c r="A975" s="43" t="n">
        <v>472</v>
      </c>
      <c r="B975" s="44" t="str">
        <f aca="false">'Model Inputs &amp; Assumptions'!$B$29</f>
        <v>Handelsblatt — Native Explainer</v>
      </c>
      <c r="C975" s="45" t="n">
        <f aca="false">ROUND(MAX(0,'Model Inputs &amp; Assumptions'!$S$29*EXP('Model Inputs &amp; Assumptions'!$T$29*P975-'Model Inputs &amp; Assumptions'!$T$29^2/2)),0)</f>
        <v>169313</v>
      </c>
      <c r="D975" s="46" t="n">
        <f aca="false">MIN(1,'Model Inputs &amp; Assumptions'!$U$29*EXP('Model Inputs &amp; Assumptions'!$V$29*Q975-'Model Inputs &amp; Assumptions'!$V$29^2/2))</f>
        <v>0</v>
      </c>
      <c r="E975" s="45" t="n">
        <f aca="false">ROUND(C975*D975,0)</f>
        <v>0</v>
      </c>
      <c r="F975" s="47" t="n">
        <f aca="false">MIN(1,'Model Inputs &amp; Assumptions'!$W$29*EXP('Model Inputs &amp; Assumptions'!$X$29*R975-'Model Inputs &amp; Assumptions'!$X$29^2/2))</f>
        <v>0.00248722377539903</v>
      </c>
      <c r="G975" s="45" t="n">
        <f aca="false">ROUND(C975*F975,0)</f>
        <v>421</v>
      </c>
      <c r="H975" s="48" t="n">
        <f aca="false">MAX(0,(C975*'Model Inputs &amp; Assumptions'!$N$29+E975*'Model Inputs &amp; Assumptions'!$O$29+G975*'Model Inputs &amp; Assumptions'!$P$29)*EXP('Model Inputs &amp; Assumptions'!$Q$29*S975-'Model Inputs &amp; Assumptions'!$Q$29^2/2))</f>
        <v>27.0207140830888</v>
      </c>
      <c r="I975" s="49" t="n">
        <f aca="false">IF('Model Inputs &amp; Assumptions'!$H$29="Fixed",'Model Inputs &amp; Assumptions'!$I$29*'Model Inputs &amp; Assumptions'!$K$29,IF('Model Inputs &amp; Assumptions'!$H$29="CPM",'Model Inputs &amp; Assumptions'!$I$29*'Model Inputs &amp; Assumptions'!$K$29*C975/1000,IF('Model Inputs &amp; Assumptions'!$H$29="CPC",'Model Inputs &amp; Assumptions'!$I$29*'Model Inputs &amp; Assumptions'!$K$29*G975,0)))</f>
        <v>6500</v>
      </c>
      <c r="J975" s="50" t="n">
        <f aca="false">H975*INDEX('Model Inputs &amp; Assumptions'!$D$40:$D$42,MATCH('Model Inputs &amp; Assumptions'!$L$29,'Model Inputs &amp; Assumptions'!$A$40:$A$42,0))*INDEX('Model Inputs &amp; Assumptions'!$H$40:$H$42,MATCH('Model Inputs &amp; Assumptions'!$L$29,'Model Inputs &amp; Assumptions'!$A$40:$A$42,0))</f>
        <v>229676.069706254</v>
      </c>
      <c r="K975" s="49" t="n">
        <f aca="false">H975*INDEX('Model Inputs &amp; Assumptions'!$G$40:$G$42,MATCH('Model Inputs &amp; Assumptions'!$L$29,'Model Inputs &amp; Assumptions'!$A$40:$A$42,0))*INDEX('Model Inputs &amp; Assumptions'!$H$40:$H$42,MATCH('Model Inputs &amp; Assumptions'!$L$29,'Model Inputs &amp; Assumptions'!$A$40:$A$42,0))</f>
        <v>5167.71156839072</v>
      </c>
      <c r="L975" s="51" t="n">
        <f aca="false">IFERROR(K975/I975,0)</f>
        <v>0.795032548983188</v>
      </c>
      <c r="M975" s="49" t="n">
        <f aca="false">IFERROR(I975/H975,0)</f>
        <v>240.556188856167</v>
      </c>
      <c r="N975" s="52" t="str">
        <f aca="false">'Model Inputs &amp; Assumptions'!$L$29</f>
        <v>PRD-EUAI</v>
      </c>
      <c r="P975" s="53" t="n">
        <v>-0.601437</v>
      </c>
      <c r="Q975" s="53" t="n">
        <v>1.139002</v>
      </c>
      <c r="R975" s="53" t="n">
        <v>-0.560373</v>
      </c>
      <c r="S975" s="53" t="n">
        <v>0.982344</v>
      </c>
    </row>
    <row r="976" customFormat="false" ht="15" hidden="false" customHeight="false" outlineLevel="0" collapsed="false">
      <c r="A976" s="43" t="n">
        <v>473</v>
      </c>
      <c r="B976" s="44" t="str">
        <f aca="false">'Model Inputs &amp; Assumptions'!$B$29</f>
        <v>Handelsblatt — Native Explainer</v>
      </c>
      <c r="C976" s="45" t="n">
        <f aca="false">ROUND(MAX(0,'Model Inputs &amp; Assumptions'!$S$29*EXP('Model Inputs &amp; Assumptions'!$T$29*P976-'Model Inputs &amp; Assumptions'!$T$29^2/2)),0)</f>
        <v>180157</v>
      </c>
      <c r="D976" s="46" t="n">
        <f aca="false">MIN(1,'Model Inputs &amp; Assumptions'!$U$29*EXP('Model Inputs &amp; Assumptions'!$V$29*Q976-'Model Inputs &amp; Assumptions'!$V$29^2/2))</f>
        <v>0</v>
      </c>
      <c r="E976" s="45" t="n">
        <f aca="false">ROUND(C976*D976,0)</f>
        <v>0</v>
      </c>
      <c r="F976" s="47" t="n">
        <f aca="false">MIN(1,'Model Inputs &amp; Assumptions'!$W$29*EXP('Model Inputs &amp; Assumptions'!$X$29*R976-'Model Inputs &amp; Assumptions'!$X$29^2/2))</f>
        <v>0.00316071977581736</v>
      </c>
      <c r="G976" s="45" t="n">
        <f aca="false">ROUND(C976*F976,0)</f>
        <v>569</v>
      </c>
      <c r="H976" s="48" t="n">
        <f aca="false">MAX(0,(C976*'Model Inputs &amp; Assumptions'!$N$29+E976*'Model Inputs &amp; Assumptions'!$O$29+G976*'Model Inputs &amp; Assumptions'!$P$29)*EXP('Model Inputs &amp; Assumptions'!$Q$29*S976-'Model Inputs &amp; Assumptions'!$Q$29^2/2))</f>
        <v>53.5713151960437</v>
      </c>
      <c r="I976" s="49" t="n">
        <f aca="false">IF('Model Inputs &amp; Assumptions'!$H$29="Fixed",'Model Inputs &amp; Assumptions'!$I$29*'Model Inputs &amp; Assumptions'!$K$29,IF('Model Inputs &amp; Assumptions'!$H$29="CPM",'Model Inputs &amp; Assumptions'!$I$29*'Model Inputs &amp; Assumptions'!$K$29*C976/1000,IF('Model Inputs &amp; Assumptions'!$H$29="CPC",'Model Inputs &amp; Assumptions'!$I$29*'Model Inputs &amp; Assumptions'!$K$29*G976,0)))</f>
        <v>6500</v>
      </c>
      <c r="J976" s="50" t="n">
        <f aca="false">H976*INDEX('Model Inputs &amp; Assumptions'!$D$40:$D$42,MATCH('Model Inputs &amp; Assumptions'!$L$29,'Model Inputs &amp; Assumptions'!$A$40:$A$42,0))*INDEX('Model Inputs &amp; Assumptions'!$H$40:$H$42,MATCH('Model Inputs &amp; Assumptions'!$L$29,'Model Inputs &amp; Assumptions'!$A$40:$A$42,0))</f>
        <v>455356.179166371</v>
      </c>
      <c r="K976" s="49" t="n">
        <f aca="false">H976*INDEX('Model Inputs &amp; Assumptions'!$G$40:$G$42,MATCH('Model Inputs &amp; Assumptions'!$L$29,'Model Inputs &amp; Assumptions'!$A$40:$A$42,0))*INDEX('Model Inputs &amp; Assumptions'!$H$40:$H$42,MATCH('Model Inputs &amp; Assumptions'!$L$29,'Model Inputs &amp; Assumptions'!$A$40:$A$42,0))</f>
        <v>10245.5140312434</v>
      </c>
      <c r="L976" s="51" t="n">
        <f aca="false">IFERROR(K976/I976,0)</f>
        <v>1.57623292788359</v>
      </c>
      <c r="M976" s="49" t="n">
        <f aca="false">IFERROR(I976/H976,0)</f>
        <v>121.333590116526</v>
      </c>
      <c r="N976" s="52" t="str">
        <f aca="false">'Model Inputs &amp; Assumptions'!$L$29</f>
        <v>PRD-EUAI</v>
      </c>
      <c r="P976" s="53" t="n">
        <v>-0.319269</v>
      </c>
      <c r="Q976" s="53" t="n">
        <v>-1.455548</v>
      </c>
      <c r="R976" s="53" t="n">
        <v>0.361291</v>
      </c>
      <c r="S976" s="53" t="n">
        <v>2.259552</v>
      </c>
    </row>
    <row r="977" customFormat="false" ht="15" hidden="false" customHeight="false" outlineLevel="0" collapsed="false">
      <c r="A977" s="43" t="n">
        <v>474</v>
      </c>
      <c r="B977" s="44" t="str">
        <f aca="false">'Model Inputs &amp; Assumptions'!$B$29</f>
        <v>Handelsblatt — Native Explainer</v>
      </c>
      <c r="C977" s="45" t="n">
        <f aca="false">ROUND(MAX(0,'Model Inputs &amp; Assumptions'!$S$29*EXP('Model Inputs &amp; Assumptions'!$T$29*P977-'Model Inputs &amp; Assumptions'!$T$29^2/2)),0)</f>
        <v>249946</v>
      </c>
      <c r="D977" s="46" t="n">
        <f aca="false">MIN(1,'Model Inputs &amp; Assumptions'!$U$29*EXP('Model Inputs &amp; Assumptions'!$V$29*Q977-'Model Inputs &amp; Assumptions'!$V$29^2/2))</f>
        <v>0</v>
      </c>
      <c r="E977" s="45" t="n">
        <f aca="false">ROUND(C977*D977,0)</f>
        <v>0</v>
      </c>
      <c r="F977" s="47" t="n">
        <f aca="false">MIN(1,'Model Inputs &amp; Assumptions'!$W$29*EXP('Model Inputs &amp; Assumptions'!$X$29*R977-'Model Inputs &amp; Assumptions'!$X$29^2/2))</f>
        <v>0.0032261118122456</v>
      </c>
      <c r="G977" s="45" t="n">
        <f aca="false">ROUND(C977*F977,0)</f>
        <v>806</v>
      </c>
      <c r="H977" s="48" t="n">
        <f aca="false">MAX(0,(C977*'Model Inputs &amp; Assumptions'!$N$29+E977*'Model Inputs &amp; Assumptions'!$O$29+G977*'Model Inputs &amp; Assumptions'!$P$29)*EXP('Model Inputs &amp; Assumptions'!$Q$29*S977-'Model Inputs &amp; Assumptions'!$Q$29^2/2))</f>
        <v>35.7286243113401</v>
      </c>
      <c r="I977" s="49" t="n">
        <f aca="false">IF('Model Inputs &amp; Assumptions'!$H$29="Fixed",'Model Inputs &amp; Assumptions'!$I$29*'Model Inputs &amp; Assumptions'!$K$29,IF('Model Inputs &amp; Assumptions'!$H$29="CPM",'Model Inputs &amp; Assumptions'!$I$29*'Model Inputs &amp; Assumptions'!$K$29*C977/1000,IF('Model Inputs &amp; Assumptions'!$H$29="CPC",'Model Inputs &amp; Assumptions'!$I$29*'Model Inputs &amp; Assumptions'!$K$29*G977,0)))</f>
        <v>6500</v>
      </c>
      <c r="J977" s="50" t="n">
        <f aca="false">H977*INDEX('Model Inputs &amp; Assumptions'!$D$40:$D$42,MATCH('Model Inputs &amp; Assumptions'!$L$29,'Model Inputs &amp; Assumptions'!$A$40:$A$42,0))*INDEX('Model Inputs &amp; Assumptions'!$H$40:$H$42,MATCH('Model Inputs &amp; Assumptions'!$L$29,'Model Inputs &amp; Assumptions'!$A$40:$A$42,0))</f>
        <v>303693.306646391</v>
      </c>
      <c r="K977" s="49" t="n">
        <f aca="false">H977*INDEX('Model Inputs &amp; Assumptions'!$G$40:$G$42,MATCH('Model Inputs &amp; Assumptions'!$L$29,'Model Inputs &amp; Assumptions'!$A$40:$A$42,0))*INDEX('Model Inputs &amp; Assumptions'!$H$40:$H$42,MATCH('Model Inputs &amp; Assumptions'!$L$29,'Model Inputs &amp; Assumptions'!$A$40:$A$42,0))</f>
        <v>6833.0993995438</v>
      </c>
      <c r="L977" s="51" t="n">
        <f aca="false">IFERROR(K977/I977,0)</f>
        <v>1.05124606146828</v>
      </c>
      <c r="M977" s="49" t="n">
        <f aca="false">IFERROR(I977/H977,0)</f>
        <v>181.926959833629</v>
      </c>
      <c r="N977" s="52" t="str">
        <f aca="false">'Model Inputs &amp; Assumptions'!$L$29</f>
        <v>PRD-EUAI</v>
      </c>
      <c r="P977" s="53" t="n">
        <v>1.168998</v>
      </c>
      <c r="Q977" s="53" t="n">
        <v>0.874053</v>
      </c>
      <c r="R977" s="53" t="n">
        <v>0.440052</v>
      </c>
      <c r="S977" s="53" t="n">
        <v>-0.251331</v>
      </c>
    </row>
    <row r="978" customFormat="false" ht="15" hidden="false" customHeight="false" outlineLevel="0" collapsed="false">
      <c r="A978" s="43" t="n">
        <v>475</v>
      </c>
      <c r="B978" s="44" t="str">
        <f aca="false">'Model Inputs &amp; Assumptions'!$B$29</f>
        <v>Handelsblatt — Native Explainer</v>
      </c>
      <c r="C978" s="45" t="n">
        <f aca="false">ROUND(MAX(0,'Model Inputs &amp; Assumptions'!$S$29*EXP('Model Inputs &amp; Assumptions'!$T$29*P978-'Model Inputs &amp; Assumptions'!$T$29^2/2)),0)</f>
        <v>237042</v>
      </c>
      <c r="D978" s="46" t="n">
        <f aca="false">MIN(1,'Model Inputs &amp; Assumptions'!$U$29*EXP('Model Inputs &amp; Assumptions'!$V$29*Q978-'Model Inputs &amp; Assumptions'!$V$29^2/2))</f>
        <v>0</v>
      </c>
      <c r="E978" s="45" t="n">
        <f aca="false">ROUND(C978*D978,0)</f>
        <v>0</v>
      </c>
      <c r="F978" s="47" t="n">
        <f aca="false">MIN(1,'Model Inputs &amp; Assumptions'!$W$29*EXP('Model Inputs &amp; Assumptions'!$X$29*R978-'Model Inputs &amp; Assumptions'!$X$29^2/2))</f>
        <v>0.003853788917679</v>
      </c>
      <c r="G978" s="45" t="n">
        <f aca="false">ROUND(C978*F978,0)</f>
        <v>914</v>
      </c>
      <c r="H978" s="48" t="n">
        <f aca="false">MAX(0,(C978*'Model Inputs &amp; Assumptions'!$N$29+E978*'Model Inputs &amp; Assumptions'!$O$29+G978*'Model Inputs &amp; Assumptions'!$P$29)*EXP('Model Inputs &amp; Assumptions'!$Q$29*S978-'Model Inputs &amp; Assumptions'!$Q$29^2/2))</f>
        <v>43.2951793715737</v>
      </c>
      <c r="I978" s="49" t="n">
        <f aca="false">IF('Model Inputs &amp; Assumptions'!$H$29="Fixed",'Model Inputs &amp; Assumptions'!$I$29*'Model Inputs &amp; Assumptions'!$K$29,IF('Model Inputs &amp; Assumptions'!$H$29="CPM",'Model Inputs &amp; Assumptions'!$I$29*'Model Inputs &amp; Assumptions'!$K$29*C978/1000,IF('Model Inputs &amp; Assumptions'!$H$29="CPC",'Model Inputs &amp; Assumptions'!$I$29*'Model Inputs &amp; Assumptions'!$K$29*G978,0)))</f>
        <v>6500</v>
      </c>
      <c r="J978" s="50" t="n">
        <f aca="false">H978*INDEX('Model Inputs &amp; Assumptions'!$D$40:$D$42,MATCH('Model Inputs &amp; Assumptions'!$L$29,'Model Inputs &amp; Assumptions'!$A$40:$A$42,0))*INDEX('Model Inputs &amp; Assumptions'!$H$40:$H$42,MATCH('Model Inputs &amp; Assumptions'!$L$29,'Model Inputs &amp; Assumptions'!$A$40:$A$42,0))</f>
        <v>368009.024658376</v>
      </c>
      <c r="K978" s="49" t="n">
        <f aca="false">H978*INDEX('Model Inputs &amp; Assumptions'!$G$40:$G$42,MATCH('Model Inputs &amp; Assumptions'!$L$29,'Model Inputs &amp; Assumptions'!$A$40:$A$42,0))*INDEX('Model Inputs &amp; Assumptions'!$H$40:$H$42,MATCH('Model Inputs &amp; Assumptions'!$L$29,'Model Inputs &amp; Assumptions'!$A$40:$A$42,0))</f>
        <v>8280.20305481346</v>
      </c>
      <c r="L978" s="51" t="n">
        <f aca="false">IFERROR(K978/I978,0)</f>
        <v>1.27387739304822</v>
      </c>
      <c r="M978" s="49" t="n">
        <f aca="false">IFERROR(I978/H978,0)</f>
        <v>150.132187794277</v>
      </c>
      <c r="N978" s="52" t="str">
        <f aca="false">'Model Inputs &amp; Assumptions'!$L$29</f>
        <v>PRD-EUAI</v>
      </c>
      <c r="P978" s="53" t="n">
        <v>0.928051</v>
      </c>
      <c r="Q978" s="53" t="n">
        <v>-1.911264</v>
      </c>
      <c r="R978" s="53" t="n">
        <v>1.123818</v>
      </c>
      <c r="S978" s="53" t="n">
        <v>-0.03019</v>
      </c>
    </row>
    <row r="979" customFormat="false" ht="15" hidden="false" customHeight="false" outlineLevel="0" collapsed="false">
      <c r="A979" s="43" t="n">
        <v>476</v>
      </c>
      <c r="B979" s="44" t="str">
        <f aca="false">'Model Inputs &amp; Assumptions'!$B$29</f>
        <v>Handelsblatt — Native Explainer</v>
      </c>
      <c r="C979" s="45" t="n">
        <f aca="false">ROUND(MAX(0,'Model Inputs &amp; Assumptions'!$S$29*EXP('Model Inputs &amp; Assumptions'!$T$29*P979-'Model Inputs &amp; Assumptions'!$T$29^2/2)),0)</f>
        <v>187732</v>
      </c>
      <c r="D979" s="46" t="n">
        <f aca="false">MIN(1,'Model Inputs &amp; Assumptions'!$U$29*EXP('Model Inputs &amp; Assumptions'!$V$29*Q979-'Model Inputs &amp; Assumptions'!$V$29^2/2))</f>
        <v>0</v>
      </c>
      <c r="E979" s="45" t="n">
        <f aca="false">ROUND(C979*D979,0)</f>
        <v>0</v>
      </c>
      <c r="F979" s="47" t="n">
        <f aca="false">MIN(1,'Model Inputs &amp; Assumptions'!$W$29*EXP('Model Inputs &amp; Assumptions'!$X$29*R979-'Model Inputs &amp; Assumptions'!$X$29^2/2))</f>
        <v>0.00299922487060733</v>
      </c>
      <c r="G979" s="45" t="n">
        <f aca="false">ROUND(C979*F979,0)</f>
        <v>563</v>
      </c>
      <c r="H979" s="48" t="n">
        <f aca="false">MAX(0,(C979*'Model Inputs &amp; Assumptions'!$N$29+E979*'Model Inputs &amp; Assumptions'!$O$29+G979*'Model Inputs &amp; Assumptions'!$P$29)*EXP('Model Inputs &amp; Assumptions'!$Q$29*S979-'Model Inputs &amp; Assumptions'!$Q$29^2/2))</f>
        <v>42.3520257966515</v>
      </c>
      <c r="I979" s="49" t="n">
        <f aca="false">IF('Model Inputs &amp; Assumptions'!$H$29="Fixed",'Model Inputs &amp; Assumptions'!$I$29*'Model Inputs &amp; Assumptions'!$K$29,IF('Model Inputs &amp; Assumptions'!$H$29="CPM",'Model Inputs &amp; Assumptions'!$I$29*'Model Inputs &amp; Assumptions'!$K$29*C979/1000,IF('Model Inputs &amp; Assumptions'!$H$29="CPC",'Model Inputs &amp; Assumptions'!$I$29*'Model Inputs &amp; Assumptions'!$K$29*G979,0)))</f>
        <v>6500</v>
      </c>
      <c r="J979" s="50" t="n">
        <f aca="false">H979*INDEX('Model Inputs &amp; Assumptions'!$D$40:$D$42,MATCH('Model Inputs &amp; Assumptions'!$L$29,'Model Inputs &amp; Assumptions'!$A$40:$A$42,0))*INDEX('Model Inputs &amp; Assumptions'!$H$40:$H$42,MATCH('Model Inputs &amp; Assumptions'!$L$29,'Model Inputs &amp; Assumptions'!$A$40:$A$42,0))</f>
        <v>359992.219271537</v>
      </c>
      <c r="K979" s="49" t="n">
        <f aca="false">H979*INDEX('Model Inputs &amp; Assumptions'!$G$40:$G$42,MATCH('Model Inputs &amp; Assumptions'!$L$29,'Model Inputs &amp; Assumptions'!$A$40:$A$42,0))*INDEX('Model Inputs &amp; Assumptions'!$H$40:$H$42,MATCH('Model Inputs &amp; Assumptions'!$L$29,'Model Inputs &amp; Assumptions'!$A$40:$A$42,0))</f>
        <v>8099.82493360959</v>
      </c>
      <c r="L979" s="51" t="n">
        <f aca="false">IFERROR(K979/I979,0)</f>
        <v>1.24612691286301</v>
      </c>
      <c r="M979" s="49" t="n">
        <f aca="false">IFERROR(I979/H979,0)</f>
        <v>153.475539309714</v>
      </c>
      <c r="N979" s="52" t="str">
        <f aca="false">'Model Inputs &amp; Assumptions'!$L$29</f>
        <v>PRD-EUAI</v>
      </c>
      <c r="P979" s="53" t="n">
        <v>-0.132043</v>
      </c>
      <c r="Q979" s="53" t="n">
        <v>0.921263</v>
      </c>
      <c r="R979" s="53" t="n">
        <v>0.159576</v>
      </c>
      <c r="S979" s="53" t="n">
        <v>1.511563</v>
      </c>
    </row>
    <row r="980" customFormat="false" ht="15" hidden="false" customHeight="false" outlineLevel="0" collapsed="false">
      <c r="A980" s="43" t="n">
        <v>477</v>
      </c>
      <c r="B980" s="44" t="str">
        <f aca="false">'Model Inputs &amp; Assumptions'!$B$29</f>
        <v>Handelsblatt — Native Explainer</v>
      </c>
      <c r="C980" s="45" t="n">
        <f aca="false">ROUND(MAX(0,'Model Inputs &amp; Assumptions'!$S$29*EXP('Model Inputs &amp; Assumptions'!$T$29*P980-'Model Inputs &amp; Assumptions'!$T$29^2/2)),0)</f>
        <v>225051</v>
      </c>
      <c r="D980" s="46" t="n">
        <f aca="false">MIN(1,'Model Inputs &amp; Assumptions'!$U$29*EXP('Model Inputs &amp; Assumptions'!$V$29*Q980-'Model Inputs &amp; Assumptions'!$V$29^2/2))</f>
        <v>0</v>
      </c>
      <c r="E980" s="45" t="n">
        <f aca="false">ROUND(C980*D980,0)</f>
        <v>0</v>
      </c>
      <c r="F980" s="47" t="n">
        <f aca="false">MIN(1,'Model Inputs &amp; Assumptions'!$W$29*EXP('Model Inputs &amp; Assumptions'!$X$29*R980-'Model Inputs &amp; Assumptions'!$X$29^2/2))</f>
        <v>0.00150226558530422</v>
      </c>
      <c r="G980" s="45" t="n">
        <f aca="false">ROUND(C980*F980,0)</f>
        <v>338</v>
      </c>
      <c r="H980" s="48" t="n">
        <f aca="false">MAX(0,(C980*'Model Inputs &amp; Assumptions'!$N$29+E980*'Model Inputs &amp; Assumptions'!$O$29+G980*'Model Inputs &amp; Assumptions'!$P$29)*EXP('Model Inputs &amp; Assumptions'!$Q$29*S980-'Model Inputs &amp; Assumptions'!$Q$29^2/2))</f>
        <v>14.687252224327</v>
      </c>
      <c r="I980" s="49" t="n">
        <f aca="false">IF('Model Inputs &amp; Assumptions'!$H$29="Fixed",'Model Inputs &amp; Assumptions'!$I$29*'Model Inputs &amp; Assumptions'!$K$29,IF('Model Inputs &amp; Assumptions'!$H$29="CPM",'Model Inputs &amp; Assumptions'!$I$29*'Model Inputs &amp; Assumptions'!$K$29*C980/1000,IF('Model Inputs &amp; Assumptions'!$H$29="CPC",'Model Inputs &amp; Assumptions'!$I$29*'Model Inputs &amp; Assumptions'!$K$29*G980,0)))</f>
        <v>6500</v>
      </c>
      <c r="J980" s="50" t="n">
        <f aca="false">H980*INDEX('Model Inputs &amp; Assumptions'!$D$40:$D$42,MATCH('Model Inputs &amp; Assumptions'!$L$29,'Model Inputs &amp; Assumptions'!$A$40:$A$42,0))*INDEX('Model Inputs &amp; Assumptions'!$H$40:$H$42,MATCH('Model Inputs &amp; Assumptions'!$L$29,'Model Inputs &amp; Assumptions'!$A$40:$A$42,0))</f>
        <v>124841.64390678</v>
      </c>
      <c r="K980" s="49" t="n">
        <f aca="false">H980*INDEX('Model Inputs &amp; Assumptions'!$G$40:$G$42,MATCH('Model Inputs &amp; Assumptions'!$L$29,'Model Inputs &amp; Assumptions'!$A$40:$A$42,0))*INDEX('Model Inputs &amp; Assumptions'!$H$40:$H$42,MATCH('Model Inputs &amp; Assumptions'!$L$29,'Model Inputs &amp; Assumptions'!$A$40:$A$42,0))</f>
        <v>2808.93698790255</v>
      </c>
      <c r="L980" s="51" t="n">
        <f aca="false">IFERROR(K980/I980,0)</f>
        <v>0.432144151985007</v>
      </c>
      <c r="M980" s="49" t="n">
        <f aca="false">IFERROR(I980/H980,0)</f>
        <v>442.560657413768</v>
      </c>
      <c r="N980" s="52" t="str">
        <f aca="false">'Model Inputs &amp; Assumptions'!$L$29</f>
        <v>PRD-EUAI</v>
      </c>
      <c r="P980" s="53" t="n">
        <v>0.692083</v>
      </c>
      <c r="Q980" s="53" t="n">
        <v>-3.253803</v>
      </c>
      <c r="R980" s="53" t="n">
        <v>-2.499576</v>
      </c>
      <c r="S980" s="53" t="n">
        <v>-0.317779</v>
      </c>
    </row>
    <row r="981" customFormat="false" ht="15" hidden="false" customHeight="false" outlineLevel="0" collapsed="false">
      <c r="A981" s="43" t="n">
        <v>478</v>
      </c>
      <c r="B981" s="44" t="str">
        <f aca="false">'Model Inputs &amp; Assumptions'!$B$29</f>
        <v>Handelsblatt — Native Explainer</v>
      </c>
      <c r="C981" s="45" t="n">
        <f aca="false">ROUND(MAX(0,'Model Inputs &amp; Assumptions'!$S$29*EXP('Model Inputs &amp; Assumptions'!$T$29*P981-'Model Inputs &amp; Assumptions'!$T$29^2/2)),0)</f>
        <v>163473</v>
      </c>
      <c r="D981" s="46" t="n">
        <f aca="false">MIN(1,'Model Inputs &amp; Assumptions'!$U$29*EXP('Model Inputs &amp; Assumptions'!$V$29*Q981-'Model Inputs &amp; Assumptions'!$V$29^2/2))</f>
        <v>0</v>
      </c>
      <c r="E981" s="45" t="n">
        <f aca="false">ROUND(C981*D981,0)</f>
        <v>0</v>
      </c>
      <c r="F981" s="47" t="n">
        <f aca="false">MIN(1,'Model Inputs &amp; Assumptions'!$W$29*EXP('Model Inputs &amp; Assumptions'!$X$29*R981-'Model Inputs &amp; Assumptions'!$X$29^2/2))</f>
        <v>0.00361712951207437</v>
      </c>
      <c r="G981" s="45" t="n">
        <f aca="false">ROUND(C981*F981,0)</f>
        <v>591</v>
      </c>
      <c r="H981" s="48" t="n">
        <f aca="false">MAX(0,(C981*'Model Inputs &amp; Assumptions'!$N$29+E981*'Model Inputs &amp; Assumptions'!$O$29+G981*'Model Inputs &amp; Assumptions'!$P$29)*EXP('Model Inputs &amp; Assumptions'!$Q$29*S981-'Model Inputs &amp; Assumptions'!$Q$29^2/2))</f>
        <v>38.8144788730934</v>
      </c>
      <c r="I981" s="49" t="n">
        <f aca="false">IF('Model Inputs &amp; Assumptions'!$H$29="Fixed",'Model Inputs &amp; Assumptions'!$I$29*'Model Inputs &amp; Assumptions'!$K$29,IF('Model Inputs &amp; Assumptions'!$H$29="CPM",'Model Inputs &amp; Assumptions'!$I$29*'Model Inputs &amp; Assumptions'!$K$29*C981/1000,IF('Model Inputs &amp; Assumptions'!$H$29="CPC",'Model Inputs &amp; Assumptions'!$I$29*'Model Inputs &amp; Assumptions'!$K$29*G981,0)))</f>
        <v>6500</v>
      </c>
      <c r="J981" s="50" t="n">
        <f aca="false">H981*INDEX('Model Inputs &amp; Assumptions'!$D$40:$D$42,MATCH('Model Inputs &amp; Assumptions'!$L$29,'Model Inputs &amp; Assumptions'!$A$40:$A$42,0))*INDEX('Model Inputs &amp; Assumptions'!$H$40:$H$42,MATCH('Model Inputs &amp; Assumptions'!$L$29,'Model Inputs &amp; Assumptions'!$A$40:$A$42,0))</f>
        <v>329923.070421294</v>
      </c>
      <c r="K981" s="49" t="n">
        <f aca="false">H981*INDEX('Model Inputs &amp; Assumptions'!$G$40:$G$42,MATCH('Model Inputs &amp; Assumptions'!$L$29,'Model Inputs &amp; Assumptions'!$A$40:$A$42,0))*INDEX('Model Inputs &amp; Assumptions'!$H$40:$H$42,MATCH('Model Inputs &amp; Assumptions'!$L$29,'Model Inputs &amp; Assumptions'!$A$40:$A$42,0))</f>
        <v>7423.26908447912</v>
      </c>
      <c r="L981" s="51" t="n">
        <f aca="false">IFERROR(K981/I981,0)</f>
        <v>1.14204139761217</v>
      </c>
      <c r="M981" s="49" t="n">
        <f aca="false">IFERROR(I981/H981,0)</f>
        <v>167.463281453609</v>
      </c>
      <c r="N981" s="52" t="str">
        <f aca="false">'Model Inputs &amp; Assumptions'!$L$29</f>
        <v>PRD-EUAI</v>
      </c>
      <c r="P981" s="53" t="n">
        <v>-0.760984</v>
      </c>
      <c r="Q981" s="53" t="n">
        <v>-1.835008</v>
      </c>
      <c r="R981" s="53" t="n">
        <v>0.880064</v>
      </c>
      <c r="S981" s="53" t="n">
        <v>1.059032</v>
      </c>
    </row>
    <row r="982" customFormat="false" ht="15" hidden="false" customHeight="false" outlineLevel="0" collapsed="false">
      <c r="A982" s="43" t="n">
        <v>479</v>
      </c>
      <c r="B982" s="44" t="str">
        <f aca="false">'Model Inputs &amp; Assumptions'!$B$29</f>
        <v>Handelsblatt — Native Explainer</v>
      </c>
      <c r="C982" s="45" t="n">
        <f aca="false">ROUND(MAX(0,'Model Inputs &amp; Assumptions'!$S$29*EXP('Model Inputs &amp; Assumptions'!$T$29*P982-'Model Inputs &amp; Assumptions'!$T$29^2/2)),0)</f>
        <v>214967</v>
      </c>
      <c r="D982" s="46" t="n">
        <f aca="false">MIN(1,'Model Inputs &amp; Assumptions'!$U$29*EXP('Model Inputs &amp; Assumptions'!$V$29*Q982-'Model Inputs &amp; Assumptions'!$V$29^2/2))</f>
        <v>0</v>
      </c>
      <c r="E982" s="45" t="n">
        <f aca="false">ROUND(C982*D982,0)</f>
        <v>0</v>
      </c>
      <c r="F982" s="47" t="n">
        <f aca="false">MIN(1,'Model Inputs &amp; Assumptions'!$W$29*EXP('Model Inputs &amp; Assumptions'!$X$29*R982-'Model Inputs &amp; Assumptions'!$X$29^2/2))</f>
        <v>0.0021267331688503</v>
      </c>
      <c r="G982" s="45" t="n">
        <f aca="false">ROUND(C982*F982,0)</f>
        <v>457</v>
      </c>
      <c r="H982" s="48" t="n">
        <f aca="false">MAX(0,(C982*'Model Inputs &amp; Assumptions'!$N$29+E982*'Model Inputs &amp; Assumptions'!$O$29+G982*'Model Inputs &amp; Assumptions'!$P$29)*EXP('Model Inputs &amp; Assumptions'!$Q$29*S982-'Model Inputs &amp; Assumptions'!$Q$29^2/2))</f>
        <v>27.7475963199589</v>
      </c>
      <c r="I982" s="49" t="n">
        <f aca="false">IF('Model Inputs &amp; Assumptions'!$H$29="Fixed",'Model Inputs &amp; Assumptions'!$I$29*'Model Inputs &amp; Assumptions'!$K$29,IF('Model Inputs &amp; Assumptions'!$H$29="CPM",'Model Inputs &amp; Assumptions'!$I$29*'Model Inputs &amp; Assumptions'!$K$29*C982/1000,IF('Model Inputs &amp; Assumptions'!$H$29="CPC",'Model Inputs &amp; Assumptions'!$I$29*'Model Inputs &amp; Assumptions'!$K$29*G982,0)))</f>
        <v>6500</v>
      </c>
      <c r="J982" s="50" t="n">
        <f aca="false">H982*INDEX('Model Inputs &amp; Assumptions'!$D$40:$D$42,MATCH('Model Inputs &amp; Assumptions'!$L$29,'Model Inputs &amp; Assumptions'!$A$40:$A$42,0))*INDEX('Model Inputs &amp; Assumptions'!$H$40:$H$42,MATCH('Model Inputs &amp; Assumptions'!$L$29,'Model Inputs &amp; Assumptions'!$A$40:$A$42,0))</f>
        <v>235854.568719651</v>
      </c>
      <c r="K982" s="49" t="n">
        <f aca="false">H982*INDEX('Model Inputs &amp; Assumptions'!$G$40:$G$42,MATCH('Model Inputs &amp; Assumptions'!$L$29,'Model Inputs &amp; Assumptions'!$A$40:$A$42,0))*INDEX('Model Inputs &amp; Assumptions'!$H$40:$H$42,MATCH('Model Inputs &amp; Assumptions'!$L$29,'Model Inputs &amp; Assumptions'!$A$40:$A$42,0))</f>
        <v>5306.72779619215</v>
      </c>
      <c r="L982" s="51" t="n">
        <f aca="false">IFERROR(K982/I982,0)</f>
        <v>0.816419660952638</v>
      </c>
      <c r="M982" s="49" t="n">
        <f aca="false">IFERROR(I982/H982,0)</f>
        <v>234.254525150509</v>
      </c>
      <c r="N982" s="52" t="str">
        <f aca="false">'Model Inputs &amp; Assumptions'!$L$29</f>
        <v>PRD-EUAI</v>
      </c>
      <c r="P982" s="53" t="n">
        <v>0.483722</v>
      </c>
      <c r="Q982" s="53" t="n">
        <v>0.206149</v>
      </c>
      <c r="R982" s="53" t="n">
        <v>-1.162604</v>
      </c>
      <c r="S982" s="53" t="n">
        <v>0.797327</v>
      </c>
    </row>
    <row r="983" customFormat="false" ht="15" hidden="false" customHeight="false" outlineLevel="0" collapsed="false">
      <c r="A983" s="43" t="n">
        <v>480</v>
      </c>
      <c r="B983" s="44" t="str">
        <f aca="false">'Model Inputs &amp; Assumptions'!$B$29</f>
        <v>Handelsblatt — Native Explainer</v>
      </c>
      <c r="C983" s="45" t="n">
        <f aca="false">ROUND(MAX(0,'Model Inputs &amp; Assumptions'!$S$29*EXP('Model Inputs &amp; Assumptions'!$T$29*P983-'Model Inputs &amp; Assumptions'!$T$29^2/2)),0)</f>
        <v>253023</v>
      </c>
      <c r="D983" s="46" t="n">
        <f aca="false">MIN(1,'Model Inputs &amp; Assumptions'!$U$29*EXP('Model Inputs &amp; Assumptions'!$V$29*Q983-'Model Inputs &amp; Assumptions'!$V$29^2/2))</f>
        <v>0</v>
      </c>
      <c r="E983" s="45" t="n">
        <f aca="false">ROUND(C983*D983,0)</f>
        <v>0</v>
      </c>
      <c r="F983" s="47" t="n">
        <f aca="false">MIN(1,'Model Inputs &amp; Assumptions'!$W$29*EXP('Model Inputs &amp; Assumptions'!$X$29*R983-'Model Inputs &amp; Assumptions'!$X$29^2/2))</f>
        <v>0.00387391103009508</v>
      </c>
      <c r="G983" s="45" t="n">
        <f aca="false">ROUND(C983*F983,0)</f>
        <v>980</v>
      </c>
      <c r="H983" s="48" t="n">
        <f aca="false">MAX(0,(C983*'Model Inputs &amp; Assumptions'!$N$29+E983*'Model Inputs &amp; Assumptions'!$O$29+G983*'Model Inputs &amp; Assumptions'!$P$29)*EXP('Model Inputs &amp; Assumptions'!$Q$29*S983-'Model Inputs &amp; Assumptions'!$Q$29^2/2))</f>
        <v>37.3902583329492</v>
      </c>
      <c r="I983" s="49" t="n">
        <f aca="false">IF('Model Inputs &amp; Assumptions'!$H$29="Fixed",'Model Inputs &amp; Assumptions'!$I$29*'Model Inputs &amp; Assumptions'!$K$29,IF('Model Inputs &amp; Assumptions'!$H$29="CPM",'Model Inputs &amp; Assumptions'!$I$29*'Model Inputs &amp; Assumptions'!$K$29*C983/1000,IF('Model Inputs &amp; Assumptions'!$H$29="CPC",'Model Inputs &amp; Assumptions'!$I$29*'Model Inputs &amp; Assumptions'!$K$29*G983,0)))</f>
        <v>6500</v>
      </c>
      <c r="J983" s="50" t="n">
        <f aca="false">H983*INDEX('Model Inputs &amp; Assumptions'!$D$40:$D$42,MATCH('Model Inputs &amp; Assumptions'!$L$29,'Model Inputs &amp; Assumptions'!$A$40:$A$42,0))*INDEX('Model Inputs &amp; Assumptions'!$H$40:$H$42,MATCH('Model Inputs &amp; Assumptions'!$L$29,'Model Inputs &amp; Assumptions'!$A$40:$A$42,0))</f>
        <v>317817.195830068</v>
      </c>
      <c r="K983" s="49" t="n">
        <f aca="false">H983*INDEX('Model Inputs &amp; Assumptions'!$G$40:$G$42,MATCH('Model Inputs &amp; Assumptions'!$L$29,'Model Inputs &amp; Assumptions'!$A$40:$A$42,0))*INDEX('Model Inputs &amp; Assumptions'!$H$40:$H$42,MATCH('Model Inputs &amp; Assumptions'!$L$29,'Model Inputs &amp; Assumptions'!$A$40:$A$42,0))</f>
        <v>7150.88690617654</v>
      </c>
      <c r="L983" s="51" t="n">
        <f aca="false">IFERROR(K983/I983,0)</f>
        <v>1.10013644710408</v>
      </c>
      <c r="M983" s="49" t="n">
        <f aca="false">IFERROR(I983/H983,0)</f>
        <v>173.842072502399</v>
      </c>
      <c r="N983" s="52" t="str">
        <f aca="false">'Model Inputs &amp; Assumptions'!$L$29</f>
        <v>PRD-EUAI</v>
      </c>
      <c r="P983" s="53" t="n">
        <v>1.224603</v>
      </c>
      <c r="Q983" s="53" t="n">
        <v>-0.06716</v>
      </c>
      <c r="R983" s="53" t="n">
        <v>1.143848</v>
      </c>
      <c r="S983" s="53" t="n">
        <v>-0.751367</v>
      </c>
    </row>
    <row r="984" customFormat="false" ht="15" hidden="false" customHeight="false" outlineLevel="0" collapsed="false">
      <c r="A984" s="43" t="n">
        <v>481</v>
      </c>
      <c r="B984" s="44" t="str">
        <f aca="false">'Model Inputs &amp; Assumptions'!$B$29</f>
        <v>Handelsblatt — Native Explainer</v>
      </c>
      <c r="C984" s="45" t="n">
        <f aca="false">ROUND(MAX(0,'Model Inputs &amp; Assumptions'!$S$29*EXP('Model Inputs &amp; Assumptions'!$T$29*P984-'Model Inputs &amp; Assumptions'!$T$29^2/2)),0)</f>
        <v>119151</v>
      </c>
      <c r="D984" s="46" t="n">
        <f aca="false">MIN(1,'Model Inputs &amp; Assumptions'!$U$29*EXP('Model Inputs &amp; Assumptions'!$V$29*Q984-'Model Inputs &amp; Assumptions'!$V$29^2/2))</f>
        <v>0</v>
      </c>
      <c r="E984" s="45" t="n">
        <f aca="false">ROUND(C984*D984,0)</f>
        <v>0</v>
      </c>
      <c r="F984" s="47" t="n">
        <f aca="false">MIN(1,'Model Inputs &amp; Assumptions'!$W$29*EXP('Model Inputs &amp; Assumptions'!$X$29*R984-'Model Inputs &amp; Assumptions'!$X$29^2/2))</f>
        <v>0.00294104346608685</v>
      </c>
      <c r="G984" s="45" t="n">
        <f aca="false">ROUND(C984*F984,0)</f>
        <v>350</v>
      </c>
      <c r="H984" s="48" t="n">
        <f aca="false">MAX(0,(C984*'Model Inputs &amp; Assumptions'!$N$29+E984*'Model Inputs &amp; Assumptions'!$O$29+G984*'Model Inputs &amp; Assumptions'!$P$29)*EXP('Model Inputs &amp; Assumptions'!$Q$29*S984-'Model Inputs &amp; Assumptions'!$Q$29^2/2))</f>
        <v>12.5835207496694</v>
      </c>
      <c r="I984" s="49" t="n">
        <f aca="false">IF('Model Inputs &amp; Assumptions'!$H$29="Fixed",'Model Inputs &amp; Assumptions'!$I$29*'Model Inputs &amp; Assumptions'!$K$29,IF('Model Inputs &amp; Assumptions'!$H$29="CPM",'Model Inputs &amp; Assumptions'!$I$29*'Model Inputs &amp; Assumptions'!$K$29*C984/1000,IF('Model Inputs &amp; Assumptions'!$H$29="CPC",'Model Inputs &amp; Assumptions'!$I$29*'Model Inputs &amp; Assumptions'!$K$29*G984,0)))</f>
        <v>6500</v>
      </c>
      <c r="J984" s="50" t="n">
        <f aca="false">H984*INDEX('Model Inputs &amp; Assumptions'!$D$40:$D$42,MATCH('Model Inputs &amp; Assumptions'!$L$29,'Model Inputs &amp; Assumptions'!$A$40:$A$42,0))*INDEX('Model Inputs &amp; Assumptions'!$H$40:$H$42,MATCH('Model Inputs &amp; Assumptions'!$L$29,'Model Inputs &amp; Assumptions'!$A$40:$A$42,0))</f>
        <v>106959.92637219</v>
      </c>
      <c r="K984" s="49" t="n">
        <f aca="false">H984*INDEX('Model Inputs &amp; Assumptions'!$G$40:$G$42,MATCH('Model Inputs &amp; Assumptions'!$L$29,'Model Inputs &amp; Assumptions'!$A$40:$A$42,0))*INDEX('Model Inputs &amp; Assumptions'!$H$40:$H$42,MATCH('Model Inputs &amp; Assumptions'!$L$29,'Model Inputs &amp; Assumptions'!$A$40:$A$42,0))</f>
        <v>2406.59834337427</v>
      </c>
      <c r="L984" s="51" t="n">
        <f aca="false">IFERROR(K984/I984,0)</f>
        <v>0.370245898980656</v>
      </c>
      <c r="M984" s="49" t="n">
        <f aca="false">IFERROR(I984/H984,0)</f>
        <v>516.548597908959</v>
      </c>
      <c r="N984" s="52" t="str">
        <f aca="false">'Model Inputs &amp; Assumptions'!$L$29</f>
        <v>PRD-EUAI</v>
      </c>
      <c r="P984" s="53" t="n">
        <v>-2.198535</v>
      </c>
      <c r="Q984" s="53" t="n">
        <v>0.419215</v>
      </c>
      <c r="R984" s="53" t="n">
        <v>0.084232</v>
      </c>
      <c r="S984" s="53" t="n">
        <v>-0.949376</v>
      </c>
    </row>
    <row r="985" customFormat="false" ht="15" hidden="false" customHeight="false" outlineLevel="0" collapsed="false">
      <c r="A985" s="43" t="n">
        <v>482</v>
      </c>
      <c r="B985" s="44" t="str">
        <f aca="false">'Model Inputs &amp; Assumptions'!$B$29</f>
        <v>Handelsblatt — Native Explainer</v>
      </c>
      <c r="C985" s="45" t="n">
        <f aca="false">ROUND(MAX(0,'Model Inputs &amp; Assumptions'!$S$29*EXP('Model Inputs &amp; Assumptions'!$T$29*P985-'Model Inputs &amp; Assumptions'!$T$29^2/2)),0)</f>
        <v>202892</v>
      </c>
      <c r="D985" s="46" t="n">
        <f aca="false">MIN(1,'Model Inputs &amp; Assumptions'!$U$29*EXP('Model Inputs &amp; Assumptions'!$V$29*Q985-'Model Inputs &amp; Assumptions'!$V$29^2/2))</f>
        <v>0</v>
      </c>
      <c r="E985" s="45" t="n">
        <f aca="false">ROUND(C985*D985,0)</f>
        <v>0</v>
      </c>
      <c r="F985" s="47" t="n">
        <f aca="false">MIN(1,'Model Inputs &amp; Assumptions'!$W$29*EXP('Model Inputs &amp; Assumptions'!$X$29*R985-'Model Inputs &amp; Assumptions'!$X$29^2/2))</f>
        <v>0.00466559344682783</v>
      </c>
      <c r="G985" s="45" t="n">
        <f aca="false">ROUND(C985*F985,0)</f>
        <v>947</v>
      </c>
      <c r="H985" s="48" t="n">
        <f aca="false">MAX(0,(C985*'Model Inputs &amp; Assumptions'!$N$29+E985*'Model Inputs &amp; Assumptions'!$O$29+G985*'Model Inputs &amp; Assumptions'!$P$29)*EXP('Model Inputs &amp; Assumptions'!$Q$29*S985-'Model Inputs &amp; Assumptions'!$Q$29^2/2))</f>
        <v>65.2572218408864</v>
      </c>
      <c r="I985" s="49" t="n">
        <f aca="false">IF('Model Inputs &amp; Assumptions'!$H$29="Fixed",'Model Inputs &amp; Assumptions'!$I$29*'Model Inputs &amp; Assumptions'!$K$29,IF('Model Inputs &amp; Assumptions'!$H$29="CPM",'Model Inputs &amp; Assumptions'!$I$29*'Model Inputs &amp; Assumptions'!$K$29*C985/1000,IF('Model Inputs &amp; Assumptions'!$H$29="CPC",'Model Inputs &amp; Assumptions'!$I$29*'Model Inputs &amp; Assumptions'!$K$29*G985,0)))</f>
        <v>6500</v>
      </c>
      <c r="J985" s="50" t="n">
        <f aca="false">H985*INDEX('Model Inputs &amp; Assumptions'!$D$40:$D$42,MATCH('Model Inputs &amp; Assumptions'!$L$29,'Model Inputs &amp; Assumptions'!$A$40:$A$42,0))*INDEX('Model Inputs &amp; Assumptions'!$H$40:$H$42,MATCH('Model Inputs &amp; Assumptions'!$L$29,'Model Inputs &amp; Assumptions'!$A$40:$A$42,0))</f>
        <v>554686.385647534</v>
      </c>
      <c r="K985" s="49" t="n">
        <f aca="false">H985*INDEX('Model Inputs &amp; Assumptions'!$G$40:$G$42,MATCH('Model Inputs &amp; Assumptions'!$L$29,'Model Inputs &amp; Assumptions'!$A$40:$A$42,0))*INDEX('Model Inputs &amp; Assumptions'!$H$40:$H$42,MATCH('Model Inputs &amp; Assumptions'!$L$29,'Model Inputs &amp; Assumptions'!$A$40:$A$42,0))</f>
        <v>12480.4436770695</v>
      </c>
      <c r="L985" s="51" t="n">
        <f aca="false">IFERROR(K985/I985,0)</f>
        <v>1.9200682580107</v>
      </c>
      <c r="M985" s="49" t="n">
        <f aca="false">IFERROR(I985/H985,0)</f>
        <v>99.6058339082936</v>
      </c>
      <c r="N985" s="52" t="str">
        <f aca="false">'Model Inputs &amp; Assumptions'!$L$29</f>
        <v>PRD-EUAI</v>
      </c>
      <c r="P985" s="53" t="n">
        <v>0.220931</v>
      </c>
      <c r="Q985" s="53" t="n">
        <v>-0.474589</v>
      </c>
      <c r="R985" s="53" t="n">
        <v>1.859042</v>
      </c>
      <c r="S985" s="53" t="n">
        <v>1.219233</v>
      </c>
    </row>
    <row r="986" customFormat="false" ht="15" hidden="false" customHeight="false" outlineLevel="0" collapsed="false">
      <c r="A986" s="43" t="n">
        <v>483</v>
      </c>
      <c r="B986" s="44" t="str">
        <f aca="false">'Model Inputs &amp; Assumptions'!$B$29</f>
        <v>Handelsblatt — Native Explainer</v>
      </c>
      <c r="C986" s="45" t="n">
        <f aca="false">ROUND(MAX(0,'Model Inputs &amp; Assumptions'!$S$29*EXP('Model Inputs &amp; Assumptions'!$T$29*P986-'Model Inputs &amp; Assumptions'!$T$29^2/2)),0)</f>
        <v>167846</v>
      </c>
      <c r="D986" s="46" t="n">
        <f aca="false">MIN(1,'Model Inputs &amp; Assumptions'!$U$29*EXP('Model Inputs &amp; Assumptions'!$V$29*Q986-'Model Inputs &amp; Assumptions'!$V$29^2/2))</f>
        <v>0</v>
      </c>
      <c r="E986" s="45" t="n">
        <f aca="false">ROUND(C986*D986,0)</f>
        <v>0</v>
      </c>
      <c r="F986" s="47" t="n">
        <f aca="false">MIN(1,'Model Inputs &amp; Assumptions'!$W$29*EXP('Model Inputs &amp; Assumptions'!$X$29*R986-'Model Inputs &amp; Assumptions'!$X$29^2/2))</f>
        <v>0.00284755502129262</v>
      </c>
      <c r="G986" s="45" t="n">
        <f aca="false">ROUND(C986*F986,0)</f>
        <v>478</v>
      </c>
      <c r="H986" s="48" t="n">
        <f aca="false">MAX(0,(C986*'Model Inputs &amp; Assumptions'!$N$29+E986*'Model Inputs &amp; Assumptions'!$O$29+G986*'Model Inputs &amp; Assumptions'!$P$29)*EXP('Model Inputs &amp; Assumptions'!$Q$29*S986-'Model Inputs &amp; Assumptions'!$Q$29^2/2))</f>
        <v>32.2629805177927</v>
      </c>
      <c r="I986" s="49" t="n">
        <f aca="false">IF('Model Inputs &amp; Assumptions'!$H$29="Fixed",'Model Inputs &amp; Assumptions'!$I$29*'Model Inputs &amp; Assumptions'!$K$29,IF('Model Inputs &amp; Assumptions'!$H$29="CPM",'Model Inputs &amp; Assumptions'!$I$29*'Model Inputs &amp; Assumptions'!$K$29*C986/1000,IF('Model Inputs &amp; Assumptions'!$H$29="CPC",'Model Inputs &amp; Assumptions'!$I$29*'Model Inputs &amp; Assumptions'!$K$29*G986,0)))</f>
        <v>6500</v>
      </c>
      <c r="J986" s="50" t="n">
        <f aca="false">H986*INDEX('Model Inputs &amp; Assumptions'!$D$40:$D$42,MATCH('Model Inputs &amp; Assumptions'!$L$29,'Model Inputs &amp; Assumptions'!$A$40:$A$42,0))*INDEX('Model Inputs &amp; Assumptions'!$H$40:$H$42,MATCH('Model Inputs &amp; Assumptions'!$L$29,'Model Inputs &amp; Assumptions'!$A$40:$A$42,0))</f>
        <v>274235.334401238</v>
      </c>
      <c r="K986" s="49" t="n">
        <f aca="false">H986*INDEX('Model Inputs &amp; Assumptions'!$G$40:$G$42,MATCH('Model Inputs &amp; Assumptions'!$L$29,'Model Inputs &amp; Assumptions'!$A$40:$A$42,0))*INDEX('Model Inputs &amp; Assumptions'!$H$40:$H$42,MATCH('Model Inputs &amp; Assumptions'!$L$29,'Model Inputs &amp; Assumptions'!$A$40:$A$42,0))</f>
        <v>6170.29502402785</v>
      </c>
      <c r="L986" s="51" t="n">
        <f aca="false">IFERROR(K986/I986,0)</f>
        <v>0.949276157542746</v>
      </c>
      <c r="M986" s="49" t="n">
        <f aca="false">IFERROR(I986/H986,0)</f>
        <v>201.469296874643</v>
      </c>
      <c r="N986" s="52" t="str">
        <f aca="false">'Model Inputs &amp; Assumptions'!$L$29</f>
        <v>PRD-EUAI</v>
      </c>
      <c r="P986" s="53" t="n">
        <v>-0.641002</v>
      </c>
      <c r="Q986" s="53" t="n">
        <v>0.856731</v>
      </c>
      <c r="R986" s="53" t="n">
        <v>-0.040013</v>
      </c>
      <c r="S986" s="53" t="n">
        <v>1.15014</v>
      </c>
    </row>
    <row r="987" customFormat="false" ht="15" hidden="false" customHeight="false" outlineLevel="0" collapsed="false">
      <c r="A987" s="43" t="n">
        <v>484</v>
      </c>
      <c r="B987" s="44" t="str">
        <f aca="false">'Model Inputs &amp; Assumptions'!$B$29</f>
        <v>Handelsblatt — Native Explainer</v>
      </c>
      <c r="C987" s="45" t="n">
        <f aca="false">ROUND(MAX(0,'Model Inputs &amp; Assumptions'!$S$29*EXP('Model Inputs &amp; Assumptions'!$T$29*P987-'Model Inputs &amp; Assumptions'!$T$29^2/2)),0)</f>
        <v>272747</v>
      </c>
      <c r="D987" s="46" t="n">
        <f aca="false">MIN(1,'Model Inputs &amp; Assumptions'!$U$29*EXP('Model Inputs &amp; Assumptions'!$V$29*Q987-'Model Inputs &amp; Assumptions'!$V$29^2/2))</f>
        <v>0</v>
      </c>
      <c r="E987" s="45" t="n">
        <f aca="false">ROUND(C987*D987,0)</f>
        <v>0</v>
      </c>
      <c r="F987" s="47" t="n">
        <f aca="false">MIN(1,'Model Inputs &amp; Assumptions'!$W$29*EXP('Model Inputs &amp; Assumptions'!$X$29*R987-'Model Inputs &amp; Assumptions'!$X$29^2/2))</f>
        <v>0.00228734797929172</v>
      </c>
      <c r="G987" s="45" t="n">
        <f aca="false">ROUND(C987*F987,0)</f>
        <v>624</v>
      </c>
      <c r="H987" s="48" t="n">
        <f aca="false">MAX(0,(C987*'Model Inputs &amp; Assumptions'!$N$29+E987*'Model Inputs &amp; Assumptions'!$O$29+G987*'Model Inputs &amp; Assumptions'!$P$29)*EXP('Model Inputs &amp; Assumptions'!$Q$29*S987-'Model Inputs &amp; Assumptions'!$Q$29^2/2))</f>
        <v>45.0576731531788</v>
      </c>
      <c r="I987" s="49" t="n">
        <f aca="false">IF('Model Inputs &amp; Assumptions'!$H$29="Fixed",'Model Inputs &amp; Assumptions'!$I$29*'Model Inputs &amp; Assumptions'!$K$29,IF('Model Inputs &amp; Assumptions'!$H$29="CPM",'Model Inputs &amp; Assumptions'!$I$29*'Model Inputs &amp; Assumptions'!$K$29*C987/1000,IF('Model Inputs &amp; Assumptions'!$H$29="CPC",'Model Inputs &amp; Assumptions'!$I$29*'Model Inputs &amp; Assumptions'!$K$29*G987,0)))</f>
        <v>6500</v>
      </c>
      <c r="J987" s="50" t="n">
        <f aca="false">H987*INDEX('Model Inputs &amp; Assumptions'!$D$40:$D$42,MATCH('Model Inputs &amp; Assumptions'!$L$29,'Model Inputs &amp; Assumptions'!$A$40:$A$42,0))*INDEX('Model Inputs &amp; Assumptions'!$H$40:$H$42,MATCH('Model Inputs &amp; Assumptions'!$L$29,'Model Inputs &amp; Assumptions'!$A$40:$A$42,0))</f>
        <v>382990.22180202</v>
      </c>
      <c r="K987" s="49" t="n">
        <f aca="false">H987*INDEX('Model Inputs &amp; Assumptions'!$G$40:$G$42,MATCH('Model Inputs &amp; Assumptions'!$L$29,'Model Inputs &amp; Assumptions'!$A$40:$A$42,0))*INDEX('Model Inputs &amp; Assumptions'!$H$40:$H$42,MATCH('Model Inputs &amp; Assumptions'!$L$29,'Model Inputs &amp; Assumptions'!$A$40:$A$42,0))</f>
        <v>8617.27999054545</v>
      </c>
      <c r="L987" s="51" t="n">
        <f aca="false">IFERROR(K987/I987,0)</f>
        <v>1.32573538316084</v>
      </c>
      <c r="M987" s="49" t="n">
        <f aca="false">IFERROR(I987/H987,0)</f>
        <v>144.259557698474</v>
      </c>
      <c r="N987" s="52" t="str">
        <f aca="false">'Model Inputs &amp; Assumptions'!$L$29</f>
        <v>PRD-EUAI</v>
      </c>
      <c r="P987" s="53" t="n">
        <v>1.565806</v>
      </c>
      <c r="Q987" s="53" t="n">
        <v>-0.908278</v>
      </c>
      <c r="R987" s="53" t="n">
        <v>-0.882581</v>
      </c>
      <c r="S987" s="53" t="n">
        <v>1.375084</v>
      </c>
    </row>
    <row r="988" customFormat="false" ht="15" hidden="false" customHeight="false" outlineLevel="0" collapsed="false">
      <c r="A988" s="43" t="n">
        <v>485</v>
      </c>
      <c r="B988" s="44" t="str">
        <f aca="false">'Model Inputs &amp; Assumptions'!$B$29</f>
        <v>Handelsblatt — Native Explainer</v>
      </c>
      <c r="C988" s="45" t="n">
        <f aca="false">ROUND(MAX(0,'Model Inputs &amp; Assumptions'!$S$29*EXP('Model Inputs &amp; Assumptions'!$T$29*P988-'Model Inputs &amp; Assumptions'!$T$29^2/2)),0)</f>
        <v>219020</v>
      </c>
      <c r="D988" s="46" t="n">
        <f aca="false">MIN(1,'Model Inputs &amp; Assumptions'!$U$29*EXP('Model Inputs &amp; Assumptions'!$V$29*Q988-'Model Inputs &amp; Assumptions'!$V$29^2/2))</f>
        <v>0</v>
      </c>
      <c r="E988" s="45" t="n">
        <f aca="false">ROUND(C988*D988,0)</f>
        <v>0</v>
      </c>
      <c r="F988" s="47" t="n">
        <f aca="false">MIN(1,'Model Inputs &amp; Assumptions'!$W$29*EXP('Model Inputs &amp; Assumptions'!$X$29*R988-'Model Inputs &amp; Assumptions'!$X$29^2/2))</f>
        <v>0.00227100748453685</v>
      </c>
      <c r="G988" s="45" t="n">
        <f aca="false">ROUND(C988*F988,0)</f>
        <v>497</v>
      </c>
      <c r="H988" s="48" t="n">
        <f aca="false">MAX(0,(C988*'Model Inputs &amp; Assumptions'!$N$29+E988*'Model Inputs &amp; Assumptions'!$O$29+G988*'Model Inputs &amp; Assumptions'!$P$29)*EXP('Model Inputs &amp; Assumptions'!$Q$29*S988-'Model Inputs &amp; Assumptions'!$Q$29^2/2))</f>
        <v>30.9468387245619</v>
      </c>
      <c r="I988" s="49" t="n">
        <f aca="false">IF('Model Inputs &amp; Assumptions'!$H$29="Fixed",'Model Inputs &amp; Assumptions'!$I$29*'Model Inputs &amp; Assumptions'!$K$29,IF('Model Inputs &amp; Assumptions'!$H$29="CPM",'Model Inputs &amp; Assumptions'!$I$29*'Model Inputs &amp; Assumptions'!$K$29*C988/1000,IF('Model Inputs &amp; Assumptions'!$H$29="CPC",'Model Inputs &amp; Assumptions'!$I$29*'Model Inputs &amp; Assumptions'!$K$29*G988,0)))</f>
        <v>6500</v>
      </c>
      <c r="J988" s="50" t="n">
        <f aca="false">H988*INDEX('Model Inputs &amp; Assumptions'!$D$40:$D$42,MATCH('Model Inputs &amp; Assumptions'!$L$29,'Model Inputs &amp; Assumptions'!$A$40:$A$42,0))*INDEX('Model Inputs &amp; Assumptions'!$H$40:$H$42,MATCH('Model Inputs &amp; Assumptions'!$L$29,'Model Inputs &amp; Assumptions'!$A$40:$A$42,0))</f>
        <v>263048.129158776</v>
      </c>
      <c r="K988" s="49" t="n">
        <f aca="false">H988*INDEX('Model Inputs &amp; Assumptions'!$G$40:$G$42,MATCH('Model Inputs &amp; Assumptions'!$L$29,'Model Inputs &amp; Assumptions'!$A$40:$A$42,0))*INDEX('Model Inputs &amp; Assumptions'!$H$40:$H$42,MATCH('Model Inputs &amp; Assumptions'!$L$29,'Model Inputs &amp; Assumptions'!$A$40:$A$42,0))</f>
        <v>5918.58290607247</v>
      </c>
      <c r="L988" s="51" t="n">
        <f aca="false">IFERROR(K988/I988,0)</f>
        <v>0.910551216318841</v>
      </c>
      <c r="M988" s="49" t="n">
        <f aca="false">IFERROR(I988/H988,0)</f>
        <v>210.037608618197</v>
      </c>
      <c r="N988" s="52" t="str">
        <f aca="false">'Model Inputs &amp; Assumptions'!$L$29</f>
        <v>PRD-EUAI</v>
      </c>
      <c r="P988" s="53" t="n">
        <v>0.568617</v>
      </c>
      <c r="Q988" s="53" t="n">
        <v>1.941275</v>
      </c>
      <c r="R988" s="53" t="n">
        <v>-0.910156</v>
      </c>
      <c r="S988" s="53" t="n">
        <v>0.881377</v>
      </c>
    </row>
    <row r="989" customFormat="false" ht="15" hidden="false" customHeight="false" outlineLevel="0" collapsed="false">
      <c r="A989" s="43" t="n">
        <v>486</v>
      </c>
      <c r="B989" s="44" t="str">
        <f aca="false">'Model Inputs &amp; Assumptions'!$B$29</f>
        <v>Handelsblatt — Native Explainer</v>
      </c>
      <c r="C989" s="45" t="n">
        <f aca="false">ROUND(MAX(0,'Model Inputs &amp; Assumptions'!$S$29*EXP('Model Inputs &amp; Assumptions'!$T$29*P989-'Model Inputs &amp; Assumptions'!$T$29^2/2)),0)</f>
        <v>157283</v>
      </c>
      <c r="D989" s="46" t="n">
        <f aca="false">MIN(1,'Model Inputs &amp; Assumptions'!$U$29*EXP('Model Inputs &amp; Assumptions'!$V$29*Q989-'Model Inputs &amp; Assumptions'!$V$29^2/2))</f>
        <v>0</v>
      </c>
      <c r="E989" s="45" t="n">
        <f aca="false">ROUND(C989*D989,0)</f>
        <v>0</v>
      </c>
      <c r="F989" s="47" t="n">
        <f aca="false">MIN(1,'Model Inputs &amp; Assumptions'!$W$29*EXP('Model Inputs &amp; Assumptions'!$X$29*R989-'Model Inputs &amp; Assumptions'!$X$29^2/2))</f>
        <v>0.00273252059698054</v>
      </c>
      <c r="G989" s="45" t="n">
        <f aca="false">ROUND(C989*F989,0)</f>
        <v>430</v>
      </c>
      <c r="H989" s="48" t="n">
        <f aca="false">MAX(0,(C989*'Model Inputs &amp; Assumptions'!$N$29+E989*'Model Inputs &amp; Assumptions'!$O$29+G989*'Model Inputs &amp; Assumptions'!$P$29)*EXP('Model Inputs &amp; Assumptions'!$Q$29*S989-'Model Inputs &amp; Assumptions'!$Q$29^2/2))</f>
        <v>24.3113965719577</v>
      </c>
      <c r="I989" s="49" t="n">
        <f aca="false">IF('Model Inputs &amp; Assumptions'!$H$29="Fixed",'Model Inputs &amp; Assumptions'!$I$29*'Model Inputs &amp; Assumptions'!$K$29,IF('Model Inputs &amp; Assumptions'!$H$29="CPM",'Model Inputs &amp; Assumptions'!$I$29*'Model Inputs &amp; Assumptions'!$K$29*C989/1000,IF('Model Inputs &amp; Assumptions'!$H$29="CPC",'Model Inputs &amp; Assumptions'!$I$29*'Model Inputs &amp; Assumptions'!$K$29*G989,0)))</f>
        <v>6500</v>
      </c>
      <c r="J989" s="50" t="n">
        <f aca="false">H989*INDEX('Model Inputs &amp; Assumptions'!$D$40:$D$42,MATCH('Model Inputs &amp; Assumptions'!$L$29,'Model Inputs &amp; Assumptions'!$A$40:$A$42,0))*INDEX('Model Inputs &amp; Assumptions'!$H$40:$H$42,MATCH('Model Inputs &amp; Assumptions'!$L$29,'Model Inputs &amp; Assumptions'!$A$40:$A$42,0))</f>
        <v>206646.87086164</v>
      </c>
      <c r="K989" s="49" t="n">
        <f aca="false">H989*INDEX('Model Inputs &amp; Assumptions'!$G$40:$G$42,MATCH('Model Inputs &amp; Assumptions'!$L$29,'Model Inputs &amp; Assumptions'!$A$40:$A$42,0))*INDEX('Model Inputs &amp; Assumptions'!$H$40:$H$42,MATCH('Model Inputs &amp; Assumptions'!$L$29,'Model Inputs &amp; Assumptions'!$A$40:$A$42,0))</f>
        <v>4649.55459438691</v>
      </c>
      <c r="L989" s="51" t="n">
        <f aca="false">IFERROR(K989/I989,0)</f>
        <v>0.71531609144414</v>
      </c>
      <c r="M989" s="49" t="n">
        <f aca="false">IFERROR(I989/H989,0)</f>
        <v>267.364319477126</v>
      </c>
      <c r="N989" s="52" t="str">
        <f aca="false">'Model Inputs &amp; Assumptions'!$L$29</f>
        <v>PRD-EUAI</v>
      </c>
      <c r="P989" s="53" t="n">
        <v>-0.936457</v>
      </c>
      <c r="Q989" s="53" t="n">
        <v>-1.418696</v>
      </c>
      <c r="R989" s="53" t="n">
        <v>-0.198614</v>
      </c>
      <c r="S989" s="53" t="n">
        <v>0.559641</v>
      </c>
    </row>
    <row r="990" customFormat="false" ht="15" hidden="false" customHeight="false" outlineLevel="0" collapsed="false">
      <c r="A990" s="43" t="n">
        <v>487</v>
      </c>
      <c r="B990" s="44" t="str">
        <f aca="false">'Model Inputs &amp; Assumptions'!$B$29</f>
        <v>Handelsblatt — Native Explainer</v>
      </c>
      <c r="C990" s="45" t="n">
        <f aca="false">ROUND(MAX(0,'Model Inputs &amp; Assumptions'!$S$29*EXP('Model Inputs &amp; Assumptions'!$T$29*P990-'Model Inputs &amp; Assumptions'!$T$29^2/2)),0)</f>
        <v>205215</v>
      </c>
      <c r="D990" s="46" t="n">
        <f aca="false">MIN(1,'Model Inputs &amp; Assumptions'!$U$29*EXP('Model Inputs &amp; Assumptions'!$V$29*Q990-'Model Inputs &amp; Assumptions'!$V$29^2/2))</f>
        <v>0</v>
      </c>
      <c r="E990" s="45" t="n">
        <f aca="false">ROUND(C990*D990,0)</f>
        <v>0</v>
      </c>
      <c r="F990" s="47" t="n">
        <f aca="false">MIN(1,'Model Inputs &amp; Assumptions'!$W$29*EXP('Model Inputs &amp; Assumptions'!$X$29*R990-'Model Inputs &amp; Assumptions'!$X$29^2/2))</f>
        <v>0.00272836688293774</v>
      </c>
      <c r="G990" s="45" t="n">
        <f aca="false">ROUND(C990*F990,0)</f>
        <v>560</v>
      </c>
      <c r="H990" s="48" t="n">
        <f aca="false">MAX(0,(C990*'Model Inputs &amp; Assumptions'!$N$29+E990*'Model Inputs &amp; Assumptions'!$O$29+G990*'Model Inputs &amp; Assumptions'!$P$29)*EXP('Model Inputs &amp; Assumptions'!$Q$29*S990-'Model Inputs &amp; Assumptions'!$Q$29^2/2))</f>
        <v>44.0830788896922</v>
      </c>
      <c r="I990" s="49" t="n">
        <f aca="false">IF('Model Inputs &amp; Assumptions'!$H$29="Fixed",'Model Inputs &amp; Assumptions'!$I$29*'Model Inputs &amp; Assumptions'!$K$29,IF('Model Inputs &amp; Assumptions'!$H$29="CPM",'Model Inputs &amp; Assumptions'!$I$29*'Model Inputs &amp; Assumptions'!$K$29*C990/1000,IF('Model Inputs &amp; Assumptions'!$H$29="CPC",'Model Inputs &amp; Assumptions'!$I$29*'Model Inputs &amp; Assumptions'!$K$29*G990,0)))</f>
        <v>6500</v>
      </c>
      <c r="J990" s="50" t="n">
        <f aca="false">H990*INDEX('Model Inputs &amp; Assumptions'!$D$40:$D$42,MATCH('Model Inputs &amp; Assumptions'!$L$29,'Model Inputs &amp; Assumptions'!$A$40:$A$42,0))*INDEX('Model Inputs &amp; Assumptions'!$H$40:$H$42,MATCH('Model Inputs &amp; Assumptions'!$L$29,'Model Inputs &amp; Assumptions'!$A$40:$A$42,0))</f>
        <v>374706.170562384</v>
      </c>
      <c r="K990" s="49" t="n">
        <f aca="false">H990*INDEX('Model Inputs &amp; Assumptions'!$G$40:$G$42,MATCH('Model Inputs &amp; Assumptions'!$L$29,'Model Inputs &amp; Assumptions'!$A$40:$A$42,0))*INDEX('Model Inputs &amp; Assumptions'!$H$40:$H$42,MATCH('Model Inputs &amp; Assumptions'!$L$29,'Model Inputs &amp; Assumptions'!$A$40:$A$42,0))</f>
        <v>8430.88883765363</v>
      </c>
      <c r="L990" s="51" t="n">
        <f aca="false">IFERROR(K990/I990,0)</f>
        <v>1.29705982117748</v>
      </c>
      <c r="M990" s="49" t="n">
        <f aca="false">IFERROR(I990/H990,0)</f>
        <v>147.448866179805</v>
      </c>
      <c r="N990" s="52" t="str">
        <f aca="false">'Model Inputs &amp; Assumptions'!$L$29</f>
        <v>PRD-EUAI</v>
      </c>
      <c r="P990" s="53" t="n">
        <v>0.272697</v>
      </c>
      <c r="Q990" s="53" t="n">
        <v>0.502783</v>
      </c>
      <c r="R990" s="53" t="n">
        <v>-0.204465</v>
      </c>
      <c r="S990" s="53" t="n">
        <v>1.662905</v>
      </c>
    </row>
    <row r="991" customFormat="false" ht="15" hidden="false" customHeight="false" outlineLevel="0" collapsed="false">
      <c r="A991" s="43" t="n">
        <v>488</v>
      </c>
      <c r="B991" s="44" t="str">
        <f aca="false">'Model Inputs &amp; Assumptions'!$B$29</f>
        <v>Handelsblatt — Native Explainer</v>
      </c>
      <c r="C991" s="45" t="n">
        <f aca="false">ROUND(MAX(0,'Model Inputs &amp; Assumptions'!$S$29*EXP('Model Inputs &amp; Assumptions'!$T$29*P991-'Model Inputs &amp; Assumptions'!$T$29^2/2)),0)</f>
        <v>183627</v>
      </c>
      <c r="D991" s="46" t="n">
        <f aca="false">MIN(1,'Model Inputs &amp; Assumptions'!$U$29*EXP('Model Inputs &amp; Assumptions'!$V$29*Q991-'Model Inputs &amp; Assumptions'!$V$29^2/2))</f>
        <v>0</v>
      </c>
      <c r="E991" s="45" t="n">
        <f aca="false">ROUND(C991*D991,0)</f>
        <v>0</v>
      </c>
      <c r="F991" s="47" t="n">
        <f aca="false">MIN(1,'Model Inputs &amp; Assumptions'!$W$29*EXP('Model Inputs &amp; Assumptions'!$X$29*R991-'Model Inputs &amp; Assumptions'!$X$29^2/2))</f>
        <v>0.00207706250602266</v>
      </c>
      <c r="G991" s="45" t="n">
        <f aca="false">ROUND(C991*F991,0)</f>
        <v>381</v>
      </c>
      <c r="H991" s="48" t="n">
        <f aca="false">MAX(0,(C991*'Model Inputs &amp; Assumptions'!$N$29+E991*'Model Inputs &amp; Assumptions'!$O$29+G991*'Model Inputs &amp; Assumptions'!$P$29)*EXP('Model Inputs &amp; Assumptions'!$Q$29*S991-'Model Inputs &amp; Assumptions'!$Q$29^2/2))</f>
        <v>29.5614309009959</v>
      </c>
      <c r="I991" s="49" t="n">
        <f aca="false">IF('Model Inputs &amp; Assumptions'!$H$29="Fixed",'Model Inputs &amp; Assumptions'!$I$29*'Model Inputs &amp; Assumptions'!$K$29,IF('Model Inputs &amp; Assumptions'!$H$29="CPM",'Model Inputs &amp; Assumptions'!$I$29*'Model Inputs &amp; Assumptions'!$K$29*C991/1000,IF('Model Inputs &amp; Assumptions'!$H$29="CPC",'Model Inputs &amp; Assumptions'!$I$29*'Model Inputs &amp; Assumptions'!$K$29*G991,0)))</f>
        <v>6500</v>
      </c>
      <c r="J991" s="50" t="n">
        <f aca="false">H991*INDEX('Model Inputs &amp; Assumptions'!$D$40:$D$42,MATCH('Model Inputs &amp; Assumptions'!$L$29,'Model Inputs &amp; Assumptions'!$A$40:$A$42,0))*INDEX('Model Inputs &amp; Assumptions'!$H$40:$H$42,MATCH('Model Inputs &amp; Assumptions'!$L$29,'Model Inputs &amp; Assumptions'!$A$40:$A$42,0))</f>
        <v>251272.162658465</v>
      </c>
      <c r="K991" s="49" t="n">
        <f aca="false">H991*INDEX('Model Inputs &amp; Assumptions'!$G$40:$G$42,MATCH('Model Inputs &amp; Assumptions'!$L$29,'Model Inputs &amp; Assumptions'!$A$40:$A$42,0))*INDEX('Model Inputs &amp; Assumptions'!$H$40:$H$42,MATCH('Model Inputs &amp; Assumptions'!$L$29,'Model Inputs &amp; Assumptions'!$A$40:$A$42,0))</f>
        <v>5653.62365981547</v>
      </c>
      <c r="L991" s="51" t="n">
        <f aca="false">IFERROR(K991/I991,0)</f>
        <v>0.869788255356227</v>
      </c>
      <c r="M991" s="49" t="n">
        <f aca="false">IFERROR(I991/H991,0)</f>
        <v>219.881101891486</v>
      </c>
      <c r="N991" s="52" t="str">
        <f aca="false">'Model Inputs &amp; Assumptions'!$L$29</f>
        <v>PRD-EUAI</v>
      </c>
      <c r="P991" s="53" t="n">
        <v>-0.232543</v>
      </c>
      <c r="Q991" s="53" t="n">
        <v>0.335207</v>
      </c>
      <c r="R991" s="53" t="n">
        <v>-1.253498</v>
      </c>
      <c r="S991" s="53" t="n">
        <v>1.614678</v>
      </c>
    </row>
    <row r="992" customFormat="false" ht="15" hidden="false" customHeight="false" outlineLevel="0" collapsed="false">
      <c r="A992" s="43" t="n">
        <v>489</v>
      </c>
      <c r="B992" s="44" t="str">
        <f aca="false">'Model Inputs &amp; Assumptions'!$B$29</f>
        <v>Handelsblatt — Native Explainer</v>
      </c>
      <c r="C992" s="45" t="n">
        <f aca="false">ROUND(MAX(0,'Model Inputs &amp; Assumptions'!$S$29*EXP('Model Inputs &amp; Assumptions'!$T$29*P992-'Model Inputs &amp; Assumptions'!$T$29^2/2)),0)</f>
        <v>205703</v>
      </c>
      <c r="D992" s="46" t="n">
        <f aca="false">MIN(1,'Model Inputs &amp; Assumptions'!$U$29*EXP('Model Inputs &amp; Assumptions'!$V$29*Q992-'Model Inputs &amp; Assumptions'!$V$29^2/2))</f>
        <v>0</v>
      </c>
      <c r="E992" s="45" t="n">
        <f aca="false">ROUND(C992*D992,0)</f>
        <v>0</v>
      </c>
      <c r="F992" s="47" t="n">
        <f aca="false">MIN(1,'Model Inputs &amp; Assumptions'!$W$29*EXP('Model Inputs &amp; Assumptions'!$X$29*R992-'Model Inputs &amp; Assumptions'!$X$29^2/2))</f>
        <v>0.00271461282905946</v>
      </c>
      <c r="G992" s="45" t="n">
        <f aca="false">ROUND(C992*F992,0)</f>
        <v>558</v>
      </c>
      <c r="H992" s="48" t="n">
        <f aca="false">MAX(0,(C992*'Model Inputs &amp; Assumptions'!$N$29+E992*'Model Inputs &amp; Assumptions'!$O$29+G992*'Model Inputs &amp; Assumptions'!$P$29)*EXP('Model Inputs &amp; Assumptions'!$Q$29*S992-'Model Inputs &amp; Assumptions'!$Q$29^2/2))</f>
        <v>30.5869849126273</v>
      </c>
      <c r="I992" s="49" t="n">
        <f aca="false">IF('Model Inputs &amp; Assumptions'!$H$29="Fixed",'Model Inputs &amp; Assumptions'!$I$29*'Model Inputs &amp; Assumptions'!$K$29,IF('Model Inputs &amp; Assumptions'!$H$29="CPM",'Model Inputs &amp; Assumptions'!$I$29*'Model Inputs &amp; Assumptions'!$K$29*C992/1000,IF('Model Inputs &amp; Assumptions'!$H$29="CPC",'Model Inputs &amp; Assumptions'!$I$29*'Model Inputs &amp; Assumptions'!$K$29*G992,0)))</f>
        <v>6500</v>
      </c>
      <c r="J992" s="50" t="n">
        <f aca="false">H992*INDEX('Model Inputs &amp; Assumptions'!$D$40:$D$42,MATCH('Model Inputs &amp; Assumptions'!$L$29,'Model Inputs &amp; Assumptions'!$A$40:$A$42,0))*INDEX('Model Inputs &amp; Assumptions'!$H$40:$H$42,MATCH('Model Inputs &amp; Assumptions'!$L$29,'Model Inputs &amp; Assumptions'!$A$40:$A$42,0))</f>
        <v>259989.371757332</v>
      </c>
      <c r="K992" s="49" t="n">
        <f aca="false">H992*INDEX('Model Inputs &amp; Assumptions'!$G$40:$G$42,MATCH('Model Inputs &amp; Assumptions'!$L$29,'Model Inputs &amp; Assumptions'!$A$40:$A$42,0))*INDEX('Model Inputs &amp; Assumptions'!$H$40:$H$42,MATCH('Model Inputs &amp; Assumptions'!$L$29,'Model Inputs &amp; Assumptions'!$A$40:$A$42,0))</f>
        <v>5849.76086453997</v>
      </c>
      <c r="L992" s="51" t="n">
        <f aca="false">IFERROR(K992/I992,0)</f>
        <v>0.899963209929227</v>
      </c>
      <c r="M992" s="49" t="n">
        <f aca="false">IFERROR(I992/H992,0)</f>
        <v>212.50868689959</v>
      </c>
      <c r="N992" s="52" t="str">
        <f aca="false">'Model Inputs &amp; Assumptions'!$L$29</f>
        <v>PRD-EUAI</v>
      </c>
      <c r="P992" s="53" t="n">
        <v>0.283489</v>
      </c>
      <c r="Q992" s="53" t="n">
        <v>-1.177824</v>
      </c>
      <c r="R992" s="53" t="n">
        <v>-0.223903</v>
      </c>
      <c r="S992" s="53" t="n">
        <v>0.456493</v>
      </c>
    </row>
    <row r="993" customFormat="false" ht="15" hidden="false" customHeight="false" outlineLevel="0" collapsed="false">
      <c r="A993" s="43" t="n">
        <v>490</v>
      </c>
      <c r="B993" s="44" t="str">
        <f aca="false">'Model Inputs &amp; Assumptions'!$B$29</f>
        <v>Handelsblatt — Native Explainer</v>
      </c>
      <c r="C993" s="45" t="n">
        <f aca="false">ROUND(MAX(0,'Model Inputs &amp; Assumptions'!$S$29*EXP('Model Inputs &amp; Assumptions'!$T$29*P993-'Model Inputs &amp; Assumptions'!$T$29^2/2)),0)</f>
        <v>163468</v>
      </c>
      <c r="D993" s="46" t="n">
        <f aca="false">MIN(1,'Model Inputs &amp; Assumptions'!$U$29*EXP('Model Inputs &amp; Assumptions'!$V$29*Q993-'Model Inputs &amp; Assumptions'!$V$29^2/2))</f>
        <v>0</v>
      </c>
      <c r="E993" s="45" t="n">
        <f aca="false">ROUND(C993*D993,0)</f>
        <v>0</v>
      </c>
      <c r="F993" s="47" t="n">
        <f aca="false">MIN(1,'Model Inputs &amp; Assumptions'!$W$29*EXP('Model Inputs &amp; Assumptions'!$X$29*R993-'Model Inputs &amp; Assumptions'!$X$29^2/2))</f>
        <v>0.00251525627965371</v>
      </c>
      <c r="G993" s="45" t="n">
        <f aca="false">ROUND(C993*F993,0)</f>
        <v>411</v>
      </c>
      <c r="H993" s="48" t="n">
        <f aca="false">MAX(0,(C993*'Model Inputs &amp; Assumptions'!$N$29+E993*'Model Inputs &amp; Assumptions'!$O$29+G993*'Model Inputs &amp; Assumptions'!$P$29)*EXP('Model Inputs &amp; Assumptions'!$Q$29*S993-'Model Inputs &amp; Assumptions'!$Q$29^2/2))</f>
        <v>34.6441486394809</v>
      </c>
      <c r="I993" s="49" t="n">
        <f aca="false">IF('Model Inputs &amp; Assumptions'!$H$29="Fixed",'Model Inputs &amp; Assumptions'!$I$29*'Model Inputs &amp; Assumptions'!$K$29,IF('Model Inputs &amp; Assumptions'!$H$29="CPM",'Model Inputs &amp; Assumptions'!$I$29*'Model Inputs &amp; Assumptions'!$K$29*C993/1000,IF('Model Inputs &amp; Assumptions'!$H$29="CPC",'Model Inputs &amp; Assumptions'!$I$29*'Model Inputs &amp; Assumptions'!$K$29*G993,0)))</f>
        <v>6500</v>
      </c>
      <c r="J993" s="50" t="n">
        <f aca="false">H993*INDEX('Model Inputs &amp; Assumptions'!$D$40:$D$42,MATCH('Model Inputs &amp; Assumptions'!$L$29,'Model Inputs &amp; Assumptions'!$A$40:$A$42,0))*INDEX('Model Inputs &amp; Assumptions'!$H$40:$H$42,MATCH('Model Inputs &amp; Assumptions'!$L$29,'Model Inputs &amp; Assumptions'!$A$40:$A$42,0))</f>
        <v>294475.263435588</v>
      </c>
      <c r="K993" s="49" t="n">
        <f aca="false">H993*INDEX('Model Inputs &amp; Assumptions'!$G$40:$G$42,MATCH('Model Inputs &amp; Assumptions'!$L$29,'Model Inputs &amp; Assumptions'!$A$40:$A$42,0))*INDEX('Model Inputs &amp; Assumptions'!$H$40:$H$42,MATCH('Model Inputs &amp; Assumptions'!$L$29,'Model Inputs &amp; Assumptions'!$A$40:$A$42,0))</f>
        <v>6625.69342730072</v>
      </c>
      <c r="L993" s="51" t="n">
        <f aca="false">IFERROR(K993/I993,0)</f>
        <v>1.01933745035396</v>
      </c>
      <c r="M993" s="49" t="n">
        <f aca="false">IFERROR(I993/H993,0)</f>
        <v>187.621871376932</v>
      </c>
      <c r="N993" s="52" t="str">
        <f aca="false">'Model Inputs &amp; Assumptions'!$L$29</f>
        <v>PRD-EUAI</v>
      </c>
      <c r="P993" s="53" t="n">
        <v>-0.761145</v>
      </c>
      <c r="Q993" s="53" t="n">
        <v>0.843393</v>
      </c>
      <c r="R993" s="53" t="n">
        <v>-0.517267</v>
      </c>
      <c r="S993" s="53" t="n">
        <v>1.890893</v>
      </c>
    </row>
    <row r="994" customFormat="false" ht="15" hidden="false" customHeight="false" outlineLevel="0" collapsed="false">
      <c r="A994" s="43" t="n">
        <v>491</v>
      </c>
      <c r="B994" s="44" t="str">
        <f aca="false">'Model Inputs &amp; Assumptions'!$B$29</f>
        <v>Handelsblatt — Native Explainer</v>
      </c>
      <c r="C994" s="45" t="n">
        <f aca="false">ROUND(MAX(0,'Model Inputs &amp; Assumptions'!$S$29*EXP('Model Inputs &amp; Assumptions'!$T$29*P994-'Model Inputs &amp; Assumptions'!$T$29^2/2)),0)</f>
        <v>284690</v>
      </c>
      <c r="D994" s="46" t="n">
        <f aca="false">MIN(1,'Model Inputs &amp; Assumptions'!$U$29*EXP('Model Inputs &amp; Assumptions'!$V$29*Q994-'Model Inputs &amp; Assumptions'!$V$29^2/2))</f>
        <v>0</v>
      </c>
      <c r="E994" s="45" t="n">
        <f aca="false">ROUND(C994*D994,0)</f>
        <v>0</v>
      </c>
      <c r="F994" s="47" t="n">
        <f aca="false">MIN(1,'Model Inputs &amp; Assumptions'!$W$29*EXP('Model Inputs &amp; Assumptions'!$X$29*R994-'Model Inputs &amp; Assumptions'!$X$29^2/2))</f>
        <v>0.00295235016362866</v>
      </c>
      <c r="G994" s="45" t="n">
        <f aca="false">ROUND(C994*F994,0)</f>
        <v>841</v>
      </c>
      <c r="H994" s="48" t="n">
        <f aca="false">MAX(0,(C994*'Model Inputs &amp; Assumptions'!$N$29+E994*'Model Inputs &amp; Assumptions'!$O$29+G994*'Model Inputs &amp; Assumptions'!$P$29)*EXP('Model Inputs &amp; Assumptions'!$Q$29*S994-'Model Inputs &amp; Assumptions'!$Q$29^2/2))</f>
        <v>35.4249787748418</v>
      </c>
      <c r="I994" s="49" t="n">
        <f aca="false">IF('Model Inputs &amp; Assumptions'!$H$29="Fixed",'Model Inputs &amp; Assumptions'!$I$29*'Model Inputs &amp; Assumptions'!$K$29,IF('Model Inputs &amp; Assumptions'!$H$29="CPM",'Model Inputs &amp; Assumptions'!$I$29*'Model Inputs &amp; Assumptions'!$K$29*C994/1000,IF('Model Inputs &amp; Assumptions'!$H$29="CPC",'Model Inputs &amp; Assumptions'!$I$29*'Model Inputs &amp; Assumptions'!$K$29*G994,0)))</f>
        <v>6500</v>
      </c>
      <c r="J994" s="50" t="n">
        <f aca="false">H994*INDEX('Model Inputs &amp; Assumptions'!$D$40:$D$42,MATCH('Model Inputs &amp; Assumptions'!$L$29,'Model Inputs &amp; Assumptions'!$A$40:$A$42,0))*INDEX('Model Inputs &amp; Assumptions'!$H$40:$H$42,MATCH('Model Inputs &amp; Assumptions'!$L$29,'Model Inputs &amp; Assumptions'!$A$40:$A$42,0))</f>
        <v>301112.319586155</v>
      </c>
      <c r="K994" s="49" t="n">
        <f aca="false">H994*INDEX('Model Inputs &amp; Assumptions'!$G$40:$G$42,MATCH('Model Inputs &amp; Assumptions'!$L$29,'Model Inputs &amp; Assumptions'!$A$40:$A$42,0))*INDEX('Model Inputs &amp; Assumptions'!$H$40:$H$42,MATCH('Model Inputs &amp; Assumptions'!$L$29,'Model Inputs &amp; Assumptions'!$A$40:$A$42,0))</f>
        <v>6775.02719068849</v>
      </c>
      <c r="L994" s="51" t="n">
        <f aca="false">IFERROR(K994/I994,0)</f>
        <v>1.04231187549054</v>
      </c>
      <c r="M994" s="49" t="n">
        <f aca="false">IFERROR(I994/H994,0)</f>
        <v>183.486348469352</v>
      </c>
      <c r="N994" s="52" t="str">
        <f aca="false">'Model Inputs &amp; Assumptions'!$L$29</f>
        <v>PRD-EUAI</v>
      </c>
      <c r="P994" s="53" t="n">
        <v>1.760613</v>
      </c>
      <c r="Q994" s="53" t="n">
        <v>0.320468</v>
      </c>
      <c r="R994" s="53" t="n">
        <v>0.09899</v>
      </c>
      <c r="S994" s="53" t="n">
        <v>-0.421474</v>
      </c>
    </row>
    <row r="995" customFormat="false" ht="15" hidden="false" customHeight="false" outlineLevel="0" collapsed="false">
      <c r="A995" s="43" t="n">
        <v>492</v>
      </c>
      <c r="B995" s="44" t="str">
        <f aca="false">'Model Inputs &amp; Assumptions'!$B$29</f>
        <v>Handelsblatt — Native Explainer</v>
      </c>
      <c r="C995" s="45" t="n">
        <f aca="false">ROUND(MAX(0,'Model Inputs &amp; Assumptions'!$S$29*EXP('Model Inputs &amp; Assumptions'!$T$29*P995-'Model Inputs &amp; Assumptions'!$T$29^2/2)),0)</f>
        <v>207063</v>
      </c>
      <c r="D995" s="46" t="n">
        <f aca="false">MIN(1,'Model Inputs &amp; Assumptions'!$U$29*EXP('Model Inputs &amp; Assumptions'!$V$29*Q995-'Model Inputs &amp; Assumptions'!$V$29^2/2))</f>
        <v>0</v>
      </c>
      <c r="E995" s="45" t="n">
        <f aca="false">ROUND(C995*D995,0)</f>
        <v>0</v>
      </c>
      <c r="F995" s="47" t="n">
        <f aca="false">MIN(1,'Model Inputs &amp; Assumptions'!$W$29*EXP('Model Inputs &amp; Assumptions'!$X$29*R995-'Model Inputs &amp; Assumptions'!$X$29^2/2))</f>
        <v>0.00364468673795316</v>
      </c>
      <c r="G995" s="45" t="n">
        <f aca="false">ROUND(C995*F995,0)</f>
        <v>755</v>
      </c>
      <c r="H995" s="48" t="n">
        <f aca="false">MAX(0,(C995*'Model Inputs &amp; Assumptions'!$N$29+E995*'Model Inputs &amp; Assumptions'!$O$29+G995*'Model Inputs &amp; Assumptions'!$P$29)*EXP('Model Inputs &amp; Assumptions'!$Q$29*S995-'Model Inputs &amp; Assumptions'!$Q$29^2/2))</f>
        <v>28.910749347278</v>
      </c>
      <c r="I995" s="49" t="n">
        <f aca="false">IF('Model Inputs &amp; Assumptions'!$H$29="Fixed",'Model Inputs &amp; Assumptions'!$I$29*'Model Inputs &amp; Assumptions'!$K$29,IF('Model Inputs &amp; Assumptions'!$H$29="CPM",'Model Inputs &amp; Assumptions'!$I$29*'Model Inputs &amp; Assumptions'!$K$29*C995/1000,IF('Model Inputs &amp; Assumptions'!$H$29="CPC",'Model Inputs &amp; Assumptions'!$I$29*'Model Inputs &amp; Assumptions'!$K$29*G995,0)))</f>
        <v>6500</v>
      </c>
      <c r="J995" s="50" t="n">
        <f aca="false">H995*INDEX('Model Inputs &amp; Assumptions'!$D$40:$D$42,MATCH('Model Inputs &amp; Assumptions'!$L$29,'Model Inputs &amp; Assumptions'!$A$40:$A$42,0))*INDEX('Model Inputs &amp; Assumptions'!$H$40:$H$42,MATCH('Model Inputs &amp; Assumptions'!$L$29,'Model Inputs &amp; Assumptions'!$A$40:$A$42,0))</f>
        <v>245741.369451863</v>
      </c>
      <c r="K995" s="49" t="n">
        <f aca="false">H995*INDEX('Model Inputs &amp; Assumptions'!$G$40:$G$42,MATCH('Model Inputs &amp; Assumptions'!$L$29,'Model Inputs &amp; Assumptions'!$A$40:$A$42,0))*INDEX('Model Inputs &amp; Assumptions'!$H$40:$H$42,MATCH('Model Inputs &amp; Assumptions'!$L$29,'Model Inputs &amp; Assumptions'!$A$40:$A$42,0))</f>
        <v>5529.18081266691</v>
      </c>
      <c r="L995" s="51" t="n">
        <f aca="false">IFERROR(K995/I995,0)</f>
        <v>0.850643201948755</v>
      </c>
      <c r="M995" s="49" t="n">
        <f aca="false">IFERROR(I995/H995,0)</f>
        <v>224.82986939984</v>
      </c>
      <c r="N995" s="52" t="str">
        <f aca="false">'Model Inputs &amp; Assumptions'!$L$29</f>
        <v>PRD-EUAI</v>
      </c>
      <c r="P995" s="53" t="n">
        <v>0.313432</v>
      </c>
      <c r="Q995" s="53" t="n">
        <v>0.98335</v>
      </c>
      <c r="R995" s="53" t="n">
        <v>0.909255</v>
      </c>
      <c r="S995" s="53" t="n">
        <v>-0.73924</v>
      </c>
    </row>
    <row r="996" customFormat="false" ht="15" hidden="false" customHeight="false" outlineLevel="0" collapsed="false">
      <c r="A996" s="43" t="n">
        <v>493</v>
      </c>
      <c r="B996" s="44" t="str">
        <f aca="false">'Model Inputs &amp; Assumptions'!$B$29</f>
        <v>Handelsblatt — Native Explainer</v>
      </c>
      <c r="C996" s="45" t="n">
        <f aca="false">ROUND(MAX(0,'Model Inputs &amp; Assumptions'!$S$29*EXP('Model Inputs &amp; Assumptions'!$T$29*P996-'Model Inputs &amp; Assumptions'!$T$29^2/2)),0)</f>
        <v>200308</v>
      </c>
      <c r="D996" s="46" t="n">
        <f aca="false">MIN(1,'Model Inputs &amp; Assumptions'!$U$29*EXP('Model Inputs &amp; Assumptions'!$V$29*Q996-'Model Inputs &amp; Assumptions'!$V$29^2/2))</f>
        <v>0</v>
      </c>
      <c r="E996" s="45" t="n">
        <f aca="false">ROUND(C996*D996,0)</f>
        <v>0</v>
      </c>
      <c r="F996" s="47" t="n">
        <f aca="false">MIN(1,'Model Inputs &amp; Assumptions'!$W$29*EXP('Model Inputs &amp; Assumptions'!$X$29*R996-'Model Inputs &amp; Assumptions'!$X$29^2/2))</f>
        <v>0.0028156038181451</v>
      </c>
      <c r="G996" s="45" t="n">
        <f aca="false">ROUND(C996*F996,0)</f>
        <v>564</v>
      </c>
      <c r="H996" s="48" t="n">
        <f aca="false">MAX(0,(C996*'Model Inputs &amp; Assumptions'!$N$29+E996*'Model Inputs &amp; Assumptions'!$O$29+G996*'Model Inputs &amp; Assumptions'!$P$29)*EXP('Model Inputs &amp; Assumptions'!$Q$29*S996-'Model Inputs &amp; Assumptions'!$Q$29^2/2))</f>
        <v>15.4928864201475</v>
      </c>
      <c r="I996" s="49" t="n">
        <f aca="false">IF('Model Inputs &amp; Assumptions'!$H$29="Fixed",'Model Inputs &amp; Assumptions'!$I$29*'Model Inputs &amp; Assumptions'!$K$29,IF('Model Inputs &amp; Assumptions'!$H$29="CPM",'Model Inputs &amp; Assumptions'!$I$29*'Model Inputs &amp; Assumptions'!$K$29*C996/1000,IF('Model Inputs &amp; Assumptions'!$H$29="CPC",'Model Inputs &amp; Assumptions'!$I$29*'Model Inputs &amp; Assumptions'!$K$29*G996,0)))</f>
        <v>6500</v>
      </c>
      <c r="J996" s="50" t="n">
        <f aca="false">H996*INDEX('Model Inputs &amp; Assumptions'!$D$40:$D$42,MATCH('Model Inputs &amp; Assumptions'!$L$29,'Model Inputs &amp; Assumptions'!$A$40:$A$42,0))*INDEX('Model Inputs &amp; Assumptions'!$H$40:$H$42,MATCH('Model Inputs &amp; Assumptions'!$L$29,'Model Inputs &amp; Assumptions'!$A$40:$A$42,0))</f>
        <v>131689.534571254</v>
      </c>
      <c r="K996" s="49" t="n">
        <f aca="false">H996*INDEX('Model Inputs &amp; Assumptions'!$G$40:$G$42,MATCH('Model Inputs &amp; Assumptions'!$L$29,'Model Inputs &amp; Assumptions'!$A$40:$A$42,0))*INDEX('Model Inputs &amp; Assumptions'!$H$40:$H$42,MATCH('Model Inputs &amp; Assumptions'!$L$29,'Model Inputs &amp; Assumptions'!$A$40:$A$42,0))</f>
        <v>2963.01452785321</v>
      </c>
      <c r="L996" s="51" t="n">
        <f aca="false">IFERROR(K996/I996,0)</f>
        <v>0.455848388900493</v>
      </c>
      <c r="M996" s="49" t="n">
        <f aca="false">IFERROR(I996/H996,0)</f>
        <v>419.547386053717</v>
      </c>
      <c r="N996" s="52" t="str">
        <f aca="false">'Model Inputs &amp; Assumptions'!$L$29</f>
        <v>PRD-EUAI</v>
      </c>
      <c r="P996" s="53" t="n">
        <v>0.162668</v>
      </c>
      <c r="Q996" s="53" t="n">
        <v>0.67179</v>
      </c>
      <c r="R996" s="53" t="n">
        <v>-0.083413</v>
      </c>
      <c r="S996" s="53" t="n">
        <v>-1.84647</v>
      </c>
    </row>
    <row r="997" customFormat="false" ht="15" hidden="false" customHeight="false" outlineLevel="0" collapsed="false">
      <c r="A997" s="43" t="n">
        <v>494</v>
      </c>
      <c r="B997" s="44" t="str">
        <f aca="false">'Model Inputs &amp; Assumptions'!$B$29</f>
        <v>Handelsblatt — Native Explainer</v>
      </c>
      <c r="C997" s="45" t="n">
        <f aca="false">ROUND(MAX(0,'Model Inputs &amp; Assumptions'!$S$29*EXP('Model Inputs &amp; Assumptions'!$T$29*P997-'Model Inputs &amp; Assumptions'!$T$29^2/2)),0)</f>
        <v>241679</v>
      </c>
      <c r="D997" s="46" t="n">
        <f aca="false">MIN(1,'Model Inputs &amp; Assumptions'!$U$29*EXP('Model Inputs &amp; Assumptions'!$V$29*Q997-'Model Inputs &amp; Assumptions'!$V$29^2/2))</f>
        <v>0</v>
      </c>
      <c r="E997" s="45" t="n">
        <f aca="false">ROUND(C997*D997,0)</f>
        <v>0</v>
      </c>
      <c r="F997" s="47" t="n">
        <f aca="false">MIN(1,'Model Inputs &amp; Assumptions'!$W$29*EXP('Model Inputs &amp; Assumptions'!$X$29*R997-'Model Inputs &amp; Assumptions'!$X$29^2/2))</f>
        <v>0.00335290823412149</v>
      </c>
      <c r="G997" s="45" t="n">
        <f aca="false">ROUND(C997*F997,0)</f>
        <v>810</v>
      </c>
      <c r="H997" s="48" t="n">
        <f aca="false">MAX(0,(C997*'Model Inputs &amp; Assumptions'!$N$29+E997*'Model Inputs &amp; Assumptions'!$O$29+G997*'Model Inputs &amp; Assumptions'!$P$29)*EXP('Model Inputs &amp; Assumptions'!$Q$29*S997-'Model Inputs &amp; Assumptions'!$Q$29^2/2))</f>
        <v>34.2827315523504</v>
      </c>
      <c r="I997" s="49" t="n">
        <f aca="false">IF('Model Inputs &amp; Assumptions'!$H$29="Fixed",'Model Inputs &amp; Assumptions'!$I$29*'Model Inputs &amp; Assumptions'!$K$29,IF('Model Inputs &amp; Assumptions'!$H$29="CPM",'Model Inputs &amp; Assumptions'!$I$29*'Model Inputs &amp; Assumptions'!$K$29*C997/1000,IF('Model Inputs &amp; Assumptions'!$H$29="CPC",'Model Inputs &amp; Assumptions'!$I$29*'Model Inputs &amp; Assumptions'!$K$29*G997,0)))</f>
        <v>6500</v>
      </c>
      <c r="J997" s="50" t="n">
        <f aca="false">H997*INDEX('Model Inputs &amp; Assumptions'!$D$40:$D$42,MATCH('Model Inputs &amp; Assumptions'!$L$29,'Model Inputs &amp; Assumptions'!$A$40:$A$42,0))*INDEX('Model Inputs &amp; Assumptions'!$H$40:$H$42,MATCH('Model Inputs &amp; Assumptions'!$L$29,'Model Inputs &amp; Assumptions'!$A$40:$A$42,0))</f>
        <v>291403.218194979</v>
      </c>
      <c r="K997" s="49" t="n">
        <f aca="false">H997*INDEX('Model Inputs &amp; Assumptions'!$G$40:$G$42,MATCH('Model Inputs &amp; Assumptions'!$L$29,'Model Inputs &amp; Assumptions'!$A$40:$A$42,0))*INDEX('Model Inputs &amp; Assumptions'!$H$40:$H$42,MATCH('Model Inputs &amp; Assumptions'!$L$29,'Model Inputs &amp; Assumptions'!$A$40:$A$42,0))</f>
        <v>6556.57240938702</v>
      </c>
      <c r="L997" s="51" t="n">
        <f aca="false">IFERROR(K997/I997,0)</f>
        <v>1.008703447598</v>
      </c>
      <c r="M997" s="49" t="n">
        <f aca="false">IFERROR(I997/H997,0)</f>
        <v>189.599827833858</v>
      </c>
      <c r="N997" s="52" t="str">
        <f aca="false">'Model Inputs &amp; Assumptions'!$L$29</f>
        <v>PRD-EUAI</v>
      </c>
      <c r="P997" s="53" t="n">
        <v>1.016097</v>
      </c>
      <c r="Q997" s="53" t="n">
        <v>-1.074147</v>
      </c>
      <c r="R997" s="53" t="n">
        <v>0.588323</v>
      </c>
      <c r="S997" s="53" t="n">
        <v>-0.405534</v>
      </c>
    </row>
    <row r="998" customFormat="false" ht="15" hidden="false" customHeight="false" outlineLevel="0" collapsed="false">
      <c r="A998" s="43" t="n">
        <v>495</v>
      </c>
      <c r="B998" s="44" t="str">
        <f aca="false">'Model Inputs &amp; Assumptions'!$B$29</f>
        <v>Handelsblatt — Native Explainer</v>
      </c>
      <c r="C998" s="45" t="n">
        <f aca="false">ROUND(MAX(0,'Model Inputs &amp; Assumptions'!$S$29*EXP('Model Inputs &amp; Assumptions'!$T$29*P998-'Model Inputs &amp; Assumptions'!$T$29^2/2)),0)</f>
        <v>295056</v>
      </c>
      <c r="D998" s="46" t="n">
        <f aca="false">MIN(1,'Model Inputs &amp; Assumptions'!$U$29*EXP('Model Inputs &amp; Assumptions'!$V$29*Q998-'Model Inputs &amp; Assumptions'!$V$29^2/2))</f>
        <v>0</v>
      </c>
      <c r="E998" s="45" t="n">
        <f aca="false">ROUND(C998*D998,0)</f>
        <v>0</v>
      </c>
      <c r="F998" s="47" t="n">
        <f aca="false">MIN(1,'Model Inputs &amp; Assumptions'!$W$29*EXP('Model Inputs &amp; Assumptions'!$X$29*R998-'Model Inputs &amp; Assumptions'!$X$29^2/2))</f>
        <v>0.00207300701787413</v>
      </c>
      <c r="G998" s="45" t="n">
        <f aca="false">ROUND(C998*F998,0)</f>
        <v>612</v>
      </c>
      <c r="H998" s="48" t="n">
        <f aca="false">MAX(0,(C998*'Model Inputs &amp; Assumptions'!$N$29+E998*'Model Inputs &amp; Assumptions'!$O$29+G998*'Model Inputs &amp; Assumptions'!$P$29)*EXP('Model Inputs &amp; Assumptions'!$Q$29*S998-'Model Inputs &amp; Assumptions'!$Q$29^2/2))</f>
        <v>21.7769987366623</v>
      </c>
      <c r="I998" s="49" t="n">
        <f aca="false">IF('Model Inputs &amp; Assumptions'!$H$29="Fixed",'Model Inputs &amp; Assumptions'!$I$29*'Model Inputs &amp; Assumptions'!$K$29,IF('Model Inputs &amp; Assumptions'!$H$29="CPM",'Model Inputs &amp; Assumptions'!$I$29*'Model Inputs &amp; Assumptions'!$K$29*C998/1000,IF('Model Inputs &amp; Assumptions'!$H$29="CPC",'Model Inputs &amp; Assumptions'!$I$29*'Model Inputs &amp; Assumptions'!$K$29*G998,0)))</f>
        <v>6500</v>
      </c>
      <c r="J998" s="50" t="n">
        <f aca="false">H998*INDEX('Model Inputs &amp; Assumptions'!$D$40:$D$42,MATCH('Model Inputs &amp; Assumptions'!$L$29,'Model Inputs &amp; Assumptions'!$A$40:$A$42,0))*INDEX('Model Inputs &amp; Assumptions'!$H$40:$H$42,MATCH('Model Inputs &amp; Assumptions'!$L$29,'Model Inputs &amp; Assumptions'!$A$40:$A$42,0))</f>
        <v>185104.48926163</v>
      </c>
      <c r="K998" s="49" t="n">
        <f aca="false">H998*INDEX('Model Inputs &amp; Assumptions'!$G$40:$G$42,MATCH('Model Inputs &amp; Assumptions'!$L$29,'Model Inputs &amp; Assumptions'!$A$40:$A$42,0))*INDEX('Model Inputs &amp; Assumptions'!$H$40:$H$42,MATCH('Model Inputs &amp; Assumptions'!$L$29,'Model Inputs &amp; Assumptions'!$A$40:$A$42,0))</f>
        <v>4164.85100838667</v>
      </c>
      <c r="L998" s="51" t="n">
        <f aca="false">IFERROR(K998/I998,0)</f>
        <v>0.640746308982564</v>
      </c>
      <c r="M998" s="49" t="n">
        <f aca="false">IFERROR(I998/H998,0)</f>
        <v>298.480065072375</v>
      </c>
      <c r="N998" s="52" t="str">
        <f aca="false">'Model Inputs &amp; Assumptions'!$L$29</f>
        <v>PRD-EUAI</v>
      </c>
      <c r="P998" s="53" t="n">
        <v>1.923174</v>
      </c>
      <c r="Q998" s="53" t="n">
        <v>0.081174</v>
      </c>
      <c r="R998" s="53" t="n">
        <v>-1.261015</v>
      </c>
      <c r="S998" s="53" t="n">
        <v>-0.983819</v>
      </c>
    </row>
    <row r="999" customFormat="false" ht="15" hidden="false" customHeight="false" outlineLevel="0" collapsed="false">
      <c r="A999" s="43" t="n">
        <v>496</v>
      </c>
      <c r="B999" s="44" t="str">
        <f aca="false">'Model Inputs &amp; Assumptions'!$B$29</f>
        <v>Handelsblatt — Native Explainer</v>
      </c>
      <c r="C999" s="45" t="n">
        <f aca="false">ROUND(MAX(0,'Model Inputs &amp; Assumptions'!$S$29*EXP('Model Inputs &amp; Assumptions'!$T$29*P999-'Model Inputs &amp; Assumptions'!$T$29^2/2)),0)</f>
        <v>165373</v>
      </c>
      <c r="D999" s="46" t="n">
        <f aca="false">MIN(1,'Model Inputs &amp; Assumptions'!$U$29*EXP('Model Inputs &amp; Assumptions'!$V$29*Q999-'Model Inputs &amp; Assumptions'!$V$29^2/2))</f>
        <v>0</v>
      </c>
      <c r="E999" s="45" t="n">
        <f aca="false">ROUND(C999*D999,0)</f>
        <v>0</v>
      </c>
      <c r="F999" s="47" t="n">
        <f aca="false">MIN(1,'Model Inputs &amp; Assumptions'!$W$29*EXP('Model Inputs &amp; Assumptions'!$X$29*R999-'Model Inputs &amp; Assumptions'!$X$29^2/2))</f>
        <v>0.00226597937091283</v>
      </c>
      <c r="G999" s="45" t="n">
        <f aca="false">ROUND(C999*F999,0)</f>
        <v>375</v>
      </c>
      <c r="H999" s="48" t="n">
        <f aca="false">MAX(0,(C999*'Model Inputs &amp; Assumptions'!$N$29+E999*'Model Inputs &amp; Assumptions'!$O$29+G999*'Model Inputs &amp; Assumptions'!$P$29)*EXP('Model Inputs &amp; Assumptions'!$Q$29*S999-'Model Inputs &amp; Assumptions'!$Q$29^2/2))</f>
        <v>16.0802281553614</v>
      </c>
      <c r="I999" s="49" t="n">
        <f aca="false">IF('Model Inputs &amp; Assumptions'!$H$29="Fixed",'Model Inputs &amp; Assumptions'!$I$29*'Model Inputs &amp; Assumptions'!$K$29,IF('Model Inputs &amp; Assumptions'!$H$29="CPM",'Model Inputs &amp; Assumptions'!$I$29*'Model Inputs &amp; Assumptions'!$K$29*C999/1000,IF('Model Inputs &amp; Assumptions'!$H$29="CPC",'Model Inputs &amp; Assumptions'!$I$29*'Model Inputs &amp; Assumptions'!$K$29*G999,0)))</f>
        <v>6500</v>
      </c>
      <c r="J999" s="50" t="n">
        <f aca="false">H999*INDEX('Model Inputs &amp; Assumptions'!$D$40:$D$42,MATCH('Model Inputs &amp; Assumptions'!$L$29,'Model Inputs &amp; Assumptions'!$A$40:$A$42,0))*INDEX('Model Inputs &amp; Assumptions'!$H$40:$H$42,MATCH('Model Inputs &amp; Assumptions'!$L$29,'Model Inputs &amp; Assumptions'!$A$40:$A$42,0))</f>
        <v>136681.939320572</v>
      </c>
      <c r="K999" s="49" t="n">
        <f aca="false">H999*INDEX('Model Inputs &amp; Assumptions'!$G$40:$G$42,MATCH('Model Inputs &amp; Assumptions'!$L$29,'Model Inputs &amp; Assumptions'!$A$40:$A$42,0))*INDEX('Model Inputs &amp; Assumptions'!$H$40:$H$42,MATCH('Model Inputs &amp; Assumptions'!$L$29,'Model Inputs &amp; Assumptions'!$A$40:$A$42,0))</f>
        <v>3075.34363471288</v>
      </c>
      <c r="L999" s="51" t="n">
        <f aca="false">IFERROR(K999/I999,0)</f>
        <v>0.473129789955827</v>
      </c>
      <c r="M999" s="49" t="n">
        <f aca="false">IFERROR(I999/H999,0)</f>
        <v>404.223120294023</v>
      </c>
      <c r="N999" s="52" t="str">
        <f aca="false">'Model Inputs &amp; Assumptions'!$L$29</f>
        <v>PRD-EUAI</v>
      </c>
      <c r="P999" s="53" t="n">
        <v>-0.70847</v>
      </c>
      <c r="Q999" s="53" t="n">
        <v>-0.066947</v>
      </c>
      <c r="R999" s="53" t="n">
        <v>-0.918681</v>
      </c>
      <c r="S999" s="53" t="n">
        <v>-0.362011</v>
      </c>
    </row>
    <row r="1000" customFormat="false" ht="15" hidden="false" customHeight="false" outlineLevel="0" collapsed="false">
      <c r="A1000" s="43" t="n">
        <v>497</v>
      </c>
      <c r="B1000" s="44" t="str">
        <f aca="false">'Model Inputs &amp; Assumptions'!$B$29</f>
        <v>Handelsblatt — Native Explainer</v>
      </c>
      <c r="C1000" s="45" t="n">
        <f aca="false">ROUND(MAX(0,'Model Inputs &amp; Assumptions'!$S$29*EXP('Model Inputs &amp; Assumptions'!$T$29*P1000-'Model Inputs &amp; Assumptions'!$T$29^2/2)),0)</f>
        <v>202035</v>
      </c>
      <c r="D1000" s="46" t="n">
        <f aca="false">MIN(1,'Model Inputs &amp; Assumptions'!$U$29*EXP('Model Inputs &amp; Assumptions'!$V$29*Q1000-'Model Inputs &amp; Assumptions'!$V$29^2/2))</f>
        <v>0</v>
      </c>
      <c r="E1000" s="45" t="n">
        <f aca="false">ROUND(C1000*D1000,0)</f>
        <v>0</v>
      </c>
      <c r="F1000" s="47" t="n">
        <f aca="false">MIN(1,'Model Inputs &amp; Assumptions'!$W$29*EXP('Model Inputs &amp; Assumptions'!$X$29*R1000-'Model Inputs &amp; Assumptions'!$X$29^2/2))</f>
        <v>0.00198766701917158</v>
      </c>
      <c r="G1000" s="45" t="n">
        <f aca="false">ROUND(C1000*F1000,0)</f>
        <v>402</v>
      </c>
      <c r="H1000" s="48" t="n">
        <f aca="false">MAX(0,(C1000*'Model Inputs &amp; Assumptions'!$N$29+E1000*'Model Inputs &amp; Assumptions'!$O$29+G1000*'Model Inputs &amp; Assumptions'!$P$29)*EXP('Model Inputs &amp; Assumptions'!$Q$29*S1000-'Model Inputs &amp; Assumptions'!$Q$29^2/2))</f>
        <v>16.1791716607774</v>
      </c>
      <c r="I1000" s="49" t="n">
        <f aca="false">IF('Model Inputs &amp; Assumptions'!$H$29="Fixed",'Model Inputs &amp; Assumptions'!$I$29*'Model Inputs &amp; Assumptions'!$K$29,IF('Model Inputs &amp; Assumptions'!$H$29="CPM",'Model Inputs &amp; Assumptions'!$I$29*'Model Inputs &amp; Assumptions'!$K$29*C1000/1000,IF('Model Inputs &amp; Assumptions'!$H$29="CPC",'Model Inputs &amp; Assumptions'!$I$29*'Model Inputs &amp; Assumptions'!$K$29*G1000,0)))</f>
        <v>6500</v>
      </c>
      <c r="J1000" s="50" t="n">
        <f aca="false">H1000*INDEX('Model Inputs &amp; Assumptions'!$D$40:$D$42,MATCH('Model Inputs &amp; Assumptions'!$L$29,'Model Inputs &amp; Assumptions'!$A$40:$A$42,0))*INDEX('Model Inputs &amp; Assumptions'!$H$40:$H$42,MATCH('Model Inputs &amp; Assumptions'!$L$29,'Model Inputs &amp; Assumptions'!$A$40:$A$42,0))</f>
        <v>137522.959116608</v>
      </c>
      <c r="K1000" s="49" t="n">
        <f aca="false">H1000*INDEX('Model Inputs &amp; Assumptions'!$G$40:$G$42,MATCH('Model Inputs &amp; Assumptions'!$L$29,'Model Inputs &amp; Assumptions'!$A$40:$A$42,0))*INDEX('Model Inputs &amp; Assumptions'!$H$40:$H$42,MATCH('Model Inputs &amp; Assumptions'!$L$29,'Model Inputs &amp; Assumptions'!$A$40:$A$42,0))</f>
        <v>3094.26658012369</v>
      </c>
      <c r="L1000" s="51" t="n">
        <f aca="false">IFERROR(K1000/I1000,0)</f>
        <v>0.476041012326721</v>
      </c>
      <c r="M1000" s="49" t="n">
        <f aca="false">IFERROR(I1000/H1000,0)</f>
        <v>401.751099270286</v>
      </c>
      <c r="N1000" s="52" t="str">
        <f aca="false">'Model Inputs &amp; Assumptions'!$L$29</f>
        <v>PRD-EUAI</v>
      </c>
      <c r="P1000" s="53" t="n">
        <v>0.201693</v>
      </c>
      <c r="Q1000" s="53" t="n">
        <v>-0.160787</v>
      </c>
      <c r="R1000" s="53" t="n">
        <v>-1.422702</v>
      </c>
      <c r="S1000" s="53" t="n">
        <v>-0.573317</v>
      </c>
    </row>
    <row r="1001" customFormat="false" ht="15" hidden="false" customHeight="false" outlineLevel="0" collapsed="false">
      <c r="A1001" s="43" t="n">
        <v>498</v>
      </c>
      <c r="B1001" s="44" t="str">
        <f aca="false">'Model Inputs &amp; Assumptions'!$B$29</f>
        <v>Handelsblatt — Native Explainer</v>
      </c>
      <c r="C1001" s="45" t="n">
        <f aca="false">ROUND(MAX(0,'Model Inputs &amp; Assumptions'!$S$29*EXP('Model Inputs &amp; Assumptions'!$T$29*P1001-'Model Inputs &amp; Assumptions'!$T$29^2/2)),0)</f>
        <v>186148</v>
      </c>
      <c r="D1001" s="46" t="n">
        <f aca="false">MIN(1,'Model Inputs &amp; Assumptions'!$U$29*EXP('Model Inputs &amp; Assumptions'!$V$29*Q1001-'Model Inputs &amp; Assumptions'!$V$29^2/2))</f>
        <v>0</v>
      </c>
      <c r="E1001" s="45" t="n">
        <f aca="false">ROUND(C1001*D1001,0)</f>
        <v>0</v>
      </c>
      <c r="F1001" s="47" t="n">
        <f aca="false">MIN(1,'Model Inputs &amp; Assumptions'!$W$29*EXP('Model Inputs &amp; Assumptions'!$X$29*R1001-'Model Inputs &amp; Assumptions'!$X$29^2/2))</f>
        <v>0.00261997982881799</v>
      </c>
      <c r="G1001" s="45" t="n">
        <f aca="false">ROUND(C1001*F1001,0)</f>
        <v>488</v>
      </c>
      <c r="H1001" s="48" t="n">
        <f aca="false">MAX(0,(C1001*'Model Inputs &amp; Assumptions'!$N$29+E1001*'Model Inputs &amp; Assumptions'!$O$29+G1001*'Model Inputs &amp; Assumptions'!$P$29)*EXP('Model Inputs &amp; Assumptions'!$Q$29*S1001-'Model Inputs &amp; Assumptions'!$Q$29^2/2))</f>
        <v>23.6167317266717</v>
      </c>
      <c r="I1001" s="49" t="n">
        <f aca="false">IF('Model Inputs &amp; Assumptions'!$H$29="Fixed",'Model Inputs &amp; Assumptions'!$I$29*'Model Inputs &amp; Assumptions'!$K$29,IF('Model Inputs &amp; Assumptions'!$H$29="CPM",'Model Inputs &amp; Assumptions'!$I$29*'Model Inputs &amp; Assumptions'!$K$29*C1001/1000,IF('Model Inputs &amp; Assumptions'!$H$29="CPC",'Model Inputs &amp; Assumptions'!$I$29*'Model Inputs &amp; Assumptions'!$K$29*G1001,0)))</f>
        <v>6500</v>
      </c>
      <c r="J1001" s="50" t="n">
        <f aca="false">H1001*INDEX('Model Inputs &amp; Assumptions'!$D$40:$D$42,MATCH('Model Inputs &amp; Assumptions'!$L$29,'Model Inputs &amp; Assumptions'!$A$40:$A$42,0))*INDEX('Model Inputs &amp; Assumptions'!$H$40:$H$42,MATCH('Model Inputs &amp; Assumptions'!$L$29,'Model Inputs &amp; Assumptions'!$A$40:$A$42,0))</f>
        <v>200742.21967671</v>
      </c>
      <c r="K1001" s="49" t="n">
        <f aca="false">H1001*INDEX('Model Inputs &amp; Assumptions'!$G$40:$G$42,MATCH('Model Inputs &amp; Assumptions'!$L$29,'Model Inputs &amp; Assumptions'!$A$40:$A$42,0))*INDEX('Model Inputs &amp; Assumptions'!$H$40:$H$42,MATCH('Model Inputs &amp; Assumptions'!$L$29,'Model Inputs &amp; Assumptions'!$A$40:$A$42,0))</f>
        <v>4516.69994272597</v>
      </c>
      <c r="L1001" s="51" t="n">
        <f aca="false">IFERROR(K1001/I1001,0)</f>
        <v>0.694876914265534</v>
      </c>
      <c r="M1001" s="49" t="n">
        <f aca="false">IFERROR(I1001/H1001,0)</f>
        <v>275.228599588959</v>
      </c>
      <c r="N1001" s="52" t="str">
        <f aca="false">'Model Inputs &amp; Assumptions'!$L$29</f>
        <v>PRD-EUAI</v>
      </c>
      <c r="P1001" s="53" t="n">
        <v>-0.17056</v>
      </c>
      <c r="Q1001" s="53" t="n">
        <v>1.845711</v>
      </c>
      <c r="R1001" s="53" t="n">
        <v>-0.360375</v>
      </c>
      <c r="S1001" s="53" t="n">
        <v>0.041241</v>
      </c>
    </row>
    <row r="1002" customFormat="false" ht="15" hidden="false" customHeight="false" outlineLevel="0" collapsed="false">
      <c r="A1002" s="43" t="n">
        <v>499</v>
      </c>
      <c r="B1002" s="44" t="str">
        <f aca="false">'Model Inputs &amp; Assumptions'!$B$29</f>
        <v>Handelsblatt — Native Explainer</v>
      </c>
      <c r="C1002" s="45" t="n">
        <f aca="false">ROUND(MAX(0,'Model Inputs &amp; Assumptions'!$S$29*EXP('Model Inputs &amp; Assumptions'!$T$29*P1002-'Model Inputs &amp; Assumptions'!$T$29^2/2)),0)</f>
        <v>186329</v>
      </c>
      <c r="D1002" s="46" t="n">
        <f aca="false">MIN(1,'Model Inputs &amp; Assumptions'!$U$29*EXP('Model Inputs &amp; Assumptions'!$V$29*Q1002-'Model Inputs &amp; Assumptions'!$V$29^2/2))</f>
        <v>0</v>
      </c>
      <c r="E1002" s="45" t="n">
        <f aca="false">ROUND(C1002*D1002,0)</f>
        <v>0</v>
      </c>
      <c r="F1002" s="47" t="n">
        <f aca="false">MIN(1,'Model Inputs &amp; Assumptions'!$W$29*EXP('Model Inputs &amp; Assumptions'!$X$29*R1002-'Model Inputs &amp; Assumptions'!$X$29^2/2))</f>
        <v>0.00236663822764501</v>
      </c>
      <c r="G1002" s="45" t="n">
        <f aca="false">ROUND(C1002*F1002,0)</f>
        <v>441</v>
      </c>
      <c r="H1002" s="48" t="n">
        <f aca="false">MAX(0,(C1002*'Model Inputs &amp; Assumptions'!$N$29+E1002*'Model Inputs &amp; Assumptions'!$O$29+G1002*'Model Inputs &amp; Assumptions'!$P$29)*EXP('Model Inputs &amp; Assumptions'!$Q$29*S1002-'Model Inputs &amp; Assumptions'!$Q$29^2/2))</f>
        <v>24.0048694109936</v>
      </c>
      <c r="I1002" s="49" t="n">
        <f aca="false">IF('Model Inputs &amp; Assumptions'!$H$29="Fixed",'Model Inputs &amp; Assumptions'!$I$29*'Model Inputs &amp; Assumptions'!$K$29,IF('Model Inputs &amp; Assumptions'!$H$29="CPM",'Model Inputs &amp; Assumptions'!$I$29*'Model Inputs &amp; Assumptions'!$K$29*C1002/1000,IF('Model Inputs &amp; Assumptions'!$H$29="CPC",'Model Inputs &amp; Assumptions'!$I$29*'Model Inputs &amp; Assumptions'!$K$29*G1002,0)))</f>
        <v>6500</v>
      </c>
      <c r="J1002" s="50" t="n">
        <f aca="false">H1002*INDEX('Model Inputs &amp; Assumptions'!$D$40:$D$42,MATCH('Model Inputs &amp; Assumptions'!$L$29,'Model Inputs &amp; Assumptions'!$A$40:$A$42,0))*INDEX('Model Inputs &amp; Assumptions'!$H$40:$H$42,MATCH('Model Inputs &amp; Assumptions'!$L$29,'Model Inputs &amp; Assumptions'!$A$40:$A$42,0))</f>
        <v>204041.389993446</v>
      </c>
      <c r="K1002" s="49" t="n">
        <f aca="false">H1002*INDEX('Model Inputs &amp; Assumptions'!$G$40:$G$42,MATCH('Model Inputs &amp; Assumptions'!$L$29,'Model Inputs &amp; Assumptions'!$A$40:$A$42,0))*INDEX('Model Inputs &amp; Assumptions'!$H$40:$H$42,MATCH('Model Inputs &amp; Assumptions'!$L$29,'Model Inputs &amp; Assumptions'!$A$40:$A$42,0))</f>
        <v>4590.93127485252</v>
      </c>
      <c r="L1002" s="51" t="n">
        <f aca="false">IFERROR(K1002/I1002,0)</f>
        <v>0.706297119208081</v>
      </c>
      <c r="M1002" s="49" t="n">
        <f aca="false">IFERROR(I1002/H1002,0)</f>
        <v>270.778394529535</v>
      </c>
      <c r="N1002" s="52" t="str">
        <f aca="false">'Model Inputs &amp; Assumptions'!$L$29</f>
        <v>PRD-EUAI</v>
      </c>
      <c r="P1002" s="53" t="n">
        <v>-0.166159</v>
      </c>
      <c r="Q1002" s="53" t="n">
        <v>1.057758</v>
      </c>
      <c r="R1002" s="53" t="n">
        <v>-0.751514</v>
      </c>
      <c r="S1002" s="53" t="n">
        <v>0.433147</v>
      </c>
    </row>
    <row r="1003" customFormat="false" ht="15" hidden="false" customHeight="false" outlineLevel="0" collapsed="false">
      <c r="A1003" s="43" t="n">
        <v>500</v>
      </c>
      <c r="B1003" s="44" t="str">
        <f aca="false">'Model Inputs &amp; Assumptions'!$B$29</f>
        <v>Handelsblatt — Native Explainer</v>
      </c>
      <c r="C1003" s="45" t="n">
        <f aca="false">ROUND(MAX(0,'Model Inputs &amp; Assumptions'!$S$29*EXP('Model Inputs &amp; Assumptions'!$T$29*P1003-'Model Inputs &amp; Assumptions'!$T$29^2/2)),0)</f>
        <v>153227</v>
      </c>
      <c r="D1003" s="46" t="n">
        <f aca="false">MIN(1,'Model Inputs &amp; Assumptions'!$U$29*EXP('Model Inputs &amp; Assumptions'!$V$29*Q1003-'Model Inputs &amp; Assumptions'!$V$29^2/2))</f>
        <v>0</v>
      </c>
      <c r="E1003" s="45" t="n">
        <f aca="false">ROUND(C1003*D1003,0)</f>
        <v>0</v>
      </c>
      <c r="F1003" s="47" t="n">
        <f aca="false">MIN(1,'Model Inputs &amp; Assumptions'!$W$29*EXP('Model Inputs &amp; Assumptions'!$X$29*R1003-'Model Inputs &amp; Assumptions'!$X$29^2/2))</f>
        <v>0.004926392810569</v>
      </c>
      <c r="G1003" s="45" t="n">
        <f aca="false">ROUND(C1003*F1003,0)</f>
        <v>755</v>
      </c>
      <c r="H1003" s="48" t="n">
        <f aca="false">MAX(0,(C1003*'Model Inputs &amp; Assumptions'!$N$29+E1003*'Model Inputs &amp; Assumptions'!$O$29+G1003*'Model Inputs &amp; Assumptions'!$P$29)*EXP('Model Inputs &amp; Assumptions'!$Q$29*S1003-'Model Inputs &amp; Assumptions'!$Q$29^2/2))</f>
        <v>41.9694585212229</v>
      </c>
      <c r="I1003" s="49" t="n">
        <f aca="false">IF('Model Inputs &amp; Assumptions'!$H$29="Fixed",'Model Inputs &amp; Assumptions'!$I$29*'Model Inputs &amp; Assumptions'!$K$29,IF('Model Inputs &amp; Assumptions'!$H$29="CPM",'Model Inputs &amp; Assumptions'!$I$29*'Model Inputs &amp; Assumptions'!$K$29*C1003/1000,IF('Model Inputs &amp; Assumptions'!$H$29="CPC",'Model Inputs &amp; Assumptions'!$I$29*'Model Inputs &amp; Assumptions'!$K$29*G1003,0)))</f>
        <v>6500</v>
      </c>
      <c r="J1003" s="50" t="n">
        <f aca="false">H1003*INDEX('Model Inputs &amp; Assumptions'!$D$40:$D$42,MATCH('Model Inputs &amp; Assumptions'!$L$29,'Model Inputs &amp; Assumptions'!$A$40:$A$42,0))*INDEX('Model Inputs &amp; Assumptions'!$H$40:$H$42,MATCH('Model Inputs &amp; Assumptions'!$L$29,'Model Inputs &amp; Assumptions'!$A$40:$A$42,0))</f>
        <v>356740.397430395</v>
      </c>
      <c r="K1003" s="49" t="n">
        <f aca="false">H1003*INDEX('Model Inputs &amp; Assumptions'!$G$40:$G$42,MATCH('Model Inputs &amp; Assumptions'!$L$29,'Model Inputs &amp; Assumptions'!$A$40:$A$42,0))*INDEX('Model Inputs &amp; Assumptions'!$H$40:$H$42,MATCH('Model Inputs &amp; Assumptions'!$L$29,'Model Inputs &amp; Assumptions'!$A$40:$A$42,0))</f>
        <v>8026.65894218389</v>
      </c>
      <c r="L1003" s="51" t="n">
        <f aca="false">IFERROR(K1003/I1003,0)</f>
        <v>1.23487060648983</v>
      </c>
      <c r="M1003" s="49" t="n">
        <f aca="false">IFERROR(I1003/H1003,0)</f>
        <v>154.8745261203</v>
      </c>
      <c r="N1003" s="52" t="str">
        <f aca="false">'Model Inputs &amp; Assumptions'!$L$29</f>
        <v>PRD-EUAI</v>
      </c>
      <c r="P1003" s="53" t="n">
        <v>-1.055226</v>
      </c>
      <c r="Q1003" s="53" t="n">
        <v>0.064089</v>
      </c>
      <c r="R1003" s="53" t="n">
        <v>2.068242</v>
      </c>
      <c r="S1003" s="53" t="n">
        <v>0.503189</v>
      </c>
    </row>
    <row r="1004" customFormat="false" ht="15" hidden="false" customHeight="false" outlineLevel="0" collapsed="false">
      <c r="A1004" s="43" t="n">
        <v>1</v>
      </c>
      <c r="B1004" s="44" t="str">
        <f aca="false">'Model Inputs &amp; Assumptions'!$B$30</f>
        <v>extraETF — Newsletter Takeover</v>
      </c>
      <c r="C1004" s="45" t="n">
        <f aca="false">ROUND(MAX(0,'Model Inputs &amp; Assumptions'!$S$30*EXP('Model Inputs &amp; Assumptions'!$T$30*P1004-'Model Inputs &amp; Assumptions'!$T$30^2/2)),0)</f>
        <v>93310</v>
      </c>
      <c r="D1004" s="46" t="n">
        <f aca="false">MIN(1,'Model Inputs &amp; Assumptions'!$U$30*EXP('Model Inputs &amp; Assumptions'!$V$30*Q1004-'Model Inputs &amp; Assumptions'!$V$30^2/2))</f>
        <v>0</v>
      </c>
      <c r="E1004" s="45" t="n">
        <f aca="false">ROUND(C1004*D1004,0)</f>
        <v>0</v>
      </c>
      <c r="F1004" s="47" t="n">
        <f aca="false">MIN(1,'Model Inputs &amp; Assumptions'!$W$30*EXP('Model Inputs &amp; Assumptions'!$X$30*R1004-'Model Inputs &amp; Assumptions'!$X$30^2/2))</f>
        <v>0.00674787838186574</v>
      </c>
      <c r="G1004" s="45" t="n">
        <f aca="false">ROUND(C1004*F1004,0)</f>
        <v>630</v>
      </c>
      <c r="H1004" s="48" t="n">
        <f aca="false">MAX(0,(C1004*'Model Inputs &amp; Assumptions'!$N$30+E1004*'Model Inputs &amp; Assumptions'!$O$30+G1004*'Model Inputs &amp; Assumptions'!$P$30)*EXP('Model Inputs &amp; Assumptions'!$Q$30*S1004-'Model Inputs &amp; Assumptions'!$Q$30^2/2))</f>
        <v>33.5665760113681</v>
      </c>
      <c r="I1004" s="49" t="n">
        <f aca="false">IF('Model Inputs &amp; Assumptions'!$H$30="Fixed",'Model Inputs &amp; Assumptions'!$I$30*'Model Inputs &amp; Assumptions'!$K$30,IF('Model Inputs &amp; Assumptions'!$H$30="CPM",'Model Inputs &amp; Assumptions'!$I$30*'Model Inputs &amp; Assumptions'!$K$30*C1004/1000,IF('Model Inputs &amp; Assumptions'!$H$30="CPC",'Model Inputs &amp; Assumptions'!$I$30*'Model Inputs &amp; Assumptions'!$K$30*G1004,0)))</f>
        <v>6900</v>
      </c>
      <c r="J1004" s="50" t="n">
        <f aca="false">H1004*INDEX('Model Inputs &amp; Assumptions'!$D$40:$D$42,MATCH('Model Inputs &amp; Assumptions'!$L$30,'Model Inputs &amp; Assumptions'!$A$40:$A$42,0))*INDEX('Model Inputs &amp; Assumptions'!$H$40:$H$42,MATCH('Model Inputs &amp; Assumptions'!$L$30,'Model Inputs &amp; Assumptions'!$A$40:$A$42,0))</f>
        <v>241679.34728185</v>
      </c>
      <c r="K1004" s="49" t="n">
        <f aca="false">H1004*INDEX('Model Inputs &amp; Assumptions'!$G$40:$G$42,MATCH('Model Inputs &amp; Assumptions'!$L$30,'Model Inputs &amp; Assumptions'!$A$40:$A$42,0))*INDEX('Model Inputs &amp; Assumptions'!$H$40:$H$42,MATCH('Model Inputs &amp; Assumptions'!$L$30,'Model Inputs &amp; Assumptions'!$A$40:$A$42,0))</f>
        <v>5329.0296075648</v>
      </c>
      <c r="L1004" s="51" t="n">
        <f aca="false">IFERROR(K1004/I1004,0)</f>
        <v>0.77232313153113</v>
      </c>
      <c r="M1004" s="49" t="n">
        <f aca="false">IFERROR(I1004/H1004,0)</f>
        <v>205.561627663875</v>
      </c>
      <c r="N1004" s="52" t="str">
        <f aca="false">'Model Inputs &amp; Assumptions'!$L$30</f>
        <v>PRD-USIQ</v>
      </c>
      <c r="P1004" s="53" t="n">
        <v>0.548211</v>
      </c>
      <c r="Q1004" s="53" t="n">
        <v>-1.532207</v>
      </c>
      <c r="R1004" s="53" t="n">
        <v>-1.059756</v>
      </c>
      <c r="S1004" s="53" t="n">
        <v>-0.670284</v>
      </c>
    </row>
    <row r="1005" customFormat="false" ht="15" hidden="false" customHeight="false" outlineLevel="0" collapsed="false">
      <c r="A1005" s="43" t="n">
        <v>2</v>
      </c>
      <c r="B1005" s="44" t="str">
        <f aca="false">'Model Inputs &amp; Assumptions'!$B$30</f>
        <v>extraETF — Newsletter Takeover</v>
      </c>
      <c r="C1005" s="45" t="n">
        <f aca="false">ROUND(MAX(0,'Model Inputs &amp; Assumptions'!$S$30*EXP('Model Inputs &amp; Assumptions'!$T$30*P1005-'Model Inputs &amp; Assumptions'!$T$30^2/2)),0)</f>
        <v>82383</v>
      </c>
      <c r="D1005" s="46" t="n">
        <f aca="false">MIN(1,'Model Inputs &amp; Assumptions'!$U$30*EXP('Model Inputs &amp; Assumptions'!$V$30*Q1005-'Model Inputs &amp; Assumptions'!$V$30^2/2))</f>
        <v>0</v>
      </c>
      <c r="E1005" s="45" t="n">
        <f aca="false">ROUND(C1005*D1005,0)</f>
        <v>0</v>
      </c>
      <c r="F1005" s="47" t="n">
        <f aca="false">MIN(1,'Model Inputs &amp; Assumptions'!$W$30*EXP('Model Inputs &amp; Assumptions'!$X$30*R1005-'Model Inputs &amp; Assumptions'!$X$30^2/2))</f>
        <v>0.00866126678309692</v>
      </c>
      <c r="G1005" s="45" t="n">
        <f aca="false">ROUND(C1005*F1005,0)</f>
        <v>714</v>
      </c>
      <c r="H1005" s="48" t="n">
        <f aca="false">MAX(0,(C1005*'Model Inputs &amp; Assumptions'!$N$30+E1005*'Model Inputs &amp; Assumptions'!$O$30+G1005*'Model Inputs &amp; Assumptions'!$P$30)*EXP('Model Inputs &amp; Assumptions'!$Q$30*S1005-'Model Inputs &amp; Assumptions'!$Q$30^2/2))</f>
        <v>52.2482790391689</v>
      </c>
      <c r="I1005" s="49" t="n">
        <f aca="false">IF('Model Inputs &amp; Assumptions'!$H$30="Fixed",'Model Inputs &amp; Assumptions'!$I$30*'Model Inputs &amp; Assumptions'!$K$30,IF('Model Inputs &amp; Assumptions'!$H$30="CPM",'Model Inputs &amp; Assumptions'!$I$30*'Model Inputs &amp; Assumptions'!$K$30*C1005/1000,IF('Model Inputs &amp; Assumptions'!$H$30="CPC",'Model Inputs &amp; Assumptions'!$I$30*'Model Inputs &amp; Assumptions'!$K$30*G1005,0)))</f>
        <v>6900</v>
      </c>
      <c r="J1005" s="50" t="n">
        <f aca="false">H1005*INDEX('Model Inputs &amp; Assumptions'!$D$40:$D$42,MATCH('Model Inputs &amp; Assumptions'!$L$30,'Model Inputs &amp; Assumptions'!$A$40:$A$42,0))*INDEX('Model Inputs &amp; Assumptions'!$H$40:$H$42,MATCH('Model Inputs &amp; Assumptions'!$L$30,'Model Inputs &amp; Assumptions'!$A$40:$A$42,0))</f>
        <v>376187.609082016</v>
      </c>
      <c r="K1005" s="49" t="n">
        <f aca="false">H1005*INDEX('Model Inputs &amp; Assumptions'!$G$40:$G$42,MATCH('Model Inputs &amp; Assumptions'!$L$30,'Model Inputs &amp; Assumptions'!$A$40:$A$42,0))*INDEX('Model Inputs &amp; Assumptions'!$H$40:$H$42,MATCH('Model Inputs &amp; Assumptions'!$L$30,'Model Inputs &amp; Assumptions'!$A$40:$A$42,0))</f>
        <v>8294.93678025845</v>
      </c>
      <c r="L1005" s="51" t="n">
        <f aca="false">IFERROR(K1005/I1005,0)</f>
        <v>1.20216475076209</v>
      </c>
      <c r="M1005" s="49" t="n">
        <f aca="false">IFERROR(I1005/H1005,0)</f>
        <v>132.061765992853</v>
      </c>
      <c r="N1005" s="52" t="str">
        <f aca="false">'Model Inputs &amp; Assumptions'!$L$30</f>
        <v>PRD-USIQ</v>
      </c>
      <c r="P1005" s="53" t="n">
        <v>-0.48964</v>
      </c>
      <c r="Q1005" s="53" t="n">
        <v>0.030758</v>
      </c>
      <c r="R1005" s="53" t="n">
        <v>0.604463</v>
      </c>
      <c r="S1005" s="53" t="n">
        <v>0.598968</v>
      </c>
    </row>
    <row r="1006" customFormat="false" ht="15" hidden="false" customHeight="false" outlineLevel="0" collapsed="false">
      <c r="A1006" s="43" t="n">
        <v>3</v>
      </c>
      <c r="B1006" s="44" t="str">
        <f aca="false">'Model Inputs &amp; Assumptions'!$B$30</f>
        <v>extraETF — Newsletter Takeover</v>
      </c>
      <c r="C1006" s="45" t="n">
        <f aca="false">ROUND(MAX(0,'Model Inputs &amp; Assumptions'!$S$30*EXP('Model Inputs &amp; Assumptions'!$T$30*P1006-'Model Inputs &amp; Assumptions'!$T$30^2/2)),0)</f>
        <v>90630</v>
      </c>
      <c r="D1006" s="46" t="n">
        <f aca="false">MIN(1,'Model Inputs &amp; Assumptions'!$U$30*EXP('Model Inputs &amp; Assumptions'!$V$30*Q1006-'Model Inputs &amp; Assumptions'!$V$30^2/2))</f>
        <v>0</v>
      </c>
      <c r="E1006" s="45" t="n">
        <f aca="false">ROUND(C1006*D1006,0)</f>
        <v>0</v>
      </c>
      <c r="F1006" s="47" t="n">
        <f aca="false">MIN(1,'Model Inputs &amp; Assumptions'!$W$30*EXP('Model Inputs &amp; Assumptions'!$X$30*R1006-'Model Inputs &amp; Assumptions'!$X$30^2/2))</f>
        <v>0.00849961604823227</v>
      </c>
      <c r="G1006" s="45" t="n">
        <f aca="false">ROUND(C1006*F1006,0)</f>
        <v>770</v>
      </c>
      <c r="H1006" s="48" t="n">
        <f aca="false">MAX(0,(C1006*'Model Inputs &amp; Assumptions'!$N$30+E1006*'Model Inputs &amp; Assumptions'!$O$30+G1006*'Model Inputs &amp; Assumptions'!$P$30)*EXP('Model Inputs &amp; Assumptions'!$Q$30*S1006-'Model Inputs &amp; Assumptions'!$Q$30^2/2))</f>
        <v>80.8911364098629</v>
      </c>
      <c r="I1006" s="49" t="n">
        <f aca="false">IF('Model Inputs &amp; Assumptions'!$H$30="Fixed",'Model Inputs &amp; Assumptions'!$I$30*'Model Inputs &amp; Assumptions'!$K$30,IF('Model Inputs &amp; Assumptions'!$H$30="CPM",'Model Inputs &amp; Assumptions'!$I$30*'Model Inputs &amp; Assumptions'!$K$30*C1006/1000,IF('Model Inputs &amp; Assumptions'!$H$30="CPC",'Model Inputs &amp; Assumptions'!$I$30*'Model Inputs &amp; Assumptions'!$K$30*G1006,0)))</f>
        <v>6900</v>
      </c>
      <c r="J1006" s="50" t="n">
        <f aca="false">H1006*INDEX('Model Inputs &amp; Assumptions'!$D$40:$D$42,MATCH('Model Inputs &amp; Assumptions'!$L$30,'Model Inputs &amp; Assumptions'!$A$40:$A$42,0))*INDEX('Model Inputs &amp; Assumptions'!$H$40:$H$42,MATCH('Model Inputs &amp; Assumptions'!$L$30,'Model Inputs &amp; Assumptions'!$A$40:$A$42,0))</f>
        <v>582416.182151013</v>
      </c>
      <c r="K1006" s="49" t="n">
        <f aca="false">H1006*INDEX('Model Inputs &amp; Assumptions'!$G$40:$G$42,MATCH('Model Inputs &amp; Assumptions'!$L$30,'Model Inputs &amp; Assumptions'!$A$40:$A$42,0))*INDEX('Model Inputs &amp; Assumptions'!$H$40:$H$42,MATCH('Model Inputs &amp; Assumptions'!$L$30,'Model Inputs &amp; Assumptions'!$A$40:$A$42,0))</f>
        <v>12842.2768164298</v>
      </c>
      <c r="L1006" s="51" t="n">
        <f aca="false">IFERROR(K1006/I1006,0)</f>
        <v>1.86119953861302</v>
      </c>
      <c r="M1006" s="49" t="n">
        <f aca="false">IFERROR(I1006/H1006,0)</f>
        <v>85.2998277220234</v>
      </c>
      <c r="N1006" s="52" t="str">
        <f aca="false">'Model Inputs &amp; Assumptions'!$L$30</f>
        <v>PRD-USIQ</v>
      </c>
      <c r="P1006" s="53" t="n">
        <v>0.305428</v>
      </c>
      <c r="Q1006" s="53" t="n">
        <v>-0.710077</v>
      </c>
      <c r="R1006" s="53" t="n">
        <v>0.478863</v>
      </c>
      <c r="S1006" s="53" t="n">
        <v>2.045327</v>
      </c>
    </row>
    <row r="1007" customFormat="false" ht="15" hidden="false" customHeight="false" outlineLevel="0" collapsed="false">
      <c r="A1007" s="43" t="n">
        <v>4</v>
      </c>
      <c r="B1007" s="44" t="str">
        <f aca="false">'Model Inputs &amp; Assumptions'!$B$30</f>
        <v>extraETF — Newsletter Takeover</v>
      </c>
      <c r="C1007" s="45" t="n">
        <f aca="false">ROUND(MAX(0,'Model Inputs &amp; Assumptions'!$S$30*EXP('Model Inputs &amp; Assumptions'!$T$30*P1007-'Model Inputs &amp; Assumptions'!$T$30^2/2)),0)</f>
        <v>102483</v>
      </c>
      <c r="D1007" s="46" t="n">
        <f aca="false">MIN(1,'Model Inputs &amp; Assumptions'!$U$30*EXP('Model Inputs &amp; Assumptions'!$V$30*Q1007-'Model Inputs &amp; Assumptions'!$V$30^2/2))</f>
        <v>0</v>
      </c>
      <c r="E1007" s="45" t="n">
        <f aca="false">ROUND(C1007*D1007,0)</f>
        <v>0</v>
      </c>
      <c r="F1007" s="47" t="n">
        <f aca="false">MIN(1,'Model Inputs &amp; Assumptions'!$W$30*EXP('Model Inputs &amp; Assumptions'!$X$30*R1007-'Model Inputs &amp; Assumptions'!$X$30^2/2))</f>
        <v>0.00661149527056497</v>
      </c>
      <c r="G1007" s="45" t="n">
        <f aca="false">ROUND(C1007*F1007,0)</f>
        <v>678</v>
      </c>
      <c r="H1007" s="48" t="n">
        <f aca="false">MAX(0,(C1007*'Model Inputs &amp; Assumptions'!$N$30+E1007*'Model Inputs &amp; Assumptions'!$O$30+G1007*'Model Inputs &amp; Assumptions'!$P$30)*EXP('Model Inputs &amp; Assumptions'!$Q$30*S1007-'Model Inputs &amp; Assumptions'!$Q$30^2/2))</f>
        <v>44.5731441631757</v>
      </c>
      <c r="I1007" s="49" t="n">
        <f aca="false">IF('Model Inputs &amp; Assumptions'!$H$30="Fixed",'Model Inputs &amp; Assumptions'!$I$30*'Model Inputs &amp; Assumptions'!$K$30,IF('Model Inputs &amp; Assumptions'!$H$30="CPM",'Model Inputs &amp; Assumptions'!$I$30*'Model Inputs &amp; Assumptions'!$K$30*C1007/1000,IF('Model Inputs &amp; Assumptions'!$H$30="CPC",'Model Inputs &amp; Assumptions'!$I$30*'Model Inputs &amp; Assumptions'!$K$30*G1007,0)))</f>
        <v>6900</v>
      </c>
      <c r="J1007" s="50" t="n">
        <f aca="false">H1007*INDEX('Model Inputs &amp; Assumptions'!$D$40:$D$42,MATCH('Model Inputs &amp; Assumptions'!$L$30,'Model Inputs &amp; Assumptions'!$A$40:$A$42,0))*INDEX('Model Inputs &amp; Assumptions'!$H$40:$H$42,MATCH('Model Inputs &amp; Assumptions'!$L$30,'Model Inputs &amp; Assumptions'!$A$40:$A$42,0))</f>
        <v>320926.637974865</v>
      </c>
      <c r="K1007" s="49" t="n">
        <f aca="false">H1007*INDEX('Model Inputs &amp; Assumptions'!$G$40:$G$42,MATCH('Model Inputs &amp; Assumptions'!$L$30,'Model Inputs &amp; Assumptions'!$A$40:$A$42,0))*INDEX('Model Inputs &amp; Assumptions'!$H$40:$H$42,MATCH('Model Inputs &amp; Assumptions'!$L$30,'Model Inputs &amp; Assumptions'!$A$40:$A$42,0))</f>
        <v>7076.43236734577</v>
      </c>
      <c r="L1007" s="51" t="n">
        <f aca="false">IFERROR(K1007/I1007,0)</f>
        <v>1.02556990831098</v>
      </c>
      <c r="M1007" s="49" t="n">
        <f aca="false">IFERROR(I1007/H1007,0)</f>
        <v>154.801733858848</v>
      </c>
      <c r="N1007" s="52" t="str">
        <f aca="false">'Model Inputs &amp; Assumptions'!$L$30</f>
        <v>PRD-USIQ</v>
      </c>
      <c r="P1007" s="53" t="n">
        <v>1.329637</v>
      </c>
      <c r="Q1007" s="53" t="n">
        <v>-0.015844</v>
      </c>
      <c r="R1007" s="53" t="n">
        <v>-1.195878</v>
      </c>
      <c r="S1007" s="53" t="n">
        <v>0.170409</v>
      </c>
    </row>
    <row r="1008" customFormat="false" ht="15" hidden="false" customHeight="false" outlineLevel="0" collapsed="false">
      <c r="A1008" s="43" t="n">
        <v>5</v>
      </c>
      <c r="B1008" s="44" t="str">
        <f aca="false">'Model Inputs &amp; Assumptions'!$B$30</f>
        <v>extraETF — Newsletter Takeover</v>
      </c>
      <c r="C1008" s="45" t="n">
        <f aca="false">ROUND(MAX(0,'Model Inputs &amp; Assumptions'!$S$30*EXP('Model Inputs &amp; Assumptions'!$T$30*P1008-'Model Inputs &amp; Assumptions'!$T$30^2/2)),0)</f>
        <v>75591</v>
      </c>
      <c r="D1008" s="46" t="n">
        <f aca="false">MIN(1,'Model Inputs &amp; Assumptions'!$U$30*EXP('Model Inputs &amp; Assumptions'!$V$30*Q1008-'Model Inputs &amp; Assumptions'!$V$30^2/2))</f>
        <v>0</v>
      </c>
      <c r="E1008" s="45" t="n">
        <f aca="false">ROUND(C1008*D1008,0)</f>
        <v>0</v>
      </c>
      <c r="F1008" s="47" t="n">
        <f aca="false">MIN(1,'Model Inputs &amp; Assumptions'!$W$30*EXP('Model Inputs &amp; Assumptions'!$X$30*R1008-'Model Inputs &amp; Assumptions'!$X$30^2/2))</f>
        <v>0.0082876780685291</v>
      </c>
      <c r="G1008" s="45" t="n">
        <f aca="false">ROUND(C1008*F1008,0)</f>
        <v>626</v>
      </c>
      <c r="H1008" s="48" t="n">
        <f aca="false">MAX(0,(C1008*'Model Inputs &amp; Assumptions'!$N$30+E1008*'Model Inputs &amp; Assumptions'!$O$30+G1008*'Model Inputs &amp; Assumptions'!$P$30)*EXP('Model Inputs &amp; Assumptions'!$Q$30*S1008-'Model Inputs &amp; Assumptions'!$Q$30^2/2))</f>
        <v>48.1862934333577</v>
      </c>
      <c r="I1008" s="49" t="n">
        <f aca="false">IF('Model Inputs &amp; Assumptions'!$H$30="Fixed",'Model Inputs &amp; Assumptions'!$I$30*'Model Inputs &amp; Assumptions'!$K$30,IF('Model Inputs &amp; Assumptions'!$H$30="CPM",'Model Inputs &amp; Assumptions'!$I$30*'Model Inputs &amp; Assumptions'!$K$30*C1008/1000,IF('Model Inputs &amp; Assumptions'!$H$30="CPC",'Model Inputs &amp; Assumptions'!$I$30*'Model Inputs &amp; Assumptions'!$K$30*G1008,0)))</f>
        <v>6900</v>
      </c>
      <c r="J1008" s="50" t="n">
        <f aca="false">H1008*INDEX('Model Inputs &amp; Assumptions'!$D$40:$D$42,MATCH('Model Inputs &amp; Assumptions'!$L$30,'Model Inputs &amp; Assumptions'!$A$40:$A$42,0))*INDEX('Model Inputs &amp; Assumptions'!$H$40:$H$42,MATCH('Model Inputs &amp; Assumptions'!$L$30,'Model Inputs &amp; Assumptions'!$A$40:$A$42,0))</f>
        <v>346941.312720175</v>
      </c>
      <c r="K1008" s="49" t="n">
        <f aca="false">H1008*INDEX('Model Inputs &amp; Assumptions'!$G$40:$G$42,MATCH('Model Inputs &amp; Assumptions'!$L$30,'Model Inputs &amp; Assumptions'!$A$40:$A$42,0))*INDEX('Model Inputs &amp; Assumptions'!$H$40:$H$42,MATCH('Model Inputs &amp; Assumptions'!$L$30,'Model Inputs &amp; Assumptions'!$A$40:$A$42,0))</f>
        <v>7650.05594547986</v>
      </c>
      <c r="L1008" s="51" t="n">
        <f aca="false">IFERROR(K1008/I1008,0)</f>
        <v>1.10870376021447</v>
      </c>
      <c r="M1008" s="49" t="n">
        <f aca="false">IFERROR(I1008/H1008,0)</f>
        <v>143.194246918842</v>
      </c>
      <c r="N1008" s="52" t="str">
        <f aca="false">'Model Inputs &amp; Assumptions'!$L$30</f>
        <v>PRD-USIQ</v>
      </c>
      <c r="P1008" s="53" t="n">
        <v>-1.206632</v>
      </c>
      <c r="Q1008" s="53" t="n">
        <v>0.577762</v>
      </c>
      <c r="R1008" s="53" t="n">
        <v>0.310522</v>
      </c>
      <c r="S1008" s="53" t="n">
        <v>0.801369</v>
      </c>
    </row>
    <row r="1009" customFormat="false" ht="15" hidden="false" customHeight="false" outlineLevel="0" collapsed="false">
      <c r="A1009" s="43" t="n">
        <v>6</v>
      </c>
      <c r="B1009" s="44" t="str">
        <f aca="false">'Model Inputs &amp; Assumptions'!$B$30</f>
        <v>extraETF — Newsletter Takeover</v>
      </c>
      <c r="C1009" s="45" t="n">
        <f aca="false">ROUND(MAX(0,'Model Inputs &amp; Assumptions'!$S$30*EXP('Model Inputs &amp; Assumptions'!$T$30*P1009-'Model Inputs &amp; Assumptions'!$T$30^2/2)),0)</f>
        <v>98723</v>
      </c>
      <c r="D1009" s="46" t="n">
        <f aca="false">MIN(1,'Model Inputs &amp; Assumptions'!$U$30*EXP('Model Inputs &amp; Assumptions'!$V$30*Q1009-'Model Inputs &amp; Assumptions'!$V$30^2/2))</f>
        <v>0</v>
      </c>
      <c r="E1009" s="45" t="n">
        <f aca="false">ROUND(C1009*D1009,0)</f>
        <v>0</v>
      </c>
      <c r="F1009" s="47" t="n">
        <f aca="false">MIN(1,'Model Inputs &amp; Assumptions'!$W$30*EXP('Model Inputs &amp; Assumptions'!$X$30*R1009-'Model Inputs &amp; Assumptions'!$X$30^2/2))</f>
        <v>0.00757936703598285</v>
      </c>
      <c r="G1009" s="45" t="n">
        <f aca="false">ROUND(C1009*F1009,0)</f>
        <v>748</v>
      </c>
      <c r="H1009" s="48" t="n">
        <f aca="false">MAX(0,(C1009*'Model Inputs &amp; Assumptions'!$N$30+E1009*'Model Inputs &amp; Assumptions'!$O$30+G1009*'Model Inputs &amp; Assumptions'!$P$30)*EXP('Model Inputs &amp; Assumptions'!$Q$30*S1009-'Model Inputs &amp; Assumptions'!$Q$30^2/2))</f>
        <v>38.6417855780221</v>
      </c>
      <c r="I1009" s="49" t="n">
        <f aca="false">IF('Model Inputs &amp; Assumptions'!$H$30="Fixed",'Model Inputs &amp; Assumptions'!$I$30*'Model Inputs &amp; Assumptions'!$K$30,IF('Model Inputs &amp; Assumptions'!$H$30="CPM",'Model Inputs &amp; Assumptions'!$I$30*'Model Inputs &amp; Assumptions'!$K$30*C1009/1000,IF('Model Inputs &amp; Assumptions'!$H$30="CPC",'Model Inputs &amp; Assumptions'!$I$30*'Model Inputs &amp; Assumptions'!$K$30*G1009,0)))</f>
        <v>6900</v>
      </c>
      <c r="J1009" s="50" t="n">
        <f aca="false">H1009*INDEX('Model Inputs &amp; Assumptions'!$D$40:$D$42,MATCH('Model Inputs &amp; Assumptions'!$L$30,'Model Inputs &amp; Assumptions'!$A$40:$A$42,0))*INDEX('Model Inputs &amp; Assumptions'!$H$40:$H$42,MATCH('Model Inputs &amp; Assumptions'!$L$30,'Model Inputs &amp; Assumptions'!$A$40:$A$42,0))</f>
        <v>278220.856161759</v>
      </c>
      <c r="K1009" s="49" t="n">
        <f aca="false">H1009*INDEX('Model Inputs &amp; Assumptions'!$G$40:$G$42,MATCH('Model Inputs &amp; Assumptions'!$L$30,'Model Inputs &amp; Assumptions'!$A$40:$A$42,0))*INDEX('Model Inputs &amp; Assumptions'!$H$40:$H$42,MATCH('Model Inputs &amp; Assumptions'!$L$30,'Model Inputs &amp; Assumptions'!$A$40:$A$42,0))</f>
        <v>6134.76987836679</v>
      </c>
      <c r="L1009" s="51" t="n">
        <f aca="false">IFERROR(K1009/I1009,0)</f>
        <v>0.889097083821273</v>
      </c>
      <c r="M1009" s="49" t="n">
        <f aca="false">IFERROR(I1009/H1009,0)</f>
        <v>178.563177057854</v>
      </c>
      <c r="N1009" s="52" t="str">
        <f aca="false">'Model Inputs &amp; Assumptions'!$L$30</f>
        <v>PRD-USIQ</v>
      </c>
      <c r="P1009" s="53" t="n">
        <v>1.018212</v>
      </c>
      <c r="Q1009" s="53" t="n">
        <v>-1.965822</v>
      </c>
      <c r="R1009" s="53" t="n">
        <v>-0.285079</v>
      </c>
      <c r="S1009" s="53" t="n">
        <v>-0.793803</v>
      </c>
    </row>
    <row r="1010" customFormat="false" ht="15" hidden="false" customHeight="false" outlineLevel="0" collapsed="false">
      <c r="A1010" s="43" t="n">
        <v>7</v>
      </c>
      <c r="B1010" s="44" t="str">
        <f aca="false">'Model Inputs &amp; Assumptions'!$B$30</f>
        <v>extraETF — Newsletter Takeover</v>
      </c>
      <c r="C1010" s="45" t="n">
        <f aca="false">ROUND(MAX(0,'Model Inputs &amp; Assumptions'!$S$30*EXP('Model Inputs &amp; Assumptions'!$T$30*P1010-'Model Inputs &amp; Assumptions'!$T$30^2/2)),0)</f>
        <v>82371</v>
      </c>
      <c r="D1010" s="46" t="n">
        <f aca="false">MIN(1,'Model Inputs &amp; Assumptions'!$U$30*EXP('Model Inputs &amp; Assumptions'!$V$30*Q1010-'Model Inputs &amp; Assumptions'!$V$30^2/2))</f>
        <v>0</v>
      </c>
      <c r="E1010" s="45" t="n">
        <f aca="false">ROUND(C1010*D1010,0)</f>
        <v>0</v>
      </c>
      <c r="F1010" s="47" t="n">
        <f aca="false">MIN(1,'Model Inputs &amp; Assumptions'!$W$30*EXP('Model Inputs &amp; Assumptions'!$X$30*R1010-'Model Inputs &amp; Assumptions'!$X$30^2/2))</f>
        <v>0.00887537592028666</v>
      </c>
      <c r="G1010" s="45" t="n">
        <f aca="false">ROUND(C1010*F1010,0)</f>
        <v>731</v>
      </c>
      <c r="H1010" s="48" t="n">
        <f aca="false">MAX(0,(C1010*'Model Inputs &amp; Assumptions'!$N$30+E1010*'Model Inputs &amp; Assumptions'!$O$30+G1010*'Model Inputs &amp; Assumptions'!$P$30)*EXP('Model Inputs &amp; Assumptions'!$Q$30*S1010-'Model Inputs &amp; Assumptions'!$Q$30^2/2))</f>
        <v>53.7476771716759</v>
      </c>
      <c r="I1010" s="49" t="n">
        <f aca="false">IF('Model Inputs &amp; Assumptions'!$H$30="Fixed",'Model Inputs &amp; Assumptions'!$I$30*'Model Inputs &amp; Assumptions'!$K$30,IF('Model Inputs &amp; Assumptions'!$H$30="CPM",'Model Inputs &amp; Assumptions'!$I$30*'Model Inputs &amp; Assumptions'!$K$30*C1010/1000,IF('Model Inputs &amp; Assumptions'!$H$30="CPC",'Model Inputs &amp; Assumptions'!$I$30*'Model Inputs &amp; Assumptions'!$K$30*G1010,0)))</f>
        <v>6900</v>
      </c>
      <c r="J1010" s="50" t="n">
        <f aca="false">H1010*INDEX('Model Inputs &amp; Assumptions'!$D$40:$D$42,MATCH('Model Inputs &amp; Assumptions'!$L$30,'Model Inputs &amp; Assumptions'!$A$40:$A$42,0))*INDEX('Model Inputs &amp; Assumptions'!$H$40:$H$42,MATCH('Model Inputs &amp; Assumptions'!$L$30,'Model Inputs &amp; Assumptions'!$A$40:$A$42,0))</f>
        <v>386983.275636067</v>
      </c>
      <c r="K1010" s="49" t="n">
        <f aca="false">H1010*INDEX('Model Inputs &amp; Assumptions'!$G$40:$G$42,MATCH('Model Inputs &amp; Assumptions'!$L$30,'Model Inputs &amp; Assumptions'!$A$40:$A$42,0))*INDEX('Model Inputs &amp; Assumptions'!$H$40:$H$42,MATCH('Model Inputs &amp; Assumptions'!$L$30,'Model Inputs &amp; Assumptions'!$A$40:$A$42,0))</f>
        <v>8532.98122777527</v>
      </c>
      <c r="L1010" s="51" t="n">
        <f aca="false">IFERROR(K1010/I1010,0)</f>
        <v>1.23666394605439</v>
      </c>
      <c r="M1010" s="49" t="n">
        <f aca="false">IFERROR(I1010/H1010,0)</f>
        <v>128.37764091573</v>
      </c>
      <c r="N1010" s="52" t="str">
        <f aca="false">'Model Inputs &amp; Assumptions'!$L$30</f>
        <v>PRD-USIQ</v>
      </c>
      <c r="P1010" s="53" t="n">
        <v>-0.490858</v>
      </c>
      <c r="Q1010" s="53" t="n">
        <v>1.09729</v>
      </c>
      <c r="R1010" s="53" t="n">
        <v>0.767261</v>
      </c>
      <c r="S1010" s="53" t="n">
        <v>0.61802</v>
      </c>
    </row>
    <row r="1011" customFormat="false" ht="15" hidden="false" customHeight="false" outlineLevel="0" collapsed="false">
      <c r="A1011" s="43" t="n">
        <v>8</v>
      </c>
      <c r="B1011" s="44" t="str">
        <f aca="false">'Model Inputs &amp; Assumptions'!$B$30</f>
        <v>extraETF — Newsletter Takeover</v>
      </c>
      <c r="C1011" s="45" t="n">
        <f aca="false">ROUND(MAX(0,'Model Inputs &amp; Assumptions'!$S$30*EXP('Model Inputs &amp; Assumptions'!$T$30*P1011-'Model Inputs &amp; Assumptions'!$T$30^2/2)),0)</f>
        <v>69454</v>
      </c>
      <c r="D1011" s="46" t="n">
        <f aca="false">MIN(1,'Model Inputs &amp; Assumptions'!$U$30*EXP('Model Inputs &amp; Assumptions'!$V$30*Q1011-'Model Inputs &amp; Assumptions'!$V$30^2/2))</f>
        <v>0</v>
      </c>
      <c r="E1011" s="45" t="n">
        <f aca="false">ROUND(C1011*D1011,0)</f>
        <v>0</v>
      </c>
      <c r="F1011" s="47" t="n">
        <f aca="false">MIN(1,'Model Inputs &amp; Assumptions'!$W$30*EXP('Model Inputs &amp; Assumptions'!$X$30*R1011-'Model Inputs &amp; Assumptions'!$X$30^2/2))</f>
        <v>0.00840525992712493</v>
      </c>
      <c r="G1011" s="45" t="n">
        <f aca="false">ROUND(C1011*F1011,0)</f>
        <v>584</v>
      </c>
      <c r="H1011" s="48" t="n">
        <f aca="false">MAX(0,(C1011*'Model Inputs &amp; Assumptions'!$N$30+E1011*'Model Inputs &amp; Assumptions'!$O$30+G1011*'Model Inputs &amp; Assumptions'!$P$30)*EXP('Model Inputs &amp; Assumptions'!$Q$30*S1011-'Model Inputs &amp; Assumptions'!$Q$30^2/2))</f>
        <v>36.4064506187098</v>
      </c>
      <c r="I1011" s="49" t="n">
        <f aca="false">IF('Model Inputs &amp; Assumptions'!$H$30="Fixed",'Model Inputs &amp; Assumptions'!$I$30*'Model Inputs &amp; Assumptions'!$K$30,IF('Model Inputs &amp; Assumptions'!$H$30="CPM",'Model Inputs &amp; Assumptions'!$I$30*'Model Inputs &amp; Assumptions'!$K$30*C1011/1000,IF('Model Inputs &amp; Assumptions'!$H$30="CPC",'Model Inputs &amp; Assumptions'!$I$30*'Model Inputs &amp; Assumptions'!$K$30*G1011,0)))</f>
        <v>6900</v>
      </c>
      <c r="J1011" s="50" t="n">
        <f aca="false">H1011*INDEX('Model Inputs &amp; Assumptions'!$D$40:$D$42,MATCH('Model Inputs &amp; Assumptions'!$L$30,'Model Inputs &amp; Assumptions'!$A$40:$A$42,0))*INDEX('Model Inputs &amp; Assumptions'!$H$40:$H$42,MATCH('Model Inputs &amp; Assumptions'!$L$30,'Model Inputs &amp; Assumptions'!$A$40:$A$42,0))</f>
        <v>262126.444454711</v>
      </c>
      <c r="K1011" s="49" t="n">
        <f aca="false">H1011*INDEX('Model Inputs &amp; Assumptions'!$G$40:$G$42,MATCH('Model Inputs &amp; Assumptions'!$L$30,'Model Inputs &amp; Assumptions'!$A$40:$A$42,0))*INDEX('Model Inputs &amp; Assumptions'!$H$40:$H$42,MATCH('Model Inputs &amp; Assumptions'!$L$30,'Model Inputs &amp; Assumptions'!$A$40:$A$42,0))</f>
        <v>5779.88810022637</v>
      </c>
      <c r="L1011" s="51" t="n">
        <f aca="false">IFERROR(K1011/I1011,0)</f>
        <v>0.837664942061792</v>
      </c>
      <c r="M1011" s="49" t="n">
        <f aca="false">IFERROR(I1011/H1011,0)</f>
        <v>189.526852597215</v>
      </c>
      <c r="N1011" s="52" t="str">
        <f aca="false">'Model Inputs &amp; Assumptions'!$L$30</f>
        <v>PRD-USIQ</v>
      </c>
      <c r="P1011" s="53" t="n">
        <v>-1.912236</v>
      </c>
      <c r="Q1011" s="53" t="n">
        <v>-1.125576</v>
      </c>
      <c r="R1011" s="53" t="n">
        <v>0.404441</v>
      </c>
      <c r="S1011" s="53" t="n">
        <v>-0.042148</v>
      </c>
    </row>
    <row r="1012" customFormat="false" ht="15" hidden="false" customHeight="false" outlineLevel="0" collapsed="false">
      <c r="A1012" s="43" t="n">
        <v>9</v>
      </c>
      <c r="B1012" s="44" t="str">
        <f aca="false">'Model Inputs &amp; Assumptions'!$B$30</f>
        <v>extraETF — Newsletter Takeover</v>
      </c>
      <c r="C1012" s="45" t="n">
        <f aca="false">ROUND(MAX(0,'Model Inputs &amp; Assumptions'!$S$30*EXP('Model Inputs &amp; Assumptions'!$T$30*P1012-'Model Inputs &amp; Assumptions'!$T$30^2/2)),0)</f>
        <v>100280</v>
      </c>
      <c r="D1012" s="46" t="n">
        <f aca="false">MIN(1,'Model Inputs &amp; Assumptions'!$U$30*EXP('Model Inputs &amp; Assumptions'!$V$30*Q1012-'Model Inputs &amp; Assumptions'!$V$30^2/2))</f>
        <v>0</v>
      </c>
      <c r="E1012" s="45" t="n">
        <f aca="false">ROUND(C1012*D1012,0)</f>
        <v>0</v>
      </c>
      <c r="F1012" s="47" t="n">
        <f aca="false">MIN(1,'Model Inputs &amp; Assumptions'!$W$30*EXP('Model Inputs &amp; Assumptions'!$X$30*R1012-'Model Inputs &amp; Assumptions'!$X$30^2/2))</f>
        <v>0.00894588626726544</v>
      </c>
      <c r="G1012" s="45" t="n">
        <f aca="false">ROUND(C1012*F1012,0)</f>
        <v>897</v>
      </c>
      <c r="H1012" s="48" t="n">
        <f aca="false">MAX(0,(C1012*'Model Inputs &amp; Assumptions'!$N$30+E1012*'Model Inputs &amp; Assumptions'!$O$30+G1012*'Model Inputs &amp; Assumptions'!$P$30)*EXP('Model Inputs &amp; Assumptions'!$Q$30*S1012-'Model Inputs &amp; Assumptions'!$Q$30^2/2))</f>
        <v>73.7849552905007</v>
      </c>
      <c r="I1012" s="49" t="n">
        <f aca="false">IF('Model Inputs &amp; Assumptions'!$H$30="Fixed",'Model Inputs &amp; Assumptions'!$I$30*'Model Inputs &amp; Assumptions'!$K$30,IF('Model Inputs &amp; Assumptions'!$H$30="CPM",'Model Inputs &amp; Assumptions'!$I$30*'Model Inputs &amp; Assumptions'!$K$30*C1012/1000,IF('Model Inputs &amp; Assumptions'!$H$30="CPC",'Model Inputs &amp; Assumptions'!$I$30*'Model Inputs &amp; Assumptions'!$K$30*G1012,0)))</f>
        <v>6900</v>
      </c>
      <c r="J1012" s="50" t="n">
        <f aca="false">H1012*INDEX('Model Inputs &amp; Assumptions'!$D$40:$D$42,MATCH('Model Inputs &amp; Assumptions'!$L$30,'Model Inputs &amp; Assumptions'!$A$40:$A$42,0))*INDEX('Model Inputs &amp; Assumptions'!$H$40:$H$42,MATCH('Model Inputs &amp; Assumptions'!$L$30,'Model Inputs &amp; Assumptions'!$A$40:$A$42,0))</f>
        <v>531251.678091605</v>
      </c>
      <c r="K1012" s="49" t="n">
        <f aca="false">H1012*INDEX('Model Inputs &amp; Assumptions'!$G$40:$G$42,MATCH('Model Inputs &amp; Assumptions'!$L$30,'Model Inputs &amp; Assumptions'!$A$40:$A$42,0))*INDEX('Model Inputs &amp; Assumptions'!$H$40:$H$42,MATCH('Model Inputs &amp; Assumptions'!$L$30,'Model Inputs &amp; Assumptions'!$A$40:$A$42,0))</f>
        <v>11714.0995019199</v>
      </c>
      <c r="L1012" s="51" t="n">
        <f aca="false">IFERROR(K1012/I1012,0)</f>
        <v>1.69769557998839</v>
      </c>
      <c r="M1012" s="49" t="n">
        <f aca="false">IFERROR(I1012/H1012,0)</f>
        <v>93.5149987261472</v>
      </c>
      <c r="N1012" s="52" t="str">
        <f aca="false">'Model Inputs &amp; Assumptions'!$L$30</f>
        <v>PRD-USIQ</v>
      </c>
      <c r="P1012" s="53" t="n">
        <v>1.148571</v>
      </c>
      <c r="Q1012" s="53" t="n">
        <v>-1.760304</v>
      </c>
      <c r="R1012" s="53" t="n">
        <v>0.820015</v>
      </c>
      <c r="S1012" s="53" t="n">
        <v>1.066868</v>
      </c>
    </row>
    <row r="1013" customFormat="false" ht="15" hidden="false" customHeight="false" outlineLevel="0" collapsed="false">
      <c r="A1013" s="43" t="n">
        <v>10</v>
      </c>
      <c r="B1013" s="44" t="str">
        <f aca="false">'Model Inputs &amp; Assumptions'!$B$30</f>
        <v>extraETF — Newsletter Takeover</v>
      </c>
      <c r="C1013" s="45" t="n">
        <f aca="false">ROUND(MAX(0,'Model Inputs &amp; Assumptions'!$S$30*EXP('Model Inputs &amp; Assumptions'!$T$30*P1013-'Model Inputs &amp; Assumptions'!$T$30^2/2)),0)</f>
        <v>98098</v>
      </c>
      <c r="D1013" s="46" t="n">
        <f aca="false">MIN(1,'Model Inputs &amp; Assumptions'!$U$30*EXP('Model Inputs &amp; Assumptions'!$V$30*Q1013-'Model Inputs &amp; Assumptions'!$V$30^2/2))</f>
        <v>0</v>
      </c>
      <c r="E1013" s="45" t="n">
        <f aca="false">ROUND(C1013*D1013,0)</f>
        <v>0</v>
      </c>
      <c r="F1013" s="47" t="n">
        <f aca="false">MIN(1,'Model Inputs &amp; Assumptions'!$W$30*EXP('Model Inputs &amp; Assumptions'!$X$30*R1013-'Model Inputs &amp; Assumptions'!$X$30^2/2))</f>
        <v>0.00812666468615615</v>
      </c>
      <c r="G1013" s="45" t="n">
        <f aca="false">ROUND(C1013*F1013,0)</f>
        <v>797</v>
      </c>
      <c r="H1013" s="48" t="n">
        <f aca="false">MAX(0,(C1013*'Model Inputs &amp; Assumptions'!$N$30+E1013*'Model Inputs &amp; Assumptions'!$O$30+G1013*'Model Inputs &amp; Assumptions'!$P$30)*EXP('Model Inputs &amp; Assumptions'!$Q$30*S1013-'Model Inputs &amp; Assumptions'!$Q$30^2/2))</f>
        <v>61.151104230408</v>
      </c>
      <c r="I1013" s="49" t="n">
        <f aca="false">IF('Model Inputs &amp; Assumptions'!$H$30="Fixed",'Model Inputs &amp; Assumptions'!$I$30*'Model Inputs &amp; Assumptions'!$K$30,IF('Model Inputs &amp; Assumptions'!$H$30="CPM",'Model Inputs &amp; Assumptions'!$I$30*'Model Inputs &amp; Assumptions'!$K$30*C1013/1000,IF('Model Inputs &amp; Assumptions'!$H$30="CPC",'Model Inputs &amp; Assumptions'!$I$30*'Model Inputs &amp; Assumptions'!$K$30*G1013,0)))</f>
        <v>6900</v>
      </c>
      <c r="J1013" s="50" t="n">
        <f aca="false">H1013*INDEX('Model Inputs &amp; Assumptions'!$D$40:$D$42,MATCH('Model Inputs &amp; Assumptions'!$L$30,'Model Inputs &amp; Assumptions'!$A$40:$A$42,0))*INDEX('Model Inputs &amp; Assumptions'!$H$40:$H$42,MATCH('Model Inputs &amp; Assumptions'!$L$30,'Model Inputs &amp; Assumptions'!$A$40:$A$42,0))</f>
        <v>440287.950458937</v>
      </c>
      <c r="K1013" s="49" t="n">
        <f aca="false">H1013*INDEX('Model Inputs &amp; Assumptions'!$G$40:$G$42,MATCH('Model Inputs &amp; Assumptions'!$L$30,'Model Inputs &amp; Assumptions'!$A$40:$A$42,0))*INDEX('Model Inputs &amp; Assumptions'!$H$40:$H$42,MATCH('Model Inputs &amp; Assumptions'!$L$30,'Model Inputs &amp; Assumptions'!$A$40:$A$42,0))</f>
        <v>9708.34930761957</v>
      </c>
      <c r="L1013" s="51" t="n">
        <f aca="false">IFERROR(K1013/I1013,0)</f>
        <v>1.40700714603182</v>
      </c>
      <c r="M1013" s="49" t="n">
        <f aca="false">IFERROR(I1013/H1013,0)</f>
        <v>112.835247815017</v>
      </c>
      <c r="N1013" s="52" t="str">
        <f aca="false">'Model Inputs &amp; Assumptions'!$L$30</f>
        <v>PRD-USIQ</v>
      </c>
      <c r="P1013" s="53" t="n">
        <v>0.965234</v>
      </c>
      <c r="Q1013" s="53" t="n">
        <v>-0.478656</v>
      </c>
      <c r="R1013" s="53" t="n">
        <v>0.179727</v>
      </c>
      <c r="S1013" s="53" t="n">
        <v>0.788445</v>
      </c>
    </row>
    <row r="1014" customFormat="false" ht="15" hidden="false" customHeight="false" outlineLevel="0" collapsed="false">
      <c r="A1014" s="43" t="n">
        <v>11</v>
      </c>
      <c r="B1014" s="44" t="str">
        <f aca="false">'Model Inputs &amp; Assumptions'!$B$30</f>
        <v>extraETF — Newsletter Takeover</v>
      </c>
      <c r="C1014" s="45" t="n">
        <f aca="false">ROUND(MAX(0,'Model Inputs &amp; Assumptions'!$S$30*EXP('Model Inputs &amp; Assumptions'!$T$30*P1014-'Model Inputs &amp; Assumptions'!$T$30^2/2)),0)</f>
        <v>88344</v>
      </c>
      <c r="D1014" s="46" t="n">
        <f aca="false">MIN(1,'Model Inputs &amp; Assumptions'!$U$30*EXP('Model Inputs &amp; Assumptions'!$V$30*Q1014-'Model Inputs &amp; Assumptions'!$V$30^2/2))</f>
        <v>0</v>
      </c>
      <c r="E1014" s="45" t="n">
        <f aca="false">ROUND(C1014*D1014,0)</f>
        <v>0</v>
      </c>
      <c r="F1014" s="47" t="n">
        <f aca="false">MIN(1,'Model Inputs &amp; Assumptions'!$W$30*EXP('Model Inputs &amp; Assumptions'!$X$30*R1014-'Model Inputs &amp; Assumptions'!$X$30^2/2))</f>
        <v>0.00797055472235917</v>
      </c>
      <c r="G1014" s="45" t="n">
        <f aca="false">ROUND(C1014*F1014,0)</f>
        <v>704</v>
      </c>
      <c r="H1014" s="48" t="n">
        <f aca="false">MAX(0,(C1014*'Model Inputs &amp; Assumptions'!$N$30+E1014*'Model Inputs &amp; Assumptions'!$O$30+G1014*'Model Inputs &amp; Assumptions'!$P$30)*EXP('Model Inputs &amp; Assumptions'!$Q$30*S1014-'Model Inputs &amp; Assumptions'!$Q$30^2/2))</f>
        <v>83.3710683641342</v>
      </c>
      <c r="I1014" s="49" t="n">
        <f aca="false">IF('Model Inputs &amp; Assumptions'!$H$30="Fixed",'Model Inputs &amp; Assumptions'!$I$30*'Model Inputs &amp; Assumptions'!$K$30,IF('Model Inputs &amp; Assumptions'!$H$30="CPM",'Model Inputs &amp; Assumptions'!$I$30*'Model Inputs &amp; Assumptions'!$K$30*C1014/1000,IF('Model Inputs &amp; Assumptions'!$H$30="CPC",'Model Inputs &amp; Assumptions'!$I$30*'Model Inputs &amp; Assumptions'!$K$30*G1014,0)))</f>
        <v>6900</v>
      </c>
      <c r="J1014" s="50" t="n">
        <f aca="false">H1014*INDEX('Model Inputs &amp; Assumptions'!$D$40:$D$42,MATCH('Model Inputs &amp; Assumptions'!$L$30,'Model Inputs &amp; Assumptions'!$A$40:$A$42,0))*INDEX('Model Inputs &amp; Assumptions'!$H$40:$H$42,MATCH('Model Inputs &amp; Assumptions'!$L$30,'Model Inputs &amp; Assumptions'!$A$40:$A$42,0))</f>
        <v>600271.692221766</v>
      </c>
      <c r="K1014" s="49" t="n">
        <f aca="false">H1014*INDEX('Model Inputs &amp; Assumptions'!$G$40:$G$42,MATCH('Model Inputs &amp; Assumptions'!$L$30,'Model Inputs &amp; Assumptions'!$A$40:$A$42,0))*INDEX('Model Inputs &amp; Assumptions'!$H$40:$H$42,MATCH('Model Inputs &amp; Assumptions'!$L$30,'Model Inputs &amp; Assumptions'!$A$40:$A$42,0))</f>
        <v>13235.9908134899</v>
      </c>
      <c r="L1014" s="51" t="n">
        <f aca="false">IFERROR(K1014/I1014,0)</f>
        <v>1.91825953818695</v>
      </c>
      <c r="M1014" s="49" t="n">
        <f aca="false">IFERROR(I1014/H1014,0)</f>
        <v>82.7625234435444</v>
      </c>
      <c r="N1014" s="52" t="str">
        <f aca="false">'Model Inputs &amp; Assumptions'!$L$30</f>
        <v>PRD-USIQ</v>
      </c>
      <c r="P1014" s="53" t="n">
        <v>0.092517</v>
      </c>
      <c r="Q1014" s="53" t="n">
        <v>1.77688</v>
      </c>
      <c r="R1014" s="53" t="n">
        <v>0.050417</v>
      </c>
      <c r="S1014" s="53" t="n">
        <v>2.524564</v>
      </c>
    </row>
    <row r="1015" customFormat="false" ht="15" hidden="false" customHeight="false" outlineLevel="0" collapsed="false">
      <c r="A1015" s="43" t="n">
        <v>12</v>
      </c>
      <c r="B1015" s="44" t="str">
        <f aca="false">'Model Inputs &amp; Assumptions'!$B$30</f>
        <v>extraETF — Newsletter Takeover</v>
      </c>
      <c r="C1015" s="45" t="n">
        <f aca="false">ROUND(MAX(0,'Model Inputs &amp; Assumptions'!$S$30*EXP('Model Inputs &amp; Assumptions'!$T$30*P1015-'Model Inputs &amp; Assumptions'!$T$30^2/2)),0)</f>
        <v>86317</v>
      </c>
      <c r="D1015" s="46" t="n">
        <f aca="false">MIN(1,'Model Inputs &amp; Assumptions'!$U$30*EXP('Model Inputs &amp; Assumptions'!$V$30*Q1015-'Model Inputs &amp; Assumptions'!$V$30^2/2))</f>
        <v>0</v>
      </c>
      <c r="E1015" s="45" t="n">
        <f aca="false">ROUND(C1015*D1015,0)</f>
        <v>0</v>
      </c>
      <c r="F1015" s="47" t="n">
        <f aca="false">MIN(1,'Model Inputs &amp; Assumptions'!$W$30*EXP('Model Inputs &amp; Assumptions'!$X$30*R1015-'Model Inputs &amp; Assumptions'!$X$30^2/2))</f>
        <v>0.00767000787173019</v>
      </c>
      <c r="G1015" s="45" t="n">
        <f aca="false">ROUND(C1015*F1015,0)</f>
        <v>662</v>
      </c>
      <c r="H1015" s="48" t="n">
        <f aca="false">MAX(0,(C1015*'Model Inputs &amp; Assumptions'!$N$30+E1015*'Model Inputs &amp; Assumptions'!$O$30+G1015*'Model Inputs &amp; Assumptions'!$P$30)*EXP('Model Inputs &amp; Assumptions'!$Q$30*S1015-'Model Inputs &amp; Assumptions'!$Q$30^2/2))</f>
        <v>54.5843000674887</v>
      </c>
      <c r="I1015" s="49" t="n">
        <f aca="false">IF('Model Inputs &amp; Assumptions'!$H$30="Fixed",'Model Inputs &amp; Assumptions'!$I$30*'Model Inputs &amp; Assumptions'!$K$30,IF('Model Inputs &amp; Assumptions'!$H$30="CPM",'Model Inputs &amp; Assumptions'!$I$30*'Model Inputs &amp; Assumptions'!$K$30*C1015/1000,IF('Model Inputs &amp; Assumptions'!$H$30="CPC",'Model Inputs &amp; Assumptions'!$I$30*'Model Inputs &amp; Assumptions'!$K$30*G1015,0)))</f>
        <v>6900</v>
      </c>
      <c r="J1015" s="50" t="n">
        <f aca="false">H1015*INDEX('Model Inputs &amp; Assumptions'!$D$40:$D$42,MATCH('Model Inputs &amp; Assumptions'!$L$30,'Model Inputs &amp; Assumptions'!$A$40:$A$42,0))*INDEX('Model Inputs &amp; Assumptions'!$H$40:$H$42,MATCH('Model Inputs &amp; Assumptions'!$L$30,'Model Inputs &amp; Assumptions'!$A$40:$A$42,0))</f>
        <v>393006.960485918</v>
      </c>
      <c r="K1015" s="49" t="n">
        <f aca="false">H1015*INDEX('Model Inputs &amp; Assumptions'!$G$40:$G$42,MATCH('Model Inputs &amp; Assumptions'!$L$30,'Model Inputs &amp; Assumptions'!$A$40:$A$42,0))*INDEX('Model Inputs &amp; Assumptions'!$H$40:$H$42,MATCH('Model Inputs &amp; Assumptions'!$L$30,'Model Inputs &amp; Assumptions'!$A$40:$A$42,0))</f>
        <v>8665.8034787145</v>
      </c>
      <c r="L1015" s="51" t="n">
        <f aca="false">IFERROR(K1015/I1015,0)</f>
        <v>1.25591354763978</v>
      </c>
      <c r="M1015" s="49" t="n">
        <f aca="false">IFERROR(I1015/H1015,0)</f>
        <v>126.409974873155</v>
      </c>
      <c r="N1015" s="52" t="str">
        <f aca="false">'Model Inputs &amp; Assumptions'!$L$30</f>
        <v>PRD-USIQ</v>
      </c>
      <c r="P1015" s="53" t="n">
        <v>-0.10088</v>
      </c>
      <c r="Q1015" s="53" t="n">
        <v>-0.372952</v>
      </c>
      <c r="R1015" s="53" t="n">
        <v>-0.205826</v>
      </c>
      <c r="S1015" s="53" t="n">
        <v>1.076395</v>
      </c>
    </row>
    <row r="1016" customFormat="false" ht="15" hidden="false" customHeight="false" outlineLevel="0" collapsed="false">
      <c r="A1016" s="43" t="n">
        <v>13</v>
      </c>
      <c r="B1016" s="44" t="str">
        <f aca="false">'Model Inputs &amp; Assumptions'!$B$30</f>
        <v>extraETF — Newsletter Takeover</v>
      </c>
      <c r="C1016" s="45" t="n">
        <f aca="false">ROUND(MAX(0,'Model Inputs &amp; Assumptions'!$S$30*EXP('Model Inputs &amp; Assumptions'!$T$30*P1016-'Model Inputs &amp; Assumptions'!$T$30^2/2)),0)</f>
        <v>90718</v>
      </c>
      <c r="D1016" s="46" t="n">
        <f aca="false">MIN(1,'Model Inputs &amp; Assumptions'!$U$30*EXP('Model Inputs &amp; Assumptions'!$V$30*Q1016-'Model Inputs &amp; Assumptions'!$V$30^2/2))</f>
        <v>0</v>
      </c>
      <c r="E1016" s="45" t="n">
        <f aca="false">ROUND(C1016*D1016,0)</f>
        <v>0</v>
      </c>
      <c r="F1016" s="47" t="n">
        <f aca="false">MIN(1,'Model Inputs &amp; Assumptions'!$W$30*EXP('Model Inputs &amp; Assumptions'!$X$30*R1016-'Model Inputs &amp; Assumptions'!$X$30^2/2))</f>
        <v>0.00700646708390256</v>
      </c>
      <c r="G1016" s="45" t="n">
        <f aca="false">ROUND(C1016*F1016,0)</f>
        <v>636</v>
      </c>
      <c r="H1016" s="48" t="n">
        <f aca="false">MAX(0,(C1016*'Model Inputs &amp; Assumptions'!$N$30+E1016*'Model Inputs &amp; Assumptions'!$O$30+G1016*'Model Inputs &amp; Assumptions'!$P$30)*EXP('Model Inputs &amp; Assumptions'!$Q$30*S1016-'Model Inputs &amp; Assumptions'!$Q$30^2/2))</f>
        <v>45.3374229102027</v>
      </c>
      <c r="I1016" s="49" t="n">
        <f aca="false">IF('Model Inputs &amp; Assumptions'!$H$30="Fixed",'Model Inputs &amp; Assumptions'!$I$30*'Model Inputs &amp; Assumptions'!$K$30,IF('Model Inputs &amp; Assumptions'!$H$30="CPM",'Model Inputs &amp; Assumptions'!$I$30*'Model Inputs &amp; Assumptions'!$K$30*C1016/1000,IF('Model Inputs &amp; Assumptions'!$H$30="CPC",'Model Inputs &amp; Assumptions'!$I$30*'Model Inputs &amp; Assumptions'!$K$30*G1016,0)))</f>
        <v>6900</v>
      </c>
      <c r="J1016" s="50" t="n">
        <f aca="false">H1016*INDEX('Model Inputs &amp; Assumptions'!$D$40:$D$42,MATCH('Model Inputs &amp; Assumptions'!$L$30,'Model Inputs &amp; Assumptions'!$A$40:$A$42,0))*INDEX('Model Inputs &amp; Assumptions'!$H$40:$H$42,MATCH('Model Inputs &amp; Assumptions'!$L$30,'Model Inputs &amp; Assumptions'!$A$40:$A$42,0))</f>
        <v>326429.444953459</v>
      </c>
      <c r="K1016" s="49" t="n">
        <f aca="false">H1016*INDEX('Model Inputs &amp; Assumptions'!$G$40:$G$42,MATCH('Model Inputs &amp; Assumptions'!$L$30,'Model Inputs &amp; Assumptions'!$A$40:$A$42,0))*INDEX('Model Inputs &amp; Assumptions'!$H$40:$H$42,MATCH('Model Inputs &amp; Assumptions'!$L$30,'Model Inputs &amp; Assumptions'!$A$40:$A$42,0))</f>
        <v>7197.76926122378</v>
      </c>
      <c r="L1016" s="51" t="n">
        <f aca="false">IFERROR(K1016/I1016,0)</f>
        <v>1.04315496539475</v>
      </c>
      <c r="M1016" s="49" t="n">
        <f aca="false">IFERROR(I1016/H1016,0)</f>
        <v>152.192152907907</v>
      </c>
      <c r="N1016" s="52" t="str">
        <f aca="false">'Model Inputs &amp; Assumptions'!$L$30</f>
        <v>PRD-USIQ</v>
      </c>
      <c r="P1016" s="53" t="n">
        <v>0.31352</v>
      </c>
      <c r="Q1016" s="53" t="n">
        <v>-0.787188</v>
      </c>
      <c r="R1016" s="53" t="n">
        <v>-0.809053</v>
      </c>
      <c r="S1016" s="53" t="n">
        <v>0.494209</v>
      </c>
    </row>
    <row r="1017" customFormat="false" ht="15" hidden="false" customHeight="false" outlineLevel="0" collapsed="false">
      <c r="A1017" s="43" t="n">
        <v>14</v>
      </c>
      <c r="B1017" s="44" t="str">
        <f aca="false">'Model Inputs &amp; Assumptions'!$B$30</f>
        <v>extraETF — Newsletter Takeover</v>
      </c>
      <c r="C1017" s="45" t="n">
        <f aca="false">ROUND(MAX(0,'Model Inputs &amp; Assumptions'!$S$30*EXP('Model Inputs &amp; Assumptions'!$T$30*P1017-'Model Inputs &amp; Assumptions'!$T$30^2/2)),0)</f>
        <v>95013</v>
      </c>
      <c r="D1017" s="46" t="n">
        <f aca="false">MIN(1,'Model Inputs &amp; Assumptions'!$U$30*EXP('Model Inputs &amp; Assumptions'!$V$30*Q1017-'Model Inputs &amp; Assumptions'!$V$30^2/2))</f>
        <v>0</v>
      </c>
      <c r="E1017" s="45" t="n">
        <f aca="false">ROUND(C1017*D1017,0)</f>
        <v>0</v>
      </c>
      <c r="F1017" s="47" t="n">
        <f aca="false">MIN(1,'Model Inputs &amp; Assumptions'!$W$30*EXP('Model Inputs &amp; Assumptions'!$X$30*R1017-'Model Inputs &amp; Assumptions'!$X$30^2/2))</f>
        <v>0.00711668688282045</v>
      </c>
      <c r="G1017" s="45" t="n">
        <f aca="false">ROUND(C1017*F1017,0)</f>
        <v>676</v>
      </c>
      <c r="H1017" s="48" t="n">
        <f aca="false">MAX(0,(C1017*'Model Inputs &amp; Assumptions'!$N$30+E1017*'Model Inputs &amp; Assumptions'!$O$30+G1017*'Model Inputs &amp; Assumptions'!$P$30)*EXP('Model Inputs &amp; Assumptions'!$Q$30*S1017-'Model Inputs &amp; Assumptions'!$Q$30^2/2))</f>
        <v>36.355102552308</v>
      </c>
      <c r="I1017" s="49" t="n">
        <f aca="false">IF('Model Inputs &amp; Assumptions'!$H$30="Fixed",'Model Inputs &amp; Assumptions'!$I$30*'Model Inputs &amp; Assumptions'!$K$30,IF('Model Inputs &amp; Assumptions'!$H$30="CPM",'Model Inputs &amp; Assumptions'!$I$30*'Model Inputs &amp; Assumptions'!$K$30*C1017/1000,IF('Model Inputs &amp; Assumptions'!$H$30="CPC",'Model Inputs &amp; Assumptions'!$I$30*'Model Inputs &amp; Assumptions'!$K$30*G1017,0)))</f>
        <v>6900</v>
      </c>
      <c r="J1017" s="50" t="n">
        <f aca="false">H1017*INDEX('Model Inputs &amp; Assumptions'!$D$40:$D$42,MATCH('Model Inputs &amp; Assumptions'!$L$30,'Model Inputs &amp; Assumptions'!$A$40:$A$42,0))*INDEX('Model Inputs &amp; Assumptions'!$H$40:$H$42,MATCH('Model Inputs &amp; Assumptions'!$L$30,'Model Inputs &amp; Assumptions'!$A$40:$A$42,0))</f>
        <v>261756.738376617</v>
      </c>
      <c r="K1017" s="49" t="n">
        <f aca="false">H1017*INDEX('Model Inputs &amp; Assumptions'!$G$40:$G$42,MATCH('Model Inputs &amp; Assumptions'!$L$30,'Model Inputs &amp; Assumptions'!$A$40:$A$42,0))*INDEX('Model Inputs &amp; Assumptions'!$H$40:$H$42,MATCH('Model Inputs &amp; Assumptions'!$L$30,'Model Inputs &amp; Assumptions'!$A$40:$A$42,0))</f>
        <v>5771.73608120441</v>
      </c>
      <c r="L1017" s="51" t="n">
        <f aca="false">IFERROR(K1017/I1017,0)</f>
        <v>0.836483490029625</v>
      </c>
      <c r="M1017" s="49" t="n">
        <f aca="false">IFERROR(I1017/H1017,0)</f>
        <v>189.794540947099</v>
      </c>
      <c r="N1017" s="52" t="str">
        <f aca="false">'Model Inputs &amp; Assumptions'!$L$30</f>
        <v>PRD-USIQ</v>
      </c>
      <c r="P1017" s="53" t="n">
        <v>0.698937</v>
      </c>
      <c r="Q1017" s="53" t="n">
        <v>2.211598</v>
      </c>
      <c r="R1017" s="53" t="n">
        <v>-0.704995</v>
      </c>
      <c r="S1017" s="53" t="n">
        <v>-0.632962</v>
      </c>
    </row>
    <row r="1018" customFormat="false" ht="15" hidden="false" customHeight="false" outlineLevel="0" collapsed="false">
      <c r="A1018" s="43" t="n">
        <v>15</v>
      </c>
      <c r="B1018" s="44" t="str">
        <f aca="false">'Model Inputs &amp; Assumptions'!$B$30</f>
        <v>extraETF — Newsletter Takeover</v>
      </c>
      <c r="C1018" s="45" t="n">
        <f aca="false">ROUND(MAX(0,'Model Inputs &amp; Assumptions'!$S$30*EXP('Model Inputs &amp; Assumptions'!$T$30*P1018-'Model Inputs &amp; Assumptions'!$T$30^2/2)),0)</f>
        <v>85833</v>
      </c>
      <c r="D1018" s="46" t="n">
        <f aca="false">MIN(1,'Model Inputs &amp; Assumptions'!$U$30*EXP('Model Inputs &amp; Assumptions'!$V$30*Q1018-'Model Inputs &amp; Assumptions'!$V$30^2/2))</f>
        <v>0</v>
      </c>
      <c r="E1018" s="45" t="n">
        <f aca="false">ROUND(C1018*D1018,0)</f>
        <v>0</v>
      </c>
      <c r="F1018" s="47" t="n">
        <f aca="false">MIN(1,'Model Inputs &amp; Assumptions'!$W$30*EXP('Model Inputs &amp; Assumptions'!$X$30*R1018-'Model Inputs &amp; Assumptions'!$X$30^2/2))</f>
        <v>0.00983197610252816</v>
      </c>
      <c r="G1018" s="45" t="n">
        <f aca="false">ROUND(C1018*F1018,0)</f>
        <v>844</v>
      </c>
      <c r="H1018" s="48" t="n">
        <f aca="false">MAX(0,(C1018*'Model Inputs &amp; Assumptions'!$N$30+E1018*'Model Inputs &amp; Assumptions'!$O$30+G1018*'Model Inputs &amp; Assumptions'!$P$30)*EXP('Model Inputs &amp; Assumptions'!$Q$30*S1018-'Model Inputs &amp; Assumptions'!$Q$30^2/2))</f>
        <v>39.4177209506837</v>
      </c>
      <c r="I1018" s="49" t="n">
        <f aca="false">IF('Model Inputs &amp; Assumptions'!$H$30="Fixed",'Model Inputs &amp; Assumptions'!$I$30*'Model Inputs &amp; Assumptions'!$K$30,IF('Model Inputs &amp; Assumptions'!$H$30="CPM",'Model Inputs &amp; Assumptions'!$I$30*'Model Inputs &amp; Assumptions'!$K$30*C1018/1000,IF('Model Inputs &amp; Assumptions'!$H$30="CPC",'Model Inputs &amp; Assumptions'!$I$30*'Model Inputs &amp; Assumptions'!$K$30*G1018,0)))</f>
        <v>6900</v>
      </c>
      <c r="J1018" s="50" t="n">
        <f aca="false">H1018*INDEX('Model Inputs &amp; Assumptions'!$D$40:$D$42,MATCH('Model Inputs &amp; Assumptions'!$L$30,'Model Inputs &amp; Assumptions'!$A$40:$A$42,0))*INDEX('Model Inputs &amp; Assumptions'!$H$40:$H$42,MATCH('Model Inputs &amp; Assumptions'!$L$30,'Model Inputs &amp; Assumptions'!$A$40:$A$42,0))</f>
        <v>283807.590844923</v>
      </c>
      <c r="K1018" s="49" t="n">
        <f aca="false">H1018*INDEX('Model Inputs &amp; Assumptions'!$G$40:$G$42,MATCH('Model Inputs &amp; Assumptions'!$L$30,'Model Inputs &amp; Assumptions'!$A$40:$A$42,0))*INDEX('Model Inputs &amp; Assumptions'!$H$40:$H$42,MATCH('Model Inputs &amp; Assumptions'!$L$30,'Model Inputs &amp; Assumptions'!$A$40:$A$42,0))</f>
        <v>6257.95737813055</v>
      </c>
      <c r="L1018" s="51" t="n">
        <f aca="false">IFERROR(K1018/I1018,0)</f>
        <v>0.906950344656601</v>
      </c>
      <c r="M1018" s="49" t="n">
        <f aca="false">IFERROR(I1018/H1018,0)</f>
        <v>175.048172080591</v>
      </c>
      <c r="N1018" s="52" t="str">
        <f aca="false">'Model Inputs &amp; Assumptions'!$L$30</f>
        <v>PRD-USIQ</v>
      </c>
      <c r="P1018" s="53" t="n">
        <v>-0.147742</v>
      </c>
      <c r="Q1018" s="53" t="n">
        <v>-1.419311</v>
      </c>
      <c r="R1018" s="53" t="n">
        <v>1.449656</v>
      </c>
      <c r="S1018" s="53" t="n">
        <v>-1.197276</v>
      </c>
    </row>
    <row r="1019" customFormat="false" ht="15" hidden="false" customHeight="false" outlineLevel="0" collapsed="false">
      <c r="A1019" s="43" t="n">
        <v>16</v>
      </c>
      <c r="B1019" s="44" t="str">
        <f aca="false">'Model Inputs &amp; Assumptions'!$B$30</f>
        <v>extraETF — Newsletter Takeover</v>
      </c>
      <c r="C1019" s="45" t="n">
        <f aca="false">ROUND(MAX(0,'Model Inputs &amp; Assumptions'!$S$30*EXP('Model Inputs &amp; Assumptions'!$T$30*P1019-'Model Inputs &amp; Assumptions'!$T$30^2/2)),0)</f>
        <v>93260</v>
      </c>
      <c r="D1019" s="46" t="n">
        <f aca="false">MIN(1,'Model Inputs &amp; Assumptions'!$U$30*EXP('Model Inputs &amp; Assumptions'!$V$30*Q1019-'Model Inputs &amp; Assumptions'!$V$30^2/2))</f>
        <v>0</v>
      </c>
      <c r="E1019" s="45" t="n">
        <f aca="false">ROUND(C1019*D1019,0)</f>
        <v>0</v>
      </c>
      <c r="F1019" s="47" t="n">
        <f aca="false">MIN(1,'Model Inputs &amp; Assumptions'!$W$30*EXP('Model Inputs &amp; Assumptions'!$X$30*R1019-'Model Inputs &amp; Assumptions'!$X$30^2/2))</f>
        <v>0.00821854915512201</v>
      </c>
      <c r="G1019" s="45" t="n">
        <f aca="false">ROUND(C1019*F1019,0)</f>
        <v>766</v>
      </c>
      <c r="H1019" s="48" t="n">
        <f aca="false">MAX(0,(C1019*'Model Inputs &amp; Assumptions'!$N$30+E1019*'Model Inputs &amp; Assumptions'!$O$30+G1019*'Model Inputs &amp; Assumptions'!$P$30)*EXP('Model Inputs &amp; Assumptions'!$Q$30*S1019-'Model Inputs &amp; Assumptions'!$Q$30^2/2))</f>
        <v>33.0293698349449</v>
      </c>
      <c r="I1019" s="49" t="n">
        <f aca="false">IF('Model Inputs &amp; Assumptions'!$H$30="Fixed",'Model Inputs &amp; Assumptions'!$I$30*'Model Inputs &amp; Assumptions'!$K$30,IF('Model Inputs &amp; Assumptions'!$H$30="CPM",'Model Inputs &amp; Assumptions'!$I$30*'Model Inputs &amp; Assumptions'!$K$30*C1019/1000,IF('Model Inputs &amp; Assumptions'!$H$30="CPC",'Model Inputs &amp; Assumptions'!$I$30*'Model Inputs &amp; Assumptions'!$K$30*G1019,0)))</f>
        <v>6900</v>
      </c>
      <c r="J1019" s="50" t="n">
        <f aca="false">H1019*INDEX('Model Inputs &amp; Assumptions'!$D$40:$D$42,MATCH('Model Inputs &amp; Assumptions'!$L$30,'Model Inputs &amp; Assumptions'!$A$40:$A$42,0))*INDEX('Model Inputs &amp; Assumptions'!$H$40:$H$42,MATCH('Model Inputs &amp; Assumptions'!$L$30,'Model Inputs &amp; Assumptions'!$A$40:$A$42,0))</f>
        <v>237811.462811603</v>
      </c>
      <c r="K1019" s="49" t="n">
        <f aca="false">H1019*INDEX('Model Inputs &amp; Assumptions'!$G$40:$G$42,MATCH('Model Inputs &amp; Assumptions'!$L$30,'Model Inputs &amp; Assumptions'!$A$40:$A$42,0))*INDEX('Model Inputs &amp; Assumptions'!$H$40:$H$42,MATCH('Model Inputs &amp; Assumptions'!$L$30,'Model Inputs &amp; Assumptions'!$A$40:$A$42,0))</f>
        <v>5243.74275499586</v>
      </c>
      <c r="L1019" s="51" t="n">
        <f aca="false">IFERROR(K1019/I1019,0)</f>
        <v>0.759962718115341</v>
      </c>
      <c r="M1019" s="49" t="n">
        <f aca="false">IFERROR(I1019/H1019,0)</f>
        <v>208.9049846994</v>
      </c>
      <c r="N1019" s="52" t="str">
        <f aca="false">'Model Inputs &amp; Assumptions'!$L$30</f>
        <v>PRD-USIQ</v>
      </c>
      <c r="P1019" s="53" t="n">
        <v>0.54377</v>
      </c>
      <c r="Q1019" s="53" t="n">
        <v>0.335559</v>
      </c>
      <c r="R1019" s="53" t="n">
        <v>0.254681</v>
      </c>
      <c r="S1019" s="53" t="n">
        <v>-1.516668</v>
      </c>
    </row>
    <row r="1020" customFormat="false" ht="15" hidden="false" customHeight="false" outlineLevel="0" collapsed="false">
      <c r="A1020" s="43" t="n">
        <v>17</v>
      </c>
      <c r="B1020" s="44" t="str">
        <f aca="false">'Model Inputs &amp; Assumptions'!$B$30</f>
        <v>extraETF — Newsletter Takeover</v>
      </c>
      <c r="C1020" s="45" t="n">
        <f aca="false">ROUND(MAX(0,'Model Inputs &amp; Assumptions'!$S$30*EXP('Model Inputs &amp; Assumptions'!$T$30*P1020-'Model Inputs &amp; Assumptions'!$T$30^2/2)),0)</f>
        <v>84312</v>
      </c>
      <c r="D1020" s="46" t="n">
        <f aca="false">MIN(1,'Model Inputs &amp; Assumptions'!$U$30*EXP('Model Inputs &amp; Assumptions'!$V$30*Q1020-'Model Inputs &amp; Assumptions'!$V$30^2/2))</f>
        <v>0</v>
      </c>
      <c r="E1020" s="45" t="n">
        <f aca="false">ROUND(C1020*D1020,0)</f>
        <v>0</v>
      </c>
      <c r="F1020" s="47" t="n">
        <f aca="false">MIN(1,'Model Inputs &amp; Assumptions'!$W$30*EXP('Model Inputs &amp; Assumptions'!$X$30*R1020-'Model Inputs &amp; Assumptions'!$X$30^2/2))</f>
        <v>0.0083122816808555</v>
      </c>
      <c r="G1020" s="45" t="n">
        <f aca="false">ROUND(C1020*F1020,0)</f>
        <v>701</v>
      </c>
      <c r="H1020" s="48" t="n">
        <f aca="false">MAX(0,(C1020*'Model Inputs &amp; Assumptions'!$N$30+E1020*'Model Inputs &amp; Assumptions'!$O$30+G1020*'Model Inputs &amp; Assumptions'!$P$30)*EXP('Model Inputs &amp; Assumptions'!$Q$30*S1020-'Model Inputs &amp; Assumptions'!$Q$30^2/2))</f>
        <v>46.952660839592</v>
      </c>
      <c r="I1020" s="49" t="n">
        <f aca="false">IF('Model Inputs &amp; Assumptions'!$H$30="Fixed",'Model Inputs &amp; Assumptions'!$I$30*'Model Inputs &amp; Assumptions'!$K$30,IF('Model Inputs &amp; Assumptions'!$H$30="CPM",'Model Inputs &amp; Assumptions'!$I$30*'Model Inputs &amp; Assumptions'!$K$30*C1020/1000,IF('Model Inputs &amp; Assumptions'!$H$30="CPC",'Model Inputs &amp; Assumptions'!$I$30*'Model Inputs &amp; Assumptions'!$K$30*G1020,0)))</f>
        <v>6900</v>
      </c>
      <c r="J1020" s="50" t="n">
        <f aca="false">H1020*INDEX('Model Inputs &amp; Assumptions'!$D$40:$D$42,MATCH('Model Inputs &amp; Assumptions'!$L$30,'Model Inputs &amp; Assumptions'!$A$40:$A$42,0))*INDEX('Model Inputs &amp; Assumptions'!$H$40:$H$42,MATCH('Model Inputs &amp; Assumptions'!$L$30,'Model Inputs &amp; Assumptions'!$A$40:$A$42,0))</f>
        <v>338059.158045062</v>
      </c>
      <c r="K1020" s="49" t="n">
        <f aca="false">H1020*INDEX('Model Inputs &amp; Assumptions'!$G$40:$G$42,MATCH('Model Inputs &amp; Assumptions'!$L$30,'Model Inputs &amp; Assumptions'!$A$40:$A$42,0))*INDEX('Model Inputs &amp; Assumptions'!$H$40:$H$42,MATCH('Model Inputs &amp; Assumptions'!$L$30,'Model Inputs &amp; Assumptions'!$A$40:$A$42,0))</f>
        <v>7454.20443489363</v>
      </c>
      <c r="L1020" s="51" t="n">
        <f aca="false">IFERROR(K1020/I1020,0)</f>
        <v>1.08031948331792</v>
      </c>
      <c r="M1020" s="49" t="n">
        <f aca="false">IFERROR(I1020/H1020,0)</f>
        <v>146.956527630521</v>
      </c>
      <c r="N1020" s="52" t="str">
        <f aca="false">'Model Inputs &amp; Assumptions'!$L$30</f>
        <v>PRD-USIQ</v>
      </c>
      <c r="P1020" s="53" t="n">
        <v>-0.296817</v>
      </c>
      <c r="Q1020" s="53" t="n">
        <v>-0.739173</v>
      </c>
      <c r="R1020" s="53" t="n">
        <v>0.330284</v>
      </c>
      <c r="S1020" s="53" t="n">
        <v>0.245</v>
      </c>
    </row>
    <row r="1021" customFormat="false" ht="15" hidden="false" customHeight="false" outlineLevel="0" collapsed="false">
      <c r="A1021" s="43" t="n">
        <v>18</v>
      </c>
      <c r="B1021" s="44" t="str">
        <f aca="false">'Model Inputs &amp; Assumptions'!$B$30</f>
        <v>extraETF — Newsletter Takeover</v>
      </c>
      <c r="C1021" s="45" t="n">
        <f aca="false">ROUND(MAX(0,'Model Inputs &amp; Assumptions'!$S$30*EXP('Model Inputs &amp; Assumptions'!$T$30*P1021-'Model Inputs &amp; Assumptions'!$T$30^2/2)),0)</f>
        <v>77212</v>
      </c>
      <c r="D1021" s="46" t="n">
        <f aca="false">MIN(1,'Model Inputs &amp; Assumptions'!$U$30*EXP('Model Inputs &amp; Assumptions'!$V$30*Q1021-'Model Inputs &amp; Assumptions'!$V$30^2/2))</f>
        <v>0</v>
      </c>
      <c r="E1021" s="45" t="n">
        <f aca="false">ROUND(C1021*D1021,0)</f>
        <v>0</v>
      </c>
      <c r="F1021" s="47" t="n">
        <f aca="false">MIN(1,'Model Inputs &amp; Assumptions'!$W$30*EXP('Model Inputs &amp; Assumptions'!$X$30*R1021-'Model Inputs &amp; Assumptions'!$X$30^2/2))</f>
        <v>0.00699983335035541</v>
      </c>
      <c r="G1021" s="45" t="n">
        <f aca="false">ROUND(C1021*F1021,0)</f>
        <v>540</v>
      </c>
      <c r="H1021" s="48" t="n">
        <f aca="false">MAX(0,(C1021*'Model Inputs &amp; Assumptions'!$N$30+E1021*'Model Inputs &amp; Assumptions'!$O$30+G1021*'Model Inputs &amp; Assumptions'!$P$30)*EXP('Model Inputs &amp; Assumptions'!$Q$30*S1021-'Model Inputs &amp; Assumptions'!$Q$30^2/2))</f>
        <v>19.8758689526322</v>
      </c>
      <c r="I1021" s="49" t="n">
        <f aca="false">IF('Model Inputs &amp; Assumptions'!$H$30="Fixed",'Model Inputs &amp; Assumptions'!$I$30*'Model Inputs &amp; Assumptions'!$K$30,IF('Model Inputs &amp; Assumptions'!$H$30="CPM",'Model Inputs &amp; Assumptions'!$I$30*'Model Inputs &amp; Assumptions'!$K$30*C1021/1000,IF('Model Inputs &amp; Assumptions'!$H$30="CPC",'Model Inputs &amp; Assumptions'!$I$30*'Model Inputs &amp; Assumptions'!$K$30*G1021,0)))</f>
        <v>6900</v>
      </c>
      <c r="J1021" s="50" t="n">
        <f aca="false">H1021*INDEX('Model Inputs &amp; Assumptions'!$D$40:$D$42,MATCH('Model Inputs &amp; Assumptions'!$L$30,'Model Inputs &amp; Assumptions'!$A$40:$A$42,0))*INDEX('Model Inputs &amp; Assumptions'!$H$40:$H$42,MATCH('Model Inputs &amp; Assumptions'!$L$30,'Model Inputs &amp; Assumptions'!$A$40:$A$42,0))</f>
        <v>143106.256458952</v>
      </c>
      <c r="K1021" s="49" t="n">
        <f aca="false">H1021*INDEX('Model Inputs &amp; Assumptions'!$G$40:$G$42,MATCH('Model Inputs &amp; Assumptions'!$L$30,'Model Inputs &amp; Assumptions'!$A$40:$A$42,0))*INDEX('Model Inputs &amp; Assumptions'!$H$40:$H$42,MATCH('Model Inputs &amp; Assumptions'!$L$30,'Model Inputs &amp; Assumptions'!$A$40:$A$42,0))</f>
        <v>3155.49295491989</v>
      </c>
      <c r="L1021" s="51" t="n">
        <f aca="false">IFERROR(K1021/I1021,0)</f>
        <v>0.457317819553607</v>
      </c>
      <c r="M1021" s="49" t="n">
        <f aca="false">IFERROR(I1021/H1021,0)</f>
        <v>347.154633412202</v>
      </c>
      <c r="N1021" s="52" t="str">
        <f aca="false">'Model Inputs &amp; Assumptions'!$L$30</f>
        <v>PRD-USIQ</v>
      </c>
      <c r="P1021" s="53" t="n">
        <v>-1.02985</v>
      </c>
      <c r="Q1021" s="53" t="n">
        <v>1.791767</v>
      </c>
      <c r="R1021" s="53" t="n">
        <v>-0.815368</v>
      </c>
      <c r="S1021" s="53" t="n">
        <v>-2.149779</v>
      </c>
    </row>
    <row r="1022" customFormat="false" ht="15" hidden="false" customHeight="false" outlineLevel="0" collapsed="false">
      <c r="A1022" s="43" t="n">
        <v>19</v>
      </c>
      <c r="B1022" s="44" t="str">
        <f aca="false">'Model Inputs &amp; Assumptions'!$B$30</f>
        <v>extraETF — Newsletter Takeover</v>
      </c>
      <c r="C1022" s="45" t="n">
        <f aca="false">ROUND(MAX(0,'Model Inputs &amp; Assumptions'!$S$30*EXP('Model Inputs &amp; Assumptions'!$T$30*P1022-'Model Inputs &amp; Assumptions'!$T$30^2/2)),0)</f>
        <v>75411</v>
      </c>
      <c r="D1022" s="46" t="n">
        <f aca="false">MIN(1,'Model Inputs &amp; Assumptions'!$U$30*EXP('Model Inputs &amp; Assumptions'!$V$30*Q1022-'Model Inputs &amp; Assumptions'!$V$30^2/2))</f>
        <v>0</v>
      </c>
      <c r="E1022" s="45" t="n">
        <f aca="false">ROUND(C1022*D1022,0)</f>
        <v>0</v>
      </c>
      <c r="F1022" s="47" t="n">
        <f aca="false">MIN(1,'Model Inputs &amp; Assumptions'!$W$30*EXP('Model Inputs &amp; Assumptions'!$X$30*R1022-'Model Inputs &amp; Assumptions'!$X$30^2/2))</f>
        <v>0.00785645385916072</v>
      </c>
      <c r="G1022" s="45" t="n">
        <f aca="false">ROUND(C1022*F1022,0)</f>
        <v>592</v>
      </c>
      <c r="H1022" s="48" t="n">
        <f aca="false">MAX(0,(C1022*'Model Inputs &amp; Assumptions'!$N$30+E1022*'Model Inputs &amp; Assumptions'!$O$30+G1022*'Model Inputs &amp; Assumptions'!$P$30)*EXP('Model Inputs &amp; Assumptions'!$Q$30*S1022-'Model Inputs &amp; Assumptions'!$Q$30^2/2))</f>
        <v>42.7875373082005</v>
      </c>
      <c r="I1022" s="49" t="n">
        <f aca="false">IF('Model Inputs &amp; Assumptions'!$H$30="Fixed",'Model Inputs &amp; Assumptions'!$I$30*'Model Inputs &amp; Assumptions'!$K$30,IF('Model Inputs &amp; Assumptions'!$H$30="CPM",'Model Inputs &amp; Assumptions'!$I$30*'Model Inputs &amp; Assumptions'!$K$30*C1022/1000,IF('Model Inputs &amp; Assumptions'!$H$30="CPC",'Model Inputs &amp; Assumptions'!$I$30*'Model Inputs &amp; Assumptions'!$K$30*G1022,0)))</f>
        <v>6900</v>
      </c>
      <c r="J1022" s="50" t="n">
        <f aca="false">H1022*INDEX('Model Inputs &amp; Assumptions'!$D$40:$D$42,MATCH('Model Inputs &amp; Assumptions'!$L$30,'Model Inputs &amp; Assumptions'!$A$40:$A$42,0))*INDEX('Model Inputs &amp; Assumptions'!$H$40:$H$42,MATCH('Model Inputs &amp; Assumptions'!$L$30,'Model Inputs &amp; Assumptions'!$A$40:$A$42,0))</f>
        <v>308070.268619043</v>
      </c>
      <c r="K1022" s="49" t="n">
        <f aca="false">H1022*INDEX('Model Inputs &amp; Assumptions'!$G$40:$G$42,MATCH('Model Inputs &amp; Assumptions'!$L$30,'Model Inputs &amp; Assumptions'!$A$40:$A$42,0))*INDEX('Model Inputs &amp; Assumptions'!$H$40:$H$42,MATCH('Model Inputs &amp; Assumptions'!$L$30,'Model Inputs &amp; Assumptions'!$A$40:$A$42,0))</f>
        <v>6792.9494230499</v>
      </c>
      <c r="L1022" s="51" t="n">
        <f aca="false">IFERROR(K1022/I1022,0)</f>
        <v>0.984485423630421</v>
      </c>
      <c r="M1022" s="49" t="n">
        <f aca="false">IFERROR(I1022/H1022,0)</f>
        <v>161.261910221638</v>
      </c>
      <c r="N1022" s="52" t="str">
        <f aca="false">'Model Inputs &amp; Assumptions'!$L$30</f>
        <v>PRD-USIQ</v>
      </c>
      <c r="P1022" s="53" t="n">
        <v>-1.22648</v>
      </c>
      <c r="Q1022" s="53" t="n">
        <v>-1.245513</v>
      </c>
      <c r="R1022" s="53" t="n">
        <v>-0.045708</v>
      </c>
      <c r="S1022" s="53" t="n">
        <v>0.549433</v>
      </c>
    </row>
    <row r="1023" customFormat="false" ht="15" hidden="false" customHeight="false" outlineLevel="0" collapsed="false">
      <c r="A1023" s="43" t="n">
        <v>20</v>
      </c>
      <c r="B1023" s="44" t="str">
        <f aca="false">'Model Inputs &amp; Assumptions'!$B$30</f>
        <v>extraETF — Newsletter Takeover</v>
      </c>
      <c r="C1023" s="45" t="n">
        <f aca="false">ROUND(MAX(0,'Model Inputs &amp; Assumptions'!$S$30*EXP('Model Inputs &amp; Assumptions'!$T$30*P1023-'Model Inputs &amp; Assumptions'!$T$30^2/2)),0)</f>
        <v>91423</v>
      </c>
      <c r="D1023" s="46" t="n">
        <f aca="false">MIN(1,'Model Inputs &amp; Assumptions'!$U$30*EXP('Model Inputs &amp; Assumptions'!$V$30*Q1023-'Model Inputs &amp; Assumptions'!$V$30^2/2))</f>
        <v>0</v>
      </c>
      <c r="E1023" s="45" t="n">
        <f aca="false">ROUND(C1023*D1023,0)</f>
        <v>0</v>
      </c>
      <c r="F1023" s="47" t="n">
        <f aca="false">MIN(1,'Model Inputs &amp; Assumptions'!$W$30*EXP('Model Inputs &amp; Assumptions'!$X$30*R1023-'Model Inputs &amp; Assumptions'!$X$30^2/2))</f>
        <v>0.00792711008955178</v>
      </c>
      <c r="G1023" s="45" t="n">
        <f aca="false">ROUND(C1023*F1023,0)</f>
        <v>725</v>
      </c>
      <c r="H1023" s="48" t="n">
        <f aca="false">MAX(0,(C1023*'Model Inputs &amp; Assumptions'!$N$30+E1023*'Model Inputs &amp; Assumptions'!$O$30+G1023*'Model Inputs &amp; Assumptions'!$P$30)*EXP('Model Inputs &amp; Assumptions'!$Q$30*S1023-'Model Inputs &amp; Assumptions'!$Q$30^2/2))</f>
        <v>46.7611343722824</v>
      </c>
      <c r="I1023" s="49" t="n">
        <f aca="false">IF('Model Inputs &amp; Assumptions'!$H$30="Fixed",'Model Inputs &amp; Assumptions'!$I$30*'Model Inputs &amp; Assumptions'!$K$30,IF('Model Inputs &amp; Assumptions'!$H$30="CPM",'Model Inputs &amp; Assumptions'!$I$30*'Model Inputs &amp; Assumptions'!$K$30*C1023/1000,IF('Model Inputs &amp; Assumptions'!$H$30="CPC",'Model Inputs &amp; Assumptions'!$I$30*'Model Inputs &amp; Assumptions'!$K$30*G1023,0)))</f>
        <v>6900</v>
      </c>
      <c r="J1023" s="50" t="n">
        <f aca="false">H1023*INDEX('Model Inputs &amp; Assumptions'!$D$40:$D$42,MATCH('Model Inputs &amp; Assumptions'!$L$30,'Model Inputs &amp; Assumptions'!$A$40:$A$42,0))*INDEX('Model Inputs &amp; Assumptions'!$H$40:$H$42,MATCH('Model Inputs &amp; Assumptions'!$L$30,'Model Inputs &amp; Assumptions'!$A$40:$A$42,0))</f>
        <v>336680.167480433</v>
      </c>
      <c r="K1023" s="49" t="n">
        <f aca="false">H1023*INDEX('Model Inputs &amp; Assumptions'!$G$40:$G$42,MATCH('Model Inputs &amp; Assumptions'!$L$30,'Model Inputs &amp; Assumptions'!$A$40:$A$42,0))*INDEX('Model Inputs &amp; Assumptions'!$H$40:$H$42,MATCH('Model Inputs &amp; Assumptions'!$L$30,'Model Inputs &amp; Assumptions'!$A$40:$A$42,0))</f>
        <v>7423.79769294355</v>
      </c>
      <c r="L1023" s="51" t="n">
        <f aca="false">IFERROR(K1023/I1023,0)</f>
        <v>1.07591270912225</v>
      </c>
      <c r="M1023" s="49" t="n">
        <f aca="false">IFERROR(I1023/H1023,0)</f>
        <v>147.558439131664</v>
      </c>
      <c r="N1023" s="52" t="str">
        <f aca="false">'Model Inputs &amp; Assumptions'!$L$30</f>
        <v>PRD-USIQ</v>
      </c>
      <c r="P1023" s="53" t="n">
        <v>0.377957</v>
      </c>
      <c r="Q1023" s="53" t="n">
        <v>-0.635198</v>
      </c>
      <c r="R1023" s="53" t="n">
        <v>0.01398</v>
      </c>
      <c r="S1023" s="53" t="n">
        <v>0.093995</v>
      </c>
    </row>
    <row r="1024" customFormat="false" ht="15" hidden="false" customHeight="false" outlineLevel="0" collapsed="false">
      <c r="A1024" s="43" t="n">
        <v>21</v>
      </c>
      <c r="B1024" s="44" t="str">
        <f aca="false">'Model Inputs &amp; Assumptions'!$B$30</f>
        <v>extraETF — Newsletter Takeover</v>
      </c>
      <c r="C1024" s="45" t="n">
        <f aca="false">ROUND(MAX(0,'Model Inputs &amp; Assumptions'!$S$30*EXP('Model Inputs &amp; Assumptions'!$T$30*P1024-'Model Inputs &amp; Assumptions'!$T$30^2/2)),0)</f>
        <v>100548</v>
      </c>
      <c r="D1024" s="46" t="n">
        <f aca="false">MIN(1,'Model Inputs &amp; Assumptions'!$U$30*EXP('Model Inputs &amp; Assumptions'!$V$30*Q1024-'Model Inputs &amp; Assumptions'!$V$30^2/2))</f>
        <v>0</v>
      </c>
      <c r="E1024" s="45" t="n">
        <f aca="false">ROUND(C1024*D1024,0)</f>
        <v>0</v>
      </c>
      <c r="F1024" s="47" t="n">
        <f aca="false">MIN(1,'Model Inputs &amp; Assumptions'!$W$30*EXP('Model Inputs &amp; Assumptions'!$X$30*R1024-'Model Inputs &amp; Assumptions'!$X$30^2/2))</f>
        <v>0.0089731289731213</v>
      </c>
      <c r="G1024" s="45" t="n">
        <f aca="false">ROUND(C1024*F1024,0)</f>
        <v>902</v>
      </c>
      <c r="H1024" s="48" t="n">
        <f aca="false">MAX(0,(C1024*'Model Inputs &amp; Assumptions'!$N$30+E1024*'Model Inputs &amp; Assumptions'!$O$30+G1024*'Model Inputs &amp; Assumptions'!$P$30)*EXP('Model Inputs &amp; Assumptions'!$Q$30*S1024-'Model Inputs &amp; Assumptions'!$Q$30^2/2))</f>
        <v>48.6085290797061</v>
      </c>
      <c r="I1024" s="49" t="n">
        <f aca="false">IF('Model Inputs &amp; Assumptions'!$H$30="Fixed",'Model Inputs &amp; Assumptions'!$I$30*'Model Inputs &amp; Assumptions'!$K$30,IF('Model Inputs &amp; Assumptions'!$H$30="CPM",'Model Inputs &amp; Assumptions'!$I$30*'Model Inputs &amp; Assumptions'!$K$30*C1024/1000,IF('Model Inputs &amp; Assumptions'!$H$30="CPC",'Model Inputs &amp; Assumptions'!$I$30*'Model Inputs &amp; Assumptions'!$K$30*G1024,0)))</f>
        <v>6900</v>
      </c>
      <c r="J1024" s="50" t="n">
        <f aca="false">H1024*INDEX('Model Inputs &amp; Assumptions'!$D$40:$D$42,MATCH('Model Inputs &amp; Assumptions'!$L$30,'Model Inputs &amp; Assumptions'!$A$40:$A$42,0))*INDEX('Model Inputs &amp; Assumptions'!$H$40:$H$42,MATCH('Model Inputs &amp; Assumptions'!$L$30,'Model Inputs &amp; Assumptions'!$A$40:$A$42,0))</f>
        <v>349981.409373884</v>
      </c>
      <c r="K1024" s="49" t="n">
        <f aca="false">H1024*INDEX('Model Inputs &amp; Assumptions'!$G$40:$G$42,MATCH('Model Inputs &amp; Assumptions'!$L$30,'Model Inputs &amp; Assumptions'!$A$40:$A$42,0))*INDEX('Model Inputs &amp; Assumptions'!$H$40:$H$42,MATCH('Model Inputs &amp; Assumptions'!$L$30,'Model Inputs &amp; Assumptions'!$A$40:$A$42,0))</f>
        <v>7717.09007669414</v>
      </c>
      <c r="L1024" s="51" t="n">
        <f aca="false">IFERROR(K1024/I1024,0)</f>
        <v>1.1184188516948</v>
      </c>
      <c r="M1024" s="49" t="n">
        <f aca="false">IFERROR(I1024/H1024,0)</f>
        <v>141.950396990736</v>
      </c>
      <c r="N1024" s="52" t="str">
        <f aca="false">'Model Inputs &amp; Assumptions'!$L$30</f>
        <v>PRD-USIQ</v>
      </c>
      <c r="P1024" s="53" t="n">
        <v>1.170805</v>
      </c>
      <c r="Q1024" s="53" t="n">
        <v>0.017524</v>
      </c>
      <c r="R1024" s="53" t="n">
        <v>0.840286</v>
      </c>
      <c r="S1024" s="53" t="n">
        <v>-0.62479</v>
      </c>
    </row>
    <row r="1025" customFormat="false" ht="15" hidden="false" customHeight="false" outlineLevel="0" collapsed="false">
      <c r="A1025" s="43" t="n">
        <v>22</v>
      </c>
      <c r="B1025" s="44" t="str">
        <f aca="false">'Model Inputs &amp; Assumptions'!$B$30</f>
        <v>extraETF — Newsletter Takeover</v>
      </c>
      <c r="C1025" s="45" t="n">
        <f aca="false">ROUND(MAX(0,'Model Inputs &amp; Assumptions'!$S$30*EXP('Model Inputs &amp; Assumptions'!$T$30*P1025-'Model Inputs &amp; Assumptions'!$T$30^2/2)),0)</f>
        <v>98569</v>
      </c>
      <c r="D1025" s="46" t="n">
        <f aca="false">MIN(1,'Model Inputs &amp; Assumptions'!$U$30*EXP('Model Inputs &amp; Assumptions'!$V$30*Q1025-'Model Inputs &amp; Assumptions'!$V$30^2/2))</f>
        <v>0</v>
      </c>
      <c r="E1025" s="45" t="n">
        <f aca="false">ROUND(C1025*D1025,0)</f>
        <v>0</v>
      </c>
      <c r="F1025" s="47" t="n">
        <f aca="false">MIN(1,'Model Inputs &amp; Assumptions'!$W$30*EXP('Model Inputs &amp; Assumptions'!$X$30*R1025-'Model Inputs &amp; Assumptions'!$X$30^2/2))</f>
        <v>0.0076901138756111</v>
      </c>
      <c r="G1025" s="45" t="n">
        <f aca="false">ROUND(C1025*F1025,0)</f>
        <v>758</v>
      </c>
      <c r="H1025" s="48" t="n">
        <f aca="false">MAX(0,(C1025*'Model Inputs &amp; Assumptions'!$N$30+E1025*'Model Inputs &amp; Assumptions'!$O$30+G1025*'Model Inputs &amp; Assumptions'!$P$30)*EXP('Model Inputs &amp; Assumptions'!$Q$30*S1025-'Model Inputs &amp; Assumptions'!$Q$30^2/2))</f>
        <v>40.0471246350347</v>
      </c>
      <c r="I1025" s="49" t="n">
        <f aca="false">IF('Model Inputs &amp; Assumptions'!$H$30="Fixed",'Model Inputs &amp; Assumptions'!$I$30*'Model Inputs &amp; Assumptions'!$K$30,IF('Model Inputs &amp; Assumptions'!$H$30="CPM",'Model Inputs &amp; Assumptions'!$I$30*'Model Inputs &amp; Assumptions'!$K$30*C1025/1000,IF('Model Inputs &amp; Assumptions'!$H$30="CPC",'Model Inputs &amp; Assumptions'!$I$30*'Model Inputs &amp; Assumptions'!$K$30*G1025,0)))</f>
        <v>6900</v>
      </c>
      <c r="J1025" s="50" t="n">
        <f aca="false">H1025*INDEX('Model Inputs &amp; Assumptions'!$D$40:$D$42,MATCH('Model Inputs &amp; Assumptions'!$L$30,'Model Inputs &amp; Assumptions'!$A$40:$A$42,0))*INDEX('Model Inputs &amp; Assumptions'!$H$40:$H$42,MATCH('Model Inputs &amp; Assumptions'!$L$30,'Model Inputs &amp; Assumptions'!$A$40:$A$42,0))</f>
        <v>288339.29737225</v>
      </c>
      <c r="K1025" s="49" t="n">
        <f aca="false">H1025*INDEX('Model Inputs &amp; Assumptions'!$G$40:$G$42,MATCH('Model Inputs &amp; Assumptions'!$L$30,'Model Inputs &amp; Assumptions'!$A$40:$A$42,0))*INDEX('Model Inputs &amp; Assumptions'!$H$40:$H$42,MATCH('Model Inputs &amp; Assumptions'!$L$30,'Model Inputs &amp; Assumptions'!$A$40:$A$42,0))</f>
        <v>6357.88150705811</v>
      </c>
      <c r="L1025" s="51" t="n">
        <f aca="false">IFERROR(K1025/I1025,0)</f>
        <v>0.921432102472189</v>
      </c>
      <c r="M1025" s="49" t="n">
        <f aca="false">IFERROR(I1025/H1025,0)</f>
        <v>172.297014152263</v>
      </c>
      <c r="N1025" s="52" t="str">
        <f aca="false">'Model Inputs &amp; Assumptions'!$L$30</f>
        <v>PRD-USIQ</v>
      </c>
      <c r="P1025" s="53" t="n">
        <v>1.0052</v>
      </c>
      <c r="Q1025" s="53" t="n">
        <v>1.886036</v>
      </c>
      <c r="R1025" s="53" t="n">
        <v>-0.188373</v>
      </c>
      <c r="S1025" s="53" t="n">
        <v>-0.704034</v>
      </c>
    </row>
    <row r="1026" customFormat="false" ht="15" hidden="false" customHeight="false" outlineLevel="0" collapsed="false">
      <c r="A1026" s="43" t="n">
        <v>23</v>
      </c>
      <c r="B1026" s="44" t="str">
        <f aca="false">'Model Inputs &amp; Assumptions'!$B$30</f>
        <v>extraETF — Newsletter Takeover</v>
      </c>
      <c r="C1026" s="45" t="n">
        <f aca="false">ROUND(MAX(0,'Model Inputs &amp; Assumptions'!$S$30*EXP('Model Inputs &amp; Assumptions'!$T$30*P1026-'Model Inputs &amp; Assumptions'!$T$30^2/2)),0)</f>
        <v>102994</v>
      </c>
      <c r="D1026" s="46" t="n">
        <f aca="false">MIN(1,'Model Inputs &amp; Assumptions'!$U$30*EXP('Model Inputs &amp; Assumptions'!$V$30*Q1026-'Model Inputs &amp; Assumptions'!$V$30^2/2))</f>
        <v>0</v>
      </c>
      <c r="E1026" s="45" t="n">
        <f aca="false">ROUND(C1026*D1026,0)</f>
        <v>0</v>
      </c>
      <c r="F1026" s="47" t="n">
        <f aca="false">MIN(1,'Model Inputs &amp; Assumptions'!$W$30*EXP('Model Inputs &amp; Assumptions'!$X$30*R1026-'Model Inputs &amp; Assumptions'!$X$30^2/2))</f>
        <v>0.00821319199690272</v>
      </c>
      <c r="G1026" s="45" t="n">
        <f aca="false">ROUND(C1026*F1026,0)</f>
        <v>846</v>
      </c>
      <c r="H1026" s="48" t="n">
        <f aca="false">MAX(0,(C1026*'Model Inputs &amp; Assumptions'!$N$30+E1026*'Model Inputs &amp; Assumptions'!$O$30+G1026*'Model Inputs &amp; Assumptions'!$P$30)*EXP('Model Inputs &amp; Assumptions'!$Q$30*S1026-'Model Inputs &amp; Assumptions'!$Q$30^2/2))</f>
        <v>45.7366113369848</v>
      </c>
      <c r="I1026" s="49" t="n">
        <f aca="false">IF('Model Inputs &amp; Assumptions'!$H$30="Fixed",'Model Inputs &amp; Assumptions'!$I$30*'Model Inputs &amp; Assumptions'!$K$30,IF('Model Inputs &amp; Assumptions'!$H$30="CPM",'Model Inputs &amp; Assumptions'!$I$30*'Model Inputs &amp; Assumptions'!$K$30*C1026/1000,IF('Model Inputs &amp; Assumptions'!$H$30="CPC",'Model Inputs &amp; Assumptions'!$I$30*'Model Inputs &amp; Assumptions'!$K$30*G1026,0)))</f>
        <v>6900</v>
      </c>
      <c r="J1026" s="50" t="n">
        <f aca="false">H1026*INDEX('Model Inputs &amp; Assumptions'!$D$40:$D$42,MATCH('Model Inputs &amp; Assumptions'!$L$30,'Model Inputs &amp; Assumptions'!$A$40:$A$42,0))*INDEX('Model Inputs &amp; Assumptions'!$H$40:$H$42,MATCH('Model Inputs &amp; Assumptions'!$L$30,'Model Inputs &amp; Assumptions'!$A$40:$A$42,0))</f>
        <v>329303.601626291</v>
      </c>
      <c r="K1026" s="49" t="n">
        <f aca="false">H1026*INDEX('Model Inputs &amp; Assumptions'!$G$40:$G$42,MATCH('Model Inputs &amp; Assumptions'!$L$30,'Model Inputs &amp; Assumptions'!$A$40:$A$42,0))*INDEX('Model Inputs &amp; Assumptions'!$H$40:$H$42,MATCH('Model Inputs &amp; Assumptions'!$L$30,'Model Inputs &amp; Assumptions'!$A$40:$A$42,0))</f>
        <v>7261.14441585971</v>
      </c>
      <c r="L1026" s="51" t="n">
        <f aca="false">IFERROR(K1026/I1026,0)</f>
        <v>1.05233977041445</v>
      </c>
      <c r="M1026" s="49" t="n">
        <f aca="false">IFERROR(I1026/H1026,0)</f>
        <v>150.86382218309</v>
      </c>
      <c r="N1026" s="52" t="str">
        <f aca="false">'Model Inputs &amp; Assumptions'!$L$30</f>
        <v>PRD-USIQ</v>
      </c>
      <c r="P1026" s="53" t="n">
        <v>1.371137</v>
      </c>
      <c r="Q1026" s="53" t="n">
        <v>-2.150301</v>
      </c>
      <c r="R1026" s="53" t="n">
        <v>0.250334</v>
      </c>
      <c r="S1026" s="53" t="n">
        <v>-0.612009</v>
      </c>
    </row>
    <row r="1027" customFormat="false" ht="15" hidden="false" customHeight="false" outlineLevel="0" collapsed="false">
      <c r="A1027" s="43" t="n">
        <v>24</v>
      </c>
      <c r="B1027" s="44" t="str">
        <f aca="false">'Model Inputs &amp; Assumptions'!$B$30</f>
        <v>extraETF — Newsletter Takeover</v>
      </c>
      <c r="C1027" s="45" t="n">
        <f aca="false">ROUND(MAX(0,'Model Inputs &amp; Assumptions'!$S$30*EXP('Model Inputs &amp; Assumptions'!$T$30*P1027-'Model Inputs &amp; Assumptions'!$T$30^2/2)),0)</f>
        <v>73536</v>
      </c>
      <c r="D1027" s="46" t="n">
        <f aca="false">MIN(1,'Model Inputs &amp; Assumptions'!$U$30*EXP('Model Inputs &amp; Assumptions'!$V$30*Q1027-'Model Inputs &amp; Assumptions'!$V$30^2/2))</f>
        <v>0</v>
      </c>
      <c r="E1027" s="45" t="n">
        <f aca="false">ROUND(C1027*D1027,0)</f>
        <v>0</v>
      </c>
      <c r="F1027" s="47" t="n">
        <f aca="false">MIN(1,'Model Inputs &amp; Assumptions'!$W$30*EXP('Model Inputs &amp; Assumptions'!$X$30*R1027-'Model Inputs &amp; Assumptions'!$X$30^2/2))</f>
        <v>0.00712193773137452</v>
      </c>
      <c r="G1027" s="45" t="n">
        <f aca="false">ROUND(C1027*F1027,0)</f>
        <v>524</v>
      </c>
      <c r="H1027" s="48" t="n">
        <f aca="false">MAX(0,(C1027*'Model Inputs &amp; Assumptions'!$N$30+E1027*'Model Inputs &amp; Assumptions'!$O$30+G1027*'Model Inputs &amp; Assumptions'!$P$30)*EXP('Model Inputs &amp; Assumptions'!$Q$30*S1027-'Model Inputs &amp; Assumptions'!$Q$30^2/2))</f>
        <v>41.4877799664129</v>
      </c>
      <c r="I1027" s="49" t="n">
        <f aca="false">IF('Model Inputs &amp; Assumptions'!$H$30="Fixed",'Model Inputs &amp; Assumptions'!$I$30*'Model Inputs &amp; Assumptions'!$K$30,IF('Model Inputs &amp; Assumptions'!$H$30="CPM",'Model Inputs &amp; Assumptions'!$I$30*'Model Inputs &amp; Assumptions'!$K$30*C1027/1000,IF('Model Inputs &amp; Assumptions'!$H$30="CPC",'Model Inputs &amp; Assumptions'!$I$30*'Model Inputs &amp; Assumptions'!$K$30*G1027,0)))</f>
        <v>6900</v>
      </c>
      <c r="J1027" s="50" t="n">
        <f aca="false">H1027*INDEX('Model Inputs &amp; Assumptions'!$D$40:$D$42,MATCH('Model Inputs &amp; Assumptions'!$L$30,'Model Inputs &amp; Assumptions'!$A$40:$A$42,0))*INDEX('Model Inputs &amp; Assumptions'!$H$40:$H$42,MATCH('Model Inputs &amp; Assumptions'!$L$30,'Model Inputs &amp; Assumptions'!$A$40:$A$42,0))</f>
        <v>298712.015758173</v>
      </c>
      <c r="K1027" s="49" t="n">
        <f aca="false">H1027*INDEX('Model Inputs &amp; Assumptions'!$G$40:$G$42,MATCH('Model Inputs &amp; Assumptions'!$L$30,'Model Inputs &amp; Assumptions'!$A$40:$A$42,0))*INDEX('Model Inputs &amp; Assumptions'!$H$40:$H$42,MATCH('Model Inputs &amp; Assumptions'!$L$30,'Model Inputs &amp; Assumptions'!$A$40:$A$42,0))</f>
        <v>6586.59994746772</v>
      </c>
      <c r="L1027" s="51" t="n">
        <f aca="false">IFERROR(K1027/I1027,0)</f>
        <v>0.954579702531553</v>
      </c>
      <c r="M1027" s="49" t="n">
        <f aca="false">IFERROR(I1027/H1027,0)</f>
        <v>166.314032844997</v>
      </c>
      <c r="N1027" s="52" t="str">
        <f aca="false">'Model Inputs &amp; Assumptions'!$L$30</f>
        <v>PRD-USIQ</v>
      </c>
      <c r="P1027" s="53" t="n">
        <v>-1.436297</v>
      </c>
      <c r="Q1027" s="53" t="n">
        <v>0.312669</v>
      </c>
      <c r="R1027" s="53" t="n">
        <v>-0.700078</v>
      </c>
      <c r="S1027" s="53" t="n">
        <v>0.914101</v>
      </c>
    </row>
    <row r="1028" customFormat="false" ht="15" hidden="false" customHeight="false" outlineLevel="0" collapsed="false">
      <c r="A1028" s="43" t="n">
        <v>25</v>
      </c>
      <c r="B1028" s="44" t="str">
        <f aca="false">'Model Inputs &amp; Assumptions'!$B$30</f>
        <v>extraETF — Newsletter Takeover</v>
      </c>
      <c r="C1028" s="45" t="n">
        <f aca="false">ROUND(MAX(0,'Model Inputs &amp; Assumptions'!$S$30*EXP('Model Inputs &amp; Assumptions'!$T$30*P1028-'Model Inputs &amp; Assumptions'!$T$30^2/2)),0)</f>
        <v>79288</v>
      </c>
      <c r="D1028" s="46" t="n">
        <f aca="false">MIN(1,'Model Inputs &amp; Assumptions'!$U$30*EXP('Model Inputs &amp; Assumptions'!$V$30*Q1028-'Model Inputs &amp; Assumptions'!$V$30^2/2))</f>
        <v>0</v>
      </c>
      <c r="E1028" s="45" t="n">
        <f aca="false">ROUND(C1028*D1028,0)</f>
        <v>0</v>
      </c>
      <c r="F1028" s="47" t="n">
        <f aca="false">MIN(1,'Model Inputs &amp; Assumptions'!$W$30*EXP('Model Inputs &amp; Assumptions'!$X$30*R1028-'Model Inputs &amp; Assumptions'!$X$30^2/2))</f>
        <v>0.00716730986956445</v>
      </c>
      <c r="G1028" s="45" t="n">
        <f aca="false">ROUND(C1028*F1028,0)</f>
        <v>568</v>
      </c>
      <c r="H1028" s="48" t="n">
        <f aca="false">MAX(0,(C1028*'Model Inputs &amp; Assumptions'!$N$30+E1028*'Model Inputs &amp; Assumptions'!$O$30+G1028*'Model Inputs &amp; Assumptions'!$P$30)*EXP('Model Inputs &amp; Assumptions'!$Q$30*S1028-'Model Inputs &amp; Assumptions'!$Q$30^2/2))</f>
        <v>61.2131881919015</v>
      </c>
      <c r="I1028" s="49" t="n">
        <f aca="false">IF('Model Inputs &amp; Assumptions'!$H$30="Fixed",'Model Inputs &amp; Assumptions'!$I$30*'Model Inputs &amp; Assumptions'!$K$30,IF('Model Inputs &amp; Assumptions'!$H$30="CPM",'Model Inputs &amp; Assumptions'!$I$30*'Model Inputs &amp; Assumptions'!$K$30*C1028/1000,IF('Model Inputs &amp; Assumptions'!$H$30="CPC",'Model Inputs &amp; Assumptions'!$I$30*'Model Inputs &amp; Assumptions'!$K$30*G1028,0)))</f>
        <v>6900</v>
      </c>
      <c r="J1028" s="50" t="n">
        <f aca="false">H1028*INDEX('Model Inputs &amp; Assumptions'!$D$40:$D$42,MATCH('Model Inputs &amp; Assumptions'!$L$30,'Model Inputs &amp; Assumptions'!$A$40:$A$42,0))*INDEX('Model Inputs &amp; Assumptions'!$H$40:$H$42,MATCH('Model Inputs &amp; Assumptions'!$L$30,'Model Inputs &amp; Assumptions'!$A$40:$A$42,0))</f>
        <v>440734.954981691</v>
      </c>
      <c r="K1028" s="49" t="n">
        <f aca="false">H1028*INDEX('Model Inputs &amp; Assumptions'!$G$40:$G$42,MATCH('Model Inputs &amp; Assumptions'!$L$30,'Model Inputs &amp; Assumptions'!$A$40:$A$42,0))*INDEX('Model Inputs &amp; Assumptions'!$H$40:$H$42,MATCH('Model Inputs &amp; Assumptions'!$L$30,'Model Inputs &amp; Assumptions'!$A$40:$A$42,0))</f>
        <v>9718.20575734628</v>
      </c>
      <c r="L1028" s="51" t="n">
        <f aca="false">IFERROR(K1028/I1028,0)</f>
        <v>1.40843561700671</v>
      </c>
      <c r="M1028" s="49" t="n">
        <f aca="false">IFERROR(I1028/H1028,0)</f>
        <v>112.720807456862</v>
      </c>
      <c r="N1028" s="52" t="str">
        <f aca="false">'Model Inputs &amp; Assumptions'!$L$30</f>
        <v>PRD-USIQ</v>
      </c>
      <c r="P1028" s="53" t="n">
        <v>-0.808798</v>
      </c>
      <c r="Q1028" s="53" t="n">
        <v>1.264613</v>
      </c>
      <c r="R1028" s="53" t="n">
        <v>-0.657741</v>
      </c>
      <c r="S1028" s="53" t="n">
        <v>2.147437</v>
      </c>
    </row>
    <row r="1029" customFormat="false" ht="15" hidden="false" customHeight="false" outlineLevel="0" collapsed="false">
      <c r="A1029" s="43" t="n">
        <v>26</v>
      </c>
      <c r="B1029" s="44" t="str">
        <f aca="false">'Model Inputs &amp; Assumptions'!$B$30</f>
        <v>extraETF — Newsletter Takeover</v>
      </c>
      <c r="C1029" s="45" t="n">
        <f aca="false">ROUND(MAX(0,'Model Inputs &amp; Assumptions'!$S$30*EXP('Model Inputs &amp; Assumptions'!$T$30*P1029-'Model Inputs &amp; Assumptions'!$T$30^2/2)),0)</f>
        <v>89100</v>
      </c>
      <c r="D1029" s="46" t="n">
        <f aca="false">MIN(1,'Model Inputs &amp; Assumptions'!$U$30*EXP('Model Inputs &amp; Assumptions'!$V$30*Q1029-'Model Inputs &amp; Assumptions'!$V$30^2/2))</f>
        <v>0</v>
      </c>
      <c r="E1029" s="45" t="n">
        <f aca="false">ROUND(C1029*D1029,0)</f>
        <v>0</v>
      </c>
      <c r="F1029" s="47" t="n">
        <f aca="false">MIN(1,'Model Inputs &amp; Assumptions'!$W$30*EXP('Model Inputs &amp; Assumptions'!$X$30*R1029-'Model Inputs &amp; Assumptions'!$X$30^2/2))</f>
        <v>0.00637595760096467</v>
      </c>
      <c r="G1029" s="45" t="n">
        <f aca="false">ROUND(C1029*F1029,0)</f>
        <v>568</v>
      </c>
      <c r="H1029" s="48" t="n">
        <f aca="false">MAX(0,(C1029*'Model Inputs &amp; Assumptions'!$N$30+E1029*'Model Inputs &amp; Assumptions'!$O$30+G1029*'Model Inputs &amp; Assumptions'!$P$30)*EXP('Model Inputs &amp; Assumptions'!$Q$30*S1029-'Model Inputs &amp; Assumptions'!$Q$30^2/2))</f>
        <v>26.6281162553376</v>
      </c>
      <c r="I1029" s="49" t="n">
        <f aca="false">IF('Model Inputs &amp; Assumptions'!$H$30="Fixed",'Model Inputs &amp; Assumptions'!$I$30*'Model Inputs &amp; Assumptions'!$K$30,IF('Model Inputs &amp; Assumptions'!$H$30="CPM",'Model Inputs &amp; Assumptions'!$I$30*'Model Inputs &amp; Assumptions'!$K$30*C1029/1000,IF('Model Inputs &amp; Assumptions'!$H$30="CPC",'Model Inputs &amp; Assumptions'!$I$30*'Model Inputs &amp; Assumptions'!$K$30*G1029,0)))</f>
        <v>6900</v>
      </c>
      <c r="J1029" s="50" t="n">
        <f aca="false">H1029*INDEX('Model Inputs &amp; Assumptions'!$D$40:$D$42,MATCH('Model Inputs &amp; Assumptions'!$L$30,'Model Inputs &amp; Assumptions'!$A$40:$A$42,0))*INDEX('Model Inputs &amp; Assumptions'!$H$40:$H$42,MATCH('Model Inputs &amp; Assumptions'!$L$30,'Model Inputs &amp; Assumptions'!$A$40:$A$42,0))</f>
        <v>191722.437038431</v>
      </c>
      <c r="K1029" s="49" t="n">
        <f aca="false">H1029*INDEX('Model Inputs &amp; Assumptions'!$G$40:$G$42,MATCH('Model Inputs &amp; Assumptions'!$L$30,'Model Inputs &amp; Assumptions'!$A$40:$A$42,0))*INDEX('Model Inputs &amp; Assumptions'!$H$40:$H$42,MATCH('Model Inputs &amp; Assumptions'!$L$30,'Model Inputs &amp; Assumptions'!$A$40:$A$42,0))</f>
        <v>4227.4797366974</v>
      </c>
      <c r="L1029" s="51" t="n">
        <f aca="false">IFERROR(K1029/I1029,0)</f>
        <v>0.612678222709769</v>
      </c>
      <c r="M1029" s="49" t="n">
        <f aca="false">IFERROR(I1029/H1029,0)</f>
        <v>259.124600998273</v>
      </c>
      <c r="N1029" s="52" t="str">
        <f aca="false">'Model Inputs &amp; Assumptions'!$L$30</f>
        <v>PRD-USIQ</v>
      </c>
      <c r="P1029" s="53" t="n">
        <v>0.163547</v>
      </c>
      <c r="Q1029" s="53" t="n">
        <v>0.377479</v>
      </c>
      <c r="R1029" s="53" t="n">
        <v>-1.437715</v>
      </c>
      <c r="S1029" s="53" t="n">
        <v>-1.182143</v>
      </c>
    </row>
    <row r="1030" customFormat="false" ht="15" hidden="false" customHeight="false" outlineLevel="0" collapsed="false">
      <c r="A1030" s="43" t="n">
        <v>27</v>
      </c>
      <c r="B1030" s="44" t="str">
        <f aca="false">'Model Inputs &amp; Assumptions'!$B$30</f>
        <v>extraETF — Newsletter Takeover</v>
      </c>
      <c r="C1030" s="45" t="n">
        <f aca="false">ROUND(MAX(0,'Model Inputs &amp; Assumptions'!$S$30*EXP('Model Inputs &amp; Assumptions'!$T$30*P1030-'Model Inputs &amp; Assumptions'!$T$30^2/2)),0)</f>
        <v>84026</v>
      </c>
      <c r="D1030" s="46" t="n">
        <f aca="false">MIN(1,'Model Inputs &amp; Assumptions'!$U$30*EXP('Model Inputs &amp; Assumptions'!$V$30*Q1030-'Model Inputs &amp; Assumptions'!$V$30^2/2))</f>
        <v>0</v>
      </c>
      <c r="E1030" s="45" t="n">
        <f aca="false">ROUND(C1030*D1030,0)</f>
        <v>0</v>
      </c>
      <c r="F1030" s="47" t="n">
        <f aca="false">MIN(1,'Model Inputs &amp; Assumptions'!$W$30*EXP('Model Inputs &amp; Assumptions'!$X$30*R1030-'Model Inputs &amp; Assumptions'!$X$30^2/2))</f>
        <v>0.010644623102717</v>
      </c>
      <c r="G1030" s="45" t="n">
        <f aca="false">ROUND(C1030*F1030,0)</f>
        <v>894</v>
      </c>
      <c r="H1030" s="48" t="n">
        <f aca="false">MAX(0,(C1030*'Model Inputs &amp; Assumptions'!$N$30+E1030*'Model Inputs &amp; Assumptions'!$O$30+G1030*'Model Inputs &amp; Assumptions'!$P$30)*EXP('Model Inputs &amp; Assumptions'!$Q$30*S1030-'Model Inputs &amp; Assumptions'!$Q$30^2/2))</f>
        <v>41.0454305760795</v>
      </c>
      <c r="I1030" s="49" t="n">
        <f aca="false">IF('Model Inputs &amp; Assumptions'!$H$30="Fixed",'Model Inputs &amp; Assumptions'!$I$30*'Model Inputs &amp; Assumptions'!$K$30,IF('Model Inputs &amp; Assumptions'!$H$30="CPM",'Model Inputs &amp; Assumptions'!$I$30*'Model Inputs &amp; Assumptions'!$K$30*C1030/1000,IF('Model Inputs &amp; Assumptions'!$H$30="CPC",'Model Inputs &amp; Assumptions'!$I$30*'Model Inputs &amp; Assumptions'!$K$30*G1030,0)))</f>
        <v>6900</v>
      </c>
      <c r="J1030" s="50" t="n">
        <f aca="false">H1030*INDEX('Model Inputs &amp; Assumptions'!$D$40:$D$42,MATCH('Model Inputs &amp; Assumptions'!$L$30,'Model Inputs &amp; Assumptions'!$A$40:$A$42,0))*INDEX('Model Inputs &amp; Assumptions'!$H$40:$H$42,MATCH('Model Inputs &amp; Assumptions'!$L$30,'Model Inputs &amp; Assumptions'!$A$40:$A$42,0))</f>
        <v>295527.100147772</v>
      </c>
      <c r="K1030" s="49" t="n">
        <f aca="false">H1030*INDEX('Model Inputs &amp; Assumptions'!$G$40:$G$42,MATCH('Model Inputs &amp; Assumptions'!$L$30,'Model Inputs &amp; Assumptions'!$A$40:$A$42,0))*INDEX('Model Inputs &amp; Assumptions'!$H$40:$H$42,MATCH('Model Inputs &amp; Assumptions'!$L$30,'Model Inputs &amp; Assumptions'!$A$40:$A$42,0))</f>
        <v>6516.37255825838</v>
      </c>
      <c r="L1030" s="51" t="n">
        <f aca="false">IFERROR(K1030/I1030,0)</f>
        <v>0.944401820037447</v>
      </c>
      <c r="M1030" s="49" t="n">
        <f aca="false">IFERROR(I1030/H1030,0)</f>
        <v>168.106410461709</v>
      </c>
      <c r="N1030" s="52" t="str">
        <f aca="false">'Model Inputs &amp; Assumptions'!$L$30</f>
        <v>PRD-USIQ</v>
      </c>
      <c r="P1030" s="53" t="n">
        <v>-0.325133</v>
      </c>
      <c r="Q1030" s="53" t="n">
        <v>-0.091271</v>
      </c>
      <c r="R1030" s="53" t="n">
        <v>1.979089</v>
      </c>
      <c r="S1030" s="53" t="n">
        <v>-1.265633</v>
      </c>
    </row>
    <row r="1031" customFormat="false" ht="15" hidden="false" customHeight="false" outlineLevel="0" collapsed="false">
      <c r="A1031" s="43" t="n">
        <v>28</v>
      </c>
      <c r="B1031" s="44" t="str">
        <f aca="false">'Model Inputs &amp; Assumptions'!$B$30</f>
        <v>extraETF — Newsletter Takeover</v>
      </c>
      <c r="C1031" s="45" t="n">
        <f aca="false">ROUND(MAX(0,'Model Inputs &amp; Assumptions'!$S$30*EXP('Model Inputs &amp; Assumptions'!$T$30*P1031-'Model Inputs &amp; Assumptions'!$T$30^2/2)),0)</f>
        <v>85129</v>
      </c>
      <c r="D1031" s="46" t="n">
        <f aca="false">MIN(1,'Model Inputs &amp; Assumptions'!$U$30*EXP('Model Inputs &amp; Assumptions'!$V$30*Q1031-'Model Inputs &amp; Assumptions'!$V$30^2/2))</f>
        <v>0</v>
      </c>
      <c r="E1031" s="45" t="n">
        <f aca="false">ROUND(C1031*D1031,0)</f>
        <v>0</v>
      </c>
      <c r="F1031" s="47" t="n">
        <f aca="false">MIN(1,'Model Inputs &amp; Assumptions'!$W$30*EXP('Model Inputs &amp; Assumptions'!$X$30*R1031-'Model Inputs &amp; Assumptions'!$X$30^2/2))</f>
        <v>0.00928238243426868</v>
      </c>
      <c r="G1031" s="45" t="n">
        <f aca="false">ROUND(C1031*F1031,0)</f>
        <v>790</v>
      </c>
      <c r="H1031" s="48" t="n">
        <f aca="false">MAX(0,(C1031*'Model Inputs &amp; Assumptions'!$N$30+E1031*'Model Inputs &amp; Assumptions'!$O$30+G1031*'Model Inputs &amp; Assumptions'!$P$30)*EXP('Model Inputs &amp; Assumptions'!$Q$30*S1031-'Model Inputs &amp; Assumptions'!$Q$30^2/2))</f>
        <v>43.7445129378473</v>
      </c>
      <c r="I1031" s="49" t="n">
        <f aca="false">IF('Model Inputs &amp; Assumptions'!$H$30="Fixed",'Model Inputs &amp; Assumptions'!$I$30*'Model Inputs &amp; Assumptions'!$K$30,IF('Model Inputs &amp; Assumptions'!$H$30="CPM",'Model Inputs &amp; Assumptions'!$I$30*'Model Inputs &amp; Assumptions'!$K$30*C1031/1000,IF('Model Inputs &amp; Assumptions'!$H$30="CPC",'Model Inputs &amp; Assumptions'!$I$30*'Model Inputs &amp; Assumptions'!$K$30*G1031,0)))</f>
        <v>6900</v>
      </c>
      <c r="J1031" s="50" t="n">
        <f aca="false">H1031*INDEX('Model Inputs &amp; Assumptions'!$D$40:$D$42,MATCH('Model Inputs &amp; Assumptions'!$L$30,'Model Inputs &amp; Assumptions'!$A$40:$A$42,0))*INDEX('Model Inputs &amp; Assumptions'!$H$40:$H$42,MATCH('Model Inputs &amp; Assumptions'!$L$30,'Model Inputs &amp; Assumptions'!$A$40:$A$42,0))</f>
        <v>314960.493152501</v>
      </c>
      <c r="K1031" s="49" t="n">
        <f aca="false">H1031*INDEX('Model Inputs &amp; Assumptions'!$G$40:$G$42,MATCH('Model Inputs &amp; Assumptions'!$L$30,'Model Inputs &amp; Assumptions'!$A$40:$A$42,0))*INDEX('Model Inputs &amp; Assumptions'!$H$40:$H$42,MATCH('Model Inputs &amp; Assumptions'!$L$30,'Model Inputs &amp; Assumptions'!$A$40:$A$42,0))</f>
        <v>6944.87887401264</v>
      </c>
      <c r="L1031" s="51" t="n">
        <f aca="false">IFERROR(K1031/I1031,0)</f>
        <v>1.00650418463951</v>
      </c>
      <c r="M1031" s="49" t="n">
        <f aca="false">IFERROR(I1031/H1031,0)</f>
        <v>157.73406849457</v>
      </c>
      <c r="N1031" s="52" t="str">
        <f aca="false">'Model Inputs &amp; Assumptions'!$L$30</f>
        <v>PRD-USIQ</v>
      </c>
      <c r="P1031" s="53" t="n">
        <v>-0.21643</v>
      </c>
      <c r="Q1031" s="53" t="n">
        <v>-0.700528</v>
      </c>
      <c r="R1031" s="53" t="n">
        <v>1.066178</v>
      </c>
      <c r="S1031" s="53" t="n">
        <v>-0.516195</v>
      </c>
    </row>
    <row r="1032" customFormat="false" ht="15" hidden="false" customHeight="false" outlineLevel="0" collapsed="false">
      <c r="A1032" s="43" t="n">
        <v>29</v>
      </c>
      <c r="B1032" s="44" t="str">
        <f aca="false">'Model Inputs &amp; Assumptions'!$B$30</f>
        <v>extraETF — Newsletter Takeover</v>
      </c>
      <c r="C1032" s="45" t="n">
        <f aca="false">ROUND(MAX(0,'Model Inputs &amp; Assumptions'!$S$30*EXP('Model Inputs &amp; Assumptions'!$T$30*P1032-'Model Inputs &amp; Assumptions'!$T$30^2/2)),0)</f>
        <v>90963</v>
      </c>
      <c r="D1032" s="46" t="n">
        <f aca="false">MIN(1,'Model Inputs &amp; Assumptions'!$U$30*EXP('Model Inputs &amp; Assumptions'!$V$30*Q1032-'Model Inputs &amp; Assumptions'!$V$30^2/2))</f>
        <v>0</v>
      </c>
      <c r="E1032" s="45" t="n">
        <f aca="false">ROUND(C1032*D1032,0)</f>
        <v>0</v>
      </c>
      <c r="F1032" s="47" t="n">
        <f aca="false">MIN(1,'Model Inputs &amp; Assumptions'!$W$30*EXP('Model Inputs &amp; Assumptions'!$X$30*R1032-'Model Inputs &amp; Assumptions'!$X$30^2/2))</f>
        <v>0.00832447350879489</v>
      </c>
      <c r="G1032" s="45" t="n">
        <f aca="false">ROUND(C1032*F1032,0)</f>
        <v>757</v>
      </c>
      <c r="H1032" s="48" t="n">
        <f aca="false">MAX(0,(C1032*'Model Inputs &amp; Assumptions'!$N$30+E1032*'Model Inputs &amp; Assumptions'!$O$30+G1032*'Model Inputs &amp; Assumptions'!$P$30)*EXP('Model Inputs &amp; Assumptions'!$Q$30*S1032-'Model Inputs &amp; Assumptions'!$Q$30^2/2))</f>
        <v>59.9847878564678</v>
      </c>
      <c r="I1032" s="49" t="n">
        <f aca="false">IF('Model Inputs &amp; Assumptions'!$H$30="Fixed",'Model Inputs &amp; Assumptions'!$I$30*'Model Inputs &amp; Assumptions'!$K$30,IF('Model Inputs &amp; Assumptions'!$H$30="CPM",'Model Inputs &amp; Assumptions'!$I$30*'Model Inputs &amp; Assumptions'!$K$30*C1032/1000,IF('Model Inputs &amp; Assumptions'!$H$30="CPC",'Model Inputs &amp; Assumptions'!$I$30*'Model Inputs &amp; Assumptions'!$K$30*G1032,0)))</f>
        <v>6900</v>
      </c>
      <c r="J1032" s="50" t="n">
        <f aca="false">H1032*INDEX('Model Inputs &amp; Assumptions'!$D$40:$D$42,MATCH('Model Inputs &amp; Assumptions'!$L$30,'Model Inputs &amp; Assumptions'!$A$40:$A$42,0))*INDEX('Model Inputs &amp; Assumptions'!$H$40:$H$42,MATCH('Model Inputs &amp; Assumptions'!$L$30,'Model Inputs &amp; Assumptions'!$A$40:$A$42,0))</f>
        <v>431890.472566568</v>
      </c>
      <c r="K1032" s="49" t="n">
        <f aca="false">H1032*INDEX('Model Inputs &amp; Assumptions'!$G$40:$G$42,MATCH('Model Inputs &amp; Assumptions'!$L$30,'Model Inputs &amp; Assumptions'!$A$40:$A$42,0))*INDEX('Model Inputs &amp; Assumptions'!$H$40:$H$42,MATCH('Model Inputs &amp; Assumptions'!$L$30,'Model Inputs &amp; Assumptions'!$A$40:$A$42,0))</f>
        <v>9523.18492009283</v>
      </c>
      <c r="L1032" s="51" t="n">
        <f aca="false">IFERROR(K1032/I1032,0)</f>
        <v>1.38017172754969</v>
      </c>
      <c r="M1032" s="49" t="n">
        <f aca="false">IFERROR(I1032/H1032,0)</f>
        <v>115.029164002553</v>
      </c>
      <c r="N1032" s="52" t="str">
        <f aca="false">'Model Inputs &amp; Assumptions'!$L$30</f>
        <v>PRD-USIQ</v>
      </c>
      <c r="P1032" s="53" t="n">
        <v>0.335961</v>
      </c>
      <c r="Q1032" s="53" t="n">
        <v>0.658155</v>
      </c>
      <c r="R1032" s="53" t="n">
        <v>0.340055</v>
      </c>
      <c r="S1032" s="53" t="n">
        <v>0.917383</v>
      </c>
    </row>
    <row r="1033" customFormat="false" ht="15" hidden="false" customHeight="false" outlineLevel="0" collapsed="false">
      <c r="A1033" s="43" t="n">
        <v>30</v>
      </c>
      <c r="B1033" s="44" t="str">
        <f aca="false">'Model Inputs &amp; Assumptions'!$B$30</f>
        <v>extraETF — Newsletter Takeover</v>
      </c>
      <c r="C1033" s="45" t="n">
        <f aca="false">ROUND(MAX(0,'Model Inputs &amp; Assumptions'!$S$30*EXP('Model Inputs &amp; Assumptions'!$T$30*P1033-'Model Inputs &amp; Assumptions'!$T$30^2/2)),0)</f>
        <v>75625</v>
      </c>
      <c r="D1033" s="46" t="n">
        <f aca="false">MIN(1,'Model Inputs &amp; Assumptions'!$U$30*EXP('Model Inputs &amp; Assumptions'!$V$30*Q1033-'Model Inputs &amp; Assumptions'!$V$30^2/2))</f>
        <v>0</v>
      </c>
      <c r="E1033" s="45" t="n">
        <f aca="false">ROUND(C1033*D1033,0)</f>
        <v>0</v>
      </c>
      <c r="F1033" s="47" t="n">
        <f aca="false">MIN(1,'Model Inputs &amp; Assumptions'!$W$30*EXP('Model Inputs &amp; Assumptions'!$X$30*R1033-'Model Inputs &amp; Assumptions'!$X$30^2/2))</f>
        <v>0.00811058859286877</v>
      </c>
      <c r="G1033" s="45" t="n">
        <f aca="false">ROUND(C1033*F1033,0)</f>
        <v>613</v>
      </c>
      <c r="H1033" s="48" t="n">
        <f aca="false">MAX(0,(C1033*'Model Inputs &amp; Assumptions'!$N$30+E1033*'Model Inputs &amp; Assumptions'!$O$30+G1033*'Model Inputs &amp; Assumptions'!$P$30)*EXP('Model Inputs &amp; Assumptions'!$Q$30*S1033-'Model Inputs &amp; Assumptions'!$Q$30^2/2))</f>
        <v>41.0134137097222</v>
      </c>
      <c r="I1033" s="49" t="n">
        <f aca="false">IF('Model Inputs &amp; Assumptions'!$H$30="Fixed",'Model Inputs &amp; Assumptions'!$I$30*'Model Inputs &amp; Assumptions'!$K$30,IF('Model Inputs &amp; Assumptions'!$H$30="CPM",'Model Inputs &amp; Assumptions'!$I$30*'Model Inputs &amp; Assumptions'!$K$30*C1033/1000,IF('Model Inputs &amp; Assumptions'!$H$30="CPC",'Model Inputs &amp; Assumptions'!$I$30*'Model Inputs &amp; Assumptions'!$K$30*G1033,0)))</f>
        <v>6900</v>
      </c>
      <c r="J1033" s="50" t="n">
        <f aca="false">H1033*INDEX('Model Inputs &amp; Assumptions'!$D$40:$D$42,MATCH('Model Inputs &amp; Assumptions'!$L$30,'Model Inputs &amp; Assumptions'!$A$40:$A$42,0))*INDEX('Model Inputs &amp; Assumptions'!$H$40:$H$42,MATCH('Model Inputs &amp; Assumptions'!$L$30,'Model Inputs &amp; Assumptions'!$A$40:$A$42,0))</f>
        <v>295296.57871</v>
      </c>
      <c r="K1033" s="49" t="n">
        <f aca="false">H1033*INDEX('Model Inputs &amp; Assumptions'!$G$40:$G$42,MATCH('Model Inputs &amp; Assumptions'!$L$30,'Model Inputs &amp; Assumptions'!$A$40:$A$42,0))*INDEX('Model Inputs &amp; Assumptions'!$H$40:$H$42,MATCH('Model Inputs &amp; Assumptions'!$L$30,'Model Inputs &amp; Assumptions'!$A$40:$A$42,0))</f>
        <v>6511.2895605555</v>
      </c>
      <c r="L1033" s="51" t="n">
        <f aca="false">IFERROR(K1033/I1033,0)</f>
        <v>0.943665153703695</v>
      </c>
      <c r="M1033" s="49" t="n">
        <f aca="false">IFERROR(I1033/H1033,0)</f>
        <v>168.237641685612</v>
      </c>
      <c r="N1033" s="52" t="str">
        <f aca="false">'Model Inputs &amp; Assumptions'!$L$30</f>
        <v>PRD-USIQ</v>
      </c>
      <c r="P1033" s="53" t="n">
        <v>-1.202943</v>
      </c>
      <c r="Q1033" s="53" t="n">
        <v>-0.634625</v>
      </c>
      <c r="R1033" s="53" t="n">
        <v>0.166526</v>
      </c>
      <c r="S1033" s="53" t="n">
        <v>0.240609</v>
      </c>
    </row>
    <row r="1034" customFormat="false" ht="15" hidden="false" customHeight="false" outlineLevel="0" collapsed="false">
      <c r="A1034" s="43" t="n">
        <v>31</v>
      </c>
      <c r="B1034" s="44" t="str">
        <f aca="false">'Model Inputs &amp; Assumptions'!$B$30</f>
        <v>extraETF — Newsletter Takeover</v>
      </c>
      <c r="C1034" s="45" t="n">
        <f aca="false">ROUND(MAX(0,'Model Inputs &amp; Assumptions'!$S$30*EXP('Model Inputs &amp; Assumptions'!$T$30*P1034-'Model Inputs &amp; Assumptions'!$T$30^2/2)),0)</f>
        <v>73315</v>
      </c>
      <c r="D1034" s="46" t="n">
        <f aca="false">MIN(1,'Model Inputs &amp; Assumptions'!$U$30*EXP('Model Inputs &amp; Assumptions'!$V$30*Q1034-'Model Inputs &amp; Assumptions'!$V$30^2/2))</f>
        <v>0</v>
      </c>
      <c r="E1034" s="45" t="n">
        <f aca="false">ROUND(C1034*D1034,0)</f>
        <v>0</v>
      </c>
      <c r="F1034" s="47" t="n">
        <f aca="false">MIN(1,'Model Inputs &amp; Assumptions'!$W$30*EXP('Model Inputs &amp; Assumptions'!$X$30*R1034-'Model Inputs &amp; Assumptions'!$X$30^2/2))</f>
        <v>0.00807874260055401</v>
      </c>
      <c r="G1034" s="45" t="n">
        <f aca="false">ROUND(C1034*F1034,0)</f>
        <v>592</v>
      </c>
      <c r="H1034" s="48" t="n">
        <f aca="false">MAX(0,(C1034*'Model Inputs &amp; Assumptions'!$N$30+E1034*'Model Inputs &amp; Assumptions'!$O$30+G1034*'Model Inputs &amp; Assumptions'!$P$30)*EXP('Model Inputs &amp; Assumptions'!$Q$30*S1034-'Model Inputs &amp; Assumptions'!$Q$30^2/2))</f>
        <v>31.2382365775772</v>
      </c>
      <c r="I1034" s="49" t="n">
        <f aca="false">IF('Model Inputs &amp; Assumptions'!$H$30="Fixed",'Model Inputs &amp; Assumptions'!$I$30*'Model Inputs &amp; Assumptions'!$K$30,IF('Model Inputs &amp; Assumptions'!$H$30="CPM",'Model Inputs &amp; Assumptions'!$I$30*'Model Inputs &amp; Assumptions'!$K$30*C1034/1000,IF('Model Inputs &amp; Assumptions'!$H$30="CPC",'Model Inputs &amp; Assumptions'!$I$30*'Model Inputs &amp; Assumptions'!$K$30*G1034,0)))</f>
        <v>6900</v>
      </c>
      <c r="J1034" s="50" t="n">
        <f aca="false">H1034*INDEX('Model Inputs &amp; Assumptions'!$D$40:$D$42,MATCH('Model Inputs &amp; Assumptions'!$L$30,'Model Inputs &amp; Assumptions'!$A$40:$A$42,0))*INDEX('Model Inputs &amp; Assumptions'!$H$40:$H$42,MATCH('Model Inputs &amp; Assumptions'!$L$30,'Model Inputs &amp; Assumptions'!$A$40:$A$42,0))</f>
        <v>224915.303358556</v>
      </c>
      <c r="K1034" s="49" t="n">
        <f aca="false">H1034*INDEX('Model Inputs &amp; Assumptions'!$G$40:$G$42,MATCH('Model Inputs &amp; Assumptions'!$L$30,'Model Inputs &amp; Assumptions'!$A$40:$A$42,0))*INDEX('Model Inputs &amp; Assumptions'!$H$40:$H$42,MATCH('Model Inputs &amp; Assumptions'!$L$30,'Model Inputs &amp; Assumptions'!$A$40:$A$42,0))</f>
        <v>4959.38243905616</v>
      </c>
      <c r="L1034" s="51" t="n">
        <f aca="false">IFERROR(K1034/I1034,0)</f>
        <v>0.718751078124081</v>
      </c>
      <c r="M1034" s="49" t="n">
        <f aca="false">IFERROR(I1034/H1034,0)</f>
        <v>220.883146936432</v>
      </c>
      <c r="N1034" s="52" t="str">
        <f aca="false">'Model Inputs &amp; Assumptions'!$L$30</f>
        <v>PRD-USIQ</v>
      </c>
      <c r="P1034" s="53" t="n">
        <v>-1.461477</v>
      </c>
      <c r="Q1034" s="53" t="n">
        <v>-2.11222</v>
      </c>
      <c r="R1034" s="53" t="n">
        <v>0.140298</v>
      </c>
      <c r="S1034" s="53" t="n">
        <v>-0.708983</v>
      </c>
    </row>
    <row r="1035" customFormat="false" ht="15" hidden="false" customHeight="false" outlineLevel="0" collapsed="false">
      <c r="A1035" s="43" t="n">
        <v>32</v>
      </c>
      <c r="B1035" s="44" t="str">
        <f aca="false">'Model Inputs &amp; Assumptions'!$B$30</f>
        <v>extraETF — Newsletter Takeover</v>
      </c>
      <c r="C1035" s="45" t="n">
        <f aca="false">ROUND(MAX(0,'Model Inputs &amp; Assumptions'!$S$30*EXP('Model Inputs &amp; Assumptions'!$T$30*P1035-'Model Inputs &amp; Assumptions'!$T$30^2/2)),0)</f>
        <v>86093</v>
      </c>
      <c r="D1035" s="46" t="n">
        <f aca="false">MIN(1,'Model Inputs &amp; Assumptions'!$U$30*EXP('Model Inputs &amp; Assumptions'!$V$30*Q1035-'Model Inputs &amp; Assumptions'!$V$30^2/2))</f>
        <v>0</v>
      </c>
      <c r="E1035" s="45" t="n">
        <f aca="false">ROUND(C1035*D1035,0)</f>
        <v>0</v>
      </c>
      <c r="F1035" s="47" t="n">
        <f aca="false">MIN(1,'Model Inputs &amp; Assumptions'!$W$30*EXP('Model Inputs &amp; Assumptions'!$X$30*R1035-'Model Inputs &amp; Assumptions'!$X$30^2/2))</f>
        <v>0.00663341789970179</v>
      </c>
      <c r="G1035" s="45" t="n">
        <f aca="false">ROUND(C1035*F1035,0)</f>
        <v>571</v>
      </c>
      <c r="H1035" s="48" t="n">
        <f aca="false">MAX(0,(C1035*'Model Inputs &amp; Assumptions'!$N$30+E1035*'Model Inputs &amp; Assumptions'!$O$30+G1035*'Model Inputs &amp; Assumptions'!$P$30)*EXP('Model Inputs &amp; Assumptions'!$Q$30*S1035-'Model Inputs &amp; Assumptions'!$Q$30^2/2))</f>
        <v>47.3392944727945</v>
      </c>
      <c r="I1035" s="49" t="n">
        <f aca="false">IF('Model Inputs &amp; Assumptions'!$H$30="Fixed",'Model Inputs &amp; Assumptions'!$I$30*'Model Inputs &amp; Assumptions'!$K$30,IF('Model Inputs &amp; Assumptions'!$H$30="CPM",'Model Inputs &amp; Assumptions'!$I$30*'Model Inputs &amp; Assumptions'!$K$30*C1035/1000,IF('Model Inputs &amp; Assumptions'!$H$30="CPC",'Model Inputs &amp; Assumptions'!$I$30*'Model Inputs &amp; Assumptions'!$K$30*G1035,0)))</f>
        <v>6900</v>
      </c>
      <c r="J1035" s="50" t="n">
        <f aca="false">H1035*INDEX('Model Inputs &amp; Assumptions'!$D$40:$D$42,MATCH('Model Inputs &amp; Assumptions'!$L$30,'Model Inputs &amp; Assumptions'!$A$40:$A$42,0))*INDEX('Model Inputs &amp; Assumptions'!$H$40:$H$42,MATCH('Model Inputs &amp; Assumptions'!$L$30,'Model Inputs &amp; Assumptions'!$A$40:$A$42,0))</f>
        <v>340842.92020412</v>
      </c>
      <c r="K1035" s="49" t="n">
        <f aca="false">H1035*INDEX('Model Inputs &amp; Assumptions'!$G$40:$G$42,MATCH('Model Inputs &amp; Assumptions'!$L$30,'Model Inputs &amp; Assumptions'!$A$40:$A$42,0))*INDEX('Model Inputs &amp; Assumptions'!$H$40:$H$42,MATCH('Model Inputs &amp; Assumptions'!$L$30,'Model Inputs &amp; Assumptions'!$A$40:$A$42,0))</f>
        <v>7515.58639050085</v>
      </c>
      <c r="L1035" s="51" t="n">
        <f aca="false">IFERROR(K1035/I1035,0)</f>
        <v>1.08921541891317</v>
      </c>
      <c r="M1035" s="49" t="n">
        <f aca="false">IFERROR(I1035/H1035,0)</f>
        <v>145.756291403231</v>
      </c>
      <c r="N1035" s="52" t="str">
        <f aca="false">'Model Inputs &amp; Assumptions'!$L$30</f>
        <v>PRD-USIQ</v>
      </c>
      <c r="P1035" s="53" t="n">
        <v>-0.122543</v>
      </c>
      <c r="Q1035" s="53" t="n">
        <v>0.568654</v>
      </c>
      <c r="R1035" s="53" t="n">
        <v>-1.173809</v>
      </c>
      <c r="S1035" s="53" t="n">
        <v>1.098278</v>
      </c>
    </row>
    <row r="1036" customFormat="false" ht="15" hidden="false" customHeight="false" outlineLevel="0" collapsed="false">
      <c r="A1036" s="43" t="n">
        <v>33</v>
      </c>
      <c r="B1036" s="44" t="str">
        <f aca="false">'Model Inputs &amp; Assumptions'!$B$30</f>
        <v>extraETF — Newsletter Takeover</v>
      </c>
      <c r="C1036" s="45" t="n">
        <f aca="false">ROUND(MAX(0,'Model Inputs &amp; Assumptions'!$S$30*EXP('Model Inputs &amp; Assumptions'!$T$30*P1036-'Model Inputs &amp; Assumptions'!$T$30^2/2)),0)</f>
        <v>89438</v>
      </c>
      <c r="D1036" s="46" t="n">
        <f aca="false">MIN(1,'Model Inputs &amp; Assumptions'!$U$30*EXP('Model Inputs &amp; Assumptions'!$V$30*Q1036-'Model Inputs &amp; Assumptions'!$V$30^2/2))</f>
        <v>0</v>
      </c>
      <c r="E1036" s="45" t="n">
        <f aca="false">ROUND(C1036*D1036,0)</f>
        <v>0</v>
      </c>
      <c r="F1036" s="47" t="n">
        <f aca="false">MIN(1,'Model Inputs &amp; Assumptions'!$W$30*EXP('Model Inputs &amp; Assumptions'!$X$30*R1036-'Model Inputs &amp; Assumptions'!$X$30^2/2))</f>
        <v>0.00756319932402391</v>
      </c>
      <c r="G1036" s="45" t="n">
        <f aca="false">ROUND(C1036*F1036,0)</f>
        <v>676</v>
      </c>
      <c r="H1036" s="48" t="n">
        <f aca="false">MAX(0,(C1036*'Model Inputs &amp; Assumptions'!$N$30+E1036*'Model Inputs &amp; Assumptions'!$O$30+G1036*'Model Inputs &amp; Assumptions'!$P$30)*EXP('Model Inputs &amp; Assumptions'!$Q$30*S1036-'Model Inputs &amp; Assumptions'!$Q$30^2/2))</f>
        <v>33.5981520503926</v>
      </c>
      <c r="I1036" s="49" t="n">
        <f aca="false">IF('Model Inputs &amp; Assumptions'!$H$30="Fixed",'Model Inputs &amp; Assumptions'!$I$30*'Model Inputs &amp; Assumptions'!$K$30,IF('Model Inputs &amp; Assumptions'!$H$30="CPM",'Model Inputs &amp; Assumptions'!$I$30*'Model Inputs &amp; Assumptions'!$K$30*C1036/1000,IF('Model Inputs &amp; Assumptions'!$H$30="CPC",'Model Inputs &amp; Assumptions'!$I$30*'Model Inputs &amp; Assumptions'!$K$30*G1036,0)))</f>
        <v>6900</v>
      </c>
      <c r="J1036" s="50" t="n">
        <f aca="false">H1036*INDEX('Model Inputs &amp; Assumptions'!$D$40:$D$42,MATCH('Model Inputs &amp; Assumptions'!$L$30,'Model Inputs &amp; Assumptions'!$A$40:$A$42,0))*INDEX('Model Inputs &amp; Assumptions'!$H$40:$H$42,MATCH('Model Inputs &amp; Assumptions'!$L$30,'Model Inputs &amp; Assumptions'!$A$40:$A$42,0))</f>
        <v>241906.694762826</v>
      </c>
      <c r="K1036" s="49" t="n">
        <f aca="false">H1036*INDEX('Model Inputs &amp; Assumptions'!$G$40:$G$42,MATCH('Model Inputs &amp; Assumptions'!$L$30,'Model Inputs &amp; Assumptions'!$A$40:$A$42,0))*INDEX('Model Inputs &amp; Assumptions'!$H$40:$H$42,MATCH('Model Inputs &amp; Assumptions'!$L$30,'Model Inputs &amp; Assumptions'!$A$40:$A$42,0))</f>
        <v>5334.04261952032</v>
      </c>
      <c r="L1036" s="51" t="n">
        <f aca="false">IFERROR(K1036/I1036,0)</f>
        <v>0.773049655002945</v>
      </c>
      <c r="M1036" s="49" t="n">
        <f aca="false">IFERROR(I1036/H1036,0)</f>
        <v>205.368437813215</v>
      </c>
      <c r="N1036" s="52" t="str">
        <f aca="false">'Model Inputs &amp; Assumptions'!$L$30</f>
        <v>PRD-USIQ</v>
      </c>
      <c r="P1036" s="53" t="n">
        <v>0.19511</v>
      </c>
      <c r="Q1036" s="53" t="n">
        <v>-1.914279</v>
      </c>
      <c r="R1036" s="53" t="n">
        <v>-0.299315</v>
      </c>
      <c r="S1036" s="53" t="n">
        <v>-0.948416</v>
      </c>
    </row>
    <row r="1037" customFormat="false" ht="15" hidden="false" customHeight="false" outlineLevel="0" collapsed="false">
      <c r="A1037" s="43" t="n">
        <v>34</v>
      </c>
      <c r="B1037" s="44" t="str">
        <f aca="false">'Model Inputs &amp; Assumptions'!$B$30</f>
        <v>extraETF — Newsletter Takeover</v>
      </c>
      <c r="C1037" s="45" t="n">
        <f aca="false">ROUND(MAX(0,'Model Inputs &amp; Assumptions'!$S$30*EXP('Model Inputs &amp; Assumptions'!$T$30*P1037-'Model Inputs &amp; Assumptions'!$T$30^2/2)),0)</f>
        <v>88223</v>
      </c>
      <c r="D1037" s="46" t="n">
        <f aca="false">MIN(1,'Model Inputs &amp; Assumptions'!$U$30*EXP('Model Inputs &amp; Assumptions'!$V$30*Q1037-'Model Inputs &amp; Assumptions'!$V$30^2/2))</f>
        <v>0</v>
      </c>
      <c r="E1037" s="45" t="n">
        <f aca="false">ROUND(C1037*D1037,0)</f>
        <v>0</v>
      </c>
      <c r="F1037" s="47" t="n">
        <f aca="false">MIN(1,'Model Inputs &amp; Assumptions'!$W$30*EXP('Model Inputs &amp; Assumptions'!$X$30*R1037-'Model Inputs &amp; Assumptions'!$X$30^2/2))</f>
        <v>0.00802204431631351</v>
      </c>
      <c r="G1037" s="45" t="n">
        <f aca="false">ROUND(C1037*F1037,0)</f>
        <v>708</v>
      </c>
      <c r="H1037" s="48" t="n">
        <f aca="false">MAX(0,(C1037*'Model Inputs &amp; Assumptions'!$N$30+E1037*'Model Inputs &amp; Assumptions'!$O$30+G1037*'Model Inputs &amp; Assumptions'!$P$30)*EXP('Model Inputs &amp; Assumptions'!$Q$30*S1037-'Model Inputs &amp; Assumptions'!$Q$30^2/2))</f>
        <v>55.3115133355238</v>
      </c>
      <c r="I1037" s="49" t="n">
        <f aca="false">IF('Model Inputs &amp; Assumptions'!$H$30="Fixed",'Model Inputs &amp; Assumptions'!$I$30*'Model Inputs &amp; Assumptions'!$K$30,IF('Model Inputs &amp; Assumptions'!$H$30="CPM",'Model Inputs &amp; Assumptions'!$I$30*'Model Inputs &amp; Assumptions'!$K$30*C1037/1000,IF('Model Inputs &amp; Assumptions'!$H$30="CPC",'Model Inputs &amp; Assumptions'!$I$30*'Model Inputs &amp; Assumptions'!$K$30*G1037,0)))</f>
        <v>6900</v>
      </c>
      <c r="J1037" s="50" t="n">
        <f aca="false">H1037*INDEX('Model Inputs &amp; Assumptions'!$D$40:$D$42,MATCH('Model Inputs &amp; Assumptions'!$L$30,'Model Inputs &amp; Assumptions'!$A$40:$A$42,0))*INDEX('Model Inputs &amp; Assumptions'!$H$40:$H$42,MATCH('Model Inputs &amp; Assumptions'!$L$30,'Model Inputs &amp; Assumptions'!$A$40:$A$42,0))</f>
        <v>398242.896015771</v>
      </c>
      <c r="K1037" s="49" t="n">
        <f aca="false">H1037*INDEX('Model Inputs &amp; Assumptions'!$G$40:$G$42,MATCH('Model Inputs &amp; Assumptions'!$L$30,'Model Inputs &amp; Assumptions'!$A$40:$A$42,0))*INDEX('Model Inputs &amp; Assumptions'!$H$40:$H$42,MATCH('Model Inputs &amp; Assumptions'!$L$30,'Model Inputs &amp; Assumptions'!$A$40:$A$42,0))</f>
        <v>8781.25585714776</v>
      </c>
      <c r="L1037" s="51" t="n">
        <f aca="false">IFERROR(K1037/I1037,0)</f>
        <v>1.27264577639823</v>
      </c>
      <c r="M1037" s="49" t="n">
        <f aca="false">IFERROR(I1037/H1037,0)</f>
        <v>124.747987966702</v>
      </c>
      <c r="N1037" s="52" t="str">
        <f aca="false">'Model Inputs &amp; Assumptions'!$L$30</f>
        <v>PRD-USIQ</v>
      </c>
      <c r="P1037" s="53" t="n">
        <v>0.081079</v>
      </c>
      <c r="Q1037" s="53" t="n">
        <v>0.131307</v>
      </c>
      <c r="R1037" s="53" t="n">
        <v>0.093345</v>
      </c>
      <c r="S1037" s="53" t="n">
        <v>0.86062</v>
      </c>
    </row>
    <row r="1038" customFormat="false" ht="15" hidden="false" customHeight="false" outlineLevel="0" collapsed="false">
      <c r="A1038" s="43" t="n">
        <v>35</v>
      </c>
      <c r="B1038" s="44" t="str">
        <f aca="false">'Model Inputs &amp; Assumptions'!$B$30</f>
        <v>extraETF — Newsletter Takeover</v>
      </c>
      <c r="C1038" s="45" t="n">
        <f aca="false">ROUND(MAX(0,'Model Inputs &amp; Assumptions'!$S$30*EXP('Model Inputs &amp; Assumptions'!$T$30*P1038-'Model Inputs &amp; Assumptions'!$T$30^2/2)),0)</f>
        <v>92432</v>
      </c>
      <c r="D1038" s="46" t="n">
        <f aca="false">MIN(1,'Model Inputs &amp; Assumptions'!$U$30*EXP('Model Inputs &amp; Assumptions'!$V$30*Q1038-'Model Inputs &amp; Assumptions'!$V$30^2/2))</f>
        <v>0</v>
      </c>
      <c r="E1038" s="45" t="n">
        <f aca="false">ROUND(C1038*D1038,0)</f>
        <v>0</v>
      </c>
      <c r="F1038" s="47" t="n">
        <f aca="false">MIN(1,'Model Inputs &amp; Assumptions'!$W$30*EXP('Model Inputs &amp; Assumptions'!$X$30*R1038-'Model Inputs &amp; Assumptions'!$X$30^2/2))</f>
        <v>0.00845448349415617</v>
      </c>
      <c r="G1038" s="45" t="n">
        <f aca="false">ROUND(C1038*F1038,0)</f>
        <v>781</v>
      </c>
      <c r="H1038" s="48" t="n">
        <f aca="false">MAX(0,(C1038*'Model Inputs &amp; Assumptions'!$N$30+E1038*'Model Inputs &amp; Assumptions'!$O$30+G1038*'Model Inputs &amp; Assumptions'!$P$30)*EXP('Model Inputs &amp; Assumptions'!$Q$30*S1038-'Model Inputs &amp; Assumptions'!$Q$30^2/2))</f>
        <v>35.9648164866772</v>
      </c>
      <c r="I1038" s="49" t="n">
        <f aca="false">IF('Model Inputs &amp; Assumptions'!$H$30="Fixed",'Model Inputs &amp; Assumptions'!$I$30*'Model Inputs &amp; Assumptions'!$K$30,IF('Model Inputs &amp; Assumptions'!$H$30="CPM",'Model Inputs &amp; Assumptions'!$I$30*'Model Inputs &amp; Assumptions'!$K$30*C1038/1000,IF('Model Inputs &amp; Assumptions'!$H$30="CPC",'Model Inputs &amp; Assumptions'!$I$30*'Model Inputs &amp; Assumptions'!$K$30*G1038,0)))</f>
        <v>6900</v>
      </c>
      <c r="J1038" s="50" t="n">
        <f aca="false">H1038*INDEX('Model Inputs &amp; Assumptions'!$D$40:$D$42,MATCH('Model Inputs &amp; Assumptions'!$L$30,'Model Inputs &amp; Assumptions'!$A$40:$A$42,0))*INDEX('Model Inputs &amp; Assumptions'!$H$40:$H$42,MATCH('Model Inputs &amp; Assumptions'!$L$30,'Model Inputs &amp; Assumptions'!$A$40:$A$42,0))</f>
        <v>258946.678704076</v>
      </c>
      <c r="K1038" s="49" t="n">
        <f aca="false">H1038*INDEX('Model Inputs &amp; Assumptions'!$G$40:$G$42,MATCH('Model Inputs &amp; Assumptions'!$L$30,'Model Inputs &amp; Assumptions'!$A$40:$A$42,0))*INDEX('Model Inputs &amp; Assumptions'!$H$40:$H$42,MATCH('Model Inputs &amp; Assumptions'!$L$30,'Model Inputs &amp; Assumptions'!$A$40:$A$42,0))</f>
        <v>5709.77426542487</v>
      </c>
      <c r="L1038" s="51" t="n">
        <f aca="false">IFERROR(K1038/I1038,0)</f>
        <v>0.827503516728242</v>
      </c>
      <c r="M1038" s="49" t="n">
        <f aca="false">IFERROR(I1038/H1038,0)</f>
        <v>191.854169548065</v>
      </c>
      <c r="N1038" s="52" t="str">
        <f aca="false">'Model Inputs &amp; Assumptions'!$L$30</f>
        <v>PRD-USIQ</v>
      </c>
      <c r="P1038" s="53" t="n">
        <v>0.469463</v>
      </c>
      <c r="Q1038" s="53" t="n">
        <v>0.119586</v>
      </c>
      <c r="R1038" s="53" t="n">
        <v>0.443369</v>
      </c>
      <c r="S1038" s="53" t="n">
        <v>-1.253664</v>
      </c>
    </row>
    <row r="1039" customFormat="false" ht="15" hidden="false" customHeight="false" outlineLevel="0" collapsed="false">
      <c r="A1039" s="43" t="n">
        <v>36</v>
      </c>
      <c r="B1039" s="44" t="str">
        <f aca="false">'Model Inputs &amp; Assumptions'!$B$30</f>
        <v>extraETF — Newsletter Takeover</v>
      </c>
      <c r="C1039" s="45" t="n">
        <f aca="false">ROUND(MAX(0,'Model Inputs &amp; Assumptions'!$S$30*EXP('Model Inputs &amp; Assumptions'!$T$30*P1039-'Model Inputs &amp; Assumptions'!$T$30^2/2)),0)</f>
        <v>103612</v>
      </c>
      <c r="D1039" s="46" t="n">
        <f aca="false">MIN(1,'Model Inputs &amp; Assumptions'!$U$30*EXP('Model Inputs &amp; Assumptions'!$V$30*Q1039-'Model Inputs &amp; Assumptions'!$V$30^2/2))</f>
        <v>0</v>
      </c>
      <c r="E1039" s="45" t="n">
        <f aca="false">ROUND(C1039*D1039,0)</f>
        <v>0</v>
      </c>
      <c r="F1039" s="47" t="n">
        <f aca="false">MIN(1,'Model Inputs &amp; Assumptions'!$W$30*EXP('Model Inputs &amp; Assumptions'!$X$30*R1039-'Model Inputs &amp; Assumptions'!$X$30^2/2))</f>
        <v>0.0100229783467061</v>
      </c>
      <c r="G1039" s="45" t="n">
        <f aca="false">ROUND(C1039*F1039,0)</f>
        <v>1039</v>
      </c>
      <c r="H1039" s="48" t="n">
        <f aca="false">MAX(0,(C1039*'Model Inputs &amp; Assumptions'!$N$30+E1039*'Model Inputs &amp; Assumptions'!$O$30+G1039*'Model Inputs &amp; Assumptions'!$P$30)*EXP('Model Inputs &amp; Assumptions'!$Q$30*S1039-'Model Inputs &amp; Assumptions'!$Q$30^2/2))</f>
        <v>62.9294483878592</v>
      </c>
      <c r="I1039" s="49" t="n">
        <f aca="false">IF('Model Inputs &amp; Assumptions'!$H$30="Fixed",'Model Inputs &amp; Assumptions'!$I$30*'Model Inputs &amp; Assumptions'!$K$30,IF('Model Inputs &amp; Assumptions'!$H$30="CPM",'Model Inputs &amp; Assumptions'!$I$30*'Model Inputs &amp; Assumptions'!$K$30*C1039/1000,IF('Model Inputs &amp; Assumptions'!$H$30="CPC",'Model Inputs &amp; Assumptions'!$I$30*'Model Inputs &amp; Assumptions'!$K$30*G1039,0)))</f>
        <v>6900</v>
      </c>
      <c r="J1039" s="50" t="n">
        <f aca="false">H1039*INDEX('Model Inputs &amp; Assumptions'!$D$40:$D$42,MATCH('Model Inputs &amp; Assumptions'!$L$30,'Model Inputs &amp; Assumptions'!$A$40:$A$42,0))*INDEX('Model Inputs &amp; Assumptions'!$H$40:$H$42,MATCH('Model Inputs &amp; Assumptions'!$L$30,'Model Inputs &amp; Assumptions'!$A$40:$A$42,0))</f>
        <v>453092.028392586</v>
      </c>
      <c r="K1039" s="49" t="n">
        <f aca="false">H1039*INDEX('Model Inputs &amp; Assumptions'!$G$40:$G$42,MATCH('Model Inputs &amp; Assumptions'!$L$30,'Model Inputs &amp; Assumptions'!$A$40:$A$42,0))*INDEX('Model Inputs &amp; Assumptions'!$H$40:$H$42,MATCH('Model Inputs &amp; Assumptions'!$L$30,'Model Inputs &amp; Assumptions'!$A$40:$A$42,0))</f>
        <v>9990.67922605652</v>
      </c>
      <c r="L1039" s="51" t="n">
        <f aca="false">IFERROR(K1039/I1039,0)</f>
        <v>1.44792452551544</v>
      </c>
      <c r="M1039" s="49" t="n">
        <f aca="false">IFERROR(I1039/H1039,0)</f>
        <v>109.646599116404</v>
      </c>
      <c r="N1039" s="52" t="str">
        <f aca="false">'Model Inputs &amp; Assumptions'!$L$30</f>
        <v>PRD-USIQ</v>
      </c>
      <c r="P1039" s="53" t="n">
        <v>1.420945</v>
      </c>
      <c r="Q1039" s="53" t="n">
        <v>-0.567632</v>
      </c>
      <c r="R1039" s="53" t="n">
        <v>1.577925</v>
      </c>
      <c r="S1039" s="53" t="n">
        <v>-0.157527</v>
      </c>
    </row>
    <row r="1040" customFormat="false" ht="15" hidden="false" customHeight="false" outlineLevel="0" collapsed="false">
      <c r="A1040" s="43" t="n">
        <v>37</v>
      </c>
      <c r="B1040" s="44" t="str">
        <f aca="false">'Model Inputs &amp; Assumptions'!$B$30</f>
        <v>extraETF — Newsletter Takeover</v>
      </c>
      <c r="C1040" s="45" t="n">
        <f aca="false">ROUND(MAX(0,'Model Inputs &amp; Assumptions'!$S$30*EXP('Model Inputs &amp; Assumptions'!$T$30*P1040-'Model Inputs &amp; Assumptions'!$T$30^2/2)),0)</f>
        <v>74110</v>
      </c>
      <c r="D1040" s="46" t="n">
        <f aca="false">MIN(1,'Model Inputs &amp; Assumptions'!$U$30*EXP('Model Inputs &amp; Assumptions'!$V$30*Q1040-'Model Inputs &amp; Assumptions'!$V$30^2/2))</f>
        <v>0</v>
      </c>
      <c r="E1040" s="45" t="n">
        <f aca="false">ROUND(C1040*D1040,0)</f>
        <v>0</v>
      </c>
      <c r="F1040" s="47" t="n">
        <f aca="false">MIN(1,'Model Inputs &amp; Assumptions'!$W$30*EXP('Model Inputs &amp; Assumptions'!$X$30*R1040-'Model Inputs &amp; Assumptions'!$X$30^2/2))</f>
        <v>0.00576854707285163</v>
      </c>
      <c r="G1040" s="45" t="n">
        <f aca="false">ROUND(C1040*F1040,0)</f>
        <v>428</v>
      </c>
      <c r="H1040" s="48" t="n">
        <f aca="false">MAX(0,(C1040*'Model Inputs &amp; Assumptions'!$N$30+E1040*'Model Inputs &amp; Assumptions'!$O$30+G1040*'Model Inputs &amp; Assumptions'!$P$30)*EXP('Model Inputs &amp; Assumptions'!$Q$30*S1040-'Model Inputs &amp; Assumptions'!$Q$30^2/2))</f>
        <v>27.9531371972439</v>
      </c>
      <c r="I1040" s="49" t="n">
        <f aca="false">IF('Model Inputs &amp; Assumptions'!$H$30="Fixed",'Model Inputs &amp; Assumptions'!$I$30*'Model Inputs &amp; Assumptions'!$K$30,IF('Model Inputs &amp; Assumptions'!$H$30="CPM",'Model Inputs &amp; Assumptions'!$I$30*'Model Inputs &amp; Assumptions'!$K$30*C1040/1000,IF('Model Inputs &amp; Assumptions'!$H$30="CPC",'Model Inputs &amp; Assumptions'!$I$30*'Model Inputs &amp; Assumptions'!$K$30*G1040,0)))</f>
        <v>6900</v>
      </c>
      <c r="J1040" s="50" t="n">
        <f aca="false">H1040*INDEX('Model Inputs &amp; Assumptions'!$D$40:$D$42,MATCH('Model Inputs &amp; Assumptions'!$L$30,'Model Inputs &amp; Assumptions'!$A$40:$A$42,0))*INDEX('Model Inputs &amp; Assumptions'!$H$40:$H$42,MATCH('Model Inputs &amp; Assumptions'!$L$30,'Model Inputs &amp; Assumptions'!$A$40:$A$42,0))</f>
        <v>201262.587820156</v>
      </c>
      <c r="K1040" s="49" t="n">
        <f aca="false">H1040*INDEX('Model Inputs &amp; Assumptions'!$G$40:$G$42,MATCH('Model Inputs &amp; Assumptions'!$L$30,'Model Inputs &amp; Assumptions'!$A$40:$A$42,0))*INDEX('Model Inputs &amp; Assumptions'!$H$40:$H$42,MATCH('Model Inputs &amp; Assumptions'!$L$30,'Model Inputs &amp; Assumptions'!$A$40:$A$42,0))</f>
        <v>4437.84006143445</v>
      </c>
      <c r="L1040" s="51" t="n">
        <f aca="false">IFERROR(K1040/I1040,0)</f>
        <v>0.643165226294847</v>
      </c>
      <c r="M1040" s="49" t="n">
        <f aca="false">IFERROR(I1040/H1040,0)</f>
        <v>246.841703359161</v>
      </c>
      <c r="N1040" s="52" t="str">
        <f aca="false">'Model Inputs &amp; Assumptions'!$L$30</f>
        <v>PRD-USIQ</v>
      </c>
      <c r="P1040" s="53" t="n">
        <v>-1.371526</v>
      </c>
      <c r="Q1040" s="53" t="n">
        <v>1.194436</v>
      </c>
      <c r="R1040" s="53" t="n">
        <v>-2.105142</v>
      </c>
      <c r="S1040" s="53" t="n">
        <v>0.144097</v>
      </c>
    </row>
    <row r="1041" customFormat="false" ht="15" hidden="false" customHeight="false" outlineLevel="0" collapsed="false">
      <c r="A1041" s="43" t="n">
        <v>38</v>
      </c>
      <c r="B1041" s="44" t="str">
        <f aca="false">'Model Inputs &amp; Assumptions'!$B$30</f>
        <v>extraETF — Newsletter Takeover</v>
      </c>
      <c r="C1041" s="45" t="n">
        <f aca="false">ROUND(MAX(0,'Model Inputs &amp; Assumptions'!$S$30*EXP('Model Inputs &amp; Assumptions'!$T$30*P1041-'Model Inputs &amp; Assumptions'!$T$30^2/2)),0)</f>
        <v>80529</v>
      </c>
      <c r="D1041" s="46" t="n">
        <f aca="false">MIN(1,'Model Inputs &amp; Assumptions'!$U$30*EXP('Model Inputs &amp; Assumptions'!$V$30*Q1041-'Model Inputs &amp; Assumptions'!$V$30^2/2))</f>
        <v>0</v>
      </c>
      <c r="E1041" s="45" t="n">
        <f aca="false">ROUND(C1041*D1041,0)</f>
        <v>0</v>
      </c>
      <c r="F1041" s="47" t="n">
        <f aca="false">MIN(1,'Model Inputs &amp; Assumptions'!$W$30*EXP('Model Inputs &amp; Assumptions'!$X$30*R1041-'Model Inputs &amp; Assumptions'!$X$30^2/2))</f>
        <v>0.00695087180779199</v>
      </c>
      <c r="G1041" s="45" t="n">
        <f aca="false">ROUND(C1041*F1041,0)</f>
        <v>560</v>
      </c>
      <c r="H1041" s="48" t="n">
        <f aca="false">MAX(0,(C1041*'Model Inputs &amp; Assumptions'!$N$30+E1041*'Model Inputs &amp; Assumptions'!$O$30+G1041*'Model Inputs &amp; Assumptions'!$P$30)*EXP('Model Inputs &amp; Assumptions'!$Q$30*S1041-'Model Inputs &amp; Assumptions'!$Q$30^2/2))</f>
        <v>40.572906840138</v>
      </c>
      <c r="I1041" s="49" t="n">
        <f aca="false">IF('Model Inputs &amp; Assumptions'!$H$30="Fixed",'Model Inputs &amp; Assumptions'!$I$30*'Model Inputs &amp; Assumptions'!$K$30,IF('Model Inputs &amp; Assumptions'!$H$30="CPM",'Model Inputs &amp; Assumptions'!$I$30*'Model Inputs &amp; Assumptions'!$K$30*C1041/1000,IF('Model Inputs &amp; Assumptions'!$H$30="CPC",'Model Inputs &amp; Assumptions'!$I$30*'Model Inputs &amp; Assumptions'!$K$30*G1041,0)))</f>
        <v>6900</v>
      </c>
      <c r="J1041" s="50" t="n">
        <f aca="false">H1041*INDEX('Model Inputs &amp; Assumptions'!$D$40:$D$42,MATCH('Model Inputs &amp; Assumptions'!$L$30,'Model Inputs &amp; Assumptions'!$A$40:$A$42,0))*INDEX('Model Inputs &amp; Assumptions'!$H$40:$H$42,MATCH('Model Inputs &amp; Assumptions'!$L$30,'Model Inputs &amp; Assumptions'!$A$40:$A$42,0))</f>
        <v>292124.929248994</v>
      </c>
      <c r="K1041" s="49" t="n">
        <f aca="false">H1041*INDEX('Model Inputs &amp; Assumptions'!$G$40:$G$42,MATCH('Model Inputs &amp; Assumptions'!$L$30,'Model Inputs &amp; Assumptions'!$A$40:$A$42,0))*INDEX('Model Inputs &amp; Assumptions'!$H$40:$H$42,MATCH('Model Inputs &amp; Assumptions'!$L$30,'Model Inputs &amp; Assumptions'!$A$40:$A$42,0))</f>
        <v>6441.35468994031</v>
      </c>
      <c r="L1041" s="51" t="n">
        <f aca="false">IFERROR(K1041/I1041,0)</f>
        <v>0.933529665208741</v>
      </c>
      <c r="M1041" s="49" t="n">
        <f aca="false">IFERROR(I1041/H1041,0)</f>
        <v>170.064226040959</v>
      </c>
      <c r="N1041" s="52" t="str">
        <f aca="false">'Model Inputs &amp; Assumptions'!$L$30</f>
        <v>PRD-USIQ</v>
      </c>
      <c r="P1041" s="53" t="n">
        <v>-0.679351</v>
      </c>
      <c r="Q1041" s="53" t="n">
        <v>0.00362</v>
      </c>
      <c r="R1041" s="53" t="n">
        <v>-0.862163</v>
      </c>
      <c r="S1041" s="53" t="n">
        <v>0.559127</v>
      </c>
    </row>
    <row r="1042" customFormat="false" ht="15" hidden="false" customHeight="false" outlineLevel="0" collapsed="false">
      <c r="A1042" s="43" t="n">
        <v>39</v>
      </c>
      <c r="B1042" s="44" t="str">
        <f aca="false">'Model Inputs &amp; Assumptions'!$B$30</f>
        <v>extraETF — Newsletter Takeover</v>
      </c>
      <c r="C1042" s="45" t="n">
        <f aca="false">ROUND(MAX(0,'Model Inputs &amp; Assumptions'!$S$30*EXP('Model Inputs &amp; Assumptions'!$T$30*P1042-'Model Inputs &amp; Assumptions'!$T$30^2/2)),0)</f>
        <v>88906</v>
      </c>
      <c r="D1042" s="46" t="n">
        <f aca="false">MIN(1,'Model Inputs &amp; Assumptions'!$U$30*EXP('Model Inputs &amp; Assumptions'!$V$30*Q1042-'Model Inputs &amp; Assumptions'!$V$30^2/2))</f>
        <v>0</v>
      </c>
      <c r="E1042" s="45" t="n">
        <f aca="false">ROUND(C1042*D1042,0)</f>
        <v>0</v>
      </c>
      <c r="F1042" s="47" t="n">
        <f aca="false">MIN(1,'Model Inputs &amp; Assumptions'!$W$30*EXP('Model Inputs &amp; Assumptions'!$X$30*R1042-'Model Inputs &amp; Assumptions'!$X$30^2/2))</f>
        <v>0.0075416658428298</v>
      </c>
      <c r="G1042" s="45" t="n">
        <f aca="false">ROUND(C1042*F1042,0)</f>
        <v>670</v>
      </c>
      <c r="H1042" s="48" t="n">
        <f aca="false">MAX(0,(C1042*'Model Inputs &amp; Assumptions'!$N$30+E1042*'Model Inputs &amp; Assumptions'!$O$30+G1042*'Model Inputs &amp; Assumptions'!$P$30)*EXP('Model Inputs &amp; Assumptions'!$Q$30*S1042-'Model Inputs &amp; Assumptions'!$Q$30^2/2))</f>
        <v>52.3136433047347</v>
      </c>
      <c r="I1042" s="49" t="n">
        <f aca="false">IF('Model Inputs &amp; Assumptions'!$H$30="Fixed",'Model Inputs &amp; Assumptions'!$I$30*'Model Inputs &amp; Assumptions'!$K$30,IF('Model Inputs &amp; Assumptions'!$H$30="CPM",'Model Inputs &amp; Assumptions'!$I$30*'Model Inputs &amp; Assumptions'!$K$30*C1042/1000,IF('Model Inputs &amp; Assumptions'!$H$30="CPC",'Model Inputs &amp; Assumptions'!$I$30*'Model Inputs &amp; Assumptions'!$K$30*G1042,0)))</f>
        <v>6900</v>
      </c>
      <c r="J1042" s="50" t="n">
        <f aca="false">H1042*INDEX('Model Inputs &amp; Assumptions'!$D$40:$D$42,MATCH('Model Inputs &amp; Assumptions'!$L$30,'Model Inputs &amp; Assumptions'!$A$40:$A$42,0))*INDEX('Model Inputs &amp; Assumptions'!$H$40:$H$42,MATCH('Model Inputs &amp; Assumptions'!$L$30,'Model Inputs &amp; Assumptions'!$A$40:$A$42,0))</f>
        <v>376658.23179409</v>
      </c>
      <c r="K1042" s="49" t="n">
        <f aca="false">H1042*INDEX('Model Inputs &amp; Assumptions'!$G$40:$G$42,MATCH('Model Inputs &amp; Assumptions'!$L$30,'Model Inputs &amp; Assumptions'!$A$40:$A$42,0))*INDEX('Model Inputs &amp; Assumptions'!$H$40:$H$42,MATCH('Model Inputs &amp; Assumptions'!$L$30,'Model Inputs &amp; Assumptions'!$A$40:$A$42,0))</f>
        <v>8305.31401105969</v>
      </c>
      <c r="L1042" s="51" t="n">
        <f aca="false">IFERROR(K1042/I1042,0)</f>
        <v>1.20366869725503</v>
      </c>
      <c r="M1042" s="49" t="n">
        <f aca="false">IFERROR(I1042/H1042,0)</f>
        <v>131.896758935455</v>
      </c>
      <c r="N1042" s="52" t="str">
        <f aca="false">'Model Inputs &amp; Assumptions'!$L$30</f>
        <v>PRD-USIQ</v>
      </c>
      <c r="P1042" s="53" t="n">
        <v>0.14538</v>
      </c>
      <c r="Q1042" s="53" t="n">
        <v>-1.119554</v>
      </c>
      <c r="R1042" s="53" t="n">
        <v>-0.318323</v>
      </c>
      <c r="S1042" s="53" t="n">
        <v>0.85839</v>
      </c>
    </row>
    <row r="1043" customFormat="false" ht="15" hidden="false" customHeight="false" outlineLevel="0" collapsed="false">
      <c r="A1043" s="43" t="n">
        <v>40</v>
      </c>
      <c r="B1043" s="44" t="str">
        <f aca="false">'Model Inputs &amp; Assumptions'!$B$30</f>
        <v>extraETF — Newsletter Takeover</v>
      </c>
      <c r="C1043" s="45" t="n">
        <f aca="false">ROUND(MAX(0,'Model Inputs &amp; Assumptions'!$S$30*EXP('Model Inputs &amp; Assumptions'!$T$30*P1043-'Model Inputs &amp; Assumptions'!$T$30^2/2)),0)</f>
        <v>77235</v>
      </c>
      <c r="D1043" s="46" t="n">
        <f aca="false">MIN(1,'Model Inputs &amp; Assumptions'!$U$30*EXP('Model Inputs &amp; Assumptions'!$V$30*Q1043-'Model Inputs &amp; Assumptions'!$V$30^2/2))</f>
        <v>0</v>
      </c>
      <c r="E1043" s="45" t="n">
        <f aca="false">ROUND(C1043*D1043,0)</f>
        <v>0</v>
      </c>
      <c r="F1043" s="47" t="n">
        <f aca="false">MIN(1,'Model Inputs &amp; Assumptions'!$W$30*EXP('Model Inputs &amp; Assumptions'!$X$30*R1043-'Model Inputs &amp; Assumptions'!$X$30^2/2))</f>
        <v>0.00947763480201414</v>
      </c>
      <c r="G1043" s="45" t="n">
        <f aca="false">ROUND(C1043*F1043,0)</f>
        <v>732</v>
      </c>
      <c r="H1043" s="48" t="n">
        <f aca="false">MAX(0,(C1043*'Model Inputs &amp; Assumptions'!$N$30+E1043*'Model Inputs &amp; Assumptions'!$O$30+G1043*'Model Inputs &amp; Assumptions'!$P$30)*EXP('Model Inputs &amp; Assumptions'!$Q$30*S1043-'Model Inputs &amp; Assumptions'!$Q$30^2/2))</f>
        <v>43.401000979094</v>
      </c>
      <c r="I1043" s="49" t="n">
        <f aca="false">IF('Model Inputs &amp; Assumptions'!$H$30="Fixed",'Model Inputs &amp; Assumptions'!$I$30*'Model Inputs &amp; Assumptions'!$K$30,IF('Model Inputs &amp; Assumptions'!$H$30="CPM",'Model Inputs &amp; Assumptions'!$I$30*'Model Inputs &amp; Assumptions'!$K$30*C1043/1000,IF('Model Inputs &amp; Assumptions'!$H$30="CPC",'Model Inputs &amp; Assumptions'!$I$30*'Model Inputs &amp; Assumptions'!$K$30*G1043,0)))</f>
        <v>6900</v>
      </c>
      <c r="J1043" s="50" t="n">
        <f aca="false">H1043*INDEX('Model Inputs &amp; Assumptions'!$D$40:$D$42,MATCH('Model Inputs &amp; Assumptions'!$L$30,'Model Inputs &amp; Assumptions'!$A$40:$A$42,0))*INDEX('Model Inputs &amp; Assumptions'!$H$40:$H$42,MATCH('Model Inputs &amp; Assumptions'!$L$30,'Model Inputs &amp; Assumptions'!$A$40:$A$42,0))</f>
        <v>312487.207049477</v>
      </c>
      <c r="K1043" s="49" t="n">
        <f aca="false">H1043*INDEX('Model Inputs &amp; Assumptions'!$G$40:$G$42,MATCH('Model Inputs &amp; Assumptions'!$L$30,'Model Inputs &amp; Assumptions'!$A$40:$A$42,0))*INDEX('Model Inputs &amp; Assumptions'!$H$40:$H$42,MATCH('Model Inputs &amp; Assumptions'!$L$30,'Model Inputs &amp; Assumptions'!$A$40:$A$42,0))</f>
        <v>6890.34291544096</v>
      </c>
      <c r="L1043" s="51" t="n">
        <f aca="false">IFERROR(K1043/I1043,0)</f>
        <v>0.998600422527675</v>
      </c>
      <c r="M1043" s="49" t="n">
        <f aca="false">IFERROR(I1043/H1043,0)</f>
        <v>158.982508337162</v>
      </c>
      <c r="N1043" s="52" t="str">
        <f aca="false">'Model Inputs &amp; Assumptions'!$L$30</f>
        <v>PRD-USIQ</v>
      </c>
      <c r="P1043" s="53" t="n">
        <v>-1.027352</v>
      </c>
      <c r="Q1043" s="53" t="n">
        <v>-0.990871</v>
      </c>
      <c r="R1043" s="53" t="n">
        <v>1.204955</v>
      </c>
      <c r="S1043" s="53" t="n">
        <v>-0.24272</v>
      </c>
    </row>
    <row r="1044" customFormat="false" ht="15" hidden="false" customHeight="false" outlineLevel="0" collapsed="false">
      <c r="A1044" s="43" t="n">
        <v>41</v>
      </c>
      <c r="B1044" s="44" t="str">
        <f aca="false">'Model Inputs &amp; Assumptions'!$B$30</f>
        <v>extraETF — Newsletter Takeover</v>
      </c>
      <c r="C1044" s="45" t="n">
        <f aca="false">ROUND(MAX(0,'Model Inputs &amp; Assumptions'!$S$30*EXP('Model Inputs &amp; Assumptions'!$T$30*P1044-'Model Inputs &amp; Assumptions'!$T$30^2/2)),0)</f>
        <v>82147</v>
      </c>
      <c r="D1044" s="46" t="n">
        <f aca="false">MIN(1,'Model Inputs &amp; Assumptions'!$U$30*EXP('Model Inputs &amp; Assumptions'!$V$30*Q1044-'Model Inputs &amp; Assumptions'!$V$30^2/2))</f>
        <v>0</v>
      </c>
      <c r="E1044" s="45" t="n">
        <f aca="false">ROUND(C1044*D1044,0)</f>
        <v>0</v>
      </c>
      <c r="F1044" s="47" t="n">
        <f aca="false">MIN(1,'Model Inputs &amp; Assumptions'!$W$30*EXP('Model Inputs &amp; Assumptions'!$X$30*R1044-'Model Inputs &amp; Assumptions'!$X$30^2/2))</f>
        <v>0.00828649840152083</v>
      </c>
      <c r="G1044" s="45" t="n">
        <f aca="false">ROUND(C1044*F1044,0)</f>
        <v>681</v>
      </c>
      <c r="H1044" s="48" t="n">
        <f aca="false">MAX(0,(C1044*'Model Inputs &amp; Assumptions'!$N$30+E1044*'Model Inputs &amp; Assumptions'!$O$30+G1044*'Model Inputs &amp; Assumptions'!$P$30)*EXP('Model Inputs &amp; Assumptions'!$Q$30*S1044-'Model Inputs &amp; Assumptions'!$Q$30^2/2))</f>
        <v>62.1682579452698</v>
      </c>
      <c r="I1044" s="49" t="n">
        <f aca="false">IF('Model Inputs &amp; Assumptions'!$H$30="Fixed",'Model Inputs &amp; Assumptions'!$I$30*'Model Inputs &amp; Assumptions'!$K$30,IF('Model Inputs &amp; Assumptions'!$H$30="CPM",'Model Inputs &amp; Assumptions'!$I$30*'Model Inputs &amp; Assumptions'!$K$30*C1044/1000,IF('Model Inputs &amp; Assumptions'!$H$30="CPC",'Model Inputs &amp; Assumptions'!$I$30*'Model Inputs &amp; Assumptions'!$K$30*G1044,0)))</f>
        <v>6900</v>
      </c>
      <c r="J1044" s="50" t="n">
        <f aca="false">H1044*INDEX('Model Inputs &amp; Assumptions'!$D$40:$D$42,MATCH('Model Inputs &amp; Assumptions'!$L$30,'Model Inputs &amp; Assumptions'!$A$40:$A$42,0))*INDEX('Model Inputs &amp; Assumptions'!$H$40:$H$42,MATCH('Model Inputs &amp; Assumptions'!$L$30,'Model Inputs &amp; Assumptions'!$A$40:$A$42,0))</f>
        <v>447611.457205942</v>
      </c>
      <c r="K1044" s="49" t="n">
        <f aca="false">H1044*INDEX('Model Inputs &amp; Assumptions'!$G$40:$G$42,MATCH('Model Inputs &amp; Assumptions'!$L$30,'Model Inputs &amp; Assumptions'!$A$40:$A$42,0))*INDEX('Model Inputs &amp; Assumptions'!$H$40:$H$42,MATCH('Model Inputs &amp; Assumptions'!$L$30,'Model Inputs &amp; Assumptions'!$A$40:$A$42,0))</f>
        <v>9869.83263139103</v>
      </c>
      <c r="L1044" s="51" t="n">
        <f aca="false">IFERROR(K1044/I1044,0)</f>
        <v>1.43041052628856</v>
      </c>
      <c r="M1044" s="49" t="n">
        <f aca="false">IFERROR(I1044/H1044,0)</f>
        <v>110.989116118944</v>
      </c>
      <c r="N1044" s="52" t="str">
        <f aca="false">'Model Inputs &amp; Assumptions'!$L$30</f>
        <v>PRD-USIQ</v>
      </c>
      <c r="P1044" s="53" t="n">
        <v>-0.513591</v>
      </c>
      <c r="Q1044" s="53" t="n">
        <v>0.345865</v>
      </c>
      <c r="R1044" s="53" t="n">
        <v>0.309573</v>
      </c>
      <c r="S1044" s="53" t="n">
        <v>1.483601</v>
      </c>
    </row>
    <row r="1045" customFormat="false" ht="15" hidden="false" customHeight="false" outlineLevel="0" collapsed="false">
      <c r="A1045" s="43" t="n">
        <v>42</v>
      </c>
      <c r="B1045" s="44" t="str">
        <f aca="false">'Model Inputs &amp; Assumptions'!$B$30</f>
        <v>extraETF — Newsletter Takeover</v>
      </c>
      <c r="C1045" s="45" t="n">
        <f aca="false">ROUND(MAX(0,'Model Inputs &amp; Assumptions'!$S$30*EXP('Model Inputs &amp; Assumptions'!$T$30*P1045-'Model Inputs &amp; Assumptions'!$T$30^2/2)),0)</f>
        <v>111340</v>
      </c>
      <c r="D1045" s="46" t="n">
        <f aca="false">MIN(1,'Model Inputs &amp; Assumptions'!$U$30*EXP('Model Inputs &amp; Assumptions'!$V$30*Q1045-'Model Inputs &amp; Assumptions'!$V$30^2/2))</f>
        <v>0</v>
      </c>
      <c r="E1045" s="45" t="n">
        <f aca="false">ROUND(C1045*D1045,0)</f>
        <v>0</v>
      </c>
      <c r="F1045" s="47" t="n">
        <f aca="false">MIN(1,'Model Inputs &amp; Assumptions'!$W$30*EXP('Model Inputs &amp; Assumptions'!$X$30*R1045-'Model Inputs &amp; Assumptions'!$X$30^2/2))</f>
        <v>0.00790939142722329</v>
      </c>
      <c r="G1045" s="45" t="n">
        <f aca="false">ROUND(C1045*F1045,0)</f>
        <v>881</v>
      </c>
      <c r="H1045" s="48" t="n">
        <f aca="false">MAX(0,(C1045*'Model Inputs &amp; Assumptions'!$N$30+E1045*'Model Inputs &amp; Assumptions'!$O$30+G1045*'Model Inputs &amp; Assumptions'!$P$30)*EXP('Model Inputs &amp; Assumptions'!$Q$30*S1045-'Model Inputs &amp; Assumptions'!$Q$30^2/2))</f>
        <v>96.5062831752492</v>
      </c>
      <c r="I1045" s="49" t="n">
        <f aca="false">IF('Model Inputs &amp; Assumptions'!$H$30="Fixed",'Model Inputs &amp; Assumptions'!$I$30*'Model Inputs &amp; Assumptions'!$K$30,IF('Model Inputs &amp; Assumptions'!$H$30="CPM",'Model Inputs &amp; Assumptions'!$I$30*'Model Inputs &amp; Assumptions'!$K$30*C1045/1000,IF('Model Inputs &amp; Assumptions'!$H$30="CPC",'Model Inputs &amp; Assumptions'!$I$30*'Model Inputs &amp; Assumptions'!$K$30*G1045,0)))</f>
        <v>6900</v>
      </c>
      <c r="J1045" s="50" t="n">
        <f aca="false">H1045*INDEX('Model Inputs &amp; Assumptions'!$D$40:$D$42,MATCH('Model Inputs &amp; Assumptions'!$L$30,'Model Inputs &amp; Assumptions'!$A$40:$A$42,0))*INDEX('Model Inputs &amp; Assumptions'!$H$40:$H$42,MATCH('Model Inputs &amp; Assumptions'!$L$30,'Model Inputs &amp; Assumptions'!$A$40:$A$42,0))</f>
        <v>694845.238861794</v>
      </c>
      <c r="K1045" s="49" t="n">
        <f aca="false">H1045*INDEX('Model Inputs &amp; Assumptions'!$G$40:$G$42,MATCH('Model Inputs &amp; Assumptions'!$L$30,'Model Inputs &amp; Assumptions'!$A$40:$A$42,0))*INDEX('Model Inputs &amp; Assumptions'!$H$40:$H$42,MATCH('Model Inputs &amp; Assumptions'!$L$30,'Model Inputs &amp; Assumptions'!$A$40:$A$42,0))</f>
        <v>15321.3375169026</v>
      </c>
      <c r="L1045" s="51" t="n">
        <f aca="false">IFERROR(K1045/I1045,0)</f>
        <v>2.22048369810182</v>
      </c>
      <c r="M1045" s="49" t="n">
        <f aca="false">IFERROR(I1045/H1045,0)</f>
        <v>71.497935398362</v>
      </c>
      <c r="N1045" s="52" t="str">
        <f aca="false">'Model Inputs &amp; Assumptions'!$L$30</f>
        <v>PRD-USIQ</v>
      </c>
      <c r="P1045" s="53" t="n">
        <v>2.020424</v>
      </c>
      <c r="Q1045" s="53" t="n">
        <v>-0.124251</v>
      </c>
      <c r="R1045" s="53" t="n">
        <v>-0.000938</v>
      </c>
      <c r="S1045" s="53" t="n">
        <v>2.212674</v>
      </c>
    </row>
    <row r="1046" customFormat="false" ht="15" hidden="false" customHeight="false" outlineLevel="0" collapsed="false">
      <c r="A1046" s="43" t="n">
        <v>43</v>
      </c>
      <c r="B1046" s="44" t="str">
        <f aca="false">'Model Inputs &amp; Assumptions'!$B$30</f>
        <v>extraETF — Newsletter Takeover</v>
      </c>
      <c r="C1046" s="45" t="n">
        <f aca="false">ROUND(MAX(0,'Model Inputs &amp; Assumptions'!$S$30*EXP('Model Inputs &amp; Assumptions'!$T$30*P1046-'Model Inputs &amp; Assumptions'!$T$30^2/2)),0)</f>
        <v>83074</v>
      </c>
      <c r="D1046" s="46" t="n">
        <f aca="false">MIN(1,'Model Inputs &amp; Assumptions'!$U$30*EXP('Model Inputs &amp; Assumptions'!$V$30*Q1046-'Model Inputs &amp; Assumptions'!$V$30^2/2))</f>
        <v>0</v>
      </c>
      <c r="E1046" s="45" t="n">
        <f aca="false">ROUND(C1046*D1046,0)</f>
        <v>0</v>
      </c>
      <c r="F1046" s="47" t="n">
        <f aca="false">MIN(1,'Model Inputs &amp; Assumptions'!$W$30*EXP('Model Inputs &amp; Assumptions'!$X$30*R1046-'Model Inputs &amp; Assumptions'!$X$30^2/2))</f>
        <v>0.00966068823629513</v>
      </c>
      <c r="G1046" s="45" t="n">
        <f aca="false">ROUND(C1046*F1046,0)</f>
        <v>803</v>
      </c>
      <c r="H1046" s="48" t="n">
        <f aca="false">MAX(0,(C1046*'Model Inputs &amp; Assumptions'!$N$30+E1046*'Model Inputs &amp; Assumptions'!$O$30+G1046*'Model Inputs &amp; Assumptions'!$P$30)*EXP('Model Inputs &amp; Assumptions'!$Q$30*S1046-'Model Inputs &amp; Assumptions'!$Q$30^2/2))</f>
        <v>82.9044263745732</v>
      </c>
      <c r="I1046" s="49" t="n">
        <f aca="false">IF('Model Inputs &amp; Assumptions'!$H$30="Fixed",'Model Inputs &amp; Assumptions'!$I$30*'Model Inputs &amp; Assumptions'!$K$30,IF('Model Inputs &amp; Assumptions'!$H$30="CPM",'Model Inputs &amp; Assumptions'!$I$30*'Model Inputs &amp; Assumptions'!$K$30*C1046/1000,IF('Model Inputs &amp; Assumptions'!$H$30="CPC",'Model Inputs &amp; Assumptions'!$I$30*'Model Inputs &amp; Assumptions'!$K$30*G1046,0)))</f>
        <v>6900</v>
      </c>
      <c r="J1046" s="50" t="n">
        <f aca="false">H1046*INDEX('Model Inputs &amp; Assumptions'!$D$40:$D$42,MATCH('Model Inputs &amp; Assumptions'!$L$30,'Model Inputs &amp; Assumptions'!$A$40:$A$42,0))*INDEX('Model Inputs &amp; Assumptions'!$H$40:$H$42,MATCH('Model Inputs &amp; Assumptions'!$L$30,'Model Inputs &amp; Assumptions'!$A$40:$A$42,0))</f>
        <v>596911.869896927</v>
      </c>
      <c r="K1046" s="49" t="n">
        <f aca="false">H1046*INDEX('Model Inputs &amp; Assumptions'!$G$40:$G$42,MATCH('Model Inputs &amp; Assumptions'!$L$30,'Model Inputs &amp; Assumptions'!$A$40:$A$42,0))*INDEX('Model Inputs &amp; Assumptions'!$H$40:$H$42,MATCH('Model Inputs &amp; Assumptions'!$L$30,'Model Inputs &amp; Assumptions'!$A$40:$A$42,0))</f>
        <v>13161.9067312272</v>
      </c>
      <c r="L1046" s="51" t="n">
        <f aca="false">IFERROR(K1046/I1046,0)</f>
        <v>1.90752271467061</v>
      </c>
      <c r="M1046" s="49" t="n">
        <f aca="false">IFERROR(I1046/H1046,0)</f>
        <v>83.2283667077664</v>
      </c>
      <c r="N1046" s="52" t="str">
        <f aca="false">'Model Inputs &amp; Assumptions'!$L$30</f>
        <v>PRD-USIQ</v>
      </c>
      <c r="P1046" s="53" t="n">
        <v>-0.420005</v>
      </c>
      <c r="Q1046" s="53" t="n">
        <v>-0.630152</v>
      </c>
      <c r="R1046" s="53" t="n">
        <v>1.332489</v>
      </c>
      <c r="S1046" s="53" t="n">
        <v>1.975807</v>
      </c>
    </row>
    <row r="1047" customFormat="false" ht="15" hidden="false" customHeight="false" outlineLevel="0" collapsed="false">
      <c r="A1047" s="43" t="n">
        <v>44</v>
      </c>
      <c r="B1047" s="44" t="str">
        <f aca="false">'Model Inputs &amp; Assumptions'!$B$30</f>
        <v>extraETF — Newsletter Takeover</v>
      </c>
      <c r="C1047" s="45" t="n">
        <f aca="false">ROUND(MAX(0,'Model Inputs &amp; Assumptions'!$S$30*EXP('Model Inputs &amp; Assumptions'!$T$30*P1047-'Model Inputs &amp; Assumptions'!$T$30^2/2)),0)</f>
        <v>105433</v>
      </c>
      <c r="D1047" s="46" t="n">
        <f aca="false">MIN(1,'Model Inputs &amp; Assumptions'!$U$30*EXP('Model Inputs &amp; Assumptions'!$V$30*Q1047-'Model Inputs &amp; Assumptions'!$V$30^2/2))</f>
        <v>0</v>
      </c>
      <c r="E1047" s="45" t="n">
        <f aca="false">ROUND(C1047*D1047,0)</f>
        <v>0</v>
      </c>
      <c r="F1047" s="47" t="n">
        <f aca="false">MIN(1,'Model Inputs &amp; Assumptions'!$W$30*EXP('Model Inputs &amp; Assumptions'!$X$30*R1047-'Model Inputs &amp; Assumptions'!$X$30^2/2))</f>
        <v>0.00815788946624853</v>
      </c>
      <c r="G1047" s="45" t="n">
        <f aca="false">ROUND(C1047*F1047,0)</f>
        <v>860</v>
      </c>
      <c r="H1047" s="48" t="n">
        <f aca="false">MAX(0,(C1047*'Model Inputs &amp; Assumptions'!$N$30+E1047*'Model Inputs &amp; Assumptions'!$O$30+G1047*'Model Inputs &amp; Assumptions'!$P$30)*EXP('Model Inputs &amp; Assumptions'!$Q$30*S1047-'Model Inputs &amp; Assumptions'!$Q$30^2/2))</f>
        <v>30.7529486330511</v>
      </c>
      <c r="I1047" s="49" t="n">
        <f aca="false">IF('Model Inputs &amp; Assumptions'!$H$30="Fixed",'Model Inputs &amp; Assumptions'!$I$30*'Model Inputs &amp; Assumptions'!$K$30,IF('Model Inputs &amp; Assumptions'!$H$30="CPM",'Model Inputs &amp; Assumptions'!$I$30*'Model Inputs &amp; Assumptions'!$K$30*C1047/1000,IF('Model Inputs &amp; Assumptions'!$H$30="CPC",'Model Inputs &amp; Assumptions'!$I$30*'Model Inputs &amp; Assumptions'!$K$30*G1047,0)))</f>
        <v>6900</v>
      </c>
      <c r="J1047" s="50" t="n">
        <f aca="false">H1047*INDEX('Model Inputs &amp; Assumptions'!$D$40:$D$42,MATCH('Model Inputs &amp; Assumptions'!$L$30,'Model Inputs &amp; Assumptions'!$A$40:$A$42,0))*INDEX('Model Inputs &amp; Assumptions'!$H$40:$H$42,MATCH('Model Inputs &amp; Assumptions'!$L$30,'Model Inputs &amp; Assumptions'!$A$40:$A$42,0))</f>
        <v>221421.230157968</v>
      </c>
      <c r="K1047" s="49" t="n">
        <f aca="false">H1047*INDEX('Model Inputs &amp; Assumptions'!$G$40:$G$42,MATCH('Model Inputs &amp; Assumptions'!$L$30,'Model Inputs &amp; Assumptions'!$A$40:$A$42,0))*INDEX('Model Inputs &amp; Assumptions'!$H$40:$H$42,MATCH('Model Inputs &amp; Assumptions'!$L$30,'Model Inputs &amp; Assumptions'!$A$40:$A$42,0))</f>
        <v>4882.33812498319</v>
      </c>
      <c r="L1047" s="51" t="n">
        <f aca="false">IFERROR(K1047/I1047,0)</f>
        <v>0.707585235504811</v>
      </c>
      <c r="M1047" s="49" t="n">
        <f aca="false">IFERROR(I1047/H1047,0)</f>
        <v>224.368729071539</v>
      </c>
      <c r="N1047" s="52" t="str">
        <f aca="false">'Model Inputs &amp; Assumptions'!$L$30</f>
        <v>PRD-USIQ</v>
      </c>
      <c r="P1047" s="53" t="n">
        <v>1.566182</v>
      </c>
      <c r="Q1047" s="53" t="n">
        <v>0.647431</v>
      </c>
      <c r="R1047" s="53" t="n">
        <v>0.205293</v>
      </c>
      <c r="S1047" s="53" t="n">
        <v>-2.265314</v>
      </c>
    </row>
    <row r="1048" customFormat="false" ht="15" hidden="false" customHeight="false" outlineLevel="0" collapsed="false">
      <c r="A1048" s="43" t="n">
        <v>45</v>
      </c>
      <c r="B1048" s="44" t="str">
        <f aca="false">'Model Inputs &amp; Assumptions'!$B$30</f>
        <v>extraETF — Newsletter Takeover</v>
      </c>
      <c r="C1048" s="45" t="n">
        <f aca="false">ROUND(MAX(0,'Model Inputs &amp; Assumptions'!$S$30*EXP('Model Inputs &amp; Assumptions'!$T$30*P1048-'Model Inputs &amp; Assumptions'!$T$30^2/2)),0)</f>
        <v>96007</v>
      </c>
      <c r="D1048" s="46" t="n">
        <f aca="false">MIN(1,'Model Inputs &amp; Assumptions'!$U$30*EXP('Model Inputs &amp; Assumptions'!$V$30*Q1048-'Model Inputs &amp; Assumptions'!$V$30^2/2))</f>
        <v>0</v>
      </c>
      <c r="E1048" s="45" t="n">
        <f aca="false">ROUND(C1048*D1048,0)</f>
        <v>0</v>
      </c>
      <c r="F1048" s="47" t="n">
        <f aca="false">MIN(1,'Model Inputs &amp; Assumptions'!$W$30*EXP('Model Inputs &amp; Assumptions'!$X$30*R1048-'Model Inputs &amp; Assumptions'!$X$30^2/2))</f>
        <v>0.00798405710712689</v>
      </c>
      <c r="G1048" s="45" t="n">
        <f aca="false">ROUND(C1048*F1048,0)</f>
        <v>767</v>
      </c>
      <c r="H1048" s="48" t="n">
        <f aca="false">MAX(0,(C1048*'Model Inputs &amp; Assumptions'!$N$30+E1048*'Model Inputs &amp; Assumptions'!$O$30+G1048*'Model Inputs &amp; Assumptions'!$P$30)*EXP('Model Inputs &amp; Assumptions'!$Q$30*S1048-'Model Inputs &amp; Assumptions'!$Q$30^2/2))</f>
        <v>55.7986844129657</v>
      </c>
      <c r="I1048" s="49" t="n">
        <f aca="false">IF('Model Inputs &amp; Assumptions'!$H$30="Fixed",'Model Inputs &amp; Assumptions'!$I$30*'Model Inputs &amp; Assumptions'!$K$30,IF('Model Inputs &amp; Assumptions'!$H$30="CPM",'Model Inputs &amp; Assumptions'!$I$30*'Model Inputs &amp; Assumptions'!$K$30*C1048/1000,IF('Model Inputs &amp; Assumptions'!$H$30="CPC",'Model Inputs &amp; Assumptions'!$I$30*'Model Inputs &amp; Assumptions'!$K$30*G1048,0)))</f>
        <v>6900</v>
      </c>
      <c r="J1048" s="50" t="n">
        <f aca="false">H1048*INDEX('Model Inputs &amp; Assumptions'!$D$40:$D$42,MATCH('Model Inputs &amp; Assumptions'!$L$30,'Model Inputs &amp; Assumptions'!$A$40:$A$42,0))*INDEX('Model Inputs &amp; Assumptions'!$H$40:$H$42,MATCH('Model Inputs &amp; Assumptions'!$L$30,'Model Inputs &amp; Assumptions'!$A$40:$A$42,0))</f>
        <v>401750.527773353</v>
      </c>
      <c r="K1048" s="49" t="n">
        <f aca="false">H1048*INDEX('Model Inputs &amp; Assumptions'!$G$40:$G$42,MATCH('Model Inputs &amp; Assumptions'!$L$30,'Model Inputs &amp; Assumptions'!$A$40:$A$42,0))*INDEX('Model Inputs &amp; Assumptions'!$H$40:$H$42,MATCH('Model Inputs &amp; Assumptions'!$L$30,'Model Inputs &amp; Assumptions'!$A$40:$A$42,0))</f>
        <v>8858.59913740244</v>
      </c>
      <c r="L1048" s="51" t="n">
        <f aca="false">IFERROR(K1048/I1048,0)</f>
        <v>1.28385494744963</v>
      </c>
      <c r="M1048" s="49" t="n">
        <f aca="false">IFERROR(I1048/H1048,0)</f>
        <v>123.658829461518</v>
      </c>
      <c r="N1048" s="52" t="str">
        <f aca="false">'Model Inputs &amp; Assumptions'!$L$30</f>
        <v>PRD-USIQ</v>
      </c>
      <c r="P1048" s="53" t="n">
        <v>0.785667</v>
      </c>
      <c r="Q1048" s="53" t="n">
        <v>0.725187</v>
      </c>
      <c r="R1048" s="53" t="n">
        <v>0.061701</v>
      </c>
      <c r="S1048" s="53" t="n">
        <v>0.575526</v>
      </c>
    </row>
    <row r="1049" customFormat="false" ht="15" hidden="false" customHeight="false" outlineLevel="0" collapsed="false">
      <c r="A1049" s="43" t="n">
        <v>46</v>
      </c>
      <c r="B1049" s="44" t="str">
        <f aca="false">'Model Inputs &amp; Assumptions'!$B$30</f>
        <v>extraETF — Newsletter Takeover</v>
      </c>
      <c r="C1049" s="45" t="n">
        <f aca="false">ROUND(MAX(0,'Model Inputs &amp; Assumptions'!$S$30*EXP('Model Inputs &amp; Assumptions'!$T$30*P1049-'Model Inputs &amp; Assumptions'!$T$30^2/2)),0)</f>
        <v>75480</v>
      </c>
      <c r="D1049" s="46" t="n">
        <f aca="false">MIN(1,'Model Inputs &amp; Assumptions'!$U$30*EXP('Model Inputs &amp; Assumptions'!$V$30*Q1049-'Model Inputs &amp; Assumptions'!$V$30^2/2))</f>
        <v>0</v>
      </c>
      <c r="E1049" s="45" t="n">
        <f aca="false">ROUND(C1049*D1049,0)</f>
        <v>0</v>
      </c>
      <c r="F1049" s="47" t="n">
        <f aca="false">MIN(1,'Model Inputs &amp; Assumptions'!$W$30*EXP('Model Inputs &amp; Assumptions'!$X$30*R1049-'Model Inputs &amp; Assumptions'!$X$30^2/2))</f>
        <v>0.00905760821868499</v>
      </c>
      <c r="G1049" s="45" t="n">
        <f aca="false">ROUND(C1049*F1049,0)</f>
        <v>684</v>
      </c>
      <c r="H1049" s="48" t="n">
        <f aca="false">MAX(0,(C1049*'Model Inputs &amp; Assumptions'!$N$30+E1049*'Model Inputs &amp; Assumptions'!$O$30+G1049*'Model Inputs &amp; Assumptions'!$P$30)*EXP('Model Inputs &amp; Assumptions'!$Q$30*S1049-'Model Inputs &amp; Assumptions'!$Q$30^2/2))</f>
        <v>45.3970742226683</v>
      </c>
      <c r="I1049" s="49" t="n">
        <f aca="false">IF('Model Inputs &amp; Assumptions'!$H$30="Fixed",'Model Inputs &amp; Assumptions'!$I$30*'Model Inputs &amp; Assumptions'!$K$30,IF('Model Inputs &amp; Assumptions'!$H$30="CPM",'Model Inputs &amp; Assumptions'!$I$30*'Model Inputs &amp; Assumptions'!$K$30*C1049/1000,IF('Model Inputs &amp; Assumptions'!$H$30="CPC",'Model Inputs &amp; Assumptions'!$I$30*'Model Inputs &amp; Assumptions'!$K$30*G1049,0)))</f>
        <v>6900</v>
      </c>
      <c r="J1049" s="50" t="n">
        <f aca="false">H1049*INDEX('Model Inputs &amp; Assumptions'!$D$40:$D$42,MATCH('Model Inputs &amp; Assumptions'!$L$30,'Model Inputs &amp; Assumptions'!$A$40:$A$42,0))*INDEX('Model Inputs &amp; Assumptions'!$H$40:$H$42,MATCH('Model Inputs &amp; Assumptions'!$L$30,'Model Inputs &amp; Assumptions'!$A$40:$A$42,0))</f>
        <v>326858.934403211</v>
      </c>
      <c r="K1049" s="49" t="n">
        <f aca="false">H1049*INDEX('Model Inputs &amp; Assumptions'!$G$40:$G$42,MATCH('Model Inputs &amp; Assumptions'!$L$30,'Model Inputs &amp; Assumptions'!$A$40:$A$42,0))*INDEX('Model Inputs &amp; Assumptions'!$H$40:$H$42,MATCH('Model Inputs &amp; Assumptions'!$L$30,'Model Inputs &amp; Assumptions'!$A$40:$A$42,0))</f>
        <v>7207.23950359081</v>
      </c>
      <c r="L1049" s="51" t="n">
        <f aca="false">IFERROR(K1049/I1049,0)</f>
        <v>1.04452746428852</v>
      </c>
      <c r="M1049" s="49" t="n">
        <f aca="false">IFERROR(I1049/H1049,0)</f>
        <v>151.992173904339</v>
      </c>
      <c r="N1049" s="52" t="str">
        <f aca="false">'Model Inputs &amp; Assumptions'!$L$30</f>
        <v>PRD-USIQ</v>
      </c>
      <c r="P1049" s="53" t="n">
        <v>-1.218857</v>
      </c>
      <c r="Q1049" s="53" t="n">
        <v>0.318679</v>
      </c>
      <c r="R1049" s="53" t="n">
        <v>0.902757</v>
      </c>
      <c r="S1049" s="53" t="n">
        <v>0.208431</v>
      </c>
    </row>
    <row r="1050" customFormat="false" ht="15" hidden="false" customHeight="false" outlineLevel="0" collapsed="false">
      <c r="A1050" s="43" t="n">
        <v>47</v>
      </c>
      <c r="B1050" s="44" t="str">
        <f aca="false">'Model Inputs &amp; Assumptions'!$B$30</f>
        <v>extraETF — Newsletter Takeover</v>
      </c>
      <c r="C1050" s="45" t="n">
        <f aca="false">ROUND(MAX(0,'Model Inputs &amp; Assumptions'!$S$30*EXP('Model Inputs &amp; Assumptions'!$T$30*P1050-'Model Inputs &amp; Assumptions'!$T$30^2/2)),0)</f>
        <v>94930</v>
      </c>
      <c r="D1050" s="46" t="n">
        <f aca="false">MIN(1,'Model Inputs &amp; Assumptions'!$U$30*EXP('Model Inputs &amp; Assumptions'!$V$30*Q1050-'Model Inputs &amp; Assumptions'!$V$30^2/2))</f>
        <v>0</v>
      </c>
      <c r="E1050" s="45" t="n">
        <f aca="false">ROUND(C1050*D1050,0)</f>
        <v>0</v>
      </c>
      <c r="F1050" s="47" t="n">
        <f aca="false">MIN(1,'Model Inputs &amp; Assumptions'!$W$30*EXP('Model Inputs &amp; Assumptions'!$X$30*R1050-'Model Inputs &amp; Assumptions'!$X$30^2/2))</f>
        <v>0.00668128972608643</v>
      </c>
      <c r="G1050" s="45" t="n">
        <f aca="false">ROUND(C1050*F1050,0)</f>
        <v>634</v>
      </c>
      <c r="H1050" s="48" t="n">
        <f aca="false">MAX(0,(C1050*'Model Inputs &amp; Assumptions'!$N$30+E1050*'Model Inputs &amp; Assumptions'!$O$30+G1050*'Model Inputs &amp; Assumptions'!$P$30)*EXP('Model Inputs &amp; Assumptions'!$Q$30*S1050-'Model Inputs &amp; Assumptions'!$Q$30^2/2))</f>
        <v>34.2380875466142</v>
      </c>
      <c r="I1050" s="49" t="n">
        <f aca="false">IF('Model Inputs &amp; Assumptions'!$H$30="Fixed",'Model Inputs &amp; Assumptions'!$I$30*'Model Inputs &amp; Assumptions'!$K$30,IF('Model Inputs &amp; Assumptions'!$H$30="CPM",'Model Inputs &amp; Assumptions'!$I$30*'Model Inputs &amp; Assumptions'!$K$30*C1050/1000,IF('Model Inputs &amp; Assumptions'!$H$30="CPC",'Model Inputs &amp; Assumptions'!$I$30*'Model Inputs &amp; Assumptions'!$K$30*G1050,0)))</f>
        <v>6900</v>
      </c>
      <c r="J1050" s="50" t="n">
        <f aca="false">H1050*INDEX('Model Inputs &amp; Assumptions'!$D$40:$D$42,MATCH('Model Inputs &amp; Assumptions'!$L$30,'Model Inputs &amp; Assumptions'!$A$40:$A$42,0))*INDEX('Model Inputs &amp; Assumptions'!$H$40:$H$42,MATCH('Model Inputs &amp; Assumptions'!$L$30,'Model Inputs &amp; Assumptions'!$A$40:$A$42,0))</f>
        <v>246514.230335622</v>
      </c>
      <c r="K1050" s="49" t="n">
        <f aca="false">H1050*INDEX('Model Inputs &amp; Assumptions'!$G$40:$G$42,MATCH('Model Inputs &amp; Assumptions'!$L$30,'Model Inputs &amp; Assumptions'!$A$40:$A$42,0))*INDEX('Model Inputs &amp; Assumptions'!$H$40:$H$42,MATCH('Model Inputs &amp; Assumptions'!$L$30,'Model Inputs &amp; Assumptions'!$A$40:$A$42,0))</f>
        <v>5435.63877890047</v>
      </c>
      <c r="L1050" s="51" t="n">
        <f aca="false">IFERROR(K1050/I1050,0)</f>
        <v>0.787773736072532</v>
      </c>
      <c r="M1050" s="49" t="n">
        <f aca="false">IFERROR(I1050/H1050,0)</f>
        <v>201.529947915632</v>
      </c>
      <c r="N1050" s="52" t="str">
        <f aca="false">'Model Inputs &amp; Assumptions'!$L$30</f>
        <v>PRD-USIQ</v>
      </c>
      <c r="P1050" s="53" t="n">
        <v>0.691675</v>
      </c>
      <c r="Q1050" s="53" t="n">
        <v>-1.023425</v>
      </c>
      <c r="R1050" s="53" t="n">
        <v>-1.12587</v>
      </c>
      <c r="S1050" s="53" t="n">
        <v>-0.616369</v>
      </c>
    </row>
    <row r="1051" customFormat="false" ht="15" hidden="false" customHeight="false" outlineLevel="0" collapsed="false">
      <c r="A1051" s="43" t="n">
        <v>48</v>
      </c>
      <c r="B1051" s="44" t="str">
        <f aca="false">'Model Inputs &amp; Assumptions'!$B$30</f>
        <v>extraETF — Newsletter Takeover</v>
      </c>
      <c r="C1051" s="45" t="n">
        <f aca="false">ROUND(MAX(0,'Model Inputs &amp; Assumptions'!$S$30*EXP('Model Inputs &amp; Assumptions'!$T$30*P1051-'Model Inputs &amp; Assumptions'!$T$30^2/2)),0)</f>
        <v>89293</v>
      </c>
      <c r="D1051" s="46" t="n">
        <f aca="false">MIN(1,'Model Inputs &amp; Assumptions'!$U$30*EXP('Model Inputs &amp; Assumptions'!$V$30*Q1051-'Model Inputs &amp; Assumptions'!$V$30^2/2))</f>
        <v>0</v>
      </c>
      <c r="E1051" s="45" t="n">
        <f aca="false">ROUND(C1051*D1051,0)</f>
        <v>0</v>
      </c>
      <c r="F1051" s="47" t="n">
        <f aca="false">MIN(1,'Model Inputs &amp; Assumptions'!$W$30*EXP('Model Inputs &amp; Assumptions'!$X$30*R1051-'Model Inputs &amp; Assumptions'!$X$30^2/2))</f>
        <v>0.00734507735834397</v>
      </c>
      <c r="G1051" s="45" t="n">
        <f aca="false">ROUND(C1051*F1051,0)</f>
        <v>656</v>
      </c>
      <c r="H1051" s="48" t="n">
        <f aca="false">MAX(0,(C1051*'Model Inputs &amp; Assumptions'!$N$30+E1051*'Model Inputs &amp; Assumptions'!$O$30+G1051*'Model Inputs &amp; Assumptions'!$P$30)*EXP('Model Inputs &amp; Assumptions'!$Q$30*S1051-'Model Inputs &amp; Assumptions'!$Q$30^2/2))</f>
        <v>54.6718132672639</v>
      </c>
      <c r="I1051" s="49" t="n">
        <f aca="false">IF('Model Inputs &amp; Assumptions'!$H$30="Fixed",'Model Inputs &amp; Assumptions'!$I$30*'Model Inputs &amp; Assumptions'!$K$30,IF('Model Inputs &amp; Assumptions'!$H$30="CPM",'Model Inputs &amp; Assumptions'!$I$30*'Model Inputs &amp; Assumptions'!$K$30*C1051/1000,IF('Model Inputs &amp; Assumptions'!$H$30="CPC",'Model Inputs &amp; Assumptions'!$I$30*'Model Inputs &amp; Assumptions'!$K$30*G1051,0)))</f>
        <v>6900</v>
      </c>
      <c r="J1051" s="50" t="n">
        <f aca="false">H1051*INDEX('Model Inputs &amp; Assumptions'!$D$40:$D$42,MATCH('Model Inputs &amp; Assumptions'!$L$30,'Model Inputs &amp; Assumptions'!$A$40:$A$42,0))*INDEX('Model Inputs &amp; Assumptions'!$H$40:$H$42,MATCH('Model Inputs &amp; Assumptions'!$L$30,'Model Inputs &amp; Assumptions'!$A$40:$A$42,0))</f>
        <v>393637.0555243</v>
      </c>
      <c r="K1051" s="49" t="n">
        <f aca="false">H1051*INDEX('Model Inputs &amp; Assumptions'!$G$40:$G$42,MATCH('Model Inputs &amp; Assumptions'!$L$30,'Model Inputs &amp; Assumptions'!$A$40:$A$42,0))*INDEX('Model Inputs &amp; Assumptions'!$H$40:$H$42,MATCH('Model Inputs &amp; Assumptions'!$L$30,'Model Inputs &amp; Assumptions'!$A$40:$A$42,0))</f>
        <v>8679.69707431081</v>
      </c>
      <c r="L1051" s="51" t="n">
        <f aca="false">IFERROR(K1051/I1051,0)</f>
        <v>1.25792711221896</v>
      </c>
      <c r="M1051" s="49" t="n">
        <f aca="false">IFERROR(I1051/H1051,0)</f>
        <v>126.207630360992</v>
      </c>
      <c r="N1051" s="52" t="str">
        <f aca="false">'Model Inputs &amp; Assumptions'!$L$30</f>
        <v>PRD-USIQ</v>
      </c>
      <c r="P1051" s="53" t="n">
        <v>0.18158</v>
      </c>
      <c r="Q1051" s="53" t="n">
        <v>1.010893</v>
      </c>
      <c r="R1051" s="53" t="n">
        <v>-0.494408</v>
      </c>
      <c r="S1051" s="53" t="n">
        <v>1.119222</v>
      </c>
    </row>
    <row r="1052" customFormat="false" ht="15" hidden="false" customHeight="false" outlineLevel="0" collapsed="false">
      <c r="A1052" s="43" t="n">
        <v>49</v>
      </c>
      <c r="B1052" s="44" t="str">
        <f aca="false">'Model Inputs &amp; Assumptions'!$B$30</f>
        <v>extraETF — Newsletter Takeover</v>
      </c>
      <c r="C1052" s="45" t="n">
        <f aca="false">ROUND(MAX(0,'Model Inputs &amp; Assumptions'!$S$30*EXP('Model Inputs &amp; Assumptions'!$T$30*P1052-'Model Inputs &amp; Assumptions'!$T$30^2/2)),0)</f>
        <v>72832</v>
      </c>
      <c r="D1052" s="46" t="n">
        <f aca="false">MIN(1,'Model Inputs &amp; Assumptions'!$U$30*EXP('Model Inputs &amp; Assumptions'!$V$30*Q1052-'Model Inputs &amp; Assumptions'!$V$30^2/2))</f>
        <v>0</v>
      </c>
      <c r="E1052" s="45" t="n">
        <f aca="false">ROUND(C1052*D1052,0)</f>
        <v>0</v>
      </c>
      <c r="F1052" s="47" t="n">
        <f aca="false">MIN(1,'Model Inputs &amp; Assumptions'!$W$30*EXP('Model Inputs &amp; Assumptions'!$X$30*R1052-'Model Inputs &amp; Assumptions'!$X$30^2/2))</f>
        <v>0.00678315472006746</v>
      </c>
      <c r="G1052" s="45" t="n">
        <f aca="false">ROUND(C1052*F1052,0)</f>
        <v>494</v>
      </c>
      <c r="H1052" s="48" t="n">
        <f aca="false">MAX(0,(C1052*'Model Inputs &amp; Assumptions'!$N$30+E1052*'Model Inputs &amp; Assumptions'!$O$30+G1052*'Model Inputs &amp; Assumptions'!$P$30)*EXP('Model Inputs &amp; Assumptions'!$Q$30*S1052-'Model Inputs &amp; Assumptions'!$Q$30^2/2))</f>
        <v>29.8431104678369</v>
      </c>
      <c r="I1052" s="49" t="n">
        <f aca="false">IF('Model Inputs &amp; Assumptions'!$H$30="Fixed",'Model Inputs &amp; Assumptions'!$I$30*'Model Inputs &amp; Assumptions'!$K$30,IF('Model Inputs &amp; Assumptions'!$H$30="CPM",'Model Inputs &amp; Assumptions'!$I$30*'Model Inputs &amp; Assumptions'!$K$30*C1052/1000,IF('Model Inputs &amp; Assumptions'!$H$30="CPC",'Model Inputs &amp; Assumptions'!$I$30*'Model Inputs &amp; Assumptions'!$K$30*G1052,0)))</f>
        <v>6900</v>
      </c>
      <c r="J1052" s="50" t="n">
        <f aca="false">H1052*INDEX('Model Inputs &amp; Assumptions'!$D$40:$D$42,MATCH('Model Inputs &amp; Assumptions'!$L$30,'Model Inputs &amp; Assumptions'!$A$40:$A$42,0))*INDEX('Model Inputs &amp; Assumptions'!$H$40:$H$42,MATCH('Model Inputs &amp; Assumptions'!$L$30,'Model Inputs &amp; Assumptions'!$A$40:$A$42,0))</f>
        <v>214870.395368425</v>
      </c>
      <c r="K1052" s="49" t="n">
        <f aca="false">H1052*INDEX('Model Inputs &amp; Assumptions'!$G$40:$G$42,MATCH('Model Inputs &amp; Assumptions'!$L$30,'Model Inputs &amp; Assumptions'!$A$40:$A$42,0))*INDEX('Model Inputs &amp; Assumptions'!$H$40:$H$42,MATCH('Model Inputs &amp; Assumptions'!$L$30,'Model Inputs &amp; Assumptions'!$A$40:$A$42,0))</f>
        <v>4737.89221787378</v>
      </c>
      <c r="L1052" s="51" t="n">
        <f aca="false">IFERROR(K1052/I1052,0)</f>
        <v>0.686651046068664</v>
      </c>
      <c r="M1052" s="49" t="n">
        <f aca="false">IFERROR(I1052/H1052,0)</f>
        <v>231.20914314332</v>
      </c>
      <c r="N1052" s="52" t="str">
        <f aca="false">'Model Inputs &amp; Assumptions'!$L$30</f>
        <v>PRD-USIQ</v>
      </c>
      <c r="P1052" s="53" t="n">
        <v>-1.516492</v>
      </c>
      <c r="Q1052" s="53" t="n">
        <v>-0.457451</v>
      </c>
      <c r="R1052" s="53" t="n">
        <v>-1.024995</v>
      </c>
      <c r="S1052" s="53" t="n">
        <v>-0.167854</v>
      </c>
    </row>
    <row r="1053" customFormat="false" ht="15" hidden="false" customHeight="false" outlineLevel="0" collapsed="false">
      <c r="A1053" s="43" t="n">
        <v>50</v>
      </c>
      <c r="B1053" s="44" t="str">
        <f aca="false">'Model Inputs &amp; Assumptions'!$B$30</f>
        <v>extraETF — Newsletter Takeover</v>
      </c>
      <c r="C1053" s="45" t="n">
        <f aca="false">ROUND(MAX(0,'Model Inputs &amp; Assumptions'!$S$30*EXP('Model Inputs &amp; Assumptions'!$T$30*P1053-'Model Inputs &amp; Assumptions'!$T$30^2/2)),0)</f>
        <v>103024</v>
      </c>
      <c r="D1053" s="46" t="n">
        <f aca="false">MIN(1,'Model Inputs &amp; Assumptions'!$U$30*EXP('Model Inputs &amp; Assumptions'!$V$30*Q1053-'Model Inputs &amp; Assumptions'!$V$30^2/2))</f>
        <v>0</v>
      </c>
      <c r="E1053" s="45" t="n">
        <f aca="false">ROUND(C1053*D1053,0)</f>
        <v>0</v>
      </c>
      <c r="F1053" s="47" t="n">
        <f aca="false">MIN(1,'Model Inputs &amp; Assumptions'!$W$30*EXP('Model Inputs &amp; Assumptions'!$X$30*R1053-'Model Inputs &amp; Assumptions'!$X$30^2/2))</f>
        <v>0.0103069589331305</v>
      </c>
      <c r="G1053" s="45" t="n">
        <f aca="false">ROUND(C1053*F1053,0)</f>
        <v>1062</v>
      </c>
      <c r="H1053" s="48" t="n">
        <f aca="false">MAX(0,(C1053*'Model Inputs &amp; Assumptions'!$N$30+E1053*'Model Inputs &amp; Assumptions'!$O$30+G1053*'Model Inputs &amp; Assumptions'!$P$30)*EXP('Model Inputs &amp; Assumptions'!$Q$30*S1053-'Model Inputs &amp; Assumptions'!$Q$30^2/2))</f>
        <v>49.2496589497222</v>
      </c>
      <c r="I1053" s="49" t="n">
        <f aca="false">IF('Model Inputs &amp; Assumptions'!$H$30="Fixed",'Model Inputs &amp; Assumptions'!$I$30*'Model Inputs &amp; Assumptions'!$K$30,IF('Model Inputs &amp; Assumptions'!$H$30="CPM",'Model Inputs &amp; Assumptions'!$I$30*'Model Inputs &amp; Assumptions'!$K$30*C1053/1000,IF('Model Inputs &amp; Assumptions'!$H$30="CPC",'Model Inputs &amp; Assumptions'!$I$30*'Model Inputs &amp; Assumptions'!$K$30*G1053,0)))</f>
        <v>6900</v>
      </c>
      <c r="J1053" s="50" t="n">
        <f aca="false">H1053*INDEX('Model Inputs &amp; Assumptions'!$D$40:$D$42,MATCH('Model Inputs &amp; Assumptions'!$L$30,'Model Inputs &amp; Assumptions'!$A$40:$A$42,0))*INDEX('Model Inputs &amp; Assumptions'!$H$40:$H$42,MATCH('Model Inputs &amp; Assumptions'!$L$30,'Model Inputs &amp; Assumptions'!$A$40:$A$42,0))</f>
        <v>354597.544438</v>
      </c>
      <c r="K1053" s="49" t="n">
        <f aca="false">H1053*INDEX('Model Inputs &amp; Assumptions'!$G$40:$G$42,MATCH('Model Inputs &amp; Assumptions'!$L$30,'Model Inputs &amp; Assumptions'!$A$40:$A$42,0))*INDEX('Model Inputs &amp; Assumptions'!$H$40:$H$42,MATCH('Model Inputs &amp; Assumptions'!$L$30,'Model Inputs &amp; Assumptions'!$A$40:$A$42,0))</f>
        <v>7818.8758548579</v>
      </c>
      <c r="L1053" s="51" t="n">
        <f aca="false">IFERROR(K1053/I1053,0)</f>
        <v>1.13317041374752</v>
      </c>
      <c r="M1053" s="49" t="n">
        <f aca="false">IFERROR(I1053/H1053,0)</f>
        <v>140.102493035415</v>
      </c>
      <c r="N1053" s="52" t="str">
        <f aca="false">'Model Inputs &amp; Assumptions'!$L$30</f>
        <v>PRD-USIQ</v>
      </c>
      <c r="P1053" s="53" t="n">
        <v>1.373548</v>
      </c>
      <c r="Q1053" s="53" t="n">
        <v>0.047172</v>
      </c>
      <c r="R1053" s="53" t="n">
        <v>1.764185</v>
      </c>
      <c r="S1053" s="53" t="n">
        <v>-1.225555</v>
      </c>
    </row>
    <row r="1054" customFormat="false" ht="15" hidden="false" customHeight="false" outlineLevel="0" collapsed="false">
      <c r="A1054" s="43" t="n">
        <v>51</v>
      </c>
      <c r="B1054" s="44" t="str">
        <f aca="false">'Model Inputs &amp; Assumptions'!$B$30</f>
        <v>extraETF — Newsletter Takeover</v>
      </c>
      <c r="C1054" s="45" t="n">
        <f aca="false">ROUND(MAX(0,'Model Inputs &amp; Assumptions'!$S$30*EXP('Model Inputs &amp; Assumptions'!$T$30*P1054-'Model Inputs &amp; Assumptions'!$T$30^2/2)),0)</f>
        <v>88369</v>
      </c>
      <c r="D1054" s="46" t="n">
        <f aca="false">MIN(1,'Model Inputs &amp; Assumptions'!$U$30*EXP('Model Inputs &amp; Assumptions'!$V$30*Q1054-'Model Inputs &amp; Assumptions'!$V$30^2/2))</f>
        <v>0</v>
      </c>
      <c r="E1054" s="45" t="n">
        <f aca="false">ROUND(C1054*D1054,0)</f>
        <v>0</v>
      </c>
      <c r="F1054" s="47" t="n">
        <f aca="false">MIN(1,'Model Inputs &amp; Assumptions'!$W$30*EXP('Model Inputs &amp; Assumptions'!$X$30*R1054-'Model Inputs &amp; Assumptions'!$X$30^2/2))</f>
        <v>0.00612480483150992</v>
      </c>
      <c r="G1054" s="45" t="n">
        <f aca="false">ROUND(C1054*F1054,0)</f>
        <v>541</v>
      </c>
      <c r="H1054" s="48" t="n">
        <f aca="false">MAX(0,(C1054*'Model Inputs &amp; Assumptions'!$N$30+E1054*'Model Inputs &amp; Assumptions'!$O$30+G1054*'Model Inputs &amp; Assumptions'!$P$30)*EXP('Model Inputs &amp; Assumptions'!$Q$30*S1054-'Model Inputs &amp; Assumptions'!$Q$30^2/2))</f>
        <v>38.4217428636899</v>
      </c>
      <c r="I1054" s="49" t="n">
        <f aca="false">IF('Model Inputs &amp; Assumptions'!$H$30="Fixed",'Model Inputs &amp; Assumptions'!$I$30*'Model Inputs &amp; Assumptions'!$K$30,IF('Model Inputs &amp; Assumptions'!$H$30="CPM",'Model Inputs &amp; Assumptions'!$I$30*'Model Inputs &amp; Assumptions'!$K$30*C1054/1000,IF('Model Inputs &amp; Assumptions'!$H$30="CPC",'Model Inputs &amp; Assumptions'!$I$30*'Model Inputs &amp; Assumptions'!$K$30*G1054,0)))</f>
        <v>6900</v>
      </c>
      <c r="J1054" s="50" t="n">
        <f aca="false">H1054*INDEX('Model Inputs &amp; Assumptions'!$D$40:$D$42,MATCH('Model Inputs &amp; Assumptions'!$L$30,'Model Inputs &amp; Assumptions'!$A$40:$A$42,0))*INDEX('Model Inputs &amp; Assumptions'!$H$40:$H$42,MATCH('Model Inputs &amp; Assumptions'!$L$30,'Model Inputs &amp; Assumptions'!$A$40:$A$42,0))</f>
        <v>276636.548618567</v>
      </c>
      <c r="K1054" s="49" t="n">
        <f aca="false">H1054*INDEX('Model Inputs &amp; Assumptions'!$G$40:$G$42,MATCH('Model Inputs &amp; Assumptions'!$L$30,'Model Inputs &amp; Assumptions'!$A$40:$A$42,0))*INDEX('Model Inputs &amp; Assumptions'!$H$40:$H$42,MATCH('Model Inputs &amp; Assumptions'!$L$30,'Model Inputs &amp; Assumptions'!$A$40:$A$42,0))</f>
        <v>6099.8358970394</v>
      </c>
      <c r="L1054" s="51" t="n">
        <f aca="false">IFERROR(K1054/I1054,0)</f>
        <v>0.884034187976725</v>
      </c>
      <c r="M1054" s="49" t="n">
        <f aca="false">IFERROR(I1054/H1054,0)</f>
        <v>179.585814846541</v>
      </c>
      <c r="N1054" s="52" t="str">
        <f aca="false">'Model Inputs &amp; Assumptions'!$L$30</f>
        <v>PRD-USIQ</v>
      </c>
      <c r="P1054" s="53" t="n">
        <v>0.094863</v>
      </c>
      <c r="Q1054" s="53" t="n">
        <v>-1.115561</v>
      </c>
      <c r="R1054" s="53" t="n">
        <v>-1.705631</v>
      </c>
      <c r="S1054" s="53" t="n">
        <v>0.479289</v>
      </c>
    </row>
    <row r="1055" customFormat="false" ht="15" hidden="false" customHeight="false" outlineLevel="0" collapsed="false">
      <c r="A1055" s="43" t="n">
        <v>52</v>
      </c>
      <c r="B1055" s="44" t="str">
        <f aca="false">'Model Inputs &amp; Assumptions'!$B$30</f>
        <v>extraETF — Newsletter Takeover</v>
      </c>
      <c r="C1055" s="45" t="n">
        <f aca="false">ROUND(MAX(0,'Model Inputs &amp; Assumptions'!$S$30*EXP('Model Inputs &amp; Assumptions'!$T$30*P1055-'Model Inputs &amp; Assumptions'!$T$30^2/2)),0)</f>
        <v>90555</v>
      </c>
      <c r="D1055" s="46" t="n">
        <f aca="false">MIN(1,'Model Inputs &amp; Assumptions'!$U$30*EXP('Model Inputs &amp; Assumptions'!$V$30*Q1055-'Model Inputs &amp; Assumptions'!$V$30^2/2))</f>
        <v>0</v>
      </c>
      <c r="E1055" s="45" t="n">
        <f aca="false">ROUND(C1055*D1055,0)</f>
        <v>0</v>
      </c>
      <c r="F1055" s="47" t="n">
        <f aca="false">MIN(1,'Model Inputs &amp; Assumptions'!$W$30*EXP('Model Inputs &amp; Assumptions'!$X$30*R1055-'Model Inputs &amp; Assumptions'!$X$30^2/2))</f>
        <v>0.00632660743141524</v>
      </c>
      <c r="G1055" s="45" t="n">
        <f aca="false">ROUND(C1055*F1055,0)</f>
        <v>573</v>
      </c>
      <c r="H1055" s="48" t="n">
        <f aca="false">MAX(0,(C1055*'Model Inputs &amp; Assumptions'!$N$30+E1055*'Model Inputs &amp; Assumptions'!$O$30+G1055*'Model Inputs &amp; Assumptions'!$P$30)*EXP('Model Inputs &amp; Assumptions'!$Q$30*S1055-'Model Inputs &amp; Assumptions'!$Q$30^2/2))</f>
        <v>27.0395323865454</v>
      </c>
      <c r="I1055" s="49" t="n">
        <f aca="false">IF('Model Inputs &amp; Assumptions'!$H$30="Fixed",'Model Inputs &amp; Assumptions'!$I$30*'Model Inputs &amp; Assumptions'!$K$30,IF('Model Inputs &amp; Assumptions'!$H$30="CPM",'Model Inputs &amp; Assumptions'!$I$30*'Model Inputs &amp; Assumptions'!$K$30*C1055/1000,IF('Model Inputs &amp; Assumptions'!$H$30="CPC",'Model Inputs &amp; Assumptions'!$I$30*'Model Inputs &amp; Assumptions'!$K$30*G1055,0)))</f>
        <v>6900</v>
      </c>
      <c r="J1055" s="50" t="n">
        <f aca="false">H1055*INDEX('Model Inputs &amp; Assumptions'!$D$40:$D$42,MATCH('Model Inputs &amp; Assumptions'!$L$30,'Model Inputs &amp; Assumptions'!$A$40:$A$42,0))*INDEX('Model Inputs &amp; Assumptions'!$H$40:$H$42,MATCH('Model Inputs &amp; Assumptions'!$L$30,'Model Inputs &amp; Assumptions'!$A$40:$A$42,0))</f>
        <v>194684.633183127</v>
      </c>
      <c r="K1055" s="49" t="n">
        <f aca="false">H1055*INDEX('Model Inputs &amp; Assumptions'!$G$40:$G$42,MATCH('Model Inputs &amp; Assumptions'!$L$30,'Model Inputs &amp; Assumptions'!$A$40:$A$42,0))*INDEX('Model Inputs &amp; Assumptions'!$H$40:$H$42,MATCH('Model Inputs &amp; Assumptions'!$L$30,'Model Inputs &amp; Assumptions'!$A$40:$A$42,0))</f>
        <v>4292.79616168794</v>
      </c>
      <c r="L1055" s="51" t="n">
        <f aca="false">IFERROR(K1055/I1055,0)</f>
        <v>0.622144371259122</v>
      </c>
      <c r="M1055" s="49" t="n">
        <f aca="false">IFERROR(I1055/H1055,0)</f>
        <v>255.181927755281</v>
      </c>
      <c r="N1055" s="52" t="str">
        <f aca="false">'Model Inputs &amp; Assumptions'!$L$30</f>
        <v>PRD-USIQ</v>
      </c>
      <c r="P1055" s="53" t="n">
        <v>0.298539</v>
      </c>
      <c r="Q1055" s="53" t="n">
        <v>2.181441</v>
      </c>
      <c r="R1055" s="53" t="n">
        <v>-1.489516</v>
      </c>
      <c r="S1055" s="53" t="n">
        <v>-1.155871</v>
      </c>
    </row>
    <row r="1056" customFormat="false" ht="15" hidden="false" customHeight="false" outlineLevel="0" collapsed="false">
      <c r="A1056" s="43" t="n">
        <v>53</v>
      </c>
      <c r="B1056" s="44" t="str">
        <f aca="false">'Model Inputs &amp; Assumptions'!$B$30</f>
        <v>extraETF — Newsletter Takeover</v>
      </c>
      <c r="C1056" s="45" t="n">
        <f aca="false">ROUND(MAX(0,'Model Inputs &amp; Assumptions'!$S$30*EXP('Model Inputs &amp; Assumptions'!$T$30*P1056-'Model Inputs &amp; Assumptions'!$T$30^2/2)),0)</f>
        <v>73579</v>
      </c>
      <c r="D1056" s="46" t="n">
        <f aca="false">MIN(1,'Model Inputs &amp; Assumptions'!$U$30*EXP('Model Inputs &amp; Assumptions'!$V$30*Q1056-'Model Inputs &amp; Assumptions'!$V$30^2/2))</f>
        <v>0</v>
      </c>
      <c r="E1056" s="45" t="n">
        <f aca="false">ROUND(C1056*D1056,0)</f>
        <v>0</v>
      </c>
      <c r="F1056" s="47" t="n">
        <f aca="false">MIN(1,'Model Inputs &amp; Assumptions'!$W$30*EXP('Model Inputs &amp; Assumptions'!$X$30*R1056-'Model Inputs &amp; Assumptions'!$X$30^2/2))</f>
        <v>0.00793916210759476</v>
      </c>
      <c r="G1056" s="45" t="n">
        <f aca="false">ROUND(C1056*F1056,0)</f>
        <v>584</v>
      </c>
      <c r="H1056" s="48" t="n">
        <f aca="false">MAX(0,(C1056*'Model Inputs &amp; Assumptions'!$N$30+E1056*'Model Inputs &amp; Assumptions'!$O$30+G1056*'Model Inputs &amp; Assumptions'!$P$30)*EXP('Model Inputs &amp; Assumptions'!$Q$30*S1056-'Model Inputs &amp; Assumptions'!$Q$30^2/2))</f>
        <v>33.1053524166814</v>
      </c>
      <c r="I1056" s="49" t="n">
        <f aca="false">IF('Model Inputs &amp; Assumptions'!$H$30="Fixed",'Model Inputs &amp; Assumptions'!$I$30*'Model Inputs &amp; Assumptions'!$K$30,IF('Model Inputs &amp; Assumptions'!$H$30="CPM",'Model Inputs &amp; Assumptions'!$I$30*'Model Inputs &amp; Assumptions'!$K$30*C1056/1000,IF('Model Inputs &amp; Assumptions'!$H$30="CPC",'Model Inputs &amp; Assumptions'!$I$30*'Model Inputs &amp; Assumptions'!$K$30*G1056,0)))</f>
        <v>6900</v>
      </c>
      <c r="J1056" s="50" t="n">
        <f aca="false">H1056*INDEX('Model Inputs &amp; Assumptions'!$D$40:$D$42,MATCH('Model Inputs &amp; Assumptions'!$L$30,'Model Inputs &amp; Assumptions'!$A$40:$A$42,0))*INDEX('Model Inputs &amp; Assumptions'!$H$40:$H$42,MATCH('Model Inputs &amp; Assumptions'!$L$30,'Model Inputs &amp; Assumptions'!$A$40:$A$42,0))</f>
        <v>238358.537400106</v>
      </c>
      <c r="K1056" s="49" t="n">
        <f aca="false">H1056*INDEX('Model Inputs &amp; Assumptions'!$G$40:$G$42,MATCH('Model Inputs &amp; Assumptions'!$L$30,'Model Inputs &amp; Assumptions'!$A$40:$A$42,0))*INDEX('Model Inputs &amp; Assumptions'!$H$40:$H$42,MATCH('Model Inputs &amp; Assumptions'!$L$30,'Model Inputs &amp; Assumptions'!$A$40:$A$42,0))</f>
        <v>5255.80574967234</v>
      </c>
      <c r="L1056" s="51" t="n">
        <f aca="false">IFERROR(K1056/I1056,0)</f>
        <v>0.761710978213382</v>
      </c>
      <c r="M1056" s="49" t="n">
        <f aca="false">IFERROR(I1056/H1056,0)</f>
        <v>208.425511172724</v>
      </c>
      <c r="N1056" s="52" t="str">
        <f aca="false">'Model Inputs &amp; Assumptions'!$L$30</f>
        <v>PRD-USIQ</v>
      </c>
      <c r="P1056" s="53" t="n">
        <v>-1.431514</v>
      </c>
      <c r="Q1056" s="53" t="n">
        <v>1.067079</v>
      </c>
      <c r="R1056" s="53" t="n">
        <v>0.024108</v>
      </c>
      <c r="S1056" s="53" t="n">
        <v>-0.422352</v>
      </c>
    </row>
    <row r="1057" customFormat="false" ht="15" hidden="false" customHeight="false" outlineLevel="0" collapsed="false">
      <c r="A1057" s="43" t="n">
        <v>54</v>
      </c>
      <c r="B1057" s="44" t="str">
        <f aca="false">'Model Inputs &amp; Assumptions'!$B$30</f>
        <v>extraETF — Newsletter Takeover</v>
      </c>
      <c r="C1057" s="45" t="n">
        <f aca="false">ROUND(MAX(0,'Model Inputs &amp; Assumptions'!$S$30*EXP('Model Inputs &amp; Assumptions'!$T$30*P1057-'Model Inputs &amp; Assumptions'!$T$30^2/2)),0)</f>
        <v>82940</v>
      </c>
      <c r="D1057" s="46" t="n">
        <f aca="false">MIN(1,'Model Inputs &amp; Assumptions'!$U$30*EXP('Model Inputs &amp; Assumptions'!$V$30*Q1057-'Model Inputs &amp; Assumptions'!$V$30^2/2))</f>
        <v>0</v>
      </c>
      <c r="E1057" s="45" t="n">
        <f aca="false">ROUND(C1057*D1057,0)</f>
        <v>0</v>
      </c>
      <c r="F1057" s="47" t="n">
        <f aca="false">MIN(1,'Model Inputs &amp; Assumptions'!$W$30*EXP('Model Inputs &amp; Assumptions'!$X$30*R1057-'Model Inputs &amp; Assumptions'!$X$30^2/2))</f>
        <v>0.00764375360193834</v>
      </c>
      <c r="G1057" s="45" t="n">
        <f aca="false">ROUND(C1057*F1057,0)</f>
        <v>634</v>
      </c>
      <c r="H1057" s="48" t="n">
        <f aca="false">MAX(0,(C1057*'Model Inputs &amp; Assumptions'!$N$30+E1057*'Model Inputs &amp; Assumptions'!$O$30+G1057*'Model Inputs &amp; Assumptions'!$P$30)*EXP('Model Inputs &amp; Assumptions'!$Q$30*S1057-'Model Inputs &amp; Assumptions'!$Q$30^2/2))</f>
        <v>42.8150080009499</v>
      </c>
      <c r="I1057" s="49" t="n">
        <f aca="false">IF('Model Inputs &amp; Assumptions'!$H$30="Fixed",'Model Inputs &amp; Assumptions'!$I$30*'Model Inputs &amp; Assumptions'!$K$30,IF('Model Inputs &amp; Assumptions'!$H$30="CPM",'Model Inputs &amp; Assumptions'!$I$30*'Model Inputs &amp; Assumptions'!$K$30*C1057/1000,IF('Model Inputs &amp; Assumptions'!$H$30="CPC",'Model Inputs &amp; Assumptions'!$I$30*'Model Inputs &amp; Assumptions'!$K$30*G1057,0)))</f>
        <v>6900</v>
      </c>
      <c r="J1057" s="50" t="n">
        <f aca="false">H1057*INDEX('Model Inputs &amp; Assumptions'!$D$40:$D$42,MATCH('Model Inputs &amp; Assumptions'!$L$30,'Model Inputs &amp; Assumptions'!$A$40:$A$42,0))*INDEX('Model Inputs &amp; Assumptions'!$H$40:$H$42,MATCH('Model Inputs &amp; Assumptions'!$L$30,'Model Inputs &amp; Assumptions'!$A$40:$A$42,0))</f>
        <v>308268.057606839</v>
      </c>
      <c r="K1057" s="49" t="n">
        <f aca="false">H1057*INDEX('Model Inputs &amp; Assumptions'!$G$40:$G$42,MATCH('Model Inputs &amp; Assumptions'!$L$30,'Model Inputs &amp; Assumptions'!$A$40:$A$42,0))*INDEX('Model Inputs &amp; Assumptions'!$H$40:$H$42,MATCH('Model Inputs &amp; Assumptions'!$L$30,'Model Inputs &amp; Assumptions'!$A$40:$A$42,0))</f>
        <v>6797.3106702308</v>
      </c>
      <c r="L1057" s="51" t="n">
        <f aca="false">IFERROR(K1057/I1057,0)</f>
        <v>0.985117488439246</v>
      </c>
      <c r="M1057" s="49" t="n">
        <f aca="false">IFERROR(I1057/H1057,0)</f>
        <v>161.158442381861</v>
      </c>
      <c r="N1057" s="52" t="str">
        <f aca="false">'Model Inputs &amp; Assumptions'!$L$30</f>
        <v>PRD-USIQ</v>
      </c>
      <c r="P1057" s="53" t="n">
        <v>-0.433501</v>
      </c>
      <c r="Q1057" s="53" t="n">
        <v>1.418361</v>
      </c>
      <c r="R1057" s="53" t="n">
        <v>-0.228685</v>
      </c>
      <c r="S1057" s="53" t="n">
        <v>0.277831</v>
      </c>
    </row>
    <row r="1058" customFormat="false" ht="15" hidden="false" customHeight="false" outlineLevel="0" collapsed="false">
      <c r="A1058" s="43" t="n">
        <v>55</v>
      </c>
      <c r="B1058" s="44" t="str">
        <f aca="false">'Model Inputs &amp; Assumptions'!$B$30</f>
        <v>extraETF — Newsletter Takeover</v>
      </c>
      <c r="C1058" s="45" t="n">
        <f aca="false">ROUND(MAX(0,'Model Inputs &amp; Assumptions'!$S$30*EXP('Model Inputs &amp; Assumptions'!$T$30*P1058-'Model Inputs &amp; Assumptions'!$T$30^2/2)),0)</f>
        <v>93102</v>
      </c>
      <c r="D1058" s="46" t="n">
        <f aca="false">MIN(1,'Model Inputs &amp; Assumptions'!$U$30*EXP('Model Inputs &amp; Assumptions'!$V$30*Q1058-'Model Inputs &amp; Assumptions'!$V$30^2/2))</f>
        <v>0</v>
      </c>
      <c r="E1058" s="45" t="n">
        <f aca="false">ROUND(C1058*D1058,0)</f>
        <v>0</v>
      </c>
      <c r="F1058" s="47" t="n">
        <f aca="false">MIN(1,'Model Inputs &amp; Assumptions'!$W$30*EXP('Model Inputs &amp; Assumptions'!$X$30*R1058-'Model Inputs &amp; Assumptions'!$X$30^2/2))</f>
        <v>0.00710936437923127</v>
      </c>
      <c r="G1058" s="45" t="n">
        <f aca="false">ROUND(C1058*F1058,0)</f>
        <v>662</v>
      </c>
      <c r="H1058" s="48" t="n">
        <f aca="false">MAX(0,(C1058*'Model Inputs &amp; Assumptions'!$N$30+E1058*'Model Inputs &amp; Assumptions'!$O$30+G1058*'Model Inputs &amp; Assumptions'!$P$30)*EXP('Model Inputs &amp; Assumptions'!$Q$30*S1058-'Model Inputs &amp; Assumptions'!$Q$30^2/2))</f>
        <v>54.301388463898</v>
      </c>
      <c r="I1058" s="49" t="n">
        <f aca="false">IF('Model Inputs &amp; Assumptions'!$H$30="Fixed",'Model Inputs &amp; Assumptions'!$I$30*'Model Inputs &amp; Assumptions'!$K$30,IF('Model Inputs &amp; Assumptions'!$H$30="CPM",'Model Inputs &amp; Assumptions'!$I$30*'Model Inputs &amp; Assumptions'!$K$30*C1058/1000,IF('Model Inputs &amp; Assumptions'!$H$30="CPC",'Model Inputs &amp; Assumptions'!$I$30*'Model Inputs &amp; Assumptions'!$K$30*G1058,0)))</f>
        <v>6900</v>
      </c>
      <c r="J1058" s="50" t="n">
        <f aca="false">H1058*INDEX('Model Inputs &amp; Assumptions'!$D$40:$D$42,MATCH('Model Inputs &amp; Assumptions'!$L$30,'Model Inputs &amp; Assumptions'!$A$40:$A$42,0))*INDEX('Model Inputs &amp; Assumptions'!$H$40:$H$42,MATCH('Model Inputs &amp; Assumptions'!$L$30,'Model Inputs &amp; Assumptions'!$A$40:$A$42,0))</f>
        <v>390969.996940065</v>
      </c>
      <c r="K1058" s="49" t="n">
        <f aca="false">H1058*INDEX('Model Inputs &amp; Assumptions'!$G$40:$G$42,MATCH('Model Inputs &amp; Assumptions'!$L$30,'Model Inputs &amp; Assumptions'!$A$40:$A$42,0))*INDEX('Model Inputs &amp; Assumptions'!$H$40:$H$42,MATCH('Model Inputs &amp; Assumptions'!$L$30,'Model Inputs &amp; Assumptions'!$A$40:$A$42,0))</f>
        <v>8620.88843252844</v>
      </c>
      <c r="L1058" s="51" t="n">
        <f aca="false">IFERROR(K1058/I1058,0)</f>
        <v>1.2494041206563</v>
      </c>
      <c r="M1058" s="49" t="n">
        <f aca="false">IFERROR(I1058/H1058,0)</f>
        <v>127.068574030799</v>
      </c>
      <c r="N1058" s="52" t="str">
        <f aca="false">'Model Inputs &amp; Assumptions'!$L$30</f>
        <v>PRD-USIQ</v>
      </c>
      <c r="P1058" s="53" t="n">
        <v>0.5297</v>
      </c>
      <c r="Q1058" s="53" t="n">
        <v>-0.605141</v>
      </c>
      <c r="R1058" s="53" t="n">
        <v>-0.711858</v>
      </c>
      <c r="S1058" s="53" t="n">
        <v>1.055609</v>
      </c>
    </row>
    <row r="1059" customFormat="false" ht="15" hidden="false" customHeight="false" outlineLevel="0" collapsed="false">
      <c r="A1059" s="43" t="n">
        <v>56</v>
      </c>
      <c r="B1059" s="44" t="str">
        <f aca="false">'Model Inputs &amp; Assumptions'!$B$30</f>
        <v>extraETF — Newsletter Takeover</v>
      </c>
      <c r="C1059" s="45" t="n">
        <f aca="false">ROUND(MAX(0,'Model Inputs &amp; Assumptions'!$S$30*EXP('Model Inputs &amp; Assumptions'!$T$30*P1059-'Model Inputs &amp; Assumptions'!$T$30^2/2)),0)</f>
        <v>79583</v>
      </c>
      <c r="D1059" s="46" t="n">
        <f aca="false">MIN(1,'Model Inputs &amp; Assumptions'!$U$30*EXP('Model Inputs &amp; Assumptions'!$V$30*Q1059-'Model Inputs &amp; Assumptions'!$V$30^2/2))</f>
        <v>0</v>
      </c>
      <c r="E1059" s="45" t="n">
        <f aca="false">ROUND(C1059*D1059,0)</f>
        <v>0</v>
      </c>
      <c r="F1059" s="47" t="n">
        <f aca="false">MIN(1,'Model Inputs &amp; Assumptions'!$W$30*EXP('Model Inputs &amp; Assumptions'!$X$30*R1059-'Model Inputs &amp; Assumptions'!$X$30^2/2))</f>
        <v>0.0108607040459306</v>
      </c>
      <c r="G1059" s="45" t="n">
        <f aca="false">ROUND(C1059*F1059,0)</f>
        <v>864</v>
      </c>
      <c r="H1059" s="48" t="n">
        <f aca="false">MAX(0,(C1059*'Model Inputs &amp; Assumptions'!$N$30+E1059*'Model Inputs &amp; Assumptions'!$O$30+G1059*'Model Inputs &amp; Assumptions'!$P$30)*EXP('Model Inputs &amp; Assumptions'!$Q$30*S1059-'Model Inputs &amp; Assumptions'!$Q$30^2/2))</f>
        <v>92.2392513607609</v>
      </c>
      <c r="I1059" s="49" t="n">
        <f aca="false">IF('Model Inputs &amp; Assumptions'!$H$30="Fixed",'Model Inputs &amp; Assumptions'!$I$30*'Model Inputs &amp; Assumptions'!$K$30,IF('Model Inputs &amp; Assumptions'!$H$30="CPM",'Model Inputs &amp; Assumptions'!$I$30*'Model Inputs &amp; Assumptions'!$K$30*C1059/1000,IF('Model Inputs &amp; Assumptions'!$H$30="CPC",'Model Inputs &amp; Assumptions'!$I$30*'Model Inputs &amp; Assumptions'!$K$30*G1059,0)))</f>
        <v>6900</v>
      </c>
      <c r="J1059" s="50" t="n">
        <f aca="false">H1059*INDEX('Model Inputs &amp; Assumptions'!$D$40:$D$42,MATCH('Model Inputs &amp; Assumptions'!$L$30,'Model Inputs &amp; Assumptions'!$A$40:$A$42,0))*INDEX('Model Inputs &amp; Assumptions'!$H$40:$H$42,MATCH('Model Inputs &amp; Assumptions'!$L$30,'Model Inputs &amp; Assumptions'!$A$40:$A$42,0))</f>
        <v>664122.609797478</v>
      </c>
      <c r="K1059" s="49" t="n">
        <f aca="false">H1059*INDEX('Model Inputs &amp; Assumptions'!$G$40:$G$42,MATCH('Model Inputs &amp; Assumptions'!$L$30,'Model Inputs &amp; Assumptions'!$A$40:$A$42,0))*INDEX('Model Inputs &amp; Assumptions'!$H$40:$H$42,MATCH('Model Inputs &amp; Assumptions'!$L$30,'Model Inputs &amp; Assumptions'!$A$40:$A$42,0))</f>
        <v>14643.9035460344</v>
      </c>
      <c r="L1059" s="51" t="n">
        <f aca="false">IFERROR(K1059/I1059,0)</f>
        <v>2.12230486174412</v>
      </c>
      <c r="M1059" s="49" t="n">
        <f aca="false">IFERROR(I1059/H1059,0)</f>
        <v>74.8054640319349</v>
      </c>
      <c r="N1059" s="52" t="str">
        <f aca="false">'Model Inputs &amp; Assumptions'!$L$30</f>
        <v>PRD-USIQ</v>
      </c>
      <c r="P1059" s="53" t="n">
        <v>-0.777842</v>
      </c>
      <c r="Q1059" s="53" t="n">
        <v>2.333526</v>
      </c>
      <c r="R1059" s="53" t="n">
        <v>2.113064</v>
      </c>
      <c r="S1059" s="53" t="n">
        <v>2.109724</v>
      </c>
    </row>
    <row r="1060" customFormat="false" ht="15" hidden="false" customHeight="false" outlineLevel="0" collapsed="false">
      <c r="A1060" s="43" t="n">
        <v>57</v>
      </c>
      <c r="B1060" s="44" t="str">
        <f aca="false">'Model Inputs &amp; Assumptions'!$B$30</f>
        <v>extraETF — Newsletter Takeover</v>
      </c>
      <c r="C1060" s="45" t="n">
        <f aca="false">ROUND(MAX(0,'Model Inputs &amp; Assumptions'!$S$30*EXP('Model Inputs &amp; Assumptions'!$T$30*P1060-'Model Inputs &amp; Assumptions'!$T$30^2/2)),0)</f>
        <v>89331</v>
      </c>
      <c r="D1060" s="46" t="n">
        <f aca="false">MIN(1,'Model Inputs &amp; Assumptions'!$U$30*EXP('Model Inputs &amp; Assumptions'!$V$30*Q1060-'Model Inputs &amp; Assumptions'!$V$30^2/2))</f>
        <v>0</v>
      </c>
      <c r="E1060" s="45" t="n">
        <f aca="false">ROUND(C1060*D1060,0)</f>
        <v>0</v>
      </c>
      <c r="F1060" s="47" t="n">
        <f aca="false">MIN(1,'Model Inputs &amp; Assumptions'!$W$30*EXP('Model Inputs &amp; Assumptions'!$X$30*R1060-'Model Inputs &amp; Assumptions'!$X$30^2/2))</f>
        <v>0.00624151562605713</v>
      </c>
      <c r="G1060" s="45" t="n">
        <f aca="false">ROUND(C1060*F1060,0)</f>
        <v>558</v>
      </c>
      <c r="H1060" s="48" t="n">
        <f aca="false">MAX(0,(C1060*'Model Inputs &amp; Assumptions'!$N$30+E1060*'Model Inputs &amp; Assumptions'!$O$30+G1060*'Model Inputs &amp; Assumptions'!$P$30)*EXP('Model Inputs &amp; Assumptions'!$Q$30*S1060-'Model Inputs &amp; Assumptions'!$Q$30^2/2))</f>
        <v>36.888596055521</v>
      </c>
      <c r="I1060" s="49" t="n">
        <f aca="false">IF('Model Inputs &amp; Assumptions'!$H$30="Fixed",'Model Inputs &amp; Assumptions'!$I$30*'Model Inputs &amp; Assumptions'!$K$30,IF('Model Inputs &amp; Assumptions'!$H$30="CPM",'Model Inputs &amp; Assumptions'!$I$30*'Model Inputs &amp; Assumptions'!$K$30*C1060/1000,IF('Model Inputs &amp; Assumptions'!$H$30="CPC",'Model Inputs &amp; Assumptions'!$I$30*'Model Inputs &amp; Assumptions'!$K$30*G1060,0)))</f>
        <v>6900</v>
      </c>
      <c r="J1060" s="50" t="n">
        <f aca="false">H1060*INDEX('Model Inputs &amp; Assumptions'!$D$40:$D$42,MATCH('Model Inputs &amp; Assumptions'!$L$30,'Model Inputs &amp; Assumptions'!$A$40:$A$42,0))*INDEX('Model Inputs &amp; Assumptions'!$H$40:$H$42,MATCH('Model Inputs &amp; Assumptions'!$L$30,'Model Inputs &amp; Assumptions'!$A$40:$A$42,0))</f>
        <v>265597.891599751</v>
      </c>
      <c r="K1060" s="49" t="n">
        <f aca="false">H1060*INDEX('Model Inputs &amp; Assumptions'!$G$40:$G$42,MATCH('Model Inputs &amp; Assumptions'!$L$30,'Model Inputs &amp; Assumptions'!$A$40:$A$42,0))*INDEX('Model Inputs &amp; Assumptions'!$H$40:$H$42,MATCH('Model Inputs &amp; Assumptions'!$L$30,'Model Inputs &amp; Assumptions'!$A$40:$A$42,0))</f>
        <v>5856.43350977451</v>
      </c>
      <c r="L1060" s="51" t="n">
        <f aca="false">IFERROR(K1060/I1060,0)</f>
        <v>0.848758479677465</v>
      </c>
      <c r="M1060" s="49" t="n">
        <f aca="false">IFERROR(I1060/H1060,0)</f>
        <v>187.049677618927</v>
      </c>
      <c r="N1060" s="52" t="str">
        <f aca="false">'Model Inputs &amp; Assumptions'!$L$30</f>
        <v>PRD-USIQ</v>
      </c>
      <c r="P1060" s="53" t="n">
        <v>0.185132</v>
      </c>
      <c r="Q1060" s="53" t="n">
        <v>0.195884</v>
      </c>
      <c r="R1060" s="53" t="n">
        <v>-1.57979</v>
      </c>
      <c r="S1060" s="53" t="n">
        <v>0.192646</v>
      </c>
    </row>
    <row r="1061" customFormat="false" ht="15" hidden="false" customHeight="false" outlineLevel="0" collapsed="false">
      <c r="A1061" s="43" t="n">
        <v>58</v>
      </c>
      <c r="B1061" s="44" t="str">
        <f aca="false">'Model Inputs &amp; Assumptions'!$B$30</f>
        <v>extraETF — Newsletter Takeover</v>
      </c>
      <c r="C1061" s="45" t="n">
        <f aca="false">ROUND(MAX(0,'Model Inputs &amp; Assumptions'!$S$30*EXP('Model Inputs &amp; Assumptions'!$T$30*P1061-'Model Inputs &amp; Assumptions'!$T$30^2/2)),0)</f>
        <v>103479</v>
      </c>
      <c r="D1061" s="46" t="n">
        <f aca="false">MIN(1,'Model Inputs &amp; Assumptions'!$U$30*EXP('Model Inputs &amp; Assumptions'!$V$30*Q1061-'Model Inputs &amp; Assumptions'!$V$30^2/2))</f>
        <v>0</v>
      </c>
      <c r="E1061" s="45" t="n">
        <f aca="false">ROUND(C1061*D1061,0)</f>
        <v>0</v>
      </c>
      <c r="F1061" s="47" t="n">
        <f aca="false">MIN(1,'Model Inputs &amp; Assumptions'!$W$30*EXP('Model Inputs &amp; Assumptions'!$X$30*R1061-'Model Inputs &amp; Assumptions'!$X$30^2/2))</f>
        <v>0.0101218104054595</v>
      </c>
      <c r="G1061" s="45" t="n">
        <f aca="false">ROUND(C1061*F1061,0)</f>
        <v>1047</v>
      </c>
      <c r="H1061" s="48" t="n">
        <f aca="false">MAX(0,(C1061*'Model Inputs &amp; Assumptions'!$N$30+E1061*'Model Inputs &amp; Assumptions'!$O$30+G1061*'Model Inputs &amp; Assumptions'!$P$30)*EXP('Model Inputs &amp; Assumptions'!$Q$30*S1061-'Model Inputs &amp; Assumptions'!$Q$30^2/2))</f>
        <v>59.0286076481519</v>
      </c>
      <c r="I1061" s="49" t="n">
        <f aca="false">IF('Model Inputs &amp; Assumptions'!$H$30="Fixed",'Model Inputs &amp; Assumptions'!$I$30*'Model Inputs &amp; Assumptions'!$K$30,IF('Model Inputs &amp; Assumptions'!$H$30="CPM",'Model Inputs &amp; Assumptions'!$I$30*'Model Inputs &amp; Assumptions'!$K$30*C1061/1000,IF('Model Inputs &amp; Assumptions'!$H$30="CPC",'Model Inputs &amp; Assumptions'!$I$30*'Model Inputs &amp; Assumptions'!$K$30*G1061,0)))</f>
        <v>6900</v>
      </c>
      <c r="J1061" s="50" t="n">
        <f aca="false">H1061*INDEX('Model Inputs &amp; Assumptions'!$D$40:$D$42,MATCH('Model Inputs &amp; Assumptions'!$L$30,'Model Inputs &amp; Assumptions'!$A$40:$A$42,0))*INDEX('Model Inputs &amp; Assumptions'!$H$40:$H$42,MATCH('Model Inputs &amp; Assumptions'!$L$30,'Model Inputs &amp; Assumptions'!$A$40:$A$42,0))</f>
        <v>425005.975066694</v>
      </c>
      <c r="K1061" s="49" t="n">
        <f aca="false">H1061*INDEX('Model Inputs &amp; Assumptions'!$G$40:$G$42,MATCH('Model Inputs &amp; Assumptions'!$L$30,'Model Inputs &amp; Assumptions'!$A$40:$A$42,0))*INDEX('Model Inputs &amp; Assumptions'!$H$40:$H$42,MATCH('Model Inputs &amp; Assumptions'!$L$30,'Model Inputs &amp; Assumptions'!$A$40:$A$42,0))</f>
        <v>9371.3817502206</v>
      </c>
      <c r="L1061" s="51" t="n">
        <f aca="false">IFERROR(K1061/I1061,0)</f>
        <v>1.35817126814791</v>
      </c>
      <c r="M1061" s="49" t="n">
        <f aca="false">IFERROR(I1061/H1061,0)</f>
        <v>116.892474258048</v>
      </c>
      <c r="N1061" s="52" t="str">
        <f aca="false">'Model Inputs &amp; Assumptions'!$L$30</f>
        <v>PRD-USIQ</v>
      </c>
      <c r="P1061" s="53" t="n">
        <v>1.41029</v>
      </c>
      <c r="Q1061" s="53" t="n">
        <v>0.337213</v>
      </c>
      <c r="R1061" s="53" t="n">
        <v>1.64334</v>
      </c>
      <c r="S1061" s="53" t="n">
        <v>-0.444176</v>
      </c>
    </row>
    <row r="1062" customFormat="false" ht="15" hidden="false" customHeight="false" outlineLevel="0" collapsed="false">
      <c r="A1062" s="43" t="n">
        <v>59</v>
      </c>
      <c r="B1062" s="44" t="str">
        <f aca="false">'Model Inputs &amp; Assumptions'!$B$30</f>
        <v>extraETF — Newsletter Takeover</v>
      </c>
      <c r="C1062" s="45" t="n">
        <f aca="false">ROUND(MAX(0,'Model Inputs &amp; Assumptions'!$S$30*EXP('Model Inputs &amp; Assumptions'!$T$30*P1062-'Model Inputs &amp; Assumptions'!$T$30^2/2)),0)</f>
        <v>99280</v>
      </c>
      <c r="D1062" s="46" t="n">
        <f aca="false">MIN(1,'Model Inputs &amp; Assumptions'!$U$30*EXP('Model Inputs &amp; Assumptions'!$V$30*Q1062-'Model Inputs &amp; Assumptions'!$V$30^2/2))</f>
        <v>0</v>
      </c>
      <c r="E1062" s="45" t="n">
        <f aca="false">ROUND(C1062*D1062,0)</f>
        <v>0</v>
      </c>
      <c r="F1062" s="47" t="n">
        <f aca="false">MIN(1,'Model Inputs &amp; Assumptions'!$W$30*EXP('Model Inputs &amp; Assumptions'!$X$30*R1062-'Model Inputs &amp; Assumptions'!$X$30^2/2))</f>
        <v>0.00825603824964644</v>
      </c>
      <c r="G1062" s="45" t="n">
        <f aca="false">ROUND(C1062*F1062,0)</f>
        <v>820</v>
      </c>
      <c r="H1062" s="48" t="n">
        <f aca="false">MAX(0,(C1062*'Model Inputs &amp; Assumptions'!$N$30+E1062*'Model Inputs &amp; Assumptions'!$O$30+G1062*'Model Inputs &amp; Assumptions'!$P$30)*EXP('Model Inputs &amp; Assumptions'!$Q$30*S1062-'Model Inputs &amp; Assumptions'!$Q$30^2/2))</f>
        <v>37.3772817932534</v>
      </c>
      <c r="I1062" s="49" t="n">
        <f aca="false">IF('Model Inputs &amp; Assumptions'!$H$30="Fixed",'Model Inputs &amp; Assumptions'!$I$30*'Model Inputs &amp; Assumptions'!$K$30,IF('Model Inputs &amp; Assumptions'!$H$30="CPM",'Model Inputs &amp; Assumptions'!$I$30*'Model Inputs &amp; Assumptions'!$K$30*C1062/1000,IF('Model Inputs &amp; Assumptions'!$H$30="CPC",'Model Inputs &amp; Assumptions'!$I$30*'Model Inputs &amp; Assumptions'!$K$30*G1062,0)))</f>
        <v>6900</v>
      </c>
      <c r="J1062" s="50" t="n">
        <f aca="false">H1062*INDEX('Model Inputs &amp; Assumptions'!$D$40:$D$42,MATCH('Model Inputs &amp; Assumptions'!$L$30,'Model Inputs &amp; Assumptions'!$A$40:$A$42,0))*INDEX('Model Inputs &amp; Assumptions'!$H$40:$H$42,MATCH('Model Inputs &amp; Assumptions'!$L$30,'Model Inputs &amp; Assumptions'!$A$40:$A$42,0))</f>
        <v>269116.428911424</v>
      </c>
      <c r="K1062" s="49" t="n">
        <f aca="false">H1062*INDEX('Model Inputs &amp; Assumptions'!$G$40:$G$42,MATCH('Model Inputs &amp; Assumptions'!$L$30,'Model Inputs &amp; Assumptions'!$A$40:$A$42,0))*INDEX('Model Inputs &amp; Assumptions'!$H$40:$H$42,MATCH('Model Inputs &amp; Assumptions'!$L$30,'Model Inputs &amp; Assumptions'!$A$40:$A$42,0))</f>
        <v>5934.0172574969</v>
      </c>
      <c r="L1062" s="51" t="n">
        <f aca="false">IFERROR(K1062/I1062,0)</f>
        <v>0.860002501086508</v>
      </c>
      <c r="M1062" s="49" t="n">
        <f aca="false">IFERROR(I1062/H1062,0)</f>
        <v>184.604114289698</v>
      </c>
      <c r="N1062" s="52" t="str">
        <f aca="false">'Model Inputs &amp; Assumptions'!$L$30</f>
        <v>PRD-USIQ</v>
      </c>
      <c r="P1062" s="53" t="n">
        <v>1.065031</v>
      </c>
      <c r="Q1062" s="53" t="n">
        <v>1.033568</v>
      </c>
      <c r="R1062" s="53" t="n">
        <v>0.285022</v>
      </c>
      <c r="S1062" s="53" t="n">
        <v>-1.294493</v>
      </c>
    </row>
    <row r="1063" customFormat="false" ht="15" hidden="false" customHeight="false" outlineLevel="0" collapsed="false">
      <c r="A1063" s="43" t="n">
        <v>60</v>
      </c>
      <c r="B1063" s="44" t="str">
        <f aca="false">'Model Inputs &amp; Assumptions'!$B$30</f>
        <v>extraETF — Newsletter Takeover</v>
      </c>
      <c r="C1063" s="45" t="n">
        <f aca="false">ROUND(MAX(0,'Model Inputs &amp; Assumptions'!$S$30*EXP('Model Inputs &amp; Assumptions'!$T$30*P1063-'Model Inputs &amp; Assumptions'!$T$30^2/2)),0)</f>
        <v>90493</v>
      </c>
      <c r="D1063" s="46" t="n">
        <f aca="false">MIN(1,'Model Inputs &amp; Assumptions'!$U$30*EXP('Model Inputs &amp; Assumptions'!$V$30*Q1063-'Model Inputs &amp; Assumptions'!$V$30^2/2))</f>
        <v>0</v>
      </c>
      <c r="E1063" s="45" t="n">
        <f aca="false">ROUND(C1063*D1063,0)</f>
        <v>0</v>
      </c>
      <c r="F1063" s="47" t="n">
        <f aca="false">MIN(1,'Model Inputs &amp; Assumptions'!$W$30*EXP('Model Inputs &amp; Assumptions'!$X$30*R1063-'Model Inputs &amp; Assumptions'!$X$30^2/2))</f>
        <v>0.00709567214876244</v>
      </c>
      <c r="G1063" s="45" t="n">
        <f aca="false">ROUND(C1063*F1063,0)</f>
        <v>642</v>
      </c>
      <c r="H1063" s="48" t="n">
        <f aca="false">MAX(0,(C1063*'Model Inputs &amp; Assumptions'!$N$30+E1063*'Model Inputs &amp; Assumptions'!$O$30+G1063*'Model Inputs &amp; Assumptions'!$P$30)*EXP('Model Inputs &amp; Assumptions'!$Q$30*S1063-'Model Inputs &amp; Assumptions'!$Q$30^2/2))</f>
        <v>30.5925661938524</v>
      </c>
      <c r="I1063" s="49" t="n">
        <f aca="false">IF('Model Inputs &amp; Assumptions'!$H$30="Fixed",'Model Inputs &amp; Assumptions'!$I$30*'Model Inputs &amp; Assumptions'!$K$30,IF('Model Inputs &amp; Assumptions'!$H$30="CPM",'Model Inputs &amp; Assumptions'!$I$30*'Model Inputs &amp; Assumptions'!$K$30*C1063/1000,IF('Model Inputs &amp; Assumptions'!$H$30="CPC",'Model Inputs &amp; Assumptions'!$I$30*'Model Inputs &amp; Assumptions'!$K$30*G1063,0)))</f>
        <v>6900</v>
      </c>
      <c r="J1063" s="50" t="n">
        <f aca="false">H1063*INDEX('Model Inputs &amp; Assumptions'!$D$40:$D$42,MATCH('Model Inputs &amp; Assumptions'!$L$30,'Model Inputs &amp; Assumptions'!$A$40:$A$42,0))*INDEX('Model Inputs &amp; Assumptions'!$H$40:$H$42,MATCH('Model Inputs &amp; Assumptions'!$L$30,'Model Inputs &amp; Assumptions'!$A$40:$A$42,0))</f>
        <v>220266.476595737</v>
      </c>
      <c r="K1063" s="49" t="n">
        <f aca="false">H1063*INDEX('Model Inputs &amp; Assumptions'!$G$40:$G$42,MATCH('Model Inputs &amp; Assumptions'!$L$30,'Model Inputs &amp; Assumptions'!$A$40:$A$42,0))*INDEX('Model Inputs &amp; Assumptions'!$H$40:$H$42,MATCH('Model Inputs &amp; Assumptions'!$L$30,'Model Inputs &amp; Assumptions'!$A$40:$A$42,0))</f>
        <v>4856.875808936</v>
      </c>
      <c r="L1063" s="51" t="n">
        <f aca="false">IFERROR(K1063/I1063,0)</f>
        <v>0.703895044773334</v>
      </c>
      <c r="M1063" s="49" t="n">
        <f aca="false">IFERROR(I1063/H1063,0)</f>
        <v>225.544988814523</v>
      </c>
      <c r="N1063" s="52" t="str">
        <f aca="false">'Model Inputs &amp; Assumptions'!$L$30</f>
        <v>PRD-USIQ</v>
      </c>
      <c r="P1063" s="53" t="n">
        <v>0.292814</v>
      </c>
      <c r="Q1063" s="53" t="n">
        <v>0.586184</v>
      </c>
      <c r="R1063" s="53" t="n">
        <v>-0.72471</v>
      </c>
      <c r="S1063" s="53" t="n">
        <v>-1.116853</v>
      </c>
    </row>
    <row r="1064" customFormat="false" ht="15" hidden="false" customHeight="false" outlineLevel="0" collapsed="false">
      <c r="A1064" s="43" t="n">
        <v>61</v>
      </c>
      <c r="B1064" s="44" t="str">
        <f aca="false">'Model Inputs &amp; Assumptions'!$B$30</f>
        <v>extraETF — Newsletter Takeover</v>
      </c>
      <c r="C1064" s="45" t="n">
        <f aca="false">ROUND(MAX(0,'Model Inputs &amp; Assumptions'!$S$30*EXP('Model Inputs &amp; Assumptions'!$T$30*P1064-'Model Inputs &amp; Assumptions'!$T$30^2/2)),0)</f>
        <v>86804</v>
      </c>
      <c r="D1064" s="46" t="n">
        <f aca="false">MIN(1,'Model Inputs &amp; Assumptions'!$U$30*EXP('Model Inputs &amp; Assumptions'!$V$30*Q1064-'Model Inputs &amp; Assumptions'!$V$30^2/2))</f>
        <v>0</v>
      </c>
      <c r="E1064" s="45" t="n">
        <f aca="false">ROUND(C1064*D1064,0)</f>
        <v>0</v>
      </c>
      <c r="F1064" s="47" t="n">
        <f aca="false">MIN(1,'Model Inputs &amp; Assumptions'!$W$30*EXP('Model Inputs &amp; Assumptions'!$X$30*R1064-'Model Inputs &amp; Assumptions'!$X$30^2/2))</f>
        <v>0.00890537557574466</v>
      </c>
      <c r="G1064" s="45" t="n">
        <f aca="false">ROUND(C1064*F1064,0)</f>
        <v>773</v>
      </c>
      <c r="H1064" s="48" t="n">
        <f aca="false">MAX(0,(C1064*'Model Inputs &amp; Assumptions'!$N$30+E1064*'Model Inputs &amp; Assumptions'!$O$30+G1064*'Model Inputs &amp; Assumptions'!$P$30)*EXP('Model Inputs &amp; Assumptions'!$Q$30*S1064-'Model Inputs &amp; Assumptions'!$Q$30^2/2))</f>
        <v>40.0785103632735</v>
      </c>
      <c r="I1064" s="49" t="n">
        <f aca="false">IF('Model Inputs &amp; Assumptions'!$H$30="Fixed",'Model Inputs &amp; Assumptions'!$I$30*'Model Inputs &amp; Assumptions'!$K$30,IF('Model Inputs &amp; Assumptions'!$H$30="CPM",'Model Inputs &amp; Assumptions'!$I$30*'Model Inputs &amp; Assumptions'!$K$30*C1064/1000,IF('Model Inputs &amp; Assumptions'!$H$30="CPC",'Model Inputs &amp; Assumptions'!$I$30*'Model Inputs &amp; Assumptions'!$K$30*G1064,0)))</f>
        <v>6900</v>
      </c>
      <c r="J1064" s="50" t="n">
        <f aca="false">H1064*INDEX('Model Inputs &amp; Assumptions'!$D$40:$D$42,MATCH('Model Inputs &amp; Assumptions'!$L$30,'Model Inputs &amp; Assumptions'!$A$40:$A$42,0))*INDEX('Model Inputs &amp; Assumptions'!$H$40:$H$42,MATCH('Model Inputs &amp; Assumptions'!$L$30,'Model Inputs &amp; Assumptions'!$A$40:$A$42,0))</f>
        <v>288565.274615569</v>
      </c>
      <c r="K1064" s="49" t="n">
        <f aca="false">H1064*INDEX('Model Inputs &amp; Assumptions'!$G$40:$G$42,MATCH('Model Inputs &amp; Assumptions'!$L$30,'Model Inputs &amp; Assumptions'!$A$40:$A$42,0))*INDEX('Model Inputs &amp; Assumptions'!$H$40:$H$42,MATCH('Model Inputs &amp; Assumptions'!$L$30,'Model Inputs &amp; Assumptions'!$A$40:$A$42,0))</f>
        <v>6362.8643052733</v>
      </c>
      <c r="L1064" s="51" t="n">
        <f aca="false">IFERROR(K1064/I1064,0)</f>
        <v>0.922154247141058</v>
      </c>
      <c r="M1064" s="49" t="n">
        <f aca="false">IFERROR(I1064/H1064,0)</f>
        <v>172.162087299605</v>
      </c>
      <c r="N1064" s="52" t="str">
        <f aca="false">'Model Inputs &amp; Assumptions'!$L$30</f>
        <v>PRD-USIQ</v>
      </c>
      <c r="P1064" s="53" t="n">
        <v>-0.054023</v>
      </c>
      <c r="Q1064" s="53" t="n">
        <v>1.952454</v>
      </c>
      <c r="R1064" s="53" t="n">
        <v>0.789757</v>
      </c>
      <c r="S1064" s="53" t="n">
        <v>-0.779283</v>
      </c>
    </row>
    <row r="1065" customFormat="false" ht="15" hidden="false" customHeight="false" outlineLevel="0" collapsed="false">
      <c r="A1065" s="43" t="n">
        <v>62</v>
      </c>
      <c r="B1065" s="44" t="str">
        <f aca="false">'Model Inputs &amp; Assumptions'!$B$30</f>
        <v>extraETF — Newsletter Takeover</v>
      </c>
      <c r="C1065" s="45" t="n">
        <f aca="false">ROUND(MAX(0,'Model Inputs &amp; Assumptions'!$S$30*EXP('Model Inputs &amp; Assumptions'!$T$30*P1065-'Model Inputs &amp; Assumptions'!$T$30^2/2)),0)</f>
        <v>95599</v>
      </c>
      <c r="D1065" s="46" t="n">
        <f aca="false">MIN(1,'Model Inputs &amp; Assumptions'!$U$30*EXP('Model Inputs &amp; Assumptions'!$V$30*Q1065-'Model Inputs &amp; Assumptions'!$V$30^2/2))</f>
        <v>0</v>
      </c>
      <c r="E1065" s="45" t="n">
        <f aca="false">ROUND(C1065*D1065,0)</f>
        <v>0</v>
      </c>
      <c r="F1065" s="47" t="n">
        <f aca="false">MIN(1,'Model Inputs &amp; Assumptions'!$W$30*EXP('Model Inputs &amp; Assumptions'!$X$30*R1065-'Model Inputs &amp; Assumptions'!$X$30^2/2))</f>
        <v>0.00752704053772691</v>
      </c>
      <c r="G1065" s="45" t="n">
        <f aca="false">ROUND(C1065*F1065,0)</f>
        <v>720</v>
      </c>
      <c r="H1065" s="48" t="n">
        <f aca="false">MAX(0,(C1065*'Model Inputs &amp; Assumptions'!$N$30+E1065*'Model Inputs &amp; Assumptions'!$O$30+G1065*'Model Inputs &amp; Assumptions'!$P$30)*EXP('Model Inputs &amp; Assumptions'!$Q$30*S1065-'Model Inputs &amp; Assumptions'!$Q$30^2/2))</f>
        <v>41.5134596232047</v>
      </c>
      <c r="I1065" s="49" t="n">
        <f aca="false">IF('Model Inputs &amp; Assumptions'!$H$30="Fixed",'Model Inputs &amp; Assumptions'!$I$30*'Model Inputs &amp; Assumptions'!$K$30,IF('Model Inputs &amp; Assumptions'!$H$30="CPM",'Model Inputs &amp; Assumptions'!$I$30*'Model Inputs &amp; Assumptions'!$K$30*C1065/1000,IF('Model Inputs &amp; Assumptions'!$H$30="CPC",'Model Inputs &amp; Assumptions'!$I$30*'Model Inputs &amp; Assumptions'!$K$30*G1065,0)))</f>
        <v>6900</v>
      </c>
      <c r="J1065" s="50" t="n">
        <f aca="false">H1065*INDEX('Model Inputs &amp; Assumptions'!$D$40:$D$42,MATCH('Model Inputs &amp; Assumptions'!$L$30,'Model Inputs &amp; Assumptions'!$A$40:$A$42,0))*INDEX('Model Inputs &amp; Assumptions'!$H$40:$H$42,MATCH('Model Inputs &amp; Assumptions'!$L$30,'Model Inputs &amp; Assumptions'!$A$40:$A$42,0))</f>
        <v>298896.909287074</v>
      </c>
      <c r="K1065" s="49" t="n">
        <f aca="false">H1065*INDEX('Model Inputs &amp; Assumptions'!$G$40:$G$42,MATCH('Model Inputs &amp; Assumptions'!$L$30,'Model Inputs &amp; Assumptions'!$A$40:$A$42,0))*INDEX('Model Inputs &amp; Assumptions'!$H$40:$H$42,MATCH('Model Inputs &amp; Assumptions'!$L$30,'Model Inputs &amp; Assumptions'!$A$40:$A$42,0))</f>
        <v>6590.67684977998</v>
      </c>
      <c r="L1065" s="51" t="n">
        <f aca="false">IFERROR(K1065/I1065,0)</f>
        <v>0.955170557939127</v>
      </c>
      <c r="M1065" s="49" t="n">
        <f aca="false">IFERROR(I1065/H1065,0)</f>
        <v>166.211153265172</v>
      </c>
      <c r="N1065" s="52" t="str">
        <f aca="false">'Model Inputs &amp; Assumptions'!$L$30</f>
        <v>PRD-USIQ</v>
      </c>
      <c r="P1065" s="53" t="n">
        <v>0.750232</v>
      </c>
      <c r="Q1065" s="53" t="n">
        <v>0.089858</v>
      </c>
      <c r="R1065" s="53" t="n">
        <v>-0.331264</v>
      </c>
      <c r="S1065" s="53" t="n">
        <v>-0.354462</v>
      </c>
    </row>
    <row r="1066" customFormat="false" ht="15" hidden="false" customHeight="false" outlineLevel="0" collapsed="false">
      <c r="A1066" s="43" t="n">
        <v>63</v>
      </c>
      <c r="B1066" s="44" t="str">
        <f aca="false">'Model Inputs &amp; Assumptions'!$B$30</f>
        <v>extraETF — Newsletter Takeover</v>
      </c>
      <c r="C1066" s="45" t="n">
        <f aca="false">ROUND(MAX(0,'Model Inputs &amp; Assumptions'!$S$30*EXP('Model Inputs &amp; Assumptions'!$T$30*P1066-'Model Inputs &amp; Assumptions'!$T$30^2/2)),0)</f>
        <v>92704</v>
      </c>
      <c r="D1066" s="46" t="n">
        <f aca="false">MIN(1,'Model Inputs &amp; Assumptions'!$U$30*EXP('Model Inputs &amp; Assumptions'!$V$30*Q1066-'Model Inputs &amp; Assumptions'!$V$30^2/2))</f>
        <v>0</v>
      </c>
      <c r="E1066" s="45" t="n">
        <f aca="false">ROUND(C1066*D1066,0)</f>
        <v>0</v>
      </c>
      <c r="F1066" s="47" t="n">
        <f aca="false">MIN(1,'Model Inputs &amp; Assumptions'!$W$30*EXP('Model Inputs &amp; Assumptions'!$X$30*R1066-'Model Inputs &amp; Assumptions'!$X$30^2/2))</f>
        <v>0.00832804797247595</v>
      </c>
      <c r="G1066" s="45" t="n">
        <f aca="false">ROUND(C1066*F1066,0)</f>
        <v>772</v>
      </c>
      <c r="H1066" s="48" t="n">
        <f aca="false">MAX(0,(C1066*'Model Inputs &amp; Assumptions'!$N$30+E1066*'Model Inputs &amp; Assumptions'!$O$30+G1066*'Model Inputs &amp; Assumptions'!$P$30)*EXP('Model Inputs &amp; Assumptions'!$Q$30*S1066-'Model Inputs &amp; Assumptions'!$Q$30^2/2))</f>
        <v>60.8981953296854</v>
      </c>
      <c r="I1066" s="49" t="n">
        <f aca="false">IF('Model Inputs &amp; Assumptions'!$H$30="Fixed",'Model Inputs &amp; Assumptions'!$I$30*'Model Inputs &amp; Assumptions'!$K$30,IF('Model Inputs &amp; Assumptions'!$H$30="CPM",'Model Inputs &amp; Assumptions'!$I$30*'Model Inputs &amp; Assumptions'!$K$30*C1066/1000,IF('Model Inputs &amp; Assumptions'!$H$30="CPC",'Model Inputs &amp; Assumptions'!$I$30*'Model Inputs &amp; Assumptions'!$K$30*G1066,0)))</f>
        <v>6900</v>
      </c>
      <c r="J1066" s="50" t="n">
        <f aca="false">H1066*INDEX('Model Inputs &amp; Assumptions'!$D$40:$D$42,MATCH('Model Inputs &amp; Assumptions'!$L$30,'Model Inputs &amp; Assumptions'!$A$40:$A$42,0))*INDEX('Model Inputs &amp; Assumptions'!$H$40:$H$42,MATCH('Model Inputs &amp; Assumptions'!$L$30,'Model Inputs &amp; Assumptions'!$A$40:$A$42,0))</f>
        <v>438467.006373735</v>
      </c>
      <c r="K1066" s="49" t="n">
        <f aca="false">H1066*INDEX('Model Inputs &amp; Assumptions'!$G$40:$G$42,MATCH('Model Inputs &amp; Assumptions'!$L$30,'Model Inputs &amp; Assumptions'!$A$40:$A$42,0))*INDEX('Model Inputs &amp; Assumptions'!$H$40:$H$42,MATCH('Model Inputs &amp; Assumptions'!$L$30,'Model Inputs &amp; Assumptions'!$A$40:$A$42,0))</f>
        <v>9668.19749054086</v>
      </c>
      <c r="L1066" s="51" t="n">
        <f aca="false">IFERROR(K1066/I1066,0)</f>
        <v>1.40118804210737</v>
      </c>
      <c r="M1066" s="49" t="n">
        <f aca="false">IFERROR(I1066/H1066,0)</f>
        <v>113.303850182183</v>
      </c>
      <c r="N1066" s="52" t="str">
        <f aca="false">'Model Inputs &amp; Assumptions'!$L$30</f>
        <v>PRD-USIQ</v>
      </c>
      <c r="P1066" s="53" t="n">
        <v>0.493927</v>
      </c>
      <c r="Q1066" s="53" t="n">
        <v>-0.724236</v>
      </c>
      <c r="R1066" s="53" t="n">
        <v>0.342917</v>
      </c>
      <c r="S1066" s="53" t="n">
        <v>0.899348</v>
      </c>
    </row>
    <row r="1067" customFormat="false" ht="15" hidden="false" customHeight="false" outlineLevel="0" collapsed="false">
      <c r="A1067" s="43" t="n">
        <v>64</v>
      </c>
      <c r="B1067" s="44" t="str">
        <f aca="false">'Model Inputs &amp; Assumptions'!$B$30</f>
        <v>extraETF — Newsletter Takeover</v>
      </c>
      <c r="C1067" s="45" t="n">
        <f aca="false">ROUND(MAX(0,'Model Inputs &amp; Assumptions'!$S$30*EXP('Model Inputs &amp; Assumptions'!$T$30*P1067-'Model Inputs &amp; Assumptions'!$T$30^2/2)),0)</f>
        <v>85951</v>
      </c>
      <c r="D1067" s="46" t="n">
        <f aca="false">MIN(1,'Model Inputs &amp; Assumptions'!$U$30*EXP('Model Inputs &amp; Assumptions'!$V$30*Q1067-'Model Inputs &amp; Assumptions'!$V$30^2/2))</f>
        <v>0</v>
      </c>
      <c r="E1067" s="45" t="n">
        <f aca="false">ROUND(C1067*D1067,0)</f>
        <v>0</v>
      </c>
      <c r="F1067" s="47" t="n">
        <f aca="false">MIN(1,'Model Inputs &amp; Assumptions'!$W$30*EXP('Model Inputs &amp; Assumptions'!$X$30*R1067-'Model Inputs &amp; Assumptions'!$X$30^2/2))</f>
        <v>0.00828191309375658</v>
      </c>
      <c r="G1067" s="45" t="n">
        <f aca="false">ROUND(C1067*F1067,0)</f>
        <v>712</v>
      </c>
      <c r="H1067" s="48" t="n">
        <f aca="false">MAX(0,(C1067*'Model Inputs &amp; Assumptions'!$N$30+E1067*'Model Inputs &amp; Assumptions'!$O$30+G1067*'Model Inputs &amp; Assumptions'!$P$30)*EXP('Model Inputs &amp; Assumptions'!$Q$30*S1067-'Model Inputs &amp; Assumptions'!$Q$30^2/2))</f>
        <v>36.8132064722884</v>
      </c>
      <c r="I1067" s="49" t="n">
        <f aca="false">IF('Model Inputs &amp; Assumptions'!$H$30="Fixed",'Model Inputs &amp; Assumptions'!$I$30*'Model Inputs &amp; Assumptions'!$K$30,IF('Model Inputs &amp; Assumptions'!$H$30="CPM",'Model Inputs &amp; Assumptions'!$I$30*'Model Inputs &amp; Assumptions'!$K$30*C1067/1000,IF('Model Inputs &amp; Assumptions'!$H$30="CPC",'Model Inputs &amp; Assumptions'!$I$30*'Model Inputs &amp; Assumptions'!$K$30*G1067,0)))</f>
        <v>6900</v>
      </c>
      <c r="J1067" s="50" t="n">
        <f aca="false">H1067*INDEX('Model Inputs &amp; Assumptions'!$D$40:$D$42,MATCH('Model Inputs &amp; Assumptions'!$L$30,'Model Inputs &amp; Assumptions'!$A$40:$A$42,0))*INDEX('Model Inputs &amp; Assumptions'!$H$40:$H$42,MATCH('Model Inputs &amp; Assumptions'!$L$30,'Model Inputs &amp; Assumptions'!$A$40:$A$42,0))</f>
        <v>265055.086600476</v>
      </c>
      <c r="K1067" s="49" t="n">
        <f aca="false">H1067*INDEX('Model Inputs &amp; Assumptions'!$G$40:$G$42,MATCH('Model Inputs &amp; Assumptions'!$L$30,'Model Inputs &amp; Assumptions'!$A$40:$A$42,0))*INDEX('Model Inputs &amp; Assumptions'!$H$40:$H$42,MATCH('Model Inputs &amp; Assumptions'!$L$30,'Model Inputs &amp; Assumptions'!$A$40:$A$42,0))</f>
        <v>5844.46465954051</v>
      </c>
      <c r="L1067" s="51" t="n">
        <f aca="false">IFERROR(K1067/I1067,0)</f>
        <v>0.847023863701522</v>
      </c>
      <c r="M1067" s="49" t="n">
        <f aca="false">IFERROR(I1067/H1067,0)</f>
        <v>187.432735727437</v>
      </c>
      <c r="N1067" s="52" t="str">
        <f aca="false">'Model Inputs &amp; Assumptions'!$L$30</f>
        <v>PRD-USIQ</v>
      </c>
      <c r="P1067" s="53" t="n">
        <v>-0.13633</v>
      </c>
      <c r="Q1067" s="53" t="n">
        <v>0.414582</v>
      </c>
      <c r="R1067" s="53" t="n">
        <v>0.305883</v>
      </c>
      <c r="S1067" s="53" t="n">
        <v>-0.790413</v>
      </c>
    </row>
    <row r="1068" customFormat="false" ht="15" hidden="false" customHeight="false" outlineLevel="0" collapsed="false">
      <c r="A1068" s="43" t="n">
        <v>65</v>
      </c>
      <c r="B1068" s="44" t="str">
        <f aca="false">'Model Inputs &amp; Assumptions'!$B$30</f>
        <v>extraETF — Newsletter Takeover</v>
      </c>
      <c r="C1068" s="45" t="n">
        <f aca="false">ROUND(MAX(0,'Model Inputs &amp; Assumptions'!$S$30*EXP('Model Inputs &amp; Assumptions'!$T$30*P1068-'Model Inputs &amp; Assumptions'!$T$30^2/2)),0)</f>
        <v>90301</v>
      </c>
      <c r="D1068" s="46" t="n">
        <f aca="false">MIN(1,'Model Inputs &amp; Assumptions'!$U$30*EXP('Model Inputs &amp; Assumptions'!$V$30*Q1068-'Model Inputs &amp; Assumptions'!$V$30^2/2))</f>
        <v>0</v>
      </c>
      <c r="E1068" s="45" t="n">
        <f aca="false">ROUND(C1068*D1068,0)</f>
        <v>0</v>
      </c>
      <c r="F1068" s="47" t="n">
        <f aca="false">MIN(1,'Model Inputs &amp; Assumptions'!$W$30*EXP('Model Inputs &amp; Assumptions'!$X$30*R1068-'Model Inputs &amp; Assumptions'!$X$30^2/2))</f>
        <v>0.009814290047361</v>
      </c>
      <c r="G1068" s="45" t="n">
        <f aca="false">ROUND(C1068*F1068,0)</f>
        <v>886</v>
      </c>
      <c r="H1068" s="48" t="n">
        <f aca="false">MAX(0,(C1068*'Model Inputs &amp; Assumptions'!$N$30+E1068*'Model Inputs &amp; Assumptions'!$O$30+G1068*'Model Inputs &amp; Assumptions'!$P$30)*EXP('Model Inputs &amp; Assumptions'!$Q$30*S1068-'Model Inputs &amp; Assumptions'!$Q$30^2/2))</f>
        <v>52.7820642895702</v>
      </c>
      <c r="I1068" s="49" t="n">
        <f aca="false">IF('Model Inputs &amp; Assumptions'!$H$30="Fixed",'Model Inputs &amp; Assumptions'!$I$30*'Model Inputs &amp; Assumptions'!$K$30,IF('Model Inputs &amp; Assumptions'!$H$30="CPM",'Model Inputs &amp; Assumptions'!$I$30*'Model Inputs &amp; Assumptions'!$K$30*C1068/1000,IF('Model Inputs &amp; Assumptions'!$H$30="CPC",'Model Inputs &amp; Assumptions'!$I$30*'Model Inputs &amp; Assumptions'!$K$30*G1068,0)))</f>
        <v>6900</v>
      </c>
      <c r="J1068" s="50" t="n">
        <f aca="false">H1068*INDEX('Model Inputs &amp; Assumptions'!$D$40:$D$42,MATCH('Model Inputs &amp; Assumptions'!$L$30,'Model Inputs &amp; Assumptions'!$A$40:$A$42,0))*INDEX('Model Inputs &amp; Assumptions'!$H$40:$H$42,MATCH('Model Inputs &amp; Assumptions'!$L$30,'Model Inputs &amp; Assumptions'!$A$40:$A$42,0))</f>
        <v>380030.862884905</v>
      </c>
      <c r="K1068" s="49" t="n">
        <f aca="false">H1068*INDEX('Model Inputs &amp; Assumptions'!$G$40:$G$42,MATCH('Model Inputs &amp; Assumptions'!$L$30,'Model Inputs &amp; Assumptions'!$A$40:$A$42,0))*INDEX('Model Inputs &amp; Assumptions'!$H$40:$H$42,MATCH('Model Inputs &amp; Assumptions'!$L$30,'Model Inputs &amp; Assumptions'!$A$40:$A$42,0))</f>
        <v>8379.68052661216</v>
      </c>
      <c r="L1068" s="51" t="n">
        <f aca="false">IFERROR(K1068/I1068,0)</f>
        <v>1.2144464531322</v>
      </c>
      <c r="M1068" s="49" t="n">
        <f aca="false">IFERROR(I1068/H1068,0)</f>
        <v>130.726224767292</v>
      </c>
      <c r="N1068" s="52" t="str">
        <f aca="false">'Model Inputs &amp; Assumptions'!$L$30</f>
        <v>PRD-USIQ</v>
      </c>
      <c r="P1068" s="53" t="n">
        <v>0.27514</v>
      </c>
      <c r="Q1068" s="53" t="n">
        <v>0.062211</v>
      </c>
      <c r="R1068" s="53" t="n">
        <v>1.437653</v>
      </c>
      <c r="S1068" s="53" t="n">
        <v>-0.22371</v>
      </c>
    </row>
    <row r="1069" customFormat="false" ht="15" hidden="false" customHeight="false" outlineLevel="0" collapsed="false">
      <c r="A1069" s="43" t="n">
        <v>66</v>
      </c>
      <c r="B1069" s="44" t="str">
        <f aca="false">'Model Inputs &amp; Assumptions'!$B$30</f>
        <v>extraETF — Newsletter Takeover</v>
      </c>
      <c r="C1069" s="45" t="n">
        <f aca="false">ROUND(MAX(0,'Model Inputs &amp; Assumptions'!$S$30*EXP('Model Inputs &amp; Assumptions'!$T$30*P1069-'Model Inputs &amp; Assumptions'!$T$30^2/2)),0)</f>
        <v>94324</v>
      </c>
      <c r="D1069" s="46" t="n">
        <f aca="false">MIN(1,'Model Inputs &amp; Assumptions'!$U$30*EXP('Model Inputs &amp; Assumptions'!$V$30*Q1069-'Model Inputs &amp; Assumptions'!$V$30^2/2))</f>
        <v>0</v>
      </c>
      <c r="E1069" s="45" t="n">
        <f aca="false">ROUND(C1069*D1069,0)</f>
        <v>0</v>
      </c>
      <c r="F1069" s="47" t="n">
        <f aca="false">MIN(1,'Model Inputs &amp; Assumptions'!$W$30*EXP('Model Inputs &amp; Assumptions'!$X$30*R1069-'Model Inputs &amp; Assumptions'!$X$30^2/2))</f>
        <v>0.0082113947365066</v>
      </c>
      <c r="G1069" s="45" t="n">
        <f aca="false">ROUND(C1069*F1069,0)</f>
        <v>775</v>
      </c>
      <c r="H1069" s="48" t="n">
        <f aca="false">MAX(0,(C1069*'Model Inputs &amp; Assumptions'!$N$30+E1069*'Model Inputs &amp; Assumptions'!$O$30+G1069*'Model Inputs &amp; Assumptions'!$P$30)*EXP('Model Inputs &amp; Assumptions'!$Q$30*S1069-'Model Inputs &amp; Assumptions'!$Q$30^2/2))</f>
        <v>62.205677285531</v>
      </c>
      <c r="I1069" s="49" t="n">
        <f aca="false">IF('Model Inputs &amp; Assumptions'!$H$30="Fixed",'Model Inputs &amp; Assumptions'!$I$30*'Model Inputs &amp; Assumptions'!$K$30,IF('Model Inputs &amp; Assumptions'!$H$30="CPM",'Model Inputs &amp; Assumptions'!$I$30*'Model Inputs &amp; Assumptions'!$K$30*C1069/1000,IF('Model Inputs &amp; Assumptions'!$H$30="CPC",'Model Inputs &amp; Assumptions'!$I$30*'Model Inputs &amp; Assumptions'!$K$30*G1069,0)))</f>
        <v>6900</v>
      </c>
      <c r="J1069" s="50" t="n">
        <f aca="false">H1069*INDEX('Model Inputs &amp; Assumptions'!$D$40:$D$42,MATCH('Model Inputs &amp; Assumptions'!$L$30,'Model Inputs &amp; Assumptions'!$A$40:$A$42,0))*INDEX('Model Inputs &amp; Assumptions'!$H$40:$H$42,MATCH('Model Inputs &amp; Assumptions'!$L$30,'Model Inputs &amp; Assumptions'!$A$40:$A$42,0))</f>
        <v>447880.876455823</v>
      </c>
      <c r="K1069" s="49" t="n">
        <f aca="false">H1069*INDEX('Model Inputs &amp; Assumptions'!$G$40:$G$42,MATCH('Model Inputs &amp; Assumptions'!$L$30,'Model Inputs &amp; Assumptions'!$A$40:$A$42,0))*INDEX('Model Inputs &amp; Assumptions'!$H$40:$H$42,MATCH('Model Inputs &amp; Assumptions'!$L$30,'Model Inputs &amp; Assumptions'!$A$40:$A$42,0))</f>
        <v>9875.77332585091</v>
      </c>
      <c r="L1069" s="51" t="n">
        <f aca="false">IFERROR(K1069/I1069,0)</f>
        <v>1.43127149650013</v>
      </c>
      <c r="M1069" s="49" t="n">
        <f aca="false">IFERROR(I1069/H1069,0)</f>
        <v>110.922351481332</v>
      </c>
      <c r="N1069" s="52" t="str">
        <f aca="false">'Model Inputs &amp; Assumptions'!$L$30</f>
        <v>PRD-USIQ</v>
      </c>
      <c r="P1069" s="53" t="n">
        <v>0.638328</v>
      </c>
      <c r="Q1069" s="53" t="n">
        <v>-0.264164</v>
      </c>
      <c r="R1069" s="53" t="n">
        <v>0.248875</v>
      </c>
      <c r="S1069" s="53" t="n">
        <v>0.968805</v>
      </c>
    </row>
    <row r="1070" customFormat="false" ht="15" hidden="false" customHeight="false" outlineLevel="0" collapsed="false">
      <c r="A1070" s="43" t="n">
        <v>67</v>
      </c>
      <c r="B1070" s="44" t="str">
        <f aca="false">'Model Inputs &amp; Assumptions'!$B$30</f>
        <v>extraETF — Newsletter Takeover</v>
      </c>
      <c r="C1070" s="45" t="n">
        <f aca="false">ROUND(MAX(0,'Model Inputs &amp; Assumptions'!$S$30*EXP('Model Inputs &amp; Assumptions'!$T$30*P1070-'Model Inputs &amp; Assumptions'!$T$30^2/2)),0)</f>
        <v>75127</v>
      </c>
      <c r="D1070" s="46" t="n">
        <f aca="false">MIN(1,'Model Inputs &amp; Assumptions'!$U$30*EXP('Model Inputs &amp; Assumptions'!$V$30*Q1070-'Model Inputs &amp; Assumptions'!$V$30^2/2))</f>
        <v>0</v>
      </c>
      <c r="E1070" s="45" t="n">
        <f aca="false">ROUND(C1070*D1070,0)</f>
        <v>0</v>
      </c>
      <c r="F1070" s="47" t="n">
        <f aca="false">MIN(1,'Model Inputs &amp; Assumptions'!$W$30*EXP('Model Inputs &amp; Assumptions'!$X$30*R1070-'Model Inputs &amp; Assumptions'!$X$30^2/2))</f>
        <v>0.00883356518801873</v>
      </c>
      <c r="G1070" s="45" t="n">
        <f aca="false">ROUND(C1070*F1070,0)</f>
        <v>664</v>
      </c>
      <c r="H1070" s="48" t="n">
        <f aca="false">MAX(0,(C1070*'Model Inputs &amp; Assumptions'!$N$30+E1070*'Model Inputs &amp; Assumptions'!$O$30+G1070*'Model Inputs &amp; Assumptions'!$P$30)*EXP('Model Inputs &amp; Assumptions'!$Q$30*S1070-'Model Inputs &amp; Assumptions'!$Q$30^2/2))</f>
        <v>36.8448053178338</v>
      </c>
      <c r="I1070" s="49" t="n">
        <f aca="false">IF('Model Inputs &amp; Assumptions'!$H$30="Fixed",'Model Inputs &amp; Assumptions'!$I$30*'Model Inputs &amp; Assumptions'!$K$30,IF('Model Inputs &amp; Assumptions'!$H$30="CPM",'Model Inputs &amp; Assumptions'!$I$30*'Model Inputs &amp; Assumptions'!$K$30*C1070/1000,IF('Model Inputs &amp; Assumptions'!$H$30="CPC",'Model Inputs &amp; Assumptions'!$I$30*'Model Inputs &amp; Assumptions'!$K$30*G1070,0)))</f>
        <v>6900</v>
      </c>
      <c r="J1070" s="50" t="n">
        <f aca="false">H1070*INDEX('Model Inputs &amp; Assumptions'!$D$40:$D$42,MATCH('Model Inputs &amp; Assumptions'!$L$30,'Model Inputs &amp; Assumptions'!$A$40:$A$42,0))*INDEX('Model Inputs &amp; Assumptions'!$H$40:$H$42,MATCH('Model Inputs &amp; Assumptions'!$L$30,'Model Inputs &amp; Assumptions'!$A$40:$A$42,0))</f>
        <v>265282.598288403</v>
      </c>
      <c r="K1070" s="49" t="n">
        <f aca="false">H1070*INDEX('Model Inputs &amp; Assumptions'!$G$40:$G$42,MATCH('Model Inputs &amp; Assumptions'!$L$30,'Model Inputs &amp; Assumptions'!$A$40:$A$42,0))*INDEX('Model Inputs &amp; Assumptions'!$H$40:$H$42,MATCH('Model Inputs &amp; Assumptions'!$L$30,'Model Inputs &amp; Assumptions'!$A$40:$A$42,0))</f>
        <v>5849.48129225929</v>
      </c>
      <c r="L1070" s="51" t="n">
        <f aca="false">IFERROR(K1070/I1070,0)</f>
        <v>0.847750911921636</v>
      </c>
      <c r="M1070" s="49" t="n">
        <f aca="false">IFERROR(I1070/H1070,0)</f>
        <v>187.271989646265</v>
      </c>
      <c r="N1070" s="52" t="str">
        <f aca="false">'Model Inputs &amp; Assumptions'!$L$30</f>
        <v>PRD-USIQ</v>
      </c>
      <c r="P1070" s="53" t="n">
        <v>-1.257972</v>
      </c>
      <c r="Q1070" s="53" t="n">
        <v>-0.887656</v>
      </c>
      <c r="R1070" s="53" t="n">
        <v>0.735781</v>
      </c>
      <c r="S1070" s="53" t="n">
        <v>-0.507798</v>
      </c>
    </row>
    <row r="1071" customFormat="false" ht="15" hidden="false" customHeight="false" outlineLevel="0" collapsed="false">
      <c r="A1071" s="43" t="n">
        <v>68</v>
      </c>
      <c r="B1071" s="44" t="str">
        <f aca="false">'Model Inputs &amp; Assumptions'!$B$30</f>
        <v>extraETF — Newsletter Takeover</v>
      </c>
      <c r="C1071" s="45" t="n">
        <f aca="false">ROUND(MAX(0,'Model Inputs &amp; Assumptions'!$S$30*EXP('Model Inputs &amp; Assumptions'!$T$30*P1071-'Model Inputs &amp; Assumptions'!$T$30^2/2)),0)</f>
        <v>93170</v>
      </c>
      <c r="D1071" s="46" t="n">
        <f aca="false">MIN(1,'Model Inputs &amp; Assumptions'!$U$30*EXP('Model Inputs &amp; Assumptions'!$V$30*Q1071-'Model Inputs &amp; Assumptions'!$V$30^2/2))</f>
        <v>0</v>
      </c>
      <c r="E1071" s="45" t="n">
        <f aca="false">ROUND(C1071*D1071,0)</f>
        <v>0</v>
      </c>
      <c r="F1071" s="47" t="n">
        <f aca="false">MIN(1,'Model Inputs &amp; Assumptions'!$W$30*EXP('Model Inputs &amp; Assumptions'!$X$30*R1071-'Model Inputs &amp; Assumptions'!$X$30^2/2))</f>
        <v>0.00695349451885925</v>
      </c>
      <c r="G1071" s="45" t="n">
        <f aca="false">ROUND(C1071*F1071,0)</f>
        <v>648</v>
      </c>
      <c r="H1071" s="48" t="n">
        <f aca="false">MAX(0,(C1071*'Model Inputs &amp; Assumptions'!$N$30+E1071*'Model Inputs &amp; Assumptions'!$O$30+G1071*'Model Inputs &amp; Assumptions'!$P$30)*EXP('Model Inputs &amp; Assumptions'!$Q$30*S1071-'Model Inputs &amp; Assumptions'!$Q$30^2/2))</f>
        <v>34.5683556594038</v>
      </c>
      <c r="I1071" s="49" t="n">
        <f aca="false">IF('Model Inputs &amp; Assumptions'!$H$30="Fixed",'Model Inputs &amp; Assumptions'!$I$30*'Model Inputs &amp; Assumptions'!$K$30,IF('Model Inputs &amp; Assumptions'!$H$30="CPM",'Model Inputs &amp; Assumptions'!$I$30*'Model Inputs &amp; Assumptions'!$K$30*C1071/1000,IF('Model Inputs &amp; Assumptions'!$H$30="CPC",'Model Inputs &amp; Assumptions'!$I$30*'Model Inputs &amp; Assumptions'!$K$30*G1071,0)))</f>
        <v>6900</v>
      </c>
      <c r="J1071" s="50" t="n">
        <f aca="false">H1071*INDEX('Model Inputs &amp; Assumptions'!$D$40:$D$42,MATCH('Model Inputs &amp; Assumptions'!$L$30,'Model Inputs &amp; Assumptions'!$A$40:$A$42,0))*INDEX('Model Inputs &amp; Assumptions'!$H$40:$H$42,MATCH('Model Inputs &amp; Assumptions'!$L$30,'Model Inputs &amp; Assumptions'!$A$40:$A$42,0))</f>
        <v>248892.160747707</v>
      </c>
      <c r="K1071" s="49" t="n">
        <f aca="false">H1071*INDEX('Model Inputs &amp; Assumptions'!$G$40:$G$42,MATCH('Model Inputs &amp; Assumptions'!$L$30,'Model Inputs &amp; Assumptions'!$A$40:$A$42,0))*INDEX('Model Inputs &amp; Assumptions'!$H$40:$H$42,MATCH('Model Inputs &amp; Assumptions'!$L$30,'Model Inputs &amp; Assumptions'!$A$40:$A$42,0))</f>
        <v>5488.07214448695</v>
      </c>
      <c r="L1071" s="51" t="n">
        <f aca="false">IFERROR(K1071/I1071,0)</f>
        <v>0.795372774563326</v>
      </c>
      <c r="M1071" s="49" t="n">
        <f aca="false">IFERROR(I1071/H1071,0)</f>
        <v>199.604518883818</v>
      </c>
      <c r="N1071" s="52" t="str">
        <f aca="false">'Model Inputs &amp; Assumptions'!$L$30</f>
        <v>PRD-USIQ</v>
      </c>
      <c r="P1071" s="53" t="n">
        <v>0.535772</v>
      </c>
      <c r="Q1071" s="53" t="n">
        <v>-1.356227</v>
      </c>
      <c r="R1071" s="53" t="n">
        <v>-0.859648</v>
      </c>
      <c r="S1071" s="53" t="n">
        <v>-0.665336</v>
      </c>
    </row>
    <row r="1072" customFormat="false" ht="15" hidden="false" customHeight="false" outlineLevel="0" collapsed="false">
      <c r="A1072" s="43" t="n">
        <v>69</v>
      </c>
      <c r="B1072" s="44" t="str">
        <f aca="false">'Model Inputs &amp; Assumptions'!$B$30</f>
        <v>extraETF — Newsletter Takeover</v>
      </c>
      <c r="C1072" s="45" t="n">
        <f aca="false">ROUND(MAX(0,'Model Inputs &amp; Assumptions'!$S$30*EXP('Model Inputs &amp; Assumptions'!$T$30*P1072-'Model Inputs &amp; Assumptions'!$T$30^2/2)),0)</f>
        <v>87382</v>
      </c>
      <c r="D1072" s="46" t="n">
        <f aca="false">MIN(1,'Model Inputs &amp; Assumptions'!$U$30*EXP('Model Inputs &amp; Assumptions'!$V$30*Q1072-'Model Inputs &amp; Assumptions'!$V$30^2/2))</f>
        <v>0</v>
      </c>
      <c r="E1072" s="45" t="n">
        <f aca="false">ROUND(C1072*D1072,0)</f>
        <v>0</v>
      </c>
      <c r="F1072" s="47" t="n">
        <f aca="false">MIN(1,'Model Inputs &amp; Assumptions'!$W$30*EXP('Model Inputs &amp; Assumptions'!$X$30*R1072-'Model Inputs &amp; Assumptions'!$X$30^2/2))</f>
        <v>0.00628836808861804</v>
      </c>
      <c r="G1072" s="45" t="n">
        <f aca="false">ROUND(C1072*F1072,0)</f>
        <v>549</v>
      </c>
      <c r="H1072" s="48" t="n">
        <f aca="false">MAX(0,(C1072*'Model Inputs &amp; Assumptions'!$N$30+E1072*'Model Inputs &amp; Assumptions'!$O$30+G1072*'Model Inputs &amp; Assumptions'!$P$30)*EXP('Model Inputs &amp; Assumptions'!$Q$30*S1072-'Model Inputs &amp; Assumptions'!$Q$30^2/2))</f>
        <v>31.1945744051597</v>
      </c>
      <c r="I1072" s="49" t="n">
        <f aca="false">IF('Model Inputs &amp; Assumptions'!$H$30="Fixed",'Model Inputs &amp; Assumptions'!$I$30*'Model Inputs &amp; Assumptions'!$K$30,IF('Model Inputs &amp; Assumptions'!$H$30="CPM",'Model Inputs &amp; Assumptions'!$I$30*'Model Inputs &amp; Assumptions'!$K$30*C1072/1000,IF('Model Inputs &amp; Assumptions'!$H$30="CPC",'Model Inputs &amp; Assumptions'!$I$30*'Model Inputs &amp; Assumptions'!$K$30*G1072,0)))</f>
        <v>6900</v>
      </c>
      <c r="J1072" s="50" t="n">
        <f aca="false">H1072*INDEX('Model Inputs &amp; Assumptions'!$D$40:$D$42,MATCH('Model Inputs &amp; Assumptions'!$L$30,'Model Inputs &amp; Assumptions'!$A$40:$A$42,0))*INDEX('Model Inputs &amp; Assumptions'!$H$40:$H$42,MATCH('Model Inputs &amp; Assumptions'!$L$30,'Model Inputs &amp; Assumptions'!$A$40:$A$42,0))</f>
        <v>224600.93571715</v>
      </c>
      <c r="K1072" s="49" t="n">
        <f aca="false">H1072*INDEX('Model Inputs &amp; Assumptions'!$G$40:$G$42,MATCH('Model Inputs &amp; Assumptions'!$L$30,'Model Inputs &amp; Assumptions'!$A$40:$A$42,0))*INDEX('Model Inputs &amp; Assumptions'!$H$40:$H$42,MATCH('Model Inputs &amp; Assumptions'!$L$30,'Model Inputs &amp; Assumptions'!$A$40:$A$42,0))</f>
        <v>4952.45063256315</v>
      </c>
      <c r="L1072" s="51" t="n">
        <f aca="false">IFERROR(K1072/I1072,0)</f>
        <v>0.717746468487414</v>
      </c>
      <c r="M1072" s="49" t="n">
        <f aca="false">IFERROR(I1072/H1072,0)</f>
        <v>221.192310892971</v>
      </c>
      <c r="N1072" s="52" t="str">
        <f aca="false">'Model Inputs &amp; Assumptions'!$L$30</f>
        <v>PRD-USIQ</v>
      </c>
      <c r="P1072" s="53" t="n">
        <v>0.001236</v>
      </c>
      <c r="Q1072" s="53" t="n">
        <v>0.637956</v>
      </c>
      <c r="R1072" s="53" t="n">
        <v>-1.529933</v>
      </c>
      <c r="S1072" s="53" t="n">
        <v>-0.412945</v>
      </c>
    </row>
    <row r="1073" customFormat="false" ht="15" hidden="false" customHeight="false" outlineLevel="0" collapsed="false">
      <c r="A1073" s="43" t="n">
        <v>70</v>
      </c>
      <c r="B1073" s="44" t="str">
        <f aca="false">'Model Inputs &amp; Assumptions'!$B$30</f>
        <v>extraETF — Newsletter Takeover</v>
      </c>
      <c r="C1073" s="45" t="n">
        <f aca="false">ROUND(MAX(0,'Model Inputs &amp; Assumptions'!$S$30*EXP('Model Inputs &amp; Assumptions'!$T$30*P1073-'Model Inputs &amp; Assumptions'!$T$30^2/2)),0)</f>
        <v>87141</v>
      </c>
      <c r="D1073" s="46" t="n">
        <f aca="false">MIN(1,'Model Inputs &amp; Assumptions'!$U$30*EXP('Model Inputs &amp; Assumptions'!$V$30*Q1073-'Model Inputs &amp; Assumptions'!$V$30^2/2))</f>
        <v>0</v>
      </c>
      <c r="E1073" s="45" t="n">
        <f aca="false">ROUND(C1073*D1073,0)</f>
        <v>0</v>
      </c>
      <c r="F1073" s="47" t="n">
        <f aca="false">MIN(1,'Model Inputs &amp; Assumptions'!$W$30*EXP('Model Inputs &amp; Assumptions'!$X$30*R1073-'Model Inputs &amp; Assumptions'!$X$30^2/2))</f>
        <v>0.00628664499746071</v>
      </c>
      <c r="G1073" s="45" t="n">
        <f aca="false">ROUND(C1073*F1073,0)</f>
        <v>548</v>
      </c>
      <c r="H1073" s="48" t="n">
        <f aca="false">MAX(0,(C1073*'Model Inputs &amp; Assumptions'!$N$30+E1073*'Model Inputs &amp; Assumptions'!$O$30+G1073*'Model Inputs &amp; Assumptions'!$P$30)*EXP('Model Inputs &amp; Assumptions'!$Q$30*S1073-'Model Inputs &amp; Assumptions'!$Q$30^2/2))</f>
        <v>23.4624501645037</v>
      </c>
      <c r="I1073" s="49" t="n">
        <f aca="false">IF('Model Inputs &amp; Assumptions'!$H$30="Fixed",'Model Inputs &amp; Assumptions'!$I$30*'Model Inputs &amp; Assumptions'!$K$30,IF('Model Inputs &amp; Assumptions'!$H$30="CPM",'Model Inputs &amp; Assumptions'!$I$30*'Model Inputs &amp; Assumptions'!$K$30*C1073/1000,IF('Model Inputs &amp; Assumptions'!$H$30="CPC",'Model Inputs &amp; Assumptions'!$I$30*'Model Inputs &amp; Assumptions'!$K$30*G1073,0)))</f>
        <v>6900</v>
      </c>
      <c r="J1073" s="50" t="n">
        <f aca="false">H1073*INDEX('Model Inputs &amp; Assumptions'!$D$40:$D$42,MATCH('Model Inputs &amp; Assumptions'!$L$30,'Model Inputs &amp; Assumptions'!$A$40:$A$42,0))*INDEX('Model Inputs &amp; Assumptions'!$H$40:$H$42,MATCH('Model Inputs &amp; Assumptions'!$L$30,'Model Inputs &amp; Assumptions'!$A$40:$A$42,0))</f>
        <v>168929.641184427</v>
      </c>
      <c r="K1073" s="49" t="n">
        <f aca="false">H1073*INDEX('Model Inputs &amp; Assumptions'!$G$40:$G$42,MATCH('Model Inputs &amp; Assumptions'!$L$30,'Model Inputs &amp; Assumptions'!$A$40:$A$42,0))*INDEX('Model Inputs &amp; Assumptions'!$H$40:$H$42,MATCH('Model Inputs &amp; Assumptions'!$L$30,'Model Inputs &amp; Assumptions'!$A$40:$A$42,0))</f>
        <v>3724.89858811661</v>
      </c>
      <c r="L1073" s="51" t="n">
        <f aca="false">IFERROR(K1073/I1073,0)</f>
        <v>0.539840375089364</v>
      </c>
      <c r="M1073" s="49" t="n">
        <f aca="false">IFERROR(I1073/H1073,0)</f>
        <v>294.086932593212</v>
      </c>
      <c r="N1073" s="52" t="str">
        <f aca="false">'Model Inputs &amp; Assumptions'!$L$30</f>
        <v>PRD-USIQ</v>
      </c>
      <c r="P1073" s="53" t="n">
        <v>-0.021743</v>
      </c>
      <c r="Q1073" s="53" t="n">
        <v>0.217129</v>
      </c>
      <c r="R1073" s="53" t="n">
        <v>-1.53176</v>
      </c>
      <c r="S1073" s="53" t="n">
        <v>-1.545024</v>
      </c>
    </row>
    <row r="1074" customFormat="false" ht="15" hidden="false" customHeight="false" outlineLevel="0" collapsed="false">
      <c r="A1074" s="43" t="n">
        <v>71</v>
      </c>
      <c r="B1074" s="44" t="str">
        <f aca="false">'Model Inputs &amp; Assumptions'!$B$30</f>
        <v>extraETF — Newsletter Takeover</v>
      </c>
      <c r="C1074" s="45" t="n">
        <f aca="false">ROUND(MAX(0,'Model Inputs &amp; Assumptions'!$S$30*EXP('Model Inputs &amp; Assumptions'!$T$30*P1074-'Model Inputs &amp; Assumptions'!$T$30^2/2)),0)</f>
        <v>67881</v>
      </c>
      <c r="D1074" s="46" t="n">
        <f aca="false">MIN(1,'Model Inputs &amp; Assumptions'!$U$30*EXP('Model Inputs &amp; Assumptions'!$V$30*Q1074-'Model Inputs &amp; Assumptions'!$V$30^2/2))</f>
        <v>0</v>
      </c>
      <c r="E1074" s="45" t="n">
        <f aca="false">ROUND(C1074*D1074,0)</f>
        <v>0</v>
      </c>
      <c r="F1074" s="47" t="n">
        <f aca="false">MIN(1,'Model Inputs &amp; Assumptions'!$W$30*EXP('Model Inputs &amp; Assumptions'!$X$30*R1074-'Model Inputs &amp; Assumptions'!$X$30^2/2))</f>
        <v>0.00725440152595423</v>
      </c>
      <c r="G1074" s="45" t="n">
        <f aca="false">ROUND(C1074*F1074,0)</f>
        <v>492</v>
      </c>
      <c r="H1074" s="48" t="n">
        <f aca="false">MAX(0,(C1074*'Model Inputs &amp; Assumptions'!$N$30+E1074*'Model Inputs &amp; Assumptions'!$O$30+G1074*'Model Inputs &amp; Assumptions'!$P$30)*EXP('Model Inputs &amp; Assumptions'!$Q$30*S1074-'Model Inputs &amp; Assumptions'!$Q$30^2/2))</f>
        <v>33.3864275763256</v>
      </c>
      <c r="I1074" s="49" t="n">
        <f aca="false">IF('Model Inputs &amp; Assumptions'!$H$30="Fixed",'Model Inputs &amp; Assumptions'!$I$30*'Model Inputs &amp; Assumptions'!$K$30,IF('Model Inputs &amp; Assumptions'!$H$30="CPM",'Model Inputs &amp; Assumptions'!$I$30*'Model Inputs &amp; Assumptions'!$K$30*C1074/1000,IF('Model Inputs &amp; Assumptions'!$H$30="CPC",'Model Inputs &amp; Assumptions'!$I$30*'Model Inputs &amp; Assumptions'!$K$30*G1074,0)))</f>
        <v>6900</v>
      </c>
      <c r="J1074" s="50" t="n">
        <f aca="false">H1074*INDEX('Model Inputs &amp; Assumptions'!$D$40:$D$42,MATCH('Model Inputs &amp; Assumptions'!$L$30,'Model Inputs &amp; Assumptions'!$A$40:$A$42,0))*INDEX('Model Inputs &amp; Assumptions'!$H$40:$H$42,MATCH('Model Inputs &amp; Assumptions'!$L$30,'Model Inputs &amp; Assumptions'!$A$40:$A$42,0))</f>
        <v>240382.278549544</v>
      </c>
      <c r="K1074" s="49" t="n">
        <f aca="false">H1074*INDEX('Model Inputs &amp; Assumptions'!$G$40:$G$42,MATCH('Model Inputs &amp; Assumptions'!$L$30,'Model Inputs &amp; Assumptions'!$A$40:$A$42,0))*INDEX('Model Inputs &amp; Assumptions'!$H$40:$H$42,MATCH('Model Inputs &amp; Assumptions'!$L$30,'Model Inputs &amp; Assumptions'!$A$40:$A$42,0))</f>
        <v>5300.42924201745</v>
      </c>
      <c r="L1074" s="51" t="n">
        <f aca="false">IFERROR(K1074/I1074,0)</f>
        <v>0.768178151017022</v>
      </c>
      <c r="M1074" s="49" t="n">
        <f aca="false">IFERROR(I1074/H1074,0)</f>
        <v>206.670809095275</v>
      </c>
      <c r="N1074" s="52" t="str">
        <f aca="false">'Model Inputs &amp; Assumptions'!$L$30</f>
        <v>PRD-USIQ</v>
      </c>
      <c r="P1074" s="53" t="n">
        <v>-2.10319</v>
      </c>
      <c r="Q1074" s="53" t="n">
        <v>-0.477996</v>
      </c>
      <c r="R1074" s="53" t="n">
        <v>-0.577221</v>
      </c>
      <c r="S1074" s="53" t="n">
        <v>0.297155</v>
      </c>
    </row>
    <row r="1075" customFormat="false" ht="15" hidden="false" customHeight="false" outlineLevel="0" collapsed="false">
      <c r="A1075" s="43" t="n">
        <v>72</v>
      </c>
      <c r="B1075" s="44" t="str">
        <f aca="false">'Model Inputs &amp; Assumptions'!$B$30</f>
        <v>extraETF — Newsletter Takeover</v>
      </c>
      <c r="C1075" s="45" t="n">
        <f aca="false">ROUND(MAX(0,'Model Inputs &amp; Assumptions'!$S$30*EXP('Model Inputs &amp; Assumptions'!$T$30*P1075-'Model Inputs &amp; Assumptions'!$T$30^2/2)),0)</f>
        <v>90835</v>
      </c>
      <c r="D1075" s="46" t="n">
        <f aca="false">MIN(1,'Model Inputs &amp; Assumptions'!$U$30*EXP('Model Inputs &amp; Assumptions'!$V$30*Q1075-'Model Inputs &amp; Assumptions'!$V$30^2/2))</f>
        <v>0</v>
      </c>
      <c r="E1075" s="45" t="n">
        <f aca="false">ROUND(C1075*D1075,0)</f>
        <v>0</v>
      </c>
      <c r="F1075" s="47" t="n">
        <f aca="false">MIN(1,'Model Inputs &amp; Assumptions'!$W$30*EXP('Model Inputs &amp; Assumptions'!$X$30*R1075-'Model Inputs &amp; Assumptions'!$X$30^2/2))</f>
        <v>0.00922173540520657</v>
      </c>
      <c r="G1075" s="45" t="n">
        <f aca="false">ROUND(C1075*F1075,0)</f>
        <v>838</v>
      </c>
      <c r="H1075" s="48" t="n">
        <f aca="false">MAX(0,(C1075*'Model Inputs &amp; Assumptions'!$N$30+E1075*'Model Inputs &amp; Assumptions'!$O$30+G1075*'Model Inputs &amp; Assumptions'!$P$30)*EXP('Model Inputs &amp; Assumptions'!$Q$30*S1075-'Model Inputs &amp; Assumptions'!$Q$30^2/2))</f>
        <v>54.8737911170795</v>
      </c>
      <c r="I1075" s="49" t="n">
        <f aca="false">IF('Model Inputs &amp; Assumptions'!$H$30="Fixed",'Model Inputs &amp; Assumptions'!$I$30*'Model Inputs &amp; Assumptions'!$K$30,IF('Model Inputs &amp; Assumptions'!$H$30="CPM",'Model Inputs &amp; Assumptions'!$I$30*'Model Inputs &amp; Assumptions'!$K$30*C1075/1000,IF('Model Inputs &amp; Assumptions'!$H$30="CPC",'Model Inputs &amp; Assumptions'!$I$30*'Model Inputs &amp; Assumptions'!$K$30*G1075,0)))</f>
        <v>6900</v>
      </c>
      <c r="J1075" s="50" t="n">
        <f aca="false">H1075*INDEX('Model Inputs &amp; Assumptions'!$D$40:$D$42,MATCH('Model Inputs &amp; Assumptions'!$L$30,'Model Inputs &amp; Assumptions'!$A$40:$A$42,0))*INDEX('Model Inputs &amp; Assumptions'!$H$40:$H$42,MATCH('Model Inputs &amp; Assumptions'!$L$30,'Model Inputs &amp; Assumptions'!$A$40:$A$42,0))</f>
        <v>395091.296042972</v>
      </c>
      <c r="K1075" s="49" t="n">
        <f aca="false">H1075*INDEX('Model Inputs &amp; Assumptions'!$G$40:$G$42,MATCH('Model Inputs &amp; Assumptions'!$L$30,'Model Inputs &amp; Assumptions'!$A$40:$A$42,0))*INDEX('Model Inputs &amp; Assumptions'!$H$40:$H$42,MATCH('Model Inputs &amp; Assumptions'!$L$30,'Model Inputs &amp; Assumptions'!$A$40:$A$42,0))</f>
        <v>8711.76307774754</v>
      </c>
      <c r="L1075" s="51" t="n">
        <f aca="false">IFERROR(K1075/I1075,0)</f>
        <v>1.26257435909385</v>
      </c>
      <c r="M1075" s="49" t="n">
        <f aca="false">IFERROR(I1075/H1075,0)</f>
        <v>125.743088996313</v>
      </c>
      <c r="N1075" s="52" t="str">
        <f aca="false">'Model Inputs &amp; Assumptions'!$L$30</f>
        <v>PRD-USIQ</v>
      </c>
      <c r="P1075" s="53" t="n">
        <v>0.324238</v>
      </c>
      <c r="Q1075" s="53" t="n">
        <v>0.133985</v>
      </c>
      <c r="R1075" s="53" t="n">
        <v>1.022478</v>
      </c>
      <c r="S1075" s="53" t="n">
        <v>0.154543</v>
      </c>
    </row>
    <row r="1076" customFormat="false" ht="15" hidden="false" customHeight="false" outlineLevel="0" collapsed="false">
      <c r="A1076" s="43" t="n">
        <v>73</v>
      </c>
      <c r="B1076" s="44" t="str">
        <f aca="false">'Model Inputs &amp; Assumptions'!$B$30</f>
        <v>extraETF — Newsletter Takeover</v>
      </c>
      <c r="C1076" s="45" t="n">
        <f aca="false">ROUND(MAX(0,'Model Inputs &amp; Assumptions'!$S$30*EXP('Model Inputs &amp; Assumptions'!$T$30*P1076-'Model Inputs &amp; Assumptions'!$T$30^2/2)),0)</f>
        <v>84992</v>
      </c>
      <c r="D1076" s="46" t="n">
        <f aca="false">MIN(1,'Model Inputs &amp; Assumptions'!$U$30*EXP('Model Inputs &amp; Assumptions'!$V$30*Q1076-'Model Inputs &amp; Assumptions'!$V$30^2/2))</f>
        <v>0</v>
      </c>
      <c r="E1076" s="45" t="n">
        <f aca="false">ROUND(C1076*D1076,0)</f>
        <v>0</v>
      </c>
      <c r="F1076" s="47" t="n">
        <f aca="false">MIN(1,'Model Inputs &amp; Assumptions'!$W$30*EXP('Model Inputs &amp; Assumptions'!$X$30*R1076-'Model Inputs &amp; Assumptions'!$X$30^2/2))</f>
        <v>0.00806932383817009</v>
      </c>
      <c r="G1076" s="45" t="n">
        <f aca="false">ROUND(C1076*F1076,0)</f>
        <v>686</v>
      </c>
      <c r="H1076" s="48" t="n">
        <f aca="false">MAX(0,(C1076*'Model Inputs &amp; Assumptions'!$N$30+E1076*'Model Inputs &amp; Assumptions'!$O$30+G1076*'Model Inputs &amp; Assumptions'!$P$30)*EXP('Model Inputs &amp; Assumptions'!$Q$30*S1076-'Model Inputs &amp; Assumptions'!$Q$30^2/2))</f>
        <v>69.4673160043862</v>
      </c>
      <c r="I1076" s="49" t="n">
        <f aca="false">IF('Model Inputs &amp; Assumptions'!$H$30="Fixed",'Model Inputs &amp; Assumptions'!$I$30*'Model Inputs &amp; Assumptions'!$K$30,IF('Model Inputs &amp; Assumptions'!$H$30="CPM",'Model Inputs &amp; Assumptions'!$I$30*'Model Inputs &amp; Assumptions'!$K$30*C1076/1000,IF('Model Inputs &amp; Assumptions'!$H$30="CPC",'Model Inputs &amp; Assumptions'!$I$30*'Model Inputs &amp; Assumptions'!$K$30*G1076,0)))</f>
        <v>6900</v>
      </c>
      <c r="J1076" s="50" t="n">
        <f aca="false">H1076*INDEX('Model Inputs &amp; Assumptions'!$D$40:$D$42,MATCH('Model Inputs &amp; Assumptions'!$L$30,'Model Inputs &amp; Assumptions'!$A$40:$A$42,0))*INDEX('Model Inputs &amp; Assumptions'!$H$40:$H$42,MATCH('Model Inputs &amp; Assumptions'!$L$30,'Model Inputs &amp; Assumptions'!$A$40:$A$42,0))</f>
        <v>500164.675231581</v>
      </c>
      <c r="K1076" s="49" t="n">
        <f aca="false">H1076*INDEX('Model Inputs &amp; Assumptions'!$G$40:$G$42,MATCH('Model Inputs &amp; Assumptions'!$L$30,'Model Inputs &amp; Assumptions'!$A$40:$A$42,0))*INDEX('Model Inputs &amp; Assumptions'!$H$40:$H$42,MATCH('Model Inputs &amp; Assumptions'!$L$30,'Model Inputs &amp; Assumptions'!$A$40:$A$42,0))</f>
        <v>11028.6310888564</v>
      </c>
      <c r="L1076" s="51" t="n">
        <f aca="false">IFERROR(K1076/I1076,0)</f>
        <v>1.59835233171831</v>
      </c>
      <c r="M1076" s="49" t="n">
        <f aca="false">IFERROR(I1076/H1076,0)</f>
        <v>99.3272865121826</v>
      </c>
      <c r="N1076" s="52" t="str">
        <f aca="false">'Model Inputs &amp; Assumptions'!$L$30</f>
        <v>PRD-USIQ</v>
      </c>
      <c r="P1076" s="53" t="n">
        <v>-0.229825</v>
      </c>
      <c r="Q1076" s="53" t="n">
        <v>1.310311</v>
      </c>
      <c r="R1076" s="53" t="n">
        <v>0.132521</v>
      </c>
      <c r="S1076" s="53" t="n">
        <v>1.898387</v>
      </c>
    </row>
    <row r="1077" customFormat="false" ht="15" hidden="false" customHeight="false" outlineLevel="0" collapsed="false">
      <c r="A1077" s="43" t="n">
        <v>74</v>
      </c>
      <c r="B1077" s="44" t="str">
        <f aca="false">'Model Inputs &amp; Assumptions'!$B$30</f>
        <v>extraETF — Newsletter Takeover</v>
      </c>
      <c r="C1077" s="45" t="n">
        <f aca="false">ROUND(MAX(0,'Model Inputs &amp; Assumptions'!$S$30*EXP('Model Inputs &amp; Assumptions'!$T$30*P1077-'Model Inputs &amp; Assumptions'!$T$30^2/2)),0)</f>
        <v>85110</v>
      </c>
      <c r="D1077" s="46" t="n">
        <f aca="false">MIN(1,'Model Inputs &amp; Assumptions'!$U$30*EXP('Model Inputs &amp; Assumptions'!$V$30*Q1077-'Model Inputs &amp; Assumptions'!$V$30^2/2))</f>
        <v>0</v>
      </c>
      <c r="E1077" s="45" t="n">
        <f aca="false">ROUND(C1077*D1077,0)</f>
        <v>0</v>
      </c>
      <c r="F1077" s="47" t="n">
        <f aca="false">MIN(1,'Model Inputs &amp; Assumptions'!$W$30*EXP('Model Inputs &amp; Assumptions'!$X$30*R1077-'Model Inputs &amp; Assumptions'!$X$30^2/2))</f>
        <v>0.00893956957166216</v>
      </c>
      <c r="G1077" s="45" t="n">
        <f aca="false">ROUND(C1077*F1077,0)</f>
        <v>761</v>
      </c>
      <c r="H1077" s="48" t="n">
        <f aca="false">MAX(0,(C1077*'Model Inputs &amp; Assumptions'!$N$30+E1077*'Model Inputs &amp; Assumptions'!$O$30+G1077*'Model Inputs &amp; Assumptions'!$P$30)*EXP('Model Inputs &amp; Assumptions'!$Q$30*S1077-'Model Inputs &amp; Assumptions'!$Q$30^2/2))</f>
        <v>41.2951309678166</v>
      </c>
      <c r="I1077" s="49" t="n">
        <f aca="false">IF('Model Inputs &amp; Assumptions'!$H$30="Fixed",'Model Inputs &amp; Assumptions'!$I$30*'Model Inputs &amp; Assumptions'!$K$30,IF('Model Inputs &amp; Assumptions'!$H$30="CPM",'Model Inputs &amp; Assumptions'!$I$30*'Model Inputs &amp; Assumptions'!$K$30*C1077/1000,IF('Model Inputs &amp; Assumptions'!$H$30="CPC",'Model Inputs &amp; Assumptions'!$I$30*'Model Inputs &amp; Assumptions'!$K$30*G1077,0)))</f>
        <v>6900</v>
      </c>
      <c r="J1077" s="50" t="n">
        <f aca="false">H1077*INDEX('Model Inputs &amp; Assumptions'!$D$40:$D$42,MATCH('Model Inputs &amp; Assumptions'!$L$30,'Model Inputs &amp; Assumptions'!$A$40:$A$42,0))*INDEX('Model Inputs &amp; Assumptions'!$H$40:$H$42,MATCH('Model Inputs &amp; Assumptions'!$L$30,'Model Inputs &amp; Assumptions'!$A$40:$A$42,0))</f>
        <v>297324.94296828</v>
      </c>
      <c r="K1077" s="49" t="n">
        <f aca="false">H1077*INDEX('Model Inputs &amp; Assumptions'!$G$40:$G$42,MATCH('Model Inputs &amp; Assumptions'!$L$30,'Model Inputs &amp; Assumptions'!$A$40:$A$42,0))*INDEX('Model Inputs &amp; Assumptions'!$H$40:$H$42,MATCH('Model Inputs &amp; Assumptions'!$L$30,'Model Inputs &amp; Assumptions'!$A$40:$A$42,0))</f>
        <v>6556.01499245056</v>
      </c>
      <c r="L1077" s="51" t="n">
        <f aca="false">IFERROR(K1077/I1077,0)</f>
        <v>0.950147100355154</v>
      </c>
      <c r="M1077" s="49" t="n">
        <f aca="false">IFERROR(I1077/H1077,0)</f>
        <v>167.089916856724</v>
      </c>
      <c r="N1077" s="52" t="str">
        <f aca="false">'Model Inputs &amp; Assumptions'!$L$30</f>
        <v>PRD-USIQ</v>
      </c>
      <c r="P1077" s="53" t="n">
        <v>-0.218303</v>
      </c>
      <c r="Q1077" s="53" t="n">
        <v>1.087732</v>
      </c>
      <c r="R1077" s="53" t="n">
        <v>0.815306</v>
      </c>
      <c r="S1077" s="53" t="n">
        <v>-0.597083</v>
      </c>
    </row>
    <row r="1078" customFormat="false" ht="15" hidden="false" customHeight="false" outlineLevel="0" collapsed="false">
      <c r="A1078" s="43" t="n">
        <v>75</v>
      </c>
      <c r="B1078" s="44" t="str">
        <f aca="false">'Model Inputs &amp; Assumptions'!$B$30</f>
        <v>extraETF — Newsletter Takeover</v>
      </c>
      <c r="C1078" s="45" t="n">
        <f aca="false">ROUND(MAX(0,'Model Inputs &amp; Assumptions'!$S$30*EXP('Model Inputs &amp; Assumptions'!$T$30*P1078-'Model Inputs &amp; Assumptions'!$T$30^2/2)),0)</f>
        <v>101003</v>
      </c>
      <c r="D1078" s="46" t="n">
        <f aca="false">MIN(1,'Model Inputs &amp; Assumptions'!$U$30*EXP('Model Inputs &amp; Assumptions'!$V$30*Q1078-'Model Inputs &amp; Assumptions'!$V$30^2/2))</f>
        <v>0</v>
      </c>
      <c r="E1078" s="45" t="n">
        <f aca="false">ROUND(C1078*D1078,0)</f>
        <v>0</v>
      </c>
      <c r="F1078" s="47" t="n">
        <f aca="false">MIN(1,'Model Inputs &amp; Assumptions'!$W$30*EXP('Model Inputs &amp; Assumptions'!$X$30*R1078-'Model Inputs &amp; Assumptions'!$X$30^2/2))</f>
        <v>0.00862356602979311</v>
      </c>
      <c r="G1078" s="45" t="n">
        <f aca="false">ROUND(C1078*F1078,0)</f>
        <v>871</v>
      </c>
      <c r="H1078" s="48" t="n">
        <f aca="false">MAX(0,(C1078*'Model Inputs &amp; Assumptions'!$N$30+E1078*'Model Inputs &amp; Assumptions'!$O$30+G1078*'Model Inputs &amp; Assumptions'!$P$30)*EXP('Model Inputs &amp; Assumptions'!$Q$30*S1078-'Model Inputs &amp; Assumptions'!$Q$30^2/2))</f>
        <v>60.2446467478972</v>
      </c>
      <c r="I1078" s="49" t="n">
        <f aca="false">IF('Model Inputs &amp; Assumptions'!$H$30="Fixed",'Model Inputs &amp; Assumptions'!$I$30*'Model Inputs &amp; Assumptions'!$K$30,IF('Model Inputs &amp; Assumptions'!$H$30="CPM",'Model Inputs &amp; Assumptions'!$I$30*'Model Inputs &amp; Assumptions'!$K$30*C1078/1000,IF('Model Inputs &amp; Assumptions'!$H$30="CPC",'Model Inputs &amp; Assumptions'!$I$30*'Model Inputs &amp; Assumptions'!$K$30*G1078,0)))</f>
        <v>6900</v>
      </c>
      <c r="J1078" s="50" t="n">
        <f aca="false">H1078*INDEX('Model Inputs &amp; Assumptions'!$D$40:$D$42,MATCH('Model Inputs &amp; Assumptions'!$L$30,'Model Inputs &amp; Assumptions'!$A$40:$A$42,0))*INDEX('Model Inputs &amp; Assumptions'!$H$40:$H$42,MATCH('Model Inputs &amp; Assumptions'!$L$30,'Model Inputs &amp; Assumptions'!$A$40:$A$42,0))</f>
        <v>433761.45658486</v>
      </c>
      <c r="K1078" s="49" t="n">
        <f aca="false">H1078*INDEX('Model Inputs &amp; Assumptions'!$G$40:$G$42,MATCH('Model Inputs &amp; Assumptions'!$L$30,'Model Inputs &amp; Assumptions'!$A$40:$A$42,0))*INDEX('Model Inputs &amp; Assumptions'!$H$40:$H$42,MATCH('Model Inputs &amp; Assumptions'!$L$30,'Model Inputs &amp; Assumptions'!$A$40:$A$42,0))</f>
        <v>9564.44011769616</v>
      </c>
      <c r="L1078" s="51" t="n">
        <f aca="false">IFERROR(K1078/I1078,0)</f>
        <v>1.3861507416951</v>
      </c>
      <c r="M1078" s="49" t="n">
        <f aca="false">IFERROR(I1078/H1078,0)</f>
        <v>114.532997908911</v>
      </c>
      <c r="N1078" s="52" t="str">
        <f aca="false">'Model Inputs &amp; Assumptions'!$L$30</f>
        <v>PRD-USIQ</v>
      </c>
      <c r="P1078" s="53" t="n">
        <v>1.208404</v>
      </c>
      <c r="Q1078" s="53" t="n">
        <v>-1.167906</v>
      </c>
      <c r="R1078" s="53" t="n">
        <v>0.575381</v>
      </c>
      <c r="S1078" s="53" t="n">
        <v>0.373559</v>
      </c>
    </row>
    <row r="1079" customFormat="false" ht="15" hidden="false" customHeight="false" outlineLevel="0" collapsed="false">
      <c r="A1079" s="43" t="n">
        <v>76</v>
      </c>
      <c r="B1079" s="44" t="str">
        <f aca="false">'Model Inputs &amp; Assumptions'!$B$30</f>
        <v>extraETF — Newsletter Takeover</v>
      </c>
      <c r="C1079" s="45" t="n">
        <f aca="false">ROUND(MAX(0,'Model Inputs &amp; Assumptions'!$S$30*EXP('Model Inputs &amp; Assumptions'!$T$30*P1079-'Model Inputs &amp; Assumptions'!$T$30^2/2)),0)</f>
        <v>79339</v>
      </c>
      <c r="D1079" s="46" t="n">
        <f aca="false">MIN(1,'Model Inputs &amp; Assumptions'!$U$30*EXP('Model Inputs &amp; Assumptions'!$V$30*Q1079-'Model Inputs &amp; Assumptions'!$V$30^2/2))</f>
        <v>0</v>
      </c>
      <c r="E1079" s="45" t="n">
        <f aca="false">ROUND(C1079*D1079,0)</f>
        <v>0</v>
      </c>
      <c r="F1079" s="47" t="n">
        <f aca="false">MIN(1,'Model Inputs &amp; Assumptions'!$W$30*EXP('Model Inputs &amp; Assumptions'!$X$30*R1079-'Model Inputs &amp; Assumptions'!$X$30^2/2))</f>
        <v>0.00717970999574634</v>
      </c>
      <c r="G1079" s="45" t="n">
        <f aca="false">ROUND(C1079*F1079,0)</f>
        <v>570</v>
      </c>
      <c r="H1079" s="48" t="n">
        <f aca="false">MAX(0,(C1079*'Model Inputs &amp; Assumptions'!$N$30+E1079*'Model Inputs &amp; Assumptions'!$O$30+G1079*'Model Inputs &amp; Assumptions'!$P$30)*EXP('Model Inputs &amp; Assumptions'!$Q$30*S1079-'Model Inputs &amp; Assumptions'!$Q$30^2/2))</f>
        <v>27.3307953638251</v>
      </c>
      <c r="I1079" s="49" t="n">
        <f aca="false">IF('Model Inputs &amp; Assumptions'!$H$30="Fixed",'Model Inputs &amp; Assumptions'!$I$30*'Model Inputs &amp; Assumptions'!$K$30,IF('Model Inputs &amp; Assumptions'!$H$30="CPM",'Model Inputs &amp; Assumptions'!$I$30*'Model Inputs &amp; Assumptions'!$K$30*C1079/1000,IF('Model Inputs &amp; Assumptions'!$H$30="CPC",'Model Inputs &amp; Assumptions'!$I$30*'Model Inputs &amp; Assumptions'!$K$30*G1079,0)))</f>
        <v>6900</v>
      </c>
      <c r="J1079" s="50" t="n">
        <f aca="false">H1079*INDEX('Model Inputs &amp; Assumptions'!$D$40:$D$42,MATCH('Model Inputs &amp; Assumptions'!$L$30,'Model Inputs &amp; Assumptions'!$A$40:$A$42,0))*INDEX('Model Inputs &amp; Assumptions'!$H$40:$H$42,MATCH('Model Inputs &amp; Assumptions'!$L$30,'Model Inputs &amp; Assumptions'!$A$40:$A$42,0))</f>
        <v>196781.726619541</v>
      </c>
      <c r="K1079" s="49" t="n">
        <f aca="false">H1079*INDEX('Model Inputs &amp; Assumptions'!$G$40:$G$42,MATCH('Model Inputs &amp; Assumptions'!$L$30,'Model Inputs &amp; Assumptions'!$A$40:$A$42,0))*INDEX('Model Inputs &amp; Assumptions'!$H$40:$H$42,MATCH('Model Inputs &amp; Assumptions'!$L$30,'Model Inputs &amp; Assumptions'!$A$40:$A$42,0))</f>
        <v>4339.03707196088</v>
      </c>
      <c r="L1079" s="51" t="n">
        <f aca="false">IFERROR(K1079/I1079,0)</f>
        <v>0.628845952458098</v>
      </c>
      <c r="M1079" s="49" t="n">
        <f aca="false">IFERROR(I1079/H1079,0)</f>
        <v>252.462466172236</v>
      </c>
      <c r="N1079" s="52" t="str">
        <f aca="false">'Model Inputs &amp; Assumptions'!$L$30</f>
        <v>PRD-USIQ</v>
      </c>
      <c r="P1079" s="53" t="n">
        <v>-0.803425</v>
      </c>
      <c r="Q1079" s="53" t="n">
        <v>-0.827864</v>
      </c>
      <c r="R1079" s="53" t="n">
        <v>-0.646217</v>
      </c>
      <c r="S1079" s="53" t="n">
        <v>-1.092017</v>
      </c>
    </row>
    <row r="1080" customFormat="false" ht="15" hidden="false" customHeight="false" outlineLevel="0" collapsed="false">
      <c r="A1080" s="43" t="n">
        <v>77</v>
      </c>
      <c r="B1080" s="44" t="str">
        <f aca="false">'Model Inputs &amp; Assumptions'!$B$30</f>
        <v>extraETF — Newsletter Takeover</v>
      </c>
      <c r="C1080" s="45" t="n">
        <f aca="false">ROUND(MAX(0,'Model Inputs &amp; Assumptions'!$S$30*EXP('Model Inputs &amp; Assumptions'!$T$30*P1080-'Model Inputs &amp; Assumptions'!$T$30^2/2)),0)</f>
        <v>79375</v>
      </c>
      <c r="D1080" s="46" t="n">
        <f aca="false">MIN(1,'Model Inputs &amp; Assumptions'!$U$30*EXP('Model Inputs &amp; Assumptions'!$V$30*Q1080-'Model Inputs &amp; Assumptions'!$V$30^2/2))</f>
        <v>0</v>
      </c>
      <c r="E1080" s="45" t="n">
        <f aca="false">ROUND(C1080*D1080,0)</f>
        <v>0</v>
      </c>
      <c r="F1080" s="47" t="n">
        <f aca="false">MIN(1,'Model Inputs &amp; Assumptions'!$W$30*EXP('Model Inputs &amp; Assumptions'!$X$30*R1080-'Model Inputs &amp; Assumptions'!$X$30^2/2))</f>
        <v>0.00777870515391288</v>
      </c>
      <c r="G1080" s="45" t="n">
        <f aca="false">ROUND(C1080*F1080,0)</f>
        <v>617</v>
      </c>
      <c r="H1080" s="48" t="n">
        <f aca="false">MAX(0,(C1080*'Model Inputs &amp; Assumptions'!$N$30+E1080*'Model Inputs &amp; Assumptions'!$O$30+G1080*'Model Inputs &amp; Assumptions'!$P$30)*EXP('Model Inputs &amp; Assumptions'!$Q$30*S1080-'Model Inputs &amp; Assumptions'!$Q$30^2/2))</f>
        <v>48.0921886030656</v>
      </c>
      <c r="I1080" s="49" t="n">
        <f aca="false">IF('Model Inputs &amp; Assumptions'!$H$30="Fixed",'Model Inputs &amp; Assumptions'!$I$30*'Model Inputs &amp; Assumptions'!$K$30,IF('Model Inputs &amp; Assumptions'!$H$30="CPM",'Model Inputs &amp; Assumptions'!$I$30*'Model Inputs &amp; Assumptions'!$K$30*C1080/1000,IF('Model Inputs &amp; Assumptions'!$H$30="CPC",'Model Inputs &amp; Assumptions'!$I$30*'Model Inputs &amp; Assumptions'!$K$30*G1080,0)))</f>
        <v>6900</v>
      </c>
      <c r="J1080" s="50" t="n">
        <f aca="false">H1080*INDEX('Model Inputs &amp; Assumptions'!$D$40:$D$42,MATCH('Model Inputs &amp; Assumptions'!$L$30,'Model Inputs &amp; Assumptions'!$A$40:$A$42,0))*INDEX('Model Inputs &amp; Assumptions'!$H$40:$H$42,MATCH('Model Inputs &amp; Assumptions'!$L$30,'Model Inputs &amp; Assumptions'!$A$40:$A$42,0))</f>
        <v>346263.757942072</v>
      </c>
      <c r="K1080" s="49" t="n">
        <f aca="false">H1080*INDEX('Model Inputs &amp; Assumptions'!$G$40:$G$42,MATCH('Model Inputs &amp; Assumptions'!$L$30,'Model Inputs &amp; Assumptions'!$A$40:$A$42,0))*INDEX('Model Inputs &amp; Assumptions'!$H$40:$H$42,MATCH('Model Inputs &amp; Assumptions'!$L$30,'Model Inputs &amp; Assumptions'!$A$40:$A$42,0))</f>
        <v>7635.1158626227</v>
      </c>
      <c r="L1080" s="51" t="n">
        <f aca="false">IFERROR(K1080/I1080,0)</f>
        <v>1.10653853081488</v>
      </c>
      <c r="M1080" s="49" t="n">
        <f aca="false">IFERROR(I1080/H1080,0)</f>
        <v>143.474443572322</v>
      </c>
      <c r="N1080" s="52" t="str">
        <f aca="false">'Model Inputs &amp; Assumptions'!$L$30</f>
        <v>PRD-USIQ</v>
      </c>
      <c r="P1080" s="53" t="n">
        <v>-0.79958</v>
      </c>
      <c r="Q1080" s="53" t="n">
        <v>1.272464</v>
      </c>
      <c r="R1080" s="53" t="n">
        <v>-0.112011</v>
      </c>
      <c r="S1080" s="53" t="n">
        <v>0.851475</v>
      </c>
    </row>
    <row r="1081" customFormat="false" ht="15" hidden="false" customHeight="false" outlineLevel="0" collapsed="false">
      <c r="A1081" s="43" t="n">
        <v>78</v>
      </c>
      <c r="B1081" s="44" t="str">
        <f aca="false">'Model Inputs &amp; Assumptions'!$B$30</f>
        <v>extraETF — Newsletter Takeover</v>
      </c>
      <c r="C1081" s="45" t="n">
        <f aca="false">ROUND(MAX(0,'Model Inputs &amp; Assumptions'!$S$30*EXP('Model Inputs &amp; Assumptions'!$T$30*P1081-'Model Inputs &amp; Assumptions'!$T$30^2/2)),0)</f>
        <v>86951</v>
      </c>
      <c r="D1081" s="46" t="n">
        <f aca="false">MIN(1,'Model Inputs &amp; Assumptions'!$U$30*EXP('Model Inputs &amp; Assumptions'!$V$30*Q1081-'Model Inputs &amp; Assumptions'!$V$30^2/2))</f>
        <v>0</v>
      </c>
      <c r="E1081" s="45" t="n">
        <f aca="false">ROUND(C1081*D1081,0)</f>
        <v>0</v>
      </c>
      <c r="F1081" s="47" t="n">
        <f aca="false">MIN(1,'Model Inputs &amp; Assumptions'!$W$30*EXP('Model Inputs &amp; Assumptions'!$X$30*R1081-'Model Inputs &amp; Assumptions'!$X$30^2/2))</f>
        <v>0.00770480986535026</v>
      </c>
      <c r="G1081" s="45" t="n">
        <f aca="false">ROUND(C1081*F1081,0)</f>
        <v>670</v>
      </c>
      <c r="H1081" s="48" t="n">
        <f aca="false">MAX(0,(C1081*'Model Inputs &amp; Assumptions'!$N$30+E1081*'Model Inputs &amp; Assumptions'!$O$30+G1081*'Model Inputs &amp; Assumptions'!$P$30)*EXP('Model Inputs &amp; Assumptions'!$Q$30*S1081-'Model Inputs &amp; Assumptions'!$Q$30^2/2))</f>
        <v>35.9944839569631</v>
      </c>
      <c r="I1081" s="49" t="n">
        <f aca="false">IF('Model Inputs &amp; Assumptions'!$H$30="Fixed",'Model Inputs &amp; Assumptions'!$I$30*'Model Inputs &amp; Assumptions'!$K$30,IF('Model Inputs &amp; Assumptions'!$H$30="CPM",'Model Inputs &amp; Assumptions'!$I$30*'Model Inputs &amp; Assumptions'!$K$30*C1081/1000,IF('Model Inputs &amp; Assumptions'!$H$30="CPC",'Model Inputs &amp; Assumptions'!$I$30*'Model Inputs &amp; Assumptions'!$K$30*G1081,0)))</f>
        <v>6900</v>
      </c>
      <c r="J1081" s="50" t="n">
        <f aca="false">H1081*INDEX('Model Inputs &amp; Assumptions'!$D$40:$D$42,MATCH('Model Inputs &amp; Assumptions'!$L$30,'Model Inputs &amp; Assumptions'!$A$40:$A$42,0))*INDEX('Model Inputs &amp; Assumptions'!$H$40:$H$42,MATCH('Model Inputs &amp; Assumptions'!$L$30,'Model Inputs &amp; Assumptions'!$A$40:$A$42,0))</f>
        <v>259160.284490134</v>
      </c>
      <c r="K1081" s="49" t="n">
        <f aca="false">H1081*INDEX('Model Inputs &amp; Assumptions'!$G$40:$G$42,MATCH('Model Inputs &amp; Assumptions'!$L$30,'Model Inputs &amp; Assumptions'!$A$40:$A$42,0))*INDEX('Model Inputs &amp; Assumptions'!$H$40:$H$42,MATCH('Model Inputs &amp; Assumptions'!$L$30,'Model Inputs &amp; Assumptions'!$A$40:$A$42,0))</f>
        <v>5714.48427300747</v>
      </c>
      <c r="L1081" s="51" t="n">
        <f aca="false">IFERROR(K1081/I1081,0)</f>
        <v>0.828186126522821</v>
      </c>
      <c r="M1081" s="49" t="n">
        <f aca="false">IFERROR(I1081/H1081,0)</f>
        <v>191.696038988918</v>
      </c>
      <c r="N1081" s="52" t="str">
        <f aca="false">'Model Inputs &amp; Assumptions'!$L$30</f>
        <v>PRD-USIQ</v>
      </c>
      <c r="P1081" s="53" t="n">
        <v>-0.039981</v>
      </c>
      <c r="Q1081" s="53" t="n">
        <v>0.495905</v>
      </c>
      <c r="R1081" s="53" t="n">
        <v>-0.175645</v>
      </c>
      <c r="S1081" s="53" t="n">
        <v>-0.637176</v>
      </c>
    </row>
    <row r="1082" customFormat="false" ht="15" hidden="false" customHeight="false" outlineLevel="0" collapsed="false">
      <c r="A1082" s="43" t="n">
        <v>79</v>
      </c>
      <c r="B1082" s="44" t="str">
        <f aca="false">'Model Inputs &amp; Assumptions'!$B$30</f>
        <v>extraETF — Newsletter Takeover</v>
      </c>
      <c r="C1082" s="45" t="n">
        <f aca="false">ROUND(MAX(0,'Model Inputs &amp; Assumptions'!$S$30*EXP('Model Inputs &amp; Assumptions'!$T$30*P1082-'Model Inputs &amp; Assumptions'!$T$30^2/2)),0)</f>
        <v>98112</v>
      </c>
      <c r="D1082" s="46" t="n">
        <f aca="false">MIN(1,'Model Inputs &amp; Assumptions'!$U$30*EXP('Model Inputs &amp; Assumptions'!$V$30*Q1082-'Model Inputs &amp; Assumptions'!$V$30^2/2))</f>
        <v>0</v>
      </c>
      <c r="E1082" s="45" t="n">
        <f aca="false">ROUND(C1082*D1082,0)</f>
        <v>0</v>
      </c>
      <c r="F1082" s="47" t="n">
        <f aca="false">MIN(1,'Model Inputs &amp; Assumptions'!$W$30*EXP('Model Inputs &amp; Assumptions'!$X$30*R1082-'Model Inputs &amp; Assumptions'!$X$30^2/2))</f>
        <v>0.00727803888274512</v>
      </c>
      <c r="G1082" s="45" t="n">
        <f aca="false">ROUND(C1082*F1082,0)</f>
        <v>714</v>
      </c>
      <c r="H1082" s="48" t="n">
        <f aca="false">MAX(0,(C1082*'Model Inputs &amp; Assumptions'!$N$30+E1082*'Model Inputs &amp; Assumptions'!$O$30+G1082*'Model Inputs &amp; Assumptions'!$P$30)*EXP('Model Inputs &amp; Assumptions'!$Q$30*S1082-'Model Inputs &amp; Assumptions'!$Q$30^2/2))</f>
        <v>41.5130548826244</v>
      </c>
      <c r="I1082" s="49" t="n">
        <f aca="false">IF('Model Inputs &amp; Assumptions'!$H$30="Fixed",'Model Inputs &amp; Assumptions'!$I$30*'Model Inputs &amp; Assumptions'!$K$30,IF('Model Inputs &amp; Assumptions'!$H$30="CPM",'Model Inputs &amp; Assumptions'!$I$30*'Model Inputs &amp; Assumptions'!$K$30*C1082/1000,IF('Model Inputs &amp; Assumptions'!$H$30="CPC",'Model Inputs &amp; Assumptions'!$I$30*'Model Inputs &amp; Assumptions'!$K$30*G1082,0)))</f>
        <v>6900</v>
      </c>
      <c r="J1082" s="50" t="n">
        <f aca="false">H1082*INDEX('Model Inputs &amp; Assumptions'!$D$40:$D$42,MATCH('Model Inputs &amp; Assumptions'!$L$30,'Model Inputs &amp; Assumptions'!$A$40:$A$42,0))*INDEX('Model Inputs &amp; Assumptions'!$H$40:$H$42,MATCH('Model Inputs &amp; Assumptions'!$L$30,'Model Inputs &amp; Assumptions'!$A$40:$A$42,0))</f>
        <v>298893.995154896</v>
      </c>
      <c r="K1082" s="49" t="n">
        <f aca="false">H1082*INDEX('Model Inputs &amp; Assumptions'!$G$40:$G$42,MATCH('Model Inputs &amp; Assumptions'!$L$30,'Model Inputs &amp; Assumptions'!$A$40:$A$42,0))*INDEX('Model Inputs &amp; Assumptions'!$H$40:$H$42,MATCH('Model Inputs &amp; Assumptions'!$L$30,'Model Inputs &amp; Assumptions'!$A$40:$A$42,0))</f>
        <v>6590.61259316545</v>
      </c>
      <c r="L1082" s="51" t="n">
        <f aca="false">IFERROR(K1082/I1082,0)</f>
        <v>0.955161245386297</v>
      </c>
      <c r="M1082" s="49" t="n">
        <f aca="false">IFERROR(I1082/H1082,0)</f>
        <v>166.212773777052</v>
      </c>
      <c r="N1082" s="52" t="str">
        <f aca="false">'Model Inputs &amp; Assumptions'!$L$30</f>
        <v>PRD-USIQ</v>
      </c>
      <c r="P1082" s="53" t="n">
        <v>0.966443</v>
      </c>
      <c r="Q1082" s="53" t="n">
        <v>-0.909777</v>
      </c>
      <c r="R1082" s="53" t="n">
        <v>-0.555534</v>
      </c>
      <c r="S1082" s="53" t="n">
        <v>-0.321028</v>
      </c>
    </row>
    <row r="1083" customFormat="false" ht="15" hidden="false" customHeight="false" outlineLevel="0" collapsed="false">
      <c r="A1083" s="43" t="n">
        <v>80</v>
      </c>
      <c r="B1083" s="44" t="str">
        <f aca="false">'Model Inputs &amp; Assumptions'!$B$30</f>
        <v>extraETF — Newsletter Takeover</v>
      </c>
      <c r="C1083" s="45" t="n">
        <f aca="false">ROUND(MAX(0,'Model Inputs &amp; Assumptions'!$S$30*EXP('Model Inputs &amp; Assumptions'!$T$30*P1083-'Model Inputs &amp; Assumptions'!$T$30^2/2)),0)</f>
        <v>85968</v>
      </c>
      <c r="D1083" s="46" t="n">
        <f aca="false">MIN(1,'Model Inputs &amp; Assumptions'!$U$30*EXP('Model Inputs &amp; Assumptions'!$V$30*Q1083-'Model Inputs &amp; Assumptions'!$V$30^2/2))</f>
        <v>0</v>
      </c>
      <c r="E1083" s="45" t="n">
        <f aca="false">ROUND(C1083*D1083,0)</f>
        <v>0</v>
      </c>
      <c r="F1083" s="47" t="n">
        <f aca="false">MIN(1,'Model Inputs &amp; Assumptions'!$W$30*EXP('Model Inputs &amp; Assumptions'!$X$30*R1083-'Model Inputs &amp; Assumptions'!$X$30^2/2))</f>
        <v>0.00804825052463828</v>
      </c>
      <c r="G1083" s="45" t="n">
        <f aca="false">ROUND(C1083*F1083,0)</f>
        <v>692</v>
      </c>
      <c r="H1083" s="48" t="n">
        <f aca="false">MAX(0,(C1083*'Model Inputs &amp; Assumptions'!$N$30+E1083*'Model Inputs &amp; Assumptions'!$O$30+G1083*'Model Inputs &amp; Assumptions'!$P$30)*EXP('Model Inputs &amp; Assumptions'!$Q$30*S1083-'Model Inputs &amp; Assumptions'!$Q$30^2/2))</f>
        <v>53.277797999037</v>
      </c>
      <c r="I1083" s="49" t="n">
        <f aca="false">IF('Model Inputs &amp; Assumptions'!$H$30="Fixed",'Model Inputs &amp; Assumptions'!$I$30*'Model Inputs &amp; Assumptions'!$K$30,IF('Model Inputs &amp; Assumptions'!$H$30="CPM",'Model Inputs &amp; Assumptions'!$I$30*'Model Inputs &amp; Assumptions'!$K$30*C1083/1000,IF('Model Inputs &amp; Assumptions'!$H$30="CPC",'Model Inputs &amp; Assumptions'!$I$30*'Model Inputs &amp; Assumptions'!$K$30*G1083,0)))</f>
        <v>6900</v>
      </c>
      <c r="J1083" s="50" t="n">
        <f aca="false">H1083*INDEX('Model Inputs &amp; Assumptions'!$D$40:$D$42,MATCH('Model Inputs &amp; Assumptions'!$L$30,'Model Inputs &amp; Assumptions'!$A$40:$A$42,0))*INDEX('Model Inputs &amp; Assumptions'!$H$40:$H$42,MATCH('Model Inputs &amp; Assumptions'!$L$30,'Model Inputs &amp; Assumptions'!$A$40:$A$42,0))</f>
        <v>383600.145593066</v>
      </c>
      <c r="K1083" s="49" t="n">
        <f aca="false">H1083*INDEX('Model Inputs &amp; Assumptions'!$G$40:$G$42,MATCH('Model Inputs &amp; Assumptions'!$L$30,'Model Inputs &amp; Assumptions'!$A$40:$A$42,0))*INDEX('Model Inputs &amp; Assumptions'!$H$40:$H$42,MATCH('Model Inputs &amp; Assumptions'!$L$30,'Model Inputs &amp; Assumptions'!$A$40:$A$42,0))</f>
        <v>8458.38321032711</v>
      </c>
      <c r="L1083" s="51" t="n">
        <f aca="false">IFERROR(K1083/I1083,0)</f>
        <v>1.22585263917784</v>
      </c>
      <c r="M1083" s="49" t="n">
        <f aca="false">IFERROR(I1083/H1083,0)</f>
        <v>129.509856997557</v>
      </c>
      <c r="N1083" s="52" t="str">
        <f aca="false">'Model Inputs &amp; Assumptions'!$L$30</f>
        <v>PRD-USIQ</v>
      </c>
      <c r="P1083" s="53" t="n">
        <v>-0.134658</v>
      </c>
      <c r="Q1083" s="53" t="n">
        <v>-0.03892</v>
      </c>
      <c r="R1083" s="53" t="n">
        <v>0.115088</v>
      </c>
      <c r="S1083" s="53" t="n">
        <v>0.802207</v>
      </c>
    </row>
    <row r="1084" customFormat="false" ht="15" hidden="false" customHeight="false" outlineLevel="0" collapsed="false">
      <c r="A1084" s="43" t="n">
        <v>81</v>
      </c>
      <c r="B1084" s="44" t="str">
        <f aca="false">'Model Inputs &amp; Assumptions'!$B$30</f>
        <v>extraETF — Newsletter Takeover</v>
      </c>
      <c r="C1084" s="45" t="n">
        <f aca="false">ROUND(MAX(0,'Model Inputs &amp; Assumptions'!$S$30*EXP('Model Inputs &amp; Assumptions'!$T$30*P1084-'Model Inputs &amp; Assumptions'!$T$30^2/2)),0)</f>
        <v>78667</v>
      </c>
      <c r="D1084" s="46" t="n">
        <f aca="false">MIN(1,'Model Inputs &amp; Assumptions'!$U$30*EXP('Model Inputs &amp; Assumptions'!$V$30*Q1084-'Model Inputs &amp; Assumptions'!$V$30^2/2))</f>
        <v>0</v>
      </c>
      <c r="E1084" s="45" t="n">
        <f aca="false">ROUND(C1084*D1084,0)</f>
        <v>0</v>
      </c>
      <c r="F1084" s="47" t="n">
        <f aca="false">MIN(1,'Model Inputs &amp; Assumptions'!$W$30*EXP('Model Inputs &amp; Assumptions'!$X$30*R1084-'Model Inputs &amp; Assumptions'!$X$30^2/2))</f>
        <v>0.00911156778740548</v>
      </c>
      <c r="G1084" s="45" t="n">
        <f aca="false">ROUND(C1084*F1084,0)</f>
        <v>717</v>
      </c>
      <c r="H1084" s="48" t="n">
        <f aca="false">MAX(0,(C1084*'Model Inputs &amp; Assumptions'!$N$30+E1084*'Model Inputs &amp; Assumptions'!$O$30+G1084*'Model Inputs &amp; Assumptions'!$P$30)*EXP('Model Inputs &amp; Assumptions'!$Q$30*S1084-'Model Inputs &amp; Assumptions'!$Q$30^2/2))</f>
        <v>45.4980665438887</v>
      </c>
      <c r="I1084" s="49" t="n">
        <f aca="false">IF('Model Inputs &amp; Assumptions'!$H$30="Fixed",'Model Inputs &amp; Assumptions'!$I$30*'Model Inputs &amp; Assumptions'!$K$30,IF('Model Inputs &amp; Assumptions'!$H$30="CPM",'Model Inputs &amp; Assumptions'!$I$30*'Model Inputs &amp; Assumptions'!$K$30*C1084/1000,IF('Model Inputs &amp; Assumptions'!$H$30="CPC",'Model Inputs &amp; Assumptions'!$I$30*'Model Inputs &amp; Assumptions'!$K$30*G1084,0)))</f>
        <v>6900</v>
      </c>
      <c r="J1084" s="50" t="n">
        <f aca="false">H1084*INDEX('Model Inputs &amp; Assumptions'!$D$40:$D$42,MATCH('Model Inputs &amp; Assumptions'!$L$30,'Model Inputs &amp; Assumptions'!$A$40:$A$42,0))*INDEX('Model Inputs &amp; Assumptions'!$H$40:$H$42,MATCH('Model Inputs &amp; Assumptions'!$L$30,'Model Inputs &amp; Assumptions'!$A$40:$A$42,0))</f>
        <v>327586.079115999</v>
      </c>
      <c r="K1084" s="49" t="n">
        <f aca="false">H1084*INDEX('Model Inputs &amp; Assumptions'!$G$40:$G$42,MATCH('Model Inputs &amp; Assumptions'!$L$30,'Model Inputs &amp; Assumptions'!$A$40:$A$42,0))*INDEX('Model Inputs &amp; Assumptions'!$H$40:$H$42,MATCH('Model Inputs &amp; Assumptions'!$L$30,'Model Inputs &amp; Assumptions'!$A$40:$A$42,0))</f>
        <v>7223.27304450777</v>
      </c>
      <c r="L1084" s="51" t="n">
        <f aca="false">IFERROR(K1084/I1084,0)</f>
        <v>1.04685116587069</v>
      </c>
      <c r="M1084" s="49" t="n">
        <f aca="false">IFERROR(I1084/H1084,0)</f>
        <v>151.654795997629</v>
      </c>
      <c r="N1084" s="52" t="str">
        <f aca="false">'Model Inputs &amp; Assumptions'!$L$30</f>
        <v>PRD-USIQ</v>
      </c>
      <c r="P1084" s="53" t="n">
        <v>-0.874313</v>
      </c>
      <c r="Q1084" s="53" t="n">
        <v>0.189104</v>
      </c>
      <c r="R1084" s="53" t="n">
        <v>0.942355</v>
      </c>
      <c r="S1084" s="53" t="n">
        <v>0.028848</v>
      </c>
    </row>
    <row r="1085" customFormat="false" ht="15" hidden="false" customHeight="false" outlineLevel="0" collapsed="false">
      <c r="A1085" s="43" t="n">
        <v>82</v>
      </c>
      <c r="B1085" s="44" t="str">
        <f aca="false">'Model Inputs &amp; Assumptions'!$B$30</f>
        <v>extraETF — Newsletter Takeover</v>
      </c>
      <c r="C1085" s="45" t="n">
        <f aca="false">ROUND(MAX(0,'Model Inputs &amp; Assumptions'!$S$30*EXP('Model Inputs &amp; Assumptions'!$T$30*P1085-'Model Inputs &amp; Assumptions'!$T$30^2/2)),0)</f>
        <v>79556</v>
      </c>
      <c r="D1085" s="46" t="n">
        <f aca="false">MIN(1,'Model Inputs &amp; Assumptions'!$U$30*EXP('Model Inputs &amp; Assumptions'!$V$30*Q1085-'Model Inputs &amp; Assumptions'!$V$30^2/2))</f>
        <v>0</v>
      </c>
      <c r="E1085" s="45" t="n">
        <f aca="false">ROUND(C1085*D1085,0)</f>
        <v>0</v>
      </c>
      <c r="F1085" s="47" t="n">
        <f aca="false">MIN(1,'Model Inputs &amp; Assumptions'!$W$30*EXP('Model Inputs &amp; Assumptions'!$X$30*R1085-'Model Inputs &amp; Assumptions'!$X$30^2/2))</f>
        <v>0.00976504860395537</v>
      </c>
      <c r="G1085" s="45" t="n">
        <f aca="false">ROUND(C1085*F1085,0)</f>
        <v>777</v>
      </c>
      <c r="H1085" s="48" t="n">
        <f aca="false">MAX(0,(C1085*'Model Inputs &amp; Assumptions'!$N$30+E1085*'Model Inputs &amp; Assumptions'!$O$30+G1085*'Model Inputs &amp; Assumptions'!$P$30)*EXP('Model Inputs &amp; Assumptions'!$Q$30*S1085-'Model Inputs &amp; Assumptions'!$Q$30^2/2))</f>
        <v>47.6673101562025</v>
      </c>
      <c r="I1085" s="49" t="n">
        <f aca="false">IF('Model Inputs &amp; Assumptions'!$H$30="Fixed",'Model Inputs &amp; Assumptions'!$I$30*'Model Inputs &amp; Assumptions'!$K$30,IF('Model Inputs &amp; Assumptions'!$H$30="CPM",'Model Inputs &amp; Assumptions'!$I$30*'Model Inputs &amp; Assumptions'!$K$30*C1085/1000,IF('Model Inputs &amp; Assumptions'!$H$30="CPC",'Model Inputs &amp; Assumptions'!$I$30*'Model Inputs &amp; Assumptions'!$K$30*G1085,0)))</f>
        <v>6900</v>
      </c>
      <c r="J1085" s="50" t="n">
        <f aca="false">H1085*INDEX('Model Inputs &amp; Assumptions'!$D$40:$D$42,MATCH('Model Inputs &amp; Assumptions'!$L$30,'Model Inputs &amp; Assumptions'!$A$40:$A$42,0))*INDEX('Model Inputs &amp; Assumptions'!$H$40:$H$42,MATCH('Model Inputs &amp; Assumptions'!$L$30,'Model Inputs &amp; Assumptions'!$A$40:$A$42,0))</f>
        <v>343204.633124658</v>
      </c>
      <c r="K1085" s="49" t="n">
        <f aca="false">H1085*INDEX('Model Inputs &amp; Assumptions'!$G$40:$G$42,MATCH('Model Inputs &amp; Assumptions'!$L$30,'Model Inputs &amp; Assumptions'!$A$40:$A$42,0))*INDEX('Model Inputs &amp; Assumptions'!$H$40:$H$42,MATCH('Model Inputs &amp; Assumptions'!$L$30,'Model Inputs &amp; Assumptions'!$A$40:$A$42,0))</f>
        <v>7567.6621603987</v>
      </c>
      <c r="L1085" s="51" t="n">
        <f aca="false">IFERROR(K1085/I1085,0)</f>
        <v>1.09676263194184</v>
      </c>
      <c r="M1085" s="49" t="n">
        <f aca="false">IFERROR(I1085/H1085,0)</f>
        <v>144.753290617599</v>
      </c>
      <c r="N1085" s="52" t="str">
        <f aca="false">'Model Inputs &amp; Assumptions'!$L$30</f>
        <v>PRD-USIQ</v>
      </c>
      <c r="P1085" s="53" t="n">
        <v>-0.780662</v>
      </c>
      <c r="Q1085" s="53" t="n">
        <v>0.979451</v>
      </c>
      <c r="R1085" s="53" t="n">
        <v>1.40412</v>
      </c>
      <c r="S1085" s="53" t="n">
        <v>-0.106306</v>
      </c>
    </row>
    <row r="1086" customFormat="false" ht="15" hidden="false" customHeight="false" outlineLevel="0" collapsed="false">
      <c r="A1086" s="43" t="n">
        <v>83</v>
      </c>
      <c r="B1086" s="44" t="str">
        <f aca="false">'Model Inputs &amp; Assumptions'!$B$30</f>
        <v>extraETF — Newsletter Takeover</v>
      </c>
      <c r="C1086" s="45" t="n">
        <f aca="false">ROUND(MAX(0,'Model Inputs &amp; Assumptions'!$S$30*EXP('Model Inputs &amp; Assumptions'!$T$30*P1086-'Model Inputs &amp; Assumptions'!$T$30^2/2)),0)</f>
        <v>76210</v>
      </c>
      <c r="D1086" s="46" t="n">
        <f aca="false">MIN(1,'Model Inputs &amp; Assumptions'!$U$30*EXP('Model Inputs &amp; Assumptions'!$V$30*Q1086-'Model Inputs &amp; Assumptions'!$V$30^2/2))</f>
        <v>0</v>
      </c>
      <c r="E1086" s="45" t="n">
        <f aca="false">ROUND(C1086*D1086,0)</f>
        <v>0</v>
      </c>
      <c r="F1086" s="47" t="n">
        <f aca="false">MIN(1,'Model Inputs &amp; Assumptions'!$W$30*EXP('Model Inputs &amp; Assumptions'!$X$30*R1086-'Model Inputs &amp; Assumptions'!$X$30^2/2))</f>
        <v>0.0068728539471428</v>
      </c>
      <c r="G1086" s="45" t="n">
        <f aca="false">ROUND(C1086*F1086,0)</f>
        <v>524</v>
      </c>
      <c r="H1086" s="48" t="n">
        <f aca="false">MAX(0,(C1086*'Model Inputs &amp; Assumptions'!$N$30+E1086*'Model Inputs &amp; Assumptions'!$O$30+G1086*'Model Inputs &amp; Assumptions'!$P$30)*EXP('Model Inputs &amp; Assumptions'!$Q$30*S1086-'Model Inputs &amp; Assumptions'!$Q$30^2/2))</f>
        <v>26.6750367594217</v>
      </c>
      <c r="I1086" s="49" t="n">
        <f aca="false">IF('Model Inputs &amp; Assumptions'!$H$30="Fixed",'Model Inputs &amp; Assumptions'!$I$30*'Model Inputs &amp; Assumptions'!$K$30,IF('Model Inputs &amp; Assumptions'!$H$30="CPM",'Model Inputs &amp; Assumptions'!$I$30*'Model Inputs &amp; Assumptions'!$K$30*C1086/1000,IF('Model Inputs &amp; Assumptions'!$H$30="CPC",'Model Inputs &amp; Assumptions'!$I$30*'Model Inputs &amp; Assumptions'!$K$30*G1086,0)))</f>
        <v>6900</v>
      </c>
      <c r="J1086" s="50" t="n">
        <f aca="false">H1086*INDEX('Model Inputs &amp; Assumptions'!$D$40:$D$42,MATCH('Model Inputs &amp; Assumptions'!$L$30,'Model Inputs &amp; Assumptions'!$A$40:$A$42,0))*INDEX('Model Inputs &amp; Assumptions'!$H$40:$H$42,MATCH('Model Inputs &amp; Assumptions'!$L$30,'Model Inputs &amp; Assumptions'!$A$40:$A$42,0))</f>
        <v>192060.264667836</v>
      </c>
      <c r="K1086" s="49" t="n">
        <f aca="false">H1086*INDEX('Model Inputs &amp; Assumptions'!$G$40:$G$42,MATCH('Model Inputs &amp; Assumptions'!$L$30,'Model Inputs &amp; Assumptions'!$A$40:$A$42,0))*INDEX('Model Inputs &amp; Assumptions'!$H$40:$H$42,MATCH('Model Inputs &amp; Assumptions'!$L$30,'Model Inputs &amp; Assumptions'!$A$40:$A$42,0))</f>
        <v>4234.92883592579</v>
      </c>
      <c r="L1086" s="51" t="n">
        <f aca="false">IFERROR(K1086/I1086,0)</f>
        <v>0.613757802308086</v>
      </c>
      <c r="M1086" s="49" t="n">
        <f aca="false">IFERROR(I1086/H1086,0)</f>
        <v>258.668809427709</v>
      </c>
      <c r="N1086" s="52" t="str">
        <f aca="false">'Model Inputs &amp; Assumptions'!$L$30</f>
        <v>PRD-USIQ</v>
      </c>
      <c r="P1086" s="53" t="n">
        <v>-1.138707</v>
      </c>
      <c r="Q1086" s="53" t="n">
        <v>-0.679118</v>
      </c>
      <c r="R1086" s="53" t="n">
        <v>-0.937414</v>
      </c>
      <c r="S1086" s="53" t="n">
        <v>-0.852582</v>
      </c>
    </row>
    <row r="1087" customFormat="false" ht="15" hidden="false" customHeight="false" outlineLevel="0" collapsed="false">
      <c r="A1087" s="43" t="n">
        <v>84</v>
      </c>
      <c r="B1087" s="44" t="str">
        <f aca="false">'Model Inputs &amp; Assumptions'!$B$30</f>
        <v>extraETF — Newsletter Takeover</v>
      </c>
      <c r="C1087" s="45" t="n">
        <f aca="false">ROUND(MAX(0,'Model Inputs &amp; Assumptions'!$S$30*EXP('Model Inputs &amp; Assumptions'!$T$30*P1087-'Model Inputs &amp; Assumptions'!$T$30^2/2)),0)</f>
        <v>90553</v>
      </c>
      <c r="D1087" s="46" t="n">
        <f aca="false">MIN(1,'Model Inputs &amp; Assumptions'!$U$30*EXP('Model Inputs &amp; Assumptions'!$V$30*Q1087-'Model Inputs &amp; Assumptions'!$V$30^2/2))</f>
        <v>0</v>
      </c>
      <c r="E1087" s="45" t="n">
        <f aca="false">ROUND(C1087*D1087,0)</f>
        <v>0</v>
      </c>
      <c r="F1087" s="47" t="n">
        <f aca="false">MIN(1,'Model Inputs &amp; Assumptions'!$W$30*EXP('Model Inputs &amp; Assumptions'!$X$30*R1087-'Model Inputs &amp; Assumptions'!$X$30^2/2))</f>
        <v>0.00748513191536713</v>
      </c>
      <c r="G1087" s="45" t="n">
        <f aca="false">ROUND(C1087*F1087,0)</f>
        <v>678</v>
      </c>
      <c r="H1087" s="48" t="n">
        <f aca="false">MAX(0,(C1087*'Model Inputs &amp; Assumptions'!$N$30+E1087*'Model Inputs &amp; Assumptions'!$O$30+G1087*'Model Inputs &amp; Assumptions'!$P$30)*EXP('Model Inputs &amp; Assumptions'!$Q$30*S1087-'Model Inputs &amp; Assumptions'!$Q$30^2/2))</f>
        <v>49.0291995030775</v>
      </c>
      <c r="I1087" s="49" t="n">
        <f aca="false">IF('Model Inputs &amp; Assumptions'!$H$30="Fixed",'Model Inputs &amp; Assumptions'!$I$30*'Model Inputs &amp; Assumptions'!$K$30,IF('Model Inputs &amp; Assumptions'!$H$30="CPM",'Model Inputs &amp; Assumptions'!$I$30*'Model Inputs &amp; Assumptions'!$K$30*C1087/1000,IF('Model Inputs &amp; Assumptions'!$H$30="CPC",'Model Inputs &amp; Assumptions'!$I$30*'Model Inputs &amp; Assumptions'!$K$30*G1087,0)))</f>
        <v>6900</v>
      </c>
      <c r="J1087" s="50" t="n">
        <f aca="false">H1087*INDEX('Model Inputs &amp; Assumptions'!$D$40:$D$42,MATCH('Model Inputs &amp; Assumptions'!$L$30,'Model Inputs &amp; Assumptions'!$A$40:$A$42,0))*INDEX('Model Inputs &amp; Assumptions'!$H$40:$H$42,MATCH('Model Inputs &amp; Assumptions'!$L$30,'Model Inputs &amp; Assumptions'!$A$40:$A$42,0))</f>
        <v>353010.236422158</v>
      </c>
      <c r="K1087" s="49" t="n">
        <f aca="false">H1087*INDEX('Model Inputs &amp; Assumptions'!$G$40:$G$42,MATCH('Model Inputs &amp; Assumptions'!$L$30,'Model Inputs &amp; Assumptions'!$A$40:$A$42,0))*INDEX('Model Inputs &amp; Assumptions'!$H$40:$H$42,MATCH('Model Inputs &amp; Assumptions'!$L$30,'Model Inputs &amp; Assumptions'!$A$40:$A$42,0))</f>
        <v>7783.87571310858</v>
      </c>
      <c r="L1087" s="51" t="n">
        <f aca="false">IFERROR(K1087/I1087,0)</f>
        <v>1.12809792943603</v>
      </c>
      <c r="M1087" s="49" t="n">
        <f aca="false">IFERROR(I1087/H1087,0)</f>
        <v>140.732462898296</v>
      </c>
      <c r="N1087" s="52" t="str">
        <f aca="false">'Model Inputs &amp; Assumptions'!$L$30</f>
        <v>PRD-USIQ</v>
      </c>
      <c r="P1087" s="53" t="n">
        <v>0.298356</v>
      </c>
      <c r="Q1087" s="53" t="n">
        <v>0.648318</v>
      </c>
      <c r="R1087" s="53" t="n">
        <v>-0.368486</v>
      </c>
      <c r="S1087" s="53" t="n">
        <v>0.551547</v>
      </c>
    </row>
    <row r="1088" customFormat="false" ht="15" hidden="false" customHeight="false" outlineLevel="0" collapsed="false">
      <c r="A1088" s="43" t="n">
        <v>85</v>
      </c>
      <c r="B1088" s="44" t="str">
        <f aca="false">'Model Inputs &amp; Assumptions'!$B$30</f>
        <v>extraETF — Newsletter Takeover</v>
      </c>
      <c r="C1088" s="45" t="n">
        <f aca="false">ROUND(MAX(0,'Model Inputs &amp; Assumptions'!$S$30*EXP('Model Inputs &amp; Assumptions'!$T$30*P1088-'Model Inputs &amp; Assumptions'!$T$30^2/2)),0)</f>
        <v>98484</v>
      </c>
      <c r="D1088" s="46" t="n">
        <f aca="false">MIN(1,'Model Inputs &amp; Assumptions'!$U$30*EXP('Model Inputs &amp; Assumptions'!$V$30*Q1088-'Model Inputs &amp; Assumptions'!$V$30^2/2))</f>
        <v>0</v>
      </c>
      <c r="E1088" s="45" t="n">
        <f aca="false">ROUND(C1088*D1088,0)</f>
        <v>0</v>
      </c>
      <c r="F1088" s="47" t="n">
        <f aca="false">MIN(1,'Model Inputs &amp; Assumptions'!$W$30*EXP('Model Inputs &amp; Assumptions'!$X$30*R1088-'Model Inputs &amp; Assumptions'!$X$30^2/2))</f>
        <v>0.00791433673770703</v>
      </c>
      <c r="G1088" s="45" t="n">
        <f aca="false">ROUND(C1088*F1088,0)</f>
        <v>779</v>
      </c>
      <c r="H1088" s="48" t="n">
        <f aca="false">MAX(0,(C1088*'Model Inputs &amp; Assumptions'!$N$30+E1088*'Model Inputs &amp; Assumptions'!$O$30+G1088*'Model Inputs &amp; Assumptions'!$P$30)*EXP('Model Inputs &amp; Assumptions'!$Q$30*S1088-'Model Inputs &amp; Assumptions'!$Q$30^2/2))</f>
        <v>60.8051984892039</v>
      </c>
      <c r="I1088" s="49" t="n">
        <f aca="false">IF('Model Inputs &amp; Assumptions'!$H$30="Fixed",'Model Inputs &amp; Assumptions'!$I$30*'Model Inputs &amp; Assumptions'!$K$30,IF('Model Inputs &amp; Assumptions'!$H$30="CPM",'Model Inputs &amp; Assumptions'!$I$30*'Model Inputs &amp; Assumptions'!$K$30*C1088/1000,IF('Model Inputs &amp; Assumptions'!$H$30="CPC",'Model Inputs &amp; Assumptions'!$I$30*'Model Inputs &amp; Assumptions'!$K$30*G1088,0)))</f>
        <v>6900</v>
      </c>
      <c r="J1088" s="50" t="n">
        <f aca="false">H1088*INDEX('Model Inputs &amp; Assumptions'!$D$40:$D$42,MATCH('Model Inputs &amp; Assumptions'!$L$30,'Model Inputs &amp; Assumptions'!$A$40:$A$42,0))*INDEX('Model Inputs &amp; Assumptions'!$H$40:$H$42,MATCH('Model Inputs &amp; Assumptions'!$L$30,'Model Inputs &amp; Assumptions'!$A$40:$A$42,0))</f>
        <v>437797.429122268</v>
      </c>
      <c r="K1088" s="49" t="n">
        <f aca="false">H1088*INDEX('Model Inputs &amp; Assumptions'!$G$40:$G$42,MATCH('Model Inputs &amp; Assumptions'!$L$30,'Model Inputs &amp; Assumptions'!$A$40:$A$42,0))*INDEX('Model Inputs &amp; Assumptions'!$H$40:$H$42,MATCH('Model Inputs &amp; Assumptions'!$L$30,'Model Inputs &amp; Assumptions'!$A$40:$A$42,0))</f>
        <v>9653.43331214601</v>
      </c>
      <c r="L1088" s="51" t="n">
        <f aca="false">IFERROR(K1088/I1088,0)</f>
        <v>1.39904830610812</v>
      </c>
      <c r="M1088" s="49" t="n">
        <f aca="false">IFERROR(I1088/H1088,0)</f>
        <v>113.477139643333</v>
      </c>
      <c r="N1088" s="52" t="str">
        <f aca="false">'Model Inputs &amp; Assumptions'!$L$30</f>
        <v>PRD-USIQ</v>
      </c>
      <c r="P1088" s="53" t="n">
        <v>0.99796</v>
      </c>
      <c r="Q1088" s="53" t="n">
        <v>0.922048</v>
      </c>
      <c r="R1088" s="53" t="n">
        <v>0.003229</v>
      </c>
      <c r="S1088" s="53" t="n">
        <v>0.857129</v>
      </c>
    </row>
    <row r="1089" customFormat="false" ht="15" hidden="false" customHeight="false" outlineLevel="0" collapsed="false">
      <c r="A1089" s="43" t="n">
        <v>86</v>
      </c>
      <c r="B1089" s="44" t="str">
        <f aca="false">'Model Inputs &amp; Assumptions'!$B$30</f>
        <v>extraETF — Newsletter Takeover</v>
      </c>
      <c r="C1089" s="45" t="n">
        <f aca="false">ROUND(MAX(0,'Model Inputs &amp; Assumptions'!$S$30*EXP('Model Inputs &amp; Assumptions'!$T$30*P1089-'Model Inputs &amp; Assumptions'!$T$30^2/2)),0)</f>
        <v>88031</v>
      </c>
      <c r="D1089" s="46" t="n">
        <f aca="false">MIN(1,'Model Inputs &amp; Assumptions'!$U$30*EXP('Model Inputs &amp; Assumptions'!$V$30*Q1089-'Model Inputs &amp; Assumptions'!$V$30^2/2))</f>
        <v>0</v>
      </c>
      <c r="E1089" s="45" t="n">
        <f aca="false">ROUND(C1089*D1089,0)</f>
        <v>0</v>
      </c>
      <c r="F1089" s="47" t="n">
        <f aca="false">MIN(1,'Model Inputs &amp; Assumptions'!$W$30*EXP('Model Inputs &amp; Assumptions'!$X$30*R1089-'Model Inputs &amp; Assumptions'!$X$30^2/2))</f>
        <v>0.00679584836845716</v>
      </c>
      <c r="G1089" s="45" t="n">
        <f aca="false">ROUND(C1089*F1089,0)</f>
        <v>598</v>
      </c>
      <c r="H1089" s="48" t="n">
        <f aca="false">MAX(0,(C1089*'Model Inputs &amp; Assumptions'!$N$30+E1089*'Model Inputs &amp; Assumptions'!$O$30+G1089*'Model Inputs &amp; Assumptions'!$P$30)*EXP('Model Inputs &amp; Assumptions'!$Q$30*S1089-'Model Inputs &amp; Assumptions'!$Q$30^2/2))</f>
        <v>20.2753172020716</v>
      </c>
      <c r="I1089" s="49" t="n">
        <f aca="false">IF('Model Inputs &amp; Assumptions'!$H$30="Fixed",'Model Inputs &amp; Assumptions'!$I$30*'Model Inputs &amp; Assumptions'!$K$30,IF('Model Inputs &amp; Assumptions'!$H$30="CPM",'Model Inputs &amp; Assumptions'!$I$30*'Model Inputs &amp; Assumptions'!$K$30*C1089/1000,IF('Model Inputs &amp; Assumptions'!$H$30="CPC",'Model Inputs &amp; Assumptions'!$I$30*'Model Inputs &amp; Assumptions'!$K$30*G1089,0)))</f>
        <v>6900</v>
      </c>
      <c r="J1089" s="50" t="n">
        <f aca="false">H1089*INDEX('Model Inputs &amp; Assumptions'!$D$40:$D$42,MATCH('Model Inputs &amp; Assumptions'!$L$30,'Model Inputs &amp; Assumptions'!$A$40:$A$42,0))*INDEX('Model Inputs &amp; Assumptions'!$H$40:$H$42,MATCH('Model Inputs &amp; Assumptions'!$L$30,'Model Inputs &amp; Assumptions'!$A$40:$A$42,0))</f>
        <v>145982.283854916</v>
      </c>
      <c r="K1089" s="49" t="n">
        <f aca="false">H1089*INDEX('Model Inputs &amp; Assumptions'!$G$40:$G$42,MATCH('Model Inputs &amp; Assumptions'!$L$30,'Model Inputs &amp; Assumptions'!$A$40:$A$42,0))*INDEX('Model Inputs &amp; Assumptions'!$H$40:$H$42,MATCH('Model Inputs &amp; Assumptions'!$L$30,'Model Inputs &amp; Assumptions'!$A$40:$A$42,0))</f>
        <v>3218.90935900089</v>
      </c>
      <c r="L1089" s="51" t="n">
        <f aca="false">IFERROR(K1089/I1089,0)</f>
        <v>0.466508602753752</v>
      </c>
      <c r="M1089" s="49" t="n">
        <f aca="false">IFERROR(I1089/H1089,0)</f>
        <v>340.315267634629</v>
      </c>
      <c r="N1089" s="52" t="str">
        <f aca="false">'Model Inputs &amp; Assumptions'!$L$30</f>
        <v>PRD-USIQ</v>
      </c>
      <c r="P1089" s="53" t="n">
        <v>0.062976</v>
      </c>
      <c r="Q1089" s="53" t="n">
        <v>-0.46113</v>
      </c>
      <c r="R1089" s="53" t="n">
        <v>-1.012531</v>
      </c>
      <c r="S1089" s="53" t="n">
        <v>-2.478274</v>
      </c>
    </row>
    <row r="1090" customFormat="false" ht="15" hidden="false" customHeight="false" outlineLevel="0" collapsed="false">
      <c r="A1090" s="43" t="n">
        <v>87</v>
      </c>
      <c r="B1090" s="44" t="str">
        <f aca="false">'Model Inputs &amp; Assumptions'!$B$30</f>
        <v>extraETF — Newsletter Takeover</v>
      </c>
      <c r="C1090" s="45" t="n">
        <f aca="false">ROUND(MAX(0,'Model Inputs &amp; Assumptions'!$S$30*EXP('Model Inputs &amp; Assumptions'!$T$30*P1090-'Model Inputs &amp; Assumptions'!$T$30^2/2)),0)</f>
        <v>68362</v>
      </c>
      <c r="D1090" s="46" t="n">
        <f aca="false">MIN(1,'Model Inputs &amp; Assumptions'!$U$30*EXP('Model Inputs &amp; Assumptions'!$V$30*Q1090-'Model Inputs &amp; Assumptions'!$V$30^2/2))</f>
        <v>0</v>
      </c>
      <c r="E1090" s="45" t="n">
        <f aca="false">ROUND(C1090*D1090,0)</f>
        <v>0</v>
      </c>
      <c r="F1090" s="47" t="n">
        <f aca="false">MIN(1,'Model Inputs &amp; Assumptions'!$W$30*EXP('Model Inputs &amp; Assumptions'!$X$30*R1090-'Model Inputs &amp; Assumptions'!$X$30^2/2))</f>
        <v>0.00691838555894222</v>
      </c>
      <c r="G1090" s="45" t="n">
        <f aca="false">ROUND(C1090*F1090,0)</f>
        <v>473</v>
      </c>
      <c r="H1090" s="48" t="n">
        <f aca="false">MAX(0,(C1090*'Model Inputs &amp; Assumptions'!$N$30+E1090*'Model Inputs &amp; Assumptions'!$O$30+G1090*'Model Inputs &amp; Assumptions'!$P$30)*EXP('Model Inputs &amp; Assumptions'!$Q$30*S1090-'Model Inputs &amp; Assumptions'!$Q$30^2/2))</f>
        <v>36.9905927162727</v>
      </c>
      <c r="I1090" s="49" t="n">
        <f aca="false">IF('Model Inputs &amp; Assumptions'!$H$30="Fixed",'Model Inputs &amp; Assumptions'!$I$30*'Model Inputs &amp; Assumptions'!$K$30,IF('Model Inputs &amp; Assumptions'!$H$30="CPM",'Model Inputs &amp; Assumptions'!$I$30*'Model Inputs &amp; Assumptions'!$K$30*C1090/1000,IF('Model Inputs &amp; Assumptions'!$H$30="CPC",'Model Inputs &amp; Assumptions'!$I$30*'Model Inputs &amp; Assumptions'!$K$30*G1090,0)))</f>
        <v>6900</v>
      </c>
      <c r="J1090" s="50" t="n">
        <f aca="false">H1090*INDEX('Model Inputs &amp; Assumptions'!$D$40:$D$42,MATCH('Model Inputs &amp; Assumptions'!$L$30,'Model Inputs &amp; Assumptions'!$A$40:$A$42,0))*INDEX('Model Inputs &amp; Assumptions'!$H$40:$H$42,MATCH('Model Inputs &amp; Assumptions'!$L$30,'Model Inputs &amp; Assumptions'!$A$40:$A$42,0))</f>
        <v>266332.267557163</v>
      </c>
      <c r="K1090" s="49" t="n">
        <f aca="false">H1090*INDEX('Model Inputs &amp; Assumptions'!$G$40:$G$42,MATCH('Model Inputs &amp; Assumptions'!$L$30,'Model Inputs &amp; Assumptions'!$A$40:$A$42,0))*INDEX('Model Inputs &amp; Assumptions'!$H$40:$H$42,MATCH('Model Inputs &amp; Assumptions'!$L$30,'Model Inputs &amp; Assumptions'!$A$40:$A$42,0))</f>
        <v>5872.62649963545</v>
      </c>
      <c r="L1090" s="51" t="n">
        <f aca="false">IFERROR(K1090/I1090,0)</f>
        <v>0.85110528980224</v>
      </c>
      <c r="M1090" s="49" t="n">
        <f aca="false">IFERROR(I1090/H1090,0)</f>
        <v>186.533912903877</v>
      </c>
      <c r="N1090" s="52" t="str">
        <f aca="false">'Model Inputs &amp; Assumptions'!$L$30</f>
        <v>PRD-USIQ</v>
      </c>
      <c r="P1090" s="53" t="n">
        <v>-2.044304</v>
      </c>
      <c r="Q1090" s="53" t="n">
        <v>1.081716</v>
      </c>
      <c r="R1090" s="53" t="n">
        <v>-0.893394</v>
      </c>
      <c r="S1090" s="53" t="n">
        <v>0.864745</v>
      </c>
    </row>
    <row r="1091" customFormat="false" ht="15" hidden="false" customHeight="false" outlineLevel="0" collapsed="false">
      <c r="A1091" s="43" t="n">
        <v>88</v>
      </c>
      <c r="B1091" s="44" t="str">
        <f aca="false">'Model Inputs &amp; Assumptions'!$B$30</f>
        <v>extraETF — Newsletter Takeover</v>
      </c>
      <c r="C1091" s="45" t="n">
        <f aca="false">ROUND(MAX(0,'Model Inputs &amp; Assumptions'!$S$30*EXP('Model Inputs &amp; Assumptions'!$T$30*P1091-'Model Inputs &amp; Assumptions'!$T$30^2/2)),0)</f>
        <v>82106</v>
      </c>
      <c r="D1091" s="46" t="n">
        <f aca="false">MIN(1,'Model Inputs &amp; Assumptions'!$U$30*EXP('Model Inputs &amp; Assumptions'!$V$30*Q1091-'Model Inputs &amp; Assumptions'!$V$30^2/2))</f>
        <v>0</v>
      </c>
      <c r="E1091" s="45" t="n">
        <f aca="false">ROUND(C1091*D1091,0)</f>
        <v>0</v>
      </c>
      <c r="F1091" s="47" t="n">
        <f aca="false">MIN(1,'Model Inputs &amp; Assumptions'!$W$30*EXP('Model Inputs &amp; Assumptions'!$X$30*R1091-'Model Inputs &amp; Assumptions'!$X$30^2/2))</f>
        <v>0.00681263476409928</v>
      </c>
      <c r="G1091" s="45" t="n">
        <f aca="false">ROUND(C1091*F1091,0)</f>
        <v>559</v>
      </c>
      <c r="H1091" s="48" t="n">
        <f aca="false">MAX(0,(C1091*'Model Inputs &amp; Assumptions'!$N$30+E1091*'Model Inputs &amp; Assumptions'!$O$30+G1091*'Model Inputs &amp; Assumptions'!$P$30)*EXP('Model Inputs &amp; Assumptions'!$Q$30*S1091-'Model Inputs &amp; Assumptions'!$Q$30^2/2))</f>
        <v>51.9566758232896</v>
      </c>
      <c r="I1091" s="49" t="n">
        <f aca="false">IF('Model Inputs &amp; Assumptions'!$H$30="Fixed",'Model Inputs &amp; Assumptions'!$I$30*'Model Inputs &amp; Assumptions'!$K$30,IF('Model Inputs &amp; Assumptions'!$H$30="CPM",'Model Inputs &amp; Assumptions'!$I$30*'Model Inputs &amp; Assumptions'!$K$30*C1091/1000,IF('Model Inputs &amp; Assumptions'!$H$30="CPC",'Model Inputs &amp; Assumptions'!$I$30*'Model Inputs &amp; Assumptions'!$K$30*G1091,0)))</f>
        <v>6900</v>
      </c>
      <c r="J1091" s="50" t="n">
        <f aca="false">H1091*INDEX('Model Inputs &amp; Assumptions'!$D$40:$D$42,MATCH('Model Inputs &amp; Assumptions'!$L$30,'Model Inputs &amp; Assumptions'!$A$40:$A$42,0))*INDEX('Model Inputs &amp; Assumptions'!$H$40:$H$42,MATCH('Model Inputs &amp; Assumptions'!$L$30,'Model Inputs &amp; Assumptions'!$A$40:$A$42,0))</f>
        <v>374088.065927685</v>
      </c>
      <c r="K1091" s="49" t="n">
        <f aca="false">H1091*INDEX('Model Inputs &amp; Assumptions'!$G$40:$G$42,MATCH('Model Inputs &amp; Assumptions'!$L$30,'Model Inputs &amp; Assumptions'!$A$40:$A$42,0))*INDEX('Model Inputs &amp; Assumptions'!$H$40:$H$42,MATCH('Model Inputs &amp; Assumptions'!$L$30,'Model Inputs &amp; Assumptions'!$A$40:$A$42,0))</f>
        <v>8248.64185370545</v>
      </c>
      <c r="L1091" s="51" t="n">
        <f aca="false">IFERROR(K1091/I1091,0)</f>
        <v>1.19545534111673</v>
      </c>
      <c r="M1091" s="49" t="n">
        <f aca="false">IFERROR(I1091/H1091,0)</f>
        <v>132.802953435044</v>
      </c>
      <c r="N1091" s="52" t="str">
        <f aca="false">'Model Inputs &amp; Assumptions'!$L$30</f>
        <v>PRD-USIQ</v>
      </c>
      <c r="P1091" s="53" t="n">
        <v>-0.517754</v>
      </c>
      <c r="Q1091" s="53" t="n">
        <v>-0.557003</v>
      </c>
      <c r="R1091" s="53" t="n">
        <v>-0.996084</v>
      </c>
      <c r="S1091" s="53" t="n">
        <v>1.555515</v>
      </c>
    </row>
    <row r="1092" customFormat="false" ht="15" hidden="false" customHeight="false" outlineLevel="0" collapsed="false">
      <c r="A1092" s="43" t="n">
        <v>89</v>
      </c>
      <c r="B1092" s="44" t="str">
        <f aca="false">'Model Inputs &amp; Assumptions'!$B$30</f>
        <v>extraETF — Newsletter Takeover</v>
      </c>
      <c r="C1092" s="45" t="n">
        <f aca="false">ROUND(MAX(0,'Model Inputs &amp; Assumptions'!$S$30*EXP('Model Inputs &amp; Assumptions'!$T$30*P1092-'Model Inputs &amp; Assumptions'!$T$30^2/2)),0)</f>
        <v>84304</v>
      </c>
      <c r="D1092" s="46" t="n">
        <f aca="false">MIN(1,'Model Inputs &amp; Assumptions'!$U$30*EXP('Model Inputs &amp; Assumptions'!$V$30*Q1092-'Model Inputs &amp; Assumptions'!$V$30^2/2))</f>
        <v>0</v>
      </c>
      <c r="E1092" s="45" t="n">
        <f aca="false">ROUND(C1092*D1092,0)</f>
        <v>0</v>
      </c>
      <c r="F1092" s="47" t="n">
        <f aca="false">MIN(1,'Model Inputs &amp; Assumptions'!$W$30*EXP('Model Inputs &amp; Assumptions'!$X$30*R1092-'Model Inputs &amp; Assumptions'!$X$30^2/2))</f>
        <v>0.00663928509767962</v>
      </c>
      <c r="G1092" s="45" t="n">
        <f aca="false">ROUND(C1092*F1092,0)</f>
        <v>560</v>
      </c>
      <c r="H1092" s="48" t="n">
        <f aca="false">MAX(0,(C1092*'Model Inputs &amp; Assumptions'!$N$30+E1092*'Model Inputs &amp; Assumptions'!$O$30+G1092*'Model Inputs &amp; Assumptions'!$P$30)*EXP('Model Inputs &amp; Assumptions'!$Q$30*S1092-'Model Inputs &amp; Assumptions'!$Q$30^2/2))</f>
        <v>48.5241336223737</v>
      </c>
      <c r="I1092" s="49" t="n">
        <f aca="false">IF('Model Inputs &amp; Assumptions'!$H$30="Fixed",'Model Inputs &amp; Assumptions'!$I$30*'Model Inputs &amp; Assumptions'!$K$30,IF('Model Inputs &amp; Assumptions'!$H$30="CPM",'Model Inputs &amp; Assumptions'!$I$30*'Model Inputs &amp; Assumptions'!$K$30*C1092/1000,IF('Model Inputs &amp; Assumptions'!$H$30="CPC",'Model Inputs &amp; Assumptions'!$I$30*'Model Inputs &amp; Assumptions'!$K$30*G1092,0)))</f>
        <v>6900</v>
      </c>
      <c r="J1092" s="50" t="n">
        <f aca="false">H1092*INDEX('Model Inputs &amp; Assumptions'!$D$40:$D$42,MATCH('Model Inputs &amp; Assumptions'!$L$30,'Model Inputs &amp; Assumptions'!$A$40:$A$42,0))*INDEX('Model Inputs &amp; Assumptions'!$H$40:$H$42,MATCH('Model Inputs &amp; Assumptions'!$L$30,'Model Inputs &amp; Assumptions'!$A$40:$A$42,0))</f>
        <v>349373.76208109</v>
      </c>
      <c r="K1092" s="49" t="n">
        <f aca="false">H1092*INDEX('Model Inputs &amp; Assumptions'!$G$40:$G$42,MATCH('Model Inputs &amp; Assumptions'!$L$30,'Model Inputs &amp; Assumptions'!$A$40:$A$42,0))*INDEX('Model Inputs &amp; Assumptions'!$H$40:$H$42,MATCH('Model Inputs &amp; Assumptions'!$L$30,'Model Inputs &amp; Assumptions'!$A$40:$A$42,0))</f>
        <v>7703.69145388804</v>
      </c>
      <c r="L1092" s="51" t="n">
        <f aca="false">IFERROR(K1092/I1092,0)</f>
        <v>1.11647702230261</v>
      </c>
      <c r="M1092" s="49" t="n">
        <f aca="false">IFERROR(I1092/H1092,0)</f>
        <v>142.197283803096</v>
      </c>
      <c r="N1092" s="52" t="str">
        <f aca="false">'Model Inputs &amp; Assumptions'!$L$30</f>
        <v>PRD-USIQ</v>
      </c>
      <c r="P1092" s="53" t="n">
        <v>-0.297583</v>
      </c>
      <c r="Q1092" s="53" t="n">
        <v>-1.786347</v>
      </c>
      <c r="R1092" s="53" t="n">
        <v>-1.167915</v>
      </c>
      <c r="S1092" s="53" t="n">
        <v>1.27497</v>
      </c>
    </row>
    <row r="1093" customFormat="false" ht="15" hidden="false" customHeight="false" outlineLevel="0" collapsed="false">
      <c r="A1093" s="43" t="n">
        <v>90</v>
      </c>
      <c r="B1093" s="44" t="str">
        <f aca="false">'Model Inputs &amp; Assumptions'!$B$30</f>
        <v>extraETF — Newsletter Takeover</v>
      </c>
      <c r="C1093" s="45" t="n">
        <f aca="false">ROUND(MAX(0,'Model Inputs &amp; Assumptions'!$S$30*EXP('Model Inputs &amp; Assumptions'!$T$30*P1093-'Model Inputs &amp; Assumptions'!$T$30^2/2)),0)</f>
        <v>78650</v>
      </c>
      <c r="D1093" s="46" t="n">
        <f aca="false">MIN(1,'Model Inputs &amp; Assumptions'!$U$30*EXP('Model Inputs &amp; Assumptions'!$V$30*Q1093-'Model Inputs &amp; Assumptions'!$V$30^2/2))</f>
        <v>0</v>
      </c>
      <c r="E1093" s="45" t="n">
        <f aca="false">ROUND(C1093*D1093,0)</f>
        <v>0</v>
      </c>
      <c r="F1093" s="47" t="n">
        <f aca="false">MIN(1,'Model Inputs &amp; Assumptions'!$W$30*EXP('Model Inputs &amp; Assumptions'!$X$30*R1093-'Model Inputs &amp; Assumptions'!$X$30^2/2))</f>
        <v>0.00702061374079499</v>
      </c>
      <c r="G1093" s="45" t="n">
        <f aca="false">ROUND(C1093*F1093,0)</f>
        <v>552</v>
      </c>
      <c r="H1093" s="48" t="n">
        <f aca="false">MAX(0,(C1093*'Model Inputs &amp; Assumptions'!$N$30+E1093*'Model Inputs &amp; Assumptions'!$O$30+G1093*'Model Inputs &amp; Assumptions'!$P$30)*EXP('Model Inputs &amp; Assumptions'!$Q$30*S1093-'Model Inputs &amp; Assumptions'!$Q$30^2/2))</f>
        <v>20.9579916616066</v>
      </c>
      <c r="I1093" s="49" t="n">
        <f aca="false">IF('Model Inputs &amp; Assumptions'!$H$30="Fixed",'Model Inputs &amp; Assumptions'!$I$30*'Model Inputs &amp; Assumptions'!$K$30,IF('Model Inputs &amp; Assumptions'!$H$30="CPM",'Model Inputs &amp; Assumptions'!$I$30*'Model Inputs &amp; Assumptions'!$K$30*C1093/1000,IF('Model Inputs &amp; Assumptions'!$H$30="CPC",'Model Inputs &amp; Assumptions'!$I$30*'Model Inputs &amp; Assumptions'!$K$30*G1093,0)))</f>
        <v>6900</v>
      </c>
      <c r="J1093" s="50" t="n">
        <f aca="false">H1093*INDEX('Model Inputs &amp; Assumptions'!$D$40:$D$42,MATCH('Model Inputs &amp; Assumptions'!$L$30,'Model Inputs &amp; Assumptions'!$A$40:$A$42,0))*INDEX('Model Inputs &amp; Assumptions'!$H$40:$H$42,MATCH('Model Inputs &amp; Assumptions'!$L$30,'Model Inputs &amp; Assumptions'!$A$40:$A$42,0))</f>
        <v>150897.539963568</v>
      </c>
      <c r="K1093" s="49" t="n">
        <f aca="false">H1093*INDEX('Model Inputs &amp; Assumptions'!$G$40:$G$42,MATCH('Model Inputs &amp; Assumptions'!$L$30,'Model Inputs &amp; Assumptions'!$A$40:$A$42,0))*INDEX('Model Inputs &amp; Assumptions'!$H$40:$H$42,MATCH('Model Inputs &amp; Assumptions'!$L$30,'Model Inputs &amp; Assumptions'!$A$40:$A$42,0))</f>
        <v>3327.29075619667</v>
      </c>
      <c r="L1093" s="51" t="n">
        <f aca="false">IFERROR(K1093/I1093,0)</f>
        <v>0.482216051622706</v>
      </c>
      <c r="M1093" s="49" t="n">
        <f aca="false">IFERROR(I1093/H1093,0)</f>
        <v>329.230019336264</v>
      </c>
      <c r="N1093" s="52" t="str">
        <f aca="false">'Model Inputs &amp; Assumptions'!$L$30</f>
        <v>PRD-USIQ</v>
      </c>
      <c r="P1093" s="53" t="n">
        <v>-0.876087</v>
      </c>
      <c r="Q1093" s="53" t="n">
        <v>0.876541</v>
      </c>
      <c r="R1093" s="53" t="n">
        <v>-0.795606</v>
      </c>
      <c r="S1093" s="53" t="n">
        <v>-2.02564</v>
      </c>
    </row>
    <row r="1094" customFormat="false" ht="15" hidden="false" customHeight="false" outlineLevel="0" collapsed="false">
      <c r="A1094" s="43" t="n">
        <v>91</v>
      </c>
      <c r="B1094" s="44" t="str">
        <f aca="false">'Model Inputs &amp; Assumptions'!$B$30</f>
        <v>extraETF — Newsletter Takeover</v>
      </c>
      <c r="C1094" s="45" t="n">
        <f aca="false">ROUND(MAX(0,'Model Inputs &amp; Assumptions'!$S$30*EXP('Model Inputs &amp; Assumptions'!$T$30*P1094-'Model Inputs &amp; Assumptions'!$T$30^2/2)),0)</f>
        <v>89073</v>
      </c>
      <c r="D1094" s="46" t="n">
        <f aca="false">MIN(1,'Model Inputs &amp; Assumptions'!$U$30*EXP('Model Inputs &amp; Assumptions'!$V$30*Q1094-'Model Inputs &amp; Assumptions'!$V$30^2/2))</f>
        <v>0</v>
      </c>
      <c r="E1094" s="45" t="n">
        <f aca="false">ROUND(C1094*D1094,0)</f>
        <v>0</v>
      </c>
      <c r="F1094" s="47" t="n">
        <f aca="false">MIN(1,'Model Inputs &amp; Assumptions'!$W$30*EXP('Model Inputs &amp; Assumptions'!$X$30*R1094-'Model Inputs &amp; Assumptions'!$X$30^2/2))</f>
        <v>0.00878733685756149</v>
      </c>
      <c r="G1094" s="45" t="n">
        <f aca="false">ROUND(C1094*F1094,0)</f>
        <v>783</v>
      </c>
      <c r="H1094" s="48" t="n">
        <f aca="false">MAX(0,(C1094*'Model Inputs &amp; Assumptions'!$N$30+E1094*'Model Inputs &amp; Assumptions'!$O$30+G1094*'Model Inputs &amp; Assumptions'!$P$30)*EXP('Model Inputs &amp; Assumptions'!$Q$30*S1094-'Model Inputs &amp; Assumptions'!$Q$30^2/2))</f>
        <v>51.0379608839047</v>
      </c>
      <c r="I1094" s="49" t="n">
        <f aca="false">IF('Model Inputs &amp; Assumptions'!$H$30="Fixed",'Model Inputs &amp; Assumptions'!$I$30*'Model Inputs &amp; Assumptions'!$K$30,IF('Model Inputs &amp; Assumptions'!$H$30="CPM",'Model Inputs &amp; Assumptions'!$I$30*'Model Inputs &amp; Assumptions'!$K$30*C1094/1000,IF('Model Inputs &amp; Assumptions'!$H$30="CPC",'Model Inputs &amp; Assumptions'!$I$30*'Model Inputs &amp; Assumptions'!$K$30*G1094,0)))</f>
        <v>6900</v>
      </c>
      <c r="J1094" s="50" t="n">
        <f aca="false">H1094*INDEX('Model Inputs &amp; Assumptions'!$D$40:$D$42,MATCH('Model Inputs &amp; Assumptions'!$L$30,'Model Inputs &amp; Assumptions'!$A$40:$A$42,0))*INDEX('Model Inputs &amp; Assumptions'!$H$40:$H$42,MATCH('Model Inputs &amp; Assumptions'!$L$30,'Model Inputs &amp; Assumptions'!$A$40:$A$42,0))</f>
        <v>367473.318364114</v>
      </c>
      <c r="K1094" s="49" t="n">
        <f aca="false">H1094*INDEX('Model Inputs &amp; Assumptions'!$G$40:$G$42,MATCH('Model Inputs &amp; Assumptions'!$L$30,'Model Inputs &amp; Assumptions'!$A$40:$A$42,0))*INDEX('Model Inputs &amp; Assumptions'!$H$40:$H$42,MATCH('Model Inputs &amp; Assumptions'!$L$30,'Model Inputs &amp; Assumptions'!$A$40:$A$42,0))</f>
        <v>8102.78666992871</v>
      </c>
      <c r="L1094" s="51" t="n">
        <f aca="false">IFERROR(K1094/I1094,0)</f>
        <v>1.17431690868532</v>
      </c>
      <c r="M1094" s="49" t="n">
        <f aca="false">IFERROR(I1094/H1094,0)</f>
        <v>135.193488934547</v>
      </c>
      <c r="N1094" s="52" t="str">
        <f aca="false">'Model Inputs &amp; Assumptions'!$L$30</f>
        <v>PRD-USIQ</v>
      </c>
      <c r="P1094" s="53" t="n">
        <v>0.16098</v>
      </c>
      <c r="Q1094" s="53" t="n">
        <v>0.310192</v>
      </c>
      <c r="R1094" s="53" t="n">
        <v>0.700801</v>
      </c>
      <c r="S1094" s="53" t="n">
        <v>0.13622</v>
      </c>
    </row>
    <row r="1095" customFormat="false" ht="15" hidden="false" customHeight="false" outlineLevel="0" collapsed="false">
      <c r="A1095" s="43" t="n">
        <v>92</v>
      </c>
      <c r="B1095" s="44" t="str">
        <f aca="false">'Model Inputs &amp; Assumptions'!$B$30</f>
        <v>extraETF — Newsletter Takeover</v>
      </c>
      <c r="C1095" s="45" t="n">
        <f aca="false">ROUND(MAX(0,'Model Inputs &amp; Assumptions'!$S$30*EXP('Model Inputs &amp; Assumptions'!$T$30*P1095-'Model Inputs &amp; Assumptions'!$T$30^2/2)),0)</f>
        <v>83824</v>
      </c>
      <c r="D1095" s="46" t="n">
        <f aca="false">MIN(1,'Model Inputs &amp; Assumptions'!$U$30*EXP('Model Inputs &amp; Assumptions'!$V$30*Q1095-'Model Inputs &amp; Assumptions'!$V$30^2/2))</f>
        <v>0</v>
      </c>
      <c r="E1095" s="45" t="n">
        <f aca="false">ROUND(C1095*D1095,0)</f>
        <v>0</v>
      </c>
      <c r="F1095" s="47" t="n">
        <f aca="false">MIN(1,'Model Inputs &amp; Assumptions'!$W$30*EXP('Model Inputs &amp; Assumptions'!$X$30*R1095-'Model Inputs &amp; Assumptions'!$X$30^2/2))</f>
        <v>0.00864857261465023</v>
      </c>
      <c r="G1095" s="45" t="n">
        <f aca="false">ROUND(C1095*F1095,0)</f>
        <v>725</v>
      </c>
      <c r="H1095" s="48" t="n">
        <f aca="false">MAX(0,(C1095*'Model Inputs &amp; Assumptions'!$N$30+E1095*'Model Inputs &amp; Assumptions'!$O$30+G1095*'Model Inputs &amp; Assumptions'!$P$30)*EXP('Model Inputs &amp; Assumptions'!$Q$30*S1095-'Model Inputs &amp; Assumptions'!$Q$30^2/2))</f>
        <v>41.1528072929995</v>
      </c>
      <c r="I1095" s="49" t="n">
        <f aca="false">IF('Model Inputs &amp; Assumptions'!$H$30="Fixed",'Model Inputs &amp; Assumptions'!$I$30*'Model Inputs &amp; Assumptions'!$K$30,IF('Model Inputs &amp; Assumptions'!$H$30="CPM",'Model Inputs &amp; Assumptions'!$I$30*'Model Inputs &amp; Assumptions'!$K$30*C1095/1000,IF('Model Inputs &amp; Assumptions'!$H$30="CPC",'Model Inputs &amp; Assumptions'!$I$30*'Model Inputs &amp; Assumptions'!$K$30*G1095,0)))</f>
        <v>6900</v>
      </c>
      <c r="J1095" s="50" t="n">
        <f aca="false">H1095*INDEX('Model Inputs &amp; Assumptions'!$D$40:$D$42,MATCH('Model Inputs &amp; Assumptions'!$L$30,'Model Inputs &amp; Assumptions'!$A$40:$A$42,0))*INDEX('Model Inputs &amp; Assumptions'!$H$40:$H$42,MATCH('Model Inputs &amp; Assumptions'!$L$30,'Model Inputs &amp; Assumptions'!$A$40:$A$42,0))</f>
        <v>296300.212509596</v>
      </c>
      <c r="K1095" s="49" t="n">
        <f aca="false">H1095*INDEX('Model Inputs &amp; Assumptions'!$G$40:$G$42,MATCH('Model Inputs &amp; Assumptions'!$L$30,'Model Inputs &amp; Assumptions'!$A$40:$A$42,0))*INDEX('Model Inputs &amp; Assumptions'!$H$40:$H$42,MATCH('Model Inputs &amp; Assumptions'!$L$30,'Model Inputs &amp; Assumptions'!$A$40:$A$42,0))</f>
        <v>6533.4196858366</v>
      </c>
      <c r="L1095" s="51" t="n">
        <f aca="false">IFERROR(K1095/I1095,0)</f>
        <v>0.946872418237188</v>
      </c>
      <c r="M1095" s="49" t="n">
        <f aca="false">IFERROR(I1095/H1095,0)</f>
        <v>167.667783898032</v>
      </c>
      <c r="N1095" s="52" t="str">
        <f aca="false">'Model Inputs &amp; Assumptions'!$L$30</f>
        <v>PRD-USIQ</v>
      </c>
      <c r="P1095" s="53" t="n">
        <v>-0.345148</v>
      </c>
      <c r="Q1095" s="53" t="n">
        <v>-0.247558</v>
      </c>
      <c r="R1095" s="53" t="n">
        <v>0.594685</v>
      </c>
      <c r="S1095" s="53" t="n">
        <v>-0.417046</v>
      </c>
    </row>
    <row r="1096" customFormat="false" ht="15" hidden="false" customHeight="false" outlineLevel="0" collapsed="false">
      <c r="A1096" s="43" t="n">
        <v>93</v>
      </c>
      <c r="B1096" s="44" t="str">
        <f aca="false">'Model Inputs &amp; Assumptions'!$B$30</f>
        <v>extraETF — Newsletter Takeover</v>
      </c>
      <c r="C1096" s="45" t="n">
        <f aca="false">ROUND(MAX(0,'Model Inputs &amp; Assumptions'!$S$30*EXP('Model Inputs &amp; Assumptions'!$T$30*P1096-'Model Inputs &amp; Assumptions'!$T$30^2/2)),0)</f>
        <v>75592</v>
      </c>
      <c r="D1096" s="46" t="n">
        <f aca="false">MIN(1,'Model Inputs &amp; Assumptions'!$U$30*EXP('Model Inputs &amp; Assumptions'!$V$30*Q1096-'Model Inputs &amp; Assumptions'!$V$30^2/2))</f>
        <v>0</v>
      </c>
      <c r="E1096" s="45" t="n">
        <f aca="false">ROUND(C1096*D1096,0)</f>
        <v>0</v>
      </c>
      <c r="F1096" s="47" t="n">
        <f aca="false">MIN(1,'Model Inputs &amp; Assumptions'!$W$30*EXP('Model Inputs &amp; Assumptions'!$X$30*R1096-'Model Inputs &amp; Assumptions'!$X$30^2/2))</f>
        <v>0.0106581189205518</v>
      </c>
      <c r="G1096" s="45" t="n">
        <f aca="false">ROUND(C1096*F1096,0)</f>
        <v>806</v>
      </c>
      <c r="H1096" s="48" t="n">
        <f aca="false">MAX(0,(C1096*'Model Inputs &amp; Assumptions'!$N$30+E1096*'Model Inputs &amp; Assumptions'!$O$30+G1096*'Model Inputs &amp; Assumptions'!$P$30)*EXP('Model Inputs &amp; Assumptions'!$Q$30*S1096-'Model Inputs &amp; Assumptions'!$Q$30^2/2))</f>
        <v>44.7397551546734</v>
      </c>
      <c r="I1096" s="49" t="n">
        <f aca="false">IF('Model Inputs &amp; Assumptions'!$H$30="Fixed",'Model Inputs &amp; Assumptions'!$I$30*'Model Inputs &amp; Assumptions'!$K$30,IF('Model Inputs &amp; Assumptions'!$H$30="CPM",'Model Inputs &amp; Assumptions'!$I$30*'Model Inputs &amp; Assumptions'!$K$30*C1096/1000,IF('Model Inputs &amp; Assumptions'!$H$30="CPC",'Model Inputs &amp; Assumptions'!$I$30*'Model Inputs &amp; Assumptions'!$K$30*G1096,0)))</f>
        <v>6900</v>
      </c>
      <c r="J1096" s="50" t="n">
        <f aca="false">H1096*INDEX('Model Inputs &amp; Assumptions'!$D$40:$D$42,MATCH('Model Inputs &amp; Assumptions'!$L$30,'Model Inputs &amp; Assumptions'!$A$40:$A$42,0))*INDEX('Model Inputs &amp; Assumptions'!$H$40:$H$42,MATCH('Model Inputs &amp; Assumptions'!$L$30,'Model Inputs &amp; Assumptions'!$A$40:$A$42,0))</f>
        <v>322126.237113648</v>
      </c>
      <c r="K1096" s="49" t="n">
        <f aca="false">H1096*INDEX('Model Inputs &amp; Assumptions'!$G$40:$G$42,MATCH('Model Inputs &amp; Assumptions'!$L$30,'Model Inputs &amp; Assumptions'!$A$40:$A$42,0))*INDEX('Model Inputs &amp; Assumptions'!$H$40:$H$42,MATCH('Model Inputs &amp; Assumptions'!$L$30,'Model Inputs &amp; Assumptions'!$A$40:$A$42,0))</f>
        <v>7102.88352835595</v>
      </c>
      <c r="L1096" s="51" t="n">
        <f aca="false">IFERROR(K1096/I1096,0)</f>
        <v>1.02940340990666</v>
      </c>
      <c r="M1096" s="49" t="n">
        <f aca="false">IFERROR(I1096/H1096,0)</f>
        <v>154.225251706127</v>
      </c>
      <c r="N1096" s="52" t="str">
        <f aca="false">'Model Inputs &amp; Assumptions'!$L$30</f>
        <v>PRD-USIQ</v>
      </c>
      <c r="P1096" s="53" t="n">
        <v>-1.206563</v>
      </c>
      <c r="Q1096" s="53" t="n">
        <v>-1.100621</v>
      </c>
      <c r="R1096" s="53" t="n">
        <v>1.987536</v>
      </c>
      <c r="S1096" s="53" t="n">
        <v>-0.506413</v>
      </c>
    </row>
    <row r="1097" customFormat="false" ht="15" hidden="false" customHeight="false" outlineLevel="0" collapsed="false">
      <c r="A1097" s="43" t="n">
        <v>94</v>
      </c>
      <c r="B1097" s="44" t="str">
        <f aca="false">'Model Inputs &amp; Assumptions'!$B$30</f>
        <v>extraETF — Newsletter Takeover</v>
      </c>
      <c r="C1097" s="45" t="n">
        <f aca="false">ROUND(MAX(0,'Model Inputs &amp; Assumptions'!$S$30*EXP('Model Inputs &amp; Assumptions'!$T$30*P1097-'Model Inputs &amp; Assumptions'!$T$30^2/2)),0)</f>
        <v>97250</v>
      </c>
      <c r="D1097" s="46" t="n">
        <f aca="false">MIN(1,'Model Inputs &amp; Assumptions'!$U$30*EXP('Model Inputs &amp; Assumptions'!$V$30*Q1097-'Model Inputs &amp; Assumptions'!$V$30^2/2))</f>
        <v>0</v>
      </c>
      <c r="E1097" s="45" t="n">
        <f aca="false">ROUND(C1097*D1097,0)</f>
        <v>0</v>
      </c>
      <c r="F1097" s="47" t="n">
        <f aca="false">MIN(1,'Model Inputs &amp; Assumptions'!$W$30*EXP('Model Inputs &amp; Assumptions'!$X$30*R1097-'Model Inputs &amp; Assumptions'!$X$30^2/2))</f>
        <v>0.00460237277740407</v>
      </c>
      <c r="G1097" s="45" t="n">
        <f aca="false">ROUND(C1097*F1097,0)</f>
        <v>448</v>
      </c>
      <c r="H1097" s="48" t="n">
        <f aca="false">MAX(0,(C1097*'Model Inputs &amp; Assumptions'!$N$30+E1097*'Model Inputs &amp; Assumptions'!$O$30+G1097*'Model Inputs &amp; Assumptions'!$P$30)*EXP('Model Inputs &amp; Assumptions'!$Q$30*S1097-'Model Inputs &amp; Assumptions'!$Q$30^2/2))</f>
        <v>19.8999550578517</v>
      </c>
      <c r="I1097" s="49" t="n">
        <f aca="false">IF('Model Inputs &amp; Assumptions'!$H$30="Fixed",'Model Inputs &amp; Assumptions'!$I$30*'Model Inputs &amp; Assumptions'!$K$30,IF('Model Inputs &amp; Assumptions'!$H$30="CPM",'Model Inputs &amp; Assumptions'!$I$30*'Model Inputs &amp; Assumptions'!$K$30*C1097/1000,IF('Model Inputs &amp; Assumptions'!$H$30="CPC",'Model Inputs &amp; Assumptions'!$I$30*'Model Inputs &amp; Assumptions'!$K$30*G1097,0)))</f>
        <v>6900</v>
      </c>
      <c r="J1097" s="50" t="n">
        <f aca="false">H1097*INDEX('Model Inputs &amp; Assumptions'!$D$40:$D$42,MATCH('Model Inputs &amp; Assumptions'!$L$30,'Model Inputs &amp; Assumptions'!$A$40:$A$42,0))*INDEX('Model Inputs &amp; Assumptions'!$H$40:$H$42,MATCH('Model Inputs &amp; Assumptions'!$L$30,'Model Inputs &amp; Assumptions'!$A$40:$A$42,0))</f>
        <v>143279.676416532</v>
      </c>
      <c r="K1097" s="49" t="n">
        <f aca="false">H1097*INDEX('Model Inputs &amp; Assumptions'!$G$40:$G$42,MATCH('Model Inputs &amp; Assumptions'!$L$30,'Model Inputs &amp; Assumptions'!$A$40:$A$42,0))*INDEX('Model Inputs &amp; Assumptions'!$H$40:$H$42,MATCH('Model Inputs &amp; Assumptions'!$L$30,'Model Inputs &amp; Assumptions'!$A$40:$A$42,0))</f>
        <v>3159.31686498454</v>
      </c>
      <c r="L1097" s="51" t="n">
        <f aca="false">IFERROR(K1097/I1097,0)</f>
        <v>0.457872009418049</v>
      </c>
      <c r="M1097" s="49" t="n">
        <f aca="false">IFERROR(I1097/H1097,0)</f>
        <v>346.734451406589</v>
      </c>
      <c r="N1097" s="52" t="str">
        <f aca="false">'Model Inputs &amp; Assumptions'!$L$30</f>
        <v>PRD-USIQ</v>
      </c>
      <c r="P1097" s="53" t="n">
        <v>0.892924</v>
      </c>
      <c r="Q1097" s="53" t="n">
        <v>-0.321248</v>
      </c>
      <c r="R1097" s="53" t="n">
        <v>-3.610797</v>
      </c>
      <c r="S1097" s="53" t="n">
        <v>-1.397831</v>
      </c>
    </row>
    <row r="1098" customFormat="false" ht="15" hidden="false" customHeight="false" outlineLevel="0" collapsed="false">
      <c r="A1098" s="43" t="n">
        <v>95</v>
      </c>
      <c r="B1098" s="44" t="str">
        <f aca="false">'Model Inputs &amp; Assumptions'!$B$30</f>
        <v>extraETF — Newsletter Takeover</v>
      </c>
      <c r="C1098" s="45" t="n">
        <f aca="false">ROUND(MAX(0,'Model Inputs &amp; Assumptions'!$S$30*EXP('Model Inputs &amp; Assumptions'!$T$30*P1098-'Model Inputs &amp; Assumptions'!$T$30^2/2)),0)</f>
        <v>80682</v>
      </c>
      <c r="D1098" s="46" t="n">
        <f aca="false">MIN(1,'Model Inputs &amp; Assumptions'!$U$30*EXP('Model Inputs &amp; Assumptions'!$V$30*Q1098-'Model Inputs &amp; Assumptions'!$V$30^2/2))</f>
        <v>0</v>
      </c>
      <c r="E1098" s="45" t="n">
        <f aca="false">ROUND(C1098*D1098,0)</f>
        <v>0</v>
      </c>
      <c r="F1098" s="47" t="n">
        <f aca="false">MIN(1,'Model Inputs &amp; Assumptions'!$W$30*EXP('Model Inputs &amp; Assumptions'!$X$30*R1098-'Model Inputs &amp; Assumptions'!$X$30^2/2))</f>
        <v>0.00724789507102255</v>
      </c>
      <c r="G1098" s="45" t="n">
        <f aca="false">ROUND(C1098*F1098,0)</f>
        <v>585</v>
      </c>
      <c r="H1098" s="48" t="n">
        <f aca="false">MAX(0,(C1098*'Model Inputs &amp; Assumptions'!$N$30+E1098*'Model Inputs &amp; Assumptions'!$O$30+G1098*'Model Inputs &amp; Assumptions'!$P$30)*EXP('Model Inputs &amp; Assumptions'!$Q$30*S1098-'Model Inputs &amp; Assumptions'!$Q$30^2/2))</f>
        <v>36.8700230769145</v>
      </c>
      <c r="I1098" s="49" t="n">
        <f aca="false">IF('Model Inputs &amp; Assumptions'!$H$30="Fixed",'Model Inputs &amp; Assumptions'!$I$30*'Model Inputs &amp; Assumptions'!$K$30,IF('Model Inputs &amp; Assumptions'!$H$30="CPM",'Model Inputs &amp; Assumptions'!$I$30*'Model Inputs &amp; Assumptions'!$K$30*C1098/1000,IF('Model Inputs &amp; Assumptions'!$H$30="CPC",'Model Inputs &amp; Assumptions'!$I$30*'Model Inputs &amp; Assumptions'!$K$30*G1098,0)))</f>
        <v>6900</v>
      </c>
      <c r="J1098" s="50" t="n">
        <f aca="false">H1098*INDEX('Model Inputs &amp; Assumptions'!$D$40:$D$42,MATCH('Model Inputs &amp; Assumptions'!$L$30,'Model Inputs &amp; Assumptions'!$A$40:$A$42,0))*INDEX('Model Inputs &amp; Assumptions'!$H$40:$H$42,MATCH('Model Inputs &amp; Assumptions'!$L$30,'Model Inputs &amp; Assumptions'!$A$40:$A$42,0))</f>
        <v>265464.166153785</v>
      </c>
      <c r="K1098" s="49" t="n">
        <f aca="false">H1098*INDEX('Model Inputs &amp; Assumptions'!$G$40:$G$42,MATCH('Model Inputs &amp; Assumptions'!$L$30,'Model Inputs &amp; Assumptions'!$A$40:$A$42,0))*INDEX('Model Inputs &amp; Assumptions'!$H$40:$H$42,MATCH('Model Inputs &amp; Assumptions'!$L$30,'Model Inputs &amp; Assumptions'!$A$40:$A$42,0))</f>
        <v>5853.48486369095</v>
      </c>
      <c r="L1098" s="51" t="n">
        <f aca="false">IFERROR(K1098/I1098,0)</f>
        <v>0.848331139665355</v>
      </c>
      <c r="M1098" s="49" t="n">
        <f aca="false">IFERROR(I1098/H1098,0)</f>
        <v>187.143902394797</v>
      </c>
      <c r="N1098" s="52" t="str">
        <f aca="false">'Model Inputs &amp; Assumptions'!$L$30</f>
        <v>PRD-USIQ</v>
      </c>
      <c r="P1098" s="53" t="n">
        <v>-0.663515</v>
      </c>
      <c r="Q1098" s="53" t="n">
        <v>0.380524</v>
      </c>
      <c r="R1098" s="53" t="n">
        <v>-0.583203</v>
      </c>
      <c r="S1098" s="53" t="n">
        <v>0.00162</v>
      </c>
    </row>
    <row r="1099" customFormat="false" ht="15" hidden="false" customHeight="false" outlineLevel="0" collapsed="false">
      <c r="A1099" s="43" t="n">
        <v>96</v>
      </c>
      <c r="B1099" s="44" t="str">
        <f aca="false">'Model Inputs &amp; Assumptions'!$B$30</f>
        <v>extraETF — Newsletter Takeover</v>
      </c>
      <c r="C1099" s="45" t="n">
        <f aca="false">ROUND(MAX(0,'Model Inputs &amp; Assumptions'!$S$30*EXP('Model Inputs &amp; Assumptions'!$T$30*P1099-'Model Inputs &amp; Assumptions'!$T$30^2/2)),0)</f>
        <v>92281</v>
      </c>
      <c r="D1099" s="46" t="n">
        <f aca="false">MIN(1,'Model Inputs &amp; Assumptions'!$U$30*EXP('Model Inputs &amp; Assumptions'!$V$30*Q1099-'Model Inputs &amp; Assumptions'!$V$30^2/2))</f>
        <v>0</v>
      </c>
      <c r="E1099" s="45" t="n">
        <f aca="false">ROUND(C1099*D1099,0)</f>
        <v>0</v>
      </c>
      <c r="F1099" s="47" t="n">
        <f aca="false">MIN(1,'Model Inputs &amp; Assumptions'!$W$30*EXP('Model Inputs &amp; Assumptions'!$X$30*R1099-'Model Inputs &amp; Assumptions'!$X$30^2/2))</f>
        <v>0.00959150625448088</v>
      </c>
      <c r="G1099" s="45" t="n">
        <f aca="false">ROUND(C1099*F1099,0)</f>
        <v>885</v>
      </c>
      <c r="H1099" s="48" t="n">
        <f aca="false">MAX(0,(C1099*'Model Inputs &amp; Assumptions'!$N$30+E1099*'Model Inputs &amp; Assumptions'!$O$30+G1099*'Model Inputs &amp; Assumptions'!$P$30)*EXP('Model Inputs &amp; Assumptions'!$Q$30*S1099-'Model Inputs &amp; Assumptions'!$Q$30^2/2))</f>
        <v>65.5815322621333</v>
      </c>
      <c r="I1099" s="49" t="n">
        <f aca="false">IF('Model Inputs &amp; Assumptions'!$H$30="Fixed",'Model Inputs &amp; Assumptions'!$I$30*'Model Inputs &amp; Assumptions'!$K$30,IF('Model Inputs &amp; Assumptions'!$H$30="CPM",'Model Inputs &amp; Assumptions'!$I$30*'Model Inputs &amp; Assumptions'!$K$30*C1099/1000,IF('Model Inputs &amp; Assumptions'!$H$30="CPC",'Model Inputs &amp; Assumptions'!$I$30*'Model Inputs &amp; Assumptions'!$K$30*G1099,0)))</f>
        <v>6900</v>
      </c>
      <c r="J1099" s="50" t="n">
        <f aca="false">H1099*INDEX('Model Inputs &amp; Assumptions'!$D$40:$D$42,MATCH('Model Inputs &amp; Assumptions'!$L$30,'Model Inputs &amp; Assumptions'!$A$40:$A$42,0))*INDEX('Model Inputs &amp; Assumptions'!$H$40:$H$42,MATCH('Model Inputs &amp; Assumptions'!$L$30,'Model Inputs &amp; Assumptions'!$A$40:$A$42,0))</f>
        <v>472187.03228736</v>
      </c>
      <c r="K1099" s="49" t="n">
        <f aca="false">H1099*INDEX('Model Inputs &amp; Assumptions'!$G$40:$G$42,MATCH('Model Inputs &amp; Assumptions'!$L$30,'Model Inputs &amp; Assumptions'!$A$40:$A$42,0))*INDEX('Model Inputs &amp; Assumptions'!$H$40:$H$42,MATCH('Model Inputs &amp; Assumptions'!$L$30,'Model Inputs &amp; Assumptions'!$A$40:$A$42,0))</f>
        <v>10411.7240619363</v>
      </c>
      <c r="L1099" s="51" t="n">
        <f aca="false">IFERROR(K1099/I1099,0)</f>
        <v>1.50894551622265</v>
      </c>
      <c r="M1099" s="49" t="n">
        <f aca="false">IFERROR(I1099/H1099,0)</f>
        <v>105.212546306791</v>
      </c>
      <c r="N1099" s="52" t="str">
        <f aca="false">'Model Inputs &amp; Assumptions'!$L$30</f>
        <v>PRD-USIQ</v>
      </c>
      <c r="P1099" s="53" t="n">
        <v>0.455803</v>
      </c>
      <c r="Q1099" s="53" t="n">
        <v>-0.427278</v>
      </c>
      <c r="R1099" s="53" t="n">
        <v>1.284576</v>
      </c>
      <c r="S1099" s="53" t="n">
        <v>0.649298</v>
      </c>
    </row>
    <row r="1100" customFormat="false" ht="15" hidden="false" customHeight="false" outlineLevel="0" collapsed="false">
      <c r="A1100" s="43" t="n">
        <v>97</v>
      </c>
      <c r="B1100" s="44" t="str">
        <f aca="false">'Model Inputs &amp; Assumptions'!$B$30</f>
        <v>extraETF — Newsletter Takeover</v>
      </c>
      <c r="C1100" s="45" t="n">
        <f aca="false">ROUND(MAX(0,'Model Inputs &amp; Assumptions'!$S$30*EXP('Model Inputs &amp; Assumptions'!$T$30*P1100-'Model Inputs &amp; Assumptions'!$T$30^2/2)),0)</f>
        <v>90241</v>
      </c>
      <c r="D1100" s="46" t="n">
        <f aca="false">MIN(1,'Model Inputs &amp; Assumptions'!$U$30*EXP('Model Inputs &amp; Assumptions'!$V$30*Q1100-'Model Inputs &amp; Assumptions'!$V$30^2/2))</f>
        <v>0</v>
      </c>
      <c r="E1100" s="45" t="n">
        <f aca="false">ROUND(C1100*D1100,0)</f>
        <v>0</v>
      </c>
      <c r="F1100" s="47" t="n">
        <f aca="false">MIN(1,'Model Inputs &amp; Assumptions'!$W$30*EXP('Model Inputs &amp; Assumptions'!$X$30*R1100-'Model Inputs &amp; Assumptions'!$X$30^2/2))</f>
        <v>0.00824929169640672</v>
      </c>
      <c r="G1100" s="45" t="n">
        <f aca="false">ROUND(C1100*F1100,0)</f>
        <v>744</v>
      </c>
      <c r="H1100" s="48" t="n">
        <f aca="false">MAX(0,(C1100*'Model Inputs &amp; Assumptions'!$N$30+E1100*'Model Inputs &amp; Assumptions'!$O$30+G1100*'Model Inputs &amp; Assumptions'!$P$30)*EXP('Model Inputs &amp; Assumptions'!$Q$30*S1100-'Model Inputs &amp; Assumptions'!$Q$30^2/2))</f>
        <v>48.5057950196342</v>
      </c>
      <c r="I1100" s="49" t="n">
        <f aca="false">IF('Model Inputs &amp; Assumptions'!$H$30="Fixed",'Model Inputs &amp; Assumptions'!$I$30*'Model Inputs &amp; Assumptions'!$K$30,IF('Model Inputs &amp; Assumptions'!$H$30="CPM",'Model Inputs &amp; Assumptions'!$I$30*'Model Inputs &amp; Assumptions'!$K$30*C1100/1000,IF('Model Inputs &amp; Assumptions'!$H$30="CPC",'Model Inputs &amp; Assumptions'!$I$30*'Model Inputs &amp; Assumptions'!$K$30*G1100,0)))</f>
        <v>6900</v>
      </c>
      <c r="J1100" s="50" t="n">
        <f aca="false">H1100*INDEX('Model Inputs &amp; Assumptions'!$D$40:$D$42,MATCH('Model Inputs &amp; Assumptions'!$L$30,'Model Inputs &amp; Assumptions'!$A$40:$A$42,0))*INDEX('Model Inputs &amp; Assumptions'!$H$40:$H$42,MATCH('Model Inputs &amp; Assumptions'!$L$30,'Model Inputs &amp; Assumptions'!$A$40:$A$42,0))</f>
        <v>349241.724141366</v>
      </c>
      <c r="K1100" s="49" t="n">
        <f aca="false">H1100*INDEX('Model Inputs &amp; Assumptions'!$G$40:$G$42,MATCH('Model Inputs &amp; Assumptions'!$L$30,'Model Inputs &amp; Assumptions'!$A$40:$A$42,0))*INDEX('Model Inputs &amp; Assumptions'!$H$40:$H$42,MATCH('Model Inputs &amp; Assumptions'!$L$30,'Model Inputs &amp; Assumptions'!$A$40:$A$42,0))</f>
        <v>7700.78001731713</v>
      </c>
      <c r="L1100" s="51" t="n">
        <f aca="false">IFERROR(K1100/I1100,0)</f>
        <v>1.1160550749735</v>
      </c>
      <c r="M1100" s="49" t="n">
        <f aca="false">IFERROR(I1100/H1100,0)</f>
        <v>142.251044379481</v>
      </c>
      <c r="N1100" s="52" t="str">
        <f aca="false">'Model Inputs &amp; Assumptions'!$L$30</f>
        <v>PRD-USIQ</v>
      </c>
      <c r="P1100" s="53" t="n">
        <v>0.269578</v>
      </c>
      <c r="Q1100" s="53" t="n">
        <v>-0.317866</v>
      </c>
      <c r="R1100" s="53" t="n">
        <v>0.279572</v>
      </c>
      <c r="S1100" s="53" t="n">
        <v>0.137041</v>
      </c>
    </row>
    <row r="1101" customFormat="false" ht="15" hidden="false" customHeight="false" outlineLevel="0" collapsed="false">
      <c r="A1101" s="43" t="n">
        <v>98</v>
      </c>
      <c r="B1101" s="44" t="str">
        <f aca="false">'Model Inputs &amp; Assumptions'!$B$30</f>
        <v>extraETF — Newsletter Takeover</v>
      </c>
      <c r="C1101" s="45" t="n">
        <f aca="false">ROUND(MAX(0,'Model Inputs &amp; Assumptions'!$S$30*EXP('Model Inputs &amp; Assumptions'!$T$30*P1101-'Model Inputs &amp; Assumptions'!$T$30^2/2)),0)</f>
        <v>89205</v>
      </c>
      <c r="D1101" s="46" t="n">
        <f aca="false">MIN(1,'Model Inputs &amp; Assumptions'!$U$30*EXP('Model Inputs &amp; Assumptions'!$V$30*Q1101-'Model Inputs &amp; Assumptions'!$V$30^2/2))</f>
        <v>0</v>
      </c>
      <c r="E1101" s="45" t="n">
        <f aca="false">ROUND(C1101*D1101,0)</f>
        <v>0</v>
      </c>
      <c r="F1101" s="47" t="n">
        <f aca="false">MIN(1,'Model Inputs &amp; Assumptions'!$W$30*EXP('Model Inputs &amp; Assumptions'!$X$30*R1101-'Model Inputs &amp; Assumptions'!$X$30^2/2))</f>
        <v>0.00827493686543912</v>
      </c>
      <c r="G1101" s="45" t="n">
        <f aca="false">ROUND(C1101*F1101,0)</f>
        <v>738</v>
      </c>
      <c r="H1101" s="48" t="n">
        <f aca="false">MAX(0,(C1101*'Model Inputs &amp; Assumptions'!$N$30+E1101*'Model Inputs &amp; Assumptions'!$O$30+G1101*'Model Inputs &amp; Assumptions'!$P$30)*EXP('Model Inputs &amp; Assumptions'!$Q$30*S1101-'Model Inputs &amp; Assumptions'!$Q$30^2/2))</f>
        <v>42.3926316592203</v>
      </c>
      <c r="I1101" s="49" t="n">
        <f aca="false">IF('Model Inputs &amp; Assumptions'!$H$30="Fixed",'Model Inputs &amp; Assumptions'!$I$30*'Model Inputs &amp; Assumptions'!$K$30,IF('Model Inputs &amp; Assumptions'!$H$30="CPM",'Model Inputs &amp; Assumptions'!$I$30*'Model Inputs &amp; Assumptions'!$K$30*C1101/1000,IF('Model Inputs &amp; Assumptions'!$H$30="CPC",'Model Inputs &amp; Assumptions'!$I$30*'Model Inputs &amp; Assumptions'!$K$30*G1101,0)))</f>
        <v>6900</v>
      </c>
      <c r="J1101" s="50" t="n">
        <f aca="false">H1101*INDEX('Model Inputs &amp; Assumptions'!$D$40:$D$42,MATCH('Model Inputs &amp; Assumptions'!$L$30,'Model Inputs &amp; Assumptions'!$A$40:$A$42,0))*INDEX('Model Inputs &amp; Assumptions'!$H$40:$H$42,MATCH('Model Inputs &amp; Assumptions'!$L$30,'Model Inputs &amp; Assumptions'!$A$40:$A$42,0))</f>
        <v>305226.947946386</v>
      </c>
      <c r="K1101" s="49" t="n">
        <f aca="false">H1101*INDEX('Model Inputs &amp; Assumptions'!$G$40:$G$42,MATCH('Model Inputs &amp; Assumptions'!$L$30,'Model Inputs &amp; Assumptions'!$A$40:$A$42,0))*INDEX('Model Inputs &amp; Assumptions'!$H$40:$H$42,MATCH('Model Inputs &amp; Assumptions'!$L$30,'Model Inputs &amp; Assumptions'!$A$40:$A$42,0))</f>
        <v>6730.25420221781</v>
      </c>
      <c r="L1101" s="51" t="n">
        <f aca="false">IFERROR(K1101/I1101,0)</f>
        <v>0.975399159741711</v>
      </c>
      <c r="M1101" s="49" t="n">
        <f aca="false">IFERROR(I1101/H1101,0)</f>
        <v>162.764134471922</v>
      </c>
      <c r="N1101" s="52" t="str">
        <f aca="false">'Model Inputs &amp; Assumptions'!$L$30</f>
        <v>PRD-USIQ</v>
      </c>
      <c r="P1101" s="53" t="n">
        <v>0.173311</v>
      </c>
      <c r="Q1101" s="53" t="n">
        <v>1.078327</v>
      </c>
      <c r="R1101" s="53" t="n">
        <v>0.300265</v>
      </c>
      <c r="S1101" s="53" t="n">
        <v>-0.369405</v>
      </c>
    </row>
    <row r="1102" customFormat="false" ht="15" hidden="false" customHeight="false" outlineLevel="0" collapsed="false">
      <c r="A1102" s="43" t="n">
        <v>99</v>
      </c>
      <c r="B1102" s="44" t="str">
        <f aca="false">'Model Inputs &amp; Assumptions'!$B$30</f>
        <v>extraETF — Newsletter Takeover</v>
      </c>
      <c r="C1102" s="45" t="n">
        <f aca="false">ROUND(MAX(0,'Model Inputs &amp; Assumptions'!$S$30*EXP('Model Inputs &amp; Assumptions'!$T$30*P1102-'Model Inputs &amp; Assumptions'!$T$30^2/2)),0)</f>
        <v>90759</v>
      </c>
      <c r="D1102" s="46" t="n">
        <f aca="false">MIN(1,'Model Inputs &amp; Assumptions'!$U$30*EXP('Model Inputs &amp; Assumptions'!$V$30*Q1102-'Model Inputs &amp; Assumptions'!$V$30^2/2))</f>
        <v>0</v>
      </c>
      <c r="E1102" s="45" t="n">
        <f aca="false">ROUND(C1102*D1102,0)</f>
        <v>0</v>
      </c>
      <c r="F1102" s="47" t="n">
        <f aca="false">MIN(1,'Model Inputs &amp; Assumptions'!$W$30*EXP('Model Inputs &amp; Assumptions'!$X$30*R1102-'Model Inputs &amp; Assumptions'!$X$30^2/2))</f>
        <v>0.0070836796103879</v>
      </c>
      <c r="G1102" s="45" t="n">
        <f aca="false">ROUND(C1102*F1102,0)</f>
        <v>643</v>
      </c>
      <c r="H1102" s="48" t="n">
        <f aca="false">MAX(0,(C1102*'Model Inputs &amp; Assumptions'!$N$30+E1102*'Model Inputs &amp; Assumptions'!$O$30+G1102*'Model Inputs &amp; Assumptions'!$P$30)*EXP('Model Inputs &amp; Assumptions'!$Q$30*S1102-'Model Inputs &amp; Assumptions'!$Q$30^2/2))</f>
        <v>26.9647299836013</v>
      </c>
      <c r="I1102" s="49" t="n">
        <f aca="false">IF('Model Inputs &amp; Assumptions'!$H$30="Fixed",'Model Inputs &amp; Assumptions'!$I$30*'Model Inputs &amp; Assumptions'!$K$30,IF('Model Inputs &amp; Assumptions'!$H$30="CPM",'Model Inputs &amp; Assumptions'!$I$30*'Model Inputs &amp; Assumptions'!$K$30*C1102/1000,IF('Model Inputs &amp; Assumptions'!$H$30="CPC",'Model Inputs &amp; Assumptions'!$I$30*'Model Inputs &amp; Assumptions'!$K$30*G1102,0)))</f>
        <v>6900</v>
      </c>
      <c r="J1102" s="50" t="n">
        <f aca="false">H1102*INDEX('Model Inputs &amp; Assumptions'!$D$40:$D$42,MATCH('Model Inputs &amp; Assumptions'!$L$30,'Model Inputs &amp; Assumptions'!$A$40:$A$42,0))*INDEX('Model Inputs &amp; Assumptions'!$H$40:$H$42,MATCH('Model Inputs &amp; Assumptions'!$L$30,'Model Inputs &amp; Assumptions'!$A$40:$A$42,0))</f>
        <v>194146.05588193</v>
      </c>
      <c r="K1102" s="49" t="n">
        <f aca="false">H1102*INDEX('Model Inputs &amp; Assumptions'!$G$40:$G$42,MATCH('Model Inputs &amp; Assumptions'!$L$30,'Model Inputs &amp; Assumptions'!$A$40:$A$42,0))*INDEX('Model Inputs &amp; Assumptions'!$H$40:$H$42,MATCH('Model Inputs &amp; Assumptions'!$L$30,'Model Inputs &amp; Assumptions'!$A$40:$A$42,0))</f>
        <v>4280.92053219655</v>
      </c>
      <c r="L1102" s="51" t="n">
        <f aca="false">IFERROR(K1102/I1102,0)</f>
        <v>0.620423265535732</v>
      </c>
      <c r="M1102" s="49" t="n">
        <f aca="false">IFERROR(I1102/H1102,0)</f>
        <v>255.889823639853</v>
      </c>
      <c r="N1102" s="52" t="str">
        <f aca="false">'Model Inputs &amp; Assumptions'!$L$30</f>
        <v>PRD-USIQ</v>
      </c>
      <c r="P1102" s="53" t="n">
        <v>0.317287</v>
      </c>
      <c r="Q1102" s="53" t="n">
        <v>-0.06788</v>
      </c>
      <c r="R1102" s="53" t="n">
        <v>-0.735987</v>
      </c>
      <c r="S1102" s="53" t="n">
        <v>-1.627988</v>
      </c>
    </row>
    <row r="1103" customFormat="false" ht="15" hidden="false" customHeight="false" outlineLevel="0" collapsed="false">
      <c r="A1103" s="43" t="n">
        <v>100</v>
      </c>
      <c r="B1103" s="44" t="str">
        <f aca="false">'Model Inputs &amp; Assumptions'!$B$30</f>
        <v>extraETF — Newsletter Takeover</v>
      </c>
      <c r="C1103" s="45" t="n">
        <f aca="false">ROUND(MAX(0,'Model Inputs &amp; Assumptions'!$S$30*EXP('Model Inputs &amp; Assumptions'!$T$30*P1103-'Model Inputs &amp; Assumptions'!$T$30^2/2)),0)</f>
        <v>76440</v>
      </c>
      <c r="D1103" s="46" t="n">
        <f aca="false">MIN(1,'Model Inputs &amp; Assumptions'!$U$30*EXP('Model Inputs &amp; Assumptions'!$V$30*Q1103-'Model Inputs &amp; Assumptions'!$V$30^2/2))</f>
        <v>0</v>
      </c>
      <c r="E1103" s="45" t="n">
        <f aca="false">ROUND(C1103*D1103,0)</f>
        <v>0</v>
      </c>
      <c r="F1103" s="47" t="n">
        <f aca="false">MIN(1,'Model Inputs &amp; Assumptions'!$W$30*EXP('Model Inputs &amp; Assumptions'!$X$30*R1103-'Model Inputs &amp; Assumptions'!$X$30^2/2))</f>
        <v>0.00656603691809824</v>
      </c>
      <c r="G1103" s="45" t="n">
        <f aca="false">ROUND(C1103*F1103,0)</f>
        <v>502</v>
      </c>
      <c r="H1103" s="48" t="n">
        <f aca="false">MAX(0,(C1103*'Model Inputs &amp; Assumptions'!$N$30+E1103*'Model Inputs &amp; Assumptions'!$O$30+G1103*'Model Inputs &amp; Assumptions'!$P$30)*EXP('Model Inputs &amp; Assumptions'!$Q$30*S1103-'Model Inputs &amp; Assumptions'!$Q$30^2/2))</f>
        <v>35.0621643595951</v>
      </c>
      <c r="I1103" s="49" t="n">
        <f aca="false">IF('Model Inputs &amp; Assumptions'!$H$30="Fixed",'Model Inputs &amp; Assumptions'!$I$30*'Model Inputs &amp; Assumptions'!$K$30,IF('Model Inputs &amp; Assumptions'!$H$30="CPM",'Model Inputs &amp; Assumptions'!$I$30*'Model Inputs &amp; Assumptions'!$K$30*C1103/1000,IF('Model Inputs &amp; Assumptions'!$H$30="CPC",'Model Inputs &amp; Assumptions'!$I$30*'Model Inputs &amp; Assumptions'!$K$30*G1103,0)))</f>
        <v>6900</v>
      </c>
      <c r="J1103" s="50" t="n">
        <f aca="false">H1103*INDEX('Model Inputs &amp; Assumptions'!$D$40:$D$42,MATCH('Model Inputs &amp; Assumptions'!$L$30,'Model Inputs &amp; Assumptions'!$A$40:$A$42,0))*INDEX('Model Inputs &amp; Assumptions'!$H$40:$H$42,MATCH('Model Inputs &amp; Assumptions'!$L$30,'Model Inputs &amp; Assumptions'!$A$40:$A$42,0))</f>
        <v>252447.583389085</v>
      </c>
      <c r="K1103" s="49" t="n">
        <f aca="false">H1103*INDEX('Model Inputs &amp; Assumptions'!$G$40:$G$42,MATCH('Model Inputs &amp; Assumptions'!$L$30,'Model Inputs &amp; Assumptions'!$A$40:$A$42,0))*INDEX('Model Inputs &amp; Assumptions'!$H$40:$H$42,MATCH('Model Inputs &amp; Assumptions'!$L$30,'Model Inputs &amp; Assumptions'!$A$40:$A$42,0))</f>
        <v>5566.46921372932</v>
      </c>
      <c r="L1103" s="51" t="n">
        <f aca="false">IFERROR(K1103/I1103,0)</f>
        <v>0.806734668656424</v>
      </c>
      <c r="M1103" s="49" t="n">
        <f aca="false">IFERROR(I1103/H1103,0)</f>
        <v>196.793327680347</v>
      </c>
      <c r="N1103" s="52" t="str">
        <f aca="false">'Model Inputs &amp; Assumptions'!$L$30</f>
        <v>PRD-USIQ</v>
      </c>
      <c r="P1103" s="53" t="n">
        <v>-1.11356</v>
      </c>
      <c r="Q1103" s="53" t="n">
        <v>0.617565</v>
      </c>
      <c r="R1103" s="53" t="n">
        <v>-1.241874</v>
      </c>
      <c r="S1103" s="53" t="n">
        <v>0.412562</v>
      </c>
    </row>
    <row r="1104" customFormat="false" ht="15" hidden="false" customHeight="false" outlineLevel="0" collapsed="false">
      <c r="A1104" s="43" t="n">
        <v>101</v>
      </c>
      <c r="B1104" s="44" t="str">
        <f aca="false">'Model Inputs &amp; Assumptions'!$B$30</f>
        <v>extraETF — Newsletter Takeover</v>
      </c>
      <c r="C1104" s="45" t="n">
        <f aca="false">ROUND(MAX(0,'Model Inputs &amp; Assumptions'!$S$30*EXP('Model Inputs &amp; Assumptions'!$T$30*P1104-'Model Inputs &amp; Assumptions'!$T$30^2/2)),0)</f>
        <v>106318</v>
      </c>
      <c r="D1104" s="46" t="n">
        <f aca="false">MIN(1,'Model Inputs &amp; Assumptions'!$U$30*EXP('Model Inputs &amp; Assumptions'!$V$30*Q1104-'Model Inputs &amp; Assumptions'!$V$30^2/2))</f>
        <v>0</v>
      </c>
      <c r="E1104" s="45" t="n">
        <f aca="false">ROUND(C1104*D1104,0)</f>
        <v>0</v>
      </c>
      <c r="F1104" s="47" t="n">
        <f aca="false">MIN(1,'Model Inputs &amp; Assumptions'!$W$30*EXP('Model Inputs &amp; Assumptions'!$X$30*R1104-'Model Inputs &amp; Assumptions'!$X$30^2/2))</f>
        <v>0.00789338637933327</v>
      </c>
      <c r="G1104" s="45" t="n">
        <f aca="false">ROUND(C1104*F1104,0)</f>
        <v>839</v>
      </c>
      <c r="H1104" s="48" t="n">
        <f aca="false">MAX(0,(C1104*'Model Inputs &amp; Assumptions'!$N$30+E1104*'Model Inputs &amp; Assumptions'!$O$30+G1104*'Model Inputs &amp; Assumptions'!$P$30)*EXP('Model Inputs &amp; Assumptions'!$Q$30*S1104-'Model Inputs &amp; Assumptions'!$Q$30^2/2))</f>
        <v>39.6985811349517</v>
      </c>
      <c r="I1104" s="49" t="n">
        <f aca="false">IF('Model Inputs &amp; Assumptions'!$H$30="Fixed",'Model Inputs &amp; Assumptions'!$I$30*'Model Inputs &amp; Assumptions'!$K$30,IF('Model Inputs &amp; Assumptions'!$H$30="CPM",'Model Inputs &amp; Assumptions'!$I$30*'Model Inputs &amp; Assumptions'!$K$30*C1104/1000,IF('Model Inputs &amp; Assumptions'!$H$30="CPC",'Model Inputs &amp; Assumptions'!$I$30*'Model Inputs &amp; Assumptions'!$K$30*G1104,0)))</f>
        <v>6900</v>
      </c>
      <c r="J1104" s="50" t="n">
        <f aca="false">H1104*INDEX('Model Inputs &amp; Assumptions'!$D$40:$D$42,MATCH('Model Inputs &amp; Assumptions'!$L$30,'Model Inputs &amp; Assumptions'!$A$40:$A$42,0))*INDEX('Model Inputs &amp; Assumptions'!$H$40:$H$42,MATCH('Model Inputs &amp; Assumptions'!$L$30,'Model Inputs &amp; Assumptions'!$A$40:$A$42,0))</f>
        <v>285829.784171652</v>
      </c>
      <c r="K1104" s="49" t="n">
        <f aca="false">H1104*INDEX('Model Inputs &amp; Assumptions'!$G$40:$G$42,MATCH('Model Inputs &amp; Assumptions'!$L$30,'Model Inputs &amp; Assumptions'!$A$40:$A$42,0))*INDEX('Model Inputs &amp; Assumptions'!$H$40:$H$42,MATCH('Model Inputs &amp; Assumptions'!$L$30,'Model Inputs &amp; Assumptions'!$A$40:$A$42,0))</f>
        <v>6302.54674098493</v>
      </c>
      <c r="L1104" s="51" t="n">
        <f aca="false">IFERROR(K1104/I1104,0)</f>
        <v>0.913412571157236</v>
      </c>
      <c r="M1104" s="49" t="n">
        <f aca="false">IFERROR(I1104/H1104,0)</f>
        <v>173.809738351708</v>
      </c>
      <c r="N1104" s="52" t="str">
        <f aca="false">'Model Inputs &amp; Assumptions'!$L$30</f>
        <v>PRD-USIQ</v>
      </c>
      <c r="P1104" s="53" t="n">
        <v>1.635832</v>
      </c>
      <c r="Q1104" s="53" t="n">
        <v>0.30732</v>
      </c>
      <c r="R1104" s="53" t="n">
        <v>-0.014442</v>
      </c>
      <c r="S1104" s="53" t="n">
        <v>-1.145109</v>
      </c>
    </row>
    <row r="1105" customFormat="false" ht="15" hidden="false" customHeight="false" outlineLevel="0" collapsed="false">
      <c r="A1105" s="43" t="n">
        <v>102</v>
      </c>
      <c r="B1105" s="44" t="str">
        <f aca="false">'Model Inputs &amp; Assumptions'!$B$30</f>
        <v>extraETF — Newsletter Takeover</v>
      </c>
      <c r="C1105" s="45" t="n">
        <f aca="false">ROUND(MAX(0,'Model Inputs &amp; Assumptions'!$S$30*EXP('Model Inputs &amp; Assumptions'!$T$30*P1105-'Model Inputs &amp; Assumptions'!$T$30^2/2)),0)</f>
        <v>85623</v>
      </c>
      <c r="D1105" s="46" t="n">
        <f aca="false">MIN(1,'Model Inputs &amp; Assumptions'!$U$30*EXP('Model Inputs &amp; Assumptions'!$V$30*Q1105-'Model Inputs &amp; Assumptions'!$V$30^2/2))</f>
        <v>0</v>
      </c>
      <c r="E1105" s="45" t="n">
        <f aca="false">ROUND(C1105*D1105,0)</f>
        <v>0</v>
      </c>
      <c r="F1105" s="47" t="n">
        <f aca="false">MIN(1,'Model Inputs &amp; Assumptions'!$W$30*EXP('Model Inputs &amp; Assumptions'!$X$30*R1105-'Model Inputs &amp; Assumptions'!$X$30^2/2))</f>
        <v>0.00756425786783919</v>
      </c>
      <c r="G1105" s="45" t="n">
        <f aca="false">ROUND(C1105*F1105,0)</f>
        <v>648</v>
      </c>
      <c r="H1105" s="48" t="n">
        <f aca="false">MAX(0,(C1105*'Model Inputs &amp; Assumptions'!$N$30+E1105*'Model Inputs &amp; Assumptions'!$O$30+G1105*'Model Inputs &amp; Assumptions'!$P$30)*EXP('Model Inputs &amp; Assumptions'!$Q$30*S1105-'Model Inputs &amp; Assumptions'!$Q$30^2/2))</f>
        <v>47.4482639411163</v>
      </c>
      <c r="I1105" s="49" t="n">
        <f aca="false">IF('Model Inputs &amp; Assumptions'!$H$30="Fixed",'Model Inputs &amp; Assumptions'!$I$30*'Model Inputs &amp; Assumptions'!$K$30,IF('Model Inputs &amp; Assumptions'!$H$30="CPM",'Model Inputs &amp; Assumptions'!$I$30*'Model Inputs &amp; Assumptions'!$K$30*C1105/1000,IF('Model Inputs &amp; Assumptions'!$H$30="CPC",'Model Inputs &amp; Assumptions'!$I$30*'Model Inputs &amp; Assumptions'!$K$30*G1105,0)))</f>
        <v>6900</v>
      </c>
      <c r="J1105" s="50" t="n">
        <f aca="false">H1105*INDEX('Model Inputs &amp; Assumptions'!$D$40:$D$42,MATCH('Model Inputs &amp; Assumptions'!$L$30,'Model Inputs &amp; Assumptions'!$A$40:$A$42,0))*INDEX('Model Inputs &amp; Assumptions'!$H$40:$H$42,MATCH('Model Inputs &amp; Assumptions'!$L$30,'Model Inputs &amp; Assumptions'!$A$40:$A$42,0))</f>
        <v>341627.500376037</v>
      </c>
      <c r="K1105" s="49" t="n">
        <f aca="false">H1105*INDEX('Model Inputs &amp; Assumptions'!$G$40:$G$42,MATCH('Model Inputs &amp; Assumptions'!$L$30,'Model Inputs &amp; Assumptions'!$A$40:$A$42,0))*INDEX('Model Inputs &amp; Assumptions'!$H$40:$H$42,MATCH('Model Inputs &amp; Assumptions'!$L$30,'Model Inputs &amp; Assumptions'!$A$40:$A$42,0))</f>
        <v>7532.88638329162</v>
      </c>
      <c r="L1105" s="51" t="n">
        <f aca="false">IFERROR(K1105/I1105,0)</f>
        <v>1.09172266424516</v>
      </c>
      <c r="M1105" s="49" t="n">
        <f aca="false">IFERROR(I1105/H1105,0)</f>
        <v>145.421548163763</v>
      </c>
      <c r="N1105" s="52" t="str">
        <f aca="false">'Model Inputs &amp; Assumptions'!$L$30</f>
        <v>PRD-USIQ</v>
      </c>
      <c r="P1105" s="53" t="n">
        <v>-0.168229</v>
      </c>
      <c r="Q1105" s="53" t="n">
        <v>1.227479</v>
      </c>
      <c r="R1105" s="53" t="n">
        <v>-0.298382</v>
      </c>
      <c r="S1105" s="53" t="n">
        <v>0.601469</v>
      </c>
    </row>
    <row r="1106" customFormat="false" ht="15" hidden="false" customHeight="false" outlineLevel="0" collapsed="false">
      <c r="A1106" s="43" t="n">
        <v>103</v>
      </c>
      <c r="B1106" s="44" t="str">
        <f aca="false">'Model Inputs &amp; Assumptions'!$B$30</f>
        <v>extraETF — Newsletter Takeover</v>
      </c>
      <c r="C1106" s="45" t="n">
        <f aca="false">ROUND(MAX(0,'Model Inputs &amp; Assumptions'!$S$30*EXP('Model Inputs &amp; Assumptions'!$T$30*P1106-'Model Inputs &amp; Assumptions'!$T$30^2/2)),0)</f>
        <v>85311</v>
      </c>
      <c r="D1106" s="46" t="n">
        <f aca="false">MIN(1,'Model Inputs &amp; Assumptions'!$U$30*EXP('Model Inputs &amp; Assumptions'!$V$30*Q1106-'Model Inputs &amp; Assumptions'!$V$30^2/2))</f>
        <v>0</v>
      </c>
      <c r="E1106" s="45" t="n">
        <f aca="false">ROUND(C1106*D1106,0)</f>
        <v>0</v>
      </c>
      <c r="F1106" s="47" t="n">
        <f aca="false">MIN(1,'Model Inputs &amp; Assumptions'!$W$30*EXP('Model Inputs &amp; Assumptions'!$X$30*R1106-'Model Inputs &amp; Assumptions'!$X$30^2/2))</f>
        <v>0.00871271228781695</v>
      </c>
      <c r="G1106" s="45" t="n">
        <f aca="false">ROUND(C1106*F1106,0)</f>
        <v>743</v>
      </c>
      <c r="H1106" s="48" t="n">
        <f aca="false">MAX(0,(C1106*'Model Inputs &amp; Assumptions'!$N$30+E1106*'Model Inputs &amp; Assumptions'!$O$30+G1106*'Model Inputs &amp; Assumptions'!$P$30)*EXP('Model Inputs &amp; Assumptions'!$Q$30*S1106-'Model Inputs &amp; Assumptions'!$Q$30^2/2))</f>
        <v>36.3708829518365</v>
      </c>
      <c r="I1106" s="49" t="n">
        <f aca="false">IF('Model Inputs &amp; Assumptions'!$H$30="Fixed",'Model Inputs &amp; Assumptions'!$I$30*'Model Inputs &amp; Assumptions'!$K$30,IF('Model Inputs &amp; Assumptions'!$H$30="CPM",'Model Inputs &amp; Assumptions'!$I$30*'Model Inputs &amp; Assumptions'!$K$30*C1106/1000,IF('Model Inputs &amp; Assumptions'!$H$30="CPC",'Model Inputs &amp; Assumptions'!$I$30*'Model Inputs &amp; Assumptions'!$K$30*G1106,0)))</f>
        <v>6900</v>
      </c>
      <c r="J1106" s="50" t="n">
        <f aca="false">H1106*INDEX('Model Inputs &amp; Assumptions'!$D$40:$D$42,MATCH('Model Inputs &amp; Assumptions'!$L$30,'Model Inputs &amp; Assumptions'!$A$40:$A$42,0))*INDEX('Model Inputs &amp; Assumptions'!$H$40:$H$42,MATCH('Model Inputs &amp; Assumptions'!$L$30,'Model Inputs &amp; Assumptions'!$A$40:$A$42,0))</f>
        <v>261870.357253223</v>
      </c>
      <c r="K1106" s="49" t="n">
        <f aca="false">H1106*INDEX('Model Inputs &amp; Assumptions'!$G$40:$G$42,MATCH('Model Inputs &amp; Assumptions'!$L$30,'Model Inputs &amp; Assumptions'!$A$40:$A$42,0))*INDEX('Model Inputs &amp; Assumptions'!$H$40:$H$42,MATCH('Model Inputs &amp; Assumptions'!$L$30,'Model Inputs &amp; Assumptions'!$A$40:$A$42,0))</f>
        <v>5774.24137743356</v>
      </c>
      <c r="L1106" s="51" t="n">
        <f aca="false">IFERROR(K1106/I1106,0)</f>
        <v>0.836846576439647</v>
      </c>
      <c r="M1106" s="49" t="n">
        <f aca="false">IFERROR(I1106/H1106,0)</f>
        <v>189.712193930986</v>
      </c>
      <c r="N1106" s="52" t="str">
        <f aca="false">'Model Inputs &amp; Assumptions'!$L$30</f>
        <v>PRD-USIQ</v>
      </c>
      <c r="P1106" s="53" t="n">
        <v>-0.198655</v>
      </c>
      <c r="Q1106" s="53" t="n">
        <v>1.126061</v>
      </c>
      <c r="R1106" s="53" t="n">
        <v>0.643944</v>
      </c>
      <c r="S1106" s="53" t="n">
        <v>-1.009238</v>
      </c>
    </row>
    <row r="1107" customFormat="false" ht="15" hidden="false" customHeight="false" outlineLevel="0" collapsed="false">
      <c r="A1107" s="43" t="n">
        <v>104</v>
      </c>
      <c r="B1107" s="44" t="str">
        <f aca="false">'Model Inputs &amp; Assumptions'!$B$30</f>
        <v>extraETF — Newsletter Takeover</v>
      </c>
      <c r="C1107" s="45" t="n">
        <f aca="false">ROUND(MAX(0,'Model Inputs &amp; Assumptions'!$S$30*EXP('Model Inputs &amp; Assumptions'!$T$30*P1107-'Model Inputs &amp; Assumptions'!$T$30^2/2)),0)</f>
        <v>87924</v>
      </c>
      <c r="D1107" s="46" t="n">
        <f aca="false">MIN(1,'Model Inputs &amp; Assumptions'!$U$30*EXP('Model Inputs &amp; Assumptions'!$V$30*Q1107-'Model Inputs &amp; Assumptions'!$V$30^2/2))</f>
        <v>0</v>
      </c>
      <c r="E1107" s="45" t="n">
        <f aca="false">ROUND(C1107*D1107,0)</f>
        <v>0</v>
      </c>
      <c r="F1107" s="47" t="n">
        <f aca="false">MIN(1,'Model Inputs &amp; Assumptions'!$W$30*EXP('Model Inputs &amp; Assumptions'!$X$30*R1107-'Model Inputs &amp; Assumptions'!$X$30^2/2))</f>
        <v>0.00634055016615215</v>
      </c>
      <c r="G1107" s="45" t="n">
        <f aca="false">ROUND(C1107*F1107,0)</f>
        <v>557</v>
      </c>
      <c r="H1107" s="48" t="n">
        <f aca="false">MAX(0,(C1107*'Model Inputs &amp; Assumptions'!$N$30+E1107*'Model Inputs &amp; Assumptions'!$O$30+G1107*'Model Inputs &amp; Assumptions'!$P$30)*EXP('Model Inputs &amp; Assumptions'!$Q$30*S1107-'Model Inputs &amp; Assumptions'!$Q$30^2/2))</f>
        <v>36.8111018667804</v>
      </c>
      <c r="I1107" s="49" t="n">
        <f aca="false">IF('Model Inputs &amp; Assumptions'!$H$30="Fixed",'Model Inputs &amp; Assumptions'!$I$30*'Model Inputs &amp; Assumptions'!$K$30,IF('Model Inputs &amp; Assumptions'!$H$30="CPM",'Model Inputs &amp; Assumptions'!$I$30*'Model Inputs &amp; Assumptions'!$K$30*C1107/1000,IF('Model Inputs &amp; Assumptions'!$H$30="CPC",'Model Inputs &amp; Assumptions'!$I$30*'Model Inputs &amp; Assumptions'!$K$30*G1107,0)))</f>
        <v>6900</v>
      </c>
      <c r="J1107" s="50" t="n">
        <f aca="false">H1107*INDEX('Model Inputs &amp; Assumptions'!$D$40:$D$42,MATCH('Model Inputs &amp; Assumptions'!$L$30,'Model Inputs &amp; Assumptions'!$A$40:$A$42,0))*INDEX('Model Inputs &amp; Assumptions'!$H$40:$H$42,MATCH('Model Inputs &amp; Assumptions'!$L$30,'Model Inputs &amp; Assumptions'!$A$40:$A$42,0))</f>
        <v>265039.933440819</v>
      </c>
      <c r="K1107" s="49" t="n">
        <f aca="false">H1107*INDEX('Model Inputs &amp; Assumptions'!$G$40:$G$42,MATCH('Model Inputs &amp; Assumptions'!$L$30,'Model Inputs &amp; Assumptions'!$A$40:$A$42,0))*INDEX('Model Inputs &amp; Assumptions'!$H$40:$H$42,MATCH('Model Inputs &amp; Assumptions'!$L$30,'Model Inputs &amp; Assumptions'!$A$40:$A$42,0))</f>
        <v>5844.13053237006</v>
      </c>
      <c r="L1107" s="51" t="n">
        <f aca="false">IFERROR(K1107/I1107,0)</f>
        <v>0.846975439473921</v>
      </c>
      <c r="M1107" s="49" t="n">
        <f aca="false">IFERROR(I1107/H1107,0)</f>
        <v>187.443451841543</v>
      </c>
      <c r="N1107" s="52" t="str">
        <f aca="false">'Model Inputs &amp; Assumptions'!$L$30</f>
        <v>PRD-USIQ</v>
      </c>
      <c r="P1107" s="53" t="n">
        <v>0.052757</v>
      </c>
      <c r="Q1107" s="53" t="n">
        <v>2.318695</v>
      </c>
      <c r="R1107" s="53" t="n">
        <v>-1.47484</v>
      </c>
      <c r="S1107" s="53" t="n">
        <v>0.191409</v>
      </c>
    </row>
    <row r="1108" customFormat="false" ht="15" hidden="false" customHeight="false" outlineLevel="0" collapsed="false">
      <c r="A1108" s="43" t="n">
        <v>105</v>
      </c>
      <c r="B1108" s="44" t="str">
        <f aca="false">'Model Inputs &amp; Assumptions'!$B$30</f>
        <v>extraETF — Newsletter Takeover</v>
      </c>
      <c r="C1108" s="45" t="n">
        <f aca="false">ROUND(MAX(0,'Model Inputs &amp; Assumptions'!$S$30*EXP('Model Inputs &amp; Assumptions'!$T$30*P1108-'Model Inputs &amp; Assumptions'!$T$30^2/2)),0)</f>
        <v>83576</v>
      </c>
      <c r="D1108" s="46" t="n">
        <f aca="false">MIN(1,'Model Inputs &amp; Assumptions'!$U$30*EXP('Model Inputs &amp; Assumptions'!$V$30*Q1108-'Model Inputs &amp; Assumptions'!$V$30^2/2))</f>
        <v>0</v>
      </c>
      <c r="E1108" s="45" t="n">
        <f aca="false">ROUND(C1108*D1108,0)</f>
        <v>0</v>
      </c>
      <c r="F1108" s="47" t="n">
        <f aca="false">MIN(1,'Model Inputs &amp; Assumptions'!$W$30*EXP('Model Inputs &amp; Assumptions'!$X$30*R1108-'Model Inputs &amp; Assumptions'!$X$30^2/2))</f>
        <v>0.00613852473231848</v>
      </c>
      <c r="G1108" s="45" t="n">
        <f aca="false">ROUND(C1108*F1108,0)</f>
        <v>513</v>
      </c>
      <c r="H1108" s="48" t="n">
        <f aca="false">MAX(0,(C1108*'Model Inputs &amp; Assumptions'!$N$30+E1108*'Model Inputs &amp; Assumptions'!$O$30+G1108*'Model Inputs &amp; Assumptions'!$P$30)*EXP('Model Inputs &amp; Assumptions'!$Q$30*S1108-'Model Inputs &amp; Assumptions'!$Q$30^2/2))</f>
        <v>26.7971311751665</v>
      </c>
      <c r="I1108" s="49" t="n">
        <f aca="false">IF('Model Inputs &amp; Assumptions'!$H$30="Fixed",'Model Inputs &amp; Assumptions'!$I$30*'Model Inputs &amp; Assumptions'!$K$30,IF('Model Inputs &amp; Assumptions'!$H$30="CPM",'Model Inputs &amp; Assumptions'!$I$30*'Model Inputs &amp; Assumptions'!$K$30*C1108/1000,IF('Model Inputs &amp; Assumptions'!$H$30="CPC",'Model Inputs &amp; Assumptions'!$I$30*'Model Inputs &amp; Assumptions'!$K$30*G1108,0)))</f>
        <v>6900</v>
      </c>
      <c r="J1108" s="50" t="n">
        <f aca="false">H1108*INDEX('Model Inputs &amp; Assumptions'!$D$40:$D$42,MATCH('Model Inputs &amp; Assumptions'!$L$30,'Model Inputs &amp; Assumptions'!$A$40:$A$42,0))*INDEX('Model Inputs &amp; Assumptions'!$H$40:$H$42,MATCH('Model Inputs &amp; Assumptions'!$L$30,'Model Inputs &amp; Assumptions'!$A$40:$A$42,0))</f>
        <v>192939.344461199</v>
      </c>
      <c r="K1108" s="49" t="n">
        <f aca="false">H1108*INDEX('Model Inputs &amp; Assumptions'!$G$40:$G$42,MATCH('Model Inputs &amp; Assumptions'!$L$30,'Model Inputs &amp; Assumptions'!$A$40:$A$42,0))*INDEX('Model Inputs &amp; Assumptions'!$H$40:$H$42,MATCH('Model Inputs &amp; Assumptions'!$L$30,'Model Inputs &amp; Assumptions'!$A$40:$A$42,0))</f>
        <v>4254.31254536944</v>
      </c>
      <c r="L1108" s="51" t="n">
        <f aca="false">IFERROR(K1108/I1108,0)</f>
        <v>0.616567035560788</v>
      </c>
      <c r="M1108" s="49" t="n">
        <f aca="false">IFERROR(I1108/H1108,0)</f>
        <v>257.490249791902</v>
      </c>
      <c r="N1108" s="52" t="str">
        <f aca="false">'Model Inputs &amp; Assumptions'!$L$30</f>
        <v>PRD-USIQ</v>
      </c>
      <c r="P1108" s="53" t="n">
        <v>-0.369876</v>
      </c>
      <c r="Q1108" s="53" t="n">
        <v>-0.858075</v>
      </c>
      <c r="R1108" s="53" t="n">
        <v>-1.690714</v>
      </c>
      <c r="S1108" s="53" t="n">
        <v>-0.749452</v>
      </c>
    </row>
    <row r="1109" customFormat="false" ht="15" hidden="false" customHeight="false" outlineLevel="0" collapsed="false">
      <c r="A1109" s="43" t="n">
        <v>106</v>
      </c>
      <c r="B1109" s="44" t="str">
        <f aca="false">'Model Inputs &amp; Assumptions'!$B$30</f>
        <v>extraETF — Newsletter Takeover</v>
      </c>
      <c r="C1109" s="45" t="n">
        <f aca="false">ROUND(MAX(0,'Model Inputs &amp; Assumptions'!$S$30*EXP('Model Inputs &amp; Assumptions'!$T$30*P1109-'Model Inputs &amp; Assumptions'!$T$30^2/2)),0)</f>
        <v>94062</v>
      </c>
      <c r="D1109" s="46" t="n">
        <f aca="false">MIN(1,'Model Inputs &amp; Assumptions'!$U$30*EXP('Model Inputs &amp; Assumptions'!$V$30*Q1109-'Model Inputs &amp; Assumptions'!$V$30^2/2))</f>
        <v>0</v>
      </c>
      <c r="E1109" s="45" t="n">
        <f aca="false">ROUND(C1109*D1109,0)</f>
        <v>0</v>
      </c>
      <c r="F1109" s="47" t="n">
        <f aca="false">MIN(1,'Model Inputs &amp; Assumptions'!$W$30*EXP('Model Inputs &amp; Assumptions'!$X$30*R1109-'Model Inputs &amp; Assumptions'!$X$30^2/2))</f>
        <v>0.00914305012661248</v>
      </c>
      <c r="G1109" s="45" t="n">
        <f aca="false">ROUND(C1109*F1109,0)</f>
        <v>860</v>
      </c>
      <c r="H1109" s="48" t="n">
        <f aca="false">MAX(0,(C1109*'Model Inputs &amp; Assumptions'!$N$30+E1109*'Model Inputs &amp; Assumptions'!$O$30+G1109*'Model Inputs &amp; Assumptions'!$P$30)*EXP('Model Inputs &amp; Assumptions'!$Q$30*S1109-'Model Inputs &amp; Assumptions'!$Q$30^2/2))</f>
        <v>42.170824954586</v>
      </c>
      <c r="I1109" s="49" t="n">
        <f aca="false">IF('Model Inputs &amp; Assumptions'!$H$30="Fixed",'Model Inputs &amp; Assumptions'!$I$30*'Model Inputs &amp; Assumptions'!$K$30,IF('Model Inputs &amp; Assumptions'!$H$30="CPM",'Model Inputs &amp; Assumptions'!$I$30*'Model Inputs &amp; Assumptions'!$K$30*C1109/1000,IF('Model Inputs &amp; Assumptions'!$H$30="CPC",'Model Inputs &amp; Assumptions'!$I$30*'Model Inputs &amp; Assumptions'!$K$30*G1109,0)))</f>
        <v>6900</v>
      </c>
      <c r="J1109" s="50" t="n">
        <f aca="false">H1109*INDEX('Model Inputs &amp; Assumptions'!$D$40:$D$42,MATCH('Model Inputs &amp; Assumptions'!$L$30,'Model Inputs &amp; Assumptions'!$A$40:$A$42,0))*INDEX('Model Inputs &amp; Assumptions'!$H$40:$H$42,MATCH('Model Inputs &amp; Assumptions'!$L$30,'Model Inputs &amp; Assumptions'!$A$40:$A$42,0))</f>
        <v>303629.939673019</v>
      </c>
      <c r="K1109" s="49" t="n">
        <f aca="false">H1109*INDEX('Model Inputs &amp; Assumptions'!$G$40:$G$42,MATCH('Model Inputs &amp; Assumptions'!$L$30,'Model Inputs &amp; Assumptions'!$A$40:$A$42,0))*INDEX('Model Inputs &amp; Assumptions'!$H$40:$H$42,MATCH('Model Inputs &amp; Assumptions'!$L$30,'Model Inputs &amp; Assumptions'!$A$40:$A$42,0))</f>
        <v>6695.04016979008</v>
      </c>
      <c r="L1109" s="51" t="n">
        <f aca="false">IFERROR(K1109/I1109,0)</f>
        <v>0.970295676781171</v>
      </c>
      <c r="M1109" s="49" t="n">
        <f aca="false">IFERROR(I1109/H1109,0)</f>
        <v>163.620228141865</v>
      </c>
      <c r="N1109" s="52" t="str">
        <f aca="false">'Model Inputs &amp; Assumptions'!$L$30</f>
        <v>PRD-USIQ</v>
      </c>
      <c r="P1109" s="53" t="n">
        <v>0.615141</v>
      </c>
      <c r="Q1109" s="53" t="n">
        <v>-0.154485</v>
      </c>
      <c r="R1109" s="53" t="n">
        <v>0.96535</v>
      </c>
      <c r="S1109" s="53" t="n">
        <v>-1.002343</v>
      </c>
    </row>
    <row r="1110" customFormat="false" ht="15" hidden="false" customHeight="false" outlineLevel="0" collapsed="false">
      <c r="A1110" s="43" t="n">
        <v>107</v>
      </c>
      <c r="B1110" s="44" t="str">
        <f aca="false">'Model Inputs &amp; Assumptions'!$B$30</f>
        <v>extraETF — Newsletter Takeover</v>
      </c>
      <c r="C1110" s="45" t="n">
        <f aca="false">ROUND(MAX(0,'Model Inputs &amp; Assumptions'!$S$30*EXP('Model Inputs &amp; Assumptions'!$T$30*P1110-'Model Inputs &amp; Assumptions'!$T$30^2/2)),0)</f>
        <v>94579</v>
      </c>
      <c r="D1110" s="46" t="n">
        <f aca="false">MIN(1,'Model Inputs &amp; Assumptions'!$U$30*EXP('Model Inputs &amp; Assumptions'!$V$30*Q1110-'Model Inputs &amp; Assumptions'!$V$30^2/2))</f>
        <v>0</v>
      </c>
      <c r="E1110" s="45" t="n">
        <f aca="false">ROUND(C1110*D1110,0)</f>
        <v>0</v>
      </c>
      <c r="F1110" s="47" t="n">
        <f aca="false">MIN(1,'Model Inputs &amp; Assumptions'!$W$30*EXP('Model Inputs &amp; Assumptions'!$X$30*R1110-'Model Inputs &amp; Assumptions'!$X$30^2/2))</f>
        <v>0.00772163007747628</v>
      </c>
      <c r="G1110" s="45" t="n">
        <f aca="false">ROUND(C1110*F1110,0)</f>
        <v>730</v>
      </c>
      <c r="H1110" s="48" t="n">
        <f aca="false">MAX(0,(C1110*'Model Inputs &amp; Assumptions'!$N$30+E1110*'Model Inputs &amp; Assumptions'!$O$30+G1110*'Model Inputs &amp; Assumptions'!$P$30)*EXP('Model Inputs &amp; Assumptions'!$Q$30*S1110-'Model Inputs &amp; Assumptions'!$Q$30^2/2))</f>
        <v>48.5796162915066</v>
      </c>
      <c r="I1110" s="49" t="n">
        <f aca="false">IF('Model Inputs &amp; Assumptions'!$H$30="Fixed",'Model Inputs &amp; Assumptions'!$I$30*'Model Inputs &amp; Assumptions'!$K$30,IF('Model Inputs &amp; Assumptions'!$H$30="CPM",'Model Inputs &amp; Assumptions'!$I$30*'Model Inputs &amp; Assumptions'!$K$30*C1110/1000,IF('Model Inputs &amp; Assumptions'!$H$30="CPC",'Model Inputs &amp; Assumptions'!$I$30*'Model Inputs &amp; Assumptions'!$K$30*G1110,0)))</f>
        <v>6900</v>
      </c>
      <c r="J1110" s="50" t="n">
        <f aca="false">H1110*INDEX('Model Inputs &amp; Assumptions'!$D$40:$D$42,MATCH('Model Inputs &amp; Assumptions'!$L$30,'Model Inputs &amp; Assumptions'!$A$40:$A$42,0))*INDEX('Model Inputs &amp; Assumptions'!$H$40:$H$42,MATCH('Model Inputs &amp; Assumptions'!$L$30,'Model Inputs &amp; Assumptions'!$A$40:$A$42,0))</f>
        <v>349773.237298847</v>
      </c>
      <c r="K1110" s="49" t="n">
        <f aca="false">H1110*INDEX('Model Inputs &amp; Assumptions'!$G$40:$G$42,MATCH('Model Inputs &amp; Assumptions'!$L$30,'Model Inputs &amp; Assumptions'!$A$40:$A$42,0))*INDEX('Model Inputs &amp; Assumptions'!$H$40:$H$42,MATCH('Model Inputs &amp; Assumptions'!$L$30,'Model Inputs &amp; Assumptions'!$A$40:$A$42,0))</f>
        <v>7712.49988243958</v>
      </c>
      <c r="L1110" s="51" t="n">
        <f aca="false">IFERROR(K1110/I1110,0)</f>
        <v>1.11775360615066</v>
      </c>
      <c r="M1110" s="49" t="n">
        <f aca="false">IFERROR(I1110/H1110,0)</f>
        <v>142.034880609099</v>
      </c>
      <c r="N1110" s="52" t="str">
        <f aca="false">'Model Inputs &amp; Assumptions'!$L$30</f>
        <v>PRD-USIQ</v>
      </c>
      <c r="P1110" s="53" t="n">
        <v>0.660807</v>
      </c>
      <c r="Q1110" s="53" t="n">
        <v>2.479273</v>
      </c>
      <c r="R1110" s="53" t="n">
        <v>-0.161107</v>
      </c>
      <c r="S1110" s="53" t="n">
        <v>0.21911</v>
      </c>
    </row>
    <row r="1111" customFormat="false" ht="15" hidden="false" customHeight="false" outlineLevel="0" collapsed="false">
      <c r="A1111" s="43" t="n">
        <v>108</v>
      </c>
      <c r="B1111" s="44" t="str">
        <f aca="false">'Model Inputs &amp; Assumptions'!$B$30</f>
        <v>extraETF — Newsletter Takeover</v>
      </c>
      <c r="C1111" s="45" t="n">
        <f aca="false">ROUND(MAX(0,'Model Inputs &amp; Assumptions'!$S$30*EXP('Model Inputs &amp; Assumptions'!$T$30*P1111-'Model Inputs &amp; Assumptions'!$T$30^2/2)),0)</f>
        <v>91128</v>
      </c>
      <c r="D1111" s="46" t="n">
        <f aca="false">MIN(1,'Model Inputs &amp; Assumptions'!$U$30*EXP('Model Inputs &amp; Assumptions'!$V$30*Q1111-'Model Inputs &amp; Assumptions'!$V$30^2/2))</f>
        <v>0</v>
      </c>
      <c r="E1111" s="45" t="n">
        <f aca="false">ROUND(C1111*D1111,0)</f>
        <v>0</v>
      </c>
      <c r="F1111" s="47" t="n">
        <f aca="false">MIN(1,'Model Inputs &amp; Assumptions'!$W$30*EXP('Model Inputs &amp; Assumptions'!$X$30*R1111-'Model Inputs &amp; Assumptions'!$X$30^2/2))</f>
        <v>0.00647577791498629</v>
      </c>
      <c r="G1111" s="45" t="n">
        <f aca="false">ROUND(C1111*F1111,0)</f>
        <v>590</v>
      </c>
      <c r="H1111" s="48" t="n">
        <f aca="false">MAX(0,(C1111*'Model Inputs &amp; Assumptions'!$N$30+E1111*'Model Inputs &amp; Assumptions'!$O$30+G1111*'Model Inputs &amp; Assumptions'!$P$30)*EXP('Model Inputs &amp; Assumptions'!$Q$30*S1111-'Model Inputs &amp; Assumptions'!$Q$30^2/2))</f>
        <v>39.7259659406306</v>
      </c>
      <c r="I1111" s="49" t="n">
        <f aca="false">IF('Model Inputs &amp; Assumptions'!$H$30="Fixed",'Model Inputs &amp; Assumptions'!$I$30*'Model Inputs &amp; Assumptions'!$K$30,IF('Model Inputs &amp; Assumptions'!$H$30="CPM",'Model Inputs &amp; Assumptions'!$I$30*'Model Inputs &amp; Assumptions'!$K$30*C1111/1000,IF('Model Inputs &amp; Assumptions'!$H$30="CPC",'Model Inputs &amp; Assumptions'!$I$30*'Model Inputs &amp; Assumptions'!$K$30*G1111,0)))</f>
        <v>6900</v>
      </c>
      <c r="J1111" s="50" t="n">
        <f aca="false">H1111*INDEX('Model Inputs &amp; Assumptions'!$D$40:$D$42,MATCH('Model Inputs &amp; Assumptions'!$L$30,'Model Inputs &amp; Assumptions'!$A$40:$A$42,0))*INDEX('Model Inputs &amp; Assumptions'!$H$40:$H$42,MATCH('Model Inputs &amp; Assumptions'!$L$30,'Model Inputs &amp; Assumptions'!$A$40:$A$42,0))</f>
        <v>286026.95477254</v>
      </c>
      <c r="K1111" s="49" t="n">
        <f aca="false">H1111*INDEX('Model Inputs &amp; Assumptions'!$G$40:$G$42,MATCH('Model Inputs &amp; Assumptions'!$L$30,'Model Inputs &amp; Assumptions'!$A$40:$A$42,0))*INDEX('Model Inputs &amp; Assumptions'!$H$40:$H$42,MATCH('Model Inputs &amp; Assumptions'!$L$30,'Model Inputs &amp; Assumptions'!$A$40:$A$42,0))</f>
        <v>6306.89435273452</v>
      </c>
      <c r="L1111" s="51" t="n">
        <f aca="false">IFERROR(K1111/I1111,0)</f>
        <v>0.914042659816597</v>
      </c>
      <c r="M1111" s="49" t="n">
        <f aca="false">IFERROR(I1111/H1111,0)</f>
        <v>173.68992387276</v>
      </c>
      <c r="N1111" s="52" t="str">
        <f aca="false">'Model Inputs &amp; Assumptions'!$L$30</f>
        <v>PRD-USIQ</v>
      </c>
      <c r="P1111" s="53" t="n">
        <v>0.351108</v>
      </c>
      <c r="Q1111" s="53" t="n">
        <v>0.886367</v>
      </c>
      <c r="R1111" s="53" t="n">
        <v>-1.334152</v>
      </c>
      <c r="S1111" s="53" t="n">
        <v>0.266002</v>
      </c>
    </row>
    <row r="1112" customFormat="false" ht="15" hidden="false" customHeight="false" outlineLevel="0" collapsed="false">
      <c r="A1112" s="43" t="n">
        <v>109</v>
      </c>
      <c r="B1112" s="44" t="str">
        <f aca="false">'Model Inputs &amp; Assumptions'!$B$30</f>
        <v>extraETF — Newsletter Takeover</v>
      </c>
      <c r="C1112" s="45" t="n">
        <f aca="false">ROUND(MAX(0,'Model Inputs &amp; Assumptions'!$S$30*EXP('Model Inputs &amp; Assumptions'!$T$30*P1112-'Model Inputs &amp; Assumptions'!$T$30^2/2)),0)</f>
        <v>94100</v>
      </c>
      <c r="D1112" s="46" t="n">
        <f aca="false">MIN(1,'Model Inputs &amp; Assumptions'!$U$30*EXP('Model Inputs &amp; Assumptions'!$V$30*Q1112-'Model Inputs &amp; Assumptions'!$V$30^2/2))</f>
        <v>0</v>
      </c>
      <c r="E1112" s="45" t="n">
        <f aca="false">ROUND(C1112*D1112,0)</f>
        <v>0</v>
      </c>
      <c r="F1112" s="47" t="n">
        <f aca="false">MIN(1,'Model Inputs &amp; Assumptions'!$W$30*EXP('Model Inputs &amp; Assumptions'!$X$30*R1112-'Model Inputs &amp; Assumptions'!$X$30^2/2))</f>
        <v>0.00775996552615791</v>
      </c>
      <c r="G1112" s="45" t="n">
        <f aca="false">ROUND(C1112*F1112,0)</f>
        <v>730</v>
      </c>
      <c r="H1112" s="48" t="n">
        <f aca="false">MAX(0,(C1112*'Model Inputs &amp; Assumptions'!$N$30+E1112*'Model Inputs &amp; Assumptions'!$O$30+G1112*'Model Inputs &amp; Assumptions'!$P$30)*EXP('Model Inputs &amp; Assumptions'!$Q$30*S1112-'Model Inputs &amp; Assumptions'!$Q$30^2/2))</f>
        <v>56.4710306643367</v>
      </c>
      <c r="I1112" s="49" t="n">
        <f aca="false">IF('Model Inputs &amp; Assumptions'!$H$30="Fixed",'Model Inputs &amp; Assumptions'!$I$30*'Model Inputs &amp; Assumptions'!$K$30,IF('Model Inputs &amp; Assumptions'!$H$30="CPM",'Model Inputs &amp; Assumptions'!$I$30*'Model Inputs &amp; Assumptions'!$K$30*C1112/1000,IF('Model Inputs &amp; Assumptions'!$H$30="CPC",'Model Inputs &amp; Assumptions'!$I$30*'Model Inputs &amp; Assumptions'!$K$30*G1112,0)))</f>
        <v>6900</v>
      </c>
      <c r="J1112" s="50" t="n">
        <f aca="false">H1112*INDEX('Model Inputs &amp; Assumptions'!$D$40:$D$42,MATCH('Model Inputs &amp; Assumptions'!$L$30,'Model Inputs &amp; Assumptions'!$A$40:$A$42,0))*INDEX('Model Inputs &amp; Assumptions'!$H$40:$H$42,MATCH('Model Inputs &amp; Assumptions'!$L$30,'Model Inputs &amp; Assumptions'!$A$40:$A$42,0))</f>
        <v>406591.420783224</v>
      </c>
      <c r="K1112" s="49" t="n">
        <f aca="false">H1112*INDEX('Model Inputs &amp; Assumptions'!$G$40:$G$42,MATCH('Model Inputs &amp; Assumptions'!$L$30,'Model Inputs &amp; Assumptions'!$A$40:$A$42,0))*INDEX('Model Inputs &amp; Assumptions'!$H$40:$H$42,MATCH('Model Inputs &amp; Assumptions'!$L$30,'Model Inputs &amp; Assumptions'!$A$40:$A$42,0))</f>
        <v>8965.34082827009</v>
      </c>
      <c r="L1112" s="51" t="n">
        <f aca="false">IFERROR(K1112/I1112,0)</f>
        <v>1.2993247577203</v>
      </c>
      <c r="M1112" s="49" t="n">
        <f aca="false">IFERROR(I1112/H1112,0)</f>
        <v>122.18654270742</v>
      </c>
      <c r="N1112" s="52" t="str">
        <f aca="false">'Model Inputs &amp; Assumptions'!$L$30</f>
        <v>PRD-USIQ</v>
      </c>
      <c r="P1112" s="53" t="n">
        <v>0.618525</v>
      </c>
      <c r="Q1112" s="53" t="n">
        <v>0.323268</v>
      </c>
      <c r="R1112" s="53" t="n">
        <v>-0.128091</v>
      </c>
      <c r="S1112" s="53" t="n">
        <v>0.821205</v>
      </c>
    </row>
    <row r="1113" customFormat="false" ht="15" hidden="false" customHeight="false" outlineLevel="0" collapsed="false">
      <c r="A1113" s="43" t="n">
        <v>110</v>
      </c>
      <c r="B1113" s="44" t="str">
        <f aca="false">'Model Inputs &amp; Assumptions'!$B$30</f>
        <v>extraETF — Newsletter Takeover</v>
      </c>
      <c r="C1113" s="45" t="n">
        <f aca="false">ROUND(MAX(0,'Model Inputs &amp; Assumptions'!$S$30*EXP('Model Inputs &amp; Assumptions'!$T$30*P1113-'Model Inputs &amp; Assumptions'!$T$30^2/2)),0)</f>
        <v>92407</v>
      </c>
      <c r="D1113" s="46" t="n">
        <f aca="false">MIN(1,'Model Inputs &amp; Assumptions'!$U$30*EXP('Model Inputs &amp; Assumptions'!$V$30*Q1113-'Model Inputs &amp; Assumptions'!$V$30^2/2))</f>
        <v>0</v>
      </c>
      <c r="E1113" s="45" t="n">
        <f aca="false">ROUND(C1113*D1113,0)</f>
        <v>0</v>
      </c>
      <c r="F1113" s="47" t="n">
        <f aca="false">MIN(1,'Model Inputs &amp; Assumptions'!$W$30*EXP('Model Inputs &amp; Assumptions'!$X$30*R1113-'Model Inputs &amp; Assumptions'!$X$30^2/2))</f>
        <v>0.00633487949618528</v>
      </c>
      <c r="G1113" s="45" t="n">
        <f aca="false">ROUND(C1113*F1113,0)</f>
        <v>585</v>
      </c>
      <c r="H1113" s="48" t="n">
        <f aca="false">MAX(0,(C1113*'Model Inputs &amp; Assumptions'!$N$30+E1113*'Model Inputs &amp; Assumptions'!$O$30+G1113*'Model Inputs &amp; Assumptions'!$P$30)*EXP('Model Inputs &amp; Assumptions'!$Q$30*S1113-'Model Inputs &amp; Assumptions'!$Q$30^2/2))</f>
        <v>32.4472546837315</v>
      </c>
      <c r="I1113" s="49" t="n">
        <f aca="false">IF('Model Inputs &amp; Assumptions'!$H$30="Fixed",'Model Inputs &amp; Assumptions'!$I$30*'Model Inputs &amp; Assumptions'!$K$30,IF('Model Inputs &amp; Assumptions'!$H$30="CPM",'Model Inputs &amp; Assumptions'!$I$30*'Model Inputs &amp; Assumptions'!$K$30*C1113/1000,IF('Model Inputs &amp; Assumptions'!$H$30="CPC",'Model Inputs &amp; Assumptions'!$I$30*'Model Inputs &amp; Assumptions'!$K$30*G1113,0)))</f>
        <v>6900</v>
      </c>
      <c r="J1113" s="50" t="n">
        <f aca="false">H1113*INDEX('Model Inputs &amp; Assumptions'!$D$40:$D$42,MATCH('Model Inputs &amp; Assumptions'!$L$30,'Model Inputs &amp; Assumptions'!$A$40:$A$42,0))*INDEX('Model Inputs &amp; Assumptions'!$H$40:$H$42,MATCH('Model Inputs &amp; Assumptions'!$L$30,'Model Inputs &amp; Assumptions'!$A$40:$A$42,0))</f>
        <v>233620.233722867</v>
      </c>
      <c r="K1113" s="49" t="n">
        <f aca="false">H1113*INDEX('Model Inputs &amp; Assumptions'!$G$40:$G$42,MATCH('Model Inputs &amp; Assumptions'!$L$30,'Model Inputs &amp; Assumptions'!$A$40:$A$42,0))*INDEX('Model Inputs &amp; Assumptions'!$H$40:$H$42,MATCH('Model Inputs &amp; Assumptions'!$L$30,'Model Inputs &amp; Assumptions'!$A$40:$A$42,0))</f>
        <v>5151.32615358921</v>
      </c>
      <c r="L1113" s="51" t="n">
        <f aca="false">IFERROR(K1113/I1113,0)</f>
        <v>0.746569007766552</v>
      </c>
      <c r="M1113" s="49" t="n">
        <f aca="false">IFERROR(I1113/H1113,0)</f>
        <v>212.652813535548</v>
      </c>
      <c r="N1113" s="52" t="str">
        <f aca="false">'Model Inputs &amp; Assumptions'!$L$30</f>
        <v>PRD-USIQ</v>
      </c>
      <c r="P1113" s="53" t="n">
        <v>0.467174</v>
      </c>
      <c r="Q1113" s="53" t="n">
        <v>1.628619</v>
      </c>
      <c r="R1113" s="53" t="n">
        <v>-1.480805</v>
      </c>
      <c r="S1113" s="53" t="n">
        <v>-0.509512</v>
      </c>
    </row>
    <row r="1114" customFormat="false" ht="15" hidden="false" customHeight="false" outlineLevel="0" collapsed="false">
      <c r="A1114" s="43" t="n">
        <v>111</v>
      </c>
      <c r="B1114" s="44" t="str">
        <f aca="false">'Model Inputs &amp; Assumptions'!$B$30</f>
        <v>extraETF — Newsletter Takeover</v>
      </c>
      <c r="C1114" s="45" t="n">
        <f aca="false">ROUND(MAX(0,'Model Inputs &amp; Assumptions'!$S$30*EXP('Model Inputs &amp; Assumptions'!$T$30*P1114-'Model Inputs &amp; Assumptions'!$T$30^2/2)),0)</f>
        <v>91317</v>
      </c>
      <c r="D1114" s="46" t="n">
        <f aca="false">MIN(1,'Model Inputs &amp; Assumptions'!$U$30*EXP('Model Inputs &amp; Assumptions'!$V$30*Q1114-'Model Inputs &amp; Assumptions'!$V$30^2/2))</f>
        <v>0</v>
      </c>
      <c r="E1114" s="45" t="n">
        <f aca="false">ROUND(C1114*D1114,0)</f>
        <v>0</v>
      </c>
      <c r="F1114" s="47" t="n">
        <f aca="false">MIN(1,'Model Inputs &amp; Assumptions'!$W$30*EXP('Model Inputs &amp; Assumptions'!$X$30*R1114-'Model Inputs &amp; Assumptions'!$X$30^2/2))</f>
        <v>0.00800323945570257</v>
      </c>
      <c r="G1114" s="45" t="n">
        <f aca="false">ROUND(C1114*F1114,0)</f>
        <v>731</v>
      </c>
      <c r="H1114" s="48" t="n">
        <f aca="false">MAX(0,(C1114*'Model Inputs &amp; Assumptions'!$N$30+E1114*'Model Inputs &amp; Assumptions'!$O$30+G1114*'Model Inputs &amp; Assumptions'!$P$30)*EXP('Model Inputs &amp; Assumptions'!$Q$30*S1114-'Model Inputs &amp; Assumptions'!$Q$30^2/2))</f>
        <v>42.8456104831396</v>
      </c>
      <c r="I1114" s="49" t="n">
        <f aca="false">IF('Model Inputs &amp; Assumptions'!$H$30="Fixed",'Model Inputs &amp; Assumptions'!$I$30*'Model Inputs &amp; Assumptions'!$K$30,IF('Model Inputs &amp; Assumptions'!$H$30="CPM",'Model Inputs &amp; Assumptions'!$I$30*'Model Inputs &amp; Assumptions'!$K$30*C1114/1000,IF('Model Inputs &amp; Assumptions'!$H$30="CPC",'Model Inputs &amp; Assumptions'!$I$30*'Model Inputs &amp; Assumptions'!$K$30*G1114,0)))</f>
        <v>6900</v>
      </c>
      <c r="J1114" s="50" t="n">
        <f aca="false">H1114*INDEX('Model Inputs &amp; Assumptions'!$D$40:$D$42,MATCH('Model Inputs &amp; Assumptions'!$L$30,'Model Inputs &amp; Assumptions'!$A$40:$A$42,0))*INDEX('Model Inputs &amp; Assumptions'!$H$40:$H$42,MATCH('Model Inputs &amp; Assumptions'!$L$30,'Model Inputs &amp; Assumptions'!$A$40:$A$42,0))</f>
        <v>308488.395478605</v>
      </c>
      <c r="K1114" s="49" t="n">
        <f aca="false">H1114*INDEX('Model Inputs &amp; Assumptions'!$G$40:$G$42,MATCH('Model Inputs &amp; Assumptions'!$L$30,'Model Inputs &amp; Assumptions'!$A$40:$A$42,0))*INDEX('Model Inputs &amp; Assumptions'!$H$40:$H$42,MATCH('Model Inputs &amp; Assumptions'!$L$30,'Model Inputs &amp; Assumptions'!$A$40:$A$42,0))</f>
        <v>6802.16912030325</v>
      </c>
      <c r="L1114" s="51" t="n">
        <f aca="false">IFERROR(K1114/I1114,0)</f>
        <v>0.985821611638152</v>
      </c>
      <c r="M1114" s="49" t="n">
        <f aca="false">IFERROR(I1114/H1114,0)</f>
        <v>161.043334945951</v>
      </c>
      <c r="N1114" s="52" t="str">
        <f aca="false">'Model Inputs &amp; Assumptions'!$L$30</f>
        <v>PRD-USIQ</v>
      </c>
      <c r="P1114" s="53" t="n">
        <v>0.368364</v>
      </c>
      <c r="Q1114" s="53" t="n">
        <v>0.280997</v>
      </c>
      <c r="R1114" s="53" t="n">
        <v>0.077699</v>
      </c>
      <c r="S1114" s="53" t="n">
        <v>-0.288769</v>
      </c>
    </row>
    <row r="1115" customFormat="false" ht="15" hidden="false" customHeight="false" outlineLevel="0" collapsed="false">
      <c r="A1115" s="43" t="n">
        <v>112</v>
      </c>
      <c r="B1115" s="44" t="str">
        <f aca="false">'Model Inputs &amp; Assumptions'!$B$30</f>
        <v>extraETF — Newsletter Takeover</v>
      </c>
      <c r="C1115" s="45" t="n">
        <f aca="false">ROUND(MAX(0,'Model Inputs &amp; Assumptions'!$S$30*EXP('Model Inputs &amp; Assumptions'!$T$30*P1115-'Model Inputs &amp; Assumptions'!$T$30^2/2)),0)</f>
        <v>79513</v>
      </c>
      <c r="D1115" s="46" t="n">
        <f aca="false">MIN(1,'Model Inputs &amp; Assumptions'!$U$30*EXP('Model Inputs &amp; Assumptions'!$V$30*Q1115-'Model Inputs &amp; Assumptions'!$V$30^2/2))</f>
        <v>0</v>
      </c>
      <c r="E1115" s="45" t="n">
        <f aca="false">ROUND(C1115*D1115,0)</f>
        <v>0</v>
      </c>
      <c r="F1115" s="47" t="n">
        <f aca="false">MIN(1,'Model Inputs &amp; Assumptions'!$W$30*EXP('Model Inputs &amp; Assumptions'!$X$30*R1115-'Model Inputs &amp; Assumptions'!$X$30^2/2))</f>
        <v>0.00948902190716776</v>
      </c>
      <c r="G1115" s="45" t="n">
        <f aca="false">ROUND(C1115*F1115,0)</f>
        <v>755</v>
      </c>
      <c r="H1115" s="48" t="n">
        <f aca="false">MAX(0,(C1115*'Model Inputs &amp; Assumptions'!$N$30+E1115*'Model Inputs &amp; Assumptions'!$O$30+G1115*'Model Inputs &amp; Assumptions'!$P$30)*EXP('Model Inputs &amp; Assumptions'!$Q$30*S1115-'Model Inputs &amp; Assumptions'!$Q$30^2/2))</f>
        <v>57.98526868884</v>
      </c>
      <c r="I1115" s="49" t="n">
        <f aca="false">IF('Model Inputs &amp; Assumptions'!$H$30="Fixed",'Model Inputs &amp; Assumptions'!$I$30*'Model Inputs &amp; Assumptions'!$K$30,IF('Model Inputs &amp; Assumptions'!$H$30="CPM",'Model Inputs &amp; Assumptions'!$I$30*'Model Inputs &amp; Assumptions'!$K$30*C1115/1000,IF('Model Inputs &amp; Assumptions'!$H$30="CPC",'Model Inputs &amp; Assumptions'!$I$30*'Model Inputs &amp; Assumptions'!$K$30*G1115,0)))</f>
        <v>6900</v>
      </c>
      <c r="J1115" s="50" t="n">
        <f aca="false">H1115*INDEX('Model Inputs &amp; Assumptions'!$D$40:$D$42,MATCH('Model Inputs &amp; Assumptions'!$L$30,'Model Inputs &amp; Assumptions'!$A$40:$A$42,0))*INDEX('Model Inputs &amp; Assumptions'!$H$40:$H$42,MATCH('Model Inputs &amp; Assumptions'!$L$30,'Model Inputs &amp; Assumptions'!$A$40:$A$42,0))</f>
        <v>417493.934559648</v>
      </c>
      <c r="K1115" s="49" t="n">
        <f aca="false">H1115*INDEX('Model Inputs &amp; Assumptions'!$G$40:$G$42,MATCH('Model Inputs &amp; Assumptions'!$L$30,'Model Inputs &amp; Assumptions'!$A$40:$A$42,0))*INDEX('Model Inputs &amp; Assumptions'!$H$40:$H$42,MATCH('Model Inputs &amp; Assumptions'!$L$30,'Model Inputs &amp; Assumptions'!$A$40:$A$42,0))</f>
        <v>9205.74125704024</v>
      </c>
      <c r="L1115" s="51" t="n">
        <f aca="false">IFERROR(K1115/I1115,0)</f>
        <v>1.33416539957105</v>
      </c>
      <c r="M1115" s="49" t="n">
        <f aca="false">IFERROR(I1115/H1115,0)</f>
        <v>118.99574074627</v>
      </c>
      <c r="N1115" s="52" t="str">
        <f aca="false">'Model Inputs &amp; Assumptions'!$L$30</f>
        <v>PRD-USIQ</v>
      </c>
      <c r="P1115" s="53" t="n">
        <v>-0.785163</v>
      </c>
      <c r="Q1115" s="53" t="n">
        <v>2.509306</v>
      </c>
      <c r="R1115" s="53" t="n">
        <v>1.21296</v>
      </c>
      <c r="S1115" s="53" t="n">
        <v>0.792357</v>
      </c>
    </row>
    <row r="1116" customFormat="false" ht="15" hidden="false" customHeight="false" outlineLevel="0" collapsed="false">
      <c r="A1116" s="43" t="n">
        <v>113</v>
      </c>
      <c r="B1116" s="44" t="str">
        <f aca="false">'Model Inputs &amp; Assumptions'!$B$30</f>
        <v>extraETF — Newsletter Takeover</v>
      </c>
      <c r="C1116" s="45" t="n">
        <f aca="false">ROUND(MAX(0,'Model Inputs &amp; Assumptions'!$S$30*EXP('Model Inputs &amp; Assumptions'!$T$30*P1116-'Model Inputs &amp; Assumptions'!$T$30^2/2)),0)</f>
        <v>112017</v>
      </c>
      <c r="D1116" s="46" t="n">
        <f aca="false">MIN(1,'Model Inputs &amp; Assumptions'!$U$30*EXP('Model Inputs &amp; Assumptions'!$V$30*Q1116-'Model Inputs &amp; Assumptions'!$V$30^2/2))</f>
        <v>0</v>
      </c>
      <c r="E1116" s="45" t="n">
        <f aca="false">ROUND(C1116*D1116,0)</f>
        <v>0</v>
      </c>
      <c r="F1116" s="47" t="n">
        <f aca="false">MIN(1,'Model Inputs &amp; Assumptions'!$W$30*EXP('Model Inputs &amp; Assumptions'!$X$30*R1116-'Model Inputs &amp; Assumptions'!$X$30^2/2))</f>
        <v>0.00912370974515613</v>
      </c>
      <c r="G1116" s="45" t="n">
        <f aca="false">ROUND(C1116*F1116,0)</f>
        <v>1022</v>
      </c>
      <c r="H1116" s="48" t="n">
        <f aca="false">MAX(0,(C1116*'Model Inputs &amp; Assumptions'!$N$30+E1116*'Model Inputs &amp; Assumptions'!$O$30+G1116*'Model Inputs &amp; Assumptions'!$P$30)*EXP('Model Inputs &amp; Assumptions'!$Q$30*S1116-'Model Inputs &amp; Assumptions'!$Q$30^2/2))</f>
        <v>64.2979990430136</v>
      </c>
      <c r="I1116" s="49" t="n">
        <f aca="false">IF('Model Inputs &amp; Assumptions'!$H$30="Fixed",'Model Inputs &amp; Assumptions'!$I$30*'Model Inputs &amp; Assumptions'!$K$30,IF('Model Inputs &amp; Assumptions'!$H$30="CPM",'Model Inputs &amp; Assumptions'!$I$30*'Model Inputs &amp; Assumptions'!$K$30*C1116/1000,IF('Model Inputs &amp; Assumptions'!$H$30="CPC",'Model Inputs &amp; Assumptions'!$I$30*'Model Inputs &amp; Assumptions'!$K$30*G1116,0)))</f>
        <v>6900</v>
      </c>
      <c r="J1116" s="50" t="n">
        <f aca="false">H1116*INDEX('Model Inputs &amp; Assumptions'!$D$40:$D$42,MATCH('Model Inputs &amp; Assumptions'!$L$30,'Model Inputs &amp; Assumptions'!$A$40:$A$42,0))*INDEX('Model Inputs &amp; Assumptions'!$H$40:$H$42,MATCH('Model Inputs &amp; Assumptions'!$L$30,'Model Inputs &amp; Assumptions'!$A$40:$A$42,0))</f>
        <v>462945.593109698</v>
      </c>
      <c r="K1116" s="49" t="n">
        <f aca="false">H1116*INDEX('Model Inputs &amp; Assumptions'!$G$40:$G$42,MATCH('Model Inputs &amp; Assumptions'!$L$30,'Model Inputs &amp; Assumptions'!$A$40:$A$42,0))*INDEX('Model Inputs &amp; Assumptions'!$H$40:$H$42,MATCH('Model Inputs &amp; Assumptions'!$L$30,'Model Inputs &amp; Assumptions'!$A$40:$A$42,0))</f>
        <v>10207.9503280688</v>
      </c>
      <c r="L1116" s="51" t="n">
        <f aca="false">IFERROR(K1116/I1116,0)</f>
        <v>1.47941309102447</v>
      </c>
      <c r="M1116" s="49" t="n">
        <f aca="false">IFERROR(I1116/H1116,0)</f>
        <v>107.312826257378</v>
      </c>
      <c r="N1116" s="52" t="str">
        <f aca="false">'Model Inputs &amp; Assumptions'!$L$30</f>
        <v>PRD-USIQ</v>
      </c>
      <c r="P1116" s="53" t="n">
        <v>2.070973</v>
      </c>
      <c r="Q1116" s="53" t="n">
        <v>0.29675</v>
      </c>
      <c r="R1116" s="53" t="n">
        <v>0.951233</v>
      </c>
      <c r="S1116" s="53" t="n">
        <v>-0.005481</v>
      </c>
    </row>
    <row r="1117" customFormat="false" ht="15" hidden="false" customHeight="false" outlineLevel="0" collapsed="false">
      <c r="A1117" s="43" t="n">
        <v>114</v>
      </c>
      <c r="B1117" s="44" t="str">
        <f aca="false">'Model Inputs &amp; Assumptions'!$B$30</f>
        <v>extraETF — Newsletter Takeover</v>
      </c>
      <c r="C1117" s="45" t="n">
        <f aca="false">ROUND(MAX(0,'Model Inputs &amp; Assumptions'!$S$30*EXP('Model Inputs &amp; Assumptions'!$T$30*P1117-'Model Inputs &amp; Assumptions'!$T$30^2/2)),0)</f>
        <v>83610</v>
      </c>
      <c r="D1117" s="46" t="n">
        <f aca="false">MIN(1,'Model Inputs &amp; Assumptions'!$U$30*EXP('Model Inputs &amp; Assumptions'!$V$30*Q1117-'Model Inputs &amp; Assumptions'!$V$30^2/2))</f>
        <v>0</v>
      </c>
      <c r="E1117" s="45" t="n">
        <f aca="false">ROUND(C1117*D1117,0)</f>
        <v>0</v>
      </c>
      <c r="F1117" s="47" t="n">
        <f aca="false">MIN(1,'Model Inputs &amp; Assumptions'!$W$30*EXP('Model Inputs &amp; Assumptions'!$X$30*R1117-'Model Inputs &amp; Assumptions'!$X$30^2/2))</f>
        <v>0.00805285624610443</v>
      </c>
      <c r="G1117" s="45" t="n">
        <f aca="false">ROUND(C1117*F1117,0)</f>
        <v>673</v>
      </c>
      <c r="H1117" s="48" t="n">
        <f aca="false">MAX(0,(C1117*'Model Inputs &amp; Assumptions'!$N$30+E1117*'Model Inputs &amp; Assumptions'!$O$30+G1117*'Model Inputs &amp; Assumptions'!$P$30)*EXP('Model Inputs &amp; Assumptions'!$Q$30*S1117-'Model Inputs &amp; Assumptions'!$Q$30^2/2))</f>
        <v>37.5724312698953</v>
      </c>
      <c r="I1117" s="49" t="n">
        <f aca="false">IF('Model Inputs &amp; Assumptions'!$H$30="Fixed",'Model Inputs &amp; Assumptions'!$I$30*'Model Inputs &amp; Assumptions'!$K$30,IF('Model Inputs &amp; Assumptions'!$H$30="CPM",'Model Inputs &amp; Assumptions'!$I$30*'Model Inputs &amp; Assumptions'!$K$30*C1117/1000,IF('Model Inputs &amp; Assumptions'!$H$30="CPC",'Model Inputs &amp; Assumptions'!$I$30*'Model Inputs &amp; Assumptions'!$K$30*G1117,0)))</f>
        <v>6900</v>
      </c>
      <c r="J1117" s="50" t="n">
        <f aca="false">H1117*INDEX('Model Inputs &amp; Assumptions'!$D$40:$D$42,MATCH('Model Inputs &amp; Assumptions'!$L$30,'Model Inputs &amp; Assumptions'!$A$40:$A$42,0))*INDEX('Model Inputs &amp; Assumptions'!$H$40:$H$42,MATCH('Model Inputs &amp; Assumptions'!$L$30,'Model Inputs &amp; Assumptions'!$A$40:$A$42,0))</f>
        <v>270521.505143246</v>
      </c>
      <c r="K1117" s="49" t="n">
        <f aca="false">H1117*INDEX('Model Inputs &amp; Assumptions'!$G$40:$G$42,MATCH('Model Inputs &amp; Assumptions'!$L$30,'Model Inputs &amp; Assumptions'!$A$40:$A$42,0))*INDEX('Model Inputs &amp; Assumptions'!$H$40:$H$42,MATCH('Model Inputs &amp; Assumptions'!$L$30,'Model Inputs &amp; Assumptions'!$A$40:$A$42,0))</f>
        <v>5964.99918840857</v>
      </c>
      <c r="L1117" s="51" t="n">
        <f aca="false">IFERROR(K1117/I1117,0)</f>
        <v>0.864492636001243</v>
      </c>
      <c r="M1117" s="49" t="n">
        <f aca="false">IFERROR(I1117/H1117,0)</f>
        <v>183.645289026813</v>
      </c>
      <c r="N1117" s="52" t="str">
        <f aca="false">'Model Inputs &amp; Assumptions'!$L$30</f>
        <v>PRD-USIQ</v>
      </c>
      <c r="P1117" s="53" t="n">
        <v>-0.366483</v>
      </c>
      <c r="Q1117" s="53" t="n">
        <v>-0.160093</v>
      </c>
      <c r="R1117" s="53" t="n">
        <v>0.118902</v>
      </c>
      <c r="S1117" s="53" t="n">
        <v>-0.483427</v>
      </c>
    </row>
    <row r="1118" customFormat="false" ht="15" hidden="false" customHeight="false" outlineLevel="0" collapsed="false">
      <c r="A1118" s="43" t="n">
        <v>115</v>
      </c>
      <c r="B1118" s="44" t="str">
        <f aca="false">'Model Inputs &amp; Assumptions'!$B$30</f>
        <v>extraETF — Newsletter Takeover</v>
      </c>
      <c r="C1118" s="45" t="n">
        <f aca="false">ROUND(MAX(0,'Model Inputs &amp; Assumptions'!$S$30*EXP('Model Inputs &amp; Assumptions'!$T$30*P1118-'Model Inputs &amp; Assumptions'!$T$30^2/2)),0)</f>
        <v>61330</v>
      </c>
      <c r="D1118" s="46" t="n">
        <f aca="false">MIN(1,'Model Inputs &amp; Assumptions'!$U$30*EXP('Model Inputs &amp; Assumptions'!$V$30*Q1118-'Model Inputs &amp; Assumptions'!$V$30^2/2))</f>
        <v>0</v>
      </c>
      <c r="E1118" s="45" t="n">
        <f aca="false">ROUND(C1118*D1118,0)</f>
        <v>0</v>
      </c>
      <c r="F1118" s="47" t="n">
        <f aca="false">MIN(1,'Model Inputs &amp; Assumptions'!$W$30*EXP('Model Inputs &amp; Assumptions'!$X$30*R1118-'Model Inputs &amp; Assumptions'!$X$30^2/2))</f>
        <v>0.0051062217219398</v>
      </c>
      <c r="G1118" s="45" t="n">
        <f aca="false">ROUND(C1118*F1118,0)</f>
        <v>313</v>
      </c>
      <c r="H1118" s="48" t="n">
        <f aca="false">MAX(0,(C1118*'Model Inputs &amp; Assumptions'!$N$30+E1118*'Model Inputs &amp; Assumptions'!$O$30+G1118*'Model Inputs &amp; Assumptions'!$P$30)*EXP('Model Inputs &amp; Assumptions'!$Q$30*S1118-'Model Inputs &amp; Assumptions'!$Q$30^2/2))</f>
        <v>19.6515345900889</v>
      </c>
      <c r="I1118" s="49" t="n">
        <f aca="false">IF('Model Inputs &amp; Assumptions'!$H$30="Fixed",'Model Inputs &amp; Assumptions'!$I$30*'Model Inputs &amp; Assumptions'!$K$30,IF('Model Inputs &amp; Assumptions'!$H$30="CPM",'Model Inputs &amp; Assumptions'!$I$30*'Model Inputs &amp; Assumptions'!$K$30*C1118/1000,IF('Model Inputs &amp; Assumptions'!$H$30="CPC",'Model Inputs &amp; Assumptions'!$I$30*'Model Inputs &amp; Assumptions'!$K$30*G1118,0)))</f>
        <v>6900</v>
      </c>
      <c r="J1118" s="50" t="n">
        <f aca="false">H1118*INDEX('Model Inputs &amp; Assumptions'!$D$40:$D$42,MATCH('Model Inputs &amp; Assumptions'!$L$30,'Model Inputs &amp; Assumptions'!$A$40:$A$42,0))*INDEX('Model Inputs &amp; Assumptions'!$H$40:$H$42,MATCH('Model Inputs &amp; Assumptions'!$L$30,'Model Inputs &amp; Assumptions'!$A$40:$A$42,0))</f>
        <v>141491.04904864</v>
      </c>
      <c r="K1118" s="49" t="n">
        <f aca="false">H1118*INDEX('Model Inputs &amp; Assumptions'!$G$40:$G$42,MATCH('Model Inputs &amp; Assumptions'!$L$30,'Model Inputs &amp; Assumptions'!$A$40:$A$42,0))*INDEX('Model Inputs &amp; Assumptions'!$H$40:$H$42,MATCH('Model Inputs &amp; Assumptions'!$L$30,'Model Inputs &amp; Assumptions'!$A$40:$A$42,0))</f>
        <v>3119.87763152252</v>
      </c>
      <c r="L1118" s="51" t="n">
        <f aca="false">IFERROR(K1118/I1118,0)</f>
        <v>0.452156178481524</v>
      </c>
      <c r="M1118" s="49" t="n">
        <f aca="false">IFERROR(I1118/H1118,0)</f>
        <v>351.117617220589</v>
      </c>
      <c r="N1118" s="52" t="str">
        <f aca="false">'Model Inputs &amp; Assumptions'!$L$30</f>
        <v>PRD-USIQ</v>
      </c>
      <c r="P1118" s="53" t="n">
        <v>-2.948886</v>
      </c>
      <c r="Q1118" s="53" t="n">
        <v>-0.804244</v>
      </c>
      <c r="R1118" s="53" t="n">
        <v>-2.918212</v>
      </c>
      <c r="S1118" s="53" t="n">
        <v>-0.013719</v>
      </c>
    </row>
    <row r="1119" customFormat="false" ht="15" hidden="false" customHeight="false" outlineLevel="0" collapsed="false">
      <c r="A1119" s="43" t="n">
        <v>116</v>
      </c>
      <c r="B1119" s="44" t="str">
        <f aca="false">'Model Inputs &amp; Assumptions'!$B$30</f>
        <v>extraETF — Newsletter Takeover</v>
      </c>
      <c r="C1119" s="45" t="n">
        <f aca="false">ROUND(MAX(0,'Model Inputs &amp; Assumptions'!$S$30*EXP('Model Inputs &amp; Assumptions'!$T$30*P1119-'Model Inputs &amp; Assumptions'!$T$30^2/2)),0)</f>
        <v>94336</v>
      </c>
      <c r="D1119" s="46" t="n">
        <f aca="false">MIN(1,'Model Inputs &amp; Assumptions'!$U$30*EXP('Model Inputs &amp; Assumptions'!$V$30*Q1119-'Model Inputs &amp; Assumptions'!$V$30^2/2))</f>
        <v>0</v>
      </c>
      <c r="E1119" s="45" t="n">
        <f aca="false">ROUND(C1119*D1119,0)</f>
        <v>0</v>
      </c>
      <c r="F1119" s="47" t="n">
        <f aca="false">MIN(1,'Model Inputs &amp; Assumptions'!$W$30*EXP('Model Inputs &amp; Assumptions'!$X$30*R1119-'Model Inputs &amp; Assumptions'!$X$30^2/2))</f>
        <v>0.00514748214726571</v>
      </c>
      <c r="G1119" s="45" t="n">
        <f aca="false">ROUND(C1119*F1119,0)</f>
        <v>486</v>
      </c>
      <c r="H1119" s="48" t="n">
        <f aca="false">MAX(0,(C1119*'Model Inputs &amp; Assumptions'!$N$30+E1119*'Model Inputs &amp; Assumptions'!$O$30+G1119*'Model Inputs &amp; Assumptions'!$P$30)*EXP('Model Inputs &amp; Assumptions'!$Q$30*S1119-'Model Inputs &amp; Assumptions'!$Q$30^2/2))</f>
        <v>43.8381356197627</v>
      </c>
      <c r="I1119" s="49" t="n">
        <f aca="false">IF('Model Inputs &amp; Assumptions'!$H$30="Fixed",'Model Inputs &amp; Assumptions'!$I$30*'Model Inputs &amp; Assumptions'!$K$30,IF('Model Inputs &amp; Assumptions'!$H$30="CPM",'Model Inputs &amp; Assumptions'!$I$30*'Model Inputs &amp; Assumptions'!$K$30*C1119/1000,IF('Model Inputs &amp; Assumptions'!$H$30="CPC",'Model Inputs &amp; Assumptions'!$I$30*'Model Inputs &amp; Assumptions'!$K$30*G1119,0)))</f>
        <v>6900</v>
      </c>
      <c r="J1119" s="50" t="n">
        <f aca="false">H1119*INDEX('Model Inputs &amp; Assumptions'!$D$40:$D$42,MATCH('Model Inputs &amp; Assumptions'!$L$30,'Model Inputs &amp; Assumptions'!$A$40:$A$42,0))*INDEX('Model Inputs &amp; Assumptions'!$H$40:$H$42,MATCH('Model Inputs &amp; Assumptions'!$L$30,'Model Inputs &amp; Assumptions'!$A$40:$A$42,0))</f>
        <v>315634.576462292</v>
      </c>
      <c r="K1119" s="49" t="n">
        <f aca="false">H1119*INDEX('Model Inputs &amp; Assumptions'!$G$40:$G$42,MATCH('Model Inputs &amp; Assumptions'!$L$30,'Model Inputs &amp; Assumptions'!$A$40:$A$42,0))*INDEX('Model Inputs &amp; Assumptions'!$H$40:$H$42,MATCH('Model Inputs &amp; Assumptions'!$L$30,'Model Inputs &amp; Assumptions'!$A$40:$A$42,0))</f>
        <v>6959.74241099353</v>
      </c>
      <c r="L1119" s="51" t="n">
        <f aca="false">IFERROR(K1119/I1119,0)</f>
        <v>1.00865832043384</v>
      </c>
      <c r="M1119" s="49" t="n">
        <f aca="false">IFERROR(I1119/H1119,0)</f>
        <v>157.397204567464</v>
      </c>
      <c r="N1119" s="52" t="str">
        <f aca="false">'Model Inputs &amp; Assumptions'!$L$30</f>
        <v>PRD-USIQ</v>
      </c>
      <c r="P1119" s="53" t="n">
        <v>0.639396</v>
      </c>
      <c r="Q1119" s="53" t="n">
        <v>-0.891698</v>
      </c>
      <c r="R1119" s="53" t="n">
        <v>-2.864559</v>
      </c>
      <c r="S1119" s="53" t="n">
        <v>1.435654</v>
      </c>
    </row>
    <row r="1120" customFormat="false" ht="15" hidden="false" customHeight="false" outlineLevel="0" collapsed="false">
      <c r="A1120" s="43" t="n">
        <v>117</v>
      </c>
      <c r="B1120" s="44" t="str">
        <f aca="false">'Model Inputs &amp; Assumptions'!$B$30</f>
        <v>extraETF — Newsletter Takeover</v>
      </c>
      <c r="C1120" s="45" t="n">
        <f aca="false">ROUND(MAX(0,'Model Inputs &amp; Assumptions'!$S$30*EXP('Model Inputs &amp; Assumptions'!$T$30*P1120-'Model Inputs &amp; Assumptions'!$T$30^2/2)),0)</f>
        <v>76285</v>
      </c>
      <c r="D1120" s="46" t="n">
        <f aca="false">MIN(1,'Model Inputs &amp; Assumptions'!$U$30*EXP('Model Inputs &amp; Assumptions'!$V$30*Q1120-'Model Inputs &amp; Assumptions'!$V$30^2/2))</f>
        <v>0</v>
      </c>
      <c r="E1120" s="45" t="n">
        <f aca="false">ROUND(C1120*D1120,0)</f>
        <v>0</v>
      </c>
      <c r="F1120" s="47" t="n">
        <f aca="false">MIN(1,'Model Inputs &amp; Assumptions'!$W$30*EXP('Model Inputs &amp; Assumptions'!$X$30*R1120-'Model Inputs &amp; Assumptions'!$X$30^2/2))</f>
        <v>0.00825305670712966</v>
      </c>
      <c r="G1120" s="45" t="n">
        <f aca="false">ROUND(C1120*F1120,0)</f>
        <v>630</v>
      </c>
      <c r="H1120" s="48" t="n">
        <f aca="false">MAX(0,(C1120*'Model Inputs &amp; Assumptions'!$N$30+E1120*'Model Inputs &amp; Assumptions'!$O$30+G1120*'Model Inputs &amp; Assumptions'!$P$30)*EXP('Model Inputs &amp; Assumptions'!$Q$30*S1120-'Model Inputs &amp; Assumptions'!$Q$30^2/2))</f>
        <v>27.0518747653928</v>
      </c>
      <c r="I1120" s="49" t="n">
        <f aca="false">IF('Model Inputs &amp; Assumptions'!$H$30="Fixed",'Model Inputs &amp; Assumptions'!$I$30*'Model Inputs &amp; Assumptions'!$K$30,IF('Model Inputs &amp; Assumptions'!$H$30="CPM",'Model Inputs &amp; Assumptions'!$I$30*'Model Inputs &amp; Assumptions'!$K$30*C1120/1000,IF('Model Inputs &amp; Assumptions'!$H$30="CPC",'Model Inputs &amp; Assumptions'!$I$30*'Model Inputs &amp; Assumptions'!$K$30*G1120,0)))</f>
        <v>6900</v>
      </c>
      <c r="J1120" s="50" t="n">
        <f aca="false">H1120*INDEX('Model Inputs &amp; Assumptions'!$D$40:$D$42,MATCH('Model Inputs &amp; Assumptions'!$L$30,'Model Inputs &amp; Assumptions'!$A$40:$A$42,0))*INDEX('Model Inputs &amp; Assumptions'!$H$40:$H$42,MATCH('Model Inputs &amp; Assumptions'!$L$30,'Model Inputs &amp; Assumptions'!$A$40:$A$42,0))</f>
        <v>194773.498310828</v>
      </c>
      <c r="K1120" s="49" t="n">
        <f aca="false">H1120*INDEX('Model Inputs &amp; Assumptions'!$G$40:$G$42,MATCH('Model Inputs &amp; Assumptions'!$L$30,'Model Inputs &amp; Assumptions'!$A$40:$A$42,0))*INDEX('Model Inputs &amp; Assumptions'!$H$40:$H$42,MATCH('Model Inputs &amp; Assumptions'!$L$30,'Model Inputs &amp; Assumptions'!$A$40:$A$42,0))</f>
        <v>4294.75563775376</v>
      </c>
      <c r="L1120" s="51" t="n">
        <f aca="false">IFERROR(K1120/I1120,0)</f>
        <v>0.622428353297646</v>
      </c>
      <c r="M1120" s="49" t="n">
        <f aca="false">IFERROR(I1120/H1120,0)</f>
        <v>255.065501368767</v>
      </c>
      <c r="N1120" s="52" t="str">
        <f aca="false">'Model Inputs &amp; Assumptions'!$L$30</f>
        <v>PRD-USIQ</v>
      </c>
      <c r="P1120" s="53" t="n">
        <v>-1.130498</v>
      </c>
      <c r="Q1120" s="53" t="n">
        <v>-0.507815</v>
      </c>
      <c r="R1120" s="53" t="n">
        <v>0.282614</v>
      </c>
      <c r="S1120" s="53" t="n">
        <v>-1.533382</v>
      </c>
    </row>
    <row r="1121" customFormat="false" ht="15" hidden="false" customHeight="false" outlineLevel="0" collapsed="false">
      <c r="A1121" s="43" t="n">
        <v>118</v>
      </c>
      <c r="B1121" s="44" t="str">
        <f aca="false">'Model Inputs &amp; Assumptions'!$B$30</f>
        <v>extraETF — Newsletter Takeover</v>
      </c>
      <c r="C1121" s="45" t="n">
        <f aca="false">ROUND(MAX(0,'Model Inputs &amp; Assumptions'!$S$30*EXP('Model Inputs &amp; Assumptions'!$T$30*P1121-'Model Inputs &amp; Assumptions'!$T$30^2/2)),0)</f>
        <v>85398</v>
      </c>
      <c r="D1121" s="46" t="n">
        <f aca="false">MIN(1,'Model Inputs &amp; Assumptions'!$U$30*EXP('Model Inputs &amp; Assumptions'!$V$30*Q1121-'Model Inputs &amp; Assumptions'!$V$30^2/2))</f>
        <v>0</v>
      </c>
      <c r="E1121" s="45" t="n">
        <f aca="false">ROUND(C1121*D1121,0)</f>
        <v>0</v>
      </c>
      <c r="F1121" s="47" t="n">
        <f aca="false">MIN(1,'Model Inputs &amp; Assumptions'!$W$30*EXP('Model Inputs &amp; Assumptions'!$X$30*R1121-'Model Inputs &amp; Assumptions'!$X$30^2/2))</f>
        <v>0.00804794630651821</v>
      </c>
      <c r="G1121" s="45" t="n">
        <f aca="false">ROUND(C1121*F1121,0)</f>
        <v>687</v>
      </c>
      <c r="H1121" s="48" t="n">
        <f aca="false">MAX(0,(C1121*'Model Inputs &amp; Assumptions'!$N$30+E1121*'Model Inputs &amp; Assumptions'!$O$30+G1121*'Model Inputs &amp; Assumptions'!$P$30)*EXP('Model Inputs &amp; Assumptions'!$Q$30*S1121-'Model Inputs &amp; Assumptions'!$Q$30^2/2))</f>
        <v>54.87167531998</v>
      </c>
      <c r="I1121" s="49" t="n">
        <f aca="false">IF('Model Inputs &amp; Assumptions'!$H$30="Fixed",'Model Inputs &amp; Assumptions'!$I$30*'Model Inputs &amp; Assumptions'!$K$30,IF('Model Inputs &amp; Assumptions'!$H$30="CPM",'Model Inputs &amp; Assumptions'!$I$30*'Model Inputs &amp; Assumptions'!$K$30*C1121/1000,IF('Model Inputs &amp; Assumptions'!$H$30="CPC",'Model Inputs &amp; Assumptions'!$I$30*'Model Inputs &amp; Assumptions'!$K$30*G1121,0)))</f>
        <v>6900</v>
      </c>
      <c r="J1121" s="50" t="n">
        <f aca="false">H1121*INDEX('Model Inputs &amp; Assumptions'!$D$40:$D$42,MATCH('Model Inputs &amp; Assumptions'!$L$30,'Model Inputs &amp; Assumptions'!$A$40:$A$42,0))*INDEX('Model Inputs &amp; Assumptions'!$H$40:$H$42,MATCH('Model Inputs &amp; Assumptions'!$L$30,'Model Inputs &amp; Assumptions'!$A$40:$A$42,0))</f>
        <v>395076.062303856</v>
      </c>
      <c r="K1121" s="49" t="n">
        <f aca="false">H1121*INDEX('Model Inputs &amp; Assumptions'!$G$40:$G$42,MATCH('Model Inputs &amp; Assumptions'!$L$30,'Model Inputs &amp; Assumptions'!$A$40:$A$42,0))*INDEX('Model Inputs &amp; Assumptions'!$H$40:$H$42,MATCH('Model Inputs &amp; Assumptions'!$L$30,'Model Inputs &amp; Assumptions'!$A$40:$A$42,0))</f>
        <v>8711.42717380003</v>
      </c>
      <c r="L1121" s="51" t="n">
        <f aca="false">IFERROR(K1121/I1121,0)</f>
        <v>1.26252567736232</v>
      </c>
      <c r="M1121" s="49" t="n">
        <f aca="false">IFERROR(I1121/H1121,0)</f>
        <v>125.747937524473</v>
      </c>
      <c r="N1121" s="52" t="str">
        <f aca="false">'Model Inputs &amp; Assumptions'!$L$30</f>
        <v>PRD-USIQ</v>
      </c>
      <c r="P1121" s="53" t="n">
        <v>-0.190147</v>
      </c>
      <c r="Q1121" s="53" t="n">
        <v>-0.451378</v>
      </c>
      <c r="R1121" s="53" t="n">
        <v>0.114836</v>
      </c>
      <c r="S1121" s="53" t="n">
        <v>0.949124</v>
      </c>
    </row>
    <row r="1122" customFormat="false" ht="15" hidden="false" customHeight="false" outlineLevel="0" collapsed="false">
      <c r="A1122" s="43" t="n">
        <v>119</v>
      </c>
      <c r="B1122" s="44" t="str">
        <f aca="false">'Model Inputs &amp; Assumptions'!$B$30</f>
        <v>extraETF — Newsletter Takeover</v>
      </c>
      <c r="C1122" s="45" t="n">
        <f aca="false">ROUND(MAX(0,'Model Inputs &amp; Assumptions'!$S$30*EXP('Model Inputs &amp; Assumptions'!$T$30*P1122-'Model Inputs &amp; Assumptions'!$T$30^2/2)),0)</f>
        <v>65551</v>
      </c>
      <c r="D1122" s="46" t="n">
        <f aca="false">MIN(1,'Model Inputs &amp; Assumptions'!$U$30*EXP('Model Inputs &amp; Assumptions'!$V$30*Q1122-'Model Inputs &amp; Assumptions'!$V$30^2/2))</f>
        <v>0</v>
      </c>
      <c r="E1122" s="45" t="n">
        <f aca="false">ROUND(C1122*D1122,0)</f>
        <v>0</v>
      </c>
      <c r="F1122" s="47" t="n">
        <f aca="false">MIN(1,'Model Inputs &amp; Assumptions'!$W$30*EXP('Model Inputs &amp; Assumptions'!$X$30*R1122-'Model Inputs &amp; Assumptions'!$X$30^2/2))</f>
        <v>0.00706931149874998</v>
      </c>
      <c r="G1122" s="45" t="n">
        <f aca="false">ROUND(C1122*F1122,0)</f>
        <v>463</v>
      </c>
      <c r="H1122" s="48" t="n">
        <f aca="false">MAX(0,(C1122*'Model Inputs &amp; Assumptions'!$N$30+E1122*'Model Inputs &amp; Assumptions'!$O$30+G1122*'Model Inputs &amp; Assumptions'!$P$30)*EXP('Model Inputs &amp; Assumptions'!$Q$30*S1122-'Model Inputs &amp; Assumptions'!$Q$30^2/2))</f>
        <v>48.9941079518419</v>
      </c>
      <c r="I1122" s="49" t="n">
        <f aca="false">IF('Model Inputs &amp; Assumptions'!$H$30="Fixed",'Model Inputs &amp; Assumptions'!$I$30*'Model Inputs &amp; Assumptions'!$K$30,IF('Model Inputs &amp; Assumptions'!$H$30="CPM",'Model Inputs &amp; Assumptions'!$I$30*'Model Inputs &amp; Assumptions'!$K$30*C1122/1000,IF('Model Inputs &amp; Assumptions'!$H$30="CPC",'Model Inputs &amp; Assumptions'!$I$30*'Model Inputs &amp; Assumptions'!$K$30*G1122,0)))</f>
        <v>6900</v>
      </c>
      <c r="J1122" s="50" t="n">
        <f aca="false">H1122*INDEX('Model Inputs &amp; Assumptions'!$D$40:$D$42,MATCH('Model Inputs &amp; Assumptions'!$L$30,'Model Inputs &amp; Assumptions'!$A$40:$A$42,0))*INDEX('Model Inputs &amp; Assumptions'!$H$40:$H$42,MATCH('Model Inputs &amp; Assumptions'!$L$30,'Model Inputs &amp; Assumptions'!$A$40:$A$42,0))</f>
        <v>352757.577253262</v>
      </c>
      <c r="K1122" s="49" t="n">
        <f aca="false">H1122*INDEX('Model Inputs &amp; Assumptions'!$G$40:$G$42,MATCH('Model Inputs &amp; Assumptions'!$L$30,'Model Inputs &amp; Assumptions'!$A$40:$A$42,0))*INDEX('Model Inputs &amp; Assumptions'!$H$40:$H$42,MATCH('Model Inputs &amp; Assumptions'!$L$30,'Model Inputs &amp; Assumptions'!$A$40:$A$42,0))</f>
        <v>7778.30457843443</v>
      </c>
      <c r="L1122" s="51" t="n">
        <f aca="false">IFERROR(K1122/I1122,0)</f>
        <v>1.12729051861368</v>
      </c>
      <c r="M1122" s="49" t="n">
        <f aca="false">IFERROR(I1122/H1122,0)</f>
        <v>140.833261150142</v>
      </c>
      <c r="N1122" s="52" t="str">
        <f aca="false">'Model Inputs &amp; Assumptions'!$L$30</f>
        <v>PRD-USIQ</v>
      </c>
      <c r="P1122" s="53" t="n">
        <v>-2.394196</v>
      </c>
      <c r="Q1122" s="53" t="n">
        <v>-0.488787</v>
      </c>
      <c r="R1122" s="53" t="n">
        <v>-0.749523</v>
      </c>
      <c r="S1122" s="53" t="n">
        <v>2.074364</v>
      </c>
    </row>
    <row r="1123" customFormat="false" ht="15" hidden="false" customHeight="false" outlineLevel="0" collapsed="false">
      <c r="A1123" s="43" t="n">
        <v>120</v>
      </c>
      <c r="B1123" s="44" t="str">
        <f aca="false">'Model Inputs &amp; Assumptions'!$B$30</f>
        <v>extraETF — Newsletter Takeover</v>
      </c>
      <c r="C1123" s="45" t="n">
        <f aca="false">ROUND(MAX(0,'Model Inputs &amp; Assumptions'!$S$30*EXP('Model Inputs &amp; Assumptions'!$T$30*P1123-'Model Inputs &amp; Assumptions'!$T$30^2/2)),0)</f>
        <v>90443</v>
      </c>
      <c r="D1123" s="46" t="n">
        <f aca="false">MIN(1,'Model Inputs &amp; Assumptions'!$U$30*EXP('Model Inputs &amp; Assumptions'!$V$30*Q1123-'Model Inputs &amp; Assumptions'!$V$30^2/2))</f>
        <v>0</v>
      </c>
      <c r="E1123" s="45" t="n">
        <f aca="false">ROUND(C1123*D1123,0)</f>
        <v>0</v>
      </c>
      <c r="F1123" s="47" t="n">
        <f aca="false">MIN(1,'Model Inputs &amp; Assumptions'!$W$30*EXP('Model Inputs &amp; Assumptions'!$X$30*R1123-'Model Inputs &amp; Assumptions'!$X$30^2/2))</f>
        <v>0.00828980413060948</v>
      </c>
      <c r="G1123" s="45" t="n">
        <f aca="false">ROUND(C1123*F1123,0)</f>
        <v>750</v>
      </c>
      <c r="H1123" s="48" t="n">
        <f aca="false">MAX(0,(C1123*'Model Inputs &amp; Assumptions'!$N$30+E1123*'Model Inputs &amp; Assumptions'!$O$30+G1123*'Model Inputs &amp; Assumptions'!$P$30)*EXP('Model Inputs &amp; Assumptions'!$Q$30*S1123-'Model Inputs &amp; Assumptions'!$Q$30^2/2))</f>
        <v>42.7277545029814</v>
      </c>
      <c r="I1123" s="49" t="n">
        <f aca="false">IF('Model Inputs &amp; Assumptions'!$H$30="Fixed",'Model Inputs &amp; Assumptions'!$I$30*'Model Inputs &amp; Assumptions'!$K$30,IF('Model Inputs &amp; Assumptions'!$H$30="CPM",'Model Inputs &amp; Assumptions'!$I$30*'Model Inputs &amp; Assumptions'!$K$30*C1123/1000,IF('Model Inputs &amp; Assumptions'!$H$30="CPC",'Model Inputs &amp; Assumptions'!$I$30*'Model Inputs &amp; Assumptions'!$K$30*G1123,0)))</f>
        <v>6900</v>
      </c>
      <c r="J1123" s="50" t="n">
        <f aca="false">H1123*INDEX('Model Inputs &amp; Assumptions'!$D$40:$D$42,MATCH('Model Inputs &amp; Assumptions'!$L$30,'Model Inputs &amp; Assumptions'!$A$40:$A$42,0))*INDEX('Model Inputs &amp; Assumptions'!$H$40:$H$42,MATCH('Model Inputs &amp; Assumptions'!$L$30,'Model Inputs &amp; Assumptions'!$A$40:$A$42,0))</f>
        <v>307639.832421466</v>
      </c>
      <c r="K1123" s="49" t="n">
        <f aca="false">H1123*INDEX('Model Inputs &amp; Assumptions'!$G$40:$G$42,MATCH('Model Inputs &amp; Assumptions'!$L$30,'Model Inputs &amp; Assumptions'!$A$40:$A$42,0))*INDEX('Model Inputs &amp; Assumptions'!$H$40:$H$42,MATCH('Model Inputs &amp; Assumptions'!$L$30,'Model Inputs &amp; Assumptions'!$A$40:$A$42,0))</f>
        <v>6783.45830489332</v>
      </c>
      <c r="L1123" s="51" t="n">
        <f aca="false">IFERROR(K1123/I1123,0)</f>
        <v>0.983109899259902</v>
      </c>
      <c r="M1123" s="49" t="n">
        <f aca="false">IFERROR(I1123/H1123,0)</f>
        <v>161.487540832939</v>
      </c>
      <c r="N1123" s="52" t="str">
        <f aca="false">'Model Inputs &amp; Assumptions'!$L$30</f>
        <v>PRD-USIQ</v>
      </c>
      <c r="P1123" s="53" t="n">
        <v>0.288151</v>
      </c>
      <c r="Q1123" s="53" t="n">
        <v>0.535582</v>
      </c>
      <c r="R1123" s="53" t="n">
        <v>0.312232</v>
      </c>
      <c r="S1123" s="53" t="n">
        <v>-0.402426</v>
      </c>
    </row>
    <row r="1124" customFormat="false" ht="15" hidden="false" customHeight="false" outlineLevel="0" collapsed="false">
      <c r="A1124" s="43" t="n">
        <v>121</v>
      </c>
      <c r="B1124" s="44" t="str">
        <f aca="false">'Model Inputs &amp; Assumptions'!$B$30</f>
        <v>extraETF — Newsletter Takeover</v>
      </c>
      <c r="C1124" s="45" t="n">
        <f aca="false">ROUND(MAX(0,'Model Inputs &amp; Assumptions'!$S$30*EXP('Model Inputs &amp; Assumptions'!$T$30*P1124-'Model Inputs &amp; Assumptions'!$T$30^2/2)),0)</f>
        <v>95301</v>
      </c>
      <c r="D1124" s="46" t="n">
        <f aca="false">MIN(1,'Model Inputs &amp; Assumptions'!$U$30*EXP('Model Inputs &amp; Assumptions'!$V$30*Q1124-'Model Inputs &amp; Assumptions'!$V$30^2/2))</f>
        <v>0</v>
      </c>
      <c r="E1124" s="45" t="n">
        <f aca="false">ROUND(C1124*D1124,0)</f>
        <v>0</v>
      </c>
      <c r="F1124" s="47" t="n">
        <f aca="false">MIN(1,'Model Inputs &amp; Assumptions'!$W$30*EXP('Model Inputs &amp; Assumptions'!$X$30*R1124-'Model Inputs &amp; Assumptions'!$X$30^2/2))</f>
        <v>0.00755930452324416</v>
      </c>
      <c r="G1124" s="45" t="n">
        <f aca="false">ROUND(C1124*F1124,0)</f>
        <v>720</v>
      </c>
      <c r="H1124" s="48" t="n">
        <f aca="false">MAX(0,(C1124*'Model Inputs &amp; Assumptions'!$N$30+E1124*'Model Inputs &amp; Assumptions'!$O$30+G1124*'Model Inputs &amp; Assumptions'!$P$30)*EXP('Model Inputs &amp; Assumptions'!$Q$30*S1124-'Model Inputs &amp; Assumptions'!$Q$30^2/2))</f>
        <v>53.4553754937286</v>
      </c>
      <c r="I1124" s="49" t="n">
        <f aca="false">IF('Model Inputs &amp; Assumptions'!$H$30="Fixed",'Model Inputs &amp; Assumptions'!$I$30*'Model Inputs &amp; Assumptions'!$K$30,IF('Model Inputs &amp; Assumptions'!$H$30="CPM",'Model Inputs &amp; Assumptions'!$I$30*'Model Inputs &amp; Assumptions'!$K$30*C1124/1000,IF('Model Inputs &amp; Assumptions'!$H$30="CPC",'Model Inputs &amp; Assumptions'!$I$30*'Model Inputs &amp; Assumptions'!$K$30*G1124,0)))</f>
        <v>6900</v>
      </c>
      <c r="J1124" s="50" t="n">
        <f aca="false">H1124*INDEX('Model Inputs &amp; Assumptions'!$D$40:$D$42,MATCH('Model Inputs &amp; Assumptions'!$L$30,'Model Inputs &amp; Assumptions'!$A$40:$A$42,0))*INDEX('Model Inputs &amp; Assumptions'!$H$40:$H$42,MATCH('Model Inputs &amp; Assumptions'!$L$30,'Model Inputs &amp; Assumptions'!$A$40:$A$42,0))</f>
        <v>384878.703554846</v>
      </c>
      <c r="K1124" s="49" t="n">
        <f aca="false">H1124*INDEX('Model Inputs &amp; Assumptions'!$G$40:$G$42,MATCH('Model Inputs &amp; Assumptions'!$L$30,'Model Inputs &amp; Assumptions'!$A$40:$A$42,0))*INDEX('Model Inputs &amp; Assumptions'!$H$40:$H$42,MATCH('Model Inputs &amp; Assumptions'!$L$30,'Model Inputs &amp; Assumptions'!$A$40:$A$42,0))</f>
        <v>8486.57541338435</v>
      </c>
      <c r="L1124" s="51" t="n">
        <f aca="false">IFERROR(K1124/I1124,0)</f>
        <v>1.22993846570788</v>
      </c>
      <c r="M1124" s="49" t="n">
        <f aca="false">IFERROR(I1124/H1124,0)</f>
        <v>129.079628311834</v>
      </c>
      <c r="N1124" s="52" t="str">
        <f aca="false">'Model Inputs &amp; Assumptions'!$L$30</f>
        <v>PRD-USIQ</v>
      </c>
      <c r="P1124" s="53" t="n">
        <v>0.724189</v>
      </c>
      <c r="Q1124" s="53" t="n">
        <v>-0.012558</v>
      </c>
      <c r="R1124" s="53" t="n">
        <v>-0.302749</v>
      </c>
      <c r="S1124" s="53" t="n">
        <v>0.656856</v>
      </c>
    </row>
    <row r="1125" customFormat="false" ht="15" hidden="false" customHeight="false" outlineLevel="0" collapsed="false">
      <c r="A1125" s="43" t="n">
        <v>122</v>
      </c>
      <c r="B1125" s="44" t="str">
        <f aca="false">'Model Inputs &amp; Assumptions'!$B$30</f>
        <v>extraETF — Newsletter Takeover</v>
      </c>
      <c r="C1125" s="45" t="n">
        <f aca="false">ROUND(MAX(0,'Model Inputs &amp; Assumptions'!$S$30*EXP('Model Inputs &amp; Assumptions'!$T$30*P1125-'Model Inputs &amp; Assumptions'!$T$30^2/2)),0)</f>
        <v>88634</v>
      </c>
      <c r="D1125" s="46" t="n">
        <f aca="false">MIN(1,'Model Inputs &amp; Assumptions'!$U$30*EXP('Model Inputs &amp; Assumptions'!$V$30*Q1125-'Model Inputs &amp; Assumptions'!$V$30^2/2))</f>
        <v>0</v>
      </c>
      <c r="E1125" s="45" t="n">
        <f aca="false">ROUND(C1125*D1125,0)</f>
        <v>0</v>
      </c>
      <c r="F1125" s="47" t="n">
        <f aca="false">MIN(1,'Model Inputs &amp; Assumptions'!$W$30*EXP('Model Inputs &amp; Assumptions'!$X$30*R1125-'Model Inputs &amp; Assumptions'!$X$30^2/2))</f>
        <v>0.0063583165039754</v>
      </c>
      <c r="G1125" s="45" t="n">
        <f aca="false">ROUND(C1125*F1125,0)</f>
        <v>564</v>
      </c>
      <c r="H1125" s="48" t="n">
        <f aca="false">MAX(0,(C1125*'Model Inputs &amp; Assumptions'!$N$30+E1125*'Model Inputs &amp; Assumptions'!$O$30+G1125*'Model Inputs &amp; Assumptions'!$P$30)*EXP('Model Inputs &amp; Assumptions'!$Q$30*S1125-'Model Inputs &amp; Assumptions'!$Q$30^2/2))</f>
        <v>29.6628446995239</v>
      </c>
      <c r="I1125" s="49" t="n">
        <f aca="false">IF('Model Inputs &amp; Assumptions'!$H$30="Fixed",'Model Inputs &amp; Assumptions'!$I$30*'Model Inputs &amp; Assumptions'!$K$30,IF('Model Inputs &amp; Assumptions'!$H$30="CPM",'Model Inputs &amp; Assumptions'!$I$30*'Model Inputs &amp; Assumptions'!$K$30*C1125/1000,IF('Model Inputs &amp; Assumptions'!$H$30="CPC",'Model Inputs &amp; Assumptions'!$I$30*'Model Inputs &amp; Assumptions'!$K$30*G1125,0)))</f>
        <v>6900</v>
      </c>
      <c r="J1125" s="50" t="n">
        <f aca="false">H1125*INDEX('Model Inputs &amp; Assumptions'!$D$40:$D$42,MATCH('Model Inputs &amp; Assumptions'!$L$30,'Model Inputs &amp; Assumptions'!$A$40:$A$42,0))*INDEX('Model Inputs &amp; Assumptions'!$H$40:$H$42,MATCH('Model Inputs &amp; Assumptions'!$L$30,'Model Inputs &amp; Assumptions'!$A$40:$A$42,0))</f>
        <v>213572.481836572</v>
      </c>
      <c r="K1125" s="49" t="n">
        <f aca="false">H1125*INDEX('Model Inputs &amp; Assumptions'!$G$40:$G$42,MATCH('Model Inputs &amp; Assumptions'!$L$30,'Model Inputs &amp; Assumptions'!$A$40:$A$42,0))*INDEX('Model Inputs &amp; Assumptions'!$H$40:$H$42,MATCH('Model Inputs &amp; Assumptions'!$L$30,'Model Inputs &amp; Assumptions'!$A$40:$A$42,0))</f>
        <v>4709.27322449641</v>
      </c>
      <c r="L1125" s="51" t="n">
        <f aca="false">IFERROR(K1125/I1125,0)</f>
        <v>0.682503365869045</v>
      </c>
      <c r="M1125" s="49" t="n">
        <f aca="false">IFERROR(I1125/H1125,0)</f>
        <v>232.614237437273</v>
      </c>
      <c r="N1125" s="52" t="str">
        <f aca="false">'Model Inputs &amp; Assumptions'!$L$30</f>
        <v>PRD-USIQ</v>
      </c>
      <c r="P1125" s="53" t="n">
        <v>0.119835</v>
      </c>
      <c r="Q1125" s="53" t="n">
        <v>0.896409</v>
      </c>
      <c r="R1125" s="53" t="n">
        <v>-1.456186</v>
      </c>
      <c r="S1125" s="53" t="n">
        <v>-0.722164</v>
      </c>
    </row>
    <row r="1126" customFormat="false" ht="15" hidden="false" customHeight="false" outlineLevel="0" collapsed="false">
      <c r="A1126" s="43" t="n">
        <v>123</v>
      </c>
      <c r="B1126" s="44" t="str">
        <f aca="false">'Model Inputs &amp; Assumptions'!$B$30</f>
        <v>extraETF — Newsletter Takeover</v>
      </c>
      <c r="C1126" s="45" t="n">
        <f aca="false">ROUND(MAX(0,'Model Inputs &amp; Assumptions'!$S$30*EXP('Model Inputs &amp; Assumptions'!$T$30*P1126-'Model Inputs &amp; Assumptions'!$T$30^2/2)),0)</f>
        <v>76675</v>
      </c>
      <c r="D1126" s="46" t="n">
        <f aca="false">MIN(1,'Model Inputs &amp; Assumptions'!$U$30*EXP('Model Inputs &amp; Assumptions'!$V$30*Q1126-'Model Inputs &amp; Assumptions'!$V$30^2/2))</f>
        <v>0</v>
      </c>
      <c r="E1126" s="45" t="n">
        <f aca="false">ROUND(C1126*D1126,0)</f>
        <v>0</v>
      </c>
      <c r="F1126" s="47" t="n">
        <f aca="false">MIN(1,'Model Inputs &amp; Assumptions'!$W$30*EXP('Model Inputs &amp; Assumptions'!$X$30*R1126-'Model Inputs &amp; Assumptions'!$X$30^2/2))</f>
        <v>0.00636351655294782</v>
      </c>
      <c r="G1126" s="45" t="n">
        <f aca="false">ROUND(C1126*F1126,0)</f>
        <v>488</v>
      </c>
      <c r="H1126" s="48" t="n">
        <f aca="false">MAX(0,(C1126*'Model Inputs &amp; Assumptions'!$N$30+E1126*'Model Inputs &amp; Assumptions'!$O$30+G1126*'Model Inputs &amp; Assumptions'!$P$30)*EXP('Model Inputs &amp; Assumptions'!$Q$30*S1126-'Model Inputs &amp; Assumptions'!$Q$30^2/2))</f>
        <v>31.1934035183089</v>
      </c>
      <c r="I1126" s="49" t="n">
        <f aca="false">IF('Model Inputs &amp; Assumptions'!$H$30="Fixed",'Model Inputs &amp; Assumptions'!$I$30*'Model Inputs &amp; Assumptions'!$K$30,IF('Model Inputs &amp; Assumptions'!$H$30="CPM",'Model Inputs &amp; Assumptions'!$I$30*'Model Inputs &amp; Assumptions'!$K$30*C1126/1000,IF('Model Inputs &amp; Assumptions'!$H$30="CPC",'Model Inputs &amp; Assumptions'!$I$30*'Model Inputs &amp; Assumptions'!$K$30*G1126,0)))</f>
        <v>6900</v>
      </c>
      <c r="J1126" s="50" t="n">
        <f aca="false">H1126*INDEX('Model Inputs &amp; Assumptions'!$D$40:$D$42,MATCH('Model Inputs &amp; Assumptions'!$L$30,'Model Inputs &amp; Assumptions'!$A$40:$A$42,0))*INDEX('Model Inputs &amp; Assumptions'!$H$40:$H$42,MATCH('Model Inputs &amp; Assumptions'!$L$30,'Model Inputs &amp; Assumptions'!$A$40:$A$42,0))</f>
        <v>224592.505331824</v>
      </c>
      <c r="K1126" s="49" t="n">
        <f aca="false">H1126*INDEX('Model Inputs &amp; Assumptions'!$G$40:$G$42,MATCH('Model Inputs &amp; Assumptions'!$L$30,'Model Inputs &amp; Assumptions'!$A$40:$A$42,0))*INDEX('Model Inputs &amp; Assumptions'!$H$40:$H$42,MATCH('Model Inputs &amp; Assumptions'!$L$30,'Model Inputs &amp; Assumptions'!$A$40:$A$42,0))</f>
        <v>4952.26474256673</v>
      </c>
      <c r="L1126" s="51" t="n">
        <f aca="false">IFERROR(K1126/I1126,0)</f>
        <v>0.717719527908221</v>
      </c>
      <c r="M1126" s="49" t="n">
        <f aca="false">IFERROR(I1126/H1126,0)</f>
        <v>221.200613647371</v>
      </c>
      <c r="N1126" s="52" t="str">
        <f aca="false">'Model Inputs &amp; Assumptions'!$L$30</f>
        <v>PRD-USIQ</v>
      </c>
      <c r="P1126" s="53" t="n">
        <v>-1.08799</v>
      </c>
      <c r="Q1126" s="53" t="n">
        <v>-1.161649</v>
      </c>
      <c r="R1126" s="53" t="n">
        <v>-1.450736</v>
      </c>
      <c r="S1126" s="53" t="n">
        <v>0.058037</v>
      </c>
    </row>
    <row r="1127" customFormat="false" ht="15" hidden="false" customHeight="false" outlineLevel="0" collapsed="false">
      <c r="A1127" s="43" t="n">
        <v>124</v>
      </c>
      <c r="B1127" s="44" t="str">
        <f aca="false">'Model Inputs &amp; Assumptions'!$B$30</f>
        <v>extraETF — Newsletter Takeover</v>
      </c>
      <c r="C1127" s="45" t="n">
        <f aca="false">ROUND(MAX(0,'Model Inputs &amp; Assumptions'!$S$30*EXP('Model Inputs &amp; Assumptions'!$T$30*P1127-'Model Inputs &amp; Assumptions'!$T$30^2/2)),0)</f>
        <v>95920</v>
      </c>
      <c r="D1127" s="46" t="n">
        <f aca="false">MIN(1,'Model Inputs &amp; Assumptions'!$U$30*EXP('Model Inputs &amp; Assumptions'!$V$30*Q1127-'Model Inputs &amp; Assumptions'!$V$30^2/2))</f>
        <v>0</v>
      </c>
      <c r="E1127" s="45" t="n">
        <f aca="false">ROUND(C1127*D1127,0)</f>
        <v>0</v>
      </c>
      <c r="F1127" s="47" t="n">
        <f aca="false">MIN(1,'Model Inputs &amp; Assumptions'!$W$30*EXP('Model Inputs &amp; Assumptions'!$X$30*R1127-'Model Inputs &amp; Assumptions'!$X$30^2/2))</f>
        <v>0.00765161159511698</v>
      </c>
      <c r="G1127" s="45" t="n">
        <f aca="false">ROUND(C1127*F1127,0)</f>
        <v>734</v>
      </c>
      <c r="H1127" s="48" t="n">
        <f aca="false">MAX(0,(C1127*'Model Inputs &amp; Assumptions'!$N$30+E1127*'Model Inputs &amp; Assumptions'!$O$30+G1127*'Model Inputs &amp; Assumptions'!$P$30)*EXP('Model Inputs &amp; Assumptions'!$Q$30*S1127-'Model Inputs &amp; Assumptions'!$Q$30^2/2))</f>
        <v>40.7420414807815</v>
      </c>
      <c r="I1127" s="49" t="n">
        <f aca="false">IF('Model Inputs &amp; Assumptions'!$H$30="Fixed",'Model Inputs &amp; Assumptions'!$I$30*'Model Inputs &amp; Assumptions'!$K$30,IF('Model Inputs &amp; Assumptions'!$H$30="CPM",'Model Inputs &amp; Assumptions'!$I$30*'Model Inputs &amp; Assumptions'!$K$30*C1127/1000,IF('Model Inputs &amp; Assumptions'!$H$30="CPC",'Model Inputs &amp; Assumptions'!$I$30*'Model Inputs &amp; Assumptions'!$K$30*G1127,0)))</f>
        <v>6900</v>
      </c>
      <c r="J1127" s="50" t="n">
        <f aca="false">H1127*INDEX('Model Inputs &amp; Assumptions'!$D$40:$D$42,MATCH('Model Inputs &amp; Assumptions'!$L$30,'Model Inputs &amp; Assumptions'!$A$40:$A$42,0))*INDEX('Model Inputs &amp; Assumptions'!$H$40:$H$42,MATCH('Model Inputs &amp; Assumptions'!$L$30,'Model Inputs &amp; Assumptions'!$A$40:$A$42,0))</f>
        <v>293342.698661627</v>
      </c>
      <c r="K1127" s="49" t="n">
        <f aca="false">H1127*INDEX('Model Inputs &amp; Assumptions'!$G$40:$G$42,MATCH('Model Inputs &amp; Assumptions'!$L$30,'Model Inputs &amp; Assumptions'!$A$40:$A$42,0))*INDEX('Model Inputs &amp; Assumptions'!$H$40:$H$42,MATCH('Model Inputs &amp; Assumptions'!$L$30,'Model Inputs &amp; Assumptions'!$A$40:$A$42,0))</f>
        <v>6468.20650548888</v>
      </c>
      <c r="L1127" s="51" t="n">
        <f aca="false">IFERROR(K1127/I1127,0)</f>
        <v>0.937421232679547</v>
      </c>
      <c r="M1127" s="49" t="n">
        <f aca="false">IFERROR(I1127/H1127,0)</f>
        <v>169.358229220173</v>
      </c>
      <c r="N1127" s="52" t="str">
        <f aca="false">'Model Inputs &amp; Assumptions'!$L$30</f>
        <v>PRD-USIQ</v>
      </c>
      <c r="P1127" s="53" t="n">
        <v>0.778143</v>
      </c>
      <c r="Q1127" s="53" t="n">
        <v>-0.576364</v>
      </c>
      <c r="R1127" s="53" t="n">
        <v>-0.221835</v>
      </c>
      <c r="S1127" s="53" t="n">
        <v>-0.506522</v>
      </c>
    </row>
    <row r="1128" customFormat="false" ht="15" hidden="false" customHeight="false" outlineLevel="0" collapsed="false">
      <c r="A1128" s="43" t="n">
        <v>125</v>
      </c>
      <c r="B1128" s="44" t="str">
        <f aca="false">'Model Inputs &amp; Assumptions'!$B$30</f>
        <v>extraETF — Newsletter Takeover</v>
      </c>
      <c r="C1128" s="45" t="n">
        <f aca="false">ROUND(MAX(0,'Model Inputs &amp; Assumptions'!$S$30*EXP('Model Inputs &amp; Assumptions'!$T$30*P1128-'Model Inputs &amp; Assumptions'!$T$30^2/2)),0)</f>
        <v>82554</v>
      </c>
      <c r="D1128" s="46" t="n">
        <f aca="false">MIN(1,'Model Inputs &amp; Assumptions'!$U$30*EXP('Model Inputs &amp; Assumptions'!$V$30*Q1128-'Model Inputs &amp; Assumptions'!$V$30^2/2))</f>
        <v>0</v>
      </c>
      <c r="E1128" s="45" t="n">
        <f aca="false">ROUND(C1128*D1128,0)</f>
        <v>0</v>
      </c>
      <c r="F1128" s="47" t="n">
        <f aca="false">MIN(1,'Model Inputs &amp; Assumptions'!$W$30*EXP('Model Inputs &amp; Assumptions'!$X$30*R1128-'Model Inputs &amp; Assumptions'!$X$30^2/2))</f>
        <v>0.00788348363374829</v>
      </c>
      <c r="G1128" s="45" t="n">
        <f aca="false">ROUND(C1128*F1128,0)</f>
        <v>651</v>
      </c>
      <c r="H1128" s="48" t="n">
        <f aca="false">MAX(0,(C1128*'Model Inputs &amp; Assumptions'!$N$30+E1128*'Model Inputs &amp; Assumptions'!$O$30+G1128*'Model Inputs &amp; Assumptions'!$P$30)*EXP('Model Inputs &amp; Assumptions'!$Q$30*S1128-'Model Inputs &amp; Assumptions'!$Q$30^2/2))</f>
        <v>46.1546231773466</v>
      </c>
      <c r="I1128" s="49" t="n">
        <f aca="false">IF('Model Inputs &amp; Assumptions'!$H$30="Fixed",'Model Inputs &amp; Assumptions'!$I$30*'Model Inputs &amp; Assumptions'!$K$30,IF('Model Inputs &amp; Assumptions'!$H$30="CPM",'Model Inputs &amp; Assumptions'!$I$30*'Model Inputs &amp; Assumptions'!$K$30*C1128/1000,IF('Model Inputs &amp; Assumptions'!$H$30="CPC",'Model Inputs &amp; Assumptions'!$I$30*'Model Inputs &amp; Assumptions'!$K$30*G1128,0)))</f>
        <v>6900</v>
      </c>
      <c r="J1128" s="50" t="n">
        <f aca="false">H1128*INDEX('Model Inputs &amp; Assumptions'!$D$40:$D$42,MATCH('Model Inputs &amp; Assumptions'!$L$30,'Model Inputs &amp; Assumptions'!$A$40:$A$42,0))*INDEX('Model Inputs &amp; Assumptions'!$H$40:$H$42,MATCH('Model Inputs &amp; Assumptions'!$L$30,'Model Inputs &amp; Assumptions'!$A$40:$A$42,0))</f>
        <v>332313.286876895</v>
      </c>
      <c r="K1128" s="49" t="n">
        <f aca="false">H1128*INDEX('Model Inputs &amp; Assumptions'!$G$40:$G$42,MATCH('Model Inputs &amp; Assumptions'!$L$30,'Model Inputs &amp; Assumptions'!$A$40:$A$42,0))*INDEX('Model Inputs &amp; Assumptions'!$H$40:$H$42,MATCH('Model Inputs &amp; Assumptions'!$L$30,'Model Inputs &amp; Assumptions'!$A$40:$A$42,0))</f>
        <v>7327.50797563554</v>
      </c>
      <c r="L1128" s="51" t="n">
        <f aca="false">IFERROR(K1128/I1128,0)</f>
        <v>1.06195767762834</v>
      </c>
      <c r="M1128" s="49" t="n">
        <f aca="false">IFERROR(I1128/H1128,0)</f>
        <v>149.497483133751</v>
      </c>
      <c r="N1128" s="52" t="str">
        <f aca="false">'Model Inputs &amp; Assumptions'!$L$30</f>
        <v>PRD-USIQ</v>
      </c>
      <c r="P1128" s="53" t="n">
        <v>-0.472343</v>
      </c>
      <c r="Q1128" s="53" t="n">
        <v>1.322217</v>
      </c>
      <c r="R1128" s="53" t="n">
        <v>-0.022811</v>
      </c>
      <c r="S1128" s="53" t="n">
        <v>0.472422</v>
      </c>
    </row>
    <row r="1129" customFormat="false" ht="15" hidden="false" customHeight="false" outlineLevel="0" collapsed="false">
      <c r="A1129" s="43" t="n">
        <v>126</v>
      </c>
      <c r="B1129" s="44" t="str">
        <f aca="false">'Model Inputs &amp; Assumptions'!$B$30</f>
        <v>extraETF — Newsletter Takeover</v>
      </c>
      <c r="C1129" s="45" t="n">
        <f aca="false">ROUND(MAX(0,'Model Inputs &amp; Assumptions'!$S$30*EXP('Model Inputs &amp; Assumptions'!$T$30*P1129-'Model Inputs &amp; Assumptions'!$T$30^2/2)),0)</f>
        <v>91676</v>
      </c>
      <c r="D1129" s="46" t="n">
        <f aca="false">MIN(1,'Model Inputs &amp; Assumptions'!$U$30*EXP('Model Inputs &amp; Assumptions'!$V$30*Q1129-'Model Inputs &amp; Assumptions'!$V$30^2/2))</f>
        <v>0</v>
      </c>
      <c r="E1129" s="45" t="n">
        <f aca="false">ROUND(C1129*D1129,0)</f>
        <v>0</v>
      </c>
      <c r="F1129" s="47" t="n">
        <f aca="false">MIN(1,'Model Inputs &amp; Assumptions'!$W$30*EXP('Model Inputs &amp; Assumptions'!$X$30*R1129-'Model Inputs &amp; Assumptions'!$X$30^2/2))</f>
        <v>0.00759458954411731</v>
      </c>
      <c r="G1129" s="45" t="n">
        <f aca="false">ROUND(C1129*F1129,0)</f>
        <v>696</v>
      </c>
      <c r="H1129" s="48" t="n">
        <f aca="false">MAX(0,(C1129*'Model Inputs &amp; Assumptions'!$N$30+E1129*'Model Inputs &amp; Assumptions'!$O$30+G1129*'Model Inputs &amp; Assumptions'!$P$30)*EXP('Model Inputs &amp; Assumptions'!$Q$30*S1129-'Model Inputs &amp; Assumptions'!$Q$30^2/2))</f>
        <v>39.296429064491</v>
      </c>
      <c r="I1129" s="49" t="n">
        <f aca="false">IF('Model Inputs &amp; Assumptions'!$H$30="Fixed",'Model Inputs &amp; Assumptions'!$I$30*'Model Inputs &amp; Assumptions'!$K$30,IF('Model Inputs &amp; Assumptions'!$H$30="CPM",'Model Inputs &amp; Assumptions'!$I$30*'Model Inputs &amp; Assumptions'!$K$30*C1129/1000,IF('Model Inputs &amp; Assumptions'!$H$30="CPC",'Model Inputs &amp; Assumptions'!$I$30*'Model Inputs &amp; Assumptions'!$K$30*G1129,0)))</f>
        <v>6900</v>
      </c>
      <c r="J1129" s="50" t="n">
        <f aca="false">H1129*INDEX('Model Inputs &amp; Assumptions'!$D$40:$D$42,MATCH('Model Inputs &amp; Assumptions'!$L$30,'Model Inputs &amp; Assumptions'!$A$40:$A$42,0))*INDEX('Model Inputs &amp; Assumptions'!$H$40:$H$42,MATCH('Model Inputs &amp; Assumptions'!$L$30,'Model Inputs &amp; Assumptions'!$A$40:$A$42,0))</f>
        <v>282934.289264335</v>
      </c>
      <c r="K1129" s="49" t="n">
        <f aca="false">H1129*INDEX('Model Inputs &amp; Assumptions'!$G$40:$G$42,MATCH('Model Inputs &amp; Assumptions'!$L$30,'Model Inputs &amp; Assumptions'!$A$40:$A$42,0))*INDEX('Model Inputs &amp; Assumptions'!$H$40:$H$42,MATCH('Model Inputs &amp; Assumptions'!$L$30,'Model Inputs &amp; Assumptions'!$A$40:$A$42,0))</f>
        <v>6238.70107827858</v>
      </c>
      <c r="L1129" s="51" t="n">
        <f aca="false">IFERROR(K1129/I1129,0)</f>
        <v>0.904159576562113</v>
      </c>
      <c r="M1129" s="49" t="n">
        <f aca="false">IFERROR(I1129/H1129,0)</f>
        <v>175.588473667064</v>
      </c>
      <c r="N1129" s="52" t="str">
        <f aca="false">'Model Inputs &amp; Assumptions'!$L$30</f>
        <v>PRD-USIQ</v>
      </c>
      <c r="P1129" s="53" t="n">
        <v>0.401051</v>
      </c>
      <c r="Q1129" s="53" t="n">
        <v>0.157967</v>
      </c>
      <c r="R1129" s="53" t="n">
        <v>-0.271703</v>
      </c>
      <c r="S1129" s="53" t="n">
        <v>-0.438392</v>
      </c>
    </row>
    <row r="1130" customFormat="false" ht="15" hidden="false" customHeight="false" outlineLevel="0" collapsed="false">
      <c r="A1130" s="43" t="n">
        <v>127</v>
      </c>
      <c r="B1130" s="44" t="str">
        <f aca="false">'Model Inputs &amp; Assumptions'!$B$30</f>
        <v>extraETF — Newsletter Takeover</v>
      </c>
      <c r="C1130" s="45" t="n">
        <f aca="false">ROUND(MAX(0,'Model Inputs &amp; Assumptions'!$S$30*EXP('Model Inputs &amp; Assumptions'!$T$30*P1130-'Model Inputs &amp; Assumptions'!$T$30^2/2)),0)</f>
        <v>92224</v>
      </c>
      <c r="D1130" s="46" t="n">
        <f aca="false">MIN(1,'Model Inputs &amp; Assumptions'!$U$30*EXP('Model Inputs &amp; Assumptions'!$V$30*Q1130-'Model Inputs &amp; Assumptions'!$V$30^2/2))</f>
        <v>0</v>
      </c>
      <c r="E1130" s="45" t="n">
        <f aca="false">ROUND(C1130*D1130,0)</f>
        <v>0</v>
      </c>
      <c r="F1130" s="47" t="n">
        <f aca="false">MIN(1,'Model Inputs &amp; Assumptions'!$W$30*EXP('Model Inputs &amp; Assumptions'!$X$30*R1130-'Model Inputs &amp; Assumptions'!$X$30^2/2))</f>
        <v>0.00887251141129621</v>
      </c>
      <c r="G1130" s="45" t="n">
        <f aca="false">ROUND(C1130*F1130,0)</f>
        <v>818</v>
      </c>
      <c r="H1130" s="48" t="n">
        <f aca="false">MAX(0,(C1130*'Model Inputs &amp; Assumptions'!$N$30+E1130*'Model Inputs &amp; Assumptions'!$O$30+G1130*'Model Inputs &amp; Assumptions'!$P$30)*EXP('Model Inputs &amp; Assumptions'!$Q$30*S1130-'Model Inputs &amp; Assumptions'!$Q$30^2/2))</f>
        <v>36.2376570271565</v>
      </c>
      <c r="I1130" s="49" t="n">
        <f aca="false">IF('Model Inputs &amp; Assumptions'!$H$30="Fixed",'Model Inputs &amp; Assumptions'!$I$30*'Model Inputs &amp; Assumptions'!$K$30,IF('Model Inputs &amp; Assumptions'!$H$30="CPM",'Model Inputs &amp; Assumptions'!$I$30*'Model Inputs &amp; Assumptions'!$K$30*C1130/1000,IF('Model Inputs &amp; Assumptions'!$H$30="CPC",'Model Inputs &amp; Assumptions'!$I$30*'Model Inputs &amp; Assumptions'!$K$30*G1130,0)))</f>
        <v>6900</v>
      </c>
      <c r="J1130" s="50" t="n">
        <f aca="false">H1130*INDEX('Model Inputs &amp; Assumptions'!$D$40:$D$42,MATCH('Model Inputs &amp; Assumptions'!$L$30,'Model Inputs &amp; Assumptions'!$A$40:$A$42,0))*INDEX('Model Inputs &amp; Assumptions'!$H$40:$H$42,MATCH('Model Inputs &amp; Assumptions'!$L$30,'Model Inputs &amp; Assumptions'!$A$40:$A$42,0))</f>
        <v>260911.130595527</v>
      </c>
      <c r="K1130" s="49" t="n">
        <f aca="false">H1130*INDEX('Model Inputs &amp; Assumptions'!$G$40:$G$42,MATCH('Model Inputs &amp; Assumptions'!$L$30,'Model Inputs &amp; Assumptions'!$A$40:$A$42,0))*INDEX('Model Inputs &amp; Assumptions'!$H$40:$H$42,MATCH('Model Inputs &amp; Assumptions'!$L$30,'Model Inputs &amp; Assumptions'!$A$40:$A$42,0))</f>
        <v>5753.09042963137</v>
      </c>
      <c r="L1130" s="51" t="n">
        <f aca="false">IFERROR(K1130/I1130,0)</f>
        <v>0.833781221685706</v>
      </c>
      <c r="M1130" s="49" t="n">
        <f aca="false">IFERROR(I1130/H1130,0)</f>
        <v>190.409661276642</v>
      </c>
      <c r="N1130" s="52" t="str">
        <f aca="false">'Model Inputs &amp; Assumptions'!$L$30</f>
        <v>PRD-USIQ</v>
      </c>
      <c r="P1130" s="53" t="n">
        <v>0.450697</v>
      </c>
      <c r="Q1130" s="53" t="n">
        <v>0.774477</v>
      </c>
      <c r="R1130" s="53" t="n">
        <v>0.765109</v>
      </c>
      <c r="S1130" s="53" t="n">
        <v>-1.408582</v>
      </c>
    </row>
    <row r="1131" customFormat="false" ht="15" hidden="false" customHeight="false" outlineLevel="0" collapsed="false">
      <c r="A1131" s="43" t="n">
        <v>128</v>
      </c>
      <c r="B1131" s="44" t="str">
        <f aca="false">'Model Inputs &amp; Assumptions'!$B$30</f>
        <v>extraETF — Newsletter Takeover</v>
      </c>
      <c r="C1131" s="45" t="n">
        <f aca="false">ROUND(MAX(0,'Model Inputs &amp; Assumptions'!$S$30*EXP('Model Inputs &amp; Assumptions'!$T$30*P1131-'Model Inputs &amp; Assumptions'!$T$30^2/2)),0)</f>
        <v>76551</v>
      </c>
      <c r="D1131" s="46" t="n">
        <f aca="false">MIN(1,'Model Inputs &amp; Assumptions'!$U$30*EXP('Model Inputs &amp; Assumptions'!$V$30*Q1131-'Model Inputs &amp; Assumptions'!$V$30^2/2))</f>
        <v>0</v>
      </c>
      <c r="E1131" s="45" t="n">
        <f aca="false">ROUND(C1131*D1131,0)</f>
        <v>0</v>
      </c>
      <c r="F1131" s="47" t="n">
        <f aca="false">MIN(1,'Model Inputs &amp; Assumptions'!$W$30*EXP('Model Inputs &amp; Assumptions'!$X$30*R1131-'Model Inputs &amp; Assumptions'!$X$30^2/2))</f>
        <v>0.0065018551357412</v>
      </c>
      <c r="G1131" s="45" t="n">
        <f aca="false">ROUND(C1131*F1131,0)</f>
        <v>498</v>
      </c>
      <c r="H1131" s="48" t="n">
        <f aca="false">MAX(0,(C1131*'Model Inputs &amp; Assumptions'!$N$30+E1131*'Model Inputs &amp; Assumptions'!$O$30+G1131*'Model Inputs &amp; Assumptions'!$P$30)*EXP('Model Inputs &amp; Assumptions'!$Q$30*S1131-'Model Inputs &amp; Assumptions'!$Q$30^2/2))</f>
        <v>41.8633322271461</v>
      </c>
      <c r="I1131" s="49" t="n">
        <f aca="false">IF('Model Inputs &amp; Assumptions'!$H$30="Fixed",'Model Inputs &amp; Assumptions'!$I$30*'Model Inputs &amp; Assumptions'!$K$30,IF('Model Inputs &amp; Assumptions'!$H$30="CPM",'Model Inputs &amp; Assumptions'!$I$30*'Model Inputs &amp; Assumptions'!$K$30*C1131/1000,IF('Model Inputs &amp; Assumptions'!$H$30="CPC",'Model Inputs &amp; Assumptions'!$I$30*'Model Inputs &amp; Assumptions'!$K$30*G1131,0)))</f>
        <v>6900</v>
      </c>
      <c r="J1131" s="50" t="n">
        <f aca="false">H1131*INDEX('Model Inputs &amp; Assumptions'!$D$40:$D$42,MATCH('Model Inputs &amp; Assumptions'!$L$30,'Model Inputs &amp; Assumptions'!$A$40:$A$42,0))*INDEX('Model Inputs &amp; Assumptions'!$H$40:$H$42,MATCH('Model Inputs &amp; Assumptions'!$L$30,'Model Inputs &amp; Assumptions'!$A$40:$A$42,0))</f>
        <v>301415.992035452</v>
      </c>
      <c r="K1131" s="49" t="n">
        <f aca="false">H1131*INDEX('Model Inputs &amp; Assumptions'!$G$40:$G$42,MATCH('Model Inputs &amp; Assumptions'!$L$30,'Model Inputs &amp; Assumptions'!$A$40:$A$42,0))*INDEX('Model Inputs &amp; Assumptions'!$H$40:$H$42,MATCH('Model Inputs &amp; Assumptions'!$L$30,'Model Inputs &amp; Assumptions'!$A$40:$A$42,0))</f>
        <v>6646.22262438172</v>
      </c>
      <c r="L1131" s="51" t="n">
        <f aca="false">IFERROR(K1131/I1131,0)</f>
        <v>0.96322067020025</v>
      </c>
      <c r="M1131" s="49" t="n">
        <f aca="false">IFERROR(I1131/H1131,0)</f>
        <v>164.822044326555</v>
      </c>
      <c r="N1131" s="52" t="str">
        <f aca="false">'Model Inputs &amp; Assumptions'!$L$30</f>
        <v>PRD-USIQ</v>
      </c>
      <c r="P1131" s="53" t="n">
        <v>-1.10152</v>
      </c>
      <c r="Q1131" s="53" t="n">
        <v>0.287963</v>
      </c>
      <c r="R1131" s="53" t="n">
        <v>-1.30736</v>
      </c>
      <c r="S1131" s="53" t="n">
        <v>1.153713</v>
      </c>
    </row>
    <row r="1132" customFormat="false" ht="15" hidden="false" customHeight="false" outlineLevel="0" collapsed="false">
      <c r="A1132" s="43" t="n">
        <v>129</v>
      </c>
      <c r="B1132" s="44" t="str">
        <f aca="false">'Model Inputs &amp; Assumptions'!$B$30</f>
        <v>extraETF — Newsletter Takeover</v>
      </c>
      <c r="C1132" s="45" t="n">
        <f aca="false">ROUND(MAX(0,'Model Inputs &amp; Assumptions'!$S$30*EXP('Model Inputs &amp; Assumptions'!$T$30*P1132-'Model Inputs &amp; Assumptions'!$T$30^2/2)),0)</f>
        <v>88048</v>
      </c>
      <c r="D1132" s="46" t="n">
        <f aca="false">MIN(1,'Model Inputs &amp; Assumptions'!$U$30*EXP('Model Inputs &amp; Assumptions'!$V$30*Q1132-'Model Inputs &amp; Assumptions'!$V$30^2/2))</f>
        <v>0</v>
      </c>
      <c r="E1132" s="45" t="n">
        <f aca="false">ROUND(C1132*D1132,0)</f>
        <v>0</v>
      </c>
      <c r="F1132" s="47" t="n">
        <f aca="false">MIN(1,'Model Inputs &amp; Assumptions'!$W$30*EXP('Model Inputs &amp; Assumptions'!$X$30*R1132-'Model Inputs &amp; Assumptions'!$X$30^2/2))</f>
        <v>0.0100555537285636</v>
      </c>
      <c r="G1132" s="45" t="n">
        <f aca="false">ROUND(C1132*F1132,0)</f>
        <v>885</v>
      </c>
      <c r="H1132" s="48" t="n">
        <f aca="false">MAX(0,(C1132*'Model Inputs &amp; Assumptions'!$N$30+E1132*'Model Inputs &amp; Assumptions'!$O$30+G1132*'Model Inputs &amp; Assumptions'!$P$30)*EXP('Model Inputs &amp; Assumptions'!$Q$30*S1132-'Model Inputs &amp; Assumptions'!$Q$30^2/2))</f>
        <v>65.2483420002056</v>
      </c>
      <c r="I1132" s="49" t="n">
        <f aca="false">IF('Model Inputs &amp; Assumptions'!$H$30="Fixed",'Model Inputs &amp; Assumptions'!$I$30*'Model Inputs &amp; Assumptions'!$K$30,IF('Model Inputs &amp; Assumptions'!$H$30="CPM",'Model Inputs &amp; Assumptions'!$I$30*'Model Inputs &amp; Assumptions'!$K$30*C1132/1000,IF('Model Inputs &amp; Assumptions'!$H$30="CPC",'Model Inputs &amp; Assumptions'!$I$30*'Model Inputs &amp; Assumptions'!$K$30*G1132,0)))</f>
        <v>6900</v>
      </c>
      <c r="J1132" s="50" t="n">
        <f aca="false">H1132*INDEX('Model Inputs &amp; Assumptions'!$D$40:$D$42,MATCH('Model Inputs &amp; Assumptions'!$L$30,'Model Inputs &amp; Assumptions'!$A$40:$A$42,0))*INDEX('Model Inputs &amp; Assumptions'!$H$40:$H$42,MATCH('Model Inputs &amp; Assumptions'!$L$30,'Model Inputs &amp; Assumptions'!$A$40:$A$42,0))</f>
        <v>469788.06240148</v>
      </c>
      <c r="K1132" s="49" t="n">
        <f aca="false">H1132*INDEX('Model Inputs &amp; Assumptions'!$G$40:$G$42,MATCH('Model Inputs &amp; Assumptions'!$L$30,'Model Inputs &amp; Assumptions'!$A$40:$A$42,0))*INDEX('Model Inputs &amp; Assumptions'!$H$40:$H$42,MATCH('Model Inputs &amp; Assumptions'!$L$30,'Model Inputs &amp; Assumptions'!$A$40:$A$42,0))</f>
        <v>10358.8267759526</v>
      </c>
      <c r="L1132" s="51" t="n">
        <f aca="false">IFERROR(K1132/I1132,0)</f>
        <v>1.50127924289169</v>
      </c>
      <c r="M1132" s="49" t="n">
        <f aca="false">IFERROR(I1132/H1132,0)</f>
        <v>105.749813535159</v>
      </c>
      <c r="N1132" s="52" t="str">
        <f aca="false">'Model Inputs &amp; Assumptions'!$L$30</f>
        <v>PRD-USIQ</v>
      </c>
      <c r="P1132" s="53" t="n">
        <v>0.064591</v>
      </c>
      <c r="Q1132" s="53" t="n">
        <v>-0.761286</v>
      </c>
      <c r="R1132" s="53" t="n">
        <v>1.599557</v>
      </c>
      <c r="S1132" s="53" t="n">
        <v>0.628924</v>
      </c>
    </row>
    <row r="1133" customFormat="false" ht="15" hidden="false" customHeight="false" outlineLevel="0" collapsed="false">
      <c r="A1133" s="43" t="n">
        <v>130</v>
      </c>
      <c r="B1133" s="44" t="str">
        <f aca="false">'Model Inputs &amp; Assumptions'!$B$30</f>
        <v>extraETF — Newsletter Takeover</v>
      </c>
      <c r="C1133" s="45" t="n">
        <f aca="false">ROUND(MAX(0,'Model Inputs &amp; Assumptions'!$S$30*EXP('Model Inputs &amp; Assumptions'!$T$30*P1133-'Model Inputs &amp; Assumptions'!$T$30^2/2)),0)</f>
        <v>96110</v>
      </c>
      <c r="D1133" s="46" t="n">
        <f aca="false">MIN(1,'Model Inputs &amp; Assumptions'!$U$30*EXP('Model Inputs &amp; Assumptions'!$V$30*Q1133-'Model Inputs &amp; Assumptions'!$V$30^2/2))</f>
        <v>0</v>
      </c>
      <c r="E1133" s="45" t="n">
        <f aca="false">ROUND(C1133*D1133,0)</f>
        <v>0</v>
      </c>
      <c r="F1133" s="47" t="n">
        <f aca="false">MIN(1,'Model Inputs &amp; Assumptions'!$W$30*EXP('Model Inputs &amp; Assumptions'!$X$30*R1133-'Model Inputs &amp; Assumptions'!$X$30^2/2))</f>
        <v>0.0122131335314542</v>
      </c>
      <c r="G1133" s="45" t="n">
        <f aca="false">ROUND(C1133*F1133,0)</f>
        <v>1174</v>
      </c>
      <c r="H1133" s="48" t="n">
        <f aca="false">MAX(0,(C1133*'Model Inputs &amp; Assumptions'!$N$30+E1133*'Model Inputs &amp; Assumptions'!$O$30+G1133*'Model Inputs &amp; Assumptions'!$P$30)*EXP('Model Inputs &amp; Assumptions'!$Q$30*S1133-'Model Inputs &amp; Assumptions'!$Q$30^2/2))</f>
        <v>78.6887141179099</v>
      </c>
      <c r="I1133" s="49" t="n">
        <f aca="false">IF('Model Inputs &amp; Assumptions'!$H$30="Fixed",'Model Inputs &amp; Assumptions'!$I$30*'Model Inputs &amp; Assumptions'!$K$30,IF('Model Inputs &amp; Assumptions'!$H$30="CPM",'Model Inputs &amp; Assumptions'!$I$30*'Model Inputs &amp; Assumptions'!$K$30*C1133/1000,IF('Model Inputs &amp; Assumptions'!$H$30="CPC",'Model Inputs &amp; Assumptions'!$I$30*'Model Inputs &amp; Assumptions'!$K$30*G1133,0)))</f>
        <v>6900</v>
      </c>
      <c r="J1133" s="50" t="n">
        <f aca="false">H1133*INDEX('Model Inputs &amp; Assumptions'!$D$40:$D$42,MATCH('Model Inputs &amp; Assumptions'!$L$30,'Model Inputs &amp; Assumptions'!$A$40:$A$42,0))*INDEX('Model Inputs &amp; Assumptions'!$H$40:$H$42,MATCH('Model Inputs &amp; Assumptions'!$L$30,'Model Inputs &amp; Assumptions'!$A$40:$A$42,0))</f>
        <v>566558.741648951</v>
      </c>
      <c r="K1133" s="49" t="n">
        <f aca="false">H1133*INDEX('Model Inputs &amp; Assumptions'!$G$40:$G$42,MATCH('Model Inputs &amp; Assumptions'!$L$30,'Model Inputs &amp; Assumptions'!$A$40:$A$42,0))*INDEX('Model Inputs &amp; Assumptions'!$H$40:$H$42,MATCH('Model Inputs &amp; Assumptions'!$L$30,'Model Inputs &amp; Assumptions'!$A$40:$A$42,0))</f>
        <v>12492.6202533594</v>
      </c>
      <c r="L1133" s="51" t="n">
        <f aca="false">IFERROR(K1133/I1133,0)</f>
        <v>1.81052467439991</v>
      </c>
      <c r="M1133" s="49" t="n">
        <f aca="false">IFERROR(I1133/H1133,0)</f>
        <v>87.6872887979946</v>
      </c>
      <c r="N1133" s="52" t="str">
        <f aca="false">'Model Inputs &amp; Assumptions'!$L$30</f>
        <v>PRD-USIQ</v>
      </c>
      <c r="P1133" s="53" t="n">
        <v>0.794679</v>
      </c>
      <c r="Q1133" s="53" t="n">
        <v>0.628414</v>
      </c>
      <c r="R1133" s="53" t="n">
        <v>2.895469</v>
      </c>
      <c r="S1133" s="53" t="n">
        <v>0.247783</v>
      </c>
    </row>
    <row r="1134" customFormat="false" ht="15" hidden="false" customHeight="false" outlineLevel="0" collapsed="false">
      <c r="A1134" s="43" t="n">
        <v>131</v>
      </c>
      <c r="B1134" s="44" t="str">
        <f aca="false">'Model Inputs &amp; Assumptions'!$B$30</f>
        <v>extraETF — Newsletter Takeover</v>
      </c>
      <c r="C1134" s="45" t="n">
        <f aca="false">ROUND(MAX(0,'Model Inputs &amp; Assumptions'!$S$30*EXP('Model Inputs &amp; Assumptions'!$T$30*P1134-'Model Inputs &amp; Assumptions'!$T$30^2/2)),0)</f>
        <v>77361</v>
      </c>
      <c r="D1134" s="46" t="n">
        <f aca="false">MIN(1,'Model Inputs &amp; Assumptions'!$U$30*EXP('Model Inputs &amp; Assumptions'!$V$30*Q1134-'Model Inputs &amp; Assumptions'!$V$30^2/2))</f>
        <v>0</v>
      </c>
      <c r="E1134" s="45" t="n">
        <f aca="false">ROUND(C1134*D1134,0)</f>
        <v>0</v>
      </c>
      <c r="F1134" s="47" t="n">
        <f aca="false">MIN(1,'Model Inputs &amp; Assumptions'!$W$30*EXP('Model Inputs &amp; Assumptions'!$X$30*R1134-'Model Inputs &amp; Assumptions'!$X$30^2/2))</f>
        <v>0.00713136522090494</v>
      </c>
      <c r="G1134" s="45" t="n">
        <f aca="false">ROUND(C1134*F1134,0)</f>
        <v>552</v>
      </c>
      <c r="H1134" s="48" t="n">
        <f aca="false">MAX(0,(C1134*'Model Inputs &amp; Assumptions'!$N$30+E1134*'Model Inputs &amp; Assumptions'!$O$30+G1134*'Model Inputs &amp; Assumptions'!$P$30)*EXP('Model Inputs &amp; Assumptions'!$Q$30*S1134-'Model Inputs &amp; Assumptions'!$Q$30^2/2))</f>
        <v>16.3041599546042</v>
      </c>
      <c r="I1134" s="49" t="n">
        <f aca="false">IF('Model Inputs &amp; Assumptions'!$H$30="Fixed",'Model Inputs &amp; Assumptions'!$I$30*'Model Inputs &amp; Assumptions'!$K$30,IF('Model Inputs &amp; Assumptions'!$H$30="CPM",'Model Inputs &amp; Assumptions'!$I$30*'Model Inputs &amp; Assumptions'!$K$30*C1134/1000,IF('Model Inputs &amp; Assumptions'!$H$30="CPC",'Model Inputs &amp; Assumptions'!$I$30*'Model Inputs &amp; Assumptions'!$K$30*G1134,0)))</f>
        <v>6900</v>
      </c>
      <c r="J1134" s="50" t="n">
        <f aca="false">H1134*INDEX('Model Inputs &amp; Assumptions'!$D$40:$D$42,MATCH('Model Inputs &amp; Assumptions'!$L$30,'Model Inputs &amp; Assumptions'!$A$40:$A$42,0))*INDEX('Model Inputs &amp; Assumptions'!$H$40:$H$42,MATCH('Model Inputs &amp; Assumptions'!$L$30,'Model Inputs &amp; Assumptions'!$A$40:$A$42,0))</f>
        <v>117389.95167315</v>
      </c>
      <c r="K1134" s="49" t="n">
        <f aca="false">H1134*INDEX('Model Inputs &amp; Assumptions'!$G$40:$G$42,MATCH('Model Inputs &amp; Assumptions'!$L$30,'Model Inputs &amp; Assumptions'!$A$40:$A$42,0))*INDEX('Model Inputs &amp; Assumptions'!$H$40:$H$42,MATCH('Model Inputs &amp; Assumptions'!$L$30,'Model Inputs &amp; Assumptions'!$A$40:$A$42,0))</f>
        <v>2588.44843439296</v>
      </c>
      <c r="L1134" s="51" t="n">
        <f aca="false">IFERROR(K1134/I1134,0)</f>
        <v>0.375137454259849</v>
      </c>
      <c r="M1134" s="49" t="n">
        <f aca="false">IFERROR(I1134/H1134,0)</f>
        <v>423.204876498497</v>
      </c>
      <c r="N1134" s="52" t="str">
        <f aca="false">'Model Inputs &amp; Assumptions'!$L$30</f>
        <v>PRD-USIQ</v>
      </c>
      <c r="P1134" s="53" t="n">
        <v>-1.013795</v>
      </c>
      <c r="Q1134" s="53" t="n">
        <v>0.460085</v>
      </c>
      <c r="R1134" s="53" t="n">
        <v>-0.691259</v>
      </c>
      <c r="S1134" s="53" t="n">
        <v>-3.030039</v>
      </c>
    </row>
    <row r="1135" customFormat="false" ht="15" hidden="false" customHeight="false" outlineLevel="0" collapsed="false">
      <c r="A1135" s="43" t="n">
        <v>132</v>
      </c>
      <c r="B1135" s="44" t="str">
        <f aca="false">'Model Inputs &amp; Assumptions'!$B$30</f>
        <v>extraETF — Newsletter Takeover</v>
      </c>
      <c r="C1135" s="45" t="n">
        <f aca="false">ROUND(MAX(0,'Model Inputs &amp; Assumptions'!$S$30*EXP('Model Inputs &amp; Assumptions'!$T$30*P1135-'Model Inputs &amp; Assumptions'!$T$30^2/2)),0)</f>
        <v>88230</v>
      </c>
      <c r="D1135" s="46" t="n">
        <f aca="false">MIN(1,'Model Inputs &amp; Assumptions'!$U$30*EXP('Model Inputs &amp; Assumptions'!$V$30*Q1135-'Model Inputs &amp; Assumptions'!$V$30^2/2))</f>
        <v>0</v>
      </c>
      <c r="E1135" s="45" t="n">
        <f aca="false">ROUND(C1135*D1135,0)</f>
        <v>0</v>
      </c>
      <c r="F1135" s="47" t="n">
        <f aca="false">MIN(1,'Model Inputs &amp; Assumptions'!$W$30*EXP('Model Inputs &amp; Assumptions'!$X$30*R1135-'Model Inputs &amp; Assumptions'!$X$30^2/2))</f>
        <v>0.00798859254087254</v>
      </c>
      <c r="G1135" s="45" t="n">
        <f aca="false">ROUND(C1135*F1135,0)</f>
        <v>705</v>
      </c>
      <c r="H1135" s="48" t="n">
        <f aca="false">MAX(0,(C1135*'Model Inputs &amp; Assumptions'!$N$30+E1135*'Model Inputs &amp; Assumptions'!$O$30+G1135*'Model Inputs &amp; Assumptions'!$P$30)*EXP('Model Inputs &amp; Assumptions'!$Q$30*S1135-'Model Inputs &amp; Assumptions'!$Q$30^2/2))</f>
        <v>40.2371437830469</v>
      </c>
      <c r="I1135" s="49" t="n">
        <f aca="false">IF('Model Inputs &amp; Assumptions'!$H$30="Fixed",'Model Inputs &amp; Assumptions'!$I$30*'Model Inputs &amp; Assumptions'!$K$30,IF('Model Inputs &amp; Assumptions'!$H$30="CPM",'Model Inputs &amp; Assumptions'!$I$30*'Model Inputs &amp; Assumptions'!$K$30*C1135/1000,IF('Model Inputs &amp; Assumptions'!$H$30="CPC",'Model Inputs &amp; Assumptions'!$I$30*'Model Inputs &amp; Assumptions'!$K$30*G1135,0)))</f>
        <v>6900</v>
      </c>
      <c r="J1135" s="50" t="n">
        <f aca="false">H1135*INDEX('Model Inputs &amp; Assumptions'!$D$40:$D$42,MATCH('Model Inputs &amp; Assumptions'!$L$30,'Model Inputs &amp; Assumptions'!$A$40:$A$42,0))*INDEX('Model Inputs &amp; Assumptions'!$H$40:$H$42,MATCH('Model Inputs &amp; Assumptions'!$L$30,'Model Inputs &amp; Assumptions'!$A$40:$A$42,0))</f>
        <v>289707.435237938</v>
      </c>
      <c r="K1135" s="49" t="n">
        <f aca="false">H1135*INDEX('Model Inputs &amp; Assumptions'!$G$40:$G$42,MATCH('Model Inputs &amp; Assumptions'!$L$30,'Model Inputs &amp; Assumptions'!$A$40:$A$42,0))*INDEX('Model Inputs &amp; Assumptions'!$H$40:$H$42,MATCH('Model Inputs &amp; Assumptions'!$L$30,'Model Inputs &amp; Assumptions'!$A$40:$A$42,0))</f>
        <v>6388.04894699653</v>
      </c>
      <c r="L1135" s="51" t="n">
        <f aca="false">IFERROR(K1135/I1135,0)</f>
        <v>0.925804195216888</v>
      </c>
      <c r="M1135" s="49" t="n">
        <f aca="false">IFERROR(I1135/H1135,0)</f>
        <v>171.483344772279</v>
      </c>
      <c r="N1135" s="52" t="str">
        <f aca="false">'Model Inputs &amp; Assumptions'!$L$30</f>
        <v>PRD-USIQ</v>
      </c>
      <c r="P1135" s="53" t="n">
        <v>0.081786</v>
      </c>
      <c r="Q1135" s="53" t="n">
        <v>1.509284</v>
      </c>
      <c r="R1135" s="53" t="n">
        <v>0.065487</v>
      </c>
      <c r="S1135" s="53" t="n">
        <v>-0.395157</v>
      </c>
    </row>
    <row r="1136" customFormat="false" ht="15" hidden="false" customHeight="false" outlineLevel="0" collapsed="false">
      <c r="A1136" s="43" t="n">
        <v>133</v>
      </c>
      <c r="B1136" s="44" t="str">
        <f aca="false">'Model Inputs &amp; Assumptions'!$B$30</f>
        <v>extraETF — Newsletter Takeover</v>
      </c>
      <c r="C1136" s="45" t="n">
        <f aca="false">ROUND(MAX(0,'Model Inputs &amp; Assumptions'!$S$30*EXP('Model Inputs &amp; Assumptions'!$T$30*P1136-'Model Inputs &amp; Assumptions'!$T$30^2/2)),0)</f>
        <v>81536</v>
      </c>
      <c r="D1136" s="46" t="n">
        <f aca="false">MIN(1,'Model Inputs &amp; Assumptions'!$U$30*EXP('Model Inputs &amp; Assumptions'!$V$30*Q1136-'Model Inputs &amp; Assumptions'!$V$30^2/2))</f>
        <v>0</v>
      </c>
      <c r="E1136" s="45" t="n">
        <f aca="false">ROUND(C1136*D1136,0)</f>
        <v>0</v>
      </c>
      <c r="F1136" s="47" t="n">
        <f aca="false">MIN(1,'Model Inputs &amp; Assumptions'!$W$30*EXP('Model Inputs &amp; Assumptions'!$X$30*R1136-'Model Inputs &amp; Assumptions'!$X$30^2/2))</f>
        <v>0.00765508430168898</v>
      </c>
      <c r="G1136" s="45" t="n">
        <f aca="false">ROUND(C1136*F1136,0)</f>
        <v>624</v>
      </c>
      <c r="H1136" s="48" t="n">
        <f aca="false">MAX(0,(C1136*'Model Inputs &amp; Assumptions'!$N$30+E1136*'Model Inputs &amp; Assumptions'!$O$30+G1136*'Model Inputs &amp; Assumptions'!$P$30)*EXP('Model Inputs &amp; Assumptions'!$Q$30*S1136-'Model Inputs &amp; Assumptions'!$Q$30^2/2))</f>
        <v>38.8454366544589</v>
      </c>
      <c r="I1136" s="49" t="n">
        <f aca="false">IF('Model Inputs &amp; Assumptions'!$H$30="Fixed",'Model Inputs &amp; Assumptions'!$I$30*'Model Inputs &amp; Assumptions'!$K$30,IF('Model Inputs &amp; Assumptions'!$H$30="CPM",'Model Inputs &amp; Assumptions'!$I$30*'Model Inputs &amp; Assumptions'!$K$30*C1136/1000,IF('Model Inputs &amp; Assumptions'!$H$30="CPC",'Model Inputs &amp; Assumptions'!$I$30*'Model Inputs &amp; Assumptions'!$K$30*G1136,0)))</f>
        <v>6900</v>
      </c>
      <c r="J1136" s="50" t="n">
        <f aca="false">H1136*INDEX('Model Inputs &amp; Assumptions'!$D$40:$D$42,MATCH('Model Inputs &amp; Assumptions'!$L$30,'Model Inputs &amp; Assumptions'!$A$40:$A$42,0))*INDEX('Model Inputs &amp; Assumptions'!$H$40:$H$42,MATCH('Model Inputs &amp; Assumptions'!$L$30,'Model Inputs &amp; Assumptions'!$A$40:$A$42,0))</f>
        <v>279687.143912104</v>
      </c>
      <c r="K1136" s="49" t="n">
        <f aca="false">H1136*INDEX('Model Inputs &amp; Assumptions'!$G$40:$G$42,MATCH('Model Inputs &amp; Assumptions'!$L$30,'Model Inputs &amp; Assumptions'!$A$40:$A$42,0))*INDEX('Model Inputs &amp; Assumptions'!$H$40:$H$42,MATCH('Model Inputs &amp; Assumptions'!$L$30,'Model Inputs &amp; Assumptions'!$A$40:$A$42,0))</f>
        <v>6167.1015232619</v>
      </c>
      <c r="L1136" s="51" t="n">
        <f aca="false">IFERROR(K1136/I1136,0)</f>
        <v>0.893782829458246</v>
      </c>
      <c r="M1136" s="49" t="n">
        <f aca="false">IFERROR(I1136/H1136,0)</f>
        <v>177.627041790711</v>
      </c>
      <c r="N1136" s="52" t="str">
        <f aca="false">'Model Inputs &amp; Assumptions'!$L$30</f>
        <v>PRD-USIQ</v>
      </c>
      <c r="P1136" s="53" t="n">
        <v>-0.575806</v>
      </c>
      <c r="Q1136" s="53" t="n">
        <v>0.307195</v>
      </c>
      <c r="R1136" s="53" t="n">
        <v>-0.21881</v>
      </c>
      <c r="S1136" s="53" t="n">
        <v>-0.047767</v>
      </c>
    </row>
    <row r="1137" customFormat="false" ht="15" hidden="false" customHeight="false" outlineLevel="0" collapsed="false">
      <c r="A1137" s="43" t="n">
        <v>134</v>
      </c>
      <c r="B1137" s="44" t="str">
        <f aca="false">'Model Inputs &amp; Assumptions'!$B$30</f>
        <v>extraETF — Newsletter Takeover</v>
      </c>
      <c r="C1137" s="45" t="n">
        <f aca="false">ROUND(MAX(0,'Model Inputs &amp; Assumptions'!$S$30*EXP('Model Inputs &amp; Assumptions'!$T$30*P1137-'Model Inputs &amp; Assumptions'!$T$30^2/2)),0)</f>
        <v>88014</v>
      </c>
      <c r="D1137" s="46" t="n">
        <f aca="false">MIN(1,'Model Inputs &amp; Assumptions'!$U$30*EXP('Model Inputs &amp; Assumptions'!$V$30*Q1137-'Model Inputs &amp; Assumptions'!$V$30^2/2))</f>
        <v>0</v>
      </c>
      <c r="E1137" s="45" t="n">
        <f aca="false">ROUND(C1137*D1137,0)</f>
        <v>0</v>
      </c>
      <c r="F1137" s="47" t="n">
        <f aca="false">MIN(1,'Model Inputs &amp; Assumptions'!$W$30*EXP('Model Inputs &amp; Assumptions'!$X$30*R1137-'Model Inputs &amp; Assumptions'!$X$30^2/2))</f>
        <v>0.00786191795794354</v>
      </c>
      <c r="G1137" s="45" t="n">
        <f aca="false">ROUND(C1137*F1137,0)</f>
        <v>692</v>
      </c>
      <c r="H1137" s="48" t="n">
        <f aca="false">MAX(0,(C1137*'Model Inputs &amp; Assumptions'!$N$30+E1137*'Model Inputs &amp; Assumptions'!$O$30+G1137*'Model Inputs &amp; Assumptions'!$P$30)*EXP('Model Inputs &amp; Assumptions'!$Q$30*S1137-'Model Inputs &amp; Assumptions'!$Q$30^2/2))</f>
        <v>42.5990284437781</v>
      </c>
      <c r="I1137" s="49" t="n">
        <f aca="false">IF('Model Inputs &amp; Assumptions'!$H$30="Fixed",'Model Inputs &amp; Assumptions'!$I$30*'Model Inputs &amp; Assumptions'!$K$30,IF('Model Inputs &amp; Assumptions'!$H$30="CPM",'Model Inputs &amp; Assumptions'!$I$30*'Model Inputs &amp; Assumptions'!$K$30*C1137/1000,IF('Model Inputs &amp; Assumptions'!$H$30="CPC",'Model Inputs &amp; Assumptions'!$I$30*'Model Inputs &amp; Assumptions'!$K$30*G1137,0)))</f>
        <v>6900</v>
      </c>
      <c r="J1137" s="50" t="n">
        <f aca="false">H1137*INDEX('Model Inputs &amp; Assumptions'!$D$40:$D$42,MATCH('Model Inputs &amp; Assumptions'!$L$30,'Model Inputs &amp; Assumptions'!$A$40:$A$42,0))*INDEX('Model Inputs &amp; Assumptions'!$H$40:$H$42,MATCH('Model Inputs &amp; Assumptions'!$L$30,'Model Inputs &amp; Assumptions'!$A$40:$A$42,0))</f>
        <v>306713.004795202</v>
      </c>
      <c r="K1137" s="49" t="n">
        <f aca="false">H1137*INDEX('Model Inputs &amp; Assumptions'!$G$40:$G$42,MATCH('Model Inputs &amp; Assumptions'!$L$30,'Model Inputs &amp; Assumptions'!$A$40:$A$42,0))*INDEX('Model Inputs &amp; Assumptions'!$H$40:$H$42,MATCH('Model Inputs &amp; Assumptions'!$L$30,'Model Inputs &amp; Assumptions'!$A$40:$A$42,0))</f>
        <v>6763.0217557342</v>
      </c>
      <c r="L1137" s="51" t="n">
        <f aca="false">IFERROR(K1137/I1137,0)</f>
        <v>0.980148080541189</v>
      </c>
      <c r="M1137" s="49" t="n">
        <f aca="false">IFERROR(I1137/H1137,0)</f>
        <v>161.97552507815</v>
      </c>
      <c r="N1137" s="52" t="str">
        <f aca="false">'Model Inputs &amp; Assumptions'!$L$30</f>
        <v>PRD-USIQ</v>
      </c>
      <c r="P1137" s="53" t="n">
        <v>0.061365</v>
      </c>
      <c r="Q1137" s="53" t="n">
        <v>-0.072413</v>
      </c>
      <c r="R1137" s="53" t="n">
        <v>-0.041073</v>
      </c>
      <c r="S1137" s="53" t="n">
        <v>-0.092546</v>
      </c>
    </row>
    <row r="1138" customFormat="false" ht="15" hidden="false" customHeight="false" outlineLevel="0" collapsed="false">
      <c r="A1138" s="43" t="n">
        <v>135</v>
      </c>
      <c r="B1138" s="44" t="str">
        <f aca="false">'Model Inputs &amp; Assumptions'!$B$30</f>
        <v>extraETF — Newsletter Takeover</v>
      </c>
      <c r="C1138" s="45" t="n">
        <f aca="false">ROUND(MAX(0,'Model Inputs &amp; Assumptions'!$S$30*EXP('Model Inputs &amp; Assumptions'!$T$30*P1138-'Model Inputs &amp; Assumptions'!$T$30^2/2)),0)</f>
        <v>75311</v>
      </c>
      <c r="D1138" s="46" t="n">
        <f aca="false">MIN(1,'Model Inputs &amp; Assumptions'!$U$30*EXP('Model Inputs &amp; Assumptions'!$V$30*Q1138-'Model Inputs &amp; Assumptions'!$V$30^2/2))</f>
        <v>0</v>
      </c>
      <c r="E1138" s="45" t="n">
        <f aca="false">ROUND(C1138*D1138,0)</f>
        <v>0</v>
      </c>
      <c r="F1138" s="47" t="n">
        <f aca="false">MIN(1,'Model Inputs &amp; Assumptions'!$W$30*EXP('Model Inputs &amp; Assumptions'!$X$30*R1138-'Model Inputs &amp; Assumptions'!$X$30^2/2))</f>
        <v>0.00810521427060152</v>
      </c>
      <c r="G1138" s="45" t="n">
        <f aca="false">ROUND(C1138*F1138,0)</f>
        <v>610</v>
      </c>
      <c r="H1138" s="48" t="n">
        <f aca="false">MAX(0,(C1138*'Model Inputs &amp; Assumptions'!$N$30+E1138*'Model Inputs &amp; Assumptions'!$O$30+G1138*'Model Inputs &amp; Assumptions'!$P$30)*EXP('Model Inputs &amp; Assumptions'!$Q$30*S1138-'Model Inputs &amp; Assumptions'!$Q$30^2/2))</f>
        <v>52.0654951456588</v>
      </c>
      <c r="I1138" s="49" t="n">
        <f aca="false">IF('Model Inputs &amp; Assumptions'!$H$30="Fixed",'Model Inputs &amp; Assumptions'!$I$30*'Model Inputs &amp; Assumptions'!$K$30,IF('Model Inputs &amp; Assumptions'!$H$30="CPM",'Model Inputs &amp; Assumptions'!$I$30*'Model Inputs &amp; Assumptions'!$K$30*C1138/1000,IF('Model Inputs &amp; Assumptions'!$H$30="CPC",'Model Inputs &amp; Assumptions'!$I$30*'Model Inputs &amp; Assumptions'!$K$30*G1138,0)))</f>
        <v>6900</v>
      </c>
      <c r="J1138" s="50" t="n">
        <f aca="false">H1138*INDEX('Model Inputs &amp; Assumptions'!$D$40:$D$42,MATCH('Model Inputs &amp; Assumptions'!$L$30,'Model Inputs &amp; Assumptions'!$A$40:$A$42,0))*INDEX('Model Inputs &amp; Assumptions'!$H$40:$H$42,MATCH('Model Inputs &amp; Assumptions'!$L$30,'Model Inputs &amp; Assumptions'!$A$40:$A$42,0))</f>
        <v>374871.565048743</v>
      </c>
      <c r="K1138" s="49" t="n">
        <f aca="false">H1138*INDEX('Model Inputs &amp; Assumptions'!$G$40:$G$42,MATCH('Model Inputs &amp; Assumptions'!$L$30,'Model Inputs &amp; Assumptions'!$A$40:$A$42,0))*INDEX('Model Inputs &amp; Assumptions'!$H$40:$H$42,MATCH('Model Inputs &amp; Assumptions'!$L$30,'Model Inputs &amp; Assumptions'!$A$40:$A$42,0))</f>
        <v>8265.91800932478</v>
      </c>
      <c r="L1138" s="51" t="n">
        <f aca="false">IFERROR(K1138/I1138,0)</f>
        <v>1.1979591317862</v>
      </c>
      <c r="M1138" s="49" t="n">
        <f aca="false">IFERROR(I1138/H1138,0)</f>
        <v>132.52538904502</v>
      </c>
      <c r="N1138" s="52" t="str">
        <f aca="false">'Model Inputs &amp; Assumptions'!$L$30</f>
        <v>PRD-USIQ</v>
      </c>
      <c r="P1138" s="53" t="n">
        <v>-1.237534</v>
      </c>
      <c r="Q1138" s="53" t="n">
        <v>0.02622</v>
      </c>
      <c r="R1138" s="53" t="n">
        <v>0.162107</v>
      </c>
      <c r="S1138" s="53" t="n">
        <v>1.214646</v>
      </c>
    </row>
    <row r="1139" customFormat="false" ht="15" hidden="false" customHeight="false" outlineLevel="0" collapsed="false">
      <c r="A1139" s="43" t="n">
        <v>136</v>
      </c>
      <c r="B1139" s="44" t="str">
        <f aca="false">'Model Inputs &amp; Assumptions'!$B$30</f>
        <v>extraETF — Newsletter Takeover</v>
      </c>
      <c r="C1139" s="45" t="n">
        <f aca="false">ROUND(MAX(0,'Model Inputs &amp; Assumptions'!$S$30*EXP('Model Inputs &amp; Assumptions'!$T$30*P1139-'Model Inputs &amp; Assumptions'!$T$30^2/2)),0)</f>
        <v>89700</v>
      </c>
      <c r="D1139" s="46" t="n">
        <f aca="false">MIN(1,'Model Inputs &amp; Assumptions'!$U$30*EXP('Model Inputs &amp; Assumptions'!$V$30*Q1139-'Model Inputs &amp; Assumptions'!$V$30^2/2))</f>
        <v>0</v>
      </c>
      <c r="E1139" s="45" t="n">
        <f aca="false">ROUND(C1139*D1139,0)</f>
        <v>0</v>
      </c>
      <c r="F1139" s="47" t="n">
        <f aca="false">MIN(1,'Model Inputs &amp; Assumptions'!$W$30*EXP('Model Inputs &amp; Assumptions'!$X$30*R1139-'Model Inputs &amp; Assumptions'!$X$30^2/2))</f>
        <v>0.00888837365353022</v>
      </c>
      <c r="G1139" s="45" t="n">
        <f aca="false">ROUND(C1139*F1139,0)</f>
        <v>797</v>
      </c>
      <c r="H1139" s="48" t="n">
        <f aca="false">MAX(0,(C1139*'Model Inputs &amp; Assumptions'!$N$30+E1139*'Model Inputs &amp; Assumptions'!$O$30+G1139*'Model Inputs &amp; Assumptions'!$P$30)*EXP('Model Inputs &amp; Assumptions'!$Q$30*S1139-'Model Inputs &amp; Assumptions'!$Q$30^2/2))</f>
        <v>50.5848522943356</v>
      </c>
      <c r="I1139" s="49" t="n">
        <f aca="false">IF('Model Inputs &amp; Assumptions'!$H$30="Fixed",'Model Inputs &amp; Assumptions'!$I$30*'Model Inputs &amp; Assumptions'!$K$30,IF('Model Inputs &amp; Assumptions'!$H$30="CPM",'Model Inputs &amp; Assumptions'!$I$30*'Model Inputs &amp; Assumptions'!$K$30*C1139/1000,IF('Model Inputs &amp; Assumptions'!$H$30="CPC",'Model Inputs &amp; Assumptions'!$I$30*'Model Inputs &amp; Assumptions'!$K$30*G1139,0)))</f>
        <v>6900</v>
      </c>
      <c r="J1139" s="50" t="n">
        <f aca="false">H1139*INDEX('Model Inputs &amp; Assumptions'!$D$40:$D$42,MATCH('Model Inputs &amp; Assumptions'!$L$30,'Model Inputs &amp; Assumptions'!$A$40:$A$42,0))*INDEX('Model Inputs &amp; Assumptions'!$H$40:$H$42,MATCH('Model Inputs &amp; Assumptions'!$L$30,'Model Inputs &amp; Assumptions'!$A$40:$A$42,0))</f>
        <v>364210.936519216</v>
      </c>
      <c r="K1139" s="49" t="n">
        <f aca="false">H1139*INDEX('Model Inputs &amp; Assumptions'!$G$40:$G$42,MATCH('Model Inputs &amp; Assumptions'!$L$30,'Model Inputs &amp; Assumptions'!$A$40:$A$42,0))*INDEX('Model Inputs &amp; Assumptions'!$H$40:$H$42,MATCH('Model Inputs &amp; Assumptions'!$L$30,'Model Inputs &amp; Assumptions'!$A$40:$A$42,0))</f>
        <v>8030.85115024871</v>
      </c>
      <c r="L1139" s="51" t="n">
        <f aca="false">IFERROR(K1139/I1139,0)</f>
        <v>1.16389147105054</v>
      </c>
      <c r="M1139" s="49" t="n">
        <f aca="false">IFERROR(I1139/H1139,0)</f>
        <v>136.404470647682</v>
      </c>
      <c r="N1139" s="52" t="str">
        <f aca="false">'Model Inputs &amp; Assumptions'!$L$30</f>
        <v>PRD-USIQ</v>
      </c>
      <c r="P1139" s="53" t="n">
        <v>0.219452</v>
      </c>
      <c r="Q1139" s="53" t="n">
        <v>-1.851816</v>
      </c>
      <c r="R1139" s="53" t="n">
        <v>0.777017</v>
      </c>
      <c r="S1139" s="53" t="n">
        <v>0.029662</v>
      </c>
    </row>
    <row r="1140" customFormat="false" ht="15" hidden="false" customHeight="false" outlineLevel="0" collapsed="false">
      <c r="A1140" s="43" t="n">
        <v>137</v>
      </c>
      <c r="B1140" s="44" t="str">
        <f aca="false">'Model Inputs &amp; Assumptions'!$B$30</f>
        <v>extraETF — Newsletter Takeover</v>
      </c>
      <c r="C1140" s="45" t="n">
        <f aca="false">ROUND(MAX(0,'Model Inputs &amp; Assumptions'!$S$30*EXP('Model Inputs &amp; Assumptions'!$T$30*P1140-'Model Inputs &amp; Assumptions'!$T$30^2/2)),0)</f>
        <v>95389</v>
      </c>
      <c r="D1140" s="46" t="n">
        <f aca="false">MIN(1,'Model Inputs &amp; Assumptions'!$U$30*EXP('Model Inputs &amp; Assumptions'!$V$30*Q1140-'Model Inputs &amp; Assumptions'!$V$30^2/2))</f>
        <v>0</v>
      </c>
      <c r="E1140" s="45" t="n">
        <f aca="false">ROUND(C1140*D1140,0)</f>
        <v>0</v>
      </c>
      <c r="F1140" s="47" t="n">
        <f aca="false">MIN(1,'Model Inputs &amp; Assumptions'!$W$30*EXP('Model Inputs &amp; Assumptions'!$X$30*R1140-'Model Inputs &amp; Assumptions'!$X$30^2/2))</f>
        <v>0.00891174831526061</v>
      </c>
      <c r="G1140" s="45" t="n">
        <f aca="false">ROUND(C1140*F1140,0)</f>
        <v>850</v>
      </c>
      <c r="H1140" s="48" t="n">
        <f aca="false">MAX(0,(C1140*'Model Inputs &amp; Assumptions'!$N$30+E1140*'Model Inputs &amp; Assumptions'!$O$30+G1140*'Model Inputs &amp; Assumptions'!$P$30)*EXP('Model Inputs &amp; Assumptions'!$Q$30*S1140-'Model Inputs &amp; Assumptions'!$Q$30^2/2))</f>
        <v>50.4617861735652</v>
      </c>
      <c r="I1140" s="49" t="n">
        <f aca="false">IF('Model Inputs &amp; Assumptions'!$H$30="Fixed",'Model Inputs &amp; Assumptions'!$I$30*'Model Inputs &amp; Assumptions'!$K$30,IF('Model Inputs &amp; Assumptions'!$H$30="CPM",'Model Inputs &amp; Assumptions'!$I$30*'Model Inputs &amp; Assumptions'!$K$30*C1140/1000,IF('Model Inputs &amp; Assumptions'!$H$30="CPC",'Model Inputs &amp; Assumptions'!$I$30*'Model Inputs &amp; Assumptions'!$K$30*G1140,0)))</f>
        <v>6900</v>
      </c>
      <c r="J1140" s="50" t="n">
        <f aca="false">H1140*INDEX('Model Inputs &amp; Assumptions'!$D$40:$D$42,MATCH('Model Inputs &amp; Assumptions'!$L$30,'Model Inputs &amp; Assumptions'!$A$40:$A$42,0))*INDEX('Model Inputs &amp; Assumptions'!$H$40:$H$42,MATCH('Model Inputs &amp; Assumptions'!$L$30,'Model Inputs &amp; Assumptions'!$A$40:$A$42,0))</f>
        <v>363324.860449669</v>
      </c>
      <c r="K1140" s="49" t="n">
        <f aca="false">H1140*INDEX('Model Inputs &amp; Assumptions'!$G$40:$G$42,MATCH('Model Inputs &amp; Assumptions'!$L$30,'Model Inputs &amp; Assumptions'!$A$40:$A$42,0))*INDEX('Model Inputs &amp; Assumptions'!$H$40:$H$42,MATCH('Model Inputs &amp; Assumptions'!$L$30,'Model Inputs &amp; Assumptions'!$A$40:$A$42,0))</f>
        <v>8011.31317291521</v>
      </c>
      <c r="L1140" s="51" t="n">
        <f aca="false">IFERROR(K1140/I1140,0)</f>
        <v>1.16105988013264</v>
      </c>
      <c r="M1140" s="49" t="n">
        <f aca="false">IFERROR(I1140/H1140,0)</f>
        <v>136.737133645393</v>
      </c>
      <c r="N1140" s="52" t="str">
        <f aca="false">'Model Inputs &amp; Assumptions'!$L$30</f>
        <v>PRD-USIQ</v>
      </c>
      <c r="P1140" s="53" t="n">
        <v>0.731873</v>
      </c>
      <c r="Q1140" s="53" t="n">
        <v>0.35263</v>
      </c>
      <c r="R1140" s="53" t="n">
        <v>0.794526</v>
      </c>
      <c r="S1140" s="53" t="n">
        <v>-0.237608</v>
      </c>
    </row>
    <row r="1141" customFormat="false" ht="15" hidden="false" customHeight="false" outlineLevel="0" collapsed="false">
      <c r="A1141" s="43" t="n">
        <v>138</v>
      </c>
      <c r="B1141" s="44" t="str">
        <f aca="false">'Model Inputs &amp; Assumptions'!$B$30</f>
        <v>extraETF — Newsletter Takeover</v>
      </c>
      <c r="C1141" s="45" t="n">
        <f aca="false">ROUND(MAX(0,'Model Inputs &amp; Assumptions'!$S$30*EXP('Model Inputs &amp; Assumptions'!$T$30*P1141-'Model Inputs &amp; Assumptions'!$T$30^2/2)),0)</f>
        <v>86400</v>
      </c>
      <c r="D1141" s="46" t="n">
        <f aca="false">MIN(1,'Model Inputs &amp; Assumptions'!$U$30*EXP('Model Inputs &amp; Assumptions'!$V$30*Q1141-'Model Inputs &amp; Assumptions'!$V$30^2/2))</f>
        <v>0</v>
      </c>
      <c r="E1141" s="45" t="n">
        <f aca="false">ROUND(C1141*D1141,0)</f>
        <v>0</v>
      </c>
      <c r="F1141" s="47" t="n">
        <f aca="false">MIN(1,'Model Inputs &amp; Assumptions'!$W$30*EXP('Model Inputs &amp; Assumptions'!$X$30*R1141-'Model Inputs &amp; Assumptions'!$X$30^2/2))</f>
        <v>0.00654520088430392</v>
      </c>
      <c r="G1141" s="45" t="n">
        <f aca="false">ROUND(C1141*F1141,0)</f>
        <v>566</v>
      </c>
      <c r="H1141" s="48" t="n">
        <f aca="false">MAX(0,(C1141*'Model Inputs &amp; Assumptions'!$N$30+E1141*'Model Inputs &amp; Assumptions'!$O$30+G1141*'Model Inputs &amp; Assumptions'!$P$30)*EXP('Model Inputs &amp; Assumptions'!$Q$30*S1141-'Model Inputs &amp; Assumptions'!$Q$30^2/2))</f>
        <v>33.5057249786988</v>
      </c>
      <c r="I1141" s="49" t="n">
        <f aca="false">IF('Model Inputs &amp; Assumptions'!$H$30="Fixed",'Model Inputs &amp; Assumptions'!$I$30*'Model Inputs &amp; Assumptions'!$K$30,IF('Model Inputs &amp; Assumptions'!$H$30="CPM",'Model Inputs &amp; Assumptions'!$I$30*'Model Inputs &amp; Assumptions'!$K$30*C1141/1000,IF('Model Inputs &amp; Assumptions'!$H$30="CPC",'Model Inputs &amp; Assumptions'!$I$30*'Model Inputs &amp; Assumptions'!$K$30*G1141,0)))</f>
        <v>6900</v>
      </c>
      <c r="J1141" s="50" t="n">
        <f aca="false">H1141*INDEX('Model Inputs &amp; Assumptions'!$D$40:$D$42,MATCH('Model Inputs &amp; Assumptions'!$L$30,'Model Inputs &amp; Assumptions'!$A$40:$A$42,0))*INDEX('Model Inputs &amp; Assumptions'!$H$40:$H$42,MATCH('Model Inputs &amp; Assumptions'!$L$30,'Model Inputs &amp; Assumptions'!$A$40:$A$42,0))</f>
        <v>241241.219846631</v>
      </c>
      <c r="K1141" s="49" t="n">
        <f aca="false">H1141*INDEX('Model Inputs &amp; Assumptions'!$G$40:$G$42,MATCH('Model Inputs &amp; Assumptions'!$L$30,'Model Inputs &amp; Assumptions'!$A$40:$A$42,0))*INDEX('Model Inputs &amp; Assumptions'!$H$40:$H$42,MATCH('Model Inputs &amp; Assumptions'!$L$30,'Model Inputs &amp; Assumptions'!$A$40:$A$42,0))</f>
        <v>5319.36889761821</v>
      </c>
      <c r="L1141" s="51" t="n">
        <f aca="false">IFERROR(K1141/I1141,0)</f>
        <v>0.770923028640321</v>
      </c>
      <c r="M1141" s="49" t="n">
        <f aca="false">IFERROR(I1141/H1141,0)</f>
        <v>205.934956022789</v>
      </c>
      <c r="N1141" s="52" t="str">
        <f aca="false">'Model Inputs &amp; Assumptions'!$L$30</f>
        <v>PRD-USIQ</v>
      </c>
      <c r="P1141" s="53" t="n">
        <v>-0.092869</v>
      </c>
      <c r="Q1141" s="53" t="n">
        <v>-0.591523</v>
      </c>
      <c r="R1141" s="53" t="n">
        <v>-1.263063</v>
      </c>
      <c r="S1141" s="53" t="n">
        <v>-0.249039</v>
      </c>
    </row>
    <row r="1142" customFormat="false" ht="15" hidden="false" customHeight="false" outlineLevel="0" collapsed="false">
      <c r="A1142" s="43" t="n">
        <v>139</v>
      </c>
      <c r="B1142" s="44" t="str">
        <f aca="false">'Model Inputs &amp; Assumptions'!$B$30</f>
        <v>extraETF — Newsletter Takeover</v>
      </c>
      <c r="C1142" s="45" t="n">
        <f aca="false">ROUND(MAX(0,'Model Inputs &amp; Assumptions'!$S$30*EXP('Model Inputs &amp; Assumptions'!$T$30*P1142-'Model Inputs &amp; Assumptions'!$T$30^2/2)),0)</f>
        <v>109694</v>
      </c>
      <c r="D1142" s="46" t="n">
        <f aca="false">MIN(1,'Model Inputs &amp; Assumptions'!$U$30*EXP('Model Inputs &amp; Assumptions'!$V$30*Q1142-'Model Inputs &amp; Assumptions'!$V$30^2/2))</f>
        <v>0</v>
      </c>
      <c r="E1142" s="45" t="n">
        <f aca="false">ROUND(C1142*D1142,0)</f>
        <v>0</v>
      </c>
      <c r="F1142" s="47" t="n">
        <f aca="false">MIN(1,'Model Inputs &amp; Assumptions'!$W$30*EXP('Model Inputs &amp; Assumptions'!$X$30*R1142-'Model Inputs &amp; Assumptions'!$X$30^2/2))</f>
        <v>0.00953105382861276</v>
      </c>
      <c r="G1142" s="45" t="n">
        <f aca="false">ROUND(C1142*F1142,0)</f>
        <v>1045</v>
      </c>
      <c r="H1142" s="48" t="n">
        <f aca="false">MAX(0,(C1142*'Model Inputs &amp; Assumptions'!$N$30+E1142*'Model Inputs &amp; Assumptions'!$O$30+G1142*'Model Inputs &amp; Assumptions'!$P$30)*EXP('Model Inputs &amp; Assumptions'!$Q$30*S1142-'Model Inputs &amp; Assumptions'!$Q$30^2/2))</f>
        <v>86.9992854421655</v>
      </c>
      <c r="I1142" s="49" t="n">
        <f aca="false">IF('Model Inputs &amp; Assumptions'!$H$30="Fixed",'Model Inputs &amp; Assumptions'!$I$30*'Model Inputs &amp; Assumptions'!$K$30,IF('Model Inputs &amp; Assumptions'!$H$30="CPM",'Model Inputs &amp; Assumptions'!$I$30*'Model Inputs &amp; Assumptions'!$K$30*C1142/1000,IF('Model Inputs &amp; Assumptions'!$H$30="CPC",'Model Inputs &amp; Assumptions'!$I$30*'Model Inputs &amp; Assumptions'!$K$30*G1142,0)))</f>
        <v>6900</v>
      </c>
      <c r="J1142" s="50" t="n">
        <f aca="false">H1142*INDEX('Model Inputs &amp; Assumptions'!$D$40:$D$42,MATCH('Model Inputs &amp; Assumptions'!$L$30,'Model Inputs &amp; Assumptions'!$A$40:$A$42,0))*INDEX('Model Inputs &amp; Assumptions'!$H$40:$H$42,MATCH('Model Inputs &amp; Assumptions'!$L$30,'Model Inputs &amp; Assumptions'!$A$40:$A$42,0))</f>
        <v>626394.855183591</v>
      </c>
      <c r="K1142" s="49" t="n">
        <f aca="false">H1142*INDEX('Model Inputs &amp; Assumptions'!$G$40:$G$42,MATCH('Model Inputs &amp; Assumptions'!$L$30,'Model Inputs &amp; Assumptions'!$A$40:$A$42,0))*INDEX('Model Inputs &amp; Assumptions'!$H$40:$H$42,MATCH('Model Inputs &amp; Assumptions'!$L$30,'Model Inputs &amp; Assumptions'!$A$40:$A$42,0))</f>
        <v>13812.0065567982</v>
      </c>
      <c r="L1142" s="51" t="n">
        <f aca="false">IFERROR(K1142/I1142,0)</f>
        <v>2.00174008069539</v>
      </c>
      <c r="M1142" s="49" t="n">
        <f aca="false">IFERROR(I1142/H1142,0)</f>
        <v>79.3109962332612</v>
      </c>
      <c r="N1142" s="52" t="str">
        <f aca="false">'Model Inputs &amp; Assumptions'!$L$30</f>
        <v>PRD-USIQ</v>
      </c>
      <c r="P1142" s="53" t="n">
        <v>1.896287</v>
      </c>
      <c r="Q1142" s="53" t="n">
        <v>0.100202</v>
      </c>
      <c r="R1142" s="53" t="n">
        <v>1.242425</v>
      </c>
      <c r="S1142" s="53" t="n">
        <v>1.114983</v>
      </c>
    </row>
    <row r="1143" customFormat="false" ht="15" hidden="false" customHeight="false" outlineLevel="0" collapsed="false">
      <c r="A1143" s="43" t="n">
        <v>140</v>
      </c>
      <c r="B1143" s="44" t="str">
        <f aca="false">'Model Inputs &amp; Assumptions'!$B$30</f>
        <v>extraETF — Newsletter Takeover</v>
      </c>
      <c r="C1143" s="45" t="n">
        <f aca="false">ROUND(MAX(0,'Model Inputs &amp; Assumptions'!$S$30*EXP('Model Inputs &amp; Assumptions'!$T$30*P1143-'Model Inputs &amp; Assumptions'!$T$30^2/2)),0)</f>
        <v>83861</v>
      </c>
      <c r="D1143" s="46" t="n">
        <f aca="false">MIN(1,'Model Inputs &amp; Assumptions'!$U$30*EXP('Model Inputs &amp; Assumptions'!$V$30*Q1143-'Model Inputs &amp; Assumptions'!$V$30^2/2))</f>
        <v>0</v>
      </c>
      <c r="E1143" s="45" t="n">
        <f aca="false">ROUND(C1143*D1143,0)</f>
        <v>0</v>
      </c>
      <c r="F1143" s="47" t="n">
        <f aca="false">MIN(1,'Model Inputs &amp; Assumptions'!$W$30*EXP('Model Inputs &amp; Assumptions'!$X$30*R1143-'Model Inputs &amp; Assumptions'!$X$30^2/2))</f>
        <v>0.00674304997881162</v>
      </c>
      <c r="G1143" s="45" t="n">
        <f aca="false">ROUND(C1143*F1143,0)</f>
        <v>565</v>
      </c>
      <c r="H1143" s="48" t="n">
        <f aca="false">MAX(0,(C1143*'Model Inputs &amp; Assumptions'!$N$30+E1143*'Model Inputs &amp; Assumptions'!$O$30+G1143*'Model Inputs &amp; Assumptions'!$P$30)*EXP('Model Inputs &amp; Assumptions'!$Q$30*S1143-'Model Inputs &amp; Assumptions'!$Q$30^2/2))</f>
        <v>19.6825896733486</v>
      </c>
      <c r="I1143" s="49" t="n">
        <f aca="false">IF('Model Inputs &amp; Assumptions'!$H$30="Fixed",'Model Inputs &amp; Assumptions'!$I$30*'Model Inputs &amp; Assumptions'!$K$30,IF('Model Inputs &amp; Assumptions'!$H$30="CPM",'Model Inputs &amp; Assumptions'!$I$30*'Model Inputs &amp; Assumptions'!$K$30*C1143/1000,IF('Model Inputs &amp; Assumptions'!$H$30="CPC",'Model Inputs &amp; Assumptions'!$I$30*'Model Inputs &amp; Assumptions'!$K$30*G1143,0)))</f>
        <v>6900</v>
      </c>
      <c r="J1143" s="50" t="n">
        <f aca="false">H1143*INDEX('Model Inputs &amp; Assumptions'!$D$40:$D$42,MATCH('Model Inputs &amp; Assumptions'!$L$30,'Model Inputs &amp; Assumptions'!$A$40:$A$42,0))*INDEX('Model Inputs &amp; Assumptions'!$H$40:$H$42,MATCH('Model Inputs &amp; Assumptions'!$L$30,'Model Inputs &amp; Assumptions'!$A$40:$A$42,0))</f>
        <v>141714.64564811</v>
      </c>
      <c r="K1143" s="49" t="n">
        <f aca="false">H1143*INDEX('Model Inputs &amp; Assumptions'!$G$40:$G$42,MATCH('Model Inputs &amp; Assumptions'!$L$30,'Model Inputs &amp; Assumptions'!$A$40:$A$42,0))*INDEX('Model Inputs &amp; Assumptions'!$H$40:$H$42,MATCH('Model Inputs &amp; Assumptions'!$L$30,'Model Inputs &amp; Assumptions'!$A$40:$A$42,0))</f>
        <v>3124.80793654083</v>
      </c>
      <c r="L1143" s="51" t="n">
        <f aca="false">IFERROR(K1143/I1143,0)</f>
        <v>0.4528707154407</v>
      </c>
      <c r="M1143" s="49" t="n">
        <f aca="false">IFERROR(I1143/H1143,0)</f>
        <v>350.563625748038</v>
      </c>
      <c r="N1143" s="52" t="str">
        <f aca="false">'Model Inputs &amp; Assumptions'!$L$30</f>
        <v>PRD-USIQ</v>
      </c>
      <c r="P1143" s="53" t="n">
        <v>-0.341425</v>
      </c>
      <c r="Q1143" s="53" t="n">
        <v>-0.09007</v>
      </c>
      <c r="R1143" s="53" t="n">
        <v>-1.064528</v>
      </c>
      <c r="S1143" s="53" t="n">
        <v>-2.369893</v>
      </c>
    </row>
    <row r="1144" customFormat="false" ht="15" hidden="false" customHeight="false" outlineLevel="0" collapsed="false">
      <c r="A1144" s="43" t="n">
        <v>141</v>
      </c>
      <c r="B1144" s="44" t="str">
        <f aca="false">'Model Inputs &amp; Assumptions'!$B$30</f>
        <v>extraETF — Newsletter Takeover</v>
      </c>
      <c r="C1144" s="45" t="n">
        <f aca="false">ROUND(MAX(0,'Model Inputs &amp; Assumptions'!$S$30*EXP('Model Inputs &amp; Assumptions'!$T$30*P1144-'Model Inputs &amp; Assumptions'!$T$30^2/2)),0)</f>
        <v>88531</v>
      </c>
      <c r="D1144" s="46" t="n">
        <f aca="false">MIN(1,'Model Inputs &amp; Assumptions'!$U$30*EXP('Model Inputs &amp; Assumptions'!$V$30*Q1144-'Model Inputs &amp; Assumptions'!$V$30^2/2))</f>
        <v>0</v>
      </c>
      <c r="E1144" s="45" t="n">
        <f aca="false">ROUND(C1144*D1144,0)</f>
        <v>0</v>
      </c>
      <c r="F1144" s="47" t="n">
        <f aca="false">MIN(1,'Model Inputs &amp; Assumptions'!$W$30*EXP('Model Inputs &amp; Assumptions'!$X$30*R1144-'Model Inputs &amp; Assumptions'!$X$30^2/2))</f>
        <v>0.009944439409924</v>
      </c>
      <c r="G1144" s="45" t="n">
        <f aca="false">ROUND(C1144*F1144,0)</f>
        <v>880</v>
      </c>
      <c r="H1144" s="48" t="n">
        <f aca="false">MAX(0,(C1144*'Model Inputs &amp; Assumptions'!$N$30+E1144*'Model Inputs &amp; Assumptions'!$O$30+G1144*'Model Inputs &amp; Assumptions'!$P$30)*EXP('Model Inputs &amp; Assumptions'!$Q$30*S1144-'Model Inputs &amp; Assumptions'!$Q$30^2/2))</f>
        <v>47.657101250401</v>
      </c>
      <c r="I1144" s="49" t="n">
        <f aca="false">IF('Model Inputs &amp; Assumptions'!$H$30="Fixed",'Model Inputs &amp; Assumptions'!$I$30*'Model Inputs &amp; Assumptions'!$K$30,IF('Model Inputs &amp; Assumptions'!$H$30="CPM",'Model Inputs &amp; Assumptions'!$I$30*'Model Inputs &amp; Assumptions'!$K$30*C1144/1000,IF('Model Inputs &amp; Assumptions'!$H$30="CPC",'Model Inputs &amp; Assumptions'!$I$30*'Model Inputs &amp; Assumptions'!$K$30*G1144,0)))</f>
        <v>6900</v>
      </c>
      <c r="J1144" s="50" t="n">
        <f aca="false">H1144*INDEX('Model Inputs &amp; Assumptions'!$D$40:$D$42,MATCH('Model Inputs &amp; Assumptions'!$L$30,'Model Inputs &amp; Assumptions'!$A$40:$A$42,0))*INDEX('Model Inputs &amp; Assumptions'!$H$40:$H$42,MATCH('Model Inputs &amp; Assumptions'!$L$30,'Model Inputs &amp; Assumptions'!$A$40:$A$42,0))</f>
        <v>343131.129002887</v>
      </c>
      <c r="K1144" s="49" t="n">
        <f aca="false">H1144*INDEX('Model Inputs &amp; Assumptions'!$G$40:$G$42,MATCH('Model Inputs &amp; Assumptions'!$L$30,'Model Inputs &amp; Assumptions'!$A$40:$A$42,0))*INDEX('Model Inputs &amp; Assumptions'!$H$40:$H$42,MATCH('Model Inputs &amp; Assumptions'!$L$30,'Model Inputs &amp; Assumptions'!$A$40:$A$42,0))</f>
        <v>7566.04139451366</v>
      </c>
      <c r="L1144" s="51" t="n">
        <f aca="false">IFERROR(K1144/I1144,0)</f>
        <v>1.09652773833531</v>
      </c>
      <c r="M1144" s="49" t="n">
        <f aca="false">IFERROR(I1144/H1144,0)</f>
        <v>144.78429906481</v>
      </c>
      <c r="N1144" s="52" t="str">
        <f aca="false">'Model Inputs &amp; Assumptions'!$L$30</f>
        <v>PRD-USIQ</v>
      </c>
      <c r="P1144" s="53" t="n">
        <v>0.110171</v>
      </c>
      <c r="Q1144" s="53" t="n">
        <v>-0.465621</v>
      </c>
      <c r="R1144" s="53" t="n">
        <v>1.52548</v>
      </c>
      <c r="S1144" s="53" t="n">
        <v>-0.605089</v>
      </c>
    </row>
    <row r="1145" customFormat="false" ht="15" hidden="false" customHeight="false" outlineLevel="0" collapsed="false">
      <c r="A1145" s="43" t="n">
        <v>142</v>
      </c>
      <c r="B1145" s="44" t="str">
        <f aca="false">'Model Inputs &amp; Assumptions'!$B$30</f>
        <v>extraETF — Newsletter Takeover</v>
      </c>
      <c r="C1145" s="45" t="n">
        <f aca="false">ROUND(MAX(0,'Model Inputs &amp; Assumptions'!$S$30*EXP('Model Inputs &amp; Assumptions'!$T$30*P1145-'Model Inputs &amp; Assumptions'!$T$30^2/2)),0)</f>
        <v>87920</v>
      </c>
      <c r="D1145" s="46" t="n">
        <f aca="false">MIN(1,'Model Inputs &amp; Assumptions'!$U$30*EXP('Model Inputs &amp; Assumptions'!$V$30*Q1145-'Model Inputs &amp; Assumptions'!$V$30^2/2))</f>
        <v>0</v>
      </c>
      <c r="E1145" s="45" t="n">
        <f aca="false">ROUND(C1145*D1145,0)</f>
        <v>0</v>
      </c>
      <c r="F1145" s="47" t="n">
        <f aca="false">MIN(1,'Model Inputs &amp; Assumptions'!$W$30*EXP('Model Inputs &amp; Assumptions'!$X$30*R1145-'Model Inputs &amp; Assumptions'!$X$30^2/2))</f>
        <v>0.00715482598301019</v>
      </c>
      <c r="G1145" s="45" t="n">
        <f aca="false">ROUND(C1145*F1145,0)</f>
        <v>629</v>
      </c>
      <c r="H1145" s="48" t="n">
        <f aca="false">MAX(0,(C1145*'Model Inputs &amp; Assumptions'!$N$30+E1145*'Model Inputs &amp; Assumptions'!$O$30+G1145*'Model Inputs &amp; Assumptions'!$P$30)*EXP('Model Inputs &amp; Assumptions'!$Q$30*S1145-'Model Inputs &amp; Assumptions'!$Q$30^2/2))</f>
        <v>42.3816187254264</v>
      </c>
      <c r="I1145" s="49" t="n">
        <f aca="false">IF('Model Inputs &amp; Assumptions'!$H$30="Fixed",'Model Inputs &amp; Assumptions'!$I$30*'Model Inputs &amp; Assumptions'!$K$30,IF('Model Inputs &amp; Assumptions'!$H$30="CPM",'Model Inputs &amp; Assumptions'!$I$30*'Model Inputs &amp; Assumptions'!$K$30*C1145/1000,IF('Model Inputs &amp; Assumptions'!$H$30="CPC",'Model Inputs &amp; Assumptions'!$I$30*'Model Inputs &amp; Assumptions'!$K$30*G1145,0)))</f>
        <v>6900</v>
      </c>
      <c r="J1145" s="50" t="n">
        <f aca="false">H1145*INDEX('Model Inputs &amp; Assumptions'!$D$40:$D$42,MATCH('Model Inputs &amp; Assumptions'!$L$30,'Model Inputs &amp; Assumptions'!$A$40:$A$42,0))*INDEX('Model Inputs &amp; Assumptions'!$H$40:$H$42,MATCH('Model Inputs &amp; Assumptions'!$L$30,'Model Inputs &amp; Assumptions'!$A$40:$A$42,0))</f>
        <v>305147.65482307</v>
      </c>
      <c r="K1145" s="49" t="n">
        <f aca="false">H1145*INDEX('Model Inputs &amp; Assumptions'!$G$40:$G$42,MATCH('Model Inputs &amp; Assumptions'!$L$30,'Model Inputs &amp; Assumptions'!$A$40:$A$42,0))*INDEX('Model Inputs &amp; Assumptions'!$H$40:$H$42,MATCH('Model Inputs &amp; Assumptions'!$L$30,'Model Inputs &amp; Assumptions'!$A$40:$A$42,0))</f>
        <v>6728.50578884869</v>
      </c>
      <c r="L1145" s="51" t="n">
        <f aca="false">IFERROR(K1145/I1145,0)</f>
        <v>0.97514576649981</v>
      </c>
      <c r="M1145" s="49" t="n">
        <f aca="false">IFERROR(I1145/H1145,0)</f>
        <v>162.806429001741</v>
      </c>
      <c r="N1145" s="52" t="str">
        <f aca="false">'Model Inputs &amp; Assumptions'!$L$30</f>
        <v>PRD-USIQ</v>
      </c>
      <c r="P1145" s="53" t="n">
        <v>0.052457</v>
      </c>
      <c r="Q1145" s="53" t="n">
        <v>0.428494</v>
      </c>
      <c r="R1145" s="53" t="n">
        <v>-0.669363</v>
      </c>
      <c r="S1145" s="53" t="n">
        <v>0.268806</v>
      </c>
    </row>
    <row r="1146" customFormat="false" ht="15" hidden="false" customHeight="false" outlineLevel="0" collapsed="false">
      <c r="A1146" s="43" t="n">
        <v>143</v>
      </c>
      <c r="B1146" s="44" t="str">
        <f aca="false">'Model Inputs &amp; Assumptions'!$B$30</f>
        <v>extraETF — Newsletter Takeover</v>
      </c>
      <c r="C1146" s="45" t="n">
        <f aca="false">ROUND(MAX(0,'Model Inputs &amp; Assumptions'!$S$30*EXP('Model Inputs &amp; Assumptions'!$T$30*P1146-'Model Inputs &amp; Assumptions'!$T$30^2/2)),0)</f>
        <v>93382</v>
      </c>
      <c r="D1146" s="46" t="n">
        <f aca="false">MIN(1,'Model Inputs &amp; Assumptions'!$U$30*EXP('Model Inputs &amp; Assumptions'!$V$30*Q1146-'Model Inputs &amp; Assumptions'!$V$30^2/2))</f>
        <v>0</v>
      </c>
      <c r="E1146" s="45" t="n">
        <f aca="false">ROUND(C1146*D1146,0)</f>
        <v>0</v>
      </c>
      <c r="F1146" s="47" t="n">
        <f aca="false">MIN(1,'Model Inputs &amp; Assumptions'!$W$30*EXP('Model Inputs &amp; Assumptions'!$X$30*R1146-'Model Inputs &amp; Assumptions'!$X$30^2/2))</f>
        <v>0.00744490154457508</v>
      </c>
      <c r="G1146" s="45" t="n">
        <f aca="false">ROUND(C1146*F1146,0)</f>
        <v>695</v>
      </c>
      <c r="H1146" s="48" t="n">
        <f aca="false">MAX(0,(C1146*'Model Inputs &amp; Assumptions'!$N$30+E1146*'Model Inputs &amp; Assumptions'!$O$30+G1146*'Model Inputs &amp; Assumptions'!$P$30)*EXP('Model Inputs &amp; Assumptions'!$Q$30*S1146-'Model Inputs &amp; Assumptions'!$Q$30^2/2))</f>
        <v>34.1137775521876</v>
      </c>
      <c r="I1146" s="49" t="n">
        <f aca="false">IF('Model Inputs &amp; Assumptions'!$H$30="Fixed",'Model Inputs &amp; Assumptions'!$I$30*'Model Inputs &amp; Assumptions'!$K$30,IF('Model Inputs &amp; Assumptions'!$H$30="CPM",'Model Inputs &amp; Assumptions'!$I$30*'Model Inputs &amp; Assumptions'!$K$30*C1146/1000,IF('Model Inputs &amp; Assumptions'!$H$30="CPC",'Model Inputs &amp; Assumptions'!$I$30*'Model Inputs &amp; Assumptions'!$K$30*G1146,0)))</f>
        <v>6900</v>
      </c>
      <c r="J1146" s="50" t="n">
        <f aca="false">H1146*INDEX('Model Inputs &amp; Assumptions'!$D$40:$D$42,MATCH('Model Inputs &amp; Assumptions'!$L$30,'Model Inputs &amp; Assumptions'!$A$40:$A$42,0))*INDEX('Model Inputs &amp; Assumptions'!$H$40:$H$42,MATCH('Model Inputs &amp; Assumptions'!$L$30,'Model Inputs &amp; Assumptions'!$A$40:$A$42,0))</f>
        <v>245619.198375751</v>
      </c>
      <c r="K1146" s="49" t="n">
        <f aca="false">H1146*INDEX('Model Inputs &amp; Assumptions'!$G$40:$G$42,MATCH('Model Inputs &amp; Assumptions'!$L$30,'Model Inputs &amp; Assumptions'!$A$40:$A$42,0))*INDEX('Model Inputs &amp; Assumptions'!$H$40:$H$42,MATCH('Model Inputs &amp; Assumptions'!$L$30,'Model Inputs &amp; Assumptions'!$A$40:$A$42,0))</f>
        <v>5415.90332418531</v>
      </c>
      <c r="L1146" s="51" t="n">
        <f aca="false">IFERROR(K1146/I1146,0)</f>
        <v>0.784913525244248</v>
      </c>
      <c r="M1146" s="49" t="n">
        <f aca="false">IFERROR(I1146/H1146,0)</f>
        <v>202.264319436459</v>
      </c>
      <c r="N1146" s="52" t="str">
        <f aca="false">'Model Inputs &amp; Assumptions'!$L$30</f>
        <v>PRD-USIQ</v>
      </c>
      <c r="P1146" s="53" t="n">
        <v>0.554649</v>
      </c>
      <c r="Q1146" s="53" t="n">
        <v>-0.949751</v>
      </c>
      <c r="R1146" s="53" t="n">
        <v>-0.404414</v>
      </c>
      <c r="S1146" s="53" t="n">
        <v>-0.99837</v>
      </c>
    </row>
    <row r="1147" customFormat="false" ht="15" hidden="false" customHeight="false" outlineLevel="0" collapsed="false">
      <c r="A1147" s="43" t="n">
        <v>144</v>
      </c>
      <c r="B1147" s="44" t="str">
        <f aca="false">'Model Inputs &amp; Assumptions'!$B$30</f>
        <v>extraETF — Newsletter Takeover</v>
      </c>
      <c r="C1147" s="45" t="n">
        <f aca="false">ROUND(MAX(0,'Model Inputs &amp; Assumptions'!$S$30*EXP('Model Inputs &amp; Assumptions'!$T$30*P1147-'Model Inputs &amp; Assumptions'!$T$30^2/2)),0)</f>
        <v>97496</v>
      </c>
      <c r="D1147" s="46" t="n">
        <f aca="false">MIN(1,'Model Inputs &amp; Assumptions'!$U$30*EXP('Model Inputs &amp; Assumptions'!$V$30*Q1147-'Model Inputs &amp; Assumptions'!$V$30^2/2))</f>
        <v>0</v>
      </c>
      <c r="E1147" s="45" t="n">
        <f aca="false">ROUND(C1147*D1147,0)</f>
        <v>0</v>
      </c>
      <c r="F1147" s="47" t="n">
        <f aca="false">MIN(1,'Model Inputs &amp; Assumptions'!$W$30*EXP('Model Inputs &amp; Assumptions'!$X$30*R1147-'Model Inputs &amp; Assumptions'!$X$30^2/2))</f>
        <v>0.00973677877478864</v>
      </c>
      <c r="G1147" s="45" t="n">
        <f aca="false">ROUND(C1147*F1147,0)</f>
        <v>949</v>
      </c>
      <c r="H1147" s="48" t="n">
        <f aca="false">MAX(0,(C1147*'Model Inputs &amp; Assumptions'!$N$30+E1147*'Model Inputs &amp; Assumptions'!$O$30+G1147*'Model Inputs &amp; Assumptions'!$P$30)*EXP('Model Inputs &amp; Assumptions'!$Q$30*S1147-'Model Inputs &amp; Assumptions'!$Q$30^2/2))</f>
        <v>63.096688597394</v>
      </c>
      <c r="I1147" s="49" t="n">
        <f aca="false">IF('Model Inputs &amp; Assumptions'!$H$30="Fixed",'Model Inputs &amp; Assumptions'!$I$30*'Model Inputs &amp; Assumptions'!$K$30,IF('Model Inputs &amp; Assumptions'!$H$30="CPM",'Model Inputs &amp; Assumptions'!$I$30*'Model Inputs &amp; Assumptions'!$K$30*C1147/1000,IF('Model Inputs &amp; Assumptions'!$H$30="CPC",'Model Inputs &amp; Assumptions'!$I$30*'Model Inputs &amp; Assumptions'!$K$30*G1147,0)))</f>
        <v>6900</v>
      </c>
      <c r="J1147" s="50" t="n">
        <f aca="false">H1147*INDEX('Model Inputs &amp; Assumptions'!$D$40:$D$42,MATCH('Model Inputs &amp; Assumptions'!$L$30,'Model Inputs &amp; Assumptions'!$A$40:$A$42,0))*INDEX('Model Inputs &amp; Assumptions'!$H$40:$H$42,MATCH('Model Inputs &amp; Assumptions'!$L$30,'Model Inputs &amp; Assumptions'!$A$40:$A$42,0))</f>
        <v>454296.157901237</v>
      </c>
      <c r="K1147" s="49" t="n">
        <f aca="false">H1147*INDEX('Model Inputs &amp; Assumptions'!$G$40:$G$42,MATCH('Model Inputs &amp; Assumptions'!$L$30,'Model Inputs &amp; Assumptions'!$A$40:$A$42,0))*INDEX('Model Inputs &amp; Assumptions'!$H$40:$H$42,MATCH('Model Inputs &amp; Assumptions'!$L$30,'Model Inputs &amp; Assumptions'!$A$40:$A$42,0))</f>
        <v>10017.2302817223</v>
      </c>
      <c r="L1147" s="51" t="n">
        <f aca="false">IFERROR(K1147/I1147,0)</f>
        <v>1.45177250459743</v>
      </c>
      <c r="M1147" s="49" t="n">
        <f aca="false">IFERROR(I1147/H1147,0)</f>
        <v>109.355976571566</v>
      </c>
      <c r="N1147" s="52" t="str">
        <f aca="false">'Model Inputs &amp; Assumptions'!$L$30</f>
        <v>PRD-USIQ</v>
      </c>
      <c r="P1147" s="53" t="n">
        <v>0.913981</v>
      </c>
      <c r="Q1147" s="53" t="n">
        <v>-1.057748</v>
      </c>
      <c r="R1147" s="53" t="n">
        <v>1.384792</v>
      </c>
      <c r="S1147" s="53" t="n">
        <v>0.21551</v>
      </c>
    </row>
    <row r="1148" customFormat="false" ht="15" hidden="false" customHeight="false" outlineLevel="0" collapsed="false">
      <c r="A1148" s="43" t="n">
        <v>145</v>
      </c>
      <c r="B1148" s="44" t="str">
        <f aca="false">'Model Inputs &amp; Assumptions'!$B$30</f>
        <v>extraETF — Newsletter Takeover</v>
      </c>
      <c r="C1148" s="45" t="n">
        <f aca="false">ROUND(MAX(0,'Model Inputs &amp; Assumptions'!$S$30*EXP('Model Inputs &amp; Assumptions'!$T$30*P1148-'Model Inputs &amp; Assumptions'!$T$30^2/2)),0)</f>
        <v>80454</v>
      </c>
      <c r="D1148" s="46" t="n">
        <f aca="false">MIN(1,'Model Inputs &amp; Assumptions'!$U$30*EXP('Model Inputs &amp; Assumptions'!$V$30*Q1148-'Model Inputs &amp; Assumptions'!$V$30^2/2))</f>
        <v>0</v>
      </c>
      <c r="E1148" s="45" t="n">
        <f aca="false">ROUND(C1148*D1148,0)</f>
        <v>0</v>
      </c>
      <c r="F1148" s="47" t="n">
        <f aca="false">MIN(1,'Model Inputs &amp; Assumptions'!$W$30*EXP('Model Inputs &amp; Assumptions'!$X$30*R1148-'Model Inputs &amp; Assumptions'!$X$30^2/2))</f>
        <v>0.00765486154197697</v>
      </c>
      <c r="G1148" s="45" t="n">
        <f aca="false">ROUND(C1148*F1148,0)</f>
        <v>616</v>
      </c>
      <c r="H1148" s="48" t="n">
        <f aca="false">MAX(0,(C1148*'Model Inputs &amp; Assumptions'!$N$30+E1148*'Model Inputs &amp; Assumptions'!$O$30+G1148*'Model Inputs &amp; Assumptions'!$P$30)*EXP('Model Inputs &amp; Assumptions'!$Q$30*S1148-'Model Inputs &amp; Assumptions'!$Q$30^2/2))</f>
        <v>56.8858827741816</v>
      </c>
      <c r="I1148" s="49" t="n">
        <f aca="false">IF('Model Inputs &amp; Assumptions'!$H$30="Fixed",'Model Inputs &amp; Assumptions'!$I$30*'Model Inputs &amp; Assumptions'!$K$30,IF('Model Inputs &amp; Assumptions'!$H$30="CPM",'Model Inputs &amp; Assumptions'!$I$30*'Model Inputs &amp; Assumptions'!$K$30*C1148/1000,IF('Model Inputs &amp; Assumptions'!$H$30="CPC",'Model Inputs &amp; Assumptions'!$I$30*'Model Inputs &amp; Assumptions'!$K$30*G1148,0)))</f>
        <v>6900</v>
      </c>
      <c r="J1148" s="50" t="n">
        <f aca="false">H1148*INDEX('Model Inputs &amp; Assumptions'!$D$40:$D$42,MATCH('Model Inputs &amp; Assumptions'!$L$30,'Model Inputs &amp; Assumptions'!$A$40:$A$42,0))*INDEX('Model Inputs &amp; Assumptions'!$H$40:$H$42,MATCH('Model Inputs &amp; Assumptions'!$L$30,'Model Inputs &amp; Assumptions'!$A$40:$A$42,0))</f>
        <v>409578.355974108</v>
      </c>
      <c r="K1148" s="49" t="n">
        <f aca="false">H1148*INDEX('Model Inputs &amp; Assumptions'!$G$40:$G$42,MATCH('Model Inputs &amp; Assumptions'!$L$30,'Model Inputs &amp; Assumptions'!$A$40:$A$42,0))*INDEX('Model Inputs &amp; Assumptions'!$H$40:$H$42,MATCH('Model Inputs &amp; Assumptions'!$L$30,'Model Inputs &amp; Assumptions'!$A$40:$A$42,0))</f>
        <v>9031.20274922908</v>
      </c>
      <c r="L1148" s="51" t="n">
        <f aca="false">IFERROR(K1148/I1148,0)</f>
        <v>1.30886996365639</v>
      </c>
      <c r="M1148" s="49" t="n">
        <f aca="false">IFERROR(I1148/H1148,0)</f>
        <v>121.29547197836</v>
      </c>
      <c r="N1148" s="52" t="str">
        <f aca="false">'Model Inputs &amp; Assumptions'!$L$30</f>
        <v>PRD-USIQ</v>
      </c>
      <c r="P1148" s="53" t="n">
        <v>-0.687089</v>
      </c>
      <c r="Q1148" s="53" t="n">
        <v>0.289373</v>
      </c>
      <c r="R1148" s="53" t="n">
        <v>-0.219004</v>
      </c>
      <c r="S1148" s="53" t="n">
        <v>1.529673</v>
      </c>
    </row>
    <row r="1149" customFormat="false" ht="15" hidden="false" customHeight="false" outlineLevel="0" collapsed="false">
      <c r="A1149" s="43" t="n">
        <v>146</v>
      </c>
      <c r="B1149" s="44" t="str">
        <f aca="false">'Model Inputs &amp; Assumptions'!$B$30</f>
        <v>extraETF — Newsletter Takeover</v>
      </c>
      <c r="C1149" s="45" t="n">
        <f aca="false">ROUND(MAX(0,'Model Inputs &amp; Assumptions'!$S$30*EXP('Model Inputs &amp; Assumptions'!$T$30*P1149-'Model Inputs &amp; Assumptions'!$T$30^2/2)),0)</f>
        <v>73301</v>
      </c>
      <c r="D1149" s="46" t="n">
        <f aca="false">MIN(1,'Model Inputs &amp; Assumptions'!$U$30*EXP('Model Inputs &amp; Assumptions'!$V$30*Q1149-'Model Inputs &amp; Assumptions'!$V$30^2/2))</f>
        <v>0</v>
      </c>
      <c r="E1149" s="45" t="n">
        <f aca="false">ROUND(C1149*D1149,0)</f>
        <v>0</v>
      </c>
      <c r="F1149" s="47" t="n">
        <f aca="false">MIN(1,'Model Inputs &amp; Assumptions'!$W$30*EXP('Model Inputs &amp; Assumptions'!$X$30*R1149-'Model Inputs &amp; Assumptions'!$X$30^2/2))</f>
        <v>0.00773919627429781</v>
      </c>
      <c r="G1149" s="45" t="n">
        <f aca="false">ROUND(C1149*F1149,0)</f>
        <v>567</v>
      </c>
      <c r="H1149" s="48" t="n">
        <f aca="false">MAX(0,(C1149*'Model Inputs &amp; Assumptions'!$N$30+E1149*'Model Inputs &amp; Assumptions'!$O$30+G1149*'Model Inputs &amp; Assumptions'!$P$30)*EXP('Model Inputs &amp; Assumptions'!$Q$30*S1149-'Model Inputs &amp; Assumptions'!$Q$30^2/2))</f>
        <v>29.1889085997429</v>
      </c>
      <c r="I1149" s="49" t="n">
        <f aca="false">IF('Model Inputs &amp; Assumptions'!$H$30="Fixed",'Model Inputs &amp; Assumptions'!$I$30*'Model Inputs &amp; Assumptions'!$K$30,IF('Model Inputs &amp; Assumptions'!$H$30="CPM",'Model Inputs &amp; Assumptions'!$I$30*'Model Inputs &amp; Assumptions'!$K$30*C1149/1000,IF('Model Inputs &amp; Assumptions'!$H$30="CPC",'Model Inputs &amp; Assumptions'!$I$30*'Model Inputs &amp; Assumptions'!$K$30*G1149,0)))</f>
        <v>6900</v>
      </c>
      <c r="J1149" s="50" t="n">
        <f aca="false">H1149*INDEX('Model Inputs &amp; Assumptions'!$D$40:$D$42,MATCH('Model Inputs &amp; Assumptions'!$L$30,'Model Inputs &amp; Assumptions'!$A$40:$A$42,0))*INDEX('Model Inputs &amp; Assumptions'!$H$40:$H$42,MATCH('Model Inputs &amp; Assumptions'!$L$30,'Model Inputs &amp; Assumptions'!$A$40:$A$42,0))</f>
        <v>210160.141918149</v>
      </c>
      <c r="K1149" s="49" t="n">
        <f aca="false">H1149*INDEX('Model Inputs &amp; Assumptions'!$G$40:$G$42,MATCH('Model Inputs &amp; Assumptions'!$L$30,'Model Inputs &amp; Assumptions'!$A$40:$A$42,0))*INDEX('Model Inputs &amp; Assumptions'!$H$40:$H$42,MATCH('Model Inputs &amp; Assumptions'!$L$30,'Model Inputs &amp; Assumptions'!$A$40:$A$42,0))</f>
        <v>4634.03112929518</v>
      </c>
      <c r="L1149" s="51" t="n">
        <f aca="false">IFERROR(K1149/I1149,0)</f>
        <v>0.671598714390606</v>
      </c>
      <c r="M1149" s="49" t="n">
        <f aca="false">IFERROR(I1149/H1149,0)</f>
        <v>236.391161266673</v>
      </c>
      <c r="N1149" s="52" t="str">
        <f aca="false">'Model Inputs &amp; Assumptions'!$L$30</f>
        <v>PRD-USIQ</v>
      </c>
      <c r="P1149" s="53" t="n">
        <v>-1.462968</v>
      </c>
      <c r="Q1149" s="53" t="n">
        <v>0.58227</v>
      </c>
      <c r="R1149" s="53" t="n">
        <v>-0.145958</v>
      </c>
      <c r="S1149" s="53" t="n">
        <v>-0.80781</v>
      </c>
    </row>
    <row r="1150" customFormat="false" ht="15" hidden="false" customHeight="false" outlineLevel="0" collapsed="false">
      <c r="A1150" s="43" t="n">
        <v>147</v>
      </c>
      <c r="B1150" s="44" t="str">
        <f aca="false">'Model Inputs &amp; Assumptions'!$B$30</f>
        <v>extraETF — Newsletter Takeover</v>
      </c>
      <c r="C1150" s="45" t="n">
        <f aca="false">ROUND(MAX(0,'Model Inputs &amp; Assumptions'!$S$30*EXP('Model Inputs &amp; Assumptions'!$T$30*P1150-'Model Inputs &amp; Assumptions'!$T$30^2/2)),0)</f>
        <v>88085</v>
      </c>
      <c r="D1150" s="46" t="n">
        <f aca="false">MIN(1,'Model Inputs &amp; Assumptions'!$U$30*EXP('Model Inputs &amp; Assumptions'!$V$30*Q1150-'Model Inputs &amp; Assumptions'!$V$30^2/2))</f>
        <v>0</v>
      </c>
      <c r="E1150" s="45" t="n">
        <f aca="false">ROUND(C1150*D1150,0)</f>
        <v>0</v>
      </c>
      <c r="F1150" s="47" t="n">
        <f aca="false">MIN(1,'Model Inputs &amp; Assumptions'!$W$30*EXP('Model Inputs &amp; Assumptions'!$X$30*R1150-'Model Inputs &amp; Assumptions'!$X$30^2/2))</f>
        <v>0.00757620141666834</v>
      </c>
      <c r="G1150" s="45" t="n">
        <f aca="false">ROUND(C1150*F1150,0)</f>
        <v>667</v>
      </c>
      <c r="H1150" s="48" t="n">
        <f aca="false">MAX(0,(C1150*'Model Inputs &amp; Assumptions'!$N$30+E1150*'Model Inputs &amp; Assumptions'!$O$30+G1150*'Model Inputs &amp; Assumptions'!$P$30)*EXP('Model Inputs &amp; Assumptions'!$Q$30*S1150-'Model Inputs &amp; Assumptions'!$Q$30^2/2))</f>
        <v>42.9463768220617</v>
      </c>
      <c r="I1150" s="49" t="n">
        <f aca="false">IF('Model Inputs &amp; Assumptions'!$H$30="Fixed",'Model Inputs &amp; Assumptions'!$I$30*'Model Inputs &amp; Assumptions'!$K$30,IF('Model Inputs &amp; Assumptions'!$H$30="CPM",'Model Inputs &amp; Assumptions'!$I$30*'Model Inputs &amp; Assumptions'!$K$30*C1150/1000,IF('Model Inputs &amp; Assumptions'!$H$30="CPC",'Model Inputs &amp; Assumptions'!$I$30*'Model Inputs &amp; Assumptions'!$K$30*G1150,0)))</f>
        <v>6900</v>
      </c>
      <c r="J1150" s="50" t="n">
        <f aca="false">H1150*INDEX('Model Inputs &amp; Assumptions'!$D$40:$D$42,MATCH('Model Inputs &amp; Assumptions'!$L$30,'Model Inputs &amp; Assumptions'!$A$40:$A$42,0))*INDEX('Model Inputs &amp; Assumptions'!$H$40:$H$42,MATCH('Model Inputs &amp; Assumptions'!$L$30,'Model Inputs &amp; Assumptions'!$A$40:$A$42,0))</f>
        <v>309213.913118844</v>
      </c>
      <c r="K1150" s="49" t="n">
        <f aca="false">H1150*INDEX('Model Inputs &amp; Assumptions'!$G$40:$G$42,MATCH('Model Inputs &amp; Assumptions'!$L$30,'Model Inputs &amp; Assumptions'!$A$40:$A$42,0))*INDEX('Model Inputs &amp; Assumptions'!$H$40:$H$42,MATCH('Model Inputs &amp; Assumptions'!$L$30,'Model Inputs &amp; Assumptions'!$A$40:$A$42,0))</f>
        <v>6818.16678427052</v>
      </c>
      <c r="L1150" s="51" t="n">
        <f aca="false">IFERROR(K1150/I1150,0)</f>
        <v>0.988140113662394</v>
      </c>
      <c r="M1150" s="49" t="n">
        <f aca="false">IFERROR(I1150/H1150,0)</f>
        <v>160.665474263138</v>
      </c>
      <c r="N1150" s="52" t="str">
        <f aca="false">'Model Inputs &amp; Assumptions'!$L$30</f>
        <v>PRD-USIQ</v>
      </c>
      <c r="P1150" s="53" t="n">
        <v>0.068055</v>
      </c>
      <c r="Q1150" s="53" t="n">
        <v>-0.593689</v>
      </c>
      <c r="R1150" s="53" t="n">
        <v>-0.287864</v>
      </c>
      <c r="S1150" s="53" t="n">
        <v>0.087121</v>
      </c>
    </row>
    <row r="1151" customFormat="false" ht="15" hidden="false" customHeight="false" outlineLevel="0" collapsed="false">
      <c r="A1151" s="43" t="n">
        <v>148</v>
      </c>
      <c r="B1151" s="44" t="str">
        <f aca="false">'Model Inputs &amp; Assumptions'!$B$30</f>
        <v>extraETF — Newsletter Takeover</v>
      </c>
      <c r="C1151" s="45" t="n">
        <f aca="false">ROUND(MAX(0,'Model Inputs &amp; Assumptions'!$S$30*EXP('Model Inputs &amp; Assumptions'!$T$30*P1151-'Model Inputs &amp; Assumptions'!$T$30^2/2)),0)</f>
        <v>104618</v>
      </c>
      <c r="D1151" s="46" t="n">
        <f aca="false">MIN(1,'Model Inputs &amp; Assumptions'!$U$30*EXP('Model Inputs &amp; Assumptions'!$V$30*Q1151-'Model Inputs &amp; Assumptions'!$V$30^2/2))</f>
        <v>0</v>
      </c>
      <c r="E1151" s="45" t="n">
        <f aca="false">ROUND(C1151*D1151,0)</f>
        <v>0</v>
      </c>
      <c r="F1151" s="47" t="n">
        <f aca="false">MIN(1,'Model Inputs &amp; Assumptions'!$W$30*EXP('Model Inputs &amp; Assumptions'!$X$30*R1151-'Model Inputs &amp; Assumptions'!$X$30^2/2))</f>
        <v>0.00661930177068334</v>
      </c>
      <c r="G1151" s="45" t="n">
        <f aca="false">ROUND(C1151*F1151,0)</f>
        <v>692</v>
      </c>
      <c r="H1151" s="48" t="n">
        <f aca="false">MAX(0,(C1151*'Model Inputs &amp; Assumptions'!$N$30+E1151*'Model Inputs &amp; Assumptions'!$O$30+G1151*'Model Inputs &amp; Assumptions'!$P$30)*EXP('Model Inputs &amp; Assumptions'!$Q$30*S1151-'Model Inputs &amp; Assumptions'!$Q$30^2/2))</f>
        <v>50.3282825554436</v>
      </c>
      <c r="I1151" s="49" t="n">
        <f aca="false">IF('Model Inputs &amp; Assumptions'!$H$30="Fixed",'Model Inputs &amp; Assumptions'!$I$30*'Model Inputs &amp; Assumptions'!$K$30,IF('Model Inputs &amp; Assumptions'!$H$30="CPM",'Model Inputs &amp; Assumptions'!$I$30*'Model Inputs &amp; Assumptions'!$K$30*C1151/1000,IF('Model Inputs &amp; Assumptions'!$H$30="CPC",'Model Inputs &amp; Assumptions'!$I$30*'Model Inputs &amp; Assumptions'!$K$30*G1151,0)))</f>
        <v>6900</v>
      </c>
      <c r="J1151" s="50" t="n">
        <f aca="false">H1151*INDEX('Model Inputs &amp; Assumptions'!$D$40:$D$42,MATCH('Model Inputs &amp; Assumptions'!$L$30,'Model Inputs &amp; Assumptions'!$A$40:$A$42,0))*INDEX('Model Inputs &amp; Assumptions'!$H$40:$H$42,MATCH('Model Inputs &amp; Assumptions'!$L$30,'Model Inputs &amp; Assumptions'!$A$40:$A$42,0))</f>
        <v>362363.634399194</v>
      </c>
      <c r="K1151" s="49" t="n">
        <f aca="false">H1151*INDEX('Model Inputs &amp; Assumptions'!$G$40:$G$42,MATCH('Model Inputs &amp; Assumptions'!$L$30,'Model Inputs &amp; Assumptions'!$A$40:$A$42,0))*INDEX('Model Inputs &amp; Assumptions'!$H$40:$H$42,MATCH('Model Inputs &amp; Assumptions'!$L$30,'Model Inputs &amp; Assumptions'!$A$40:$A$42,0))</f>
        <v>7990.11813850223</v>
      </c>
      <c r="L1151" s="51" t="n">
        <f aca="false">IFERROR(K1151/I1151,0)</f>
        <v>1.15798813601482</v>
      </c>
      <c r="M1151" s="49" t="n">
        <f aca="false">IFERROR(I1151/H1151,0)</f>
        <v>137.0998502164</v>
      </c>
      <c r="N1151" s="52" t="str">
        <f aca="false">'Model Inputs &amp; Assumptions'!$L$30</f>
        <v>PRD-USIQ</v>
      </c>
      <c r="P1151" s="53" t="n">
        <v>1.501457</v>
      </c>
      <c r="Q1151" s="53" t="n">
        <v>-0.456702</v>
      </c>
      <c r="R1151" s="53" t="n">
        <v>-1.188011</v>
      </c>
      <c r="S1151" s="53" t="n">
        <v>0.574397</v>
      </c>
    </row>
    <row r="1152" customFormat="false" ht="15" hidden="false" customHeight="false" outlineLevel="0" collapsed="false">
      <c r="A1152" s="43" t="n">
        <v>149</v>
      </c>
      <c r="B1152" s="44" t="str">
        <f aca="false">'Model Inputs &amp; Assumptions'!$B$30</f>
        <v>extraETF — Newsletter Takeover</v>
      </c>
      <c r="C1152" s="45" t="n">
        <f aca="false">ROUND(MAX(0,'Model Inputs &amp; Assumptions'!$S$30*EXP('Model Inputs &amp; Assumptions'!$T$30*P1152-'Model Inputs &amp; Assumptions'!$T$30^2/2)),0)</f>
        <v>102915</v>
      </c>
      <c r="D1152" s="46" t="n">
        <f aca="false">MIN(1,'Model Inputs &amp; Assumptions'!$U$30*EXP('Model Inputs &amp; Assumptions'!$V$30*Q1152-'Model Inputs &amp; Assumptions'!$V$30^2/2))</f>
        <v>0</v>
      </c>
      <c r="E1152" s="45" t="n">
        <f aca="false">ROUND(C1152*D1152,0)</f>
        <v>0</v>
      </c>
      <c r="F1152" s="47" t="n">
        <f aca="false">MIN(1,'Model Inputs &amp; Assumptions'!$W$30*EXP('Model Inputs &amp; Assumptions'!$X$30*R1152-'Model Inputs &amp; Assumptions'!$X$30^2/2))</f>
        <v>0.00776220537540346</v>
      </c>
      <c r="G1152" s="45" t="n">
        <f aca="false">ROUND(C1152*F1152,0)</f>
        <v>799</v>
      </c>
      <c r="H1152" s="48" t="n">
        <f aca="false">MAX(0,(C1152*'Model Inputs &amp; Assumptions'!$N$30+E1152*'Model Inputs &amp; Assumptions'!$O$30+G1152*'Model Inputs &amp; Assumptions'!$P$30)*EXP('Model Inputs &amp; Assumptions'!$Q$30*S1152-'Model Inputs &amp; Assumptions'!$Q$30^2/2))</f>
        <v>31.9812785627393</v>
      </c>
      <c r="I1152" s="49" t="n">
        <f aca="false">IF('Model Inputs &amp; Assumptions'!$H$30="Fixed",'Model Inputs &amp; Assumptions'!$I$30*'Model Inputs &amp; Assumptions'!$K$30,IF('Model Inputs &amp; Assumptions'!$H$30="CPM",'Model Inputs &amp; Assumptions'!$I$30*'Model Inputs &amp; Assumptions'!$K$30*C1152/1000,IF('Model Inputs &amp; Assumptions'!$H$30="CPC",'Model Inputs &amp; Assumptions'!$I$30*'Model Inputs &amp; Assumptions'!$K$30*G1152,0)))</f>
        <v>6900</v>
      </c>
      <c r="J1152" s="50" t="n">
        <f aca="false">H1152*INDEX('Model Inputs &amp; Assumptions'!$D$40:$D$42,MATCH('Model Inputs &amp; Assumptions'!$L$30,'Model Inputs &amp; Assumptions'!$A$40:$A$42,0))*INDEX('Model Inputs &amp; Assumptions'!$H$40:$H$42,MATCH('Model Inputs &amp; Assumptions'!$L$30,'Model Inputs &amp; Assumptions'!$A$40:$A$42,0))</f>
        <v>230265.205651723</v>
      </c>
      <c r="K1152" s="49" t="n">
        <f aca="false">H1152*INDEX('Model Inputs &amp; Assumptions'!$G$40:$G$42,MATCH('Model Inputs &amp; Assumptions'!$L$30,'Model Inputs &amp; Assumptions'!$A$40:$A$42,0))*INDEX('Model Inputs &amp; Assumptions'!$H$40:$H$42,MATCH('Model Inputs &amp; Assumptions'!$L$30,'Model Inputs &amp; Assumptions'!$A$40:$A$42,0))</f>
        <v>5077.34778462049</v>
      </c>
      <c r="L1152" s="51" t="n">
        <f aca="false">IFERROR(K1152/I1152,0)</f>
        <v>0.735847505017462</v>
      </c>
      <c r="M1152" s="49" t="n">
        <f aca="false">IFERROR(I1152/H1152,0)</f>
        <v>215.751224156468</v>
      </c>
      <c r="N1152" s="52" t="str">
        <f aca="false">'Model Inputs &amp; Assumptions'!$L$30</f>
        <v>PRD-USIQ</v>
      </c>
      <c r="P1152" s="53" t="n">
        <v>1.36471</v>
      </c>
      <c r="Q1152" s="53" t="n">
        <v>0.50657</v>
      </c>
      <c r="R1152" s="53" t="n">
        <v>-0.126167</v>
      </c>
      <c r="S1152" s="53" t="n">
        <v>-1.814369</v>
      </c>
    </row>
    <row r="1153" customFormat="false" ht="15" hidden="false" customHeight="false" outlineLevel="0" collapsed="false">
      <c r="A1153" s="43" t="n">
        <v>150</v>
      </c>
      <c r="B1153" s="44" t="str">
        <f aca="false">'Model Inputs &amp; Assumptions'!$B$30</f>
        <v>extraETF — Newsletter Takeover</v>
      </c>
      <c r="C1153" s="45" t="n">
        <f aca="false">ROUND(MAX(0,'Model Inputs &amp; Assumptions'!$S$30*EXP('Model Inputs &amp; Assumptions'!$T$30*P1153-'Model Inputs &amp; Assumptions'!$T$30^2/2)),0)</f>
        <v>102554</v>
      </c>
      <c r="D1153" s="46" t="n">
        <f aca="false">MIN(1,'Model Inputs &amp; Assumptions'!$U$30*EXP('Model Inputs &amp; Assumptions'!$V$30*Q1153-'Model Inputs &amp; Assumptions'!$V$30^2/2))</f>
        <v>0</v>
      </c>
      <c r="E1153" s="45" t="n">
        <f aca="false">ROUND(C1153*D1153,0)</f>
        <v>0</v>
      </c>
      <c r="F1153" s="47" t="n">
        <f aca="false">MIN(1,'Model Inputs &amp; Assumptions'!$W$30*EXP('Model Inputs &amp; Assumptions'!$X$30*R1153-'Model Inputs &amp; Assumptions'!$X$30^2/2))</f>
        <v>0.00687963048329745</v>
      </c>
      <c r="G1153" s="45" t="n">
        <f aca="false">ROUND(C1153*F1153,0)</f>
        <v>706</v>
      </c>
      <c r="H1153" s="48" t="n">
        <f aca="false">MAX(0,(C1153*'Model Inputs &amp; Assumptions'!$N$30+E1153*'Model Inputs &amp; Assumptions'!$O$30+G1153*'Model Inputs &amp; Assumptions'!$P$30)*EXP('Model Inputs &amp; Assumptions'!$Q$30*S1153-'Model Inputs &amp; Assumptions'!$Q$30^2/2))</f>
        <v>29.6517153899729</v>
      </c>
      <c r="I1153" s="49" t="n">
        <f aca="false">IF('Model Inputs &amp; Assumptions'!$H$30="Fixed",'Model Inputs &amp; Assumptions'!$I$30*'Model Inputs &amp; Assumptions'!$K$30,IF('Model Inputs &amp; Assumptions'!$H$30="CPM",'Model Inputs &amp; Assumptions'!$I$30*'Model Inputs &amp; Assumptions'!$K$30*C1153/1000,IF('Model Inputs &amp; Assumptions'!$H$30="CPC",'Model Inputs &amp; Assumptions'!$I$30*'Model Inputs &amp; Assumptions'!$K$30*G1153,0)))</f>
        <v>6900</v>
      </c>
      <c r="J1153" s="50" t="n">
        <f aca="false">H1153*INDEX('Model Inputs &amp; Assumptions'!$D$40:$D$42,MATCH('Model Inputs &amp; Assumptions'!$L$30,'Model Inputs &amp; Assumptions'!$A$40:$A$42,0))*INDEX('Model Inputs &amp; Assumptions'!$H$40:$H$42,MATCH('Model Inputs &amp; Assumptions'!$L$30,'Model Inputs &amp; Assumptions'!$A$40:$A$42,0))</f>
        <v>213492.350807805</v>
      </c>
      <c r="K1153" s="49" t="n">
        <f aca="false">H1153*INDEX('Model Inputs &amp; Assumptions'!$G$40:$G$42,MATCH('Model Inputs &amp; Assumptions'!$L$30,'Model Inputs &amp; Assumptions'!$A$40:$A$42,0))*INDEX('Model Inputs &amp; Assumptions'!$H$40:$H$42,MATCH('Model Inputs &amp; Assumptions'!$L$30,'Model Inputs &amp; Assumptions'!$A$40:$A$42,0))</f>
        <v>4707.5063353121</v>
      </c>
      <c r="L1153" s="51" t="n">
        <f aca="false">IFERROR(K1153/I1153,0)</f>
        <v>0.682247294972768</v>
      </c>
      <c r="M1153" s="49" t="n">
        <f aca="false">IFERROR(I1153/H1153,0)</f>
        <v>232.701545568366</v>
      </c>
      <c r="N1153" s="52" t="str">
        <f aca="false">'Model Inputs &amp; Assumptions'!$L$30</f>
        <v>PRD-USIQ</v>
      </c>
      <c r="P1153" s="53" t="n">
        <v>1.335421</v>
      </c>
      <c r="Q1153" s="53" t="n">
        <v>1.717551</v>
      </c>
      <c r="R1153" s="53" t="n">
        <v>-0.930844</v>
      </c>
      <c r="S1153" s="53" t="n">
        <v>-1.621909</v>
      </c>
    </row>
    <row r="1154" customFormat="false" ht="15" hidden="false" customHeight="false" outlineLevel="0" collapsed="false">
      <c r="A1154" s="43" t="n">
        <v>151</v>
      </c>
      <c r="B1154" s="44" t="str">
        <f aca="false">'Model Inputs &amp; Assumptions'!$B$30</f>
        <v>extraETF — Newsletter Takeover</v>
      </c>
      <c r="C1154" s="45" t="n">
        <f aca="false">ROUND(MAX(0,'Model Inputs &amp; Assumptions'!$S$30*EXP('Model Inputs &amp; Assumptions'!$T$30*P1154-'Model Inputs &amp; Assumptions'!$T$30^2/2)),0)</f>
        <v>76482</v>
      </c>
      <c r="D1154" s="46" t="n">
        <f aca="false">MIN(1,'Model Inputs &amp; Assumptions'!$U$30*EXP('Model Inputs &amp; Assumptions'!$V$30*Q1154-'Model Inputs &amp; Assumptions'!$V$30^2/2))</f>
        <v>0</v>
      </c>
      <c r="E1154" s="45" t="n">
        <f aca="false">ROUND(C1154*D1154,0)</f>
        <v>0</v>
      </c>
      <c r="F1154" s="47" t="n">
        <f aca="false">MIN(1,'Model Inputs &amp; Assumptions'!$W$30*EXP('Model Inputs &amp; Assumptions'!$X$30*R1154-'Model Inputs &amp; Assumptions'!$X$30^2/2))</f>
        <v>0.00654712742040005</v>
      </c>
      <c r="G1154" s="45" t="n">
        <f aca="false">ROUND(C1154*F1154,0)</f>
        <v>501</v>
      </c>
      <c r="H1154" s="48" t="n">
        <f aca="false">MAX(0,(C1154*'Model Inputs &amp; Assumptions'!$N$30+E1154*'Model Inputs &amp; Assumptions'!$O$30+G1154*'Model Inputs &amp; Assumptions'!$P$30)*EXP('Model Inputs &amp; Assumptions'!$Q$30*S1154-'Model Inputs &amp; Assumptions'!$Q$30^2/2))</f>
        <v>38.2507279704399</v>
      </c>
      <c r="I1154" s="49" t="n">
        <f aca="false">IF('Model Inputs &amp; Assumptions'!$H$30="Fixed",'Model Inputs &amp; Assumptions'!$I$30*'Model Inputs &amp; Assumptions'!$K$30,IF('Model Inputs &amp; Assumptions'!$H$30="CPM",'Model Inputs &amp; Assumptions'!$I$30*'Model Inputs &amp; Assumptions'!$K$30*C1154/1000,IF('Model Inputs &amp; Assumptions'!$H$30="CPC",'Model Inputs &amp; Assumptions'!$I$30*'Model Inputs &amp; Assumptions'!$K$30*G1154,0)))</f>
        <v>6900</v>
      </c>
      <c r="J1154" s="50" t="n">
        <f aca="false">H1154*INDEX('Model Inputs &amp; Assumptions'!$D$40:$D$42,MATCH('Model Inputs &amp; Assumptions'!$L$30,'Model Inputs &amp; Assumptions'!$A$40:$A$42,0))*INDEX('Model Inputs &amp; Assumptions'!$H$40:$H$42,MATCH('Model Inputs &amp; Assumptions'!$L$30,'Model Inputs &amp; Assumptions'!$A$40:$A$42,0))</f>
        <v>275405.241387167</v>
      </c>
      <c r="K1154" s="49" t="n">
        <f aca="false">H1154*INDEX('Model Inputs &amp; Assumptions'!$G$40:$G$42,MATCH('Model Inputs &amp; Assumptions'!$L$30,'Model Inputs &amp; Assumptions'!$A$40:$A$42,0))*INDEX('Model Inputs &amp; Assumptions'!$H$40:$H$42,MATCH('Model Inputs &amp; Assumptions'!$L$30,'Model Inputs &amp; Assumptions'!$A$40:$A$42,0))</f>
        <v>6072.68557258703</v>
      </c>
      <c r="L1154" s="51" t="n">
        <f aca="false">IFERROR(K1154/I1154,0)</f>
        <v>0.880099358345947</v>
      </c>
      <c r="M1154" s="49" t="n">
        <f aca="false">IFERROR(I1154/H1154,0)</f>
        <v>180.388723721345</v>
      </c>
      <c r="N1154" s="52" t="str">
        <f aca="false">'Model Inputs &amp; Assumptions'!$L$30</f>
        <v>PRD-USIQ</v>
      </c>
      <c r="P1154" s="53" t="n">
        <v>-1.109013</v>
      </c>
      <c r="Q1154" s="53" t="n">
        <v>0.211218</v>
      </c>
      <c r="R1154" s="53" t="n">
        <v>-1.261101</v>
      </c>
      <c r="S1154" s="53" t="n">
        <v>0.768698</v>
      </c>
    </row>
    <row r="1155" customFormat="false" ht="15" hidden="false" customHeight="false" outlineLevel="0" collapsed="false">
      <c r="A1155" s="43" t="n">
        <v>152</v>
      </c>
      <c r="B1155" s="44" t="str">
        <f aca="false">'Model Inputs &amp; Assumptions'!$B$30</f>
        <v>extraETF — Newsletter Takeover</v>
      </c>
      <c r="C1155" s="45" t="n">
        <f aca="false">ROUND(MAX(0,'Model Inputs &amp; Assumptions'!$S$30*EXP('Model Inputs &amp; Assumptions'!$T$30*P1155-'Model Inputs &amp; Assumptions'!$T$30^2/2)),0)</f>
        <v>73190</v>
      </c>
      <c r="D1155" s="46" t="n">
        <f aca="false">MIN(1,'Model Inputs &amp; Assumptions'!$U$30*EXP('Model Inputs &amp; Assumptions'!$V$30*Q1155-'Model Inputs &amp; Assumptions'!$V$30^2/2))</f>
        <v>0</v>
      </c>
      <c r="E1155" s="45" t="n">
        <f aca="false">ROUND(C1155*D1155,0)</f>
        <v>0</v>
      </c>
      <c r="F1155" s="47" t="n">
        <f aca="false">MIN(1,'Model Inputs &amp; Assumptions'!$W$30*EXP('Model Inputs &amp; Assumptions'!$X$30*R1155-'Model Inputs &amp; Assumptions'!$X$30^2/2))</f>
        <v>0.0072971830613789</v>
      </c>
      <c r="G1155" s="45" t="n">
        <f aca="false">ROUND(C1155*F1155,0)</f>
        <v>534</v>
      </c>
      <c r="H1155" s="48" t="n">
        <f aca="false">MAX(0,(C1155*'Model Inputs &amp; Assumptions'!$N$30+E1155*'Model Inputs &amp; Assumptions'!$O$30+G1155*'Model Inputs &amp; Assumptions'!$P$30)*EXP('Model Inputs &amp; Assumptions'!$Q$30*S1155-'Model Inputs &amp; Assumptions'!$Q$30^2/2))</f>
        <v>18.0021794275267</v>
      </c>
      <c r="I1155" s="49" t="n">
        <f aca="false">IF('Model Inputs &amp; Assumptions'!$H$30="Fixed",'Model Inputs &amp; Assumptions'!$I$30*'Model Inputs &amp; Assumptions'!$K$30,IF('Model Inputs &amp; Assumptions'!$H$30="CPM",'Model Inputs &amp; Assumptions'!$I$30*'Model Inputs &amp; Assumptions'!$K$30*C1155/1000,IF('Model Inputs &amp; Assumptions'!$H$30="CPC",'Model Inputs &amp; Assumptions'!$I$30*'Model Inputs &amp; Assumptions'!$K$30*G1155,0)))</f>
        <v>6900</v>
      </c>
      <c r="J1155" s="50" t="n">
        <f aca="false">H1155*INDEX('Model Inputs &amp; Assumptions'!$D$40:$D$42,MATCH('Model Inputs &amp; Assumptions'!$L$30,'Model Inputs &amp; Assumptions'!$A$40:$A$42,0))*INDEX('Model Inputs &amp; Assumptions'!$H$40:$H$42,MATCH('Model Inputs &amp; Assumptions'!$L$30,'Model Inputs &amp; Assumptions'!$A$40:$A$42,0))</f>
        <v>129615.691878192</v>
      </c>
      <c r="K1155" s="49" t="n">
        <f aca="false">H1155*INDEX('Model Inputs &amp; Assumptions'!$G$40:$G$42,MATCH('Model Inputs &amp; Assumptions'!$L$30,'Model Inputs &amp; Assumptions'!$A$40:$A$42,0))*INDEX('Model Inputs &amp; Assumptions'!$H$40:$H$42,MATCH('Model Inputs &amp; Assumptions'!$L$30,'Model Inputs &amp; Assumptions'!$A$40:$A$42,0))</f>
        <v>2858.02600591414</v>
      </c>
      <c r="L1155" s="51" t="n">
        <f aca="false">IFERROR(K1155/I1155,0)</f>
        <v>0.414206667523788</v>
      </c>
      <c r="M1155" s="49" t="n">
        <f aca="false">IFERROR(I1155/H1155,0)</f>
        <v>383.286925218031</v>
      </c>
      <c r="N1155" s="52" t="str">
        <f aca="false">'Model Inputs &amp; Assumptions'!$L$30</f>
        <v>PRD-USIQ</v>
      </c>
      <c r="P1155" s="53" t="n">
        <v>-1.47568</v>
      </c>
      <c r="Q1155" s="53" t="n">
        <v>0.120633</v>
      </c>
      <c r="R1155" s="53" t="n">
        <v>-0.538021</v>
      </c>
      <c r="S1155" s="53" t="n">
        <v>-2.50114</v>
      </c>
    </row>
    <row r="1156" customFormat="false" ht="15" hidden="false" customHeight="false" outlineLevel="0" collapsed="false">
      <c r="A1156" s="43" t="n">
        <v>153</v>
      </c>
      <c r="B1156" s="44" t="str">
        <f aca="false">'Model Inputs &amp; Assumptions'!$B$30</f>
        <v>extraETF — Newsletter Takeover</v>
      </c>
      <c r="C1156" s="45" t="n">
        <f aca="false">ROUND(MAX(0,'Model Inputs &amp; Assumptions'!$S$30*EXP('Model Inputs &amp; Assumptions'!$T$30*P1156-'Model Inputs &amp; Assumptions'!$T$30^2/2)),0)</f>
        <v>78990</v>
      </c>
      <c r="D1156" s="46" t="n">
        <f aca="false">MIN(1,'Model Inputs &amp; Assumptions'!$U$30*EXP('Model Inputs &amp; Assumptions'!$V$30*Q1156-'Model Inputs &amp; Assumptions'!$V$30^2/2))</f>
        <v>0</v>
      </c>
      <c r="E1156" s="45" t="n">
        <f aca="false">ROUND(C1156*D1156,0)</f>
        <v>0</v>
      </c>
      <c r="F1156" s="47" t="n">
        <f aca="false">MIN(1,'Model Inputs &amp; Assumptions'!$W$30*EXP('Model Inputs &amp; Assumptions'!$X$30*R1156-'Model Inputs &amp; Assumptions'!$X$30^2/2))</f>
        <v>0.00782004486442756</v>
      </c>
      <c r="G1156" s="45" t="n">
        <f aca="false">ROUND(C1156*F1156,0)</f>
        <v>618</v>
      </c>
      <c r="H1156" s="48" t="n">
        <f aca="false">MAX(0,(C1156*'Model Inputs &amp; Assumptions'!$N$30+E1156*'Model Inputs &amp; Assumptions'!$O$30+G1156*'Model Inputs &amp; Assumptions'!$P$30)*EXP('Model Inputs &amp; Assumptions'!$Q$30*S1156-'Model Inputs &amp; Assumptions'!$Q$30^2/2))</f>
        <v>64.8271630483914</v>
      </c>
      <c r="I1156" s="49" t="n">
        <f aca="false">IF('Model Inputs &amp; Assumptions'!$H$30="Fixed",'Model Inputs &amp; Assumptions'!$I$30*'Model Inputs &amp; Assumptions'!$K$30,IF('Model Inputs &amp; Assumptions'!$H$30="CPM",'Model Inputs &amp; Assumptions'!$I$30*'Model Inputs &amp; Assumptions'!$K$30*C1156/1000,IF('Model Inputs &amp; Assumptions'!$H$30="CPC",'Model Inputs &amp; Assumptions'!$I$30*'Model Inputs &amp; Assumptions'!$K$30*G1156,0)))</f>
        <v>6900</v>
      </c>
      <c r="J1156" s="50" t="n">
        <f aca="false">H1156*INDEX('Model Inputs &amp; Assumptions'!$D$40:$D$42,MATCH('Model Inputs &amp; Assumptions'!$L$30,'Model Inputs &amp; Assumptions'!$A$40:$A$42,0))*INDEX('Model Inputs &amp; Assumptions'!$H$40:$H$42,MATCH('Model Inputs &amp; Assumptions'!$L$30,'Model Inputs &amp; Assumptions'!$A$40:$A$42,0))</f>
        <v>466755.573948418</v>
      </c>
      <c r="K1156" s="49" t="n">
        <f aca="false">H1156*INDEX('Model Inputs &amp; Assumptions'!$G$40:$G$42,MATCH('Model Inputs &amp; Assumptions'!$L$30,'Model Inputs &amp; Assumptions'!$A$40:$A$42,0))*INDEX('Model Inputs &amp; Assumptions'!$H$40:$H$42,MATCH('Model Inputs &amp; Assumptions'!$L$30,'Model Inputs &amp; Assumptions'!$A$40:$A$42,0))</f>
        <v>10291.9604055626</v>
      </c>
      <c r="L1156" s="51" t="n">
        <f aca="false">IFERROR(K1156/I1156,0)</f>
        <v>1.49158846457429</v>
      </c>
      <c r="M1156" s="49" t="n">
        <f aca="false">IFERROR(I1156/H1156,0)</f>
        <v>106.436864973551</v>
      </c>
      <c r="N1156" s="52" t="str">
        <f aca="false">'Model Inputs &amp; Assumptions'!$L$30</f>
        <v>PRD-USIQ</v>
      </c>
      <c r="P1156" s="53" t="n">
        <v>-0.840155</v>
      </c>
      <c r="Q1156" s="53" t="n">
        <v>-0.724143</v>
      </c>
      <c r="R1156" s="53" t="n">
        <v>-0.076675</v>
      </c>
      <c r="S1156" s="53" t="n">
        <v>2.039417</v>
      </c>
    </row>
    <row r="1157" customFormat="false" ht="15" hidden="false" customHeight="false" outlineLevel="0" collapsed="false">
      <c r="A1157" s="43" t="n">
        <v>154</v>
      </c>
      <c r="B1157" s="44" t="str">
        <f aca="false">'Model Inputs &amp; Assumptions'!$B$30</f>
        <v>extraETF — Newsletter Takeover</v>
      </c>
      <c r="C1157" s="45" t="n">
        <f aca="false">ROUND(MAX(0,'Model Inputs &amp; Assumptions'!$S$30*EXP('Model Inputs &amp; Assumptions'!$T$30*P1157-'Model Inputs &amp; Assumptions'!$T$30^2/2)),0)</f>
        <v>84880</v>
      </c>
      <c r="D1157" s="46" t="n">
        <f aca="false">MIN(1,'Model Inputs &amp; Assumptions'!$U$30*EXP('Model Inputs &amp; Assumptions'!$V$30*Q1157-'Model Inputs &amp; Assumptions'!$V$30^2/2))</f>
        <v>0</v>
      </c>
      <c r="E1157" s="45" t="n">
        <f aca="false">ROUND(C1157*D1157,0)</f>
        <v>0</v>
      </c>
      <c r="F1157" s="47" t="n">
        <f aca="false">MIN(1,'Model Inputs &amp; Assumptions'!$W$30*EXP('Model Inputs &amp; Assumptions'!$X$30*R1157-'Model Inputs &amp; Assumptions'!$X$30^2/2))</f>
        <v>0.00805181991019521</v>
      </c>
      <c r="G1157" s="45" t="n">
        <f aca="false">ROUND(C1157*F1157,0)</f>
        <v>683</v>
      </c>
      <c r="H1157" s="48" t="n">
        <f aca="false">MAX(0,(C1157*'Model Inputs &amp; Assumptions'!$N$30+E1157*'Model Inputs &amp; Assumptions'!$O$30+G1157*'Model Inputs &amp; Assumptions'!$P$30)*EXP('Model Inputs &amp; Assumptions'!$Q$30*S1157-'Model Inputs &amp; Assumptions'!$Q$30^2/2))</f>
        <v>38.1335548965259</v>
      </c>
      <c r="I1157" s="49" t="n">
        <f aca="false">IF('Model Inputs &amp; Assumptions'!$H$30="Fixed",'Model Inputs &amp; Assumptions'!$I$30*'Model Inputs &amp; Assumptions'!$K$30,IF('Model Inputs &amp; Assumptions'!$H$30="CPM",'Model Inputs &amp; Assumptions'!$I$30*'Model Inputs &amp; Assumptions'!$K$30*C1157/1000,IF('Model Inputs &amp; Assumptions'!$H$30="CPC",'Model Inputs &amp; Assumptions'!$I$30*'Model Inputs &amp; Assumptions'!$K$30*G1157,0)))</f>
        <v>6900</v>
      </c>
      <c r="J1157" s="50" t="n">
        <f aca="false">H1157*INDEX('Model Inputs &amp; Assumptions'!$D$40:$D$42,MATCH('Model Inputs &amp; Assumptions'!$L$30,'Model Inputs &amp; Assumptions'!$A$40:$A$42,0))*INDEX('Model Inputs &amp; Assumptions'!$H$40:$H$42,MATCH('Model Inputs &amp; Assumptions'!$L$30,'Model Inputs &amp; Assumptions'!$A$40:$A$42,0))</f>
        <v>274561.595254987</v>
      </c>
      <c r="K1157" s="49" t="n">
        <f aca="false">H1157*INDEX('Model Inputs &amp; Assumptions'!$G$40:$G$42,MATCH('Model Inputs &amp; Assumptions'!$L$30,'Model Inputs &amp; Assumptions'!$A$40:$A$42,0))*INDEX('Model Inputs &amp; Assumptions'!$H$40:$H$42,MATCH('Model Inputs &amp; Assumptions'!$L$30,'Model Inputs &amp; Assumptions'!$A$40:$A$42,0))</f>
        <v>6054.08317537245</v>
      </c>
      <c r="L1157" s="51" t="n">
        <f aca="false">IFERROR(K1157/I1157,0)</f>
        <v>0.877403358749631</v>
      </c>
      <c r="M1157" s="49" t="n">
        <f aca="false">IFERROR(I1157/H1157,0)</f>
        <v>180.943004624744</v>
      </c>
      <c r="N1157" s="52" t="str">
        <f aca="false">'Model Inputs &amp; Assumptions'!$L$30</f>
        <v>PRD-USIQ</v>
      </c>
      <c r="P1157" s="53" t="n">
        <v>-0.240827</v>
      </c>
      <c r="Q1157" s="53" t="n">
        <v>-0.996756</v>
      </c>
      <c r="R1157" s="53" t="n">
        <v>0.118044</v>
      </c>
      <c r="S1157" s="53" t="n">
        <v>-0.483129</v>
      </c>
    </row>
    <row r="1158" customFormat="false" ht="15" hidden="false" customHeight="false" outlineLevel="0" collapsed="false">
      <c r="A1158" s="43" t="n">
        <v>155</v>
      </c>
      <c r="B1158" s="44" t="str">
        <f aca="false">'Model Inputs &amp; Assumptions'!$B$30</f>
        <v>extraETF — Newsletter Takeover</v>
      </c>
      <c r="C1158" s="45" t="n">
        <f aca="false">ROUND(MAX(0,'Model Inputs &amp; Assumptions'!$S$30*EXP('Model Inputs &amp; Assumptions'!$T$30*P1158-'Model Inputs &amp; Assumptions'!$T$30^2/2)),0)</f>
        <v>91673</v>
      </c>
      <c r="D1158" s="46" t="n">
        <f aca="false">MIN(1,'Model Inputs &amp; Assumptions'!$U$30*EXP('Model Inputs &amp; Assumptions'!$V$30*Q1158-'Model Inputs &amp; Assumptions'!$V$30^2/2))</f>
        <v>0</v>
      </c>
      <c r="E1158" s="45" t="n">
        <f aca="false">ROUND(C1158*D1158,0)</f>
        <v>0</v>
      </c>
      <c r="F1158" s="47" t="n">
        <f aca="false">MIN(1,'Model Inputs &amp; Assumptions'!$W$30*EXP('Model Inputs &amp; Assumptions'!$X$30*R1158-'Model Inputs &amp; Assumptions'!$X$30^2/2))</f>
        <v>0.00897078863768018</v>
      </c>
      <c r="G1158" s="45" t="n">
        <f aca="false">ROUND(C1158*F1158,0)</f>
        <v>822</v>
      </c>
      <c r="H1158" s="48" t="n">
        <f aca="false">MAX(0,(C1158*'Model Inputs &amp; Assumptions'!$N$30+E1158*'Model Inputs &amp; Assumptions'!$O$30+G1158*'Model Inputs &amp; Assumptions'!$P$30)*EXP('Model Inputs &amp; Assumptions'!$Q$30*S1158-'Model Inputs &amp; Assumptions'!$Q$30^2/2))</f>
        <v>35.654652240276</v>
      </c>
      <c r="I1158" s="49" t="n">
        <f aca="false">IF('Model Inputs &amp; Assumptions'!$H$30="Fixed",'Model Inputs &amp; Assumptions'!$I$30*'Model Inputs &amp; Assumptions'!$K$30,IF('Model Inputs &amp; Assumptions'!$H$30="CPM",'Model Inputs &amp; Assumptions'!$I$30*'Model Inputs &amp; Assumptions'!$K$30*C1158/1000,IF('Model Inputs &amp; Assumptions'!$H$30="CPC",'Model Inputs &amp; Assumptions'!$I$30*'Model Inputs &amp; Assumptions'!$K$30*G1158,0)))</f>
        <v>6900</v>
      </c>
      <c r="J1158" s="50" t="n">
        <f aca="false">H1158*INDEX('Model Inputs &amp; Assumptions'!$D$40:$D$42,MATCH('Model Inputs &amp; Assumptions'!$L$30,'Model Inputs &amp; Assumptions'!$A$40:$A$42,0))*INDEX('Model Inputs &amp; Assumptions'!$H$40:$H$42,MATCH('Model Inputs &amp; Assumptions'!$L$30,'Model Inputs &amp; Assumptions'!$A$40:$A$42,0))</f>
        <v>256713.496129987</v>
      </c>
      <c r="K1158" s="49" t="n">
        <f aca="false">H1158*INDEX('Model Inputs &amp; Assumptions'!$G$40:$G$42,MATCH('Model Inputs &amp; Assumptions'!$L$30,'Model Inputs &amp; Assumptions'!$A$40:$A$42,0))*INDEX('Model Inputs &amp; Assumptions'!$H$40:$H$42,MATCH('Model Inputs &amp; Assumptions'!$L$30,'Model Inputs &amp; Assumptions'!$A$40:$A$42,0))</f>
        <v>5660.53258966621</v>
      </c>
      <c r="L1158" s="51" t="n">
        <f aca="false">IFERROR(K1158/I1158,0)</f>
        <v>0.82036704198061</v>
      </c>
      <c r="M1158" s="49" t="n">
        <f aca="false">IFERROR(I1158/H1158,0)</f>
        <v>193.523132787863</v>
      </c>
      <c r="N1158" s="52" t="str">
        <f aca="false">'Model Inputs &amp; Assumptions'!$L$30</f>
        <v>PRD-USIQ</v>
      </c>
      <c r="P1158" s="53" t="n">
        <v>0.400749</v>
      </c>
      <c r="Q1158" s="53" t="n">
        <v>-0.358109</v>
      </c>
      <c r="R1158" s="53" t="n">
        <v>0.838547</v>
      </c>
      <c r="S1158" s="53" t="n">
        <v>-1.492971</v>
      </c>
    </row>
    <row r="1159" customFormat="false" ht="15" hidden="false" customHeight="false" outlineLevel="0" collapsed="false">
      <c r="A1159" s="43" t="n">
        <v>156</v>
      </c>
      <c r="B1159" s="44" t="str">
        <f aca="false">'Model Inputs &amp; Assumptions'!$B$30</f>
        <v>extraETF — Newsletter Takeover</v>
      </c>
      <c r="C1159" s="45" t="n">
        <f aca="false">ROUND(MAX(0,'Model Inputs &amp; Assumptions'!$S$30*EXP('Model Inputs &amp; Assumptions'!$T$30*P1159-'Model Inputs &amp; Assumptions'!$T$30^2/2)),0)</f>
        <v>77783</v>
      </c>
      <c r="D1159" s="46" t="n">
        <f aca="false">MIN(1,'Model Inputs &amp; Assumptions'!$U$30*EXP('Model Inputs &amp; Assumptions'!$V$30*Q1159-'Model Inputs &amp; Assumptions'!$V$30^2/2))</f>
        <v>0</v>
      </c>
      <c r="E1159" s="45" t="n">
        <f aca="false">ROUND(C1159*D1159,0)</f>
        <v>0</v>
      </c>
      <c r="F1159" s="47" t="n">
        <f aca="false">MIN(1,'Model Inputs &amp; Assumptions'!$W$30*EXP('Model Inputs &amp; Assumptions'!$X$30*R1159-'Model Inputs &amp; Assumptions'!$X$30^2/2))</f>
        <v>0.00819462983598205</v>
      </c>
      <c r="G1159" s="45" t="n">
        <f aca="false">ROUND(C1159*F1159,0)</f>
        <v>637</v>
      </c>
      <c r="H1159" s="48" t="n">
        <f aca="false">MAX(0,(C1159*'Model Inputs &amp; Assumptions'!$N$30+E1159*'Model Inputs &amp; Assumptions'!$O$30+G1159*'Model Inputs &amp; Assumptions'!$P$30)*EXP('Model Inputs &amp; Assumptions'!$Q$30*S1159-'Model Inputs &amp; Assumptions'!$Q$30^2/2))</f>
        <v>57.7639365879486</v>
      </c>
      <c r="I1159" s="49" t="n">
        <f aca="false">IF('Model Inputs &amp; Assumptions'!$H$30="Fixed",'Model Inputs &amp; Assumptions'!$I$30*'Model Inputs &amp; Assumptions'!$K$30,IF('Model Inputs &amp; Assumptions'!$H$30="CPM",'Model Inputs &amp; Assumptions'!$I$30*'Model Inputs &amp; Assumptions'!$K$30*C1159/1000,IF('Model Inputs &amp; Assumptions'!$H$30="CPC",'Model Inputs &amp; Assumptions'!$I$30*'Model Inputs &amp; Assumptions'!$K$30*G1159,0)))</f>
        <v>6900</v>
      </c>
      <c r="J1159" s="50" t="n">
        <f aca="false">H1159*INDEX('Model Inputs &amp; Assumptions'!$D$40:$D$42,MATCH('Model Inputs &amp; Assumptions'!$L$30,'Model Inputs &amp; Assumptions'!$A$40:$A$42,0))*INDEX('Model Inputs &amp; Assumptions'!$H$40:$H$42,MATCH('Model Inputs &amp; Assumptions'!$L$30,'Model Inputs &amp; Assumptions'!$A$40:$A$42,0))</f>
        <v>415900.34343323</v>
      </c>
      <c r="K1159" s="49" t="n">
        <f aca="false">H1159*INDEX('Model Inputs &amp; Assumptions'!$G$40:$G$42,MATCH('Model Inputs &amp; Assumptions'!$L$30,'Model Inputs &amp; Assumptions'!$A$40:$A$42,0))*INDEX('Model Inputs &amp; Assumptions'!$H$40:$H$42,MATCH('Model Inputs &amp; Assumptions'!$L$30,'Model Inputs &amp; Assumptions'!$A$40:$A$42,0))</f>
        <v>9170.60257270271</v>
      </c>
      <c r="L1159" s="51" t="n">
        <f aca="false">IFERROR(K1159/I1159,0)</f>
        <v>1.32907283662358</v>
      </c>
      <c r="M1159" s="49" t="n">
        <f aca="false">IFERROR(I1159/H1159,0)</f>
        <v>119.451692657657</v>
      </c>
      <c r="N1159" s="52" t="str">
        <f aca="false">'Model Inputs &amp; Assumptions'!$L$30</f>
        <v>PRD-USIQ</v>
      </c>
      <c r="P1159" s="53" t="n">
        <v>-0.968433</v>
      </c>
      <c r="Q1159" s="53" t="n">
        <v>-0.542734</v>
      </c>
      <c r="R1159" s="53" t="n">
        <v>0.23525</v>
      </c>
      <c r="S1159" s="53" t="n">
        <v>1.456852</v>
      </c>
    </row>
    <row r="1160" customFormat="false" ht="15" hidden="false" customHeight="false" outlineLevel="0" collapsed="false">
      <c r="A1160" s="43" t="n">
        <v>157</v>
      </c>
      <c r="B1160" s="44" t="str">
        <f aca="false">'Model Inputs &amp; Assumptions'!$B$30</f>
        <v>extraETF — Newsletter Takeover</v>
      </c>
      <c r="C1160" s="45" t="n">
        <f aca="false">ROUND(MAX(0,'Model Inputs &amp; Assumptions'!$S$30*EXP('Model Inputs &amp; Assumptions'!$T$30*P1160-'Model Inputs &amp; Assumptions'!$T$30^2/2)),0)</f>
        <v>90790</v>
      </c>
      <c r="D1160" s="46" t="n">
        <f aca="false">MIN(1,'Model Inputs &amp; Assumptions'!$U$30*EXP('Model Inputs &amp; Assumptions'!$V$30*Q1160-'Model Inputs &amp; Assumptions'!$V$30^2/2))</f>
        <v>0</v>
      </c>
      <c r="E1160" s="45" t="n">
        <f aca="false">ROUND(C1160*D1160,0)</f>
        <v>0</v>
      </c>
      <c r="F1160" s="47" t="n">
        <f aca="false">MIN(1,'Model Inputs &amp; Assumptions'!$W$30*EXP('Model Inputs &amp; Assumptions'!$X$30*R1160-'Model Inputs &amp; Assumptions'!$X$30^2/2))</f>
        <v>0.00753827851038643</v>
      </c>
      <c r="G1160" s="45" t="n">
        <f aca="false">ROUND(C1160*F1160,0)</f>
        <v>684</v>
      </c>
      <c r="H1160" s="48" t="n">
        <f aca="false">MAX(0,(C1160*'Model Inputs &amp; Assumptions'!$N$30+E1160*'Model Inputs &amp; Assumptions'!$O$30+G1160*'Model Inputs &amp; Assumptions'!$P$30)*EXP('Model Inputs &amp; Assumptions'!$Q$30*S1160-'Model Inputs &amp; Assumptions'!$Q$30^2/2))</f>
        <v>43.994006491426</v>
      </c>
      <c r="I1160" s="49" t="n">
        <f aca="false">IF('Model Inputs &amp; Assumptions'!$H$30="Fixed",'Model Inputs &amp; Assumptions'!$I$30*'Model Inputs &amp; Assumptions'!$K$30,IF('Model Inputs &amp; Assumptions'!$H$30="CPM",'Model Inputs &amp; Assumptions'!$I$30*'Model Inputs &amp; Assumptions'!$K$30*C1160/1000,IF('Model Inputs &amp; Assumptions'!$H$30="CPC",'Model Inputs &amp; Assumptions'!$I$30*'Model Inputs &amp; Assumptions'!$K$30*G1160,0)))</f>
        <v>6900</v>
      </c>
      <c r="J1160" s="50" t="n">
        <f aca="false">H1160*INDEX('Model Inputs &amp; Assumptions'!$D$40:$D$42,MATCH('Model Inputs &amp; Assumptions'!$L$30,'Model Inputs &amp; Assumptions'!$A$40:$A$42,0))*INDEX('Model Inputs &amp; Assumptions'!$H$40:$H$42,MATCH('Model Inputs &amp; Assumptions'!$L$30,'Model Inputs &amp; Assumptions'!$A$40:$A$42,0))</f>
        <v>316756.846738267</v>
      </c>
      <c r="K1160" s="49" t="n">
        <f aca="false">H1160*INDEX('Model Inputs &amp; Assumptions'!$G$40:$G$42,MATCH('Model Inputs &amp; Assumptions'!$L$30,'Model Inputs &amp; Assumptions'!$A$40:$A$42,0))*INDEX('Model Inputs &amp; Assumptions'!$H$40:$H$42,MATCH('Model Inputs &amp; Assumptions'!$L$30,'Model Inputs &amp; Assumptions'!$A$40:$A$42,0))</f>
        <v>6984.48847057879</v>
      </c>
      <c r="L1160" s="51" t="n">
        <f aca="false">IFERROR(K1160/I1160,0)</f>
        <v>1.01224470588098</v>
      </c>
      <c r="M1160" s="49" t="n">
        <f aca="false">IFERROR(I1160/H1160,0)</f>
        <v>156.839545890069</v>
      </c>
      <c r="N1160" s="52" t="str">
        <f aca="false">'Model Inputs &amp; Assumptions'!$L$30</f>
        <v>PRD-USIQ</v>
      </c>
      <c r="P1160" s="53" t="n">
        <v>0.32006</v>
      </c>
      <c r="Q1160" s="53" t="n">
        <v>1.010986</v>
      </c>
      <c r="R1160" s="53" t="n">
        <v>-0.321318</v>
      </c>
      <c r="S1160" s="53" t="n">
        <v>0.082854</v>
      </c>
    </row>
    <row r="1161" customFormat="false" ht="15" hidden="false" customHeight="false" outlineLevel="0" collapsed="false">
      <c r="A1161" s="43" t="n">
        <v>158</v>
      </c>
      <c r="B1161" s="44" t="str">
        <f aca="false">'Model Inputs &amp; Assumptions'!$B$30</f>
        <v>extraETF — Newsletter Takeover</v>
      </c>
      <c r="C1161" s="45" t="n">
        <f aca="false">ROUND(MAX(0,'Model Inputs &amp; Assumptions'!$S$30*EXP('Model Inputs &amp; Assumptions'!$T$30*P1161-'Model Inputs &amp; Assumptions'!$T$30^2/2)),0)</f>
        <v>75718</v>
      </c>
      <c r="D1161" s="46" t="n">
        <f aca="false">MIN(1,'Model Inputs &amp; Assumptions'!$U$30*EXP('Model Inputs &amp; Assumptions'!$V$30*Q1161-'Model Inputs &amp; Assumptions'!$V$30^2/2))</f>
        <v>0</v>
      </c>
      <c r="E1161" s="45" t="n">
        <f aca="false">ROUND(C1161*D1161,0)</f>
        <v>0</v>
      </c>
      <c r="F1161" s="47" t="n">
        <f aca="false">MIN(1,'Model Inputs &amp; Assumptions'!$W$30*EXP('Model Inputs &amp; Assumptions'!$X$30*R1161-'Model Inputs &amp; Assumptions'!$X$30^2/2))</f>
        <v>0.00566153378174974</v>
      </c>
      <c r="G1161" s="45" t="n">
        <f aca="false">ROUND(C1161*F1161,0)</f>
        <v>429</v>
      </c>
      <c r="H1161" s="48" t="n">
        <f aca="false">MAX(0,(C1161*'Model Inputs &amp; Assumptions'!$N$30+E1161*'Model Inputs &amp; Assumptions'!$O$30+G1161*'Model Inputs &amp; Assumptions'!$P$30)*EXP('Model Inputs &amp; Assumptions'!$Q$30*S1161-'Model Inputs &amp; Assumptions'!$Q$30^2/2))</f>
        <v>30.1443696113414</v>
      </c>
      <c r="I1161" s="49" t="n">
        <f aca="false">IF('Model Inputs &amp; Assumptions'!$H$30="Fixed",'Model Inputs &amp; Assumptions'!$I$30*'Model Inputs &amp; Assumptions'!$K$30,IF('Model Inputs &amp; Assumptions'!$H$30="CPM",'Model Inputs &amp; Assumptions'!$I$30*'Model Inputs &amp; Assumptions'!$K$30*C1161/1000,IF('Model Inputs &amp; Assumptions'!$H$30="CPC",'Model Inputs &amp; Assumptions'!$I$30*'Model Inputs &amp; Assumptions'!$K$30*G1161,0)))</f>
        <v>6900</v>
      </c>
      <c r="J1161" s="50" t="n">
        <f aca="false">H1161*INDEX('Model Inputs &amp; Assumptions'!$D$40:$D$42,MATCH('Model Inputs &amp; Assumptions'!$L$30,'Model Inputs &amp; Assumptions'!$A$40:$A$42,0))*INDEX('Model Inputs &amp; Assumptions'!$H$40:$H$42,MATCH('Model Inputs &amp; Assumptions'!$L$30,'Model Inputs &amp; Assumptions'!$A$40:$A$42,0))</f>
        <v>217039.461201658</v>
      </c>
      <c r="K1161" s="49" t="n">
        <f aca="false">H1161*INDEX('Model Inputs &amp; Assumptions'!$G$40:$G$42,MATCH('Model Inputs &amp; Assumptions'!$L$30,'Model Inputs &amp; Assumptions'!$A$40:$A$42,0))*INDEX('Model Inputs &amp; Assumptions'!$H$40:$H$42,MATCH('Model Inputs &amp; Assumptions'!$L$30,'Model Inputs &amp; Assumptions'!$A$40:$A$42,0))</f>
        <v>4785.72011949656</v>
      </c>
      <c r="L1161" s="51" t="n">
        <f aca="false">IFERROR(K1161/I1161,0)</f>
        <v>0.693582626013994</v>
      </c>
      <c r="M1161" s="49" t="n">
        <f aca="false">IFERROR(I1161/H1161,0)</f>
        <v>228.89846724159</v>
      </c>
      <c r="N1161" s="52" t="str">
        <f aca="false">'Model Inputs &amp; Assumptions'!$L$30</f>
        <v>PRD-USIQ</v>
      </c>
      <c r="P1161" s="53" t="n">
        <v>-1.192631</v>
      </c>
      <c r="Q1161" s="53" t="n">
        <v>0.22523</v>
      </c>
      <c r="R1161" s="53" t="n">
        <v>-2.229978</v>
      </c>
      <c r="S1161" s="53" t="n">
        <v>0.436637</v>
      </c>
    </row>
    <row r="1162" customFormat="false" ht="15" hidden="false" customHeight="false" outlineLevel="0" collapsed="false">
      <c r="A1162" s="43" t="n">
        <v>159</v>
      </c>
      <c r="B1162" s="44" t="str">
        <f aca="false">'Model Inputs &amp; Assumptions'!$B$30</f>
        <v>extraETF — Newsletter Takeover</v>
      </c>
      <c r="C1162" s="45" t="n">
        <f aca="false">ROUND(MAX(0,'Model Inputs &amp; Assumptions'!$S$30*EXP('Model Inputs &amp; Assumptions'!$T$30*P1162-'Model Inputs &amp; Assumptions'!$T$30^2/2)),0)</f>
        <v>84600</v>
      </c>
      <c r="D1162" s="46" t="n">
        <f aca="false">MIN(1,'Model Inputs &amp; Assumptions'!$U$30*EXP('Model Inputs &amp; Assumptions'!$V$30*Q1162-'Model Inputs &amp; Assumptions'!$V$30^2/2))</f>
        <v>0</v>
      </c>
      <c r="E1162" s="45" t="n">
        <f aca="false">ROUND(C1162*D1162,0)</f>
        <v>0</v>
      </c>
      <c r="F1162" s="47" t="n">
        <f aca="false">MIN(1,'Model Inputs &amp; Assumptions'!$W$30*EXP('Model Inputs &amp; Assumptions'!$X$30*R1162-'Model Inputs &amp; Assumptions'!$X$30^2/2))</f>
        <v>0.00961044417194872</v>
      </c>
      <c r="G1162" s="45" t="n">
        <f aca="false">ROUND(C1162*F1162,0)</f>
        <v>813</v>
      </c>
      <c r="H1162" s="48" t="n">
        <f aca="false">MAX(0,(C1162*'Model Inputs &amp; Assumptions'!$N$30+E1162*'Model Inputs &amp; Assumptions'!$O$30+G1162*'Model Inputs &amp; Assumptions'!$P$30)*EXP('Model Inputs &amp; Assumptions'!$Q$30*S1162-'Model Inputs &amp; Assumptions'!$Q$30^2/2))</f>
        <v>36.3089802492432</v>
      </c>
      <c r="I1162" s="49" t="n">
        <f aca="false">IF('Model Inputs &amp; Assumptions'!$H$30="Fixed",'Model Inputs &amp; Assumptions'!$I$30*'Model Inputs &amp; Assumptions'!$K$30,IF('Model Inputs &amp; Assumptions'!$H$30="CPM",'Model Inputs &amp; Assumptions'!$I$30*'Model Inputs &amp; Assumptions'!$K$30*C1162/1000,IF('Model Inputs &amp; Assumptions'!$H$30="CPC",'Model Inputs &amp; Assumptions'!$I$30*'Model Inputs &amp; Assumptions'!$K$30*G1162,0)))</f>
        <v>6900</v>
      </c>
      <c r="J1162" s="50" t="n">
        <f aca="false">H1162*INDEX('Model Inputs &amp; Assumptions'!$D$40:$D$42,MATCH('Model Inputs &amp; Assumptions'!$L$30,'Model Inputs &amp; Assumptions'!$A$40:$A$42,0))*INDEX('Model Inputs &amp; Assumptions'!$H$40:$H$42,MATCH('Model Inputs &amp; Assumptions'!$L$30,'Model Inputs &amp; Assumptions'!$A$40:$A$42,0))</f>
        <v>261424.657794551</v>
      </c>
      <c r="K1162" s="49" t="n">
        <f aca="false">H1162*INDEX('Model Inputs &amp; Assumptions'!$G$40:$G$42,MATCH('Model Inputs &amp; Assumptions'!$L$30,'Model Inputs &amp; Assumptions'!$A$40:$A$42,0))*INDEX('Model Inputs &amp; Assumptions'!$H$40:$H$42,MATCH('Model Inputs &amp; Assumptions'!$L$30,'Model Inputs &amp; Assumptions'!$A$40:$A$42,0))</f>
        <v>5764.41370436984</v>
      </c>
      <c r="L1162" s="51" t="n">
        <f aca="false">IFERROR(K1162/I1162,0)</f>
        <v>0.83542227599563</v>
      </c>
      <c r="M1162" s="49" t="n">
        <f aca="false">IFERROR(I1162/H1162,0)</f>
        <v>190.035631753768</v>
      </c>
      <c r="N1162" s="52" t="str">
        <f aca="false">'Model Inputs &amp; Assumptions'!$L$30</f>
        <v>PRD-USIQ</v>
      </c>
      <c r="P1162" s="53" t="n">
        <v>-0.268369</v>
      </c>
      <c r="Q1162" s="53" t="n">
        <v>0.631958</v>
      </c>
      <c r="R1162" s="53" t="n">
        <v>1.297726</v>
      </c>
      <c r="S1162" s="53" t="n">
        <v>-1.376192</v>
      </c>
    </row>
    <row r="1163" customFormat="false" ht="15" hidden="false" customHeight="false" outlineLevel="0" collapsed="false">
      <c r="A1163" s="43" t="n">
        <v>160</v>
      </c>
      <c r="B1163" s="44" t="str">
        <f aca="false">'Model Inputs &amp; Assumptions'!$B$30</f>
        <v>extraETF — Newsletter Takeover</v>
      </c>
      <c r="C1163" s="45" t="n">
        <f aca="false">ROUND(MAX(0,'Model Inputs &amp; Assumptions'!$S$30*EXP('Model Inputs &amp; Assumptions'!$T$30*P1163-'Model Inputs &amp; Assumptions'!$T$30^2/2)),0)</f>
        <v>73064</v>
      </c>
      <c r="D1163" s="46" t="n">
        <f aca="false">MIN(1,'Model Inputs &amp; Assumptions'!$U$30*EXP('Model Inputs &amp; Assumptions'!$V$30*Q1163-'Model Inputs &amp; Assumptions'!$V$30^2/2))</f>
        <v>0</v>
      </c>
      <c r="E1163" s="45" t="n">
        <f aca="false">ROUND(C1163*D1163,0)</f>
        <v>0</v>
      </c>
      <c r="F1163" s="47" t="n">
        <f aca="false">MIN(1,'Model Inputs &amp; Assumptions'!$W$30*EXP('Model Inputs &amp; Assumptions'!$X$30*R1163-'Model Inputs &amp; Assumptions'!$X$30^2/2))</f>
        <v>0.00603903657443299</v>
      </c>
      <c r="G1163" s="45" t="n">
        <f aca="false">ROUND(C1163*F1163,0)</f>
        <v>441</v>
      </c>
      <c r="H1163" s="48" t="n">
        <f aca="false">MAX(0,(C1163*'Model Inputs &amp; Assumptions'!$N$30+E1163*'Model Inputs &amp; Assumptions'!$O$30+G1163*'Model Inputs &amp; Assumptions'!$P$30)*EXP('Model Inputs &amp; Assumptions'!$Q$30*S1163-'Model Inputs &amp; Assumptions'!$Q$30^2/2))</f>
        <v>23.939561093582</v>
      </c>
      <c r="I1163" s="49" t="n">
        <f aca="false">IF('Model Inputs &amp; Assumptions'!$H$30="Fixed",'Model Inputs &amp; Assumptions'!$I$30*'Model Inputs &amp; Assumptions'!$K$30,IF('Model Inputs &amp; Assumptions'!$H$30="CPM",'Model Inputs &amp; Assumptions'!$I$30*'Model Inputs &amp; Assumptions'!$K$30*C1163/1000,IF('Model Inputs &amp; Assumptions'!$H$30="CPC",'Model Inputs &amp; Assumptions'!$I$30*'Model Inputs &amp; Assumptions'!$K$30*G1163,0)))</f>
        <v>6900</v>
      </c>
      <c r="J1163" s="50" t="n">
        <f aca="false">H1163*INDEX('Model Inputs &amp; Assumptions'!$D$40:$D$42,MATCH('Model Inputs &amp; Assumptions'!$L$30,'Model Inputs &amp; Assumptions'!$A$40:$A$42,0))*INDEX('Model Inputs &amp; Assumptions'!$H$40:$H$42,MATCH('Model Inputs &amp; Assumptions'!$L$30,'Model Inputs &amp; Assumptions'!$A$40:$A$42,0))</f>
        <v>172364.839873791</v>
      </c>
      <c r="K1163" s="49" t="n">
        <f aca="false">H1163*INDEX('Model Inputs &amp; Assumptions'!$G$40:$G$42,MATCH('Model Inputs &amp; Assumptions'!$L$30,'Model Inputs &amp; Assumptions'!$A$40:$A$42,0))*INDEX('Model Inputs &amp; Assumptions'!$H$40:$H$42,MATCH('Model Inputs &amp; Assumptions'!$L$30,'Model Inputs &amp; Assumptions'!$A$40:$A$42,0))</f>
        <v>3800.64471921709</v>
      </c>
      <c r="L1163" s="51" t="n">
        <f aca="false">IFERROR(K1163/I1163,0)</f>
        <v>0.550818075248853</v>
      </c>
      <c r="M1163" s="49" t="n">
        <f aca="false">IFERROR(I1163/H1163,0)</f>
        <v>288.225835596034</v>
      </c>
      <c r="N1163" s="52" t="str">
        <f aca="false">'Model Inputs &amp; Assumptions'!$L$30</f>
        <v>PRD-USIQ</v>
      </c>
      <c r="P1163" s="53" t="n">
        <v>-1.490044</v>
      </c>
      <c r="Q1163" s="53" t="n">
        <v>-0.878654</v>
      </c>
      <c r="R1163" s="53" t="n">
        <v>-1.799647</v>
      </c>
      <c r="S1163" s="53" t="n">
        <v>-0.595578</v>
      </c>
    </row>
    <row r="1164" customFormat="false" ht="15" hidden="false" customHeight="false" outlineLevel="0" collapsed="false">
      <c r="A1164" s="43" t="n">
        <v>161</v>
      </c>
      <c r="B1164" s="44" t="str">
        <f aca="false">'Model Inputs &amp; Assumptions'!$B$30</f>
        <v>extraETF — Newsletter Takeover</v>
      </c>
      <c r="C1164" s="45" t="n">
        <f aca="false">ROUND(MAX(0,'Model Inputs &amp; Assumptions'!$S$30*EXP('Model Inputs &amp; Assumptions'!$T$30*P1164-'Model Inputs &amp; Assumptions'!$T$30^2/2)),0)</f>
        <v>79481</v>
      </c>
      <c r="D1164" s="46" t="n">
        <f aca="false">MIN(1,'Model Inputs &amp; Assumptions'!$U$30*EXP('Model Inputs &amp; Assumptions'!$V$30*Q1164-'Model Inputs &amp; Assumptions'!$V$30^2/2))</f>
        <v>0</v>
      </c>
      <c r="E1164" s="45" t="n">
        <f aca="false">ROUND(C1164*D1164,0)</f>
        <v>0</v>
      </c>
      <c r="F1164" s="47" t="n">
        <f aca="false">MIN(1,'Model Inputs &amp; Assumptions'!$W$30*EXP('Model Inputs &amp; Assumptions'!$X$30*R1164-'Model Inputs &amp; Assumptions'!$X$30^2/2))</f>
        <v>0.00791264285522256</v>
      </c>
      <c r="G1164" s="45" t="n">
        <f aca="false">ROUND(C1164*F1164,0)</f>
        <v>629</v>
      </c>
      <c r="H1164" s="48" t="n">
        <f aca="false">MAX(0,(C1164*'Model Inputs &amp; Assumptions'!$N$30+E1164*'Model Inputs &amp; Assumptions'!$O$30+G1164*'Model Inputs &amp; Assumptions'!$P$30)*EXP('Model Inputs &amp; Assumptions'!$Q$30*S1164-'Model Inputs &amp; Assumptions'!$Q$30^2/2))</f>
        <v>44.2346756117169</v>
      </c>
      <c r="I1164" s="49" t="n">
        <f aca="false">IF('Model Inputs &amp; Assumptions'!$H$30="Fixed",'Model Inputs &amp; Assumptions'!$I$30*'Model Inputs &amp; Assumptions'!$K$30,IF('Model Inputs &amp; Assumptions'!$H$30="CPM",'Model Inputs &amp; Assumptions'!$I$30*'Model Inputs &amp; Assumptions'!$K$30*C1164/1000,IF('Model Inputs &amp; Assumptions'!$H$30="CPC",'Model Inputs &amp; Assumptions'!$I$30*'Model Inputs &amp; Assumptions'!$K$30*G1164,0)))</f>
        <v>6900</v>
      </c>
      <c r="J1164" s="50" t="n">
        <f aca="false">H1164*INDEX('Model Inputs &amp; Assumptions'!$D$40:$D$42,MATCH('Model Inputs &amp; Assumptions'!$L$30,'Model Inputs &amp; Assumptions'!$A$40:$A$42,0))*INDEX('Model Inputs &amp; Assumptions'!$H$40:$H$42,MATCH('Model Inputs &amp; Assumptions'!$L$30,'Model Inputs &amp; Assumptions'!$A$40:$A$42,0))</f>
        <v>318489.664404362</v>
      </c>
      <c r="K1164" s="49" t="n">
        <f aca="false">H1164*INDEX('Model Inputs &amp; Assumptions'!$G$40:$G$42,MATCH('Model Inputs &amp; Assumptions'!$L$30,'Model Inputs &amp; Assumptions'!$A$40:$A$42,0))*INDEX('Model Inputs &amp; Assumptions'!$H$40:$H$42,MATCH('Model Inputs &amp; Assumptions'!$L$30,'Model Inputs &amp; Assumptions'!$A$40:$A$42,0))</f>
        <v>7022.69710011618</v>
      </c>
      <c r="L1164" s="51" t="n">
        <f aca="false">IFERROR(K1164/I1164,0)</f>
        <v>1.01778218842263</v>
      </c>
      <c r="M1164" s="49" t="n">
        <f aca="false">IFERROR(I1164/H1164,0)</f>
        <v>155.986223580948</v>
      </c>
      <c r="N1164" s="52" t="str">
        <f aca="false">'Model Inputs &amp; Assumptions'!$L$30</f>
        <v>PRD-USIQ</v>
      </c>
      <c r="P1164" s="53" t="n">
        <v>-0.78849</v>
      </c>
      <c r="Q1164" s="53" t="n">
        <v>-1.541374</v>
      </c>
      <c r="R1164" s="53" t="n">
        <v>0.001802</v>
      </c>
      <c r="S1164" s="53" t="n">
        <v>0.439983</v>
      </c>
    </row>
    <row r="1165" customFormat="false" ht="15" hidden="false" customHeight="false" outlineLevel="0" collapsed="false">
      <c r="A1165" s="43" t="n">
        <v>162</v>
      </c>
      <c r="B1165" s="44" t="str">
        <f aca="false">'Model Inputs &amp; Assumptions'!$B$30</f>
        <v>extraETF — Newsletter Takeover</v>
      </c>
      <c r="C1165" s="45" t="n">
        <f aca="false">ROUND(MAX(0,'Model Inputs &amp; Assumptions'!$S$30*EXP('Model Inputs &amp; Assumptions'!$T$30*P1165-'Model Inputs &amp; Assumptions'!$T$30^2/2)),0)</f>
        <v>84263</v>
      </c>
      <c r="D1165" s="46" t="n">
        <f aca="false">MIN(1,'Model Inputs &amp; Assumptions'!$U$30*EXP('Model Inputs &amp; Assumptions'!$V$30*Q1165-'Model Inputs &amp; Assumptions'!$V$30^2/2))</f>
        <v>0</v>
      </c>
      <c r="E1165" s="45" t="n">
        <f aca="false">ROUND(C1165*D1165,0)</f>
        <v>0</v>
      </c>
      <c r="F1165" s="47" t="n">
        <f aca="false">MIN(1,'Model Inputs &amp; Assumptions'!$W$30*EXP('Model Inputs &amp; Assumptions'!$X$30*R1165-'Model Inputs &amp; Assumptions'!$X$30^2/2))</f>
        <v>0.0087158520436473</v>
      </c>
      <c r="G1165" s="45" t="n">
        <f aca="false">ROUND(C1165*F1165,0)</f>
        <v>734</v>
      </c>
      <c r="H1165" s="48" t="n">
        <f aca="false">MAX(0,(C1165*'Model Inputs &amp; Assumptions'!$N$30+E1165*'Model Inputs &amp; Assumptions'!$O$30+G1165*'Model Inputs &amp; Assumptions'!$P$30)*EXP('Model Inputs &amp; Assumptions'!$Q$30*S1165-'Model Inputs &amp; Assumptions'!$Q$30^2/2))</f>
        <v>59.7935484406117</v>
      </c>
      <c r="I1165" s="49" t="n">
        <f aca="false">IF('Model Inputs &amp; Assumptions'!$H$30="Fixed",'Model Inputs &amp; Assumptions'!$I$30*'Model Inputs &amp; Assumptions'!$K$30,IF('Model Inputs &amp; Assumptions'!$H$30="CPM",'Model Inputs &amp; Assumptions'!$I$30*'Model Inputs &amp; Assumptions'!$K$30*C1165/1000,IF('Model Inputs &amp; Assumptions'!$H$30="CPC",'Model Inputs &amp; Assumptions'!$I$30*'Model Inputs &amp; Assumptions'!$K$30*G1165,0)))</f>
        <v>6900</v>
      </c>
      <c r="J1165" s="50" t="n">
        <f aca="false">H1165*INDEX('Model Inputs &amp; Assumptions'!$D$40:$D$42,MATCH('Model Inputs &amp; Assumptions'!$L$30,'Model Inputs &amp; Assumptions'!$A$40:$A$42,0))*INDEX('Model Inputs &amp; Assumptions'!$H$40:$H$42,MATCH('Model Inputs &amp; Assumptions'!$L$30,'Model Inputs &amp; Assumptions'!$A$40:$A$42,0))</f>
        <v>430513.548772404</v>
      </c>
      <c r="K1165" s="49" t="n">
        <f aca="false">H1165*INDEX('Model Inputs &amp; Assumptions'!$G$40:$G$42,MATCH('Model Inputs &amp; Assumptions'!$L$30,'Model Inputs &amp; Assumptions'!$A$40:$A$42,0))*INDEX('Model Inputs &amp; Assumptions'!$H$40:$H$42,MATCH('Model Inputs &amp; Assumptions'!$L$30,'Model Inputs &amp; Assumptions'!$A$40:$A$42,0))</f>
        <v>9492.82375043152</v>
      </c>
      <c r="L1165" s="51" t="n">
        <f aca="false">IFERROR(K1165/I1165,0)</f>
        <v>1.37577155803355</v>
      </c>
      <c r="M1165" s="49" t="n">
        <f aca="false">IFERROR(I1165/H1165,0)</f>
        <v>115.397065067199</v>
      </c>
      <c r="N1165" s="52" t="str">
        <f aca="false">'Model Inputs &amp; Assumptions'!$L$30</f>
        <v>PRD-USIQ</v>
      </c>
      <c r="P1165" s="53" t="n">
        <v>-0.30157</v>
      </c>
      <c r="Q1165" s="53" t="n">
        <v>0.098644</v>
      </c>
      <c r="R1165" s="53" t="n">
        <v>0.646346</v>
      </c>
      <c r="S1165" s="53" t="n">
        <v>1.028027</v>
      </c>
    </row>
    <row r="1166" customFormat="false" ht="15" hidden="false" customHeight="false" outlineLevel="0" collapsed="false">
      <c r="A1166" s="43" t="n">
        <v>163</v>
      </c>
      <c r="B1166" s="44" t="str">
        <f aca="false">'Model Inputs &amp; Assumptions'!$B$30</f>
        <v>extraETF — Newsletter Takeover</v>
      </c>
      <c r="C1166" s="45" t="n">
        <f aca="false">ROUND(MAX(0,'Model Inputs &amp; Assumptions'!$S$30*EXP('Model Inputs &amp; Assumptions'!$T$30*P1166-'Model Inputs &amp; Assumptions'!$T$30^2/2)),0)</f>
        <v>80850</v>
      </c>
      <c r="D1166" s="46" t="n">
        <f aca="false">MIN(1,'Model Inputs &amp; Assumptions'!$U$30*EXP('Model Inputs &amp; Assumptions'!$V$30*Q1166-'Model Inputs &amp; Assumptions'!$V$30^2/2))</f>
        <v>0</v>
      </c>
      <c r="E1166" s="45" t="n">
        <f aca="false">ROUND(C1166*D1166,0)</f>
        <v>0</v>
      </c>
      <c r="F1166" s="47" t="n">
        <f aca="false">MIN(1,'Model Inputs &amp; Assumptions'!$W$30*EXP('Model Inputs &amp; Assumptions'!$X$30*R1166-'Model Inputs &amp; Assumptions'!$X$30^2/2))</f>
        <v>0.00852315597351762</v>
      </c>
      <c r="G1166" s="45" t="n">
        <f aca="false">ROUND(C1166*F1166,0)</f>
        <v>689</v>
      </c>
      <c r="H1166" s="48" t="n">
        <f aca="false">MAX(0,(C1166*'Model Inputs &amp; Assumptions'!$N$30+E1166*'Model Inputs &amp; Assumptions'!$O$30+G1166*'Model Inputs &amp; Assumptions'!$P$30)*EXP('Model Inputs &amp; Assumptions'!$Q$30*S1166-'Model Inputs &amp; Assumptions'!$Q$30^2/2))</f>
        <v>40.9370496298684</v>
      </c>
      <c r="I1166" s="49" t="n">
        <f aca="false">IF('Model Inputs &amp; Assumptions'!$H$30="Fixed",'Model Inputs &amp; Assumptions'!$I$30*'Model Inputs &amp; Assumptions'!$K$30,IF('Model Inputs &amp; Assumptions'!$H$30="CPM",'Model Inputs &amp; Assumptions'!$I$30*'Model Inputs &amp; Assumptions'!$K$30*C1166/1000,IF('Model Inputs &amp; Assumptions'!$H$30="CPC",'Model Inputs &amp; Assumptions'!$I$30*'Model Inputs &amp; Assumptions'!$K$30*G1166,0)))</f>
        <v>6900</v>
      </c>
      <c r="J1166" s="50" t="n">
        <f aca="false">H1166*INDEX('Model Inputs &amp; Assumptions'!$D$40:$D$42,MATCH('Model Inputs &amp; Assumptions'!$L$30,'Model Inputs &amp; Assumptions'!$A$40:$A$42,0))*INDEX('Model Inputs &amp; Assumptions'!$H$40:$H$42,MATCH('Model Inputs &amp; Assumptions'!$L$30,'Model Inputs &amp; Assumptions'!$A$40:$A$42,0))</f>
        <v>294746.757335052</v>
      </c>
      <c r="K1166" s="49" t="n">
        <f aca="false">H1166*INDEX('Model Inputs &amp; Assumptions'!$G$40:$G$42,MATCH('Model Inputs &amp; Assumptions'!$L$30,'Model Inputs &amp; Assumptions'!$A$40:$A$42,0))*INDEX('Model Inputs &amp; Assumptions'!$H$40:$H$42,MATCH('Model Inputs &amp; Assumptions'!$L$30,'Model Inputs &amp; Assumptions'!$A$40:$A$42,0))</f>
        <v>6499.1659992379</v>
      </c>
      <c r="L1166" s="51" t="n">
        <f aca="false">IFERROR(K1166/I1166,0)</f>
        <v>0.941908115831579</v>
      </c>
      <c r="M1166" s="49" t="n">
        <f aca="false">IFERROR(I1166/H1166,0)</f>
        <v>168.551472624096</v>
      </c>
      <c r="N1166" s="52" t="str">
        <f aca="false">'Model Inputs &amp; Assumptions'!$L$30</f>
        <v>PRD-USIQ</v>
      </c>
      <c r="P1166" s="53" t="n">
        <v>-0.646161</v>
      </c>
      <c r="Q1166" s="53" t="n">
        <v>-1.34536</v>
      </c>
      <c r="R1166" s="53" t="n">
        <v>0.497301</v>
      </c>
      <c r="S1166" s="53" t="n">
        <v>-0.234351</v>
      </c>
    </row>
    <row r="1167" customFormat="false" ht="15" hidden="false" customHeight="false" outlineLevel="0" collapsed="false">
      <c r="A1167" s="43" t="n">
        <v>164</v>
      </c>
      <c r="B1167" s="44" t="str">
        <f aca="false">'Model Inputs &amp; Assumptions'!$B$30</f>
        <v>extraETF — Newsletter Takeover</v>
      </c>
      <c r="C1167" s="45" t="n">
        <f aca="false">ROUND(MAX(0,'Model Inputs &amp; Assumptions'!$S$30*EXP('Model Inputs &amp; Assumptions'!$T$30*P1167-'Model Inputs &amp; Assumptions'!$T$30^2/2)),0)</f>
        <v>91476</v>
      </c>
      <c r="D1167" s="46" t="n">
        <f aca="false">MIN(1,'Model Inputs &amp; Assumptions'!$U$30*EXP('Model Inputs &amp; Assumptions'!$V$30*Q1167-'Model Inputs &amp; Assumptions'!$V$30^2/2))</f>
        <v>0</v>
      </c>
      <c r="E1167" s="45" t="n">
        <f aca="false">ROUND(C1167*D1167,0)</f>
        <v>0</v>
      </c>
      <c r="F1167" s="47" t="n">
        <f aca="false">MIN(1,'Model Inputs &amp; Assumptions'!$W$30*EXP('Model Inputs &amp; Assumptions'!$X$30*R1167-'Model Inputs &amp; Assumptions'!$X$30^2/2))</f>
        <v>0.00789426733040936</v>
      </c>
      <c r="G1167" s="45" t="n">
        <f aca="false">ROUND(C1167*F1167,0)</f>
        <v>722</v>
      </c>
      <c r="H1167" s="48" t="n">
        <f aca="false">MAX(0,(C1167*'Model Inputs &amp; Assumptions'!$N$30+E1167*'Model Inputs &amp; Assumptions'!$O$30+G1167*'Model Inputs &amp; Assumptions'!$P$30)*EXP('Model Inputs &amp; Assumptions'!$Q$30*S1167-'Model Inputs &amp; Assumptions'!$Q$30^2/2))</f>
        <v>64.5854323413389</v>
      </c>
      <c r="I1167" s="49" t="n">
        <f aca="false">IF('Model Inputs &amp; Assumptions'!$H$30="Fixed",'Model Inputs &amp; Assumptions'!$I$30*'Model Inputs &amp; Assumptions'!$K$30,IF('Model Inputs &amp; Assumptions'!$H$30="CPM",'Model Inputs &amp; Assumptions'!$I$30*'Model Inputs &amp; Assumptions'!$K$30*C1167/1000,IF('Model Inputs &amp; Assumptions'!$H$30="CPC",'Model Inputs &amp; Assumptions'!$I$30*'Model Inputs &amp; Assumptions'!$K$30*G1167,0)))</f>
        <v>6900</v>
      </c>
      <c r="J1167" s="50" t="n">
        <f aca="false">H1167*INDEX('Model Inputs &amp; Assumptions'!$D$40:$D$42,MATCH('Model Inputs &amp; Assumptions'!$L$30,'Model Inputs &amp; Assumptions'!$A$40:$A$42,0))*INDEX('Model Inputs &amp; Assumptions'!$H$40:$H$42,MATCH('Model Inputs &amp; Assumptions'!$L$30,'Model Inputs &amp; Assumptions'!$A$40:$A$42,0))</f>
        <v>465015.11285764</v>
      </c>
      <c r="K1167" s="49" t="n">
        <f aca="false">H1167*INDEX('Model Inputs &amp; Assumptions'!$G$40:$G$42,MATCH('Model Inputs &amp; Assumptions'!$L$30,'Model Inputs &amp; Assumptions'!$A$40:$A$42,0))*INDEX('Model Inputs &amp; Assumptions'!$H$40:$H$42,MATCH('Model Inputs &amp; Assumptions'!$L$30,'Model Inputs &amp; Assumptions'!$A$40:$A$42,0))</f>
        <v>10253.583238511</v>
      </c>
      <c r="L1167" s="51" t="n">
        <f aca="false">IFERROR(K1167/I1167,0)</f>
        <v>1.48602655630594</v>
      </c>
      <c r="M1167" s="49" t="n">
        <f aca="false">IFERROR(I1167/H1167,0)</f>
        <v>106.835237450033</v>
      </c>
      <c r="N1167" s="52" t="str">
        <f aca="false">'Model Inputs &amp; Assumptions'!$L$30</f>
        <v>PRD-USIQ</v>
      </c>
      <c r="P1167" s="53" t="n">
        <v>0.382822</v>
      </c>
      <c r="Q1167" s="53" t="n">
        <v>-0.235081</v>
      </c>
      <c r="R1167" s="53" t="n">
        <v>-0.013698</v>
      </c>
      <c r="S1167" s="53" t="n">
        <v>1.402327</v>
      </c>
    </row>
    <row r="1168" customFormat="false" ht="15" hidden="false" customHeight="false" outlineLevel="0" collapsed="false">
      <c r="A1168" s="43" t="n">
        <v>165</v>
      </c>
      <c r="B1168" s="44" t="str">
        <f aca="false">'Model Inputs &amp; Assumptions'!$B$30</f>
        <v>extraETF — Newsletter Takeover</v>
      </c>
      <c r="C1168" s="45" t="n">
        <f aca="false">ROUND(MAX(0,'Model Inputs &amp; Assumptions'!$S$30*EXP('Model Inputs &amp; Assumptions'!$T$30*P1168-'Model Inputs &amp; Assumptions'!$T$30^2/2)),0)</f>
        <v>95993</v>
      </c>
      <c r="D1168" s="46" t="n">
        <f aca="false">MIN(1,'Model Inputs &amp; Assumptions'!$U$30*EXP('Model Inputs &amp; Assumptions'!$V$30*Q1168-'Model Inputs &amp; Assumptions'!$V$30^2/2))</f>
        <v>0</v>
      </c>
      <c r="E1168" s="45" t="n">
        <f aca="false">ROUND(C1168*D1168,0)</f>
        <v>0</v>
      </c>
      <c r="F1168" s="47" t="n">
        <f aca="false">MIN(1,'Model Inputs &amp; Assumptions'!$W$30*EXP('Model Inputs &amp; Assumptions'!$X$30*R1168-'Model Inputs &amp; Assumptions'!$X$30^2/2))</f>
        <v>0.00860550523173199</v>
      </c>
      <c r="G1168" s="45" t="n">
        <f aca="false">ROUND(C1168*F1168,0)</f>
        <v>826</v>
      </c>
      <c r="H1168" s="48" t="n">
        <f aca="false">MAX(0,(C1168*'Model Inputs &amp; Assumptions'!$N$30+E1168*'Model Inputs &amp; Assumptions'!$O$30+G1168*'Model Inputs &amp; Assumptions'!$P$30)*EXP('Model Inputs &amp; Assumptions'!$Q$30*S1168-'Model Inputs &amp; Assumptions'!$Q$30^2/2))</f>
        <v>48.7724212327297</v>
      </c>
      <c r="I1168" s="49" t="n">
        <f aca="false">IF('Model Inputs &amp; Assumptions'!$H$30="Fixed",'Model Inputs &amp; Assumptions'!$I$30*'Model Inputs &amp; Assumptions'!$K$30,IF('Model Inputs &amp; Assumptions'!$H$30="CPM",'Model Inputs &amp; Assumptions'!$I$30*'Model Inputs &amp; Assumptions'!$K$30*C1168/1000,IF('Model Inputs &amp; Assumptions'!$H$30="CPC",'Model Inputs &amp; Assumptions'!$I$30*'Model Inputs &amp; Assumptions'!$K$30*G1168,0)))</f>
        <v>6900</v>
      </c>
      <c r="J1168" s="50" t="n">
        <f aca="false">H1168*INDEX('Model Inputs &amp; Assumptions'!$D$40:$D$42,MATCH('Model Inputs &amp; Assumptions'!$L$30,'Model Inputs &amp; Assumptions'!$A$40:$A$42,0))*INDEX('Model Inputs &amp; Assumptions'!$H$40:$H$42,MATCH('Model Inputs &amp; Assumptions'!$L$30,'Model Inputs &amp; Assumptions'!$A$40:$A$42,0))</f>
        <v>351161.432875654</v>
      </c>
      <c r="K1168" s="49" t="n">
        <f aca="false">H1168*INDEX('Model Inputs &amp; Assumptions'!$G$40:$G$42,MATCH('Model Inputs &amp; Assumptions'!$L$30,'Model Inputs &amp; Assumptions'!$A$40:$A$42,0))*INDEX('Model Inputs &amp; Assumptions'!$H$40:$H$42,MATCH('Model Inputs &amp; Assumptions'!$L$30,'Model Inputs &amp; Assumptions'!$A$40:$A$42,0))</f>
        <v>7743.10959490816</v>
      </c>
      <c r="L1168" s="51" t="n">
        <f aca="false">IFERROR(K1168/I1168,0)</f>
        <v>1.1221897963635</v>
      </c>
      <c r="M1168" s="49" t="n">
        <f aca="false">IFERROR(I1168/H1168,0)</f>
        <v>141.473394709583</v>
      </c>
      <c r="N1168" s="52" t="str">
        <f aca="false">'Model Inputs &amp; Assumptions'!$L$30</f>
        <v>PRD-USIQ</v>
      </c>
      <c r="P1168" s="53" t="n">
        <v>0.784503</v>
      </c>
      <c r="Q1168" s="53" t="n">
        <v>1.262732</v>
      </c>
      <c r="R1168" s="53" t="n">
        <v>0.561404</v>
      </c>
      <c r="S1168" s="53" t="n">
        <v>-0.259247</v>
      </c>
    </row>
    <row r="1169" customFormat="false" ht="15" hidden="false" customHeight="false" outlineLevel="0" collapsed="false">
      <c r="A1169" s="43" t="n">
        <v>166</v>
      </c>
      <c r="B1169" s="44" t="str">
        <f aca="false">'Model Inputs &amp; Assumptions'!$B$30</f>
        <v>extraETF — Newsletter Takeover</v>
      </c>
      <c r="C1169" s="45" t="n">
        <f aca="false">ROUND(MAX(0,'Model Inputs &amp; Assumptions'!$S$30*EXP('Model Inputs &amp; Assumptions'!$T$30*P1169-'Model Inputs &amp; Assumptions'!$T$30^2/2)),0)</f>
        <v>96342</v>
      </c>
      <c r="D1169" s="46" t="n">
        <f aca="false">MIN(1,'Model Inputs &amp; Assumptions'!$U$30*EXP('Model Inputs &amp; Assumptions'!$V$30*Q1169-'Model Inputs &amp; Assumptions'!$V$30^2/2))</f>
        <v>0</v>
      </c>
      <c r="E1169" s="45" t="n">
        <f aca="false">ROUND(C1169*D1169,0)</f>
        <v>0</v>
      </c>
      <c r="F1169" s="47" t="n">
        <f aca="false">MIN(1,'Model Inputs &amp; Assumptions'!$W$30*EXP('Model Inputs &amp; Assumptions'!$X$30*R1169-'Model Inputs &amp; Assumptions'!$X$30^2/2))</f>
        <v>0.00950941196849594</v>
      </c>
      <c r="G1169" s="45" t="n">
        <f aca="false">ROUND(C1169*F1169,0)</f>
        <v>916</v>
      </c>
      <c r="H1169" s="48" t="n">
        <f aca="false">MAX(0,(C1169*'Model Inputs &amp; Assumptions'!$N$30+E1169*'Model Inputs &amp; Assumptions'!$O$30+G1169*'Model Inputs &amp; Assumptions'!$P$30)*EXP('Model Inputs &amp; Assumptions'!$Q$30*S1169-'Model Inputs &amp; Assumptions'!$Q$30^2/2))</f>
        <v>68.1912225932251</v>
      </c>
      <c r="I1169" s="49" t="n">
        <f aca="false">IF('Model Inputs &amp; Assumptions'!$H$30="Fixed",'Model Inputs &amp; Assumptions'!$I$30*'Model Inputs &amp; Assumptions'!$K$30,IF('Model Inputs &amp; Assumptions'!$H$30="CPM",'Model Inputs &amp; Assumptions'!$I$30*'Model Inputs &amp; Assumptions'!$K$30*C1169/1000,IF('Model Inputs &amp; Assumptions'!$H$30="CPC",'Model Inputs &amp; Assumptions'!$I$30*'Model Inputs &amp; Assumptions'!$K$30*G1169,0)))</f>
        <v>6900</v>
      </c>
      <c r="J1169" s="50" t="n">
        <f aca="false">H1169*INDEX('Model Inputs &amp; Assumptions'!$D$40:$D$42,MATCH('Model Inputs &amp; Assumptions'!$L$30,'Model Inputs &amp; Assumptions'!$A$40:$A$42,0))*INDEX('Model Inputs &amp; Assumptions'!$H$40:$H$42,MATCH('Model Inputs &amp; Assumptions'!$L$30,'Model Inputs &amp; Assumptions'!$A$40:$A$42,0))</f>
        <v>490976.802671221</v>
      </c>
      <c r="K1169" s="49" t="n">
        <f aca="false">H1169*INDEX('Model Inputs &amp; Assumptions'!$G$40:$G$42,MATCH('Model Inputs &amp; Assumptions'!$L$30,'Model Inputs &amp; Assumptions'!$A$40:$A$42,0))*INDEX('Model Inputs &amp; Assumptions'!$H$40:$H$42,MATCH('Model Inputs &amp; Assumptions'!$L$30,'Model Inputs &amp; Assumptions'!$A$40:$A$42,0))</f>
        <v>10826.0384989004</v>
      </c>
      <c r="L1169" s="51" t="n">
        <f aca="false">IFERROR(K1169/I1169,0)</f>
        <v>1.56899108679716</v>
      </c>
      <c r="M1169" s="49" t="n">
        <f aca="false">IFERROR(I1169/H1169,0)</f>
        <v>101.1860432707</v>
      </c>
      <c r="N1169" s="52" t="str">
        <f aca="false">'Model Inputs &amp; Assumptions'!$L$30</f>
        <v>PRD-USIQ</v>
      </c>
      <c r="P1169" s="53" t="n">
        <v>0.814709</v>
      </c>
      <c r="Q1169" s="53" t="n">
        <v>-0.597192</v>
      </c>
      <c r="R1169" s="53" t="n">
        <v>1.22727</v>
      </c>
      <c r="S1169" s="53" t="n">
        <v>0.66767</v>
      </c>
    </row>
    <row r="1170" customFormat="false" ht="15" hidden="false" customHeight="false" outlineLevel="0" collapsed="false">
      <c r="A1170" s="43" t="n">
        <v>167</v>
      </c>
      <c r="B1170" s="44" t="str">
        <f aca="false">'Model Inputs &amp; Assumptions'!$B$30</f>
        <v>extraETF — Newsletter Takeover</v>
      </c>
      <c r="C1170" s="45" t="n">
        <f aca="false">ROUND(MAX(0,'Model Inputs &amp; Assumptions'!$S$30*EXP('Model Inputs &amp; Assumptions'!$T$30*P1170-'Model Inputs &amp; Assumptions'!$T$30^2/2)),0)</f>
        <v>74044</v>
      </c>
      <c r="D1170" s="46" t="n">
        <f aca="false">MIN(1,'Model Inputs &amp; Assumptions'!$U$30*EXP('Model Inputs &amp; Assumptions'!$V$30*Q1170-'Model Inputs &amp; Assumptions'!$V$30^2/2))</f>
        <v>0</v>
      </c>
      <c r="E1170" s="45" t="n">
        <f aca="false">ROUND(C1170*D1170,0)</f>
        <v>0</v>
      </c>
      <c r="F1170" s="47" t="n">
        <f aca="false">MIN(1,'Model Inputs &amp; Assumptions'!$W$30*EXP('Model Inputs &amp; Assumptions'!$X$30*R1170-'Model Inputs &amp; Assumptions'!$X$30^2/2))</f>
        <v>0.00815806934969446</v>
      </c>
      <c r="G1170" s="45" t="n">
        <f aca="false">ROUND(C1170*F1170,0)</f>
        <v>604</v>
      </c>
      <c r="H1170" s="48" t="n">
        <f aca="false">MAX(0,(C1170*'Model Inputs &amp; Assumptions'!$N$30+E1170*'Model Inputs &amp; Assumptions'!$O$30+G1170*'Model Inputs &amp; Assumptions'!$P$30)*EXP('Model Inputs &amp; Assumptions'!$Q$30*S1170-'Model Inputs &amp; Assumptions'!$Q$30^2/2))</f>
        <v>29.2791874841062</v>
      </c>
      <c r="I1170" s="49" t="n">
        <f aca="false">IF('Model Inputs &amp; Assumptions'!$H$30="Fixed",'Model Inputs &amp; Assumptions'!$I$30*'Model Inputs &amp; Assumptions'!$K$30,IF('Model Inputs &amp; Assumptions'!$H$30="CPM",'Model Inputs &amp; Assumptions'!$I$30*'Model Inputs &amp; Assumptions'!$K$30*C1170/1000,IF('Model Inputs &amp; Assumptions'!$H$30="CPC",'Model Inputs &amp; Assumptions'!$I$30*'Model Inputs &amp; Assumptions'!$K$30*G1170,0)))</f>
        <v>6900</v>
      </c>
      <c r="J1170" s="50" t="n">
        <f aca="false">H1170*INDEX('Model Inputs &amp; Assumptions'!$D$40:$D$42,MATCH('Model Inputs &amp; Assumptions'!$L$30,'Model Inputs &amp; Assumptions'!$A$40:$A$42,0))*INDEX('Model Inputs &amp; Assumptions'!$H$40:$H$42,MATCH('Model Inputs &amp; Assumptions'!$L$30,'Model Inputs &amp; Assumptions'!$A$40:$A$42,0))</f>
        <v>210810.149885565</v>
      </c>
      <c r="K1170" s="49" t="n">
        <f aca="false">H1170*INDEX('Model Inputs &amp; Assumptions'!$G$40:$G$42,MATCH('Model Inputs &amp; Assumptions'!$L$30,'Model Inputs &amp; Assumptions'!$A$40:$A$42,0))*INDEX('Model Inputs &amp; Assumptions'!$H$40:$H$42,MATCH('Model Inputs &amp; Assumptions'!$L$30,'Model Inputs &amp; Assumptions'!$A$40:$A$42,0))</f>
        <v>4648.3638049767</v>
      </c>
      <c r="L1170" s="51" t="n">
        <f aca="false">IFERROR(K1170/I1170,0)</f>
        <v>0.673675913764739</v>
      </c>
      <c r="M1170" s="49" t="n">
        <f aca="false">IFERROR(I1170/H1170,0)</f>
        <v>235.662277300064</v>
      </c>
      <c r="N1170" s="52" t="str">
        <f aca="false">'Model Inputs &amp; Assumptions'!$L$30</f>
        <v>PRD-USIQ</v>
      </c>
      <c r="P1170" s="53" t="n">
        <v>-1.378987</v>
      </c>
      <c r="Q1170" s="53" t="n">
        <v>-1.966426</v>
      </c>
      <c r="R1170" s="53" t="n">
        <v>0.20544</v>
      </c>
      <c r="S1170" s="53" t="n">
        <v>-1.048317</v>
      </c>
    </row>
    <row r="1171" customFormat="false" ht="15" hidden="false" customHeight="false" outlineLevel="0" collapsed="false">
      <c r="A1171" s="43" t="n">
        <v>168</v>
      </c>
      <c r="B1171" s="44" t="str">
        <f aca="false">'Model Inputs &amp; Assumptions'!$B$30</f>
        <v>extraETF — Newsletter Takeover</v>
      </c>
      <c r="C1171" s="45" t="n">
        <f aca="false">ROUND(MAX(0,'Model Inputs &amp; Assumptions'!$S$30*EXP('Model Inputs &amp; Assumptions'!$T$30*P1171-'Model Inputs &amp; Assumptions'!$T$30^2/2)),0)</f>
        <v>90942</v>
      </c>
      <c r="D1171" s="46" t="n">
        <f aca="false">MIN(1,'Model Inputs &amp; Assumptions'!$U$30*EXP('Model Inputs &amp; Assumptions'!$V$30*Q1171-'Model Inputs &amp; Assumptions'!$V$30^2/2))</f>
        <v>0</v>
      </c>
      <c r="E1171" s="45" t="n">
        <f aca="false">ROUND(C1171*D1171,0)</f>
        <v>0</v>
      </c>
      <c r="F1171" s="47" t="n">
        <f aca="false">MIN(1,'Model Inputs &amp; Assumptions'!$W$30*EXP('Model Inputs &amp; Assumptions'!$X$30*R1171-'Model Inputs &amp; Assumptions'!$X$30^2/2))</f>
        <v>0.00828785459795199</v>
      </c>
      <c r="G1171" s="45" t="n">
        <f aca="false">ROUND(C1171*F1171,0)</f>
        <v>754</v>
      </c>
      <c r="H1171" s="48" t="n">
        <f aca="false">MAX(0,(C1171*'Model Inputs &amp; Assumptions'!$N$30+E1171*'Model Inputs &amp; Assumptions'!$O$30+G1171*'Model Inputs &amp; Assumptions'!$P$30)*EXP('Model Inputs &amp; Assumptions'!$Q$30*S1171-'Model Inputs &amp; Assumptions'!$Q$30^2/2))</f>
        <v>34.7675283894425</v>
      </c>
      <c r="I1171" s="49" t="n">
        <f aca="false">IF('Model Inputs &amp; Assumptions'!$H$30="Fixed",'Model Inputs &amp; Assumptions'!$I$30*'Model Inputs &amp; Assumptions'!$K$30,IF('Model Inputs &amp; Assumptions'!$H$30="CPM",'Model Inputs &amp; Assumptions'!$I$30*'Model Inputs &amp; Assumptions'!$K$30*C1171/1000,IF('Model Inputs &amp; Assumptions'!$H$30="CPC",'Model Inputs &amp; Assumptions'!$I$30*'Model Inputs &amp; Assumptions'!$K$30*G1171,0)))</f>
        <v>6900</v>
      </c>
      <c r="J1171" s="50" t="n">
        <f aca="false">H1171*INDEX('Model Inputs &amp; Assumptions'!$D$40:$D$42,MATCH('Model Inputs &amp; Assumptions'!$L$30,'Model Inputs &amp; Assumptions'!$A$40:$A$42,0))*INDEX('Model Inputs &amp; Assumptions'!$H$40:$H$42,MATCH('Model Inputs &amp; Assumptions'!$L$30,'Model Inputs &amp; Assumptions'!$A$40:$A$42,0))</f>
        <v>250326.204403986</v>
      </c>
      <c r="K1171" s="49" t="n">
        <f aca="false">H1171*INDEX('Model Inputs &amp; Assumptions'!$G$40:$G$42,MATCH('Model Inputs &amp; Assumptions'!$L$30,'Model Inputs &amp; Assumptions'!$A$40:$A$42,0))*INDEX('Model Inputs &amp; Assumptions'!$H$40:$H$42,MATCH('Model Inputs &amp; Assumptions'!$L$30,'Model Inputs &amp; Assumptions'!$A$40:$A$42,0))</f>
        <v>5519.69280710789</v>
      </c>
      <c r="L1171" s="51" t="n">
        <f aca="false">IFERROR(K1171/I1171,0)</f>
        <v>0.799955479290998</v>
      </c>
      <c r="M1171" s="49" t="n">
        <f aca="false">IFERROR(I1171/H1171,0)</f>
        <v>198.461044533015</v>
      </c>
      <c r="N1171" s="52" t="str">
        <f aca="false">'Model Inputs &amp; Assumptions'!$L$30</f>
        <v>PRD-USIQ</v>
      </c>
      <c r="P1171" s="53" t="n">
        <v>0.33401</v>
      </c>
      <c r="Q1171" s="53" t="n">
        <v>0.331292</v>
      </c>
      <c r="R1171" s="53" t="n">
        <v>0.310664</v>
      </c>
      <c r="S1171" s="53" t="n">
        <v>-1.248362</v>
      </c>
    </row>
    <row r="1172" customFormat="false" ht="15" hidden="false" customHeight="false" outlineLevel="0" collapsed="false">
      <c r="A1172" s="43" t="n">
        <v>169</v>
      </c>
      <c r="B1172" s="44" t="str">
        <f aca="false">'Model Inputs &amp; Assumptions'!$B$30</f>
        <v>extraETF — Newsletter Takeover</v>
      </c>
      <c r="C1172" s="45" t="n">
        <f aca="false">ROUND(MAX(0,'Model Inputs &amp; Assumptions'!$S$30*EXP('Model Inputs &amp; Assumptions'!$T$30*P1172-'Model Inputs &amp; Assumptions'!$T$30^2/2)),0)</f>
        <v>73544</v>
      </c>
      <c r="D1172" s="46" t="n">
        <f aca="false">MIN(1,'Model Inputs &amp; Assumptions'!$U$30*EXP('Model Inputs &amp; Assumptions'!$V$30*Q1172-'Model Inputs &amp; Assumptions'!$V$30^2/2))</f>
        <v>0</v>
      </c>
      <c r="E1172" s="45" t="n">
        <f aca="false">ROUND(C1172*D1172,0)</f>
        <v>0</v>
      </c>
      <c r="F1172" s="47" t="n">
        <f aca="false">MIN(1,'Model Inputs &amp; Assumptions'!$W$30*EXP('Model Inputs &amp; Assumptions'!$X$30*R1172-'Model Inputs &amp; Assumptions'!$X$30^2/2))</f>
        <v>0.00820452959735039</v>
      </c>
      <c r="G1172" s="45" t="n">
        <f aca="false">ROUND(C1172*F1172,0)</f>
        <v>603</v>
      </c>
      <c r="H1172" s="48" t="n">
        <f aca="false">MAX(0,(C1172*'Model Inputs &amp; Assumptions'!$N$30+E1172*'Model Inputs &amp; Assumptions'!$O$30+G1172*'Model Inputs &amp; Assumptions'!$P$30)*EXP('Model Inputs &amp; Assumptions'!$Q$30*S1172-'Model Inputs &amp; Assumptions'!$Q$30^2/2))</f>
        <v>38.6868476257657</v>
      </c>
      <c r="I1172" s="49" t="n">
        <f aca="false">IF('Model Inputs &amp; Assumptions'!$H$30="Fixed",'Model Inputs &amp; Assumptions'!$I$30*'Model Inputs &amp; Assumptions'!$K$30,IF('Model Inputs &amp; Assumptions'!$H$30="CPM",'Model Inputs &amp; Assumptions'!$I$30*'Model Inputs &amp; Assumptions'!$K$30*C1172/1000,IF('Model Inputs &amp; Assumptions'!$H$30="CPC",'Model Inputs &amp; Assumptions'!$I$30*'Model Inputs &amp; Assumptions'!$K$30*G1172,0)))</f>
        <v>6900</v>
      </c>
      <c r="J1172" s="50" t="n">
        <f aca="false">H1172*INDEX('Model Inputs &amp; Assumptions'!$D$40:$D$42,MATCH('Model Inputs &amp; Assumptions'!$L$30,'Model Inputs &amp; Assumptions'!$A$40:$A$42,0))*INDEX('Model Inputs &amp; Assumptions'!$H$40:$H$42,MATCH('Model Inputs &amp; Assumptions'!$L$30,'Model Inputs &amp; Assumptions'!$A$40:$A$42,0))</f>
        <v>278545.302905513</v>
      </c>
      <c r="K1172" s="49" t="n">
        <f aca="false">H1172*INDEX('Model Inputs &amp; Assumptions'!$G$40:$G$42,MATCH('Model Inputs &amp; Assumptions'!$L$30,'Model Inputs &amp; Assumptions'!$A$40:$A$42,0))*INDEX('Model Inputs &amp; Assumptions'!$H$40:$H$42,MATCH('Model Inputs &amp; Assumptions'!$L$30,'Model Inputs &amp; Assumptions'!$A$40:$A$42,0))</f>
        <v>6141.92392906656</v>
      </c>
      <c r="L1172" s="51" t="n">
        <f aca="false">IFERROR(K1172/I1172,0)</f>
        <v>0.89013390276327</v>
      </c>
      <c r="M1172" s="49" t="n">
        <f aca="false">IFERROR(I1172/H1172,0)</f>
        <v>178.355188480246</v>
      </c>
      <c r="N1172" s="52" t="str">
        <f aca="false">'Model Inputs &amp; Assumptions'!$L$30</f>
        <v>PRD-USIQ</v>
      </c>
      <c r="P1172" s="53" t="n">
        <v>-1.435448</v>
      </c>
      <c r="Q1172" s="53" t="n">
        <v>-0.179972</v>
      </c>
      <c r="R1172" s="53" t="n">
        <v>0.243299</v>
      </c>
      <c r="S1172" s="53" t="n">
        <v>0.072802</v>
      </c>
    </row>
    <row r="1173" customFormat="false" ht="15" hidden="false" customHeight="false" outlineLevel="0" collapsed="false">
      <c r="A1173" s="43" t="n">
        <v>170</v>
      </c>
      <c r="B1173" s="44" t="str">
        <f aca="false">'Model Inputs &amp; Assumptions'!$B$30</f>
        <v>extraETF — Newsletter Takeover</v>
      </c>
      <c r="C1173" s="45" t="n">
        <f aca="false">ROUND(MAX(0,'Model Inputs &amp; Assumptions'!$S$30*EXP('Model Inputs &amp; Assumptions'!$T$30*P1173-'Model Inputs &amp; Assumptions'!$T$30^2/2)),0)</f>
        <v>91935</v>
      </c>
      <c r="D1173" s="46" t="n">
        <f aca="false">MIN(1,'Model Inputs &amp; Assumptions'!$U$30*EXP('Model Inputs &amp; Assumptions'!$V$30*Q1173-'Model Inputs &amp; Assumptions'!$V$30^2/2))</f>
        <v>0</v>
      </c>
      <c r="E1173" s="45" t="n">
        <f aca="false">ROUND(C1173*D1173,0)</f>
        <v>0</v>
      </c>
      <c r="F1173" s="47" t="n">
        <f aca="false">MIN(1,'Model Inputs &amp; Assumptions'!$W$30*EXP('Model Inputs &amp; Assumptions'!$X$30*R1173-'Model Inputs &amp; Assumptions'!$X$30^2/2))</f>
        <v>0.00670666220751552</v>
      </c>
      <c r="G1173" s="45" t="n">
        <f aca="false">ROUND(C1173*F1173,0)</f>
        <v>617</v>
      </c>
      <c r="H1173" s="48" t="n">
        <f aca="false">MAX(0,(C1173*'Model Inputs &amp; Assumptions'!$N$30+E1173*'Model Inputs &amp; Assumptions'!$O$30+G1173*'Model Inputs &amp; Assumptions'!$P$30)*EXP('Model Inputs &amp; Assumptions'!$Q$30*S1173-'Model Inputs &amp; Assumptions'!$Q$30^2/2))</f>
        <v>45.6210058391442</v>
      </c>
      <c r="I1173" s="49" t="n">
        <f aca="false">IF('Model Inputs &amp; Assumptions'!$H$30="Fixed",'Model Inputs &amp; Assumptions'!$I$30*'Model Inputs &amp; Assumptions'!$K$30,IF('Model Inputs &amp; Assumptions'!$H$30="CPM",'Model Inputs &amp; Assumptions'!$I$30*'Model Inputs &amp; Assumptions'!$K$30*C1173/1000,IF('Model Inputs &amp; Assumptions'!$H$30="CPC",'Model Inputs &amp; Assumptions'!$I$30*'Model Inputs &amp; Assumptions'!$K$30*G1173,0)))</f>
        <v>6900</v>
      </c>
      <c r="J1173" s="50" t="n">
        <f aca="false">H1173*INDEX('Model Inputs &amp; Assumptions'!$D$40:$D$42,MATCH('Model Inputs &amp; Assumptions'!$L$30,'Model Inputs &amp; Assumptions'!$A$40:$A$42,0))*INDEX('Model Inputs &amp; Assumptions'!$H$40:$H$42,MATCH('Model Inputs &amp; Assumptions'!$L$30,'Model Inputs &amp; Assumptions'!$A$40:$A$42,0))</f>
        <v>328471.242041838</v>
      </c>
      <c r="K1173" s="49" t="n">
        <f aca="false">H1173*INDEX('Model Inputs &amp; Assumptions'!$G$40:$G$42,MATCH('Model Inputs &amp; Assumptions'!$L$30,'Model Inputs &amp; Assumptions'!$A$40:$A$42,0))*INDEX('Model Inputs &amp; Assumptions'!$H$40:$H$42,MATCH('Model Inputs &amp; Assumptions'!$L$30,'Model Inputs &amp; Assumptions'!$A$40:$A$42,0))</f>
        <v>7242.79088702254</v>
      </c>
      <c r="L1173" s="51" t="n">
        <f aca="false">IFERROR(K1173/I1173,0)</f>
        <v>1.04967983869892</v>
      </c>
      <c r="M1173" s="49" t="n">
        <f aca="false">IFERROR(I1173/H1173,0)</f>
        <v>151.246117289233</v>
      </c>
      <c r="N1173" s="52" t="str">
        <f aca="false">'Model Inputs &amp; Assumptions'!$L$30</f>
        <v>PRD-USIQ</v>
      </c>
      <c r="P1173" s="53" t="n">
        <v>0.424586</v>
      </c>
      <c r="Q1173" s="53" t="n">
        <v>0.753708</v>
      </c>
      <c r="R1173" s="53" t="n">
        <v>-1.100601</v>
      </c>
      <c r="S1173" s="53" t="n">
        <v>0.640469</v>
      </c>
    </row>
    <row r="1174" customFormat="false" ht="15" hidden="false" customHeight="false" outlineLevel="0" collapsed="false">
      <c r="A1174" s="43" t="n">
        <v>171</v>
      </c>
      <c r="B1174" s="44" t="str">
        <f aca="false">'Model Inputs &amp; Assumptions'!$B$30</f>
        <v>extraETF — Newsletter Takeover</v>
      </c>
      <c r="C1174" s="45" t="n">
        <f aca="false">ROUND(MAX(0,'Model Inputs &amp; Assumptions'!$S$30*EXP('Model Inputs &amp; Assumptions'!$T$30*P1174-'Model Inputs &amp; Assumptions'!$T$30^2/2)),0)</f>
        <v>76570</v>
      </c>
      <c r="D1174" s="46" t="n">
        <f aca="false">MIN(1,'Model Inputs &amp; Assumptions'!$U$30*EXP('Model Inputs &amp; Assumptions'!$V$30*Q1174-'Model Inputs &amp; Assumptions'!$V$30^2/2))</f>
        <v>0</v>
      </c>
      <c r="E1174" s="45" t="n">
        <f aca="false">ROUND(C1174*D1174,0)</f>
        <v>0</v>
      </c>
      <c r="F1174" s="47" t="n">
        <f aca="false">MIN(1,'Model Inputs &amp; Assumptions'!$W$30*EXP('Model Inputs &amp; Assumptions'!$X$30*R1174-'Model Inputs &amp; Assumptions'!$X$30^2/2))</f>
        <v>0.00874638167230271</v>
      </c>
      <c r="G1174" s="45" t="n">
        <f aca="false">ROUND(C1174*F1174,0)</f>
        <v>670</v>
      </c>
      <c r="H1174" s="48" t="n">
        <f aca="false">MAX(0,(C1174*'Model Inputs &amp; Assumptions'!$N$30+E1174*'Model Inputs &amp; Assumptions'!$O$30+G1174*'Model Inputs &amp; Assumptions'!$P$30)*EXP('Model Inputs &amp; Assumptions'!$Q$30*S1174-'Model Inputs &amp; Assumptions'!$Q$30^2/2))</f>
        <v>35.0034963879458</v>
      </c>
      <c r="I1174" s="49" t="n">
        <f aca="false">IF('Model Inputs &amp; Assumptions'!$H$30="Fixed",'Model Inputs &amp; Assumptions'!$I$30*'Model Inputs &amp; Assumptions'!$K$30,IF('Model Inputs &amp; Assumptions'!$H$30="CPM",'Model Inputs &amp; Assumptions'!$I$30*'Model Inputs &amp; Assumptions'!$K$30*C1174/1000,IF('Model Inputs &amp; Assumptions'!$H$30="CPC",'Model Inputs &amp; Assumptions'!$I$30*'Model Inputs &amp; Assumptions'!$K$30*G1174,0)))</f>
        <v>6900</v>
      </c>
      <c r="J1174" s="50" t="n">
        <f aca="false">H1174*INDEX('Model Inputs &amp; Assumptions'!$D$40:$D$42,MATCH('Model Inputs &amp; Assumptions'!$L$30,'Model Inputs &amp; Assumptions'!$A$40:$A$42,0))*INDEX('Model Inputs &amp; Assumptions'!$H$40:$H$42,MATCH('Model Inputs &amp; Assumptions'!$L$30,'Model Inputs &amp; Assumptions'!$A$40:$A$42,0))</f>
        <v>252025.17399321</v>
      </c>
      <c r="K1174" s="49" t="n">
        <f aca="false">H1174*INDEX('Model Inputs &amp; Assumptions'!$G$40:$G$42,MATCH('Model Inputs &amp; Assumptions'!$L$30,'Model Inputs &amp; Assumptions'!$A$40:$A$42,0))*INDEX('Model Inputs &amp; Assumptions'!$H$40:$H$42,MATCH('Model Inputs &amp; Assumptions'!$L$30,'Model Inputs &amp; Assumptions'!$A$40:$A$42,0))</f>
        <v>5557.15508655027</v>
      </c>
      <c r="L1174" s="51" t="n">
        <f aca="false">IFERROR(K1174/I1174,0)</f>
        <v>0.805384795152214</v>
      </c>
      <c r="M1174" s="49" t="n">
        <f aca="false">IFERROR(I1174/H1174,0)</f>
        <v>197.123165169756</v>
      </c>
      <c r="N1174" s="52" t="str">
        <f aca="false">'Model Inputs &amp; Assumptions'!$L$30</f>
        <v>PRD-USIQ</v>
      </c>
      <c r="P1174" s="53" t="n">
        <v>-1.099412</v>
      </c>
      <c r="Q1174" s="53" t="n">
        <v>-0.550618</v>
      </c>
      <c r="R1174" s="53" t="n">
        <v>0.669657</v>
      </c>
      <c r="S1174" s="53" t="n">
        <v>-0.748847</v>
      </c>
    </row>
    <row r="1175" customFormat="false" ht="15" hidden="false" customHeight="false" outlineLevel="0" collapsed="false">
      <c r="A1175" s="43" t="n">
        <v>172</v>
      </c>
      <c r="B1175" s="44" t="str">
        <f aca="false">'Model Inputs &amp; Assumptions'!$B$30</f>
        <v>extraETF — Newsletter Takeover</v>
      </c>
      <c r="C1175" s="45" t="n">
        <f aca="false">ROUND(MAX(0,'Model Inputs &amp; Assumptions'!$S$30*EXP('Model Inputs &amp; Assumptions'!$T$30*P1175-'Model Inputs &amp; Assumptions'!$T$30^2/2)),0)</f>
        <v>110124</v>
      </c>
      <c r="D1175" s="46" t="n">
        <f aca="false">MIN(1,'Model Inputs &amp; Assumptions'!$U$30*EXP('Model Inputs &amp; Assumptions'!$V$30*Q1175-'Model Inputs &amp; Assumptions'!$V$30^2/2))</f>
        <v>0</v>
      </c>
      <c r="E1175" s="45" t="n">
        <f aca="false">ROUND(C1175*D1175,0)</f>
        <v>0</v>
      </c>
      <c r="F1175" s="47" t="n">
        <f aca="false">MIN(1,'Model Inputs &amp; Assumptions'!$W$30*EXP('Model Inputs &amp; Assumptions'!$X$30*R1175-'Model Inputs &amp; Assumptions'!$X$30^2/2))</f>
        <v>0.00726044877511102</v>
      </c>
      <c r="G1175" s="45" t="n">
        <f aca="false">ROUND(C1175*F1175,0)</f>
        <v>800</v>
      </c>
      <c r="H1175" s="48" t="n">
        <f aca="false">MAX(0,(C1175*'Model Inputs &amp; Assumptions'!$N$30+E1175*'Model Inputs &amp; Assumptions'!$O$30+G1175*'Model Inputs &amp; Assumptions'!$P$30)*EXP('Model Inputs &amp; Assumptions'!$Q$30*S1175-'Model Inputs &amp; Assumptions'!$Q$30^2/2))</f>
        <v>43.2520429708028</v>
      </c>
      <c r="I1175" s="49" t="n">
        <f aca="false">IF('Model Inputs &amp; Assumptions'!$H$30="Fixed",'Model Inputs &amp; Assumptions'!$I$30*'Model Inputs &amp; Assumptions'!$K$30,IF('Model Inputs &amp; Assumptions'!$H$30="CPM",'Model Inputs &amp; Assumptions'!$I$30*'Model Inputs &amp; Assumptions'!$K$30*C1175/1000,IF('Model Inputs &amp; Assumptions'!$H$30="CPC",'Model Inputs &amp; Assumptions'!$I$30*'Model Inputs &amp; Assumptions'!$K$30*G1175,0)))</f>
        <v>6900</v>
      </c>
      <c r="J1175" s="50" t="n">
        <f aca="false">H1175*INDEX('Model Inputs &amp; Assumptions'!$D$40:$D$42,MATCH('Model Inputs &amp; Assumptions'!$L$30,'Model Inputs &amp; Assumptions'!$A$40:$A$42,0))*INDEX('Model Inputs &amp; Assumptions'!$H$40:$H$42,MATCH('Model Inputs &amp; Assumptions'!$L$30,'Model Inputs &amp; Assumptions'!$A$40:$A$42,0))</f>
        <v>311414.70938978</v>
      </c>
      <c r="K1175" s="49" t="n">
        <f aca="false">H1175*INDEX('Model Inputs &amp; Assumptions'!$G$40:$G$42,MATCH('Model Inputs &amp; Assumptions'!$L$30,'Model Inputs &amp; Assumptions'!$A$40:$A$42,0))*INDEX('Model Inputs &amp; Assumptions'!$H$40:$H$42,MATCH('Model Inputs &amp; Assumptions'!$L$30,'Model Inputs &amp; Assumptions'!$A$40:$A$42,0))</f>
        <v>6866.69434204465</v>
      </c>
      <c r="L1175" s="51" t="n">
        <f aca="false">IFERROR(K1175/I1175,0)</f>
        <v>0.995173093049949</v>
      </c>
      <c r="M1175" s="49" t="n">
        <f aca="false">IFERROR(I1175/H1175,0)</f>
        <v>159.530036642612</v>
      </c>
      <c r="N1175" s="52" t="str">
        <f aca="false">'Model Inputs &amp; Assumptions'!$L$30</f>
        <v>PRD-USIQ</v>
      </c>
      <c r="P1175" s="53" t="n">
        <v>1.928953</v>
      </c>
      <c r="Q1175" s="53" t="n">
        <v>0.042874</v>
      </c>
      <c r="R1175" s="53" t="n">
        <v>-0.571666</v>
      </c>
      <c r="S1175" s="53" t="n">
        <v>-0.611797</v>
      </c>
    </row>
    <row r="1176" customFormat="false" ht="15" hidden="false" customHeight="false" outlineLevel="0" collapsed="false">
      <c r="A1176" s="43" t="n">
        <v>173</v>
      </c>
      <c r="B1176" s="44" t="str">
        <f aca="false">'Model Inputs &amp; Assumptions'!$B$30</f>
        <v>extraETF — Newsletter Takeover</v>
      </c>
      <c r="C1176" s="45" t="n">
        <f aca="false">ROUND(MAX(0,'Model Inputs &amp; Assumptions'!$S$30*EXP('Model Inputs &amp; Assumptions'!$T$30*P1176-'Model Inputs &amp; Assumptions'!$T$30^2/2)),0)</f>
        <v>89860</v>
      </c>
      <c r="D1176" s="46" t="n">
        <f aca="false">MIN(1,'Model Inputs &amp; Assumptions'!$U$30*EXP('Model Inputs &amp; Assumptions'!$V$30*Q1176-'Model Inputs &amp; Assumptions'!$V$30^2/2))</f>
        <v>0</v>
      </c>
      <c r="E1176" s="45" t="n">
        <f aca="false">ROUND(C1176*D1176,0)</f>
        <v>0</v>
      </c>
      <c r="F1176" s="47" t="n">
        <f aca="false">MIN(1,'Model Inputs &amp; Assumptions'!$W$30*EXP('Model Inputs &amp; Assumptions'!$X$30*R1176-'Model Inputs &amp; Assumptions'!$X$30^2/2))</f>
        <v>0.00941945556885591</v>
      </c>
      <c r="G1176" s="45" t="n">
        <f aca="false">ROUND(C1176*F1176,0)</f>
        <v>846</v>
      </c>
      <c r="H1176" s="48" t="n">
        <f aca="false">MAX(0,(C1176*'Model Inputs &amp; Assumptions'!$N$30+E1176*'Model Inputs &amp; Assumptions'!$O$30+G1176*'Model Inputs &amp; Assumptions'!$P$30)*EXP('Model Inputs &amp; Assumptions'!$Q$30*S1176-'Model Inputs &amp; Assumptions'!$Q$30^2/2))</f>
        <v>56.4679432213286</v>
      </c>
      <c r="I1176" s="49" t="n">
        <f aca="false">IF('Model Inputs &amp; Assumptions'!$H$30="Fixed",'Model Inputs &amp; Assumptions'!$I$30*'Model Inputs &amp; Assumptions'!$K$30,IF('Model Inputs &amp; Assumptions'!$H$30="CPM",'Model Inputs &amp; Assumptions'!$I$30*'Model Inputs &amp; Assumptions'!$K$30*C1176/1000,IF('Model Inputs &amp; Assumptions'!$H$30="CPC",'Model Inputs &amp; Assumptions'!$I$30*'Model Inputs &amp; Assumptions'!$K$30*G1176,0)))</f>
        <v>6900</v>
      </c>
      <c r="J1176" s="50" t="n">
        <f aca="false">H1176*INDEX('Model Inputs &amp; Assumptions'!$D$40:$D$42,MATCH('Model Inputs &amp; Assumptions'!$L$30,'Model Inputs &amp; Assumptions'!$A$40:$A$42,0))*INDEX('Model Inputs &amp; Assumptions'!$H$40:$H$42,MATCH('Model Inputs &amp; Assumptions'!$L$30,'Model Inputs &amp; Assumptions'!$A$40:$A$42,0))</f>
        <v>406569.191193566</v>
      </c>
      <c r="K1176" s="49" t="n">
        <f aca="false">H1176*INDEX('Model Inputs &amp; Assumptions'!$G$40:$G$42,MATCH('Model Inputs &amp; Assumptions'!$L$30,'Model Inputs &amp; Assumptions'!$A$40:$A$42,0))*INDEX('Model Inputs &amp; Assumptions'!$H$40:$H$42,MATCH('Model Inputs &amp; Assumptions'!$L$30,'Model Inputs &amp; Assumptions'!$A$40:$A$42,0))</f>
        <v>8964.85066581813</v>
      </c>
      <c r="L1176" s="51" t="n">
        <f aca="false">IFERROR(K1176/I1176,0)</f>
        <v>1.29925371968379</v>
      </c>
      <c r="M1176" s="49" t="n">
        <f aca="false">IFERROR(I1176/H1176,0)</f>
        <v>122.193223382604</v>
      </c>
      <c r="N1176" s="52" t="str">
        <f aca="false">'Model Inputs &amp; Assumptions'!$L$30</f>
        <v>PRD-USIQ</v>
      </c>
      <c r="P1176" s="53" t="n">
        <v>0.234335</v>
      </c>
      <c r="Q1176" s="53" t="n">
        <v>-1.848308</v>
      </c>
      <c r="R1176" s="53" t="n">
        <v>1.163905</v>
      </c>
      <c r="S1176" s="53" t="n">
        <v>0.231087</v>
      </c>
    </row>
    <row r="1177" customFormat="false" ht="15" hidden="false" customHeight="false" outlineLevel="0" collapsed="false">
      <c r="A1177" s="43" t="n">
        <v>174</v>
      </c>
      <c r="B1177" s="44" t="str">
        <f aca="false">'Model Inputs &amp; Assumptions'!$B$30</f>
        <v>extraETF — Newsletter Takeover</v>
      </c>
      <c r="C1177" s="45" t="n">
        <f aca="false">ROUND(MAX(0,'Model Inputs &amp; Assumptions'!$S$30*EXP('Model Inputs &amp; Assumptions'!$T$30*P1177-'Model Inputs &amp; Assumptions'!$T$30^2/2)),0)</f>
        <v>101947</v>
      </c>
      <c r="D1177" s="46" t="n">
        <f aca="false">MIN(1,'Model Inputs &amp; Assumptions'!$U$30*EXP('Model Inputs &amp; Assumptions'!$V$30*Q1177-'Model Inputs &amp; Assumptions'!$V$30^2/2))</f>
        <v>0</v>
      </c>
      <c r="E1177" s="45" t="n">
        <f aca="false">ROUND(C1177*D1177,0)</f>
        <v>0</v>
      </c>
      <c r="F1177" s="47" t="n">
        <f aca="false">MIN(1,'Model Inputs &amp; Assumptions'!$W$30*EXP('Model Inputs &amp; Assumptions'!$X$30*R1177-'Model Inputs &amp; Assumptions'!$X$30^2/2))</f>
        <v>0.00704056654222454</v>
      </c>
      <c r="G1177" s="45" t="n">
        <f aca="false">ROUND(C1177*F1177,0)</f>
        <v>718</v>
      </c>
      <c r="H1177" s="48" t="n">
        <f aca="false">MAX(0,(C1177*'Model Inputs &amp; Assumptions'!$N$30+E1177*'Model Inputs &amp; Assumptions'!$O$30+G1177*'Model Inputs &amp; Assumptions'!$P$30)*EXP('Model Inputs &amp; Assumptions'!$Q$30*S1177-'Model Inputs &amp; Assumptions'!$Q$30^2/2))</f>
        <v>51.9753885778648</v>
      </c>
      <c r="I1177" s="49" t="n">
        <f aca="false">IF('Model Inputs &amp; Assumptions'!$H$30="Fixed",'Model Inputs &amp; Assumptions'!$I$30*'Model Inputs &amp; Assumptions'!$K$30,IF('Model Inputs &amp; Assumptions'!$H$30="CPM",'Model Inputs &amp; Assumptions'!$I$30*'Model Inputs &amp; Assumptions'!$K$30*C1177/1000,IF('Model Inputs &amp; Assumptions'!$H$30="CPC",'Model Inputs &amp; Assumptions'!$I$30*'Model Inputs &amp; Assumptions'!$K$30*G1177,0)))</f>
        <v>6900</v>
      </c>
      <c r="J1177" s="50" t="n">
        <f aca="false">H1177*INDEX('Model Inputs &amp; Assumptions'!$D$40:$D$42,MATCH('Model Inputs &amp; Assumptions'!$L$30,'Model Inputs &amp; Assumptions'!$A$40:$A$42,0))*INDEX('Model Inputs &amp; Assumptions'!$H$40:$H$42,MATCH('Model Inputs &amp; Assumptions'!$L$30,'Model Inputs &amp; Assumptions'!$A$40:$A$42,0))</f>
        <v>374222.797760626</v>
      </c>
      <c r="K1177" s="49" t="n">
        <f aca="false">H1177*INDEX('Model Inputs &amp; Assumptions'!$G$40:$G$42,MATCH('Model Inputs &amp; Assumptions'!$L$30,'Model Inputs &amp; Assumptions'!$A$40:$A$42,0))*INDEX('Model Inputs &amp; Assumptions'!$H$40:$H$42,MATCH('Model Inputs &amp; Assumptions'!$L$30,'Model Inputs &amp; Assumptions'!$A$40:$A$42,0))</f>
        <v>8251.61269062181</v>
      </c>
      <c r="L1177" s="51" t="n">
        <f aca="false">IFERROR(K1177/I1177,0)</f>
        <v>1.19588589719157</v>
      </c>
      <c r="M1177" s="49" t="n">
        <f aca="false">IFERROR(I1177/H1177,0)</f>
        <v>132.7551402461</v>
      </c>
      <c r="N1177" s="52" t="str">
        <f aca="false">'Model Inputs &amp; Assumptions'!$L$30</f>
        <v>PRD-USIQ</v>
      </c>
      <c r="P1177" s="53" t="n">
        <v>1.285941</v>
      </c>
      <c r="Q1177" s="53" t="n">
        <v>0.089832</v>
      </c>
      <c r="R1177" s="53" t="n">
        <v>-0.776686</v>
      </c>
      <c r="S1177" s="53" t="n">
        <v>0.555675</v>
      </c>
    </row>
    <row r="1178" customFormat="false" ht="15" hidden="false" customHeight="false" outlineLevel="0" collapsed="false">
      <c r="A1178" s="43" t="n">
        <v>175</v>
      </c>
      <c r="B1178" s="44" t="str">
        <f aca="false">'Model Inputs &amp; Assumptions'!$B$30</f>
        <v>extraETF — Newsletter Takeover</v>
      </c>
      <c r="C1178" s="45" t="n">
        <f aca="false">ROUND(MAX(0,'Model Inputs &amp; Assumptions'!$S$30*EXP('Model Inputs &amp; Assumptions'!$T$30*P1178-'Model Inputs &amp; Assumptions'!$T$30^2/2)),0)</f>
        <v>110518</v>
      </c>
      <c r="D1178" s="46" t="n">
        <f aca="false">MIN(1,'Model Inputs &amp; Assumptions'!$U$30*EXP('Model Inputs &amp; Assumptions'!$V$30*Q1178-'Model Inputs &amp; Assumptions'!$V$30^2/2))</f>
        <v>0</v>
      </c>
      <c r="E1178" s="45" t="n">
        <f aca="false">ROUND(C1178*D1178,0)</f>
        <v>0</v>
      </c>
      <c r="F1178" s="47" t="n">
        <f aca="false">MIN(1,'Model Inputs &amp; Assumptions'!$W$30*EXP('Model Inputs &amp; Assumptions'!$X$30*R1178-'Model Inputs &amp; Assumptions'!$X$30^2/2))</f>
        <v>0.00805524467475097</v>
      </c>
      <c r="G1178" s="45" t="n">
        <f aca="false">ROUND(C1178*F1178,0)</f>
        <v>890</v>
      </c>
      <c r="H1178" s="48" t="n">
        <f aca="false">MAX(0,(C1178*'Model Inputs &amp; Assumptions'!$N$30+E1178*'Model Inputs &amp; Assumptions'!$O$30+G1178*'Model Inputs &amp; Assumptions'!$P$30)*EXP('Model Inputs &amp; Assumptions'!$Q$30*S1178-'Model Inputs &amp; Assumptions'!$Q$30^2/2))</f>
        <v>57.2915677748591</v>
      </c>
      <c r="I1178" s="49" t="n">
        <f aca="false">IF('Model Inputs &amp; Assumptions'!$H$30="Fixed",'Model Inputs &amp; Assumptions'!$I$30*'Model Inputs &amp; Assumptions'!$K$30,IF('Model Inputs &amp; Assumptions'!$H$30="CPM",'Model Inputs &amp; Assumptions'!$I$30*'Model Inputs &amp; Assumptions'!$K$30*C1178/1000,IF('Model Inputs &amp; Assumptions'!$H$30="CPC",'Model Inputs &amp; Assumptions'!$I$30*'Model Inputs &amp; Assumptions'!$K$30*G1178,0)))</f>
        <v>6900</v>
      </c>
      <c r="J1178" s="50" t="n">
        <f aca="false">H1178*INDEX('Model Inputs &amp; Assumptions'!$D$40:$D$42,MATCH('Model Inputs &amp; Assumptions'!$L$30,'Model Inputs &amp; Assumptions'!$A$40:$A$42,0))*INDEX('Model Inputs &amp; Assumptions'!$H$40:$H$42,MATCH('Model Inputs &amp; Assumptions'!$L$30,'Model Inputs &amp; Assumptions'!$A$40:$A$42,0))</f>
        <v>412499.287978985</v>
      </c>
      <c r="K1178" s="49" t="n">
        <f aca="false">H1178*INDEX('Model Inputs &amp; Assumptions'!$G$40:$G$42,MATCH('Model Inputs &amp; Assumptions'!$L$30,'Model Inputs &amp; Assumptions'!$A$40:$A$42,0))*INDEX('Model Inputs &amp; Assumptions'!$H$40:$H$42,MATCH('Model Inputs &amp; Assumptions'!$L$30,'Model Inputs &amp; Assumptions'!$A$40:$A$42,0))</f>
        <v>9095.60929993663</v>
      </c>
      <c r="L1178" s="51" t="n">
        <f aca="false">IFERROR(K1178/I1178,0)</f>
        <v>1.31820424636763</v>
      </c>
      <c r="M1178" s="49" t="n">
        <f aca="false">IFERROR(I1178/H1178,0)</f>
        <v>120.436571523321</v>
      </c>
      <c r="N1178" s="52" t="str">
        <f aca="false">'Model Inputs &amp; Assumptions'!$L$30</f>
        <v>PRD-USIQ</v>
      </c>
      <c r="P1178" s="53" t="n">
        <v>1.958652</v>
      </c>
      <c r="Q1178" s="53" t="n">
        <v>0.017491</v>
      </c>
      <c r="R1178" s="53" t="n">
        <v>0.120879</v>
      </c>
      <c r="S1178" s="53" t="n">
        <v>0.0862</v>
      </c>
    </row>
    <row r="1179" customFormat="false" ht="15" hidden="false" customHeight="false" outlineLevel="0" collapsed="false">
      <c r="A1179" s="43" t="n">
        <v>176</v>
      </c>
      <c r="B1179" s="44" t="str">
        <f aca="false">'Model Inputs &amp; Assumptions'!$B$30</f>
        <v>extraETF — Newsletter Takeover</v>
      </c>
      <c r="C1179" s="45" t="n">
        <f aca="false">ROUND(MAX(0,'Model Inputs &amp; Assumptions'!$S$30*EXP('Model Inputs &amp; Assumptions'!$T$30*P1179-'Model Inputs &amp; Assumptions'!$T$30^2/2)),0)</f>
        <v>97382</v>
      </c>
      <c r="D1179" s="46" t="n">
        <f aca="false">MIN(1,'Model Inputs &amp; Assumptions'!$U$30*EXP('Model Inputs &amp; Assumptions'!$V$30*Q1179-'Model Inputs &amp; Assumptions'!$V$30^2/2))</f>
        <v>0</v>
      </c>
      <c r="E1179" s="45" t="n">
        <f aca="false">ROUND(C1179*D1179,0)</f>
        <v>0</v>
      </c>
      <c r="F1179" s="47" t="n">
        <f aca="false">MIN(1,'Model Inputs &amp; Assumptions'!$W$30*EXP('Model Inputs &amp; Assumptions'!$X$30*R1179-'Model Inputs &amp; Assumptions'!$X$30^2/2))</f>
        <v>0.00744842120900929</v>
      </c>
      <c r="G1179" s="45" t="n">
        <f aca="false">ROUND(C1179*F1179,0)</f>
        <v>725</v>
      </c>
      <c r="H1179" s="48" t="n">
        <f aca="false">MAX(0,(C1179*'Model Inputs &amp; Assumptions'!$N$30+E1179*'Model Inputs &amp; Assumptions'!$O$30+G1179*'Model Inputs &amp; Assumptions'!$P$30)*EXP('Model Inputs &amp; Assumptions'!$Q$30*S1179-'Model Inputs &amp; Assumptions'!$Q$30^2/2))</f>
        <v>41.3496371263342</v>
      </c>
      <c r="I1179" s="49" t="n">
        <f aca="false">IF('Model Inputs &amp; Assumptions'!$H$30="Fixed",'Model Inputs &amp; Assumptions'!$I$30*'Model Inputs &amp; Assumptions'!$K$30,IF('Model Inputs &amp; Assumptions'!$H$30="CPM",'Model Inputs &amp; Assumptions'!$I$30*'Model Inputs &amp; Assumptions'!$K$30*C1179/1000,IF('Model Inputs &amp; Assumptions'!$H$30="CPC",'Model Inputs &amp; Assumptions'!$I$30*'Model Inputs &amp; Assumptions'!$K$30*G1179,0)))</f>
        <v>6900</v>
      </c>
      <c r="J1179" s="50" t="n">
        <f aca="false">H1179*INDEX('Model Inputs &amp; Assumptions'!$D$40:$D$42,MATCH('Model Inputs &amp; Assumptions'!$L$30,'Model Inputs &amp; Assumptions'!$A$40:$A$42,0))*INDEX('Model Inputs &amp; Assumptions'!$H$40:$H$42,MATCH('Model Inputs &amp; Assumptions'!$L$30,'Model Inputs &amp; Assumptions'!$A$40:$A$42,0))</f>
        <v>297717.387309606</v>
      </c>
      <c r="K1179" s="49" t="n">
        <f aca="false">H1179*INDEX('Model Inputs &amp; Assumptions'!$G$40:$G$42,MATCH('Model Inputs &amp; Assumptions'!$L$30,'Model Inputs &amp; Assumptions'!$A$40:$A$42,0))*INDEX('Model Inputs &amp; Assumptions'!$H$40:$H$42,MATCH('Model Inputs &amp; Assumptions'!$L$30,'Model Inputs &amp; Assumptions'!$A$40:$A$42,0))</f>
        <v>6564.66839017681</v>
      </c>
      <c r="L1179" s="51" t="n">
        <f aca="false">IFERROR(K1179/I1179,0)</f>
        <v>0.951401215967654</v>
      </c>
      <c r="M1179" s="49" t="n">
        <f aca="false">IFERROR(I1179/H1179,0)</f>
        <v>166.869662699062</v>
      </c>
      <c r="N1179" s="52" t="str">
        <f aca="false">'Model Inputs &amp; Assumptions'!$L$30</f>
        <v>PRD-USIQ</v>
      </c>
      <c r="P1179" s="53" t="n">
        <v>0.904191</v>
      </c>
      <c r="Q1179" s="53" t="n">
        <v>-1.511371</v>
      </c>
      <c r="R1179" s="53" t="n">
        <v>-0.401263</v>
      </c>
      <c r="S1179" s="53" t="n">
        <v>-0.39796</v>
      </c>
    </row>
    <row r="1180" customFormat="false" ht="15" hidden="false" customHeight="false" outlineLevel="0" collapsed="false">
      <c r="A1180" s="43" t="n">
        <v>177</v>
      </c>
      <c r="B1180" s="44" t="str">
        <f aca="false">'Model Inputs &amp; Assumptions'!$B$30</f>
        <v>extraETF — Newsletter Takeover</v>
      </c>
      <c r="C1180" s="45" t="n">
        <f aca="false">ROUND(MAX(0,'Model Inputs &amp; Assumptions'!$S$30*EXP('Model Inputs &amp; Assumptions'!$T$30*P1180-'Model Inputs &amp; Assumptions'!$T$30^2/2)),0)</f>
        <v>74532</v>
      </c>
      <c r="D1180" s="46" t="n">
        <f aca="false">MIN(1,'Model Inputs &amp; Assumptions'!$U$30*EXP('Model Inputs &amp; Assumptions'!$V$30*Q1180-'Model Inputs &amp; Assumptions'!$V$30^2/2))</f>
        <v>0</v>
      </c>
      <c r="E1180" s="45" t="n">
        <f aca="false">ROUND(C1180*D1180,0)</f>
        <v>0</v>
      </c>
      <c r="F1180" s="47" t="n">
        <f aca="false">MIN(1,'Model Inputs &amp; Assumptions'!$W$30*EXP('Model Inputs &amp; Assumptions'!$X$30*R1180-'Model Inputs &amp; Assumptions'!$X$30^2/2))</f>
        <v>0.00894147926767094</v>
      </c>
      <c r="G1180" s="45" t="n">
        <f aca="false">ROUND(C1180*F1180,0)</f>
        <v>666</v>
      </c>
      <c r="H1180" s="48" t="n">
        <f aca="false">MAX(0,(C1180*'Model Inputs &amp; Assumptions'!$N$30+E1180*'Model Inputs &amp; Assumptions'!$O$30+G1180*'Model Inputs &amp; Assumptions'!$P$30)*EXP('Model Inputs &amp; Assumptions'!$Q$30*S1180-'Model Inputs &amp; Assumptions'!$Q$30^2/2))</f>
        <v>47.563618960546</v>
      </c>
      <c r="I1180" s="49" t="n">
        <f aca="false">IF('Model Inputs &amp; Assumptions'!$H$30="Fixed",'Model Inputs &amp; Assumptions'!$I$30*'Model Inputs &amp; Assumptions'!$K$30,IF('Model Inputs &amp; Assumptions'!$H$30="CPM",'Model Inputs &amp; Assumptions'!$I$30*'Model Inputs &amp; Assumptions'!$K$30*C1180/1000,IF('Model Inputs &amp; Assumptions'!$H$30="CPC",'Model Inputs &amp; Assumptions'!$I$30*'Model Inputs &amp; Assumptions'!$K$30*G1180,0)))</f>
        <v>6900</v>
      </c>
      <c r="J1180" s="50" t="n">
        <f aca="false">H1180*INDEX('Model Inputs &amp; Assumptions'!$D$40:$D$42,MATCH('Model Inputs &amp; Assumptions'!$L$30,'Model Inputs &amp; Assumptions'!$A$40:$A$42,0))*INDEX('Model Inputs &amp; Assumptions'!$H$40:$H$42,MATCH('Model Inputs &amp; Assumptions'!$L$30,'Model Inputs &amp; Assumptions'!$A$40:$A$42,0))</f>
        <v>342458.056515931</v>
      </c>
      <c r="K1180" s="49" t="n">
        <f aca="false">H1180*INDEX('Model Inputs &amp; Assumptions'!$G$40:$G$42,MATCH('Model Inputs &amp; Assumptions'!$L$30,'Model Inputs &amp; Assumptions'!$A$40:$A$42,0))*INDEX('Model Inputs &amp; Assumptions'!$H$40:$H$42,MATCH('Model Inputs &amp; Assumptions'!$L$30,'Model Inputs &amp; Assumptions'!$A$40:$A$42,0))</f>
        <v>7551.20014617628</v>
      </c>
      <c r="L1180" s="51" t="n">
        <f aca="false">IFERROR(K1180/I1180,0)</f>
        <v>1.09437683277917</v>
      </c>
      <c r="M1180" s="49" t="n">
        <f aca="false">IFERROR(I1180/H1180,0)</f>
        <v>145.068860418791</v>
      </c>
      <c r="N1180" s="52" t="str">
        <f aca="false">'Model Inputs &amp; Assumptions'!$L$30</f>
        <v>PRD-USIQ</v>
      </c>
      <c r="P1180" s="53" t="n">
        <v>-1.3242</v>
      </c>
      <c r="Q1180" s="53" t="n">
        <v>1.320156</v>
      </c>
      <c r="R1180" s="53" t="n">
        <v>0.81673</v>
      </c>
      <c r="S1180" s="53" t="n">
        <v>0.501586</v>
      </c>
    </row>
    <row r="1181" customFormat="false" ht="15" hidden="false" customHeight="false" outlineLevel="0" collapsed="false">
      <c r="A1181" s="43" t="n">
        <v>178</v>
      </c>
      <c r="B1181" s="44" t="str">
        <f aca="false">'Model Inputs &amp; Assumptions'!$B$30</f>
        <v>extraETF — Newsletter Takeover</v>
      </c>
      <c r="C1181" s="45" t="n">
        <f aca="false">ROUND(MAX(0,'Model Inputs &amp; Assumptions'!$S$30*EXP('Model Inputs &amp; Assumptions'!$T$30*P1181-'Model Inputs &amp; Assumptions'!$T$30^2/2)),0)</f>
        <v>83989</v>
      </c>
      <c r="D1181" s="46" t="n">
        <f aca="false">MIN(1,'Model Inputs &amp; Assumptions'!$U$30*EXP('Model Inputs &amp; Assumptions'!$V$30*Q1181-'Model Inputs &amp; Assumptions'!$V$30^2/2))</f>
        <v>0</v>
      </c>
      <c r="E1181" s="45" t="n">
        <f aca="false">ROUND(C1181*D1181,0)</f>
        <v>0</v>
      </c>
      <c r="F1181" s="47" t="n">
        <f aca="false">MIN(1,'Model Inputs &amp; Assumptions'!$W$30*EXP('Model Inputs &amp; Assumptions'!$X$30*R1181-'Model Inputs &amp; Assumptions'!$X$30^2/2))</f>
        <v>0.00833421884270882</v>
      </c>
      <c r="G1181" s="45" t="n">
        <f aca="false">ROUND(C1181*F1181,0)</f>
        <v>700</v>
      </c>
      <c r="H1181" s="48" t="n">
        <f aca="false">MAX(0,(C1181*'Model Inputs &amp; Assumptions'!$N$30+E1181*'Model Inputs &amp; Assumptions'!$O$30+G1181*'Model Inputs &amp; Assumptions'!$P$30)*EXP('Model Inputs &amp; Assumptions'!$Q$30*S1181-'Model Inputs &amp; Assumptions'!$Q$30^2/2))</f>
        <v>34.2308856584464</v>
      </c>
      <c r="I1181" s="49" t="n">
        <f aca="false">IF('Model Inputs &amp; Assumptions'!$H$30="Fixed",'Model Inputs &amp; Assumptions'!$I$30*'Model Inputs &amp; Assumptions'!$K$30,IF('Model Inputs &amp; Assumptions'!$H$30="CPM",'Model Inputs &amp; Assumptions'!$I$30*'Model Inputs &amp; Assumptions'!$K$30*C1181/1000,IF('Model Inputs &amp; Assumptions'!$H$30="CPC",'Model Inputs &amp; Assumptions'!$I$30*'Model Inputs &amp; Assumptions'!$K$30*G1181,0)))</f>
        <v>6900</v>
      </c>
      <c r="J1181" s="50" t="n">
        <f aca="false">H1181*INDEX('Model Inputs &amp; Assumptions'!$D$40:$D$42,MATCH('Model Inputs &amp; Assumptions'!$L$30,'Model Inputs &amp; Assumptions'!$A$40:$A$42,0))*INDEX('Model Inputs &amp; Assumptions'!$H$40:$H$42,MATCH('Model Inputs &amp; Assumptions'!$L$30,'Model Inputs &amp; Assumptions'!$A$40:$A$42,0))</f>
        <v>246462.376740814</v>
      </c>
      <c r="K1181" s="49" t="n">
        <f aca="false">H1181*INDEX('Model Inputs &amp; Assumptions'!$G$40:$G$42,MATCH('Model Inputs &amp; Assumptions'!$L$30,'Model Inputs &amp; Assumptions'!$A$40:$A$42,0))*INDEX('Model Inputs &amp; Assumptions'!$H$40:$H$42,MATCH('Model Inputs &amp; Assumptions'!$L$30,'Model Inputs &amp; Assumptions'!$A$40:$A$42,0))</f>
        <v>5434.49540713495</v>
      </c>
      <c r="L1181" s="51" t="n">
        <f aca="false">IFERROR(K1181/I1181,0)</f>
        <v>0.787608030019559</v>
      </c>
      <c r="M1181" s="49" t="n">
        <f aca="false">IFERROR(I1181/H1181,0)</f>
        <v>201.572348108307</v>
      </c>
      <c r="N1181" s="52" t="str">
        <f aca="false">'Model Inputs &amp; Assumptions'!$L$30</f>
        <v>PRD-USIQ</v>
      </c>
      <c r="P1181" s="53" t="n">
        <v>-0.328804</v>
      </c>
      <c r="Q1181" s="53" t="n">
        <v>2.029318</v>
      </c>
      <c r="R1181" s="53" t="n">
        <v>0.347855</v>
      </c>
      <c r="S1181" s="53" t="n">
        <v>-1.013336</v>
      </c>
    </row>
    <row r="1182" customFormat="false" ht="15" hidden="false" customHeight="false" outlineLevel="0" collapsed="false">
      <c r="A1182" s="43" t="n">
        <v>179</v>
      </c>
      <c r="B1182" s="44" t="str">
        <f aca="false">'Model Inputs &amp; Assumptions'!$B$30</f>
        <v>extraETF — Newsletter Takeover</v>
      </c>
      <c r="C1182" s="45" t="n">
        <f aca="false">ROUND(MAX(0,'Model Inputs &amp; Assumptions'!$S$30*EXP('Model Inputs &amp; Assumptions'!$T$30*P1182-'Model Inputs &amp; Assumptions'!$T$30^2/2)),0)</f>
        <v>79557</v>
      </c>
      <c r="D1182" s="46" t="n">
        <f aca="false">MIN(1,'Model Inputs &amp; Assumptions'!$U$30*EXP('Model Inputs &amp; Assumptions'!$V$30*Q1182-'Model Inputs &amp; Assumptions'!$V$30^2/2))</f>
        <v>0</v>
      </c>
      <c r="E1182" s="45" t="n">
        <f aca="false">ROUND(C1182*D1182,0)</f>
        <v>0</v>
      </c>
      <c r="F1182" s="47" t="n">
        <f aca="false">MIN(1,'Model Inputs &amp; Assumptions'!$W$30*EXP('Model Inputs &amp; Assumptions'!$X$30*R1182-'Model Inputs &amp; Assumptions'!$X$30^2/2))</f>
        <v>0.00871355005537845</v>
      </c>
      <c r="G1182" s="45" t="n">
        <f aca="false">ROUND(C1182*F1182,0)</f>
        <v>693</v>
      </c>
      <c r="H1182" s="48" t="n">
        <f aca="false">MAX(0,(C1182*'Model Inputs &amp; Assumptions'!$N$30+E1182*'Model Inputs &amp; Assumptions'!$O$30+G1182*'Model Inputs &amp; Assumptions'!$P$30)*EXP('Model Inputs &amp; Assumptions'!$Q$30*S1182-'Model Inputs &amp; Assumptions'!$Q$30^2/2))</f>
        <v>62.8339002109004</v>
      </c>
      <c r="I1182" s="49" t="n">
        <f aca="false">IF('Model Inputs &amp; Assumptions'!$H$30="Fixed",'Model Inputs &amp; Assumptions'!$I$30*'Model Inputs &amp; Assumptions'!$K$30,IF('Model Inputs &amp; Assumptions'!$H$30="CPM",'Model Inputs &amp; Assumptions'!$I$30*'Model Inputs &amp; Assumptions'!$K$30*C1182/1000,IF('Model Inputs &amp; Assumptions'!$H$30="CPC",'Model Inputs &amp; Assumptions'!$I$30*'Model Inputs &amp; Assumptions'!$K$30*G1182,0)))</f>
        <v>6900</v>
      </c>
      <c r="J1182" s="50" t="n">
        <f aca="false">H1182*INDEX('Model Inputs &amp; Assumptions'!$D$40:$D$42,MATCH('Model Inputs &amp; Assumptions'!$L$30,'Model Inputs &amp; Assumptions'!$A$40:$A$42,0))*INDEX('Model Inputs &amp; Assumptions'!$H$40:$H$42,MATCH('Model Inputs &amp; Assumptions'!$L$30,'Model Inputs &amp; Assumptions'!$A$40:$A$42,0))</f>
        <v>452404.081518483</v>
      </c>
      <c r="K1182" s="49" t="n">
        <f aca="false">H1182*INDEX('Model Inputs &amp; Assumptions'!$G$40:$G$42,MATCH('Model Inputs &amp; Assumptions'!$L$30,'Model Inputs &amp; Assumptions'!$A$40:$A$42,0))*INDEX('Model Inputs &amp; Assumptions'!$H$40:$H$42,MATCH('Model Inputs &amp; Assumptions'!$L$30,'Model Inputs &amp; Assumptions'!$A$40:$A$42,0))</f>
        <v>9975.50999748255</v>
      </c>
      <c r="L1182" s="51" t="n">
        <f aca="false">IFERROR(K1182/I1182,0)</f>
        <v>1.44572608659167</v>
      </c>
      <c r="M1182" s="49" t="n">
        <f aca="false">IFERROR(I1182/H1182,0)</f>
        <v>109.813332879868</v>
      </c>
      <c r="N1182" s="52" t="str">
        <f aca="false">'Model Inputs &amp; Assumptions'!$L$30</f>
        <v>PRD-USIQ</v>
      </c>
      <c r="P1182" s="53" t="n">
        <v>-0.780532</v>
      </c>
      <c r="Q1182" s="53" t="n">
        <v>0.224243</v>
      </c>
      <c r="R1182" s="53" t="n">
        <v>0.644585</v>
      </c>
      <c r="S1182" s="53" t="n">
        <v>1.456331</v>
      </c>
    </row>
    <row r="1183" customFormat="false" ht="15" hidden="false" customHeight="false" outlineLevel="0" collapsed="false">
      <c r="A1183" s="43" t="n">
        <v>180</v>
      </c>
      <c r="B1183" s="44" t="str">
        <f aca="false">'Model Inputs &amp; Assumptions'!$B$30</f>
        <v>extraETF — Newsletter Takeover</v>
      </c>
      <c r="C1183" s="45" t="n">
        <f aca="false">ROUND(MAX(0,'Model Inputs &amp; Assumptions'!$S$30*EXP('Model Inputs &amp; Assumptions'!$T$30*P1183-'Model Inputs &amp; Assumptions'!$T$30^2/2)),0)</f>
        <v>94045</v>
      </c>
      <c r="D1183" s="46" t="n">
        <f aca="false">MIN(1,'Model Inputs &amp; Assumptions'!$U$30*EXP('Model Inputs &amp; Assumptions'!$V$30*Q1183-'Model Inputs &amp; Assumptions'!$V$30^2/2))</f>
        <v>0</v>
      </c>
      <c r="E1183" s="45" t="n">
        <f aca="false">ROUND(C1183*D1183,0)</f>
        <v>0</v>
      </c>
      <c r="F1183" s="47" t="n">
        <f aca="false">MIN(1,'Model Inputs &amp; Assumptions'!$W$30*EXP('Model Inputs &amp; Assumptions'!$X$30*R1183-'Model Inputs &amp; Assumptions'!$X$30^2/2))</f>
        <v>0.00688204875435659</v>
      </c>
      <c r="G1183" s="45" t="n">
        <f aca="false">ROUND(C1183*F1183,0)</f>
        <v>647</v>
      </c>
      <c r="H1183" s="48" t="n">
        <f aca="false">MAX(0,(C1183*'Model Inputs &amp; Assumptions'!$N$30+E1183*'Model Inputs &amp; Assumptions'!$O$30+G1183*'Model Inputs &amp; Assumptions'!$P$30)*EXP('Model Inputs &amp; Assumptions'!$Q$30*S1183-'Model Inputs &amp; Assumptions'!$Q$30^2/2))</f>
        <v>33.3034346867735</v>
      </c>
      <c r="I1183" s="49" t="n">
        <f aca="false">IF('Model Inputs &amp; Assumptions'!$H$30="Fixed",'Model Inputs &amp; Assumptions'!$I$30*'Model Inputs &amp; Assumptions'!$K$30,IF('Model Inputs &amp; Assumptions'!$H$30="CPM",'Model Inputs &amp; Assumptions'!$I$30*'Model Inputs &amp; Assumptions'!$K$30*C1183/1000,IF('Model Inputs &amp; Assumptions'!$H$30="CPC",'Model Inputs &amp; Assumptions'!$I$30*'Model Inputs &amp; Assumptions'!$K$30*G1183,0)))</f>
        <v>6900</v>
      </c>
      <c r="J1183" s="50" t="n">
        <f aca="false">H1183*INDEX('Model Inputs &amp; Assumptions'!$D$40:$D$42,MATCH('Model Inputs &amp; Assumptions'!$L$30,'Model Inputs &amp; Assumptions'!$A$40:$A$42,0))*INDEX('Model Inputs &amp; Assumptions'!$H$40:$H$42,MATCH('Model Inputs &amp; Assumptions'!$L$30,'Model Inputs &amp; Assumptions'!$A$40:$A$42,0))</f>
        <v>239784.729744769</v>
      </c>
      <c r="K1183" s="49" t="n">
        <f aca="false">H1183*INDEX('Model Inputs &amp; Assumptions'!$G$40:$G$42,MATCH('Model Inputs &amp; Assumptions'!$L$30,'Model Inputs &amp; Assumptions'!$A$40:$A$42,0))*INDEX('Model Inputs &amp; Assumptions'!$H$40:$H$42,MATCH('Model Inputs &amp; Assumptions'!$L$30,'Model Inputs &amp; Assumptions'!$A$40:$A$42,0))</f>
        <v>5287.25329087217</v>
      </c>
      <c r="L1183" s="51" t="n">
        <f aca="false">IFERROR(K1183/I1183,0)</f>
        <v>0.766268592880024</v>
      </c>
      <c r="M1183" s="49" t="n">
        <f aca="false">IFERROR(I1183/H1183,0)</f>
        <v>207.185837283634</v>
      </c>
      <c r="N1183" s="52" t="str">
        <f aca="false">'Model Inputs &amp; Assumptions'!$L$30</f>
        <v>PRD-USIQ</v>
      </c>
      <c r="P1183" s="53" t="n">
        <v>0.61363</v>
      </c>
      <c r="Q1183" s="53" t="n">
        <v>-0.165485</v>
      </c>
      <c r="R1183" s="53" t="n">
        <v>-0.928501</v>
      </c>
      <c r="S1183" s="53" t="n">
        <v>-0.808271</v>
      </c>
    </row>
    <row r="1184" customFormat="false" ht="15" hidden="false" customHeight="false" outlineLevel="0" collapsed="false">
      <c r="A1184" s="43" t="n">
        <v>181</v>
      </c>
      <c r="B1184" s="44" t="str">
        <f aca="false">'Model Inputs &amp; Assumptions'!$B$30</f>
        <v>extraETF — Newsletter Takeover</v>
      </c>
      <c r="C1184" s="45" t="n">
        <f aca="false">ROUND(MAX(0,'Model Inputs &amp; Assumptions'!$S$30*EXP('Model Inputs &amp; Assumptions'!$T$30*P1184-'Model Inputs &amp; Assumptions'!$T$30^2/2)),0)</f>
        <v>75684</v>
      </c>
      <c r="D1184" s="46" t="n">
        <f aca="false">MIN(1,'Model Inputs &amp; Assumptions'!$U$30*EXP('Model Inputs &amp; Assumptions'!$V$30*Q1184-'Model Inputs &amp; Assumptions'!$V$30^2/2))</f>
        <v>0</v>
      </c>
      <c r="E1184" s="45" t="n">
        <f aca="false">ROUND(C1184*D1184,0)</f>
        <v>0</v>
      </c>
      <c r="F1184" s="47" t="n">
        <f aca="false">MIN(1,'Model Inputs &amp; Assumptions'!$W$30*EXP('Model Inputs &amp; Assumptions'!$X$30*R1184-'Model Inputs &amp; Assumptions'!$X$30^2/2))</f>
        <v>0.00606528627041221</v>
      </c>
      <c r="G1184" s="45" t="n">
        <f aca="false">ROUND(C1184*F1184,0)</f>
        <v>459</v>
      </c>
      <c r="H1184" s="48" t="n">
        <f aca="false">MAX(0,(C1184*'Model Inputs &amp; Assumptions'!$N$30+E1184*'Model Inputs &amp; Assumptions'!$O$30+G1184*'Model Inputs &amp; Assumptions'!$P$30)*EXP('Model Inputs &amp; Assumptions'!$Q$30*S1184-'Model Inputs &amp; Assumptions'!$Q$30^2/2))</f>
        <v>39.1367510845491</v>
      </c>
      <c r="I1184" s="49" t="n">
        <f aca="false">IF('Model Inputs &amp; Assumptions'!$H$30="Fixed",'Model Inputs &amp; Assumptions'!$I$30*'Model Inputs &amp; Assumptions'!$K$30,IF('Model Inputs &amp; Assumptions'!$H$30="CPM",'Model Inputs &amp; Assumptions'!$I$30*'Model Inputs &amp; Assumptions'!$K$30*C1184/1000,IF('Model Inputs &amp; Assumptions'!$H$30="CPC",'Model Inputs &amp; Assumptions'!$I$30*'Model Inputs &amp; Assumptions'!$K$30*G1184,0)))</f>
        <v>6900</v>
      </c>
      <c r="J1184" s="50" t="n">
        <f aca="false">H1184*INDEX('Model Inputs &amp; Assumptions'!$D$40:$D$42,MATCH('Model Inputs &amp; Assumptions'!$L$30,'Model Inputs &amp; Assumptions'!$A$40:$A$42,0))*INDEX('Model Inputs &amp; Assumptions'!$H$40:$H$42,MATCH('Model Inputs &amp; Assumptions'!$L$30,'Model Inputs &amp; Assumptions'!$A$40:$A$42,0))</f>
        <v>281784.607808753</v>
      </c>
      <c r="K1184" s="49" t="n">
        <f aca="false">H1184*INDEX('Model Inputs &amp; Assumptions'!$G$40:$G$42,MATCH('Model Inputs &amp; Assumptions'!$L$30,'Model Inputs &amp; Assumptions'!$A$40:$A$42,0))*INDEX('Model Inputs &amp; Assumptions'!$H$40:$H$42,MATCH('Model Inputs &amp; Assumptions'!$L$30,'Model Inputs &amp; Assumptions'!$A$40:$A$42,0))</f>
        <v>6213.35060218301</v>
      </c>
      <c r="L1184" s="51" t="n">
        <f aca="false">IFERROR(K1184/I1184,0)</f>
        <v>0.900485594519277</v>
      </c>
      <c r="M1184" s="49" t="n">
        <f aca="false">IFERROR(I1184/H1184,0)</f>
        <v>176.304874798973</v>
      </c>
      <c r="N1184" s="52" t="str">
        <f aca="false">'Model Inputs &amp; Assumptions'!$L$30</f>
        <v>PRD-USIQ</v>
      </c>
      <c r="P1184" s="53" t="n">
        <v>-1.196444</v>
      </c>
      <c r="Q1184" s="53" t="n">
        <v>-0.69401</v>
      </c>
      <c r="R1184" s="53" t="n">
        <v>-1.770732</v>
      </c>
      <c r="S1184" s="53" t="n">
        <v>1.210519</v>
      </c>
    </row>
    <row r="1185" customFormat="false" ht="15" hidden="false" customHeight="false" outlineLevel="0" collapsed="false">
      <c r="A1185" s="43" t="n">
        <v>182</v>
      </c>
      <c r="B1185" s="44" t="str">
        <f aca="false">'Model Inputs &amp; Assumptions'!$B$30</f>
        <v>extraETF — Newsletter Takeover</v>
      </c>
      <c r="C1185" s="45" t="n">
        <f aca="false">ROUND(MAX(0,'Model Inputs &amp; Assumptions'!$S$30*EXP('Model Inputs &amp; Assumptions'!$T$30*P1185-'Model Inputs &amp; Assumptions'!$T$30^2/2)),0)</f>
        <v>93306</v>
      </c>
      <c r="D1185" s="46" t="n">
        <f aca="false">MIN(1,'Model Inputs &amp; Assumptions'!$U$30*EXP('Model Inputs &amp; Assumptions'!$V$30*Q1185-'Model Inputs &amp; Assumptions'!$V$30^2/2))</f>
        <v>0</v>
      </c>
      <c r="E1185" s="45" t="n">
        <f aca="false">ROUND(C1185*D1185,0)</f>
        <v>0</v>
      </c>
      <c r="F1185" s="47" t="n">
        <f aca="false">MIN(1,'Model Inputs &amp; Assumptions'!$W$30*EXP('Model Inputs &amp; Assumptions'!$X$30*R1185-'Model Inputs &amp; Assumptions'!$X$30^2/2))</f>
        <v>0.00702776471602135</v>
      </c>
      <c r="G1185" s="45" t="n">
        <f aca="false">ROUND(C1185*F1185,0)</f>
        <v>656</v>
      </c>
      <c r="H1185" s="48" t="n">
        <f aca="false">MAX(0,(C1185*'Model Inputs &amp; Assumptions'!$N$30+E1185*'Model Inputs &amp; Assumptions'!$O$30+G1185*'Model Inputs &amp; Assumptions'!$P$30)*EXP('Model Inputs &amp; Assumptions'!$Q$30*S1185-'Model Inputs &amp; Assumptions'!$Q$30^2/2))</f>
        <v>38.7190230079596</v>
      </c>
      <c r="I1185" s="49" t="n">
        <f aca="false">IF('Model Inputs &amp; Assumptions'!$H$30="Fixed",'Model Inputs &amp; Assumptions'!$I$30*'Model Inputs &amp; Assumptions'!$K$30,IF('Model Inputs &amp; Assumptions'!$H$30="CPM",'Model Inputs &amp; Assumptions'!$I$30*'Model Inputs &amp; Assumptions'!$K$30*C1185/1000,IF('Model Inputs &amp; Assumptions'!$H$30="CPC",'Model Inputs &amp; Assumptions'!$I$30*'Model Inputs &amp; Assumptions'!$K$30*G1185,0)))</f>
        <v>6900</v>
      </c>
      <c r="J1185" s="50" t="n">
        <f aca="false">H1185*INDEX('Model Inputs &amp; Assumptions'!$D$40:$D$42,MATCH('Model Inputs &amp; Assumptions'!$L$30,'Model Inputs &amp; Assumptions'!$A$40:$A$42,0))*INDEX('Model Inputs &amp; Assumptions'!$H$40:$H$42,MATCH('Model Inputs &amp; Assumptions'!$L$30,'Model Inputs &amp; Assumptions'!$A$40:$A$42,0))</f>
        <v>278776.965657309</v>
      </c>
      <c r="K1185" s="49" t="n">
        <f aca="false">H1185*INDEX('Model Inputs &amp; Assumptions'!$G$40:$G$42,MATCH('Model Inputs &amp; Assumptions'!$L$30,'Model Inputs &amp; Assumptions'!$A$40:$A$42,0))*INDEX('Model Inputs &amp; Assumptions'!$H$40:$H$42,MATCH('Model Inputs &amp; Assumptions'!$L$30,'Model Inputs &amp; Assumptions'!$A$40:$A$42,0))</f>
        <v>6147.03209274366</v>
      </c>
      <c r="L1185" s="51" t="n">
        <f aca="false">IFERROR(K1185/I1185,0)</f>
        <v>0.890874216339661</v>
      </c>
      <c r="M1185" s="49" t="n">
        <f aca="false">IFERROR(I1185/H1185,0)</f>
        <v>178.206975898683</v>
      </c>
      <c r="N1185" s="52" t="str">
        <f aca="false">'Model Inputs &amp; Assumptions'!$L$30</f>
        <v>PRD-USIQ</v>
      </c>
      <c r="P1185" s="53" t="n">
        <v>0.547884</v>
      </c>
      <c r="Q1185" s="53" t="n">
        <v>-0.019627</v>
      </c>
      <c r="R1185" s="53" t="n">
        <v>-0.788819</v>
      </c>
      <c r="S1185" s="53" t="n">
        <v>-0.260847</v>
      </c>
    </row>
    <row r="1186" customFormat="false" ht="15" hidden="false" customHeight="false" outlineLevel="0" collapsed="false">
      <c r="A1186" s="43" t="n">
        <v>183</v>
      </c>
      <c r="B1186" s="44" t="str">
        <f aca="false">'Model Inputs &amp; Assumptions'!$B$30</f>
        <v>extraETF — Newsletter Takeover</v>
      </c>
      <c r="C1186" s="45" t="n">
        <f aca="false">ROUND(MAX(0,'Model Inputs &amp; Assumptions'!$S$30*EXP('Model Inputs &amp; Assumptions'!$T$30*P1186-'Model Inputs &amp; Assumptions'!$T$30^2/2)),0)</f>
        <v>78021</v>
      </c>
      <c r="D1186" s="46" t="n">
        <f aca="false">MIN(1,'Model Inputs &amp; Assumptions'!$U$30*EXP('Model Inputs &amp; Assumptions'!$V$30*Q1186-'Model Inputs &amp; Assumptions'!$V$30^2/2))</f>
        <v>0</v>
      </c>
      <c r="E1186" s="45" t="n">
        <f aca="false">ROUND(C1186*D1186,0)</f>
        <v>0</v>
      </c>
      <c r="F1186" s="47" t="n">
        <f aca="false">MIN(1,'Model Inputs &amp; Assumptions'!$W$30*EXP('Model Inputs &amp; Assumptions'!$X$30*R1186-'Model Inputs &amp; Assumptions'!$X$30^2/2))</f>
        <v>0.00835027223796039</v>
      </c>
      <c r="G1186" s="45" t="n">
        <f aca="false">ROUND(C1186*F1186,0)</f>
        <v>651</v>
      </c>
      <c r="H1186" s="48" t="n">
        <f aca="false">MAX(0,(C1186*'Model Inputs &amp; Assumptions'!$N$30+E1186*'Model Inputs &amp; Assumptions'!$O$30+G1186*'Model Inputs &amp; Assumptions'!$P$30)*EXP('Model Inputs &amp; Assumptions'!$Q$30*S1186-'Model Inputs &amp; Assumptions'!$Q$30^2/2))</f>
        <v>70.5697006504104</v>
      </c>
      <c r="I1186" s="49" t="n">
        <f aca="false">IF('Model Inputs &amp; Assumptions'!$H$30="Fixed",'Model Inputs &amp; Assumptions'!$I$30*'Model Inputs &amp; Assumptions'!$K$30,IF('Model Inputs &amp; Assumptions'!$H$30="CPM",'Model Inputs &amp; Assumptions'!$I$30*'Model Inputs &amp; Assumptions'!$K$30*C1186/1000,IF('Model Inputs &amp; Assumptions'!$H$30="CPC",'Model Inputs &amp; Assumptions'!$I$30*'Model Inputs &amp; Assumptions'!$K$30*G1186,0)))</f>
        <v>6900</v>
      </c>
      <c r="J1186" s="50" t="n">
        <f aca="false">H1186*INDEX('Model Inputs &amp; Assumptions'!$D$40:$D$42,MATCH('Model Inputs &amp; Assumptions'!$L$30,'Model Inputs &amp; Assumptions'!$A$40:$A$42,0))*INDEX('Model Inputs &amp; Assumptions'!$H$40:$H$42,MATCH('Model Inputs &amp; Assumptions'!$L$30,'Model Inputs &amp; Assumptions'!$A$40:$A$42,0))</f>
        <v>508101.844682955</v>
      </c>
      <c r="K1186" s="49" t="n">
        <f aca="false">H1186*INDEX('Model Inputs &amp; Assumptions'!$G$40:$G$42,MATCH('Model Inputs &amp; Assumptions'!$L$30,'Model Inputs &amp; Assumptions'!$A$40:$A$42,0))*INDEX('Model Inputs &amp; Assumptions'!$H$40:$H$42,MATCH('Model Inputs &amp; Assumptions'!$L$30,'Model Inputs &amp; Assumptions'!$A$40:$A$42,0))</f>
        <v>11203.6456752592</v>
      </c>
      <c r="L1186" s="51" t="n">
        <f aca="false">IFERROR(K1186/I1186,0)</f>
        <v>1.62371676453031</v>
      </c>
      <c r="M1186" s="49" t="n">
        <f aca="false">IFERROR(I1186/H1186,0)</f>
        <v>97.7756733613107</v>
      </c>
      <c r="N1186" s="52" t="str">
        <f aca="false">'Model Inputs &amp; Assumptions'!$L$30</f>
        <v>PRD-USIQ</v>
      </c>
      <c r="P1186" s="53" t="n">
        <v>-0.942943</v>
      </c>
      <c r="Q1186" s="53" t="n">
        <v>0.357824</v>
      </c>
      <c r="R1186" s="53" t="n">
        <v>0.360684</v>
      </c>
      <c r="S1186" s="53" t="n">
        <v>2.170837</v>
      </c>
    </row>
    <row r="1187" customFormat="false" ht="15" hidden="false" customHeight="false" outlineLevel="0" collapsed="false">
      <c r="A1187" s="43" t="n">
        <v>184</v>
      </c>
      <c r="B1187" s="44" t="str">
        <f aca="false">'Model Inputs &amp; Assumptions'!$B$30</f>
        <v>extraETF — Newsletter Takeover</v>
      </c>
      <c r="C1187" s="45" t="n">
        <f aca="false">ROUND(MAX(0,'Model Inputs &amp; Assumptions'!$S$30*EXP('Model Inputs &amp; Assumptions'!$T$30*P1187-'Model Inputs &amp; Assumptions'!$T$30^2/2)),0)</f>
        <v>70694</v>
      </c>
      <c r="D1187" s="46" t="n">
        <f aca="false">MIN(1,'Model Inputs &amp; Assumptions'!$U$30*EXP('Model Inputs &amp; Assumptions'!$V$30*Q1187-'Model Inputs &amp; Assumptions'!$V$30^2/2))</f>
        <v>0</v>
      </c>
      <c r="E1187" s="45" t="n">
        <f aca="false">ROUND(C1187*D1187,0)</f>
        <v>0</v>
      </c>
      <c r="F1187" s="47" t="n">
        <f aca="false">MIN(1,'Model Inputs &amp; Assumptions'!$W$30*EXP('Model Inputs &amp; Assumptions'!$X$30*R1187-'Model Inputs &amp; Assumptions'!$X$30^2/2))</f>
        <v>0.00869318157765458</v>
      </c>
      <c r="G1187" s="45" t="n">
        <f aca="false">ROUND(C1187*F1187,0)</f>
        <v>615</v>
      </c>
      <c r="H1187" s="48" t="n">
        <f aca="false">MAX(0,(C1187*'Model Inputs &amp; Assumptions'!$N$30+E1187*'Model Inputs &amp; Assumptions'!$O$30+G1187*'Model Inputs &amp; Assumptions'!$P$30)*EXP('Model Inputs &amp; Assumptions'!$Q$30*S1187-'Model Inputs &amp; Assumptions'!$Q$30^2/2))</f>
        <v>26.7253020425499</v>
      </c>
      <c r="I1187" s="49" t="n">
        <f aca="false">IF('Model Inputs &amp; Assumptions'!$H$30="Fixed",'Model Inputs &amp; Assumptions'!$I$30*'Model Inputs &amp; Assumptions'!$K$30,IF('Model Inputs &amp; Assumptions'!$H$30="CPM",'Model Inputs &amp; Assumptions'!$I$30*'Model Inputs &amp; Assumptions'!$K$30*C1187/1000,IF('Model Inputs &amp; Assumptions'!$H$30="CPC",'Model Inputs &amp; Assumptions'!$I$30*'Model Inputs &amp; Assumptions'!$K$30*G1187,0)))</f>
        <v>6900</v>
      </c>
      <c r="J1187" s="50" t="n">
        <f aca="false">H1187*INDEX('Model Inputs &amp; Assumptions'!$D$40:$D$42,MATCH('Model Inputs &amp; Assumptions'!$L$30,'Model Inputs &amp; Assumptions'!$A$40:$A$42,0))*INDEX('Model Inputs &amp; Assumptions'!$H$40:$H$42,MATCH('Model Inputs &amp; Assumptions'!$L$30,'Model Inputs &amp; Assumptions'!$A$40:$A$42,0))</f>
        <v>192422.174706359</v>
      </c>
      <c r="K1187" s="49" t="n">
        <f aca="false">H1187*INDEX('Model Inputs &amp; Assumptions'!$G$40:$G$42,MATCH('Model Inputs &amp; Assumptions'!$L$30,'Model Inputs &amp; Assumptions'!$A$40:$A$42,0))*INDEX('Model Inputs &amp; Assumptions'!$H$40:$H$42,MATCH('Model Inputs &amp; Assumptions'!$L$30,'Model Inputs &amp; Assumptions'!$A$40:$A$42,0))</f>
        <v>4242.90895227522</v>
      </c>
      <c r="L1187" s="51" t="n">
        <f aca="false">IFERROR(K1187/I1187,0)</f>
        <v>0.614914340909453</v>
      </c>
      <c r="M1187" s="49" t="n">
        <f aca="false">IFERROR(I1187/H1187,0)</f>
        <v>258.18230188809</v>
      </c>
      <c r="N1187" s="52" t="str">
        <f aca="false">'Model Inputs &amp; Assumptions'!$L$30</f>
        <v>PRD-USIQ</v>
      </c>
      <c r="P1187" s="53" t="n">
        <v>-1.764807</v>
      </c>
      <c r="Q1187" s="53" t="n">
        <v>1.516938</v>
      </c>
      <c r="R1187" s="53" t="n">
        <v>0.628983</v>
      </c>
      <c r="S1187" s="53" t="n">
        <v>-1.485574</v>
      </c>
    </row>
    <row r="1188" customFormat="false" ht="15" hidden="false" customHeight="false" outlineLevel="0" collapsed="false">
      <c r="A1188" s="43" t="n">
        <v>185</v>
      </c>
      <c r="B1188" s="44" t="str">
        <f aca="false">'Model Inputs &amp; Assumptions'!$B$30</f>
        <v>extraETF — Newsletter Takeover</v>
      </c>
      <c r="C1188" s="45" t="n">
        <f aca="false">ROUND(MAX(0,'Model Inputs &amp; Assumptions'!$S$30*EXP('Model Inputs &amp; Assumptions'!$T$30*P1188-'Model Inputs &amp; Assumptions'!$T$30^2/2)),0)</f>
        <v>89306</v>
      </c>
      <c r="D1188" s="46" t="n">
        <f aca="false">MIN(1,'Model Inputs &amp; Assumptions'!$U$30*EXP('Model Inputs &amp; Assumptions'!$V$30*Q1188-'Model Inputs &amp; Assumptions'!$V$30^2/2))</f>
        <v>0</v>
      </c>
      <c r="E1188" s="45" t="n">
        <f aca="false">ROUND(C1188*D1188,0)</f>
        <v>0</v>
      </c>
      <c r="F1188" s="47" t="n">
        <f aca="false">MIN(1,'Model Inputs &amp; Assumptions'!$W$30*EXP('Model Inputs &amp; Assumptions'!$X$30*R1188-'Model Inputs &amp; Assumptions'!$X$30^2/2))</f>
        <v>0.0068975621782805</v>
      </c>
      <c r="G1188" s="45" t="n">
        <f aca="false">ROUND(C1188*F1188,0)</f>
        <v>616</v>
      </c>
      <c r="H1188" s="48" t="n">
        <f aca="false">MAX(0,(C1188*'Model Inputs &amp; Assumptions'!$N$30+E1188*'Model Inputs &amp; Assumptions'!$O$30+G1188*'Model Inputs &amp; Assumptions'!$P$30)*EXP('Model Inputs &amp; Assumptions'!$Q$30*S1188-'Model Inputs &amp; Assumptions'!$Q$30^2/2))</f>
        <v>26.3425750750591</v>
      </c>
      <c r="I1188" s="49" t="n">
        <f aca="false">IF('Model Inputs &amp; Assumptions'!$H$30="Fixed",'Model Inputs &amp; Assumptions'!$I$30*'Model Inputs &amp; Assumptions'!$K$30,IF('Model Inputs &amp; Assumptions'!$H$30="CPM",'Model Inputs &amp; Assumptions'!$I$30*'Model Inputs &amp; Assumptions'!$K$30*C1188/1000,IF('Model Inputs &amp; Assumptions'!$H$30="CPC",'Model Inputs &amp; Assumptions'!$I$30*'Model Inputs &amp; Assumptions'!$K$30*G1188,0)))</f>
        <v>6900</v>
      </c>
      <c r="J1188" s="50" t="n">
        <f aca="false">H1188*INDEX('Model Inputs &amp; Assumptions'!$D$40:$D$42,MATCH('Model Inputs &amp; Assumptions'!$L$30,'Model Inputs &amp; Assumptions'!$A$40:$A$42,0))*INDEX('Model Inputs &amp; Assumptions'!$H$40:$H$42,MATCH('Model Inputs &amp; Assumptions'!$L$30,'Model Inputs &amp; Assumptions'!$A$40:$A$42,0))</f>
        <v>189666.540540425</v>
      </c>
      <c r="K1188" s="49" t="n">
        <f aca="false">H1188*INDEX('Model Inputs &amp; Assumptions'!$G$40:$G$42,MATCH('Model Inputs &amp; Assumptions'!$L$30,'Model Inputs &amp; Assumptions'!$A$40:$A$42,0))*INDEX('Model Inputs &amp; Assumptions'!$H$40:$H$42,MATCH('Model Inputs &amp; Assumptions'!$L$30,'Model Inputs &amp; Assumptions'!$A$40:$A$42,0))</f>
        <v>4182.14721891638</v>
      </c>
      <c r="L1188" s="51" t="n">
        <f aca="false">IFERROR(K1188/I1188,0)</f>
        <v>0.606108292596576</v>
      </c>
      <c r="M1188" s="49" t="n">
        <f aca="false">IFERROR(I1188/H1188,0)</f>
        <v>261.933390351533</v>
      </c>
      <c r="N1188" s="52" t="str">
        <f aca="false">'Model Inputs &amp; Assumptions'!$L$30</f>
        <v>PRD-USIQ</v>
      </c>
      <c r="P1188" s="53" t="n">
        <v>0.18272</v>
      </c>
      <c r="Q1188" s="53" t="n">
        <v>0.219715</v>
      </c>
      <c r="R1188" s="53" t="n">
        <v>-0.91349</v>
      </c>
      <c r="S1188" s="53" t="n">
        <v>-1.54977</v>
      </c>
    </row>
    <row r="1189" customFormat="false" ht="15" hidden="false" customHeight="false" outlineLevel="0" collapsed="false">
      <c r="A1189" s="43" t="n">
        <v>186</v>
      </c>
      <c r="B1189" s="44" t="str">
        <f aca="false">'Model Inputs &amp; Assumptions'!$B$30</f>
        <v>extraETF — Newsletter Takeover</v>
      </c>
      <c r="C1189" s="45" t="n">
        <f aca="false">ROUND(MAX(0,'Model Inputs &amp; Assumptions'!$S$30*EXP('Model Inputs &amp; Assumptions'!$T$30*P1189-'Model Inputs &amp; Assumptions'!$T$30^2/2)),0)</f>
        <v>100261</v>
      </c>
      <c r="D1189" s="46" t="n">
        <f aca="false">MIN(1,'Model Inputs &amp; Assumptions'!$U$30*EXP('Model Inputs &amp; Assumptions'!$V$30*Q1189-'Model Inputs &amp; Assumptions'!$V$30^2/2))</f>
        <v>0</v>
      </c>
      <c r="E1189" s="45" t="n">
        <f aca="false">ROUND(C1189*D1189,0)</f>
        <v>0</v>
      </c>
      <c r="F1189" s="47" t="n">
        <f aca="false">MIN(1,'Model Inputs &amp; Assumptions'!$W$30*EXP('Model Inputs &amp; Assumptions'!$X$30*R1189-'Model Inputs &amp; Assumptions'!$X$30^2/2))</f>
        <v>0.00738651094606475</v>
      </c>
      <c r="G1189" s="45" t="n">
        <f aca="false">ROUND(C1189*F1189,0)</f>
        <v>741</v>
      </c>
      <c r="H1189" s="48" t="n">
        <f aca="false">MAX(0,(C1189*'Model Inputs &amp; Assumptions'!$N$30+E1189*'Model Inputs &amp; Assumptions'!$O$30+G1189*'Model Inputs &amp; Assumptions'!$P$30)*EXP('Model Inputs &amp; Assumptions'!$Q$30*S1189-'Model Inputs &amp; Assumptions'!$Q$30^2/2))</f>
        <v>76.7693226896658</v>
      </c>
      <c r="I1189" s="49" t="n">
        <f aca="false">IF('Model Inputs &amp; Assumptions'!$H$30="Fixed",'Model Inputs &amp; Assumptions'!$I$30*'Model Inputs &amp; Assumptions'!$K$30,IF('Model Inputs &amp; Assumptions'!$H$30="CPM",'Model Inputs &amp; Assumptions'!$I$30*'Model Inputs &amp; Assumptions'!$K$30*C1189/1000,IF('Model Inputs &amp; Assumptions'!$H$30="CPC",'Model Inputs &amp; Assumptions'!$I$30*'Model Inputs &amp; Assumptions'!$K$30*G1189,0)))</f>
        <v>6900</v>
      </c>
      <c r="J1189" s="50" t="n">
        <f aca="false">H1189*INDEX('Model Inputs &amp; Assumptions'!$D$40:$D$42,MATCH('Model Inputs &amp; Assumptions'!$L$30,'Model Inputs &amp; Assumptions'!$A$40:$A$42,0))*INDEX('Model Inputs &amp; Assumptions'!$H$40:$H$42,MATCH('Model Inputs &amp; Assumptions'!$L$30,'Model Inputs &amp; Assumptions'!$A$40:$A$42,0))</f>
        <v>552739.123365594</v>
      </c>
      <c r="K1189" s="49" t="n">
        <f aca="false">H1189*INDEX('Model Inputs &amp; Assumptions'!$G$40:$G$42,MATCH('Model Inputs &amp; Assumptions'!$L$30,'Model Inputs &amp; Assumptions'!$A$40:$A$42,0))*INDEX('Model Inputs &amp; Assumptions'!$H$40:$H$42,MATCH('Model Inputs &amp; Assumptions'!$L$30,'Model Inputs &amp; Assumptions'!$A$40:$A$42,0))</f>
        <v>12187.8976702113</v>
      </c>
      <c r="L1189" s="51" t="n">
        <f aca="false">IFERROR(K1189/I1189,0)</f>
        <v>1.76636198119005</v>
      </c>
      <c r="M1189" s="49" t="n">
        <f aca="false">IFERROR(I1189/H1189,0)</f>
        <v>89.8796519007042</v>
      </c>
      <c r="N1189" s="52" t="str">
        <f aca="false">'Model Inputs &amp; Assumptions'!$L$30</f>
        <v>PRD-USIQ</v>
      </c>
      <c r="P1189" s="53" t="n">
        <v>1.146973</v>
      </c>
      <c r="Q1189" s="53" t="n">
        <v>-1.078552</v>
      </c>
      <c r="R1189" s="53" t="n">
        <v>-0.456907</v>
      </c>
      <c r="S1189" s="53" t="n">
        <v>1.98969</v>
      </c>
    </row>
    <row r="1190" customFormat="false" ht="15" hidden="false" customHeight="false" outlineLevel="0" collapsed="false">
      <c r="A1190" s="43" t="n">
        <v>187</v>
      </c>
      <c r="B1190" s="44" t="str">
        <f aca="false">'Model Inputs &amp; Assumptions'!$B$30</f>
        <v>extraETF — Newsletter Takeover</v>
      </c>
      <c r="C1190" s="45" t="n">
        <f aca="false">ROUND(MAX(0,'Model Inputs &amp; Assumptions'!$S$30*EXP('Model Inputs &amp; Assumptions'!$T$30*P1190-'Model Inputs &amp; Assumptions'!$T$30^2/2)),0)</f>
        <v>81807</v>
      </c>
      <c r="D1190" s="46" t="n">
        <f aca="false">MIN(1,'Model Inputs &amp; Assumptions'!$U$30*EXP('Model Inputs &amp; Assumptions'!$V$30*Q1190-'Model Inputs &amp; Assumptions'!$V$30^2/2))</f>
        <v>0</v>
      </c>
      <c r="E1190" s="45" t="n">
        <f aca="false">ROUND(C1190*D1190,0)</f>
        <v>0</v>
      </c>
      <c r="F1190" s="47" t="n">
        <f aca="false">MIN(1,'Model Inputs &amp; Assumptions'!$W$30*EXP('Model Inputs &amp; Assumptions'!$X$30*R1190-'Model Inputs &amp; Assumptions'!$X$30^2/2))</f>
        <v>0.00932471303826383</v>
      </c>
      <c r="G1190" s="45" t="n">
        <f aca="false">ROUND(C1190*F1190,0)</f>
        <v>763</v>
      </c>
      <c r="H1190" s="48" t="n">
        <f aca="false">MAX(0,(C1190*'Model Inputs &amp; Assumptions'!$N$30+E1190*'Model Inputs &amp; Assumptions'!$O$30+G1190*'Model Inputs &amp; Assumptions'!$P$30)*EXP('Model Inputs &amp; Assumptions'!$Q$30*S1190-'Model Inputs &amp; Assumptions'!$Q$30^2/2))</f>
        <v>40.1259205080631</v>
      </c>
      <c r="I1190" s="49" t="n">
        <f aca="false">IF('Model Inputs &amp; Assumptions'!$H$30="Fixed",'Model Inputs &amp; Assumptions'!$I$30*'Model Inputs &amp; Assumptions'!$K$30,IF('Model Inputs &amp; Assumptions'!$H$30="CPM",'Model Inputs &amp; Assumptions'!$I$30*'Model Inputs &amp; Assumptions'!$K$30*C1190/1000,IF('Model Inputs &amp; Assumptions'!$H$30="CPC",'Model Inputs &amp; Assumptions'!$I$30*'Model Inputs &amp; Assumptions'!$K$30*G1190,0)))</f>
        <v>6900</v>
      </c>
      <c r="J1190" s="50" t="n">
        <f aca="false">H1190*INDEX('Model Inputs &amp; Assumptions'!$D$40:$D$42,MATCH('Model Inputs &amp; Assumptions'!$L$30,'Model Inputs &amp; Assumptions'!$A$40:$A$42,0))*INDEX('Model Inputs &amp; Assumptions'!$H$40:$H$42,MATCH('Model Inputs &amp; Assumptions'!$L$30,'Model Inputs &amp; Assumptions'!$A$40:$A$42,0))</f>
        <v>288906.627658054</v>
      </c>
      <c r="K1190" s="49" t="n">
        <f aca="false">H1190*INDEX('Model Inputs &amp; Assumptions'!$G$40:$G$42,MATCH('Model Inputs &amp; Assumptions'!$L$30,'Model Inputs &amp; Assumptions'!$A$40:$A$42,0))*INDEX('Model Inputs &amp; Assumptions'!$H$40:$H$42,MATCH('Model Inputs &amp; Assumptions'!$L$30,'Model Inputs &amp; Assumptions'!$A$40:$A$42,0))</f>
        <v>6370.3911398601</v>
      </c>
      <c r="L1190" s="51" t="n">
        <f aca="false">IFERROR(K1190/I1190,0)</f>
        <v>0.923245092733347</v>
      </c>
      <c r="M1190" s="49" t="n">
        <f aca="false">IFERROR(I1190/H1190,0)</f>
        <v>171.95867191666</v>
      </c>
      <c r="N1190" s="52" t="str">
        <f aca="false">'Model Inputs &amp; Assumptions'!$L$30</f>
        <v>PRD-USIQ</v>
      </c>
      <c r="P1190" s="53" t="n">
        <v>-0.548087</v>
      </c>
      <c r="Q1190" s="53" t="n">
        <v>0.272896</v>
      </c>
      <c r="R1190" s="53" t="n">
        <v>1.096511</v>
      </c>
      <c r="S1190" s="53" t="n">
        <v>-0.72247</v>
      </c>
    </row>
    <row r="1191" customFormat="false" ht="15" hidden="false" customHeight="false" outlineLevel="0" collapsed="false">
      <c r="A1191" s="43" t="n">
        <v>188</v>
      </c>
      <c r="B1191" s="44" t="str">
        <f aca="false">'Model Inputs &amp; Assumptions'!$B$30</f>
        <v>extraETF — Newsletter Takeover</v>
      </c>
      <c r="C1191" s="45" t="n">
        <f aca="false">ROUND(MAX(0,'Model Inputs &amp; Assumptions'!$S$30*EXP('Model Inputs &amp; Assumptions'!$T$30*P1191-'Model Inputs &amp; Assumptions'!$T$30^2/2)),0)</f>
        <v>68163</v>
      </c>
      <c r="D1191" s="46" t="n">
        <f aca="false">MIN(1,'Model Inputs &amp; Assumptions'!$U$30*EXP('Model Inputs &amp; Assumptions'!$V$30*Q1191-'Model Inputs &amp; Assumptions'!$V$30^2/2))</f>
        <v>0</v>
      </c>
      <c r="E1191" s="45" t="n">
        <f aca="false">ROUND(C1191*D1191,0)</f>
        <v>0</v>
      </c>
      <c r="F1191" s="47" t="n">
        <f aca="false">MIN(1,'Model Inputs &amp; Assumptions'!$W$30*EXP('Model Inputs &amp; Assumptions'!$X$30*R1191-'Model Inputs &amp; Assumptions'!$X$30^2/2))</f>
        <v>0.00873493578133555</v>
      </c>
      <c r="G1191" s="45" t="n">
        <f aca="false">ROUND(C1191*F1191,0)</f>
        <v>595</v>
      </c>
      <c r="H1191" s="48" t="n">
        <f aca="false">MAX(0,(C1191*'Model Inputs &amp; Assumptions'!$N$30+E1191*'Model Inputs &amp; Assumptions'!$O$30+G1191*'Model Inputs &amp; Assumptions'!$P$30)*EXP('Model Inputs &amp; Assumptions'!$Q$30*S1191-'Model Inputs &amp; Assumptions'!$Q$30^2/2))</f>
        <v>31.4800935873436</v>
      </c>
      <c r="I1191" s="49" t="n">
        <f aca="false">IF('Model Inputs &amp; Assumptions'!$H$30="Fixed",'Model Inputs &amp; Assumptions'!$I$30*'Model Inputs &amp; Assumptions'!$K$30,IF('Model Inputs &amp; Assumptions'!$H$30="CPM",'Model Inputs &amp; Assumptions'!$I$30*'Model Inputs &amp; Assumptions'!$K$30*C1191/1000,IF('Model Inputs &amp; Assumptions'!$H$30="CPC",'Model Inputs &amp; Assumptions'!$I$30*'Model Inputs &amp; Assumptions'!$K$30*G1191,0)))</f>
        <v>6900</v>
      </c>
      <c r="J1191" s="50" t="n">
        <f aca="false">H1191*INDEX('Model Inputs &amp; Assumptions'!$D$40:$D$42,MATCH('Model Inputs &amp; Assumptions'!$L$30,'Model Inputs &amp; Assumptions'!$A$40:$A$42,0))*INDEX('Model Inputs &amp; Assumptions'!$H$40:$H$42,MATCH('Model Inputs &amp; Assumptions'!$L$30,'Model Inputs &amp; Assumptions'!$A$40:$A$42,0))</f>
        <v>226656.673828874</v>
      </c>
      <c r="K1191" s="49" t="n">
        <f aca="false">H1191*INDEX('Model Inputs &amp; Assumptions'!$G$40:$G$42,MATCH('Model Inputs &amp; Assumptions'!$L$30,'Model Inputs &amp; Assumptions'!$A$40:$A$42,0))*INDEX('Model Inputs &amp; Assumptions'!$H$40:$H$42,MATCH('Model Inputs &amp; Assumptions'!$L$30,'Model Inputs &amp; Assumptions'!$A$40:$A$42,0))</f>
        <v>4997.77965792667</v>
      </c>
      <c r="L1191" s="51" t="n">
        <f aca="false">IFERROR(K1191/I1191,0)</f>
        <v>0.724315892453141</v>
      </c>
      <c r="M1191" s="49" t="n">
        <f aca="false">IFERROR(I1191/H1191,0)</f>
        <v>219.186133638882</v>
      </c>
      <c r="N1191" s="52" t="str">
        <f aca="false">'Model Inputs &amp; Assumptions'!$L$30</f>
        <v>PRD-USIQ</v>
      </c>
      <c r="P1191" s="53" t="n">
        <v>-2.068573</v>
      </c>
      <c r="Q1191" s="53" t="n">
        <v>-1.034067</v>
      </c>
      <c r="R1191" s="53" t="n">
        <v>0.660927</v>
      </c>
      <c r="S1191" s="53" t="n">
        <v>-0.698352</v>
      </c>
    </row>
    <row r="1192" customFormat="false" ht="15" hidden="false" customHeight="false" outlineLevel="0" collapsed="false">
      <c r="A1192" s="43" t="n">
        <v>189</v>
      </c>
      <c r="B1192" s="44" t="str">
        <f aca="false">'Model Inputs &amp; Assumptions'!$B$30</f>
        <v>extraETF — Newsletter Takeover</v>
      </c>
      <c r="C1192" s="45" t="n">
        <f aca="false">ROUND(MAX(0,'Model Inputs &amp; Assumptions'!$S$30*EXP('Model Inputs &amp; Assumptions'!$T$30*P1192-'Model Inputs &amp; Assumptions'!$T$30^2/2)),0)</f>
        <v>76980</v>
      </c>
      <c r="D1192" s="46" t="n">
        <f aca="false">MIN(1,'Model Inputs &amp; Assumptions'!$U$30*EXP('Model Inputs &amp; Assumptions'!$V$30*Q1192-'Model Inputs &amp; Assumptions'!$V$30^2/2))</f>
        <v>0</v>
      </c>
      <c r="E1192" s="45" t="n">
        <f aca="false">ROUND(C1192*D1192,0)</f>
        <v>0</v>
      </c>
      <c r="F1192" s="47" t="n">
        <f aca="false">MIN(1,'Model Inputs &amp; Assumptions'!$W$30*EXP('Model Inputs &amp; Assumptions'!$X$30*R1192-'Model Inputs &amp; Assumptions'!$X$30^2/2))</f>
        <v>0.0051275614314864</v>
      </c>
      <c r="G1192" s="45" t="n">
        <f aca="false">ROUND(C1192*F1192,0)</f>
        <v>395</v>
      </c>
      <c r="H1192" s="48" t="n">
        <f aca="false">MAX(0,(C1192*'Model Inputs &amp; Assumptions'!$N$30+E1192*'Model Inputs &amp; Assumptions'!$O$30+G1192*'Model Inputs &amp; Assumptions'!$P$30)*EXP('Model Inputs &amp; Assumptions'!$Q$30*S1192-'Model Inputs &amp; Assumptions'!$Q$30^2/2))</f>
        <v>25.6232849340205</v>
      </c>
      <c r="I1192" s="49" t="n">
        <f aca="false">IF('Model Inputs &amp; Assumptions'!$H$30="Fixed",'Model Inputs &amp; Assumptions'!$I$30*'Model Inputs &amp; Assumptions'!$K$30,IF('Model Inputs &amp; Assumptions'!$H$30="CPM",'Model Inputs &amp; Assumptions'!$I$30*'Model Inputs &amp; Assumptions'!$K$30*C1192/1000,IF('Model Inputs &amp; Assumptions'!$H$30="CPC",'Model Inputs &amp; Assumptions'!$I$30*'Model Inputs &amp; Assumptions'!$K$30*G1192,0)))</f>
        <v>6900</v>
      </c>
      <c r="J1192" s="50" t="n">
        <f aca="false">H1192*INDEX('Model Inputs &amp; Assumptions'!$D$40:$D$42,MATCH('Model Inputs &amp; Assumptions'!$L$30,'Model Inputs &amp; Assumptions'!$A$40:$A$42,0))*INDEX('Model Inputs &amp; Assumptions'!$H$40:$H$42,MATCH('Model Inputs &amp; Assumptions'!$L$30,'Model Inputs &amp; Assumptions'!$A$40:$A$42,0))</f>
        <v>184487.651524948</v>
      </c>
      <c r="K1192" s="49" t="n">
        <f aca="false">H1192*INDEX('Model Inputs &amp; Assumptions'!$G$40:$G$42,MATCH('Model Inputs &amp; Assumptions'!$L$30,'Model Inputs &amp; Assumptions'!$A$40:$A$42,0))*INDEX('Model Inputs &amp; Assumptions'!$H$40:$H$42,MATCH('Model Inputs &amp; Assumptions'!$L$30,'Model Inputs &amp; Assumptions'!$A$40:$A$42,0))</f>
        <v>4067.9527161251</v>
      </c>
      <c r="L1192" s="51" t="n">
        <f aca="false">IFERROR(K1192/I1192,0)</f>
        <v>0.589558364655811</v>
      </c>
      <c r="M1192" s="49" t="n">
        <f aca="false">IFERROR(I1192/H1192,0)</f>
        <v>269.286315855573</v>
      </c>
      <c r="N1192" s="52" t="str">
        <f aca="false">'Model Inputs &amp; Assumptions'!$L$30</f>
        <v>PRD-USIQ</v>
      </c>
      <c r="P1192" s="53" t="n">
        <v>-1.054927</v>
      </c>
      <c r="Q1192" s="53" t="n">
        <v>-0.358922</v>
      </c>
      <c r="R1192" s="53" t="n">
        <v>-2.890409</v>
      </c>
      <c r="S1192" s="53" t="n">
        <v>0.116935</v>
      </c>
    </row>
    <row r="1193" customFormat="false" ht="15" hidden="false" customHeight="false" outlineLevel="0" collapsed="false">
      <c r="A1193" s="43" t="n">
        <v>190</v>
      </c>
      <c r="B1193" s="44" t="str">
        <f aca="false">'Model Inputs &amp; Assumptions'!$B$30</f>
        <v>extraETF — Newsletter Takeover</v>
      </c>
      <c r="C1193" s="45" t="n">
        <f aca="false">ROUND(MAX(0,'Model Inputs &amp; Assumptions'!$S$30*EXP('Model Inputs &amp; Assumptions'!$T$30*P1193-'Model Inputs &amp; Assumptions'!$T$30^2/2)),0)</f>
        <v>98457</v>
      </c>
      <c r="D1193" s="46" t="n">
        <f aca="false">MIN(1,'Model Inputs &amp; Assumptions'!$U$30*EXP('Model Inputs &amp; Assumptions'!$V$30*Q1193-'Model Inputs &amp; Assumptions'!$V$30^2/2))</f>
        <v>0</v>
      </c>
      <c r="E1193" s="45" t="n">
        <f aca="false">ROUND(C1193*D1193,0)</f>
        <v>0</v>
      </c>
      <c r="F1193" s="47" t="n">
        <f aca="false">MIN(1,'Model Inputs &amp; Assumptions'!$W$30*EXP('Model Inputs &amp; Assumptions'!$X$30*R1193-'Model Inputs &amp; Assumptions'!$X$30^2/2))</f>
        <v>0.00676535706650909</v>
      </c>
      <c r="G1193" s="45" t="n">
        <f aca="false">ROUND(C1193*F1193,0)</f>
        <v>666</v>
      </c>
      <c r="H1193" s="48" t="n">
        <f aca="false">MAX(0,(C1193*'Model Inputs &amp; Assumptions'!$N$30+E1193*'Model Inputs &amp; Assumptions'!$O$30+G1193*'Model Inputs &amp; Assumptions'!$P$30)*EXP('Model Inputs &amp; Assumptions'!$Q$30*S1193-'Model Inputs &amp; Assumptions'!$Q$30^2/2))</f>
        <v>51.9806046473802</v>
      </c>
      <c r="I1193" s="49" t="n">
        <f aca="false">IF('Model Inputs &amp; Assumptions'!$H$30="Fixed",'Model Inputs &amp; Assumptions'!$I$30*'Model Inputs &amp; Assumptions'!$K$30,IF('Model Inputs &amp; Assumptions'!$H$30="CPM",'Model Inputs &amp; Assumptions'!$I$30*'Model Inputs &amp; Assumptions'!$K$30*C1193/1000,IF('Model Inputs &amp; Assumptions'!$H$30="CPC",'Model Inputs &amp; Assumptions'!$I$30*'Model Inputs &amp; Assumptions'!$K$30*G1193,0)))</f>
        <v>6900</v>
      </c>
      <c r="J1193" s="50" t="n">
        <f aca="false">H1193*INDEX('Model Inputs &amp; Assumptions'!$D$40:$D$42,MATCH('Model Inputs &amp; Assumptions'!$L$30,'Model Inputs &amp; Assumptions'!$A$40:$A$42,0))*INDEX('Model Inputs &amp; Assumptions'!$H$40:$H$42,MATCH('Model Inputs &amp; Assumptions'!$L$30,'Model Inputs &amp; Assumptions'!$A$40:$A$42,0))</f>
        <v>374260.353461138</v>
      </c>
      <c r="K1193" s="49" t="n">
        <f aca="false">H1193*INDEX('Model Inputs &amp; Assumptions'!$G$40:$G$42,MATCH('Model Inputs &amp; Assumptions'!$L$30,'Model Inputs &amp; Assumptions'!$A$40:$A$42,0))*INDEX('Model Inputs &amp; Assumptions'!$H$40:$H$42,MATCH('Model Inputs &amp; Assumptions'!$L$30,'Model Inputs &amp; Assumptions'!$A$40:$A$42,0))</f>
        <v>8252.44079381809</v>
      </c>
      <c r="L1193" s="51" t="n">
        <f aca="false">IFERROR(K1193/I1193,0)</f>
        <v>1.19600591214755</v>
      </c>
      <c r="M1193" s="49" t="n">
        <f aca="false">IFERROR(I1193/H1193,0)</f>
        <v>132.741818738112</v>
      </c>
      <c r="N1193" s="52" t="str">
        <f aca="false">'Model Inputs &amp; Assumptions'!$L$30</f>
        <v>PRD-USIQ</v>
      </c>
      <c r="P1193" s="53" t="n">
        <v>0.995693</v>
      </c>
      <c r="Q1193" s="53" t="n">
        <v>2.461682</v>
      </c>
      <c r="R1193" s="53" t="n">
        <v>-1.04251</v>
      </c>
      <c r="S1193" s="53" t="n">
        <v>0.856796</v>
      </c>
    </row>
    <row r="1194" customFormat="false" ht="15" hidden="false" customHeight="false" outlineLevel="0" collapsed="false">
      <c r="A1194" s="43" t="n">
        <v>191</v>
      </c>
      <c r="B1194" s="44" t="str">
        <f aca="false">'Model Inputs &amp; Assumptions'!$B$30</f>
        <v>extraETF — Newsletter Takeover</v>
      </c>
      <c r="C1194" s="45" t="n">
        <f aca="false">ROUND(MAX(0,'Model Inputs &amp; Assumptions'!$S$30*EXP('Model Inputs &amp; Assumptions'!$T$30*P1194-'Model Inputs &amp; Assumptions'!$T$30^2/2)),0)</f>
        <v>81693</v>
      </c>
      <c r="D1194" s="46" t="n">
        <f aca="false">MIN(1,'Model Inputs &amp; Assumptions'!$U$30*EXP('Model Inputs &amp; Assumptions'!$V$30*Q1194-'Model Inputs &amp; Assumptions'!$V$30^2/2))</f>
        <v>0</v>
      </c>
      <c r="E1194" s="45" t="n">
        <f aca="false">ROUND(C1194*D1194,0)</f>
        <v>0</v>
      </c>
      <c r="F1194" s="47" t="n">
        <f aca="false">MIN(1,'Model Inputs &amp; Assumptions'!$W$30*EXP('Model Inputs &amp; Assumptions'!$X$30*R1194-'Model Inputs &amp; Assumptions'!$X$30^2/2))</f>
        <v>0.00584871975315966</v>
      </c>
      <c r="G1194" s="45" t="n">
        <f aca="false">ROUND(C1194*F1194,0)</f>
        <v>478</v>
      </c>
      <c r="H1194" s="48" t="n">
        <f aca="false">MAX(0,(C1194*'Model Inputs &amp; Assumptions'!$N$30+E1194*'Model Inputs &amp; Assumptions'!$O$30+G1194*'Model Inputs &amp; Assumptions'!$P$30)*EXP('Model Inputs &amp; Assumptions'!$Q$30*S1194-'Model Inputs &amp; Assumptions'!$Q$30^2/2))</f>
        <v>22.9371639128117</v>
      </c>
      <c r="I1194" s="49" t="n">
        <f aca="false">IF('Model Inputs &amp; Assumptions'!$H$30="Fixed",'Model Inputs &amp; Assumptions'!$I$30*'Model Inputs &amp; Assumptions'!$K$30,IF('Model Inputs &amp; Assumptions'!$H$30="CPM",'Model Inputs &amp; Assumptions'!$I$30*'Model Inputs &amp; Assumptions'!$K$30*C1194/1000,IF('Model Inputs &amp; Assumptions'!$H$30="CPC",'Model Inputs &amp; Assumptions'!$I$30*'Model Inputs &amp; Assumptions'!$K$30*G1194,0)))</f>
        <v>6900</v>
      </c>
      <c r="J1194" s="50" t="n">
        <f aca="false">H1194*INDEX('Model Inputs &amp; Assumptions'!$D$40:$D$42,MATCH('Model Inputs &amp; Assumptions'!$L$30,'Model Inputs &amp; Assumptions'!$A$40:$A$42,0))*INDEX('Model Inputs &amp; Assumptions'!$H$40:$H$42,MATCH('Model Inputs &amp; Assumptions'!$L$30,'Model Inputs &amp; Assumptions'!$A$40:$A$42,0))</f>
        <v>165147.580172244</v>
      </c>
      <c r="K1194" s="49" t="n">
        <f aca="false">H1194*INDEX('Model Inputs &amp; Assumptions'!$G$40:$G$42,MATCH('Model Inputs &amp; Assumptions'!$L$30,'Model Inputs &amp; Assumptions'!$A$40:$A$42,0))*INDEX('Model Inputs &amp; Assumptions'!$H$40:$H$42,MATCH('Model Inputs &amp; Assumptions'!$L$30,'Model Inputs &amp; Assumptions'!$A$40:$A$42,0))</f>
        <v>3641.50414279799</v>
      </c>
      <c r="L1194" s="51" t="n">
        <f aca="false">IFERROR(K1194/I1194,0)</f>
        <v>0.527754223593911</v>
      </c>
      <c r="M1194" s="49" t="n">
        <f aca="false">IFERROR(I1194/H1194,0)</f>
        <v>300.821846424787</v>
      </c>
      <c r="N1194" s="52" t="str">
        <f aca="false">'Model Inputs &amp; Assumptions'!$L$30</f>
        <v>PRD-USIQ</v>
      </c>
      <c r="P1194" s="53" t="n">
        <v>-0.559758</v>
      </c>
      <c r="Q1194" s="53" t="n">
        <v>-1.067555</v>
      </c>
      <c r="R1194" s="53" t="n">
        <v>-2.013125</v>
      </c>
      <c r="S1194" s="53" t="n">
        <v>-1.088937</v>
      </c>
    </row>
    <row r="1195" customFormat="false" ht="15" hidden="false" customHeight="false" outlineLevel="0" collapsed="false">
      <c r="A1195" s="43" t="n">
        <v>192</v>
      </c>
      <c r="B1195" s="44" t="str">
        <f aca="false">'Model Inputs &amp; Assumptions'!$B$30</f>
        <v>extraETF — Newsletter Takeover</v>
      </c>
      <c r="C1195" s="45" t="n">
        <f aca="false">ROUND(MAX(0,'Model Inputs &amp; Assumptions'!$S$30*EXP('Model Inputs &amp; Assumptions'!$T$30*P1195-'Model Inputs &amp; Assumptions'!$T$30^2/2)),0)</f>
        <v>83668</v>
      </c>
      <c r="D1195" s="46" t="n">
        <f aca="false">MIN(1,'Model Inputs &amp; Assumptions'!$U$30*EXP('Model Inputs &amp; Assumptions'!$V$30*Q1195-'Model Inputs &amp; Assumptions'!$V$30^2/2))</f>
        <v>0</v>
      </c>
      <c r="E1195" s="45" t="n">
        <f aca="false">ROUND(C1195*D1195,0)</f>
        <v>0</v>
      </c>
      <c r="F1195" s="47" t="n">
        <f aca="false">MIN(1,'Model Inputs &amp; Assumptions'!$W$30*EXP('Model Inputs &amp; Assumptions'!$X$30*R1195-'Model Inputs &amp; Assumptions'!$X$30^2/2))</f>
        <v>0.00832360947328889</v>
      </c>
      <c r="G1195" s="45" t="n">
        <f aca="false">ROUND(C1195*F1195,0)</f>
        <v>696</v>
      </c>
      <c r="H1195" s="48" t="n">
        <f aca="false">MAX(0,(C1195*'Model Inputs &amp; Assumptions'!$N$30+E1195*'Model Inputs &amp; Assumptions'!$O$30+G1195*'Model Inputs &amp; Assumptions'!$P$30)*EXP('Model Inputs &amp; Assumptions'!$Q$30*S1195-'Model Inputs &amp; Assumptions'!$Q$30^2/2))</f>
        <v>40.7784661340712</v>
      </c>
      <c r="I1195" s="49" t="n">
        <f aca="false">IF('Model Inputs &amp; Assumptions'!$H$30="Fixed",'Model Inputs &amp; Assumptions'!$I$30*'Model Inputs &amp; Assumptions'!$K$30,IF('Model Inputs &amp; Assumptions'!$H$30="CPM",'Model Inputs &amp; Assumptions'!$I$30*'Model Inputs &amp; Assumptions'!$K$30*C1195/1000,IF('Model Inputs &amp; Assumptions'!$H$30="CPC",'Model Inputs &amp; Assumptions'!$I$30*'Model Inputs &amp; Assumptions'!$K$30*G1195,0)))</f>
        <v>6900</v>
      </c>
      <c r="J1195" s="50" t="n">
        <f aca="false">H1195*INDEX('Model Inputs &amp; Assumptions'!$D$40:$D$42,MATCH('Model Inputs &amp; Assumptions'!$L$30,'Model Inputs &amp; Assumptions'!$A$40:$A$42,0))*INDEX('Model Inputs &amp; Assumptions'!$H$40:$H$42,MATCH('Model Inputs &amp; Assumptions'!$L$30,'Model Inputs &amp; Assumptions'!$A$40:$A$42,0))</f>
        <v>293604.956165313</v>
      </c>
      <c r="K1195" s="49" t="n">
        <f aca="false">H1195*INDEX('Model Inputs &amp; Assumptions'!$G$40:$G$42,MATCH('Model Inputs &amp; Assumptions'!$L$30,'Model Inputs &amp; Assumptions'!$A$40:$A$42,0))*INDEX('Model Inputs &amp; Assumptions'!$H$40:$H$42,MATCH('Model Inputs &amp; Assumptions'!$L$30,'Model Inputs &amp; Assumptions'!$A$40:$A$42,0))</f>
        <v>6473.98928344514</v>
      </c>
      <c r="L1195" s="51" t="n">
        <f aca="false">IFERROR(K1195/I1195,0)</f>
        <v>0.938259316441325</v>
      </c>
      <c r="M1195" s="49" t="n">
        <f aca="false">IFERROR(I1195/H1195,0)</f>
        <v>169.206952937225</v>
      </c>
      <c r="N1195" s="52" t="str">
        <f aca="false">'Model Inputs &amp; Assumptions'!$L$30</f>
        <v>PRD-USIQ</v>
      </c>
      <c r="P1195" s="53" t="n">
        <v>-0.36069</v>
      </c>
      <c r="Q1195" s="53" t="n">
        <v>-0.279763</v>
      </c>
      <c r="R1195" s="53" t="n">
        <v>0.339363</v>
      </c>
      <c r="S1195" s="53" t="n">
        <v>-0.29031</v>
      </c>
    </row>
    <row r="1196" customFormat="false" ht="15" hidden="false" customHeight="false" outlineLevel="0" collapsed="false">
      <c r="A1196" s="43" t="n">
        <v>193</v>
      </c>
      <c r="B1196" s="44" t="str">
        <f aca="false">'Model Inputs &amp; Assumptions'!$B$30</f>
        <v>extraETF — Newsletter Takeover</v>
      </c>
      <c r="C1196" s="45" t="n">
        <f aca="false">ROUND(MAX(0,'Model Inputs &amp; Assumptions'!$S$30*EXP('Model Inputs &amp; Assumptions'!$T$30*P1196-'Model Inputs &amp; Assumptions'!$T$30^2/2)),0)</f>
        <v>85111</v>
      </c>
      <c r="D1196" s="46" t="n">
        <f aca="false">MIN(1,'Model Inputs &amp; Assumptions'!$U$30*EXP('Model Inputs &amp; Assumptions'!$V$30*Q1196-'Model Inputs &amp; Assumptions'!$V$30^2/2))</f>
        <v>0</v>
      </c>
      <c r="E1196" s="45" t="n">
        <f aca="false">ROUND(C1196*D1196,0)</f>
        <v>0</v>
      </c>
      <c r="F1196" s="47" t="n">
        <f aca="false">MIN(1,'Model Inputs &amp; Assumptions'!$W$30*EXP('Model Inputs &amp; Assumptions'!$X$30*R1196-'Model Inputs &amp; Assumptions'!$X$30^2/2))</f>
        <v>0.00796711935676462</v>
      </c>
      <c r="G1196" s="45" t="n">
        <f aca="false">ROUND(C1196*F1196,0)</f>
        <v>678</v>
      </c>
      <c r="H1196" s="48" t="n">
        <f aca="false">MAX(0,(C1196*'Model Inputs &amp; Assumptions'!$N$30+E1196*'Model Inputs &amp; Assumptions'!$O$30+G1196*'Model Inputs &amp; Assumptions'!$P$30)*EXP('Model Inputs &amp; Assumptions'!$Q$30*S1196-'Model Inputs &amp; Assumptions'!$Q$30^2/2))</f>
        <v>47.0499488483268</v>
      </c>
      <c r="I1196" s="49" t="n">
        <f aca="false">IF('Model Inputs &amp; Assumptions'!$H$30="Fixed",'Model Inputs &amp; Assumptions'!$I$30*'Model Inputs &amp; Assumptions'!$K$30,IF('Model Inputs &amp; Assumptions'!$H$30="CPM",'Model Inputs &amp; Assumptions'!$I$30*'Model Inputs &amp; Assumptions'!$K$30*C1196/1000,IF('Model Inputs &amp; Assumptions'!$H$30="CPC",'Model Inputs &amp; Assumptions'!$I$30*'Model Inputs &amp; Assumptions'!$K$30*G1196,0)))</f>
        <v>6900</v>
      </c>
      <c r="J1196" s="50" t="n">
        <f aca="false">H1196*INDEX('Model Inputs &amp; Assumptions'!$D$40:$D$42,MATCH('Model Inputs &amp; Assumptions'!$L$30,'Model Inputs &amp; Assumptions'!$A$40:$A$42,0))*INDEX('Model Inputs &amp; Assumptions'!$H$40:$H$42,MATCH('Model Inputs &amp; Assumptions'!$L$30,'Model Inputs &amp; Assumptions'!$A$40:$A$42,0))</f>
        <v>338759.631707953</v>
      </c>
      <c r="K1196" s="49" t="n">
        <f aca="false">H1196*INDEX('Model Inputs &amp; Assumptions'!$G$40:$G$42,MATCH('Model Inputs &amp; Assumptions'!$L$30,'Model Inputs &amp; Assumptions'!$A$40:$A$42,0))*INDEX('Model Inputs &amp; Assumptions'!$H$40:$H$42,MATCH('Model Inputs &amp; Assumptions'!$L$30,'Model Inputs &amp; Assumptions'!$A$40:$A$42,0))</f>
        <v>7469.64987916036</v>
      </c>
      <c r="L1196" s="51" t="n">
        <f aca="false">IFERROR(K1196/I1196,0)</f>
        <v>1.0825579535015</v>
      </c>
      <c r="M1196" s="49" t="n">
        <f aca="false">IFERROR(I1196/H1196,0)</f>
        <v>146.652656780633</v>
      </c>
      <c r="N1196" s="52" t="str">
        <f aca="false">'Model Inputs &amp; Assumptions'!$L$30</f>
        <v>PRD-USIQ</v>
      </c>
      <c r="P1196" s="53" t="n">
        <v>-0.218128</v>
      </c>
      <c r="Q1196" s="53" t="n">
        <v>-0.407046</v>
      </c>
      <c r="R1196" s="53" t="n">
        <v>0.047543</v>
      </c>
      <c r="S1196" s="53" t="n">
        <v>0.386722</v>
      </c>
    </row>
    <row r="1197" customFormat="false" ht="15" hidden="false" customHeight="false" outlineLevel="0" collapsed="false">
      <c r="A1197" s="43" t="n">
        <v>194</v>
      </c>
      <c r="B1197" s="44" t="str">
        <f aca="false">'Model Inputs &amp; Assumptions'!$B$30</f>
        <v>extraETF — Newsletter Takeover</v>
      </c>
      <c r="C1197" s="45" t="n">
        <f aca="false">ROUND(MAX(0,'Model Inputs &amp; Assumptions'!$S$30*EXP('Model Inputs &amp; Assumptions'!$T$30*P1197-'Model Inputs &amp; Assumptions'!$T$30^2/2)),0)</f>
        <v>78794</v>
      </c>
      <c r="D1197" s="46" t="n">
        <f aca="false">MIN(1,'Model Inputs &amp; Assumptions'!$U$30*EXP('Model Inputs &amp; Assumptions'!$V$30*Q1197-'Model Inputs &amp; Assumptions'!$V$30^2/2))</f>
        <v>0</v>
      </c>
      <c r="E1197" s="45" t="n">
        <f aca="false">ROUND(C1197*D1197,0)</f>
        <v>0</v>
      </c>
      <c r="F1197" s="47" t="n">
        <f aca="false">MIN(1,'Model Inputs &amp; Assumptions'!$W$30*EXP('Model Inputs &amp; Assumptions'!$X$30*R1197-'Model Inputs &amp; Assumptions'!$X$30^2/2))</f>
        <v>0.0094054724149213</v>
      </c>
      <c r="G1197" s="45" t="n">
        <f aca="false">ROUND(C1197*F1197,0)</f>
        <v>741</v>
      </c>
      <c r="H1197" s="48" t="n">
        <f aca="false">MAX(0,(C1197*'Model Inputs &amp; Assumptions'!$N$30+E1197*'Model Inputs &amp; Assumptions'!$O$30+G1197*'Model Inputs &amp; Assumptions'!$P$30)*EXP('Model Inputs &amp; Assumptions'!$Q$30*S1197-'Model Inputs &amp; Assumptions'!$Q$30^2/2))</f>
        <v>46.917482454092</v>
      </c>
      <c r="I1197" s="49" t="n">
        <f aca="false">IF('Model Inputs &amp; Assumptions'!$H$30="Fixed",'Model Inputs &amp; Assumptions'!$I$30*'Model Inputs &amp; Assumptions'!$K$30,IF('Model Inputs &amp; Assumptions'!$H$30="CPM",'Model Inputs &amp; Assumptions'!$I$30*'Model Inputs &amp; Assumptions'!$K$30*C1197/1000,IF('Model Inputs &amp; Assumptions'!$H$30="CPC",'Model Inputs &amp; Assumptions'!$I$30*'Model Inputs &amp; Assumptions'!$K$30*G1197,0)))</f>
        <v>6900</v>
      </c>
      <c r="J1197" s="50" t="n">
        <f aca="false">H1197*INDEX('Model Inputs &amp; Assumptions'!$D$40:$D$42,MATCH('Model Inputs &amp; Assumptions'!$L$30,'Model Inputs &amp; Assumptions'!$A$40:$A$42,0))*INDEX('Model Inputs &amp; Assumptions'!$H$40:$H$42,MATCH('Model Inputs &amp; Assumptions'!$L$30,'Model Inputs &amp; Assumptions'!$A$40:$A$42,0))</f>
        <v>337805.873669463</v>
      </c>
      <c r="K1197" s="49" t="n">
        <f aca="false">H1197*INDEX('Model Inputs &amp; Assumptions'!$G$40:$G$42,MATCH('Model Inputs &amp; Assumptions'!$L$30,'Model Inputs &amp; Assumptions'!$A$40:$A$42,0))*INDEX('Model Inputs &amp; Assumptions'!$H$40:$H$42,MATCH('Model Inputs &amp; Assumptions'!$L$30,'Model Inputs &amp; Assumptions'!$A$40:$A$42,0))</f>
        <v>7448.61951441165</v>
      </c>
      <c r="L1197" s="51" t="n">
        <f aca="false">IFERROR(K1197/I1197,0)</f>
        <v>1.07951007455241</v>
      </c>
      <c r="M1197" s="49" t="n">
        <f aca="false">IFERROR(I1197/H1197,0)</f>
        <v>147.066714561071</v>
      </c>
      <c r="N1197" s="52" t="str">
        <f aca="false">'Model Inputs &amp; Assumptions'!$L$30</f>
        <v>PRD-USIQ</v>
      </c>
      <c r="P1197" s="53" t="n">
        <v>-0.860834</v>
      </c>
      <c r="Q1197" s="53" t="n">
        <v>-0.767194</v>
      </c>
      <c r="R1197" s="53" t="n">
        <v>1.154001</v>
      </c>
      <c r="S1197" s="53" t="n">
        <v>0.020031</v>
      </c>
    </row>
    <row r="1198" customFormat="false" ht="15" hidden="false" customHeight="false" outlineLevel="0" collapsed="false">
      <c r="A1198" s="43" t="n">
        <v>195</v>
      </c>
      <c r="B1198" s="44" t="str">
        <f aca="false">'Model Inputs &amp; Assumptions'!$B$30</f>
        <v>extraETF — Newsletter Takeover</v>
      </c>
      <c r="C1198" s="45" t="n">
        <f aca="false">ROUND(MAX(0,'Model Inputs &amp; Assumptions'!$S$30*EXP('Model Inputs &amp; Assumptions'!$T$30*P1198-'Model Inputs &amp; Assumptions'!$T$30^2/2)),0)</f>
        <v>81972</v>
      </c>
      <c r="D1198" s="46" t="n">
        <f aca="false">MIN(1,'Model Inputs &amp; Assumptions'!$U$30*EXP('Model Inputs &amp; Assumptions'!$V$30*Q1198-'Model Inputs &amp; Assumptions'!$V$30^2/2))</f>
        <v>0</v>
      </c>
      <c r="E1198" s="45" t="n">
        <f aca="false">ROUND(C1198*D1198,0)</f>
        <v>0</v>
      </c>
      <c r="F1198" s="47" t="n">
        <f aca="false">MIN(1,'Model Inputs &amp; Assumptions'!$W$30*EXP('Model Inputs &amp; Assumptions'!$X$30*R1198-'Model Inputs &amp; Assumptions'!$X$30^2/2))</f>
        <v>0.00838686625926005</v>
      </c>
      <c r="G1198" s="45" t="n">
        <f aca="false">ROUND(C1198*F1198,0)</f>
        <v>687</v>
      </c>
      <c r="H1198" s="48" t="n">
        <f aca="false">MAX(0,(C1198*'Model Inputs &amp; Assumptions'!$N$30+E1198*'Model Inputs &amp; Assumptions'!$O$30+G1198*'Model Inputs &amp; Assumptions'!$P$30)*EXP('Model Inputs &amp; Assumptions'!$Q$30*S1198-'Model Inputs &amp; Assumptions'!$Q$30^2/2))</f>
        <v>56.8931691100625</v>
      </c>
      <c r="I1198" s="49" t="n">
        <f aca="false">IF('Model Inputs &amp; Assumptions'!$H$30="Fixed",'Model Inputs &amp; Assumptions'!$I$30*'Model Inputs &amp; Assumptions'!$K$30,IF('Model Inputs &amp; Assumptions'!$H$30="CPM",'Model Inputs &amp; Assumptions'!$I$30*'Model Inputs &amp; Assumptions'!$K$30*C1198/1000,IF('Model Inputs &amp; Assumptions'!$H$30="CPC",'Model Inputs &amp; Assumptions'!$I$30*'Model Inputs &amp; Assumptions'!$K$30*G1198,0)))</f>
        <v>6900</v>
      </c>
      <c r="J1198" s="50" t="n">
        <f aca="false">H1198*INDEX('Model Inputs &amp; Assumptions'!$D$40:$D$42,MATCH('Model Inputs &amp; Assumptions'!$L$30,'Model Inputs &amp; Assumptions'!$A$40:$A$42,0))*INDEX('Model Inputs &amp; Assumptions'!$H$40:$H$42,MATCH('Model Inputs &amp; Assumptions'!$L$30,'Model Inputs &amp; Assumptions'!$A$40:$A$42,0))</f>
        <v>409630.81759245</v>
      </c>
      <c r="K1198" s="49" t="n">
        <f aca="false">H1198*INDEX('Model Inputs &amp; Assumptions'!$G$40:$G$42,MATCH('Model Inputs &amp; Assumptions'!$L$30,'Model Inputs &amp; Assumptions'!$A$40:$A$42,0))*INDEX('Model Inputs &amp; Assumptions'!$H$40:$H$42,MATCH('Model Inputs &amp; Assumptions'!$L$30,'Model Inputs &amp; Assumptions'!$A$40:$A$42,0))</f>
        <v>9032.35952791352</v>
      </c>
      <c r="L1198" s="51" t="n">
        <f aca="false">IFERROR(K1198/I1198,0)</f>
        <v>1.30903761274109</v>
      </c>
      <c r="M1198" s="49" t="n">
        <f aca="false">IFERROR(I1198/H1198,0)</f>
        <v>121.27993760818</v>
      </c>
      <c r="N1198" s="52" t="str">
        <f aca="false">'Model Inputs &amp; Assumptions'!$L$30</f>
        <v>PRD-USIQ</v>
      </c>
      <c r="P1198" s="53" t="n">
        <v>-0.531285</v>
      </c>
      <c r="Q1198" s="53" t="n">
        <v>0.151513</v>
      </c>
      <c r="R1198" s="53" t="n">
        <v>0.389836</v>
      </c>
      <c r="S1198" s="53" t="n">
        <v>1.093836</v>
      </c>
    </row>
    <row r="1199" customFormat="false" ht="15" hidden="false" customHeight="false" outlineLevel="0" collapsed="false">
      <c r="A1199" s="43" t="n">
        <v>196</v>
      </c>
      <c r="B1199" s="44" t="str">
        <f aca="false">'Model Inputs &amp; Assumptions'!$B$30</f>
        <v>extraETF — Newsletter Takeover</v>
      </c>
      <c r="C1199" s="45" t="n">
        <f aca="false">ROUND(MAX(0,'Model Inputs &amp; Assumptions'!$S$30*EXP('Model Inputs &amp; Assumptions'!$T$30*P1199-'Model Inputs &amp; Assumptions'!$T$30^2/2)),0)</f>
        <v>78322</v>
      </c>
      <c r="D1199" s="46" t="n">
        <f aca="false">MIN(1,'Model Inputs &amp; Assumptions'!$U$30*EXP('Model Inputs &amp; Assumptions'!$V$30*Q1199-'Model Inputs &amp; Assumptions'!$V$30^2/2))</f>
        <v>0</v>
      </c>
      <c r="E1199" s="45" t="n">
        <f aca="false">ROUND(C1199*D1199,0)</f>
        <v>0</v>
      </c>
      <c r="F1199" s="47" t="n">
        <f aca="false">MIN(1,'Model Inputs &amp; Assumptions'!$W$30*EXP('Model Inputs &amp; Assumptions'!$X$30*R1199-'Model Inputs &amp; Assumptions'!$X$30^2/2))</f>
        <v>0.00692829285565722</v>
      </c>
      <c r="G1199" s="45" t="n">
        <f aca="false">ROUND(C1199*F1199,0)</f>
        <v>543</v>
      </c>
      <c r="H1199" s="48" t="n">
        <f aca="false">MAX(0,(C1199*'Model Inputs &amp; Assumptions'!$N$30+E1199*'Model Inputs &amp; Assumptions'!$O$30+G1199*'Model Inputs &amp; Assumptions'!$P$30)*EXP('Model Inputs &amp; Assumptions'!$Q$30*S1199-'Model Inputs &amp; Assumptions'!$Q$30^2/2))</f>
        <v>21.608560612941</v>
      </c>
      <c r="I1199" s="49" t="n">
        <f aca="false">IF('Model Inputs &amp; Assumptions'!$H$30="Fixed",'Model Inputs &amp; Assumptions'!$I$30*'Model Inputs &amp; Assumptions'!$K$30,IF('Model Inputs &amp; Assumptions'!$H$30="CPM",'Model Inputs &amp; Assumptions'!$I$30*'Model Inputs &amp; Assumptions'!$K$30*C1199/1000,IF('Model Inputs &amp; Assumptions'!$H$30="CPC",'Model Inputs &amp; Assumptions'!$I$30*'Model Inputs &amp; Assumptions'!$K$30*G1199,0)))</f>
        <v>6900</v>
      </c>
      <c r="J1199" s="50" t="n">
        <f aca="false">H1199*INDEX('Model Inputs &amp; Assumptions'!$D$40:$D$42,MATCH('Model Inputs &amp; Assumptions'!$L$30,'Model Inputs &amp; Assumptions'!$A$40:$A$42,0))*INDEX('Model Inputs &amp; Assumptions'!$H$40:$H$42,MATCH('Model Inputs &amp; Assumptions'!$L$30,'Model Inputs &amp; Assumptions'!$A$40:$A$42,0))</f>
        <v>155581.636413175</v>
      </c>
      <c r="K1199" s="49" t="n">
        <f aca="false">H1199*INDEX('Model Inputs &amp; Assumptions'!$G$40:$G$42,MATCH('Model Inputs &amp; Assumptions'!$L$30,'Model Inputs &amp; Assumptions'!$A$40:$A$42,0))*INDEX('Model Inputs &amp; Assumptions'!$H$40:$H$42,MATCH('Model Inputs &amp; Assumptions'!$L$30,'Model Inputs &amp; Assumptions'!$A$40:$A$42,0))</f>
        <v>3430.57508291052</v>
      </c>
      <c r="L1199" s="51" t="n">
        <f aca="false">IFERROR(K1199/I1199,0)</f>
        <v>0.497184794624712</v>
      </c>
      <c r="M1199" s="49" t="n">
        <f aca="false">IFERROR(I1199/H1199,0)</f>
        <v>319.317890885694</v>
      </c>
      <c r="N1199" s="52" t="str">
        <f aca="false">'Model Inputs &amp; Assumptions'!$L$30</f>
        <v>PRD-USIQ</v>
      </c>
      <c r="P1199" s="53" t="n">
        <v>-0.910851</v>
      </c>
      <c r="Q1199" s="53" t="n">
        <v>-1.628666</v>
      </c>
      <c r="R1199" s="53" t="n">
        <v>-0.883854</v>
      </c>
      <c r="S1199" s="53" t="n">
        <v>-1.837607</v>
      </c>
    </row>
    <row r="1200" customFormat="false" ht="15" hidden="false" customHeight="false" outlineLevel="0" collapsed="false">
      <c r="A1200" s="43" t="n">
        <v>197</v>
      </c>
      <c r="B1200" s="44" t="str">
        <f aca="false">'Model Inputs &amp; Assumptions'!$B$30</f>
        <v>extraETF — Newsletter Takeover</v>
      </c>
      <c r="C1200" s="45" t="n">
        <f aca="false">ROUND(MAX(0,'Model Inputs &amp; Assumptions'!$S$30*EXP('Model Inputs &amp; Assumptions'!$T$30*P1200-'Model Inputs &amp; Assumptions'!$T$30^2/2)),0)</f>
        <v>89260</v>
      </c>
      <c r="D1200" s="46" t="n">
        <f aca="false">MIN(1,'Model Inputs &amp; Assumptions'!$U$30*EXP('Model Inputs &amp; Assumptions'!$V$30*Q1200-'Model Inputs &amp; Assumptions'!$V$30^2/2))</f>
        <v>0</v>
      </c>
      <c r="E1200" s="45" t="n">
        <f aca="false">ROUND(C1200*D1200,0)</f>
        <v>0</v>
      </c>
      <c r="F1200" s="47" t="n">
        <f aca="false">MIN(1,'Model Inputs &amp; Assumptions'!$W$30*EXP('Model Inputs &amp; Assumptions'!$X$30*R1200-'Model Inputs &amp; Assumptions'!$X$30^2/2))</f>
        <v>0.00761184161302389</v>
      </c>
      <c r="G1200" s="45" t="n">
        <f aca="false">ROUND(C1200*F1200,0)</f>
        <v>679</v>
      </c>
      <c r="H1200" s="48" t="n">
        <f aca="false">MAX(0,(C1200*'Model Inputs &amp; Assumptions'!$N$30+E1200*'Model Inputs &amp; Assumptions'!$O$30+G1200*'Model Inputs &amp; Assumptions'!$P$30)*EXP('Model Inputs &amp; Assumptions'!$Q$30*S1200-'Model Inputs &amp; Assumptions'!$Q$30^2/2))</f>
        <v>41.9902361430222</v>
      </c>
      <c r="I1200" s="49" t="n">
        <f aca="false">IF('Model Inputs &amp; Assumptions'!$H$30="Fixed",'Model Inputs &amp; Assumptions'!$I$30*'Model Inputs &amp; Assumptions'!$K$30,IF('Model Inputs &amp; Assumptions'!$H$30="CPM",'Model Inputs &amp; Assumptions'!$I$30*'Model Inputs &amp; Assumptions'!$K$30*C1200/1000,IF('Model Inputs &amp; Assumptions'!$H$30="CPC",'Model Inputs &amp; Assumptions'!$I$30*'Model Inputs &amp; Assumptions'!$K$30*G1200,0)))</f>
        <v>6900</v>
      </c>
      <c r="J1200" s="50" t="n">
        <f aca="false">H1200*INDEX('Model Inputs &amp; Assumptions'!$D$40:$D$42,MATCH('Model Inputs &amp; Assumptions'!$L$30,'Model Inputs &amp; Assumptions'!$A$40:$A$42,0))*INDEX('Model Inputs &amp; Assumptions'!$H$40:$H$42,MATCH('Model Inputs &amp; Assumptions'!$L$30,'Model Inputs &amp; Assumptions'!$A$40:$A$42,0))</f>
        <v>302329.70022976</v>
      </c>
      <c r="K1200" s="49" t="n">
        <f aca="false">H1200*INDEX('Model Inputs &amp; Assumptions'!$G$40:$G$42,MATCH('Model Inputs &amp; Assumptions'!$L$30,'Model Inputs &amp; Assumptions'!$A$40:$A$42,0))*INDEX('Model Inputs &amp; Assumptions'!$H$40:$H$42,MATCH('Model Inputs &amp; Assumptions'!$L$30,'Model Inputs &amp; Assumptions'!$A$40:$A$42,0))</f>
        <v>6666.36989006621</v>
      </c>
      <c r="L1200" s="51" t="n">
        <f aca="false">IFERROR(K1200/I1200,0)</f>
        <v>0.966140563777711</v>
      </c>
      <c r="M1200" s="49" t="n">
        <f aca="false">IFERROR(I1200/H1200,0)</f>
        <v>164.323915123936</v>
      </c>
      <c r="N1200" s="52" t="str">
        <f aca="false">'Model Inputs &amp; Assumptions'!$L$30</f>
        <v>PRD-USIQ</v>
      </c>
      <c r="P1200" s="53" t="n">
        <v>0.178427</v>
      </c>
      <c r="Q1200" s="53" t="n">
        <v>0.258585</v>
      </c>
      <c r="R1200" s="53" t="n">
        <v>-0.256576</v>
      </c>
      <c r="S1200" s="53" t="n">
        <v>-0.074264</v>
      </c>
    </row>
    <row r="1201" customFormat="false" ht="15" hidden="false" customHeight="false" outlineLevel="0" collapsed="false">
      <c r="A1201" s="43" t="n">
        <v>198</v>
      </c>
      <c r="B1201" s="44" t="str">
        <f aca="false">'Model Inputs &amp; Assumptions'!$B$30</f>
        <v>extraETF — Newsletter Takeover</v>
      </c>
      <c r="C1201" s="45" t="n">
        <f aca="false">ROUND(MAX(0,'Model Inputs &amp; Assumptions'!$S$30*EXP('Model Inputs &amp; Assumptions'!$T$30*P1201-'Model Inputs &amp; Assumptions'!$T$30^2/2)),0)</f>
        <v>81298</v>
      </c>
      <c r="D1201" s="46" t="n">
        <f aca="false">MIN(1,'Model Inputs &amp; Assumptions'!$U$30*EXP('Model Inputs &amp; Assumptions'!$V$30*Q1201-'Model Inputs &amp; Assumptions'!$V$30^2/2))</f>
        <v>0</v>
      </c>
      <c r="E1201" s="45" t="n">
        <f aca="false">ROUND(C1201*D1201,0)</f>
        <v>0</v>
      </c>
      <c r="F1201" s="47" t="n">
        <f aca="false">MIN(1,'Model Inputs &amp; Assumptions'!$W$30*EXP('Model Inputs &amp; Assumptions'!$X$30*R1201-'Model Inputs &amp; Assumptions'!$X$30^2/2))</f>
        <v>0.00738906305705906</v>
      </c>
      <c r="G1201" s="45" t="n">
        <f aca="false">ROUND(C1201*F1201,0)</f>
        <v>601</v>
      </c>
      <c r="H1201" s="48" t="n">
        <f aca="false">MAX(0,(C1201*'Model Inputs &amp; Assumptions'!$N$30+E1201*'Model Inputs &amp; Assumptions'!$O$30+G1201*'Model Inputs &amp; Assumptions'!$P$30)*EXP('Model Inputs &amp; Assumptions'!$Q$30*S1201-'Model Inputs &amp; Assumptions'!$Q$30^2/2))</f>
        <v>19.2088800640641</v>
      </c>
      <c r="I1201" s="49" t="n">
        <f aca="false">IF('Model Inputs &amp; Assumptions'!$H$30="Fixed",'Model Inputs &amp; Assumptions'!$I$30*'Model Inputs &amp; Assumptions'!$K$30,IF('Model Inputs &amp; Assumptions'!$H$30="CPM",'Model Inputs &amp; Assumptions'!$I$30*'Model Inputs &amp; Assumptions'!$K$30*C1201/1000,IF('Model Inputs &amp; Assumptions'!$H$30="CPC",'Model Inputs &amp; Assumptions'!$I$30*'Model Inputs &amp; Assumptions'!$K$30*G1201,0)))</f>
        <v>6900</v>
      </c>
      <c r="J1201" s="50" t="n">
        <f aca="false">H1201*INDEX('Model Inputs &amp; Assumptions'!$D$40:$D$42,MATCH('Model Inputs &amp; Assumptions'!$L$30,'Model Inputs &amp; Assumptions'!$A$40:$A$42,0))*INDEX('Model Inputs &amp; Assumptions'!$H$40:$H$42,MATCH('Model Inputs &amp; Assumptions'!$L$30,'Model Inputs &amp; Assumptions'!$A$40:$A$42,0))</f>
        <v>138303.936461262</v>
      </c>
      <c r="K1201" s="49" t="n">
        <f aca="false">H1201*INDEX('Model Inputs &amp; Assumptions'!$G$40:$G$42,MATCH('Model Inputs &amp; Assumptions'!$L$30,'Model Inputs &amp; Assumptions'!$A$40:$A$42,0))*INDEX('Model Inputs &amp; Assumptions'!$H$40:$H$42,MATCH('Model Inputs &amp; Assumptions'!$L$30,'Model Inputs &amp; Assumptions'!$A$40:$A$42,0))</f>
        <v>3049.60179897082</v>
      </c>
      <c r="L1201" s="51" t="n">
        <f aca="false">IFERROR(K1201/I1201,0)</f>
        <v>0.441971275213163</v>
      </c>
      <c r="M1201" s="49" t="n">
        <f aca="false">IFERROR(I1201/H1201,0)</f>
        <v>359.208864701513</v>
      </c>
      <c r="N1201" s="52" t="str">
        <f aca="false">'Model Inputs &amp; Assumptions'!$L$30</f>
        <v>PRD-USIQ</v>
      </c>
      <c r="P1201" s="53" t="n">
        <v>-0.600086</v>
      </c>
      <c r="Q1201" s="53" t="n">
        <v>-0.379983</v>
      </c>
      <c r="R1201" s="53" t="n">
        <v>-0.454604</v>
      </c>
      <c r="S1201" s="53" t="n">
        <v>-2.714417</v>
      </c>
    </row>
    <row r="1202" customFormat="false" ht="15" hidden="false" customHeight="false" outlineLevel="0" collapsed="false">
      <c r="A1202" s="43" t="n">
        <v>199</v>
      </c>
      <c r="B1202" s="44" t="str">
        <f aca="false">'Model Inputs &amp; Assumptions'!$B$30</f>
        <v>extraETF — Newsletter Takeover</v>
      </c>
      <c r="C1202" s="45" t="n">
        <f aca="false">ROUND(MAX(0,'Model Inputs &amp; Assumptions'!$S$30*EXP('Model Inputs &amp; Assumptions'!$T$30*P1202-'Model Inputs &amp; Assumptions'!$T$30^2/2)),0)</f>
        <v>74666</v>
      </c>
      <c r="D1202" s="46" t="n">
        <f aca="false">MIN(1,'Model Inputs &amp; Assumptions'!$U$30*EXP('Model Inputs &amp; Assumptions'!$V$30*Q1202-'Model Inputs &amp; Assumptions'!$V$30^2/2))</f>
        <v>0</v>
      </c>
      <c r="E1202" s="45" t="n">
        <f aca="false">ROUND(C1202*D1202,0)</f>
        <v>0</v>
      </c>
      <c r="F1202" s="47" t="n">
        <f aca="false">MIN(1,'Model Inputs &amp; Assumptions'!$W$30*EXP('Model Inputs &amp; Assumptions'!$X$30*R1202-'Model Inputs &amp; Assumptions'!$X$30^2/2))</f>
        <v>0.00953491325694734</v>
      </c>
      <c r="G1202" s="45" t="n">
        <f aca="false">ROUND(C1202*F1202,0)</f>
        <v>712</v>
      </c>
      <c r="H1202" s="48" t="n">
        <f aca="false">MAX(0,(C1202*'Model Inputs &amp; Assumptions'!$N$30+E1202*'Model Inputs &amp; Assumptions'!$O$30+G1202*'Model Inputs &amp; Assumptions'!$P$30)*EXP('Model Inputs &amp; Assumptions'!$Q$30*S1202-'Model Inputs &amp; Assumptions'!$Q$30^2/2))</f>
        <v>34.9703969554722</v>
      </c>
      <c r="I1202" s="49" t="n">
        <f aca="false">IF('Model Inputs &amp; Assumptions'!$H$30="Fixed",'Model Inputs &amp; Assumptions'!$I$30*'Model Inputs &amp; Assumptions'!$K$30,IF('Model Inputs &amp; Assumptions'!$H$30="CPM",'Model Inputs &amp; Assumptions'!$I$30*'Model Inputs &amp; Assumptions'!$K$30*C1202/1000,IF('Model Inputs &amp; Assumptions'!$H$30="CPC",'Model Inputs &amp; Assumptions'!$I$30*'Model Inputs &amp; Assumptions'!$K$30*G1202,0)))</f>
        <v>6900</v>
      </c>
      <c r="J1202" s="50" t="n">
        <f aca="false">H1202*INDEX('Model Inputs &amp; Assumptions'!$D$40:$D$42,MATCH('Model Inputs &amp; Assumptions'!$L$30,'Model Inputs &amp; Assumptions'!$A$40:$A$42,0))*INDEX('Model Inputs &amp; Assumptions'!$H$40:$H$42,MATCH('Model Inputs &amp; Assumptions'!$L$30,'Model Inputs &amp; Assumptions'!$A$40:$A$42,0))</f>
        <v>251786.8580794</v>
      </c>
      <c r="K1202" s="49" t="n">
        <f aca="false">H1202*INDEX('Model Inputs &amp; Assumptions'!$G$40:$G$42,MATCH('Model Inputs &amp; Assumptions'!$L$30,'Model Inputs &amp; Assumptions'!$A$40:$A$42,0))*INDEX('Model Inputs &amp; Assumptions'!$H$40:$H$42,MATCH('Model Inputs &amp; Assumptions'!$L$30,'Model Inputs &amp; Assumptions'!$A$40:$A$42,0))</f>
        <v>5551.90022065076</v>
      </c>
      <c r="L1202" s="51" t="n">
        <f aca="false">IFERROR(K1202/I1202,0)</f>
        <v>0.804623220384168</v>
      </c>
      <c r="M1202" s="49" t="n">
        <f aca="false">IFERROR(I1202/H1202,0)</f>
        <v>197.309741973641</v>
      </c>
      <c r="N1202" s="52" t="str">
        <f aca="false">'Model Inputs &amp; Assumptions'!$L$30</f>
        <v>PRD-USIQ</v>
      </c>
      <c r="P1202" s="53" t="n">
        <v>-1.30927</v>
      </c>
      <c r="Q1202" s="53" t="n">
        <v>-1.150204</v>
      </c>
      <c r="R1202" s="53" t="n">
        <v>1.245124</v>
      </c>
      <c r="S1202" s="53" t="n">
        <v>-0.995832</v>
      </c>
    </row>
    <row r="1203" customFormat="false" ht="15" hidden="false" customHeight="false" outlineLevel="0" collapsed="false">
      <c r="A1203" s="43" t="n">
        <v>200</v>
      </c>
      <c r="B1203" s="44" t="str">
        <f aca="false">'Model Inputs &amp; Assumptions'!$B$30</f>
        <v>extraETF — Newsletter Takeover</v>
      </c>
      <c r="C1203" s="45" t="n">
        <f aca="false">ROUND(MAX(0,'Model Inputs &amp; Assumptions'!$S$30*EXP('Model Inputs &amp; Assumptions'!$T$30*P1203-'Model Inputs &amp; Assumptions'!$T$30^2/2)),0)</f>
        <v>93983</v>
      </c>
      <c r="D1203" s="46" t="n">
        <f aca="false">MIN(1,'Model Inputs &amp; Assumptions'!$U$30*EXP('Model Inputs &amp; Assumptions'!$V$30*Q1203-'Model Inputs &amp; Assumptions'!$V$30^2/2))</f>
        <v>0</v>
      </c>
      <c r="E1203" s="45" t="n">
        <f aca="false">ROUND(C1203*D1203,0)</f>
        <v>0</v>
      </c>
      <c r="F1203" s="47" t="n">
        <f aca="false">MIN(1,'Model Inputs &amp; Assumptions'!$W$30*EXP('Model Inputs &amp; Assumptions'!$X$30*R1203-'Model Inputs &amp; Assumptions'!$X$30^2/2))</f>
        <v>0.0086575051458931</v>
      </c>
      <c r="G1203" s="45" t="n">
        <f aca="false">ROUND(C1203*F1203,0)</f>
        <v>814</v>
      </c>
      <c r="H1203" s="48" t="n">
        <f aca="false">MAX(0,(C1203*'Model Inputs &amp; Assumptions'!$N$30+E1203*'Model Inputs &amp; Assumptions'!$O$30+G1203*'Model Inputs &amp; Assumptions'!$P$30)*EXP('Model Inputs &amp; Assumptions'!$Q$30*S1203-'Model Inputs &amp; Assumptions'!$Q$30^2/2))</f>
        <v>42.8194036823201</v>
      </c>
      <c r="I1203" s="49" t="n">
        <f aca="false">IF('Model Inputs &amp; Assumptions'!$H$30="Fixed",'Model Inputs &amp; Assumptions'!$I$30*'Model Inputs &amp; Assumptions'!$K$30,IF('Model Inputs &amp; Assumptions'!$H$30="CPM",'Model Inputs &amp; Assumptions'!$I$30*'Model Inputs &amp; Assumptions'!$K$30*C1203/1000,IF('Model Inputs &amp; Assumptions'!$H$30="CPC",'Model Inputs &amp; Assumptions'!$I$30*'Model Inputs &amp; Assumptions'!$K$30*G1203,0)))</f>
        <v>6900</v>
      </c>
      <c r="J1203" s="50" t="n">
        <f aca="false">H1203*INDEX('Model Inputs &amp; Assumptions'!$D$40:$D$42,MATCH('Model Inputs &amp; Assumptions'!$L$30,'Model Inputs &amp; Assumptions'!$A$40:$A$42,0))*INDEX('Model Inputs &amp; Assumptions'!$H$40:$H$42,MATCH('Model Inputs &amp; Assumptions'!$L$30,'Model Inputs &amp; Assumptions'!$A$40:$A$42,0))</f>
        <v>308299.706512705</v>
      </c>
      <c r="K1203" s="49" t="n">
        <f aca="false">H1203*INDEX('Model Inputs &amp; Assumptions'!$G$40:$G$42,MATCH('Model Inputs &amp; Assumptions'!$L$30,'Model Inputs &amp; Assumptions'!$A$40:$A$42,0))*INDEX('Model Inputs &amp; Assumptions'!$H$40:$H$42,MATCH('Model Inputs &amp; Assumptions'!$L$30,'Model Inputs &amp; Assumptions'!$A$40:$A$42,0))</f>
        <v>6798.00852860514</v>
      </c>
      <c r="L1203" s="51" t="n">
        <f aca="false">IFERROR(K1203/I1203,0)</f>
        <v>0.985218627334078</v>
      </c>
      <c r="M1203" s="49" t="n">
        <f aca="false">IFERROR(I1203/H1203,0)</f>
        <v>161.14189845313</v>
      </c>
      <c r="N1203" s="52" t="str">
        <f aca="false">'Model Inputs &amp; Assumptions'!$L$30</f>
        <v>PRD-USIQ</v>
      </c>
      <c r="P1203" s="53" t="n">
        <v>0.608178</v>
      </c>
      <c r="Q1203" s="53" t="n">
        <v>-0.631237</v>
      </c>
      <c r="R1203" s="53" t="n">
        <v>0.601567</v>
      </c>
      <c r="S1203" s="53" t="n">
        <v>-0.721404</v>
      </c>
    </row>
    <row r="1204" customFormat="false" ht="15" hidden="false" customHeight="false" outlineLevel="0" collapsed="false">
      <c r="A1204" s="43" t="n">
        <v>201</v>
      </c>
      <c r="B1204" s="44" t="str">
        <f aca="false">'Model Inputs &amp; Assumptions'!$B$30</f>
        <v>extraETF — Newsletter Takeover</v>
      </c>
      <c r="C1204" s="45" t="n">
        <f aca="false">ROUND(MAX(0,'Model Inputs &amp; Assumptions'!$S$30*EXP('Model Inputs &amp; Assumptions'!$T$30*P1204-'Model Inputs &amp; Assumptions'!$T$30^2/2)),0)</f>
        <v>105683</v>
      </c>
      <c r="D1204" s="46" t="n">
        <f aca="false">MIN(1,'Model Inputs &amp; Assumptions'!$U$30*EXP('Model Inputs &amp; Assumptions'!$V$30*Q1204-'Model Inputs &amp; Assumptions'!$V$30^2/2))</f>
        <v>0</v>
      </c>
      <c r="E1204" s="45" t="n">
        <f aca="false">ROUND(C1204*D1204,0)</f>
        <v>0</v>
      </c>
      <c r="F1204" s="47" t="n">
        <f aca="false">MIN(1,'Model Inputs &amp; Assumptions'!$W$30*EXP('Model Inputs &amp; Assumptions'!$X$30*R1204-'Model Inputs &amp; Assumptions'!$X$30^2/2))</f>
        <v>0.00894649416089026</v>
      </c>
      <c r="G1204" s="45" t="n">
        <f aca="false">ROUND(C1204*F1204,0)</f>
        <v>945</v>
      </c>
      <c r="H1204" s="48" t="n">
        <f aca="false">MAX(0,(C1204*'Model Inputs &amp; Assumptions'!$N$30+E1204*'Model Inputs &amp; Assumptions'!$O$30+G1204*'Model Inputs &amp; Assumptions'!$P$30)*EXP('Model Inputs &amp; Assumptions'!$Q$30*S1204-'Model Inputs &amp; Assumptions'!$Q$30^2/2))</f>
        <v>59.1709770064579</v>
      </c>
      <c r="I1204" s="49" t="n">
        <f aca="false">IF('Model Inputs &amp; Assumptions'!$H$30="Fixed",'Model Inputs &amp; Assumptions'!$I$30*'Model Inputs &amp; Assumptions'!$K$30,IF('Model Inputs &amp; Assumptions'!$H$30="CPM",'Model Inputs &amp; Assumptions'!$I$30*'Model Inputs &amp; Assumptions'!$K$30*C1204/1000,IF('Model Inputs &amp; Assumptions'!$H$30="CPC",'Model Inputs &amp; Assumptions'!$I$30*'Model Inputs &amp; Assumptions'!$K$30*G1204,0)))</f>
        <v>6900</v>
      </c>
      <c r="J1204" s="50" t="n">
        <f aca="false">H1204*INDEX('Model Inputs &amp; Assumptions'!$D$40:$D$42,MATCH('Model Inputs &amp; Assumptions'!$L$30,'Model Inputs &amp; Assumptions'!$A$40:$A$42,0))*INDEX('Model Inputs &amp; Assumptions'!$H$40:$H$42,MATCH('Model Inputs &amp; Assumptions'!$L$30,'Model Inputs &amp; Assumptions'!$A$40:$A$42,0))</f>
        <v>426031.034446497</v>
      </c>
      <c r="K1204" s="49" t="n">
        <f aca="false">H1204*INDEX('Model Inputs &amp; Assumptions'!$G$40:$G$42,MATCH('Model Inputs &amp; Assumptions'!$L$30,'Model Inputs &amp; Assumptions'!$A$40:$A$42,0))*INDEX('Model Inputs &amp; Assumptions'!$H$40:$H$42,MATCH('Model Inputs &amp; Assumptions'!$L$30,'Model Inputs &amp; Assumptions'!$A$40:$A$42,0))</f>
        <v>9393.98430954526</v>
      </c>
      <c r="L1204" s="51" t="n">
        <f aca="false">IFERROR(K1204/I1204,0)</f>
        <v>1.36144700138337</v>
      </c>
      <c r="M1204" s="49" t="n">
        <f aca="false">IFERROR(I1204/H1204,0)</f>
        <v>116.611223087409</v>
      </c>
      <c r="N1204" s="52" t="str">
        <f aca="false">'Model Inputs &amp; Assumptions'!$L$30</f>
        <v>PRD-USIQ</v>
      </c>
      <c r="P1204" s="53" t="n">
        <v>1.585886</v>
      </c>
      <c r="Q1204" s="53" t="n">
        <v>-0.782621</v>
      </c>
      <c r="R1204" s="53" t="n">
        <v>0.820468</v>
      </c>
      <c r="S1204" s="53" t="n">
        <v>-0.024543</v>
      </c>
    </row>
    <row r="1205" customFormat="false" ht="15" hidden="false" customHeight="false" outlineLevel="0" collapsed="false">
      <c r="A1205" s="43" t="n">
        <v>202</v>
      </c>
      <c r="B1205" s="44" t="str">
        <f aca="false">'Model Inputs &amp; Assumptions'!$B$30</f>
        <v>extraETF — Newsletter Takeover</v>
      </c>
      <c r="C1205" s="45" t="n">
        <f aca="false">ROUND(MAX(0,'Model Inputs &amp; Assumptions'!$S$30*EXP('Model Inputs &amp; Assumptions'!$T$30*P1205-'Model Inputs &amp; Assumptions'!$T$30^2/2)),0)</f>
        <v>91518</v>
      </c>
      <c r="D1205" s="46" t="n">
        <f aca="false">MIN(1,'Model Inputs &amp; Assumptions'!$U$30*EXP('Model Inputs &amp; Assumptions'!$V$30*Q1205-'Model Inputs &amp; Assumptions'!$V$30^2/2))</f>
        <v>0</v>
      </c>
      <c r="E1205" s="45" t="n">
        <f aca="false">ROUND(C1205*D1205,0)</f>
        <v>0</v>
      </c>
      <c r="F1205" s="47" t="n">
        <f aca="false">MIN(1,'Model Inputs &amp; Assumptions'!$W$30*EXP('Model Inputs &amp; Assumptions'!$X$30*R1205-'Model Inputs &amp; Assumptions'!$X$30^2/2))</f>
        <v>0.00679114964505645</v>
      </c>
      <c r="G1205" s="45" t="n">
        <f aca="false">ROUND(C1205*F1205,0)</f>
        <v>622</v>
      </c>
      <c r="H1205" s="48" t="n">
        <f aca="false">MAX(0,(C1205*'Model Inputs &amp; Assumptions'!$N$30+E1205*'Model Inputs &amp; Assumptions'!$O$30+G1205*'Model Inputs &amp; Assumptions'!$P$30)*EXP('Model Inputs &amp; Assumptions'!$Q$30*S1205-'Model Inputs &amp; Assumptions'!$Q$30^2/2))</f>
        <v>49.06600015087</v>
      </c>
      <c r="I1205" s="49" t="n">
        <f aca="false">IF('Model Inputs &amp; Assumptions'!$H$30="Fixed",'Model Inputs &amp; Assumptions'!$I$30*'Model Inputs &amp; Assumptions'!$K$30,IF('Model Inputs &amp; Assumptions'!$H$30="CPM",'Model Inputs &amp; Assumptions'!$I$30*'Model Inputs &amp; Assumptions'!$K$30*C1205/1000,IF('Model Inputs &amp; Assumptions'!$H$30="CPC",'Model Inputs &amp; Assumptions'!$I$30*'Model Inputs &amp; Assumptions'!$K$30*G1205,0)))</f>
        <v>6900</v>
      </c>
      <c r="J1205" s="50" t="n">
        <f aca="false">H1205*INDEX('Model Inputs &amp; Assumptions'!$D$40:$D$42,MATCH('Model Inputs &amp; Assumptions'!$L$30,'Model Inputs &amp; Assumptions'!$A$40:$A$42,0))*INDEX('Model Inputs &amp; Assumptions'!$H$40:$H$42,MATCH('Model Inputs &amp; Assumptions'!$L$30,'Model Inputs &amp; Assumptions'!$A$40:$A$42,0))</f>
        <v>353275.201086264</v>
      </c>
      <c r="K1205" s="49" t="n">
        <f aca="false">H1205*INDEX('Model Inputs &amp; Assumptions'!$G$40:$G$42,MATCH('Model Inputs &amp; Assumptions'!$L$30,'Model Inputs &amp; Assumptions'!$A$40:$A$42,0))*INDEX('Model Inputs &amp; Assumptions'!$H$40:$H$42,MATCH('Model Inputs &amp; Assumptions'!$L$30,'Model Inputs &amp; Assumptions'!$A$40:$A$42,0))</f>
        <v>7789.71818395213</v>
      </c>
      <c r="L1205" s="51" t="n">
        <f aca="false">IFERROR(K1205/I1205,0)</f>
        <v>1.12894466434089</v>
      </c>
      <c r="M1205" s="49" t="n">
        <f aca="false">IFERROR(I1205/H1205,0)</f>
        <v>140.626910259316</v>
      </c>
      <c r="N1205" s="52" t="str">
        <f aca="false">'Model Inputs &amp; Assumptions'!$L$30</f>
        <v>PRD-USIQ</v>
      </c>
      <c r="P1205" s="53" t="n">
        <v>0.386682</v>
      </c>
      <c r="Q1205" s="53" t="n">
        <v>-0.496902</v>
      </c>
      <c r="R1205" s="53" t="n">
        <v>-1.017142</v>
      </c>
      <c r="S1205" s="53" t="n">
        <v>0.899377</v>
      </c>
    </row>
    <row r="1206" customFormat="false" ht="15" hidden="false" customHeight="false" outlineLevel="0" collapsed="false">
      <c r="A1206" s="43" t="n">
        <v>203</v>
      </c>
      <c r="B1206" s="44" t="str">
        <f aca="false">'Model Inputs &amp; Assumptions'!$B$30</f>
        <v>extraETF — Newsletter Takeover</v>
      </c>
      <c r="C1206" s="45" t="n">
        <f aca="false">ROUND(MAX(0,'Model Inputs &amp; Assumptions'!$S$30*EXP('Model Inputs &amp; Assumptions'!$T$30*P1206-'Model Inputs &amp; Assumptions'!$T$30^2/2)),0)</f>
        <v>87442</v>
      </c>
      <c r="D1206" s="46" t="n">
        <f aca="false">MIN(1,'Model Inputs &amp; Assumptions'!$U$30*EXP('Model Inputs &amp; Assumptions'!$V$30*Q1206-'Model Inputs &amp; Assumptions'!$V$30^2/2))</f>
        <v>0</v>
      </c>
      <c r="E1206" s="45" t="n">
        <f aca="false">ROUND(C1206*D1206,0)</f>
        <v>0</v>
      </c>
      <c r="F1206" s="47" t="n">
        <f aca="false">MIN(1,'Model Inputs &amp; Assumptions'!$W$30*EXP('Model Inputs &amp; Assumptions'!$X$30*R1206-'Model Inputs &amp; Assumptions'!$X$30^2/2))</f>
        <v>0.00579930128202946</v>
      </c>
      <c r="G1206" s="45" t="n">
        <f aca="false">ROUND(C1206*F1206,0)</f>
        <v>507</v>
      </c>
      <c r="H1206" s="48" t="n">
        <f aca="false">MAX(0,(C1206*'Model Inputs &amp; Assumptions'!$N$30+E1206*'Model Inputs &amp; Assumptions'!$O$30+G1206*'Model Inputs &amp; Assumptions'!$P$30)*EXP('Model Inputs &amp; Assumptions'!$Q$30*S1206-'Model Inputs &amp; Assumptions'!$Q$30^2/2))</f>
        <v>34.5632505405139</v>
      </c>
      <c r="I1206" s="49" t="n">
        <f aca="false">IF('Model Inputs &amp; Assumptions'!$H$30="Fixed",'Model Inputs &amp; Assumptions'!$I$30*'Model Inputs &amp; Assumptions'!$K$30,IF('Model Inputs &amp; Assumptions'!$H$30="CPM",'Model Inputs &amp; Assumptions'!$I$30*'Model Inputs &amp; Assumptions'!$K$30*C1206/1000,IF('Model Inputs &amp; Assumptions'!$H$30="CPC",'Model Inputs &amp; Assumptions'!$I$30*'Model Inputs &amp; Assumptions'!$K$30*G1206,0)))</f>
        <v>6900</v>
      </c>
      <c r="J1206" s="50" t="n">
        <f aca="false">H1206*INDEX('Model Inputs &amp; Assumptions'!$D$40:$D$42,MATCH('Model Inputs &amp; Assumptions'!$L$30,'Model Inputs &amp; Assumptions'!$A$40:$A$42,0))*INDEX('Model Inputs &amp; Assumptions'!$H$40:$H$42,MATCH('Model Inputs &amp; Assumptions'!$L$30,'Model Inputs &amp; Assumptions'!$A$40:$A$42,0))</f>
        <v>248855.4038917</v>
      </c>
      <c r="K1206" s="49" t="n">
        <f aca="false">H1206*INDEX('Model Inputs &amp; Assumptions'!$G$40:$G$42,MATCH('Model Inputs &amp; Assumptions'!$L$30,'Model Inputs &amp; Assumptions'!$A$40:$A$42,0))*INDEX('Model Inputs &amp; Assumptions'!$H$40:$H$42,MATCH('Model Inputs &amp; Assumptions'!$L$30,'Model Inputs &amp; Assumptions'!$A$40:$A$42,0))</f>
        <v>5487.26165581199</v>
      </c>
      <c r="L1206" s="51" t="n">
        <f aca="false">IFERROR(K1206/I1206,0)</f>
        <v>0.79525531243652</v>
      </c>
      <c r="M1206" s="49" t="n">
        <f aca="false">IFERROR(I1206/H1206,0)</f>
        <v>199.634001203447</v>
      </c>
      <c r="N1206" s="52" t="str">
        <f aca="false">'Model Inputs &amp; Assumptions'!$L$30</f>
        <v>PRD-USIQ</v>
      </c>
      <c r="P1206" s="53" t="n">
        <v>0.007001</v>
      </c>
      <c r="Q1206" s="53" t="n">
        <v>0.409548</v>
      </c>
      <c r="R1206" s="53" t="n">
        <v>-2.069694</v>
      </c>
      <c r="S1206" s="53" t="n">
        <v>0.315592</v>
      </c>
    </row>
    <row r="1207" customFormat="false" ht="15" hidden="false" customHeight="false" outlineLevel="0" collapsed="false">
      <c r="A1207" s="43" t="n">
        <v>204</v>
      </c>
      <c r="B1207" s="44" t="str">
        <f aca="false">'Model Inputs &amp; Assumptions'!$B$30</f>
        <v>extraETF — Newsletter Takeover</v>
      </c>
      <c r="C1207" s="45" t="n">
        <f aca="false">ROUND(MAX(0,'Model Inputs &amp; Assumptions'!$S$30*EXP('Model Inputs &amp; Assumptions'!$T$30*P1207-'Model Inputs &amp; Assumptions'!$T$30^2/2)),0)</f>
        <v>73865</v>
      </c>
      <c r="D1207" s="46" t="n">
        <f aca="false">MIN(1,'Model Inputs &amp; Assumptions'!$U$30*EXP('Model Inputs &amp; Assumptions'!$V$30*Q1207-'Model Inputs &amp; Assumptions'!$V$30^2/2))</f>
        <v>0</v>
      </c>
      <c r="E1207" s="45" t="n">
        <f aca="false">ROUND(C1207*D1207,0)</f>
        <v>0</v>
      </c>
      <c r="F1207" s="47" t="n">
        <f aca="false">MIN(1,'Model Inputs &amp; Assumptions'!$W$30*EXP('Model Inputs &amp; Assumptions'!$X$30*R1207-'Model Inputs &amp; Assumptions'!$X$30^2/2))</f>
        <v>0.00676349617275777</v>
      </c>
      <c r="G1207" s="45" t="n">
        <f aca="false">ROUND(C1207*F1207,0)</f>
        <v>500</v>
      </c>
      <c r="H1207" s="48" t="n">
        <f aca="false">MAX(0,(C1207*'Model Inputs &amp; Assumptions'!$N$30+E1207*'Model Inputs &amp; Assumptions'!$O$30+G1207*'Model Inputs &amp; Assumptions'!$P$30)*EXP('Model Inputs &amp; Assumptions'!$Q$30*S1207-'Model Inputs &amp; Assumptions'!$Q$30^2/2))</f>
        <v>24.5597294990434</v>
      </c>
      <c r="I1207" s="49" t="n">
        <f aca="false">IF('Model Inputs &amp; Assumptions'!$H$30="Fixed",'Model Inputs &amp; Assumptions'!$I$30*'Model Inputs &amp; Assumptions'!$K$30,IF('Model Inputs &amp; Assumptions'!$H$30="CPM",'Model Inputs &amp; Assumptions'!$I$30*'Model Inputs &amp; Assumptions'!$K$30*C1207/1000,IF('Model Inputs &amp; Assumptions'!$H$30="CPC",'Model Inputs &amp; Assumptions'!$I$30*'Model Inputs &amp; Assumptions'!$K$30*G1207,0)))</f>
        <v>6900</v>
      </c>
      <c r="J1207" s="50" t="n">
        <f aca="false">H1207*INDEX('Model Inputs &amp; Assumptions'!$D$40:$D$42,MATCH('Model Inputs &amp; Assumptions'!$L$30,'Model Inputs &amp; Assumptions'!$A$40:$A$42,0))*INDEX('Model Inputs &amp; Assumptions'!$H$40:$H$42,MATCH('Model Inputs &amp; Assumptions'!$L$30,'Model Inputs &amp; Assumptions'!$A$40:$A$42,0))</f>
        <v>176830.052393113</v>
      </c>
      <c r="K1207" s="49" t="n">
        <f aca="false">H1207*INDEX('Model Inputs &amp; Assumptions'!$G$40:$G$42,MATCH('Model Inputs &amp; Assumptions'!$L$30,'Model Inputs &amp; Assumptions'!$A$40:$A$42,0))*INDEX('Model Inputs &amp; Assumptions'!$H$40:$H$42,MATCH('Model Inputs &amp; Assumptions'!$L$30,'Model Inputs &amp; Assumptions'!$A$40:$A$42,0))</f>
        <v>3899.10265526813</v>
      </c>
      <c r="L1207" s="51" t="n">
        <f aca="false">IFERROR(K1207/I1207,0)</f>
        <v>0.565087341343208</v>
      </c>
      <c r="M1207" s="49" t="n">
        <f aca="false">IFERROR(I1207/H1207,0)</f>
        <v>280.947719732367</v>
      </c>
      <c r="N1207" s="52" t="str">
        <f aca="false">'Model Inputs &amp; Assumptions'!$L$30</f>
        <v>PRD-USIQ</v>
      </c>
      <c r="P1207" s="53" t="n">
        <v>-1.399101</v>
      </c>
      <c r="Q1207" s="53" t="n">
        <v>-1.28199</v>
      </c>
      <c r="R1207" s="53" t="n">
        <v>-1.044344</v>
      </c>
      <c r="S1207" s="53" t="n">
        <v>-0.995528</v>
      </c>
    </row>
    <row r="1208" customFormat="false" ht="15" hidden="false" customHeight="false" outlineLevel="0" collapsed="false">
      <c r="A1208" s="43" t="n">
        <v>205</v>
      </c>
      <c r="B1208" s="44" t="str">
        <f aca="false">'Model Inputs &amp; Assumptions'!$B$30</f>
        <v>extraETF — Newsletter Takeover</v>
      </c>
      <c r="C1208" s="45" t="n">
        <f aca="false">ROUND(MAX(0,'Model Inputs &amp; Assumptions'!$S$30*EXP('Model Inputs &amp; Assumptions'!$T$30*P1208-'Model Inputs &amp; Assumptions'!$T$30^2/2)),0)</f>
        <v>80171</v>
      </c>
      <c r="D1208" s="46" t="n">
        <f aca="false">MIN(1,'Model Inputs &amp; Assumptions'!$U$30*EXP('Model Inputs &amp; Assumptions'!$V$30*Q1208-'Model Inputs &amp; Assumptions'!$V$30^2/2))</f>
        <v>0</v>
      </c>
      <c r="E1208" s="45" t="n">
        <f aca="false">ROUND(C1208*D1208,0)</f>
        <v>0</v>
      </c>
      <c r="F1208" s="47" t="n">
        <f aca="false">MIN(1,'Model Inputs &amp; Assumptions'!$W$30*EXP('Model Inputs &amp; Assumptions'!$X$30*R1208-'Model Inputs &amp; Assumptions'!$X$30^2/2))</f>
        <v>0.00699111559119816</v>
      </c>
      <c r="G1208" s="45" t="n">
        <f aca="false">ROUND(C1208*F1208,0)</f>
        <v>560</v>
      </c>
      <c r="H1208" s="48" t="n">
        <f aca="false">MAX(0,(C1208*'Model Inputs &amp; Assumptions'!$N$30+E1208*'Model Inputs &amp; Assumptions'!$O$30+G1208*'Model Inputs &amp; Assumptions'!$P$30)*EXP('Model Inputs &amp; Assumptions'!$Q$30*S1208-'Model Inputs &amp; Assumptions'!$Q$30^2/2))</f>
        <v>34.3783764321102</v>
      </c>
      <c r="I1208" s="49" t="n">
        <f aca="false">IF('Model Inputs &amp; Assumptions'!$H$30="Fixed",'Model Inputs &amp; Assumptions'!$I$30*'Model Inputs &amp; Assumptions'!$K$30,IF('Model Inputs &amp; Assumptions'!$H$30="CPM",'Model Inputs &amp; Assumptions'!$I$30*'Model Inputs &amp; Assumptions'!$K$30*C1208/1000,IF('Model Inputs &amp; Assumptions'!$H$30="CPC",'Model Inputs &amp; Assumptions'!$I$30*'Model Inputs &amp; Assumptions'!$K$30*G1208,0)))</f>
        <v>6900</v>
      </c>
      <c r="J1208" s="50" t="n">
        <f aca="false">H1208*INDEX('Model Inputs &amp; Assumptions'!$D$40:$D$42,MATCH('Model Inputs &amp; Assumptions'!$L$30,'Model Inputs &amp; Assumptions'!$A$40:$A$42,0))*INDEX('Model Inputs &amp; Assumptions'!$H$40:$H$42,MATCH('Model Inputs &amp; Assumptions'!$L$30,'Model Inputs &amp; Assumptions'!$A$40:$A$42,0))</f>
        <v>247524.310311194</v>
      </c>
      <c r="K1208" s="49" t="n">
        <f aca="false">H1208*INDEX('Model Inputs &amp; Assumptions'!$G$40:$G$42,MATCH('Model Inputs &amp; Assumptions'!$L$30,'Model Inputs &amp; Assumptions'!$A$40:$A$42,0))*INDEX('Model Inputs &amp; Assumptions'!$H$40:$H$42,MATCH('Model Inputs &amp; Assumptions'!$L$30,'Model Inputs &amp; Assumptions'!$A$40:$A$42,0))</f>
        <v>5457.91104236182</v>
      </c>
      <c r="L1208" s="51" t="n">
        <f aca="false">IFERROR(K1208/I1208,0)</f>
        <v>0.791001600342292</v>
      </c>
      <c r="M1208" s="49" t="n">
        <f aca="false">IFERROR(I1208/H1208,0)</f>
        <v>200.707558532498</v>
      </c>
      <c r="N1208" s="52" t="str">
        <f aca="false">'Model Inputs &amp; Assumptions'!$L$30</f>
        <v>PRD-USIQ</v>
      </c>
      <c r="P1208" s="53" t="n">
        <v>-0.716476</v>
      </c>
      <c r="Q1208" s="53" t="n">
        <v>-1.160255</v>
      </c>
      <c r="R1208" s="53" t="n">
        <v>-0.823676</v>
      </c>
      <c r="S1208" s="53" t="n">
        <v>-0.103564</v>
      </c>
    </row>
    <row r="1209" customFormat="false" ht="15" hidden="false" customHeight="false" outlineLevel="0" collapsed="false">
      <c r="A1209" s="43" t="n">
        <v>206</v>
      </c>
      <c r="B1209" s="44" t="str">
        <f aca="false">'Model Inputs &amp; Assumptions'!$B$30</f>
        <v>extraETF — Newsletter Takeover</v>
      </c>
      <c r="C1209" s="45" t="n">
        <f aca="false">ROUND(MAX(0,'Model Inputs &amp; Assumptions'!$S$30*EXP('Model Inputs &amp; Assumptions'!$T$30*P1209-'Model Inputs &amp; Assumptions'!$T$30^2/2)),0)</f>
        <v>98736</v>
      </c>
      <c r="D1209" s="46" t="n">
        <f aca="false">MIN(1,'Model Inputs &amp; Assumptions'!$U$30*EXP('Model Inputs &amp; Assumptions'!$V$30*Q1209-'Model Inputs &amp; Assumptions'!$V$30^2/2))</f>
        <v>0</v>
      </c>
      <c r="E1209" s="45" t="n">
        <f aca="false">ROUND(C1209*D1209,0)</f>
        <v>0</v>
      </c>
      <c r="F1209" s="47" t="n">
        <f aca="false">MIN(1,'Model Inputs &amp; Assumptions'!$W$30*EXP('Model Inputs &amp; Assumptions'!$X$30*R1209-'Model Inputs &amp; Assumptions'!$X$30^2/2))</f>
        <v>0.00784011021014398</v>
      </c>
      <c r="G1209" s="45" t="n">
        <f aca="false">ROUND(C1209*F1209,0)</f>
        <v>774</v>
      </c>
      <c r="H1209" s="48" t="n">
        <f aca="false">MAX(0,(C1209*'Model Inputs &amp; Assumptions'!$N$30+E1209*'Model Inputs &amp; Assumptions'!$O$30+G1209*'Model Inputs &amp; Assumptions'!$P$30)*EXP('Model Inputs &amp; Assumptions'!$Q$30*S1209-'Model Inputs &amp; Assumptions'!$Q$30^2/2))</f>
        <v>59.0238213729234</v>
      </c>
      <c r="I1209" s="49" t="n">
        <f aca="false">IF('Model Inputs &amp; Assumptions'!$H$30="Fixed",'Model Inputs &amp; Assumptions'!$I$30*'Model Inputs &amp; Assumptions'!$K$30,IF('Model Inputs &amp; Assumptions'!$H$30="CPM",'Model Inputs &amp; Assumptions'!$I$30*'Model Inputs &amp; Assumptions'!$K$30*C1209/1000,IF('Model Inputs &amp; Assumptions'!$H$30="CPC",'Model Inputs &amp; Assumptions'!$I$30*'Model Inputs &amp; Assumptions'!$K$30*G1209,0)))</f>
        <v>6900</v>
      </c>
      <c r="J1209" s="50" t="n">
        <f aca="false">H1209*INDEX('Model Inputs &amp; Assumptions'!$D$40:$D$42,MATCH('Model Inputs &amp; Assumptions'!$L$30,'Model Inputs &amp; Assumptions'!$A$40:$A$42,0))*INDEX('Model Inputs &amp; Assumptions'!$H$40:$H$42,MATCH('Model Inputs &amp; Assumptions'!$L$30,'Model Inputs &amp; Assumptions'!$A$40:$A$42,0))</f>
        <v>424971.513885049</v>
      </c>
      <c r="K1209" s="49" t="n">
        <f aca="false">H1209*INDEX('Model Inputs &amp; Assumptions'!$G$40:$G$42,MATCH('Model Inputs &amp; Assumptions'!$L$30,'Model Inputs &amp; Assumptions'!$A$40:$A$42,0))*INDEX('Model Inputs &amp; Assumptions'!$H$40:$H$42,MATCH('Model Inputs &amp; Assumptions'!$L$30,'Model Inputs &amp; Assumptions'!$A$40:$A$42,0))</f>
        <v>9370.62188116532</v>
      </c>
      <c r="L1209" s="51" t="n">
        <f aca="false">IFERROR(K1209/I1209,0)</f>
        <v>1.35806114219787</v>
      </c>
      <c r="M1209" s="49" t="n">
        <f aca="false">IFERROR(I1209/H1209,0)</f>
        <v>116.901953135235</v>
      </c>
      <c r="N1209" s="52" t="str">
        <f aca="false">'Model Inputs &amp; Assumptions'!$L$30</f>
        <v>PRD-USIQ</v>
      </c>
      <c r="P1209" s="53" t="n">
        <v>1.019234</v>
      </c>
      <c r="Q1209" s="53" t="n">
        <v>-0.092763</v>
      </c>
      <c r="R1209" s="53" t="n">
        <v>-0.059591</v>
      </c>
      <c r="S1209" s="53" t="n">
        <v>0.763949</v>
      </c>
    </row>
    <row r="1210" customFormat="false" ht="15" hidden="false" customHeight="false" outlineLevel="0" collapsed="false">
      <c r="A1210" s="43" t="n">
        <v>207</v>
      </c>
      <c r="B1210" s="44" t="str">
        <f aca="false">'Model Inputs &amp; Assumptions'!$B$30</f>
        <v>extraETF — Newsletter Takeover</v>
      </c>
      <c r="C1210" s="45" t="n">
        <f aca="false">ROUND(MAX(0,'Model Inputs &amp; Assumptions'!$S$30*EXP('Model Inputs &amp; Assumptions'!$T$30*P1210-'Model Inputs &amp; Assumptions'!$T$30^2/2)),0)</f>
        <v>77521</v>
      </c>
      <c r="D1210" s="46" t="n">
        <f aca="false">MIN(1,'Model Inputs &amp; Assumptions'!$U$30*EXP('Model Inputs &amp; Assumptions'!$V$30*Q1210-'Model Inputs &amp; Assumptions'!$V$30^2/2))</f>
        <v>0</v>
      </c>
      <c r="E1210" s="45" t="n">
        <f aca="false">ROUND(C1210*D1210,0)</f>
        <v>0</v>
      </c>
      <c r="F1210" s="47" t="n">
        <f aca="false">MIN(1,'Model Inputs &amp; Assumptions'!$W$30*EXP('Model Inputs &amp; Assumptions'!$X$30*R1210-'Model Inputs &amp; Assumptions'!$X$30^2/2))</f>
        <v>0.00794242458249468</v>
      </c>
      <c r="G1210" s="45" t="n">
        <f aca="false">ROUND(C1210*F1210,0)</f>
        <v>616</v>
      </c>
      <c r="H1210" s="48" t="n">
        <f aca="false">MAX(0,(C1210*'Model Inputs &amp; Assumptions'!$N$30+E1210*'Model Inputs &amp; Assumptions'!$O$30+G1210*'Model Inputs &amp; Assumptions'!$P$30)*EXP('Model Inputs &amp; Assumptions'!$Q$30*S1210-'Model Inputs &amp; Assumptions'!$Q$30^2/2))</f>
        <v>36.8642300089857</v>
      </c>
      <c r="I1210" s="49" t="n">
        <f aca="false">IF('Model Inputs &amp; Assumptions'!$H$30="Fixed",'Model Inputs &amp; Assumptions'!$I$30*'Model Inputs &amp; Assumptions'!$K$30,IF('Model Inputs &amp; Assumptions'!$H$30="CPM",'Model Inputs &amp; Assumptions'!$I$30*'Model Inputs &amp; Assumptions'!$K$30*C1210/1000,IF('Model Inputs &amp; Assumptions'!$H$30="CPC",'Model Inputs &amp; Assumptions'!$I$30*'Model Inputs &amp; Assumptions'!$K$30*G1210,0)))</f>
        <v>6900</v>
      </c>
      <c r="J1210" s="50" t="n">
        <f aca="false">H1210*INDEX('Model Inputs &amp; Assumptions'!$D$40:$D$42,MATCH('Model Inputs &amp; Assumptions'!$L$30,'Model Inputs &amp; Assumptions'!$A$40:$A$42,0))*INDEX('Model Inputs &amp; Assumptions'!$H$40:$H$42,MATCH('Model Inputs &amp; Assumptions'!$L$30,'Model Inputs &amp; Assumptions'!$A$40:$A$42,0))</f>
        <v>265422.456064697</v>
      </c>
      <c r="K1210" s="49" t="n">
        <f aca="false">H1210*INDEX('Model Inputs &amp; Assumptions'!$G$40:$G$42,MATCH('Model Inputs &amp; Assumptions'!$L$30,'Model Inputs &amp; Assumptions'!$A$40:$A$42,0))*INDEX('Model Inputs &amp; Assumptions'!$H$40:$H$42,MATCH('Model Inputs &amp; Assumptions'!$L$30,'Model Inputs &amp; Assumptions'!$A$40:$A$42,0))</f>
        <v>5852.56515622657</v>
      </c>
      <c r="L1210" s="51" t="n">
        <f aca="false">IFERROR(K1210/I1210,0)</f>
        <v>0.848197848728489</v>
      </c>
      <c r="M1210" s="49" t="n">
        <f aca="false">IFERROR(I1210/H1210,0)</f>
        <v>187.173311318807</v>
      </c>
      <c r="N1210" s="52" t="str">
        <f aca="false">'Model Inputs &amp; Assumptions'!$L$30</f>
        <v>PRD-USIQ</v>
      </c>
      <c r="P1210" s="53" t="n">
        <v>-0.996521</v>
      </c>
      <c r="Q1210" s="53" t="n">
        <v>-0.69423</v>
      </c>
      <c r="R1210" s="53" t="n">
        <v>0.026847</v>
      </c>
      <c r="S1210" s="53" t="n">
        <v>-0.205549</v>
      </c>
    </row>
    <row r="1211" customFormat="false" ht="15" hidden="false" customHeight="false" outlineLevel="0" collapsed="false">
      <c r="A1211" s="43" t="n">
        <v>208</v>
      </c>
      <c r="B1211" s="44" t="str">
        <f aca="false">'Model Inputs &amp; Assumptions'!$B$30</f>
        <v>extraETF — Newsletter Takeover</v>
      </c>
      <c r="C1211" s="45" t="n">
        <f aca="false">ROUND(MAX(0,'Model Inputs &amp; Assumptions'!$S$30*EXP('Model Inputs &amp; Assumptions'!$T$30*P1211-'Model Inputs &amp; Assumptions'!$T$30^2/2)),0)</f>
        <v>98828</v>
      </c>
      <c r="D1211" s="46" t="n">
        <f aca="false">MIN(1,'Model Inputs &amp; Assumptions'!$U$30*EXP('Model Inputs &amp; Assumptions'!$V$30*Q1211-'Model Inputs &amp; Assumptions'!$V$30^2/2))</f>
        <v>0</v>
      </c>
      <c r="E1211" s="45" t="n">
        <f aca="false">ROUND(C1211*D1211,0)</f>
        <v>0</v>
      </c>
      <c r="F1211" s="47" t="n">
        <f aca="false">MIN(1,'Model Inputs &amp; Assumptions'!$W$30*EXP('Model Inputs &amp; Assumptions'!$X$30*R1211-'Model Inputs &amp; Assumptions'!$X$30^2/2))</f>
        <v>0.00730036021662319</v>
      </c>
      <c r="G1211" s="45" t="n">
        <f aca="false">ROUND(C1211*F1211,0)</f>
        <v>721</v>
      </c>
      <c r="H1211" s="48" t="n">
        <f aca="false">MAX(0,(C1211*'Model Inputs &amp; Assumptions'!$N$30+E1211*'Model Inputs &amp; Assumptions'!$O$30+G1211*'Model Inputs &amp; Assumptions'!$P$30)*EXP('Model Inputs &amp; Assumptions'!$Q$30*S1211-'Model Inputs &amp; Assumptions'!$Q$30^2/2))</f>
        <v>40.1767463075983</v>
      </c>
      <c r="I1211" s="49" t="n">
        <f aca="false">IF('Model Inputs &amp; Assumptions'!$H$30="Fixed",'Model Inputs &amp; Assumptions'!$I$30*'Model Inputs &amp; Assumptions'!$K$30,IF('Model Inputs &amp; Assumptions'!$H$30="CPM",'Model Inputs &amp; Assumptions'!$I$30*'Model Inputs &amp; Assumptions'!$K$30*C1211/1000,IF('Model Inputs &amp; Assumptions'!$H$30="CPC",'Model Inputs &amp; Assumptions'!$I$30*'Model Inputs &amp; Assumptions'!$K$30*G1211,0)))</f>
        <v>6900</v>
      </c>
      <c r="J1211" s="50" t="n">
        <f aca="false">H1211*INDEX('Model Inputs &amp; Assumptions'!$D$40:$D$42,MATCH('Model Inputs &amp; Assumptions'!$L$30,'Model Inputs &amp; Assumptions'!$A$40:$A$42,0))*INDEX('Model Inputs &amp; Assumptions'!$H$40:$H$42,MATCH('Model Inputs &amp; Assumptions'!$L$30,'Model Inputs &amp; Assumptions'!$A$40:$A$42,0))</f>
        <v>289272.573414707</v>
      </c>
      <c r="K1211" s="49" t="n">
        <f aca="false">H1211*INDEX('Model Inputs &amp; Assumptions'!$G$40:$G$42,MATCH('Model Inputs &amp; Assumptions'!$L$30,'Model Inputs &amp; Assumptions'!$A$40:$A$42,0))*INDEX('Model Inputs &amp; Assumptions'!$H$40:$H$42,MATCH('Model Inputs &amp; Assumptions'!$L$30,'Model Inputs &amp; Assumptions'!$A$40:$A$42,0))</f>
        <v>6378.4602437943</v>
      </c>
      <c r="L1211" s="51" t="n">
        <f aca="false">IFERROR(K1211/I1211,0)</f>
        <v>0.92441452808613</v>
      </c>
      <c r="M1211" s="49" t="n">
        <f aca="false">IFERROR(I1211/H1211,0)</f>
        <v>171.741134714412</v>
      </c>
      <c r="N1211" s="52" t="str">
        <f aca="false">'Model Inputs &amp; Assumptions'!$L$30</f>
        <v>PRD-USIQ</v>
      </c>
      <c r="P1211" s="53" t="n">
        <v>1.02706</v>
      </c>
      <c r="Q1211" s="53" t="n">
        <v>1.307716</v>
      </c>
      <c r="R1211" s="53" t="n">
        <v>-0.535119</v>
      </c>
      <c r="S1211" s="53" t="n">
        <v>-0.490931</v>
      </c>
    </row>
    <row r="1212" customFormat="false" ht="15" hidden="false" customHeight="false" outlineLevel="0" collapsed="false">
      <c r="A1212" s="43" t="n">
        <v>209</v>
      </c>
      <c r="B1212" s="44" t="str">
        <f aca="false">'Model Inputs &amp; Assumptions'!$B$30</f>
        <v>extraETF — Newsletter Takeover</v>
      </c>
      <c r="C1212" s="45" t="n">
        <f aca="false">ROUND(MAX(0,'Model Inputs &amp; Assumptions'!$S$30*EXP('Model Inputs &amp; Assumptions'!$T$30*P1212-'Model Inputs &amp; Assumptions'!$T$30^2/2)),0)</f>
        <v>83248</v>
      </c>
      <c r="D1212" s="46" t="n">
        <f aca="false">MIN(1,'Model Inputs &amp; Assumptions'!$U$30*EXP('Model Inputs &amp; Assumptions'!$V$30*Q1212-'Model Inputs &amp; Assumptions'!$V$30^2/2))</f>
        <v>0</v>
      </c>
      <c r="E1212" s="45" t="n">
        <f aca="false">ROUND(C1212*D1212,0)</f>
        <v>0</v>
      </c>
      <c r="F1212" s="47" t="n">
        <f aca="false">MIN(1,'Model Inputs &amp; Assumptions'!$W$30*EXP('Model Inputs &amp; Assumptions'!$X$30*R1212-'Model Inputs &amp; Assumptions'!$X$30^2/2))</f>
        <v>0.00818985826357015</v>
      </c>
      <c r="G1212" s="45" t="n">
        <f aca="false">ROUND(C1212*F1212,0)</f>
        <v>682</v>
      </c>
      <c r="H1212" s="48" t="n">
        <f aca="false">MAX(0,(C1212*'Model Inputs &amp; Assumptions'!$N$30+E1212*'Model Inputs &amp; Assumptions'!$O$30+G1212*'Model Inputs &amp; Assumptions'!$P$30)*EXP('Model Inputs &amp; Assumptions'!$Q$30*S1212-'Model Inputs &amp; Assumptions'!$Q$30^2/2))</f>
        <v>51.5904407610686</v>
      </c>
      <c r="I1212" s="49" t="n">
        <f aca="false">IF('Model Inputs &amp; Assumptions'!$H$30="Fixed",'Model Inputs &amp; Assumptions'!$I$30*'Model Inputs &amp; Assumptions'!$K$30,IF('Model Inputs &amp; Assumptions'!$H$30="CPM",'Model Inputs &amp; Assumptions'!$I$30*'Model Inputs &amp; Assumptions'!$K$30*C1212/1000,IF('Model Inputs &amp; Assumptions'!$H$30="CPC",'Model Inputs &amp; Assumptions'!$I$30*'Model Inputs &amp; Assumptions'!$K$30*G1212,0)))</f>
        <v>6900</v>
      </c>
      <c r="J1212" s="50" t="n">
        <f aca="false">H1212*INDEX('Model Inputs &amp; Assumptions'!$D$40:$D$42,MATCH('Model Inputs &amp; Assumptions'!$L$30,'Model Inputs &amp; Assumptions'!$A$40:$A$42,0))*INDEX('Model Inputs &amp; Assumptions'!$H$40:$H$42,MATCH('Model Inputs &amp; Assumptions'!$L$30,'Model Inputs &amp; Assumptions'!$A$40:$A$42,0))</f>
        <v>371451.173479694</v>
      </c>
      <c r="K1212" s="49" t="n">
        <f aca="false">H1212*INDEX('Model Inputs &amp; Assumptions'!$G$40:$G$42,MATCH('Model Inputs &amp; Assumptions'!$L$30,'Model Inputs &amp; Assumptions'!$A$40:$A$42,0))*INDEX('Model Inputs &amp; Assumptions'!$H$40:$H$42,MATCH('Model Inputs &amp; Assumptions'!$L$30,'Model Inputs &amp; Assumptions'!$A$40:$A$42,0))</f>
        <v>8190.49837522726</v>
      </c>
      <c r="L1212" s="51" t="n">
        <f aca="false">IFERROR(K1212/I1212,0)</f>
        <v>1.18702875003294</v>
      </c>
      <c r="M1212" s="49" t="n">
        <f aca="false">IFERROR(I1212/H1212,0)</f>
        <v>133.745707503373</v>
      </c>
      <c r="N1212" s="52" t="str">
        <f aca="false">'Model Inputs &amp; Assumptions'!$L$30</f>
        <v>PRD-USIQ</v>
      </c>
      <c r="P1212" s="53" t="n">
        <v>-0.402604</v>
      </c>
      <c r="Q1212" s="53" t="n">
        <v>1.498984</v>
      </c>
      <c r="R1212" s="53" t="n">
        <v>0.231367</v>
      </c>
      <c r="S1212" s="53" t="n">
        <v>0.731699</v>
      </c>
    </row>
    <row r="1213" customFormat="false" ht="15" hidden="false" customHeight="false" outlineLevel="0" collapsed="false">
      <c r="A1213" s="43" t="n">
        <v>210</v>
      </c>
      <c r="B1213" s="44" t="str">
        <f aca="false">'Model Inputs &amp; Assumptions'!$B$30</f>
        <v>extraETF — Newsletter Takeover</v>
      </c>
      <c r="C1213" s="45" t="n">
        <f aca="false">ROUND(MAX(0,'Model Inputs &amp; Assumptions'!$S$30*EXP('Model Inputs &amp; Assumptions'!$T$30*P1213-'Model Inputs &amp; Assumptions'!$T$30^2/2)),0)</f>
        <v>88219</v>
      </c>
      <c r="D1213" s="46" t="n">
        <f aca="false">MIN(1,'Model Inputs &amp; Assumptions'!$U$30*EXP('Model Inputs &amp; Assumptions'!$V$30*Q1213-'Model Inputs &amp; Assumptions'!$V$30^2/2))</f>
        <v>0</v>
      </c>
      <c r="E1213" s="45" t="n">
        <f aca="false">ROUND(C1213*D1213,0)</f>
        <v>0</v>
      </c>
      <c r="F1213" s="47" t="n">
        <f aca="false">MIN(1,'Model Inputs &amp; Assumptions'!$W$30*EXP('Model Inputs &amp; Assumptions'!$X$30*R1213-'Model Inputs &amp; Assumptions'!$X$30^2/2))</f>
        <v>0.00866298058426215</v>
      </c>
      <c r="G1213" s="45" t="n">
        <f aca="false">ROUND(C1213*F1213,0)</f>
        <v>764</v>
      </c>
      <c r="H1213" s="48" t="n">
        <f aca="false">MAX(0,(C1213*'Model Inputs &amp; Assumptions'!$N$30+E1213*'Model Inputs &amp; Assumptions'!$O$30+G1213*'Model Inputs &amp; Assumptions'!$P$30)*EXP('Model Inputs &amp; Assumptions'!$Q$30*S1213-'Model Inputs &amp; Assumptions'!$Q$30^2/2))</f>
        <v>40.9758873416768</v>
      </c>
      <c r="I1213" s="49" t="n">
        <f aca="false">IF('Model Inputs &amp; Assumptions'!$H$30="Fixed",'Model Inputs &amp; Assumptions'!$I$30*'Model Inputs &amp; Assumptions'!$K$30,IF('Model Inputs &amp; Assumptions'!$H$30="CPM",'Model Inputs &amp; Assumptions'!$I$30*'Model Inputs &amp; Assumptions'!$K$30*C1213/1000,IF('Model Inputs &amp; Assumptions'!$H$30="CPC",'Model Inputs &amp; Assumptions'!$I$30*'Model Inputs &amp; Assumptions'!$K$30*G1213,0)))</f>
        <v>6900</v>
      </c>
      <c r="J1213" s="50" t="n">
        <f aca="false">H1213*INDEX('Model Inputs &amp; Assumptions'!$D$40:$D$42,MATCH('Model Inputs &amp; Assumptions'!$L$30,'Model Inputs &amp; Assumptions'!$A$40:$A$42,0))*INDEX('Model Inputs &amp; Assumptions'!$H$40:$H$42,MATCH('Model Inputs &amp; Assumptions'!$L$30,'Model Inputs &amp; Assumptions'!$A$40:$A$42,0))</f>
        <v>295026.388860073</v>
      </c>
      <c r="K1213" s="49" t="n">
        <f aca="false">H1213*INDEX('Model Inputs &amp; Assumptions'!$G$40:$G$42,MATCH('Model Inputs &amp; Assumptions'!$L$30,'Model Inputs &amp; Assumptions'!$A$40:$A$42,0))*INDEX('Model Inputs &amp; Assumptions'!$H$40:$H$42,MATCH('Model Inputs &amp; Assumptions'!$L$30,'Model Inputs &amp; Assumptions'!$A$40:$A$42,0))</f>
        <v>6505.33187436461</v>
      </c>
      <c r="L1213" s="51" t="n">
        <f aca="false">IFERROR(K1213/I1213,0)</f>
        <v>0.942801720922407</v>
      </c>
      <c r="M1213" s="49" t="n">
        <f aca="false">IFERROR(I1213/H1213,0)</f>
        <v>168.391716388335</v>
      </c>
      <c r="N1213" s="52" t="str">
        <f aca="false">'Model Inputs &amp; Assumptions'!$L$30</f>
        <v>PRD-USIQ</v>
      </c>
      <c r="P1213" s="53" t="n">
        <v>0.080724</v>
      </c>
      <c r="Q1213" s="53" t="n">
        <v>2.256904</v>
      </c>
      <c r="R1213" s="53" t="n">
        <v>0.605782</v>
      </c>
      <c r="S1213" s="53" t="n">
        <v>-0.643864</v>
      </c>
    </row>
    <row r="1214" customFormat="false" ht="15" hidden="false" customHeight="false" outlineLevel="0" collapsed="false">
      <c r="A1214" s="43" t="n">
        <v>211</v>
      </c>
      <c r="B1214" s="44" t="str">
        <f aca="false">'Model Inputs &amp; Assumptions'!$B$30</f>
        <v>extraETF — Newsletter Takeover</v>
      </c>
      <c r="C1214" s="45" t="n">
        <f aca="false">ROUND(MAX(0,'Model Inputs &amp; Assumptions'!$S$30*EXP('Model Inputs &amp; Assumptions'!$T$30*P1214-'Model Inputs &amp; Assumptions'!$T$30^2/2)),0)</f>
        <v>81952</v>
      </c>
      <c r="D1214" s="46" t="n">
        <f aca="false">MIN(1,'Model Inputs &amp; Assumptions'!$U$30*EXP('Model Inputs &amp; Assumptions'!$V$30*Q1214-'Model Inputs &amp; Assumptions'!$V$30^2/2))</f>
        <v>0</v>
      </c>
      <c r="E1214" s="45" t="n">
        <f aca="false">ROUND(C1214*D1214,0)</f>
        <v>0</v>
      </c>
      <c r="F1214" s="47" t="n">
        <f aca="false">MIN(1,'Model Inputs &amp; Assumptions'!$W$30*EXP('Model Inputs &amp; Assumptions'!$X$30*R1214-'Model Inputs &amp; Assumptions'!$X$30^2/2))</f>
        <v>0.00887680985308938</v>
      </c>
      <c r="G1214" s="45" t="n">
        <f aca="false">ROUND(C1214*F1214,0)</f>
        <v>727</v>
      </c>
      <c r="H1214" s="48" t="n">
        <f aca="false">MAX(0,(C1214*'Model Inputs &amp; Assumptions'!$N$30+E1214*'Model Inputs &amp; Assumptions'!$O$30+G1214*'Model Inputs &amp; Assumptions'!$P$30)*EXP('Model Inputs &amp; Assumptions'!$Q$30*S1214-'Model Inputs &amp; Assumptions'!$Q$30^2/2))</f>
        <v>38.3172703852186</v>
      </c>
      <c r="I1214" s="49" t="n">
        <f aca="false">IF('Model Inputs &amp; Assumptions'!$H$30="Fixed",'Model Inputs &amp; Assumptions'!$I$30*'Model Inputs &amp; Assumptions'!$K$30,IF('Model Inputs &amp; Assumptions'!$H$30="CPM",'Model Inputs &amp; Assumptions'!$I$30*'Model Inputs &amp; Assumptions'!$K$30*C1214/1000,IF('Model Inputs &amp; Assumptions'!$H$30="CPC",'Model Inputs &amp; Assumptions'!$I$30*'Model Inputs &amp; Assumptions'!$K$30*G1214,0)))</f>
        <v>6900</v>
      </c>
      <c r="J1214" s="50" t="n">
        <f aca="false">H1214*INDEX('Model Inputs &amp; Assumptions'!$D$40:$D$42,MATCH('Model Inputs &amp; Assumptions'!$L$30,'Model Inputs &amp; Assumptions'!$A$40:$A$42,0))*INDEX('Model Inputs &amp; Assumptions'!$H$40:$H$42,MATCH('Model Inputs &amp; Assumptions'!$L$30,'Model Inputs &amp; Assumptions'!$A$40:$A$42,0))</f>
        <v>275884.346773574</v>
      </c>
      <c r="K1214" s="49" t="n">
        <f aca="false">H1214*INDEX('Model Inputs &amp; Assumptions'!$G$40:$G$42,MATCH('Model Inputs &amp; Assumptions'!$L$30,'Model Inputs &amp; Assumptions'!$A$40:$A$42,0))*INDEX('Model Inputs &amp; Assumptions'!$H$40:$H$42,MATCH('Model Inputs &amp; Assumptions'!$L$30,'Model Inputs &amp; Assumptions'!$A$40:$A$42,0))</f>
        <v>6083.24984635731</v>
      </c>
      <c r="L1214" s="51" t="n">
        <f aca="false">IFERROR(K1214/I1214,0)</f>
        <v>0.881630412515551</v>
      </c>
      <c r="M1214" s="49" t="n">
        <f aca="false">IFERROR(I1214/H1214,0)</f>
        <v>180.075457636507</v>
      </c>
      <c r="N1214" s="52" t="str">
        <f aca="false">'Model Inputs &amp; Assumptions'!$L$30</f>
        <v>PRD-USIQ</v>
      </c>
      <c r="P1214" s="53" t="n">
        <v>-0.533354</v>
      </c>
      <c r="Q1214" s="53" t="n">
        <v>-0.224664</v>
      </c>
      <c r="R1214" s="53" t="n">
        <v>0.768338</v>
      </c>
      <c r="S1214" s="53" t="n">
        <v>-0.713631</v>
      </c>
    </row>
    <row r="1215" customFormat="false" ht="15" hidden="false" customHeight="false" outlineLevel="0" collapsed="false">
      <c r="A1215" s="43" t="n">
        <v>212</v>
      </c>
      <c r="B1215" s="44" t="str">
        <f aca="false">'Model Inputs &amp; Assumptions'!$B$30</f>
        <v>extraETF — Newsletter Takeover</v>
      </c>
      <c r="C1215" s="45" t="n">
        <f aca="false">ROUND(MAX(0,'Model Inputs &amp; Assumptions'!$S$30*EXP('Model Inputs &amp; Assumptions'!$T$30*P1215-'Model Inputs &amp; Assumptions'!$T$30^2/2)),0)</f>
        <v>90478</v>
      </c>
      <c r="D1215" s="46" t="n">
        <f aca="false">MIN(1,'Model Inputs &amp; Assumptions'!$U$30*EXP('Model Inputs &amp; Assumptions'!$V$30*Q1215-'Model Inputs &amp; Assumptions'!$V$30^2/2))</f>
        <v>0</v>
      </c>
      <c r="E1215" s="45" t="n">
        <f aca="false">ROUND(C1215*D1215,0)</f>
        <v>0</v>
      </c>
      <c r="F1215" s="47" t="n">
        <f aca="false">MIN(1,'Model Inputs &amp; Assumptions'!$W$30*EXP('Model Inputs &amp; Assumptions'!$X$30*R1215-'Model Inputs &amp; Assumptions'!$X$30^2/2))</f>
        <v>0.00824947483271518</v>
      </c>
      <c r="G1215" s="45" t="n">
        <f aca="false">ROUND(C1215*F1215,0)</f>
        <v>746</v>
      </c>
      <c r="H1215" s="48" t="n">
        <f aca="false">MAX(0,(C1215*'Model Inputs &amp; Assumptions'!$N$30+E1215*'Model Inputs &amp; Assumptions'!$O$30+G1215*'Model Inputs &amp; Assumptions'!$P$30)*EXP('Model Inputs &amp; Assumptions'!$Q$30*S1215-'Model Inputs &amp; Assumptions'!$Q$30^2/2))</f>
        <v>45.2893810506699</v>
      </c>
      <c r="I1215" s="49" t="n">
        <f aca="false">IF('Model Inputs &amp; Assumptions'!$H$30="Fixed",'Model Inputs &amp; Assumptions'!$I$30*'Model Inputs &amp; Assumptions'!$K$30,IF('Model Inputs &amp; Assumptions'!$H$30="CPM",'Model Inputs &amp; Assumptions'!$I$30*'Model Inputs &amp; Assumptions'!$K$30*C1215/1000,IF('Model Inputs &amp; Assumptions'!$H$30="CPC",'Model Inputs &amp; Assumptions'!$I$30*'Model Inputs &amp; Assumptions'!$K$30*G1215,0)))</f>
        <v>6900</v>
      </c>
      <c r="J1215" s="50" t="n">
        <f aca="false">H1215*INDEX('Model Inputs &amp; Assumptions'!$D$40:$D$42,MATCH('Model Inputs &amp; Assumptions'!$L$30,'Model Inputs &amp; Assumptions'!$A$40:$A$42,0))*INDEX('Model Inputs &amp; Assumptions'!$H$40:$H$42,MATCH('Model Inputs &amp; Assumptions'!$L$30,'Model Inputs &amp; Assumptions'!$A$40:$A$42,0))</f>
        <v>326083.543564823</v>
      </c>
      <c r="K1215" s="49" t="n">
        <f aca="false">H1215*INDEX('Model Inputs &amp; Assumptions'!$G$40:$G$42,MATCH('Model Inputs &amp; Assumptions'!$L$30,'Model Inputs &amp; Assumptions'!$A$40:$A$42,0))*INDEX('Model Inputs &amp; Assumptions'!$H$40:$H$42,MATCH('Model Inputs &amp; Assumptions'!$L$30,'Model Inputs &amp; Assumptions'!$A$40:$A$42,0))</f>
        <v>7190.14213560436</v>
      </c>
      <c r="L1215" s="51" t="n">
        <f aca="false">IFERROR(K1215/I1215,0)</f>
        <v>1.0420495848702</v>
      </c>
      <c r="M1215" s="49" t="n">
        <f aca="false">IFERROR(I1215/H1215,0)</f>
        <v>152.353594593847</v>
      </c>
      <c r="N1215" s="52" t="str">
        <f aca="false">'Model Inputs &amp; Assumptions'!$L$30</f>
        <v>PRD-USIQ</v>
      </c>
      <c r="P1215" s="53" t="n">
        <v>0.29142</v>
      </c>
      <c r="Q1215" s="53" t="n">
        <v>0.225453</v>
      </c>
      <c r="R1215" s="53" t="n">
        <v>0.27972</v>
      </c>
      <c r="S1215" s="53" t="n">
        <v>-0.14814</v>
      </c>
    </row>
    <row r="1216" customFormat="false" ht="15" hidden="false" customHeight="false" outlineLevel="0" collapsed="false">
      <c r="A1216" s="43" t="n">
        <v>213</v>
      </c>
      <c r="B1216" s="44" t="str">
        <f aca="false">'Model Inputs &amp; Assumptions'!$B$30</f>
        <v>extraETF — Newsletter Takeover</v>
      </c>
      <c r="C1216" s="45" t="n">
        <f aca="false">ROUND(MAX(0,'Model Inputs &amp; Assumptions'!$S$30*EXP('Model Inputs &amp; Assumptions'!$T$30*P1216-'Model Inputs &amp; Assumptions'!$T$30^2/2)),0)</f>
        <v>98084</v>
      </c>
      <c r="D1216" s="46" t="n">
        <f aca="false">MIN(1,'Model Inputs &amp; Assumptions'!$U$30*EXP('Model Inputs &amp; Assumptions'!$V$30*Q1216-'Model Inputs &amp; Assumptions'!$V$30^2/2))</f>
        <v>0</v>
      </c>
      <c r="E1216" s="45" t="n">
        <f aca="false">ROUND(C1216*D1216,0)</f>
        <v>0</v>
      </c>
      <c r="F1216" s="47" t="n">
        <f aca="false">MIN(1,'Model Inputs &amp; Assumptions'!$W$30*EXP('Model Inputs &amp; Assumptions'!$X$30*R1216-'Model Inputs &amp; Assumptions'!$X$30^2/2))</f>
        <v>0.00842706197988275</v>
      </c>
      <c r="G1216" s="45" t="n">
        <f aca="false">ROUND(C1216*F1216,0)</f>
        <v>827</v>
      </c>
      <c r="H1216" s="48" t="n">
        <f aca="false">MAX(0,(C1216*'Model Inputs &amp; Assumptions'!$N$30+E1216*'Model Inputs &amp; Assumptions'!$O$30+G1216*'Model Inputs &amp; Assumptions'!$P$30)*EXP('Model Inputs &amp; Assumptions'!$Q$30*S1216-'Model Inputs &amp; Assumptions'!$Q$30^2/2))</f>
        <v>35.3668763557373</v>
      </c>
      <c r="I1216" s="49" t="n">
        <f aca="false">IF('Model Inputs &amp; Assumptions'!$H$30="Fixed",'Model Inputs &amp; Assumptions'!$I$30*'Model Inputs &amp; Assumptions'!$K$30,IF('Model Inputs &amp; Assumptions'!$H$30="CPM",'Model Inputs &amp; Assumptions'!$I$30*'Model Inputs &amp; Assumptions'!$K$30*C1216/1000,IF('Model Inputs &amp; Assumptions'!$H$30="CPC",'Model Inputs &amp; Assumptions'!$I$30*'Model Inputs &amp; Assumptions'!$K$30*G1216,0)))</f>
        <v>6900</v>
      </c>
      <c r="J1216" s="50" t="n">
        <f aca="false">H1216*INDEX('Model Inputs &amp; Assumptions'!$D$40:$D$42,MATCH('Model Inputs &amp; Assumptions'!$L$30,'Model Inputs &amp; Assumptions'!$A$40:$A$42,0))*INDEX('Model Inputs &amp; Assumptions'!$H$40:$H$42,MATCH('Model Inputs &amp; Assumptions'!$L$30,'Model Inputs &amp; Assumptions'!$A$40:$A$42,0))</f>
        <v>254641.509761309</v>
      </c>
      <c r="K1216" s="49" t="n">
        <f aca="false">H1216*INDEX('Model Inputs &amp; Assumptions'!$G$40:$G$42,MATCH('Model Inputs &amp; Assumptions'!$L$30,'Model Inputs &amp; Assumptions'!$A$40:$A$42,0))*INDEX('Model Inputs &amp; Assumptions'!$H$40:$H$42,MATCH('Model Inputs &amp; Assumptions'!$L$30,'Model Inputs &amp; Assumptions'!$A$40:$A$42,0))</f>
        <v>5614.84529023686</v>
      </c>
      <c r="L1216" s="51" t="n">
        <f aca="false">IFERROR(K1216/I1216,0)</f>
        <v>0.813745694237225</v>
      </c>
      <c r="M1216" s="49" t="n">
        <f aca="false">IFERROR(I1216/H1216,0)</f>
        <v>195.097806506756</v>
      </c>
      <c r="N1216" s="52" t="str">
        <f aca="false">'Model Inputs &amp; Assumptions'!$L$30</f>
        <v>PRD-USIQ</v>
      </c>
      <c r="P1216" s="53" t="n">
        <v>0.964041</v>
      </c>
      <c r="Q1216" s="53" t="n">
        <v>0.364526</v>
      </c>
      <c r="R1216" s="53" t="n">
        <v>0.421711</v>
      </c>
      <c r="S1216" s="53" t="n">
        <v>-1.549644</v>
      </c>
    </row>
    <row r="1217" customFormat="false" ht="15" hidden="false" customHeight="false" outlineLevel="0" collapsed="false">
      <c r="A1217" s="43" t="n">
        <v>214</v>
      </c>
      <c r="B1217" s="44" t="str">
        <f aca="false">'Model Inputs &amp; Assumptions'!$B$30</f>
        <v>extraETF — Newsletter Takeover</v>
      </c>
      <c r="C1217" s="45" t="n">
        <f aca="false">ROUND(MAX(0,'Model Inputs &amp; Assumptions'!$S$30*EXP('Model Inputs &amp; Assumptions'!$T$30*P1217-'Model Inputs &amp; Assumptions'!$T$30^2/2)),0)</f>
        <v>88267</v>
      </c>
      <c r="D1217" s="46" t="n">
        <f aca="false">MIN(1,'Model Inputs &amp; Assumptions'!$U$30*EXP('Model Inputs &amp; Assumptions'!$V$30*Q1217-'Model Inputs &amp; Assumptions'!$V$30^2/2))</f>
        <v>0</v>
      </c>
      <c r="E1217" s="45" t="n">
        <f aca="false">ROUND(C1217*D1217,0)</f>
        <v>0</v>
      </c>
      <c r="F1217" s="47" t="n">
        <f aca="false">MIN(1,'Model Inputs &amp; Assumptions'!$W$30*EXP('Model Inputs &amp; Assumptions'!$X$30*R1217-'Model Inputs &amp; Assumptions'!$X$30^2/2))</f>
        <v>0.00790085152532301</v>
      </c>
      <c r="G1217" s="45" t="n">
        <f aca="false">ROUND(C1217*F1217,0)</f>
        <v>697</v>
      </c>
      <c r="H1217" s="48" t="n">
        <f aca="false">MAX(0,(C1217*'Model Inputs &amp; Assumptions'!$N$30+E1217*'Model Inputs &amp; Assumptions'!$O$30+G1217*'Model Inputs &amp; Assumptions'!$P$30)*EXP('Model Inputs &amp; Assumptions'!$Q$30*S1217-'Model Inputs &amp; Assumptions'!$Q$30^2/2))</f>
        <v>53.5879726304335</v>
      </c>
      <c r="I1217" s="49" t="n">
        <f aca="false">IF('Model Inputs &amp; Assumptions'!$H$30="Fixed",'Model Inputs &amp; Assumptions'!$I$30*'Model Inputs &amp; Assumptions'!$K$30,IF('Model Inputs &amp; Assumptions'!$H$30="CPM",'Model Inputs &amp; Assumptions'!$I$30*'Model Inputs &amp; Assumptions'!$K$30*C1217/1000,IF('Model Inputs &amp; Assumptions'!$H$30="CPC",'Model Inputs &amp; Assumptions'!$I$30*'Model Inputs &amp; Assumptions'!$K$30*G1217,0)))</f>
        <v>6900</v>
      </c>
      <c r="J1217" s="50" t="n">
        <f aca="false">H1217*INDEX('Model Inputs &amp; Assumptions'!$D$40:$D$42,MATCH('Model Inputs &amp; Assumptions'!$L$30,'Model Inputs &amp; Assumptions'!$A$40:$A$42,0))*INDEX('Model Inputs &amp; Assumptions'!$H$40:$H$42,MATCH('Model Inputs &amp; Assumptions'!$L$30,'Model Inputs &amp; Assumptions'!$A$40:$A$42,0))</f>
        <v>385833.402939121</v>
      </c>
      <c r="K1217" s="49" t="n">
        <f aca="false">H1217*INDEX('Model Inputs &amp; Assumptions'!$G$40:$G$42,MATCH('Model Inputs &amp; Assumptions'!$L$30,'Model Inputs &amp; Assumptions'!$A$40:$A$42,0))*INDEX('Model Inputs &amp; Assumptions'!$H$40:$H$42,MATCH('Model Inputs &amp; Assumptions'!$L$30,'Model Inputs &amp; Assumptions'!$A$40:$A$42,0))</f>
        <v>8507.62653480763</v>
      </c>
      <c r="L1217" s="51" t="n">
        <f aca="false">IFERROR(K1217/I1217,0)</f>
        <v>1.23298935287067</v>
      </c>
      <c r="M1217" s="49" t="n">
        <f aca="false">IFERROR(I1217/H1217,0)</f>
        <v>128.760235950434</v>
      </c>
      <c r="N1217" s="52" t="str">
        <f aca="false">'Model Inputs &amp; Assumptions'!$L$30</f>
        <v>PRD-USIQ</v>
      </c>
      <c r="P1217" s="53" t="n">
        <v>0.085263</v>
      </c>
      <c r="Q1217" s="53" t="n">
        <v>0.861812</v>
      </c>
      <c r="R1217" s="53" t="n">
        <v>-0.00814</v>
      </c>
      <c r="S1217" s="53" t="n">
        <v>0.796629</v>
      </c>
    </row>
    <row r="1218" customFormat="false" ht="15" hidden="false" customHeight="false" outlineLevel="0" collapsed="false">
      <c r="A1218" s="43" t="n">
        <v>215</v>
      </c>
      <c r="B1218" s="44" t="str">
        <f aca="false">'Model Inputs &amp; Assumptions'!$B$30</f>
        <v>extraETF — Newsletter Takeover</v>
      </c>
      <c r="C1218" s="45" t="n">
        <f aca="false">ROUND(MAX(0,'Model Inputs &amp; Assumptions'!$S$30*EXP('Model Inputs &amp; Assumptions'!$T$30*P1218-'Model Inputs &amp; Assumptions'!$T$30^2/2)),0)</f>
        <v>106328</v>
      </c>
      <c r="D1218" s="46" t="n">
        <f aca="false">MIN(1,'Model Inputs &amp; Assumptions'!$U$30*EXP('Model Inputs &amp; Assumptions'!$V$30*Q1218-'Model Inputs &amp; Assumptions'!$V$30^2/2))</f>
        <v>0</v>
      </c>
      <c r="E1218" s="45" t="n">
        <f aca="false">ROUND(C1218*D1218,0)</f>
        <v>0</v>
      </c>
      <c r="F1218" s="47" t="n">
        <f aca="false">MIN(1,'Model Inputs &amp; Assumptions'!$W$30*EXP('Model Inputs &amp; Assumptions'!$X$30*R1218-'Model Inputs &amp; Assumptions'!$X$30^2/2))</f>
        <v>0.00847458251833589</v>
      </c>
      <c r="G1218" s="45" t="n">
        <f aca="false">ROUND(C1218*F1218,0)</f>
        <v>901</v>
      </c>
      <c r="H1218" s="48" t="n">
        <f aca="false">MAX(0,(C1218*'Model Inputs &amp; Assumptions'!$N$30+E1218*'Model Inputs &amp; Assumptions'!$O$30+G1218*'Model Inputs &amp; Assumptions'!$P$30)*EXP('Model Inputs &amp; Assumptions'!$Q$30*S1218-'Model Inputs &amp; Assumptions'!$Q$30^2/2))</f>
        <v>71.2369574117257</v>
      </c>
      <c r="I1218" s="49" t="n">
        <f aca="false">IF('Model Inputs &amp; Assumptions'!$H$30="Fixed",'Model Inputs &amp; Assumptions'!$I$30*'Model Inputs &amp; Assumptions'!$K$30,IF('Model Inputs &amp; Assumptions'!$H$30="CPM",'Model Inputs &amp; Assumptions'!$I$30*'Model Inputs &amp; Assumptions'!$K$30*C1218/1000,IF('Model Inputs &amp; Assumptions'!$H$30="CPC",'Model Inputs &amp; Assumptions'!$I$30*'Model Inputs &amp; Assumptions'!$K$30*G1218,0)))</f>
        <v>6900</v>
      </c>
      <c r="J1218" s="50" t="n">
        <f aca="false">H1218*INDEX('Model Inputs &amp; Assumptions'!$D$40:$D$42,MATCH('Model Inputs &amp; Assumptions'!$L$30,'Model Inputs &amp; Assumptions'!$A$40:$A$42,0))*INDEX('Model Inputs &amp; Assumptions'!$H$40:$H$42,MATCH('Model Inputs &amp; Assumptions'!$L$30,'Model Inputs &amp; Assumptions'!$A$40:$A$42,0))</f>
        <v>512906.093364425</v>
      </c>
      <c r="K1218" s="49" t="n">
        <f aca="false">H1218*INDEX('Model Inputs &amp; Assumptions'!$G$40:$G$42,MATCH('Model Inputs &amp; Assumptions'!$L$30,'Model Inputs &amp; Assumptions'!$A$40:$A$42,0))*INDEX('Model Inputs &amp; Assumptions'!$H$40:$H$42,MATCH('Model Inputs &amp; Assumptions'!$L$30,'Model Inputs &amp; Assumptions'!$A$40:$A$42,0))</f>
        <v>11309.5793586856</v>
      </c>
      <c r="L1218" s="51" t="n">
        <f aca="false">IFERROR(K1218/I1218,0)</f>
        <v>1.63906947227327</v>
      </c>
      <c r="M1218" s="49" t="n">
        <f aca="false">IFERROR(I1218/H1218,0)</f>
        <v>96.8598358310044</v>
      </c>
      <c r="N1218" s="52" t="str">
        <f aca="false">'Model Inputs &amp; Assumptions'!$L$30</f>
        <v>PRD-USIQ</v>
      </c>
      <c r="P1218" s="53" t="n">
        <v>1.636616</v>
      </c>
      <c r="Q1218" s="53" t="n">
        <v>-0.730196</v>
      </c>
      <c r="R1218" s="53" t="n">
        <v>0.459199</v>
      </c>
      <c r="S1218" s="53" t="n">
        <v>0.908498</v>
      </c>
    </row>
    <row r="1219" customFormat="false" ht="15" hidden="false" customHeight="false" outlineLevel="0" collapsed="false">
      <c r="A1219" s="43" t="n">
        <v>216</v>
      </c>
      <c r="B1219" s="44" t="str">
        <f aca="false">'Model Inputs &amp; Assumptions'!$B$30</f>
        <v>extraETF — Newsletter Takeover</v>
      </c>
      <c r="C1219" s="45" t="n">
        <f aca="false">ROUND(MAX(0,'Model Inputs &amp; Assumptions'!$S$30*EXP('Model Inputs &amp; Assumptions'!$T$30*P1219-'Model Inputs &amp; Assumptions'!$T$30^2/2)),0)</f>
        <v>93465</v>
      </c>
      <c r="D1219" s="46" t="n">
        <f aca="false">MIN(1,'Model Inputs &amp; Assumptions'!$U$30*EXP('Model Inputs &amp; Assumptions'!$V$30*Q1219-'Model Inputs &amp; Assumptions'!$V$30^2/2))</f>
        <v>0</v>
      </c>
      <c r="E1219" s="45" t="n">
        <f aca="false">ROUND(C1219*D1219,0)</f>
        <v>0</v>
      </c>
      <c r="F1219" s="47" t="n">
        <f aca="false">MIN(1,'Model Inputs &amp; Assumptions'!$W$30*EXP('Model Inputs &amp; Assumptions'!$X$30*R1219-'Model Inputs &amp; Assumptions'!$X$30^2/2))</f>
        <v>0.00850029689474527</v>
      </c>
      <c r="G1219" s="45" t="n">
        <f aca="false">ROUND(C1219*F1219,0)</f>
        <v>794</v>
      </c>
      <c r="H1219" s="48" t="n">
        <f aca="false">MAX(0,(C1219*'Model Inputs &amp; Assumptions'!$N$30+E1219*'Model Inputs &amp; Assumptions'!$O$30+G1219*'Model Inputs &amp; Assumptions'!$P$30)*EXP('Model Inputs &amp; Assumptions'!$Q$30*S1219-'Model Inputs &amp; Assumptions'!$Q$30^2/2))</f>
        <v>55.4187066633556</v>
      </c>
      <c r="I1219" s="49" t="n">
        <f aca="false">IF('Model Inputs &amp; Assumptions'!$H$30="Fixed",'Model Inputs &amp; Assumptions'!$I$30*'Model Inputs &amp; Assumptions'!$K$30,IF('Model Inputs &amp; Assumptions'!$H$30="CPM",'Model Inputs &amp; Assumptions'!$I$30*'Model Inputs &amp; Assumptions'!$K$30*C1219/1000,IF('Model Inputs &amp; Assumptions'!$H$30="CPC",'Model Inputs &amp; Assumptions'!$I$30*'Model Inputs &amp; Assumptions'!$K$30*G1219,0)))</f>
        <v>6900</v>
      </c>
      <c r="J1219" s="50" t="n">
        <f aca="false">H1219*INDEX('Model Inputs &amp; Assumptions'!$D$40:$D$42,MATCH('Model Inputs &amp; Assumptions'!$L$30,'Model Inputs &amp; Assumptions'!$A$40:$A$42,0))*INDEX('Model Inputs &amp; Assumptions'!$H$40:$H$42,MATCH('Model Inputs &amp; Assumptions'!$L$30,'Model Inputs &amp; Assumptions'!$A$40:$A$42,0))</f>
        <v>399014.68797616</v>
      </c>
      <c r="K1219" s="49" t="n">
        <f aca="false">H1219*INDEX('Model Inputs &amp; Assumptions'!$G$40:$G$42,MATCH('Model Inputs &amp; Assumptions'!$L$30,'Model Inputs &amp; Assumptions'!$A$40:$A$42,0))*INDEX('Model Inputs &amp; Assumptions'!$H$40:$H$42,MATCH('Model Inputs &amp; Assumptions'!$L$30,'Model Inputs &amp; Assumptions'!$A$40:$A$42,0))</f>
        <v>8798.27386987433</v>
      </c>
      <c r="L1219" s="51" t="n">
        <f aca="false">IFERROR(K1219/I1219,0)</f>
        <v>1.27511215505425</v>
      </c>
      <c r="M1219" s="49" t="n">
        <f aca="false">IFERROR(I1219/H1219,0)</f>
        <v>124.506694858732</v>
      </c>
      <c r="N1219" s="52" t="str">
        <f aca="false">'Model Inputs &amp; Assumptions'!$L$30</f>
        <v>PRD-USIQ</v>
      </c>
      <c r="P1219" s="53" t="n">
        <v>0.562106</v>
      </c>
      <c r="Q1219" s="53" t="n">
        <v>-0.251707</v>
      </c>
      <c r="R1219" s="53" t="n">
        <v>0.479397</v>
      </c>
      <c r="S1219" s="53" t="n">
        <v>0.409807</v>
      </c>
    </row>
    <row r="1220" customFormat="false" ht="15" hidden="false" customHeight="false" outlineLevel="0" collapsed="false">
      <c r="A1220" s="43" t="n">
        <v>217</v>
      </c>
      <c r="B1220" s="44" t="str">
        <f aca="false">'Model Inputs &amp; Assumptions'!$B$30</f>
        <v>extraETF — Newsletter Takeover</v>
      </c>
      <c r="C1220" s="45" t="n">
        <f aca="false">ROUND(MAX(0,'Model Inputs &amp; Assumptions'!$S$30*EXP('Model Inputs &amp; Assumptions'!$T$30*P1220-'Model Inputs &amp; Assumptions'!$T$30^2/2)),0)</f>
        <v>91227</v>
      </c>
      <c r="D1220" s="46" t="n">
        <f aca="false">MIN(1,'Model Inputs &amp; Assumptions'!$U$30*EXP('Model Inputs &amp; Assumptions'!$V$30*Q1220-'Model Inputs &amp; Assumptions'!$V$30^2/2))</f>
        <v>0</v>
      </c>
      <c r="E1220" s="45" t="n">
        <f aca="false">ROUND(C1220*D1220,0)</f>
        <v>0</v>
      </c>
      <c r="F1220" s="47" t="n">
        <f aca="false">MIN(1,'Model Inputs &amp; Assumptions'!$W$30*EXP('Model Inputs &amp; Assumptions'!$X$30*R1220-'Model Inputs &amp; Assumptions'!$X$30^2/2))</f>
        <v>0.00874914771547587</v>
      </c>
      <c r="G1220" s="45" t="n">
        <f aca="false">ROUND(C1220*F1220,0)</f>
        <v>798</v>
      </c>
      <c r="H1220" s="48" t="n">
        <f aca="false">MAX(0,(C1220*'Model Inputs &amp; Assumptions'!$N$30+E1220*'Model Inputs &amp; Assumptions'!$O$30+G1220*'Model Inputs &amp; Assumptions'!$P$30)*EXP('Model Inputs &amp; Assumptions'!$Q$30*S1220-'Model Inputs &amp; Assumptions'!$Q$30^2/2))</f>
        <v>62.6674132944065</v>
      </c>
      <c r="I1220" s="49" t="n">
        <f aca="false">IF('Model Inputs &amp; Assumptions'!$H$30="Fixed",'Model Inputs &amp; Assumptions'!$I$30*'Model Inputs &amp; Assumptions'!$K$30,IF('Model Inputs &amp; Assumptions'!$H$30="CPM",'Model Inputs &amp; Assumptions'!$I$30*'Model Inputs &amp; Assumptions'!$K$30*C1220/1000,IF('Model Inputs &amp; Assumptions'!$H$30="CPC",'Model Inputs &amp; Assumptions'!$I$30*'Model Inputs &amp; Assumptions'!$K$30*G1220,0)))</f>
        <v>6900</v>
      </c>
      <c r="J1220" s="50" t="n">
        <f aca="false">H1220*INDEX('Model Inputs &amp; Assumptions'!$D$40:$D$42,MATCH('Model Inputs &amp; Assumptions'!$L$30,'Model Inputs &amp; Assumptions'!$A$40:$A$42,0))*INDEX('Model Inputs &amp; Assumptions'!$H$40:$H$42,MATCH('Model Inputs &amp; Assumptions'!$L$30,'Model Inputs &amp; Assumptions'!$A$40:$A$42,0))</f>
        <v>451205.375719727</v>
      </c>
      <c r="K1220" s="49" t="n">
        <f aca="false">H1220*INDEX('Model Inputs &amp; Assumptions'!$G$40:$G$42,MATCH('Model Inputs &amp; Assumptions'!$L$30,'Model Inputs &amp; Assumptions'!$A$40:$A$42,0))*INDEX('Model Inputs &amp; Assumptions'!$H$40:$H$42,MATCH('Model Inputs &amp; Assumptions'!$L$30,'Model Inputs &amp; Assumptions'!$A$40:$A$42,0))</f>
        <v>9949.07853461997</v>
      </c>
      <c r="L1220" s="51" t="n">
        <f aca="false">IFERROR(K1220/I1220,0)</f>
        <v>1.4418954398</v>
      </c>
      <c r="M1220" s="49" t="n">
        <f aca="false">IFERROR(I1220/H1220,0)</f>
        <v>110.105071156908</v>
      </c>
      <c r="N1220" s="52" t="str">
        <f aca="false">'Model Inputs &amp; Assumptions'!$L$30</f>
        <v>PRD-USIQ</v>
      </c>
      <c r="P1220" s="53" t="n">
        <v>0.360129</v>
      </c>
      <c r="Q1220" s="53" t="n">
        <v>0.817846</v>
      </c>
      <c r="R1220" s="53" t="n">
        <v>0.671765</v>
      </c>
      <c r="S1220" s="53" t="n">
        <v>0.881404</v>
      </c>
    </row>
    <row r="1221" customFormat="false" ht="15" hidden="false" customHeight="false" outlineLevel="0" collapsed="false">
      <c r="A1221" s="43" t="n">
        <v>218</v>
      </c>
      <c r="B1221" s="44" t="str">
        <f aca="false">'Model Inputs &amp; Assumptions'!$B$30</f>
        <v>extraETF — Newsletter Takeover</v>
      </c>
      <c r="C1221" s="45" t="n">
        <f aca="false">ROUND(MAX(0,'Model Inputs &amp; Assumptions'!$S$30*EXP('Model Inputs &amp; Assumptions'!$T$30*P1221-'Model Inputs &amp; Assumptions'!$T$30^2/2)),0)</f>
        <v>111002</v>
      </c>
      <c r="D1221" s="46" t="n">
        <f aca="false">MIN(1,'Model Inputs &amp; Assumptions'!$U$30*EXP('Model Inputs &amp; Assumptions'!$V$30*Q1221-'Model Inputs &amp; Assumptions'!$V$30^2/2))</f>
        <v>0</v>
      </c>
      <c r="E1221" s="45" t="n">
        <f aca="false">ROUND(C1221*D1221,0)</f>
        <v>0</v>
      </c>
      <c r="F1221" s="47" t="n">
        <f aca="false">MIN(1,'Model Inputs &amp; Assumptions'!$W$30*EXP('Model Inputs &amp; Assumptions'!$X$30*R1221-'Model Inputs &amp; Assumptions'!$X$30^2/2))</f>
        <v>0.00900066255347897</v>
      </c>
      <c r="G1221" s="45" t="n">
        <f aca="false">ROUND(C1221*F1221,0)</f>
        <v>999</v>
      </c>
      <c r="H1221" s="48" t="n">
        <f aca="false">MAX(0,(C1221*'Model Inputs &amp; Assumptions'!$N$30+E1221*'Model Inputs &amp; Assumptions'!$O$30+G1221*'Model Inputs &amp; Assumptions'!$P$30)*EXP('Model Inputs &amp; Assumptions'!$Q$30*S1221-'Model Inputs &amp; Assumptions'!$Q$30^2/2))</f>
        <v>119.050142458789</v>
      </c>
      <c r="I1221" s="49" t="n">
        <f aca="false">IF('Model Inputs &amp; Assumptions'!$H$30="Fixed",'Model Inputs &amp; Assumptions'!$I$30*'Model Inputs &amp; Assumptions'!$K$30,IF('Model Inputs &amp; Assumptions'!$H$30="CPM",'Model Inputs &amp; Assumptions'!$I$30*'Model Inputs &amp; Assumptions'!$K$30*C1221/1000,IF('Model Inputs &amp; Assumptions'!$H$30="CPC",'Model Inputs &amp; Assumptions'!$I$30*'Model Inputs &amp; Assumptions'!$K$30*G1221,0)))</f>
        <v>6900</v>
      </c>
      <c r="J1221" s="50" t="n">
        <f aca="false">H1221*INDEX('Model Inputs &amp; Assumptions'!$D$40:$D$42,MATCH('Model Inputs &amp; Assumptions'!$L$30,'Model Inputs &amp; Assumptions'!$A$40:$A$42,0))*INDEX('Model Inputs &amp; Assumptions'!$H$40:$H$42,MATCH('Model Inputs &amp; Assumptions'!$L$30,'Model Inputs &amp; Assumptions'!$A$40:$A$42,0))</f>
        <v>857161.025703283</v>
      </c>
      <c r="K1221" s="49" t="n">
        <f aca="false">H1221*INDEX('Model Inputs &amp; Assumptions'!$G$40:$G$42,MATCH('Model Inputs &amp; Assumptions'!$L$30,'Model Inputs &amp; Assumptions'!$A$40:$A$42,0))*INDEX('Model Inputs &amp; Assumptions'!$H$40:$H$42,MATCH('Model Inputs &amp; Assumptions'!$L$30,'Model Inputs &amp; Assumptions'!$A$40:$A$42,0))</f>
        <v>18900.4006167574</v>
      </c>
      <c r="L1221" s="51" t="n">
        <f aca="false">IFERROR(K1221/I1221,0)</f>
        <v>2.73918849518223</v>
      </c>
      <c r="M1221" s="49" t="n">
        <f aca="false">IFERROR(I1221/H1221,0)</f>
        <v>57.9587714679848</v>
      </c>
      <c r="N1221" s="52" t="str">
        <f aca="false">'Model Inputs &amp; Assumptions'!$L$30</f>
        <v>PRD-USIQ</v>
      </c>
      <c r="P1221" s="53" t="n">
        <v>1.99507</v>
      </c>
      <c r="Q1221" s="53" t="n">
        <v>-0.201803</v>
      </c>
      <c r="R1221" s="53" t="n">
        <v>0.860711</v>
      </c>
      <c r="S1221" s="53" t="n">
        <v>2.549632</v>
      </c>
    </row>
    <row r="1222" customFormat="false" ht="15" hidden="false" customHeight="false" outlineLevel="0" collapsed="false">
      <c r="A1222" s="43" t="n">
        <v>219</v>
      </c>
      <c r="B1222" s="44" t="str">
        <f aca="false">'Model Inputs &amp; Assumptions'!$B$30</f>
        <v>extraETF — Newsletter Takeover</v>
      </c>
      <c r="C1222" s="45" t="n">
        <f aca="false">ROUND(MAX(0,'Model Inputs &amp; Assumptions'!$S$30*EXP('Model Inputs &amp; Assumptions'!$T$30*P1222-'Model Inputs &amp; Assumptions'!$T$30^2/2)),0)</f>
        <v>98041</v>
      </c>
      <c r="D1222" s="46" t="n">
        <f aca="false">MIN(1,'Model Inputs &amp; Assumptions'!$U$30*EXP('Model Inputs &amp; Assumptions'!$V$30*Q1222-'Model Inputs &amp; Assumptions'!$V$30^2/2))</f>
        <v>0</v>
      </c>
      <c r="E1222" s="45" t="n">
        <f aca="false">ROUND(C1222*D1222,0)</f>
        <v>0</v>
      </c>
      <c r="F1222" s="47" t="n">
        <f aca="false">MIN(1,'Model Inputs &amp; Assumptions'!$W$30*EXP('Model Inputs &amp; Assumptions'!$X$30*R1222-'Model Inputs &amp; Assumptions'!$X$30^2/2))</f>
        <v>0.0073418708304316</v>
      </c>
      <c r="G1222" s="45" t="n">
        <f aca="false">ROUND(C1222*F1222,0)</f>
        <v>720</v>
      </c>
      <c r="H1222" s="48" t="n">
        <f aca="false">MAX(0,(C1222*'Model Inputs &amp; Assumptions'!$N$30+E1222*'Model Inputs &amp; Assumptions'!$O$30+G1222*'Model Inputs &amp; Assumptions'!$P$30)*EXP('Model Inputs &amp; Assumptions'!$Q$30*S1222-'Model Inputs &amp; Assumptions'!$Q$30^2/2))</f>
        <v>56.8563950026901</v>
      </c>
      <c r="I1222" s="49" t="n">
        <f aca="false">IF('Model Inputs &amp; Assumptions'!$H$30="Fixed",'Model Inputs &amp; Assumptions'!$I$30*'Model Inputs &amp; Assumptions'!$K$30,IF('Model Inputs &amp; Assumptions'!$H$30="CPM",'Model Inputs &amp; Assumptions'!$I$30*'Model Inputs &amp; Assumptions'!$K$30*C1222/1000,IF('Model Inputs &amp; Assumptions'!$H$30="CPC",'Model Inputs &amp; Assumptions'!$I$30*'Model Inputs &amp; Assumptions'!$K$30*G1222,0)))</f>
        <v>6900</v>
      </c>
      <c r="J1222" s="50" t="n">
        <f aca="false">H1222*INDEX('Model Inputs &amp; Assumptions'!$D$40:$D$42,MATCH('Model Inputs &amp; Assumptions'!$L$30,'Model Inputs &amp; Assumptions'!$A$40:$A$42,0))*INDEX('Model Inputs &amp; Assumptions'!$H$40:$H$42,MATCH('Model Inputs &amp; Assumptions'!$L$30,'Model Inputs &amp; Assumptions'!$A$40:$A$42,0))</f>
        <v>409366.044019369</v>
      </c>
      <c r="K1222" s="49" t="n">
        <f aca="false">H1222*INDEX('Model Inputs &amp; Assumptions'!$G$40:$G$42,MATCH('Model Inputs &amp; Assumptions'!$L$30,'Model Inputs &amp; Assumptions'!$A$40:$A$42,0))*INDEX('Model Inputs &amp; Assumptions'!$H$40:$H$42,MATCH('Model Inputs &amp; Assumptions'!$L$30,'Model Inputs &amp; Assumptions'!$A$40:$A$42,0))</f>
        <v>9026.52127062708</v>
      </c>
      <c r="L1222" s="51" t="n">
        <f aca="false">IFERROR(K1222/I1222,0)</f>
        <v>1.30819148849668</v>
      </c>
      <c r="M1222" s="49" t="n">
        <f aca="false">IFERROR(I1222/H1222,0)</f>
        <v>121.358380172952</v>
      </c>
      <c r="N1222" s="52" t="str">
        <f aca="false">'Model Inputs &amp; Assumptions'!$L$30</f>
        <v>PRD-USIQ</v>
      </c>
      <c r="P1222" s="53" t="n">
        <v>0.960421</v>
      </c>
      <c r="Q1222" s="53" t="n">
        <v>0.696451</v>
      </c>
      <c r="R1222" s="53" t="n">
        <v>-0.497319</v>
      </c>
      <c r="S1222" s="53" t="n">
        <v>0.903582</v>
      </c>
    </row>
    <row r="1223" customFormat="false" ht="15" hidden="false" customHeight="false" outlineLevel="0" collapsed="false">
      <c r="A1223" s="43" t="n">
        <v>220</v>
      </c>
      <c r="B1223" s="44" t="str">
        <f aca="false">'Model Inputs &amp; Assumptions'!$B$30</f>
        <v>extraETF — Newsletter Takeover</v>
      </c>
      <c r="C1223" s="45" t="n">
        <f aca="false">ROUND(MAX(0,'Model Inputs &amp; Assumptions'!$S$30*EXP('Model Inputs &amp; Assumptions'!$T$30*P1223-'Model Inputs &amp; Assumptions'!$T$30^2/2)),0)</f>
        <v>68120</v>
      </c>
      <c r="D1223" s="46" t="n">
        <f aca="false">MIN(1,'Model Inputs &amp; Assumptions'!$U$30*EXP('Model Inputs &amp; Assumptions'!$V$30*Q1223-'Model Inputs &amp; Assumptions'!$V$30^2/2))</f>
        <v>0</v>
      </c>
      <c r="E1223" s="45" t="n">
        <f aca="false">ROUND(C1223*D1223,0)</f>
        <v>0</v>
      </c>
      <c r="F1223" s="47" t="n">
        <f aca="false">MIN(1,'Model Inputs &amp; Assumptions'!$W$30*EXP('Model Inputs &amp; Assumptions'!$X$30*R1223-'Model Inputs &amp; Assumptions'!$X$30^2/2))</f>
        <v>0.00798975856104214</v>
      </c>
      <c r="G1223" s="45" t="n">
        <f aca="false">ROUND(C1223*F1223,0)</f>
        <v>544</v>
      </c>
      <c r="H1223" s="48" t="n">
        <f aca="false">MAX(0,(C1223*'Model Inputs &amp; Assumptions'!$N$30+E1223*'Model Inputs &amp; Assumptions'!$O$30+G1223*'Model Inputs &amp; Assumptions'!$P$30)*EXP('Model Inputs &amp; Assumptions'!$Q$30*S1223-'Model Inputs &amp; Assumptions'!$Q$30^2/2))</f>
        <v>34.5201595364202</v>
      </c>
      <c r="I1223" s="49" t="n">
        <f aca="false">IF('Model Inputs &amp; Assumptions'!$H$30="Fixed",'Model Inputs &amp; Assumptions'!$I$30*'Model Inputs &amp; Assumptions'!$K$30,IF('Model Inputs &amp; Assumptions'!$H$30="CPM",'Model Inputs &amp; Assumptions'!$I$30*'Model Inputs &amp; Assumptions'!$K$30*C1223/1000,IF('Model Inputs &amp; Assumptions'!$H$30="CPC",'Model Inputs &amp; Assumptions'!$I$30*'Model Inputs &amp; Assumptions'!$K$30*G1223,0)))</f>
        <v>6900</v>
      </c>
      <c r="J1223" s="50" t="n">
        <f aca="false">H1223*INDEX('Model Inputs &amp; Assumptions'!$D$40:$D$42,MATCH('Model Inputs &amp; Assumptions'!$L$30,'Model Inputs &amp; Assumptions'!$A$40:$A$42,0))*INDEX('Model Inputs &amp; Assumptions'!$H$40:$H$42,MATCH('Model Inputs &amp; Assumptions'!$L$30,'Model Inputs &amp; Assumptions'!$A$40:$A$42,0))</f>
        <v>248545.148662225</v>
      </c>
      <c r="K1223" s="49" t="n">
        <f aca="false">H1223*INDEX('Model Inputs &amp; Assumptions'!$G$40:$G$42,MATCH('Model Inputs &amp; Assumptions'!$L$30,'Model Inputs &amp; Assumptions'!$A$40:$A$42,0))*INDEX('Model Inputs &amp; Assumptions'!$H$40:$H$42,MATCH('Model Inputs &amp; Assumptions'!$L$30,'Model Inputs &amp; Assumptions'!$A$40:$A$42,0))</f>
        <v>5480.42052800207</v>
      </c>
      <c r="L1223" s="51" t="n">
        <f aca="false">IFERROR(K1223/I1223,0)</f>
        <v>0.794263844637981</v>
      </c>
      <c r="M1223" s="49" t="n">
        <f aca="false">IFERROR(I1223/H1223,0)</f>
        <v>199.883201371657</v>
      </c>
      <c r="N1223" s="52" t="str">
        <f aca="false">'Model Inputs &amp; Assumptions'!$L$30</f>
        <v>PRD-USIQ</v>
      </c>
      <c r="P1223" s="53" t="n">
        <v>-2.073882</v>
      </c>
      <c r="Q1223" s="53" t="n">
        <v>0.309473</v>
      </c>
      <c r="R1223" s="53" t="n">
        <v>0.06646</v>
      </c>
      <c r="S1223" s="53" t="n">
        <v>0.028849</v>
      </c>
    </row>
    <row r="1224" customFormat="false" ht="15" hidden="false" customHeight="false" outlineLevel="0" collapsed="false">
      <c r="A1224" s="43" t="n">
        <v>221</v>
      </c>
      <c r="B1224" s="44" t="str">
        <f aca="false">'Model Inputs &amp; Assumptions'!$B$30</f>
        <v>extraETF — Newsletter Takeover</v>
      </c>
      <c r="C1224" s="45" t="n">
        <f aca="false">ROUND(MAX(0,'Model Inputs &amp; Assumptions'!$S$30*EXP('Model Inputs &amp; Assumptions'!$T$30*P1224-'Model Inputs &amp; Assumptions'!$T$30^2/2)),0)</f>
        <v>100076</v>
      </c>
      <c r="D1224" s="46" t="n">
        <f aca="false">MIN(1,'Model Inputs &amp; Assumptions'!$U$30*EXP('Model Inputs &amp; Assumptions'!$V$30*Q1224-'Model Inputs &amp; Assumptions'!$V$30^2/2))</f>
        <v>0</v>
      </c>
      <c r="E1224" s="45" t="n">
        <f aca="false">ROUND(C1224*D1224,0)</f>
        <v>0</v>
      </c>
      <c r="F1224" s="47" t="n">
        <f aca="false">MIN(1,'Model Inputs &amp; Assumptions'!$W$30*EXP('Model Inputs &amp; Assumptions'!$X$30*R1224-'Model Inputs &amp; Assumptions'!$X$30^2/2))</f>
        <v>0.00932939988403693</v>
      </c>
      <c r="G1224" s="45" t="n">
        <f aca="false">ROUND(C1224*F1224,0)</f>
        <v>934</v>
      </c>
      <c r="H1224" s="48" t="n">
        <f aca="false">MAX(0,(C1224*'Model Inputs &amp; Assumptions'!$N$30+E1224*'Model Inputs &amp; Assumptions'!$O$30+G1224*'Model Inputs &amp; Assumptions'!$P$30)*EXP('Model Inputs &amp; Assumptions'!$Q$30*S1224-'Model Inputs &amp; Assumptions'!$Q$30^2/2))</f>
        <v>45.8467553304813</v>
      </c>
      <c r="I1224" s="49" t="n">
        <f aca="false">IF('Model Inputs &amp; Assumptions'!$H$30="Fixed",'Model Inputs &amp; Assumptions'!$I$30*'Model Inputs &amp; Assumptions'!$K$30,IF('Model Inputs &amp; Assumptions'!$H$30="CPM",'Model Inputs &amp; Assumptions'!$I$30*'Model Inputs &amp; Assumptions'!$K$30*C1224/1000,IF('Model Inputs &amp; Assumptions'!$H$30="CPC",'Model Inputs &amp; Assumptions'!$I$30*'Model Inputs &amp; Assumptions'!$K$30*G1224,0)))</f>
        <v>6900</v>
      </c>
      <c r="J1224" s="50" t="n">
        <f aca="false">H1224*INDEX('Model Inputs &amp; Assumptions'!$D$40:$D$42,MATCH('Model Inputs &amp; Assumptions'!$L$30,'Model Inputs &amp; Assumptions'!$A$40:$A$42,0))*INDEX('Model Inputs &amp; Assumptions'!$H$40:$H$42,MATCH('Model Inputs &amp; Assumptions'!$L$30,'Model Inputs &amp; Assumptions'!$A$40:$A$42,0))</f>
        <v>330096.638379465</v>
      </c>
      <c r="K1224" s="49" t="n">
        <f aca="false">H1224*INDEX('Model Inputs &amp; Assumptions'!$G$40:$G$42,MATCH('Model Inputs &amp; Assumptions'!$L$30,'Model Inputs &amp; Assumptions'!$A$40:$A$42,0))*INDEX('Model Inputs &amp; Assumptions'!$H$40:$H$42,MATCH('Model Inputs &amp; Assumptions'!$L$30,'Model Inputs &amp; Assumptions'!$A$40:$A$42,0))</f>
        <v>7278.6308762672</v>
      </c>
      <c r="L1224" s="51" t="n">
        <f aca="false">IFERROR(K1224/I1224,0)</f>
        <v>1.05487404003873</v>
      </c>
      <c r="M1224" s="49" t="n">
        <f aca="false">IFERROR(I1224/H1224,0)</f>
        <v>150.501381183076</v>
      </c>
      <c r="N1224" s="52" t="str">
        <f aca="false">'Model Inputs &amp; Assumptions'!$L$30</f>
        <v>PRD-USIQ</v>
      </c>
      <c r="P1224" s="53" t="n">
        <v>1.131589</v>
      </c>
      <c r="Q1224" s="53" t="n">
        <v>0.303341</v>
      </c>
      <c r="R1224" s="53" t="n">
        <v>1.099861</v>
      </c>
      <c r="S1224" s="53" t="n">
        <v>-0.998216</v>
      </c>
    </row>
    <row r="1225" customFormat="false" ht="15" hidden="false" customHeight="false" outlineLevel="0" collapsed="false">
      <c r="A1225" s="43" t="n">
        <v>222</v>
      </c>
      <c r="B1225" s="44" t="str">
        <f aca="false">'Model Inputs &amp; Assumptions'!$B$30</f>
        <v>extraETF — Newsletter Takeover</v>
      </c>
      <c r="C1225" s="45" t="n">
        <f aca="false">ROUND(MAX(0,'Model Inputs &amp; Assumptions'!$S$30*EXP('Model Inputs &amp; Assumptions'!$T$30*P1225-'Model Inputs &amp; Assumptions'!$T$30^2/2)),0)</f>
        <v>97253</v>
      </c>
      <c r="D1225" s="46" t="n">
        <f aca="false">MIN(1,'Model Inputs &amp; Assumptions'!$U$30*EXP('Model Inputs &amp; Assumptions'!$V$30*Q1225-'Model Inputs &amp; Assumptions'!$V$30^2/2))</f>
        <v>0</v>
      </c>
      <c r="E1225" s="45" t="n">
        <f aca="false">ROUND(C1225*D1225,0)</f>
        <v>0</v>
      </c>
      <c r="F1225" s="47" t="n">
        <f aca="false">MIN(1,'Model Inputs &amp; Assumptions'!$W$30*EXP('Model Inputs &amp; Assumptions'!$X$30*R1225-'Model Inputs &amp; Assumptions'!$X$30^2/2))</f>
        <v>0.00796599846192792</v>
      </c>
      <c r="G1225" s="45" t="n">
        <f aca="false">ROUND(C1225*F1225,0)</f>
        <v>775</v>
      </c>
      <c r="H1225" s="48" t="n">
        <f aca="false">MAX(0,(C1225*'Model Inputs &amp; Assumptions'!$N$30+E1225*'Model Inputs &amp; Assumptions'!$O$30+G1225*'Model Inputs &amp; Assumptions'!$P$30)*EXP('Model Inputs &amp; Assumptions'!$Q$30*S1225-'Model Inputs &amp; Assumptions'!$Q$30^2/2))</f>
        <v>42.5786847582419</v>
      </c>
      <c r="I1225" s="49" t="n">
        <f aca="false">IF('Model Inputs &amp; Assumptions'!$H$30="Fixed",'Model Inputs &amp; Assumptions'!$I$30*'Model Inputs &amp; Assumptions'!$K$30,IF('Model Inputs &amp; Assumptions'!$H$30="CPM",'Model Inputs &amp; Assumptions'!$I$30*'Model Inputs &amp; Assumptions'!$K$30*C1225/1000,IF('Model Inputs &amp; Assumptions'!$H$30="CPC",'Model Inputs &amp; Assumptions'!$I$30*'Model Inputs &amp; Assumptions'!$K$30*G1225,0)))</f>
        <v>6900</v>
      </c>
      <c r="J1225" s="50" t="n">
        <f aca="false">H1225*INDEX('Model Inputs &amp; Assumptions'!$D$40:$D$42,MATCH('Model Inputs &amp; Assumptions'!$L$30,'Model Inputs &amp; Assumptions'!$A$40:$A$42,0))*INDEX('Model Inputs &amp; Assumptions'!$H$40:$H$42,MATCH('Model Inputs &amp; Assumptions'!$L$30,'Model Inputs &amp; Assumptions'!$A$40:$A$42,0))</f>
        <v>306566.530259342</v>
      </c>
      <c r="K1225" s="49" t="n">
        <f aca="false">H1225*INDEX('Model Inputs &amp; Assumptions'!$G$40:$G$42,MATCH('Model Inputs &amp; Assumptions'!$L$30,'Model Inputs &amp; Assumptions'!$A$40:$A$42,0))*INDEX('Model Inputs &amp; Assumptions'!$H$40:$H$42,MATCH('Model Inputs &amp; Assumptions'!$L$30,'Model Inputs &amp; Assumptions'!$A$40:$A$42,0))</f>
        <v>6759.79199221849</v>
      </c>
      <c r="L1225" s="51" t="n">
        <f aca="false">IFERROR(K1225/I1225,0)</f>
        <v>0.979679998872245</v>
      </c>
      <c r="M1225" s="49" t="n">
        <f aca="false">IFERROR(I1225/H1225,0)</f>
        <v>162.052915424175</v>
      </c>
      <c r="N1225" s="52" t="str">
        <f aca="false">'Model Inputs &amp; Assumptions'!$L$30</f>
        <v>PRD-USIQ</v>
      </c>
      <c r="P1225" s="53" t="n">
        <v>0.893116</v>
      </c>
      <c r="Q1225" s="53" t="n">
        <v>-1.928939</v>
      </c>
      <c r="R1225" s="53" t="n">
        <v>0.046605</v>
      </c>
      <c r="S1225" s="53" t="n">
        <v>-0.547565</v>
      </c>
    </row>
    <row r="1226" customFormat="false" ht="15" hidden="false" customHeight="false" outlineLevel="0" collapsed="false">
      <c r="A1226" s="43" t="n">
        <v>223</v>
      </c>
      <c r="B1226" s="44" t="str">
        <f aca="false">'Model Inputs &amp; Assumptions'!$B$30</f>
        <v>extraETF — Newsletter Takeover</v>
      </c>
      <c r="C1226" s="45" t="n">
        <f aca="false">ROUND(MAX(0,'Model Inputs &amp; Assumptions'!$S$30*EXP('Model Inputs &amp; Assumptions'!$T$30*P1226-'Model Inputs &amp; Assumptions'!$T$30^2/2)),0)</f>
        <v>67080</v>
      </c>
      <c r="D1226" s="46" t="n">
        <f aca="false">MIN(1,'Model Inputs &amp; Assumptions'!$U$30*EXP('Model Inputs &amp; Assumptions'!$V$30*Q1226-'Model Inputs &amp; Assumptions'!$V$30^2/2))</f>
        <v>0</v>
      </c>
      <c r="E1226" s="45" t="n">
        <f aca="false">ROUND(C1226*D1226,0)</f>
        <v>0</v>
      </c>
      <c r="F1226" s="47" t="n">
        <f aca="false">MIN(1,'Model Inputs &amp; Assumptions'!$W$30*EXP('Model Inputs &amp; Assumptions'!$X$30*R1226-'Model Inputs &amp; Assumptions'!$X$30^2/2))</f>
        <v>0.0073475335955573</v>
      </c>
      <c r="G1226" s="45" t="n">
        <f aca="false">ROUND(C1226*F1226,0)</f>
        <v>493</v>
      </c>
      <c r="H1226" s="48" t="n">
        <f aca="false">MAX(0,(C1226*'Model Inputs &amp; Assumptions'!$N$30+E1226*'Model Inputs &amp; Assumptions'!$O$30+G1226*'Model Inputs &amp; Assumptions'!$P$30)*EXP('Model Inputs &amp; Assumptions'!$Q$30*S1226-'Model Inputs &amp; Assumptions'!$Q$30^2/2))</f>
        <v>30.0027536251875</v>
      </c>
      <c r="I1226" s="49" t="n">
        <f aca="false">IF('Model Inputs &amp; Assumptions'!$H$30="Fixed",'Model Inputs &amp; Assumptions'!$I$30*'Model Inputs &amp; Assumptions'!$K$30,IF('Model Inputs &amp; Assumptions'!$H$30="CPM",'Model Inputs &amp; Assumptions'!$I$30*'Model Inputs &amp; Assumptions'!$K$30*C1226/1000,IF('Model Inputs &amp; Assumptions'!$H$30="CPC",'Model Inputs &amp; Assumptions'!$I$30*'Model Inputs &amp; Assumptions'!$K$30*G1226,0)))</f>
        <v>6900</v>
      </c>
      <c r="J1226" s="50" t="n">
        <f aca="false">H1226*INDEX('Model Inputs &amp; Assumptions'!$D$40:$D$42,MATCH('Model Inputs &amp; Assumptions'!$L$30,'Model Inputs &amp; Assumptions'!$A$40:$A$42,0))*INDEX('Model Inputs &amp; Assumptions'!$H$40:$H$42,MATCH('Model Inputs &amp; Assumptions'!$L$30,'Model Inputs &amp; Assumptions'!$A$40:$A$42,0))</f>
        <v>216019.82610135</v>
      </c>
      <c r="K1226" s="49" t="n">
        <f aca="false">H1226*INDEX('Model Inputs &amp; Assumptions'!$G$40:$G$42,MATCH('Model Inputs &amp; Assumptions'!$L$30,'Model Inputs &amp; Assumptions'!$A$40:$A$42,0))*INDEX('Model Inputs &amp; Assumptions'!$H$40:$H$42,MATCH('Model Inputs &amp; Assumptions'!$L$30,'Model Inputs &amp; Assumptions'!$A$40:$A$42,0))</f>
        <v>4763.23716553477</v>
      </c>
      <c r="L1226" s="51" t="n">
        <f aca="false">IFERROR(K1226/I1226,0)</f>
        <v>0.690324226889097</v>
      </c>
      <c r="M1226" s="49" t="n">
        <f aca="false">IFERROR(I1226/H1226,0)</f>
        <v>229.978890811122</v>
      </c>
      <c r="N1226" s="52" t="str">
        <f aca="false">'Model Inputs &amp; Assumptions'!$L$30</f>
        <v>PRD-USIQ</v>
      </c>
      <c r="P1226" s="53" t="n">
        <v>-2.202122</v>
      </c>
      <c r="Q1226" s="53" t="n">
        <v>-0.637348</v>
      </c>
      <c r="R1226" s="53" t="n">
        <v>-0.492179</v>
      </c>
      <c r="S1226" s="53" t="n">
        <v>-0.138408</v>
      </c>
    </row>
    <row r="1227" customFormat="false" ht="15" hidden="false" customHeight="false" outlineLevel="0" collapsed="false">
      <c r="A1227" s="43" t="n">
        <v>224</v>
      </c>
      <c r="B1227" s="44" t="str">
        <f aca="false">'Model Inputs &amp; Assumptions'!$B$30</f>
        <v>extraETF — Newsletter Takeover</v>
      </c>
      <c r="C1227" s="45" t="n">
        <f aca="false">ROUND(MAX(0,'Model Inputs &amp; Assumptions'!$S$30*EXP('Model Inputs &amp; Assumptions'!$T$30*P1227-'Model Inputs &amp; Assumptions'!$T$30^2/2)),0)</f>
        <v>82809</v>
      </c>
      <c r="D1227" s="46" t="n">
        <f aca="false">MIN(1,'Model Inputs &amp; Assumptions'!$U$30*EXP('Model Inputs &amp; Assumptions'!$V$30*Q1227-'Model Inputs &amp; Assumptions'!$V$30^2/2))</f>
        <v>0</v>
      </c>
      <c r="E1227" s="45" t="n">
        <f aca="false">ROUND(C1227*D1227,0)</f>
        <v>0</v>
      </c>
      <c r="F1227" s="47" t="n">
        <f aca="false">MIN(1,'Model Inputs &amp; Assumptions'!$W$30*EXP('Model Inputs &amp; Assumptions'!$X$30*R1227-'Model Inputs &amp; Assumptions'!$X$30^2/2))</f>
        <v>0.00727904004584686</v>
      </c>
      <c r="G1227" s="45" t="n">
        <f aca="false">ROUND(C1227*F1227,0)</f>
        <v>603</v>
      </c>
      <c r="H1227" s="48" t="n">
        <f aca="false">MAX(0,(C1227*'Model Inputs &amp; Assumptions'!$N$30+E1227*'Model Inputs &amp; Assumptions'!$O$30+G1227*'Model Inputs &amp; Assumptions'!$P$30)*EXP('Model Inputs &amp; Assumptions'!$Q$30*S1227-'Model Inputs &amp; Assumptions'!$Q$30^2/2))</f>
        <v>42.3445484889835</v>
      </c>
      <c r="I1227" s="49" t="n">
        <f aca="false">IF('Model Inputs &amp; Assumptions'!$H$30="Fixed",'Model Inputs &amp; Assumptions'!$I$30*'Model Inputs &amp; Assumptions'!$K$30,IF('Model Inputs &amp; Assumptions'!$H$30="CPM",'Model Inputs &amp; Assumptions'!$I$30*'Model Inputs &amp; Assumptions'!$K$30*C1227/1000,IF('Model Inputs &amp; Assumptions'!$H$30="CPC",'Model Inputs &amp; Assumptions'!$I$30*'Model Inputs &amp; Assumptions'!$K$30*G1227,0)))</f>
        <v>6900</v>
      </c>
      <c r="J1227" s="50" t="n">
        <f aca="false">H1227*INDEX('Model Inputs &amp; Assumptions'!$D$40:$D$42,MATCH('Model Inputs &amp; Assumptions'!$L$30,'Model Inputs &amp; Assumptions'!$A$40:$A$42,0))*INDEX('Model Inputs &amp; Assumptions'!$H$40:$H$42,MATCH('Model Inputs &amp; Assumptions'!$L$30,'Model Inputs &amp; Assumptions'!$A$40:$A$42,0))</f>
        <v>304880.749120681</v>
      </c>
      <c r="K1227" s="49" t="n">
        <f aca="false">H1227*INDEX('Model Inputs &amp; Assumptions'!$G$40:$G$42,MATCH('Model Inputs &amp; Assumptions'!$L$30,'Model Inputs &amp; Assumptions'!$A$40:$A$42,0))*INDEX('Model Inputs &amp; Assumptions'!$H$40:$H$42,MATCH('Model Inputs &amp; Assumptions'!$L$30,'Model Inputs &amp; Assumptions'!$A$40:$A$42,0))</f>
        <v>6722.62051811102</v>
      </c>
      <c r="L1227" s="51" t="n">
        <f aca="false">IFERROR(K1227/I1227,0)</f>
        <v>0.974292828711742</v>
      </c>
      <c r="M1227" s="49" t="n">
        <f aca="false">IFERROR(I1227/H1227,0)</f>
        <v>162.948956742215</v>
      </c>
      <c r="N1227" s="52" t="str">
        <f aca="false">'Model Inputs &amp; Assumptions'!$L$30</f>
        <v>PRD-USIQ</v>
      </c>
      <c r="P1227" s="53" t="n">
        <v>-0.446657</v>
      </c>
      <c r="Q1227" s="53" t="n">
        <v>-0.994777</v>
      </c>
      <c r="R1227" s="53" t="n">
        <v>-0.554617</v>
      </c>
      <c r="S1227" s="53" t="n">
        <v>0.434162</v>
      </c>
    </row>
    <row r="1228" customFormat="false" ht="15" hidden="false" customHeight="false" outlineLevel="0" collapsed="false">
      <c r="A1228" s="43" t="n">
        <v>225</v>
      </c>
      <c r="B1228" s="44" t="str">
        <f aca="false">'Model Inputs &amp; Assumptions'!$B$30</f>
        <v>extraETF — Newsletter Takeover</v>
      </c>
      <c r="C1228" s="45" t="n">
        <f aca="false">ROUND(MAX(0,'Model Inputs &amp; Assumptions'!$S$30*EXP('Model Inputs &amp; Assumptions'!$T$30*P1228-'Model Inputs &amp; Assumptions'!$T$30^2/2)),0)</f>
        <v>75269</v>
      </c>
      <c r="D1228" s="46" t="n">
        <f aca="false">MIN(1,'Model Inputs &amp; Assumptions'!$U$30*EXP('Model Inputs &amp; Assumptions'!$V$30*Q1228-'Model Inputs &amp; Assumptions'!$V$30^2/2))</f>
        <v>0</v>
      </c>
      <c r="E1228" s="45" t="n">
        <f aca="false">ROUND(C1228*D1228,0)</f>
        <v>0</v>
      </c>
      <c r="F1228" s="47" t="n">
        <f aca="false">MIN(1,'Model Inputs &amp; Assumptions'!$W$30*EXP('Model Inputs &amp; Assumptions'!$X$30*R1228-'Model Inputs &amp; Assumptions'!$X$30^2/2))</f>
        <v>0.00892576190634537</v>
      </c>
      <c r="G1228" s="45" t="n">
        <f aca="false">ROUND(C1228*F1228,0)</f>
        <v>672</v>
      </c>
      <c r="H1228" s="48" t="n">
        <f aca="false">MAX(0,(C1228*'Model Inputs &amp; Assumptions'!$N$30+E1228*'Model Inputs &amp; Assumptions'!$O$30+G1228*'Model Inputs &amp; Assumptions'!$P$30)*EXP('Model Inputs &amp; Assumptions'!$Q$30*S1228-'Model Inputs &amp; Assumptions'!$Q$30^2/2))</f>
        <v>49.1370253678819</v>
      </c>
      <c r="I1228" s="49" t="n">
        <f aca="false">IF('Model Inputs &amp; Assumptions'!$H$30="Fixed",'Model Inputs &amp; Assumptions'!$I$30*'Model Inputs &amp; Assumptions'!$K$30,IF('Model Inputs &amp; Assumptions'!$H$30="CPM",'Model Inputs &amp; Assumptions'!$I$30*'Model Inputs &amp; Assumptions'!$K$30*C1228/1000,IF('Model Inputs &amp; Assumptions'!$H$30="CPC",'Model Inputs &amp; Assumptions'!$I$30*'Model Inputs &amp; Assumptions'!$K$30*G1228,0)))</f>
        <v>6900</v>
      </c>
      <c r="J1228" s="50" t="n">
        <f aca="false">H1228*INDEX('Model Inputs &amp; Assumptions'!$D$40:$D$42,MATCH('Model Inputs &amp; Assumptions'!$L$30,'Model Inputs &amp; Assumptions'!$A$40:$A$42,0))*INDEX('Model Inputs &amp; Assumptions'!$H$40:$H$42,MATCH('Model Inputs &amp; Assumptions'!$L$30,'Model Inputs &amp; Assumptions'!$A$40:$A$42,0))</f>
        <v>353786.58264875</v>
      </c>
      <c r="K1228" s="49" t="n">
        <f aca="false">H1228*INDEX('Model Inputs &amp; Assumptions'!$G$40:$G$42,MATCH('Model Inputs &amp; Assumptions'!$L$30,'Model Inputs &amp; Assumptions'!$A$40:$A$42,0))*INDEX('Model Inputs &amp; Assumptions'!$H$40:$H$42,MATCH('Model Inputs &amp; Assumptions'!$L$30,'Model Inputs &amp; Assumptions'!$A$40:$A$42,0))</f>
        <v>7800.99414740493</v>
      </c>
      <c r="L1228" s="51" t="n">
        <f aca="false">IFERROR(K1228/I1228,0)</f>
        <v>1.13057886194274</v>
      </c>
      <c r="M1228" s="49" t="n">
        <f aca="false">IFERROR(I1228/H1228,0)</f>
        <v>140.423640795117</v>
      </c>
      <c r="N1228" s="52" t="str">
        <f aca="false">'Model Inputs &amp; Assumptions'!$L$30</f>
        <v>PRD-USIQ</v>
      </c>
      <c r="P1228" s="53" t="n">
        <v>-1.242289</v>
      </c>
      <c r="Q1228" s="53" t="n">
        <v>-0.713825</v>
      </c>
      <c r="R1228" s="53" t="n">
        <v>0.805001</v>
      </c>
      <c r="S1228" s="53" t="n">
        <v>0.59589</v>
      </c>
    </row>
    <row r="1229" customFormat="false" ht="15" hidden="false" customHeight="false" outlineLevel="0" collapsed="false">
      <c r="A1229" s="43" t="n">
        <v>226</v>
      </c>
      <c r="B1229" s="44" t="str">
        <f aca="false">'Model Inputs &amp; Assumptions'!$B$30</f>
        <v>extraETF — Newsletter Takeover</v>
      </c>
      <c r="C1229" s="45" t="n">
        <f aca="false">ROUND(MAX(0,'Model Inputs &amp; Assumptions'!$S$30*EXP('Model Inputs &amp; Assumptions'!$T$30*P1229-'Model Inputs &amp; Assumptions'!$T$30^2/2)),0)</f>
        <v>76734</v>
      </c>
      <c r="D1229" s="46" t="n">
        <f aca="false">MIN(1,'Model Inputs &amp; Assumptions'!$U$30*EXP('Model Inputs &amp; Assumptions'!$V$30*Q1229-'Model Inputs &amp; Assumptions'!$V$30^2/2))</f>
        <v>0</v>
      </c>
      <c r="E1229" s="45" t="n">
        <f aca="false">ROUND(C1229*D1229,0)</f>
        <v>0</v>
      </c>
      <c r="F1229" s="47" t="n">
        <f aca="false">MIN(1,'Model Inputs &amp; Assumptions'!$W$30*EXP('Model Inputs &amp; Assumptions'!$X$30*R1229-'Model Inputs &amp; Assumptions'!$X$30^2/2))</f>
        <v>0.00916366439378529</v>
      </c>
      <c r="G1229" s="45" t="n">
        <f aca="false">ROUND(C1229*F1229,0)</f>
        <v>703</v>
      </c>
      <c r="H1229" s="48" t="n">
        <f aca="false">MAX(0,(C1229*'Model Inputs &amp; Assumptions'!$N$30+E1229*'Model Inputs &amp; Assumptions'!$O$30+G1229*'Model Inputs &amp; Assumptions'!$P$30)*EXP('Model Inputs &amp; Assumptions'!$Q$30*S1229-'Model Inputs &amp; Assumptions'!$Q$30^2/2))</f>
        <v>56.6986206186379</v>
      </c>
      <c r="I1229" s="49" t="n">
        <f aca="false">IF('Model Inputs &amp; Assumptions'!$H$30="Fixed",'Model Inputs &amp; Assumptions'!$I$30*'Model Inputs &amp; Assumptions'!$K$30,IF('Model Inputs &amp; Assumptions'!$H$30="CPM",'Model Inputs &amp; Assumptions'!$I$30*'Model Inputs &amp; Assumptions'!$K$30*C1229/1000,IF('Model Inputs &amp; Assumptions'!$H$30="CPC",'Model Inputs &amp; Assumptions'!$I$30*'Model Inputs &amp; Assumptions'!$K$30*G1229,0)))</f>
        <v>6900</v>
      </c>
      <c r="J1229" s="50" t="n">
        <f aca="false">H1229*INDEX('Model Inputs &amp; Assumptions'!$D$40:$D$42,MATCH('Model Inputs &amp; Assumptions'!$L$30,'Model Inputs &amp; Assumptions'!$A$40:$A$42,0))*INDEX('Model Inputs &amp; Assumptions'!$H$40:$H$42,MATCH('Model Inputs &amp; Assumptions'!$L$30,'Model Inputs &amp; Assumptions'!$A$40:$A$42,0))</f>
        <v>408230.068454193</v>
      </c>
      <c r="K1229" s="49" t="n">
        <f aca="false">H1229*INDEX('Model Inputs &amp; Assumptions'!$G$40:$G$42,MATCH('Model Inputs &amp; Assumptions'!$L$30,'Model Inputs &amp; Assumptions'!$A$40:$A$42,0))*INDEX('Model Inputs &amp; Assumptions'!$H$40:$H$42,MATCH('Model Inputs &amp; Assumptions'!$L$30,'Model Inputs &amp; Assumptions'!$A$40:$A$42,0))</f>
        <v>9001.47300941495</v>
      </c>
      <c r="L1229" s="51" t="n">
        <f aca="false">IFERROR(K1229/I1229,0)</f>
        <v>1.30456130571231</v>
      </c>
      <c r="M1229" s="49" t="n">
        <f aca="false">IFERROR(I1229/H1229,0)</f>
        <v>121.69608228056</v>
      </c>
      <c r="N1229" s="52" t="str">
        <f aca="false">'Model Inputs &amp; Assumptions'!$L$30</f>
        <v>PRD-USIQ</v>
      </c>
      <c r="P1229" s="53" t="n">
        <v>-1.081631</v>
      </c>
      <c r="Q1229" s="53" t="n">
        <v>-0.98938</v>
      </c>
      <c r="R1229" s="53" t="n">
        <v>0.980364</v>
      </c>
      <c r="S1229" s="53" t="n">
        <v>0.988044</v>
      </c>
    </row>
    <row r="1230" customFormat="false" ht="15" hidden="false" customHeight="false" outlineLevel="0" collapsed="false">
      <c r="A1230" s="43" t="n">
        <v>227</v>
      </c>
      <c r="B1230" s="44" t="str">
        <f aca="false">'Model Inputs &amp; Assumptions'!$B$30</f>
        <v>extraETF — Newsletter Takeover</v>
      </c>
      <c r="C1230" s="45" t="n">
        <f aca="false">ROUND(MAX(0,'Model Inputs &amp; Assumptions'!$S$30*EXP('Model Inputs &amp; Assumptions'!$T$30*P1230-'Model Inputs &amp; Assumptions'!$T$30^2/2)),0)</f>
        <v>97451</v>
      </c>
      <c r="D1230" s="46" t="n">
        <f aca="false">MIN(1,'Model Inputs &amp; Assumptions'!$U$30*EXP('Model Inputs &amp; Assumptions'!$V$30*Q1230-'Model Inputs &amp; Assumptions'!$V$30^2/2))</f>
        <v>0</v>
      </c>
      <c r="E1230" s="45" t="n">
        <f aca="false">ROUND(C1230*D1230,0)</f>
        <v>0</v>
      </c>
      <c r="F1230" s="47" t="n">
        <f aca="false">MIN(1,'Model Inputs &amp; Assumptions'!$W$30*EXP('Model Inputs &amp; Assumptions'!$X$30*R1230-'Model Inputs &amp; Assumptions'!$X$30^2/2))</f>
        <v>0.00856599239756408</v>
      </c>
      <c r="G1230" s="45" t="n">
        <f aca="false">ROUND(C1230*F1230,0)</f>
        <v>835</v>
      </c>
      <c r="H1230" s="48" t="n">
        <f aca="false">MAX(0,(C1230*'Model Inputs &amp; Assumptions'!$N$30+E1230*'Model Inputs &amp; Assumptions'!$O$30+G1230*'Model Inputs &amp; Assumptions'!$P$30)*EXP('Model Inputs &amp; Assumptions'!$Q$30*S1230-'Model Inputs &amp; Assumptions'!$Q$30^2/2))</f>
        <v>42.4250277732836</v>
      </c>
      <c r="I1230" s="49" t="n">
        <f aca="false">IF('Model Inputs &amp; Assumptions'!$H$30="Fixed",'Model Inputs &amp; Assumptions'!$I$30*'Model Inputs &amp; Assumptions'!$K$30,IF('Model Inputs &amp; Assumptions'!$H$30="CPM",'Model Inputs &amp; Assumptions'!$I$30*'Model Inputs &amp; Assumptions'!$K$30*C1230/1000,IF('Model Inputs &amp; Assumptions'!$H$30="CPC",'Model Inputs &amp; Assumptions'!$I$30*'Model Inputs &amp; Assumptions'!$K$30*G1230,0)))</f>
        <v>6900</v>
      </c>
      <c r="J1230" s="50" t="n">
        <f aca="false">H1230*INDEX('Model Inputs &amp; Assumptions'!$D$40:$D$42,MATCH('Model Inputs &amp; Assumptions'!$L$30,'Model Inputs &amp; Assumptions'!$A$40:$A$42,0))*INDEX('Model Inputs &amp; Assumptions'!$H$40:$H$42,MATCH('Model Inputs &amp; Assumptions'!$L$30,'Model Inputs &amp; Assumptions'!$A$40:$A$42,0))</f>
        <v>305460.199967642</v>
      </c>
      <c r="K1230" s="49" t="n">
        <f aca="false">H1230*INDEX('Model Inputs &amp; Assumptions'!$G$40:$G$42,MATCH('Model Inputs &amp; Assumptions'!$L$30,'Model Inputs &amp; Assumptions'!$A$40:$A$42,0))*INDEX('Model Inputs &amp; Assumptions'!$H$40:$H$42,MATCH('Model Inputs &amp; Assumptions'!$L$30,'Model Inputs &amp; Assumptions'!$A$40:$A$42,0))</f>
        <v>6735.3974092865</v>
      </c>
      <c r="L1230" s="51" t="n">
        <f aca="false">IFERROR(K1230/I1230,0)</f>
        <v>0.976144552070507</v>
      </c>
      <c r="M1230" s="49" t="n">
        <f aca="false">IFERROR(I1230/H1230,0)</f>
        <v>162.63984638674</v>
      </c>
      <c r="N1230" s="52" t="str">
        <f aca="false">'Model Inputs &amp; Assumptions'!$L$30</f>
        <v>PRD-USIQ</v>
      </c>
      <c r="P1230" s="53" t="n">
        <v>0.910115</v>
      </c>
      <c r="Q1230" s="53" t="n">
        <v>0.106043</v>
      </c>
      <c r="R1230" s="53" t="n">
        <v>0.530723</v>
      </c>
      <c r="S1230" s="53" t="n">
        <v>-0.860301</v>
      </c>
    </row>
    <row r="1231" customFormat="false" ht="15" hidden="false" customHeight="false" outlineLevel="0" collapsed="false">
      <c r="A1231" s="43" t="n">
        <v>228</v>
      </c>
      <c r="B1231" s="44" t="str">
        <f aca="false">'Model Inputs &amp; Assumptions'!$B$30</f>
        <v>extraETF — Newsletter Takeover</v>
      </c>
      <c r="C1231" s="45" t="n">
        <f aca="false">ROUND(MAX(0,'Model Inputs &amp; Assumptions'!$S$30*EXP('Model Inputs &amp; Assumptions'!$T$30*P1231-'Model Inputs &amp; Assumptions'!$T$30^2/2)),0)</f>
        <v>86318</v>
      </c>
      <c r="D1231" s="46" t="n">
        <f aca="false">MIN(1,'Model Inputs &amp; Assumptions'!$U$30*EXP('Model Inputs &amp; Assumptions'!$V$30*Q1231-'Model Inputs &amp; Assumptions'!$V$30^2/2))</f>
        <v>0</v>
      </c>
      <c r="E1231" s="45" t="n">
        <f aca="false">ROUND(C1231*D1231,0)</f>
        <v>0</v>
      </c>
      <c r="F1231" s="47" t="n">
        <f aca="false">MIN(1,'Model Inputs &amp; Assumptions'!$W$30*EXP('Model Inputs &amp; Assumptions'!$X$30*R1231-'Model Inputs &amp; Assumptions'!$X$30^2/2))</f>
        <v>0.00873361646892936</v>
      </c>
      <c r="G1231" s="45" t="n">
        <f aca="false">ROUND(C1231*F1231,0)</f>
        <v>754</v>
      </c>
      <c r="H1231" s="48" t="n">
        <f aca="false">MAX(0,(C1231*'Model Inputs &amp; Assumptions'!$N$30+E1231*'Model Inputs &amp; Assumptions'!$O$30+G1231*'Model Inputs &amp; Assumptions'!$P$30)*EXP('Model Inputs &amp; Assumptions'!$Q$30*S1231-'Model Inputs &amp; Assumptions'!$Q$30^2/2))</f>
        <v>51.8208127402413</v>
      </c>
      <c r="I1231" s="49" t="n">
        <f aca="false">IF('Model Inputs &amp; Assumptions'!$H$30="Fixed",'Model Inputs &amp; Assumptions'!$I$30*'Model Inputs &amp; Assumptions'!$K$30,IF('Model Inputs &amp; Assumptions'!$H$30="CPM",'Model Inputs &amp; Assumptions'!$I$30*'Model Inputs &amp; Assumptions'!$K$30*C1231/1000,IF('Model Inputs &amp; Assumptions'!$H$30="CPC",'Model Inputs &amp; Assumptions'!$I$30*'Model Inputs &amp; Assumptions'!$K$30*G1231,0)))</f>
        <v>6900</v>
      </c>
      <c r="J1231" s="50" t="n">
        <f aca="false">H1231*INDEX('Model Inputs &amp; Assumptions'!$D$40:$D$42,MATCH('Model Inputs &amp; Assumptions'!$L$30,'Model Inputs &amp; Assumptions'!$A$40:$A$42,0))*INDEX('Model Inputs &amp; Assumptions'!$H$40:$H$42,MATCH('Model Inputs &amp; Assumptions'!$L$30,'Model Inputs &amp; Assumptions'!$A$40:$A$42,0))</f>
        <v>373109.851729737</v>
      </c>
      <c r="K1231" s="49" t="n">
        <f aca="false">H1231*INDEX('Model Inputs &amp; Assumptions'!$G$40:$G$42,MATCH('Model Inputs &amp; Assumptions'!$L$30,'Model Inputs &amp; Assumptions'!$A$40:$A$42,0))*INDEX('Model Inputs &amp; Assumptions'!$H$40:$H$42,MATCH('Model Inputs &amp; Assumptions'!$L$30,'Model Inputs &amp; Assumptions'!$A$40:$A$42,0))</f>
        <v>8227.0722306407</v>
      </c>
      <c r="L1231" s="51" t="n">
        <f aca="false">IFERROR(K1231/I1231,0)</f>
        <v>1.19232930878851</v>
      </c>
      <c r="M1231" s="49" t="n">
        <f aca="false">IFERROR(I1231/H1231,0)</f>
        <v>133.151134363468</v>
      </c>
      <c r="N1231" s="52" t="str">
        <f aca="false">'Model Inputs &amp; Assumptions'!$L$30</f>
        <v>PRD-USIQ</v>
      </c>
      <c r="P1231" s="53" t="n">
        <v>-0.100815</v>
      </c>
      <c r="Q1231" s="53" t="n">
        <v>0.880885</v>
      </c>
      <c r="R1231" s="53" t="n">
        <v>0.65992</v>
      </c>
      <c r="S1231" s="53" t="n">
        <v>0.34807</v>
      </c>
    </row>
    <row r="1232" customFormat="false" ht="15" hidden="false" customHeight="false" outlineLevel="0" collapsed="false">
      <c r="A1232" s="43" t="n">
        <v>229</v>
      </c>
      <c r="B1232" s="44" t="str">
        <f aca="false">'Model Inputs &amp; Assumptions'!$B$30</f>
        <v>extraETF — Newsletter Takeover</v>
      </c>
      <c r="C1232" s="45" t="n">
        <f aca="false">ROUND(MAX(0,'Model Inputs &amp; Assumptions'!$S$30*EXP('Model Inputs &amp; Assumptions'!$T$30*P1232-'Model Inputs &amp; Assumptions'!$T$30^2/2)),0)</f>
        <v>85844</v>
      </c>
      <c r="D1232" s="46" t="n">
        <f aca="false">MIN(1,'Model Inputs &amp; Assumptions'!$U$30*EXP('Model Inputs &amp; Assumptions'!$V$30*Q1232-'Model Inputs &amp; Assumptions'!$V$30^2/2))</f>
        <v>0</v>
      </c>
      <c r="E1232" s="45" t="n">
        <f aca="false">ROUND(C1232*D1232,0)</f>
        <v>0</v>
      </c>
      <c r="F1232" s="47" t="n">
        <f aca="false">MIN(1,'Model Inputs &amp; Assumptions'!$W$30*EXP('Model Inputs &amp; Assumptions'!$X$30*R1232-'Model Inputs &amp; Assumptions'!$X$30^2/2))</f>
        <v>0.00681669391879424</v>
      </c>
      <c r="G1232" s="45" t="n">
        <f aca="false">ROUND(C1232*F1232,0)</f>
        <v>585</v>
      </c>
      <c r="H1232" s="48" t="n">
        <f aca="false">MAX(0,(C1232*'Model Inputs &amp; Assumptions'!$N$30+E1232*'Model Inputs &amp; Assumptions'!$O$30+G1232*'Model Inputs &amp; Assumptions'!$P$30)*EXP('Model Inputs &amp; Assumptions'!$Q$30*S1232-'Model Inputs &amp; Assumptions'!$Q$30^2/2))</f>
        <v>34.158974164129</v>
      </c>
      <c r="I1232" s="49" t="n">
        <f aca="false">IF('Model Inputs &amp; Assumptions'!$H$30="Fixed",'Model Inputs &amp; Assumptions'!$I$30*'Model Inputs &amp; Assumptions'!$K$30,IF('Model Inputs &amp; Assumptions'!$H$30="CPM",'Model Inputs &amp; Assumptions'!$I$30*'Model Inputs &amp; Assumptions'!$K$30*C1232/1000,IF('Model Inputs &amp; Assumptions'!$H$30="CPC",'Model Inputs &amp; Assumptions'!$I$30*'Model Inputs &amp; Assumptions'!$K$30*G1232,0)))</f>
        <v>6900</v>
      </c>
      <c r="J1232" s="50" t="n">
        <f aca="false">H1232*INDEX('Model Inputs &amp; Assumptions'!$D$40:$D$42,MATCH('Model Inputs &amp; Assumptions'!$L$30,'Model Inputs &amp; Assumptions'!$A$40:$A$42,0))*INDEX('Model Inputs &amp; Assumptions'!$H$40:$H$42,MATCH('Model Inputs &amp; Assumptions'!$L$30,'Model Inputs &amp; Assumptions'!$A$40:$A$42,0))</f>
        <v>245944.613981729</v>
      </c>
      <c r="K1232" s="49" t="n">
        <f aca="false">H1232*INDEX('Model Inputs &amp; Assumptions'!$G$40:$G$42,MATCH('Model Inputs &amp; Assumptions'!$L$30,'Model Inputs &amp; Assumptions'!$A$40:$A$42,0))*INDEX('Model Inputs &amp; Assumptions'!$H$40:$H$42,MATCH('Model Inputs &amp; Assumptions'!$L$30,'Model Inputs &amp; Assumptions'!$A$40:$A$42,0))</f>
        <v>5423.07873829712</v>
      </c>
      <c r="L1232" s="51" t="n">
        <f aca="false">IFERROR(K1232/I1232,0)</f>
        <v>0.785953440332915</v>
      </c>
      <c r="M1232" s="49" t="n">
        <f aca="false">IFERROR(I1232/H1232,0)</f>
        <v>201.996698344818</v>
      </c>
      <c r="N1232" s="52" t="str">
        <f aca="false">'Model Inputs &amp; Assumptions'!$L$30</f>
        <v>PRD-USIQ</v>
      </c>
      <c r="P1232" s="53" t="n">
        <v>-0.146703</v>
      </c>
      <c r="Q1232" s="53" t="n">
        <v>0.061425</v>
      </c>
      <c r="R1232" s="53" t="n">
        <v>-0.992113</v>
      </c>
      <c r="S1232" s="53" t="n">
        <v>-0.303874</v>
      </c>
    </row>
    <row r="1233" customFormat="false" ht="15" hidden="false" customHeight="false" outlineLevel="0" collapsed="false">
      <c r="A1233" s="43" t="n">
        <v>230</v>
      </c>
      <c r="B1233" s="44" t="str">
        <f aca="false">'Model Inputs &amp; Assumptions'!$B$30</f>
        <v>extraETF — Newsletter Takeover</v>
      </c>
      <c r="C1233" s="45" t="n">
        <f aca="false">ROUND(MAX(0,'Model Inputs &amp; Assumptions'!$S$30*EXP('Model Inputs &amp; Assumptions'!$T$30*P1233-'Model Inputs &amp; Assumptions'!$T$30^2/2)),0)</f>
        <v>101271</v>
      </c>
      <c r="D1233" s="46" t="n">
        <f aca="false">MIN(1,'Model Inputs &amp; Assumptions'!$U$30*EXP('Model Inputs &amp; Assumptions'!$V$30*Q1233-'Model Inputs &amp; Assumptions'!$V$30^2/2))</f>
        <v>0</v>
      </c>
      <c r="E1233" s="45" t="n">
        <f aca="false">ROUND(C1233*D1233,0)</f>
        <v>0</v>
      </c>
      <c r="F1233" s="47" t="n">
        <f aca="false">MIN(1,'Model Inputs &amp; Assumptions'!$W$30*EXP('Model Inputs &amp; Assumptions'!$X$30*R1233-'Model Inputs &amp; Assumptions'!$X$30^2/2))</f>
        <v>0.00615228367203932</v>
      </c>
      <c r="G1233" s="45" t="n">
        <f aca="false">ROUND(C1233*F1233,0)</f>
        <v>623</v>
      </c>
      <c r="H1233" s="48" t="n">
        <f aca="false">MAX(0,(C1233*'Model Inputs &amp; Assumptions'!$N$30+E1233*'Model Inputs &amp; Assumptions'!$O$30+G1233*'Model Inputs &amp; Assumptions'!$P$30)*EXP('Model Inputs &amp; Assumptions'!$Q$30*S1233-'Model Inputs &amp; Assumptions'!$Q$30^2/2))</f>
        <v>34.0016485328472</v>
      </c>
      <c r="I1233" s="49" t="n">
        <f aca="false">IF('Model Inputs &amp; Assumptions'!$H$30="Fixed",'Model Inputs &amp; Assumptions'!$I$30*'Model Inputs &amp; Assumptions'!$K$30,IF('Model Inputs &amp; Assumptions'!$H$30="CPM",'Model Inputs &amp; Assumptions'!$I$30*'Model Inputs &amp; Assumptions'!$K$30*C1233/1000,IF('Model Inputs &amp; Assumptions'!$H$30="CPC",'Model Inputs &amp; Assumptions'!$I$30*'Model Inputs &amp; Assumptions'!$K$30*G1233,0)))</f>
        <v>6900</v>
      </c>
      <c r="J1233" s="50" t="n">
        <f aca="false">H1233*INDEX('Model Inputs &amp; Assumptions'!$D$40:$D$42,MATCH('Model Inputs &amp; Assumptions'!$L$30,'Model Inputs &amp; Assumptions'!$A$40:$A$42,0))*INDEX('Model Inputs &amp; Assumptions'!$H$40:$H$42,MATCH('Model Inputs &amp; Assumptions'!$L$30,'Model Inputs &amp; Assumptions'!$A$40:$A$42,0))</f>
        <v>244811.8694365</v>
      </c>
      <c r="K1233" s="49" t="n">
        <f aca="false">H1233*INDEX('Model Inputs &amp; Assumptions'!$G$40:$G$42,MATCH('Model Inputs &amp; Assumptions'!$L$30,'Model Inputs &amp; Assumptions'!$A$40:$A$42,0))*INDEX('Model Inputs &amp; Assumptions'!$H$40:$H$42,MATCH('Model Inputs &amp; Assumptions'!$L$30,'Model Inputs &amp; Assumptions'!$A$40:$A$42,0))</f>
        <v>5398.10172107483</v>
      </c>
      <c r="L1233" s="51" t="n">
        <f aca="false">IFERROR(K1233/I1233,0)</f>
        <v>0.782333582764467</v>
      </c>
      <c r="M1233" s="49" t="n">
        <f aca="false">IFERROR(I1233/H1233,0)</f>
        <v>202.931337088973</v>
      </c>
      <c r="N1233" s="52" t="str">
        <f aca="false">'Model Inputs &amp; Assumptions'!$L$30</f>
        <v>PRD-USIQ</v>
      </c>
      <c r="P1233" s="53" t="n">
        <v>1.230522</v>
      </c>
      <c r="Q1233" s="53" t="n">
        <v>0.562959</v>
      </c>
      <c r="R1233" s="53" t="n">
        <v>-1.675788</v>
      </c>
      <c r="S1233" s="53" t="n">
        <v>-0.574078</v>
      </c>
    </row>
    <row r="1234" customFormat="false" ht="15" hidden="false" customHeight="false" outlineLevel="0" collapsed="false">
      <c r="A1234" s="43" t="n">
        <v>231</v>
      </c>
      <c r="B1234" s="44" t="str">
        <f aca="false">'Model Inputs &amp; Assumptions'!$B$30</f>
        <v>extraETF — Newsletter Takeover</v>
      </c>
      <c r="C1234" s="45" t="n">
        <f aca="false">ROUND(MAX(0,'Model Inputs &amp; Assumptions'!$S$30*EXP('Model Inputs &amp; Assumptions'!$T$30*P1234-'Model Inputs &amp; Assumptions'!$T$30^2/2)),0)</f>
        <v>87840</v>
      </c>
      <c r="D1234" s="46" t="n">
        <f aca="false">MIN(1,'Model Inputs &amp; Assumptions'!$U$30*EXP('Model Inputs &amp; Assumptions'!$V$30*Q1234-'Model Inputs &amp; Assumptions'!$V$30^2/2))</f>
        <v>0</v>
      </c>
      <c r="E1234" s="45" t="n">
        <f aca="false">ROUND(C1234*D1234,0)</f>
        <v>0</v>
      </c>
      <c r="F1234" s="47" t="n">
        <f aca="false">MIN(1,'Model Inputs &amp; Assumptions'!$W$30*EXP('Model Inputs &amp; Assumptions'!$X$30*R1234-'Model Inputs &amp; Assumptions'!$X$30^2/2))</f>
        <v>0.00887177280546612</v>
      </c>
      <c r="G1234" s="45" t="n">
        <f aca="false">ROUND(C1234*F1234,0)</f>
        <v>779</v>
      </c>
      <c r="H1234" s="48" t="n">
        <f aca="false">MAX(0,(C1234*'Model Inputs &amp; Assumptions'!$N$30+E1234*'Model Inputs &amp; Assumptions'!$O$30+G1234*'Model Inputs &amp; Assumptions'!$P$30)*EXP('Model Inputs &amp; Assumptions'!$Q$30*S1234-'Model Inputs &amp; Assumptions'!$Q$30^2/2))</f>
        <v>65.0815784976691</v>
      </c>
      <c r="I1234" s="49" t="n">
        <f aca="false">IF('Model Inputs &amp; Assumptions'!$H$30="Fixed",'Model Inputs &amp; Assumptions'!$I$30*'Model Inputs &amp; Assumptions'!$K$30,IF('Model Inputs &amp; Assumptions'!$H$30="CPM",'Model Inputs &amp; Assumptions'!$I$30*'Model Inputs &amp; Assumptions'!$K$30*C1234/1000,IF('Model Inputs &amp; Assumptions'!$H$30="CPC",'Model Inputs &amp; Assumptions'!$I$30*'Model Inputs &amp; Assumptions'!$K$30*G1234,0)))</f>
        <v>6900</v>
      </c>
      <c r="J1234" s="50" t="n">
        <f aca="false">H1234*INDEX('Model Inputs &amp; Assumptions'!$D$40:$D$42,MATCH('Model Inputs &amp; Assumptions'!$L$30,'Model Inputs &amp; Assumptions'!$A$40:$A$42,0))*INDEX('Model Inputs &amp; Assumptions'!$H$40:$H$42,MATCH('Model Inputs &amp; Assumptions'!$L$30,'Model Inputs &amp; Assumptions'!$A$40:$A$42,0))</f>
        <v>468587.365183218</v>
      </c>
      <c r="K1234" s="49" t="n">
        <f aca="false">H1234*INDEX('Model Inputs &amp; Assumptions'!$G$40:$G$42,MATCH('Model Inputs &amp; Assumptions'!$L$30,'Model Inputs &amp; Assumptions'!$A$40:$A$42,0))*INDEX('Model Inputs &amp; Assumptions'!$H$40:$H$42,MATCH('Model Inputs &amp; Assumptions'!$L$30,'Model Inputs &amp; Assumptions'!$A$40:$A$42,0))</f>
        <v>10332.3514022899</v>
      </c>
      <c r="L1234" s="51" t="n">
        <f aca="false">IFERROR(K1234/I1234,0)</f>
        <v>1.49744223221593</v>
      </c>
      <c r="M1234" s="49" t="n">
        <f aca="false">IFERROR(I1234/H1234,0)</f>
        <v>106.020784364459</v>
      </c>
      <c r="N1234" s="52" t="str">
        <f aca="false">'Model Inputs &amp; Assumptions'!$L$30</f>
        <v>PRD-USIQ</v>
      </c>
      <c r="P1234" s="53" t="n">
        <v>0.044852</v>
      </c>
      <c r="Q1234" s="53" t="n">
        <v>-0.673019</v>
      </c>
      <c r="R1234" s="53" t="n">
        <v>0.764554</v>
      </c>
      <c r="S1234" s="53" t="n">
        <v>1.128994</v>
      </c>
    </row>
    <row r="1235" customFormat="false" ht="15" hidden="false" customHeight="false" outlineLevel="0" collapsed="false">
      <c r="A1235" s="43" t="n">
        <v>232</v>
      </c>
      <c r="B1235" s="44" t="str">
        <f aca="false">'Model Inputs &amp; Assumptions'!$B$30</f>
        <v>extraETF — Newsletter Takeover</v>
      </c>
      <c r="C1235" s="45" t="n">
        <f aca="false">ROUND(MAX(0,'Model Inputs &amp; Assumptions'!$S$30*EXP('Model Inputs &amp; Assumptions'!$T$30*P1235-'Model Inputs &amp; Assumptions'!$T$30^2/2)),0)</f>
        <v>76262</v>
      </c>
      <c r="D1235" s="46" t="n">
        <f aca="false">MIN(1,'Model Inputs &amp; Assumptions'!$U$30*EXP('Model Inputs &amp; Assumptions'!$V$30*Q1235-'Model Inputs &amp; Assumptions'!$V$30^2/2))</f>
        <v>0</v>
      </c>
      <c r="E1235" s="45" t="n">
        <f aca="false">ROUND(C1235*D1235,0)</f>
        <v>0</v>
      </c>
      <c r="F1235" s="47" t="n">
        <f aca="false">MIN(1,'Model Inputs &amp; Assumptions'!$W$30*EXP('Model Inputs &amp; Assumptions'!$X$30*R1235-'Model Inputs &amp; Assumptions'!$X$30^2/2))</f>
        <v>0.00896246984799681</v>
      </c>
      <c r="G1235" s="45" t="n">
        <f aca="false">ROUND(C1235*F1235,0)</f>
        <v>683</v>
      </c>
      <c r="H1235" s="48" t="n">
        <f aca="false">MAX(0,(C1235*'Model Inputs &amp; Assumptions'!$N$30+E1235*'Model Inputs &amp; Assumptions'!$O$30+G1235*'Model Inputs &amp; Assumptions'!$P$30)*EXP('Model Inputs &amp; Assumptions'!$Q$30*S1235-'Model Inputs &amp; Assumptions'!$Q$30^2/2))</f>
        <v>52.6649079519715</v>
      </c>
      <c r="I1235" s="49" t="n">
        <f aca="false">IF('Model Inputs &amp; Assumptions'!$H$30="Fixed",'Model Inputs &amp; Assumptions'!$I$30*'Model Inputs &amp; Assumptions'!$K$30,IF('Model Inputs &amp; Assumptions'!$H$30="CPM",'Model Inputs &amp; Assumptions'!$I$30*'Model Inputs &amp; Assumptions'!$K$30*C1235/1000,IF('Model Inputs &amp; Assumptions'!$H$30="CPC",'Model Inputs &amp; Assumptions'!$I$30*'Model Inputs &amp; Assumptions'!$K$30*G1235,0)))</f>
        <v>6900</v>
      </c>
      <c r="J1235" s="50" t="n">
        <f aca="false">H1235*INDEX('Model Inputs &amp; Assumptions'!$D$40:$D$42,MATCH('Model Inputs &amp; Assumptions'!$L$30,'Model Inputs &amp; Assumptions'!$A$40:$A$42,0))*INDEX('Model Inputs &amp; Assumptions'!$H$40:$H$42,MATCH('Model Inputs &amp; Assumptions'!$L$30,'Model Inputs &amp; Assumptions'!$A$40:$A$42,0))</f>
        <v>379187.337254195</v>
      </c>
      <c r="K1235" s="49" t="n">
        <f aca="false">H1235*INDEX('Model Inputs &amp; Assumptions'!$G$40:$G$42,MATCH('Model Inputs &amp; Assumptions'!$L$30,'Model Inputs &amp; Assumptions'!$A$40:$A$42,0))*INDEX('Model Inputs &amp; Assumptions'!$H$40:$H$42,MATCH('Model Inputs &amp; Assumptions'!$L$30,'Model Inputs &amp; Assumptions'!$A$40:$A$42,0))</f>
        <v>8361.08078645499</v>
      </c>
      <c r="L1235" s="51" t="n">
        <f aca="false">IFERROR(K1235/I1235,0)</f>
        <v>1.21175083861666</v>
      </c>
      <c r="M1235" s="49" t="n">
        <f aca="false">IFERROR(I1235/H1235,0)</f>
        <v>131.017033321174</v>
      </c>
      <c r="N1235" s="52" t="str">
        <f aca="false">'Model Inputs &amp; Assumptions'!$L$30</f>
        <v>PRD-USIQ</v>
      </c>
      <c r="P1235" s="53" t="n">
        <v>-1.133015</v>
      </c>
      <c r="Q1235" s="53" t="n">
        <v>-1.81458</v>
      </c>
      <c r="R1235" s="53" t="n">
        <v>0.832362</v>
      </c>
      <c r="S1235" s="53" t="n">
        <v>0.80829</v>
      </c>
    </row>
    <row r="1236" customFormat="false" ht="15" hidden="false" customHeight="false" outlineLevel="0" collapsed="false">
      <c r="A1236" s="43" t="n">
        <v>233</v>
      </c>
      <c r="B1236" s="44" t="str">
        <f aca="false">'Model Inputs &amp; Assumptions'!$B$30</f>
        <v>extraETF — Newsletter Takeover</v>
      </c>
      <c r="C1236" s="45" t="n">
        <f aca="false">ROUND(MAX(0,'Model Inputs &amp; Assumptions'!$S$30*EXP('Model Inputs &amp; Assumptions'!$T$30*P1236-'Model Inputs &amp; Assumptions'!$T$30^2/2)),0)</f>
        <v>95610</v>
      </c>
      <c r="D1236" s="46" t="n">
        <f aca="false">MIN(1,'Model Inputs &amp; Assumptions'!$U$30*EXP('Model Inputs &amp; Assumptions'!$V$30*Q1236-'Model Inputs &amp; Assumptions'!$V$30^2/2))</f>
        <v>0</v>
      </c>
      <c r="E1236" s="45" t="n">
        <f aca="false">ROUND(C1236*D1236,0)</f>
        <v>0</v>
      </c>
      <c r="F1236" s="47" t="n">
        <f aca="false">MIN(1,'Model Inputs &amp; Assumptions'!$W$30*EXP('Model Inputs &amp; Assumptions'!$X$30*R1236-'Model Inputs &amp; Assumptions'!$X$30^2/2))</f>
        <v>0.00670929341177762</v>
      </c>
      <c r="G1236" s="45" t="n">
        <f aca="false">ROUND(C1236*F1236,0)</f>
        <v>641</v>
      </c>
      <c r="H1236" s="48" t="n">
        <f aca="false">MAX(0,(C1236*'Model Inputs &amp; Assumptions'!$N$30+E1236*'Model Inputs &amp; Assumptions'!$O$30+G1236*'Model Inputs &amp; Assumptions'!$P$30)*EXP('Model Inputs &amp; Assumptions'!$Q$30*S1236-'Model Inputs &amp; Assumptions'!$Q$30^2/2))</f>
        <v>55.6932913892131</v>
      </c>
      <c r="I1236" s="49" t="n">
        <f aca="false">IF('Model Inputs &amp; Assumptions'!$H$30="Fixed",'Model Inputs &amp; Assumptions'!$I$30*'Model Inputs &amp; Assumptions'!$K$30,IF('Model Inputs &amp; Assumptions'!$H$30="CPM",'Model Inputs &amp; Assumptions'!$I$30*'Model Inputs &amp; Assumptions'!$K$30*C1236/1000,IF('Model Inputs &amp; Assumptions'!$H$30="CPC",'Model Inputs &amp; Assumptions'!$I$30*'Model Inputs &amp; Assumptions'!$K$30*G1236,0)))</f>
        <v>6900</v>
      </c>
      <c r="J1236" s="50" t="n">
        <f aca="false">H1236*INDEX('Model Inputs &amp; Assumptions'!$D$40:$D$42,MATCH('Model Inputs &amp; Assumptions'!$L$30,'Model Inputs &amp; Assumptions'!$A$40:$A$42,0))*INDEX('Model Inputs &amp; Assumptions'!$H$40:$H$42,MATCH('Model Inputs &amp; Assumptions'!$L$30,'Model Inputs &amp; Assumptions'!$A$40:$A$42,0))</f>
        <v>400991.698002334</v>
      </c>
      <c r="K1236" s="49" t="n">
        <f aca="false">H1236*INDEX('Model Inputs &amp; Assumptions'!$G$40:$G$42,MATCH('Model Inputs &amp; Assumptions'!$L$30,'Model Inputs &amp; Assumptions'!$A$40:$A$42,0))*INDEX('Model Inputs &amp; Assumptions'!$H$40:$H$42,MATCH('Model Inputs &amp; Assumptions'!$L$30,'Model Inputs &amp; Assumptions'!$A$40:$A$42,0))</f>
        <v>8841.86694095147</v>
      </c>
      <c r="L1236" s="51" t="n">
        <f aca="false">IFERROR(K1236/I1236,0)</f>
        <v>1.28142999144224</v>
      </c>
      <c r="M1236" s="49" t="n">
        <f aca="false">IFERROR(I1236/H1236,0)</f>
        <v>123.892839296914</v>
      </c>
      <c r="N1236" s="52" t="str">
        <f aca="false">'Model Inputs &amp; Assumptions'!$L$30</f>
        <v>PRD-USIQ</v>
      </c>
      <c r="P1236" s="53" t="n">
        <v>0.751175</v>
      </c>
      <c r="Q1236" s="53" t="n">
        <v>-0.147619</v>
      </c>
      <c r="R1236" s="53" t="n">
        <v>-1.097986</v>
      </c>
      <c r="S1236" s="53" t="n">
        <v>1.285793</v>
      </c>
    </row>
    <row r="1237" customFormat="false" ht="15" hidden="false" customHeight="false" outlineLevel="0" collapsed="false">
      <c r="A1237" s="43" t="n">
        <v>234</v>
      </c>
      <c r="B1237" s="44" t="str">
        <f aca="false">'Model Inputs &amp; Assumptions'!$B$30</f>
        <v>extraETF — Newsletter Takeover</v>
      </c>
      <c r="C1237" s="45" t="n">
        <f aca="false">ROUND(MAX(0,'Model Inputs &amp; Assumptions'!$S$30*EXP('Model Inputs &amp; Assumptions'!$T$30*P1237-'Model Inputs &amp; Assumptions'!$T$30^2/2)),0)</f>
        <v>85815</v>
      </c>
      <c r="D1237" s="46" t="n">
        <f aca="false">MIN(1,'Model Inputs &amp; Assumptions'!$U$30*EXP('Model Inputs &amp; Assumptions'!$V$30*Q1237-'Model Inputs &amp; Assumptions'!$V$30^2/2))</f>
        <v>0</v>
      </c>
      <c r="E1237" s="45" t="n">
        <f aca="false">ROUND(C1237*D1237,0)</f>
        <v>0</v>
      </c>
      <c r="F1237" s="47" t="n">
        <f aca="false">MIN(1,'Model Inputs &amp; Assumptions'!$W$30*EXP('Model Inputs &amp; Assumptions'!$X$30*R1237-'Model Inputs &amp; Assumptions'!$X$30^2/2))</f>
        <v>0.0107649446773378</v>
      </c>
      <c r="G1237" s="45" t="n">
        <f aca="false">ROUND(C1237*F1237,0)</f>
        <v>924</v>
      </c>
      <c r="H1237" s="48" t="n">
        <f aca="false">MAX(0,(C1237*'Model Inputs &amp; Assumptions'!$N$30+E1237*'Model Inputs &amp; Assumptions'!$O$30+G1237*'Model Inputs &amp; Assumptions'!$P$30)*EXP('Model Inputs &amp; Assumptions'!$Q$30*S1237-'Model Inputs &amp; Assumptions'!$Q$30^2/2))</f>
        <v>91.8239413418538</v>
      </c>
      <c r="I1237" s="49" t="n">
        <f aca="false">IF('Model Inputs &amp; Assumptions'!$H$30="Fixed",'Model Inputs &amp; Assumptions'!$I$30*'Model Inputs &amp; Assumptions'!$K$30,IF('Model Inputs &amp; Assumptions'!$H$30="CPM",'Model Inputs &amp; Assumptions'!$I$30*'Model Inputs &amp; Assumptions'!$K$30*C1237/1000,IF('Model Inputs &amp; Assumptions'!$H$30="CPC",'Model Inputs &amp; Assumptions'!$I$30*'Model Inputs &amp; Assumptions'!$K$30*G1237,0)))</f>
        <v>6900</v>
      </c>
      <c r="J1237" s="50" t="n">
        <f aca="false">H1237*INDEX('Model Inputs &amp; Assumptions'!$D$40:$D$42,MATCH('Model Inputs &amp; Assumptions'!$L$30,'Model Inputs &amp; Assumptions'!$A$40:$A$42,0))*INDEX('Model Inputs &amp; Assumptions'!$H$40:$H$42,MATCH('Model Inputs &amp; Assumptions'!$L$30,'Model Inputs &amp; Assumptions'!$A$40:$A$42,0))</f>
        <v>661132.377661347</v>
      </c>
      <c r="K1237" s="49" t="n">
        <f aca="false">H1237*INDEX('Model Inputs &amp; Assumptions'!$G$40:$G$42,MATCH('Model Inputs &amp; Assumptions'!$L$30,'Model Inputs &amp; Assumptions'!$A$40:$A$42,0))*INDEX('Model Inputs &amp; Assumptions'!$H$40:$H$42,MATCH('Model Inputs &amp; Assumptions'!$L$30,'Model Inputs &amp; Assumptions'!$A$40:$A$42,0))</f>
        <v>14577.9689274327</v>
      </c>
      <c r="L1237" s="51" t="n">
        <f aca="false">IFERROR(K1237/I1237,0)</f>
        <v>2.11274911991778</v>
      </c>
      <c r="M1237" s="49" t="n">
        <f aca="false">IFERROR(I1237/H1237,0)</f>
        <v>75.1438012697779</v>
      </c>
      <c r="N1237" s="52" t="str">
        <f aca="false">'Model Inputs &amp; Assumptions'!$L$30</f>
        <v>PRD-USIQ</v>
      </c>
      <c r="P1237" s="53" t="n">
        <v>-0.149508</v>
      </c>
      <c r="Q1237" s="53" t="n">
        <v>0.068499</v>
      </c>
      <c r="R1237" s="53" t="n">
        <v>2.054023</v>
      </c>
      <c r="S1237" s="53" t="n">
        <v>1.823116</v>
      </c>
    </row>
    <row r="1238" customFormat="false" ht="15" hidden="false" customHeight="false" outlineLevel="0" collapsed="false">
      <c r="A1238" s="43" t="n">
        <v>235</v>
      </c>
      <c r="B1238" s="44" t="str">
        <f aca="false">'Model Inputs &amp; Assumptions'!$B$30</f>
        <v>extraETF — Newsletter Takeover</v>
      </c>
      <c r="C1238" s="45" t="n">
        <f aca="false">ROUND(MAX(0,'Model Inputs &amp; Assumptions'!$S$30*EXP('Model Inputs &amp; Assumptions'!$T$30*P1238-'Model Inputs &amp; Assumptions'!$T$30^2/2)),0)</f>
        <v>90700</v>
      </c>
      <c r="D1238" s="46" t="n">
        <f aca="false">MIN(1,'Model Inputs &amp; Assumptions'!$U$30*EXP('Model Inputs &amp; Assumptions'!$V$30*Q1238-'Model Inputs &amp; Assumptions'!$V$30^2/2))</f>
        <v>0</v>
      </c>
      <c r="E1238" s="45" t="n">
        <f aca="false">ROUND(C1238*D1238,0)</f>
        <v>0</v>
      </c>
      <c r="F1238" s="47" t="n">
        <f aca="false">MIN(1,'Model Inputs &amp; Assumptions'!$W$30*EXP('Model Inputs &amp; Assumptions'!$X$30*R1238-'Model Inputs &amp; Assumptions'!$X$30^2/2))</f>
        <v>0.00495111964384863</v>
      </c>
      <c r="G1238" s="45" t="n">
        <f aca="false">ROUND(C1238*F1238,0)</f>
        <v>449</v>
      </c>
      <c r="H1238" s="48" t="n">
        <f aca="false">MAX(0,(C1238*'Model Inputs &amp; Assumptions'!$N$30+E1238*'Model Inputs &amp; Assumptions'!$O$30+G1238*'Model Inputs &amp; Assumptions'!$P$30)*EXP('Model Inputs &amp; Assumptions'!$Q$30*S1238-'Model Inputs &amp; Assumptions'!$Q$30^2/2))</f>
        <v>20.2706723303986</v>
      </c>
      <c r="I1238" s="49" t="n">
        <f aca="false">IF('Model Inputs &amp; Assumptions'!$H$30="Fixed",'Model Inputs &amp; Assumptions'!$I$30*'Model Inputs &amp; Assumptions'!$K$30,IF('Model Inputs &amp; Assumptions'!$H$30="CPM",'Model Inputs &amp; Assumptions'!$I$30*'Model Inputs &amp; Assumptions'!$K$30*C1238/1000,IF('Model Inputs &amp; Assumptions'!$H$30="CPC",'Model Inputs &amp; Assumptions'!$I$30*'Model Inputs &amp; Assumptions'!$K$30*G1238,0)))</f>
        <v>6900</v>
      </c>
      <c r="J1238" s="50" t="n">
        <f aca="false">H1238*INDEX('Model Inputs &amp; Assumptions'!$D$40:$D$42,MATCH('Model Inputs &amp; Assumptions'!$L$30,'Model Inputs &amp; Assumptions'!$A$40:$A$42,0))*INDEX('Model Inputs &amp; Assumptions'!$H$40:$H$42,MATCH('Model Inputs &amp; Assumptions'!$L$30,'Model Inputs &amp; Assumptions'!$A$40:$A$42,0))</f>
        <v>145948.84077887</v>
      </c>
      <c r="K1238" s="49" t="n">
        <f aca="false">H1238*INDEX('Model Inputs &amp; Assumptions'!$G$40:$G$42,MATCH('Model Inputs &amp; Assumptions'!$L$30,'Model Inputs &amp; Assumptions'!$A$40:$A$42,0))*INDEX('Model Inputs &amp; Assumptions'!$H$40:$H$42,MATCH('Model Inputs &amp; Assumptions'!$L$30,'Model Inputs &amp; Assumptions'!$A$40:$A$42,0))</f>
        <v>3218.17193917409</v>
      </c>
      <c r="L1238" s="51" t="n">
        <f aca="false">IFERROR(K1238/I1238,0)</f>
        <v>0.466401730315085</v>
      </c>
      <c r="M1238" s="49" t="n">
        <f aca="false">IFERROR(I1238/H1238,0)</f>
        <v>340.39324831138</v>
      </c>
      <c r="N1238" s="52" t="str">
        <f aca="false">'Model Inputs &amp; Assumptions'!$L$30</f>
        <v>PRD-USIQ</v>
      </c>
      <c r="P1238" s="53" t="n">
        <v>0.311851</v>
      </c>
      <c r="Q1238" s="53" t="n">
        <v>-0.625341</v>
      </c>
      <c r="R1238" s="53" t="n">
        <v>-3.123852</v>
      </c>
      <c r="S1238" s="53" t="n">
        <v>-1.332919</v>
      </c>
    </row>
    <row r="1239" customFormat="false" ht="15" hidden="false" customHeight="false" outlineLevel="0" collapsed="false">
      <c r="A1239" s="43" t="n">
        <v>236</v>
      </c>
      <c r="B1239" s="44" t="str">
        <f aca="false">'Model Inputs &amp; Assumptions'!$B$30</f>
        <v>extraETF — Newsletter Takeover</v>
      </c>
      <c r="C1239" s="45" t="n">
        <f aca="false">ROUND(MAX(0,'Model Inputs &amp; Assumptions'!$S$30*EXP('Model Inputs &amp; Assumptions'!$T$30*P1239-'Model Inputs &amp; Assumptions'!$T$30^2/2)),0)</f>
        <v>83363</v>
      </c>
      <c r="D1239" s="46" t="n">
        <f aca="false">MIN(1,'Model Inputs &amp; Assumptions'!$U$30*EXP('Model Inputs &amp; Assumptions'!$V$30*Q1239-'Model Inputs &amp; Assumptions'!$V$30^2/2))</f>
        <v>0</v>
      </c>
      <c r="E1239" s="45" t="n">
        <f aca="false">ROUND(C1239*D1239,0)</f>
        <v>0</v>
      </c>
      <c r="F1239" s="47" t="n">
        <f aca="false">MIN(1,'Model Inputs &amp; Assumptions'!$W$30*EXP('Model Inputs &amp; Assumptions'!$X$30*R1239-'Model Inputs &amp; Assumptions'!$X$30^2/2))</f>
        <v>0.00853550857682608</v>
      </c>
      <c r="G1239" s="45" t="n">
        <f aca="false">ROUND(C1239*F1239,0)</f>
        <v>712</v>
      </c>
      <c r="H1239" s="48" t="n">
        <f aca="false">MAX(0,(C1239*'Model Inputs &amp; Assumptions'!$N$30+E1239*'Model Inputs &amp; Assumptions'!$O$30+G1239*'Model Inputs &amp; Assumptions'!$P$30)*EXP('Model Inputs &amp; Assumptions'!$Q$30*S1239-'Model Inputs &amp; Assumptions'!$Q$30^2/2))</f>
        <v>54.1605970480449</v>
      </c>
      <c r="I1239" s="49" t="n">
        <f aca="false">IF('Model Inputs &amp; Assumptions'!$H$30="Fixed",'Model Inputs &amp; Assumptions'!$I$30*'Model Inputs &amp; Assumptions'!$K$30,IF('Model Inputs &amp; Assumptions'!$H$30="CPM",'Model Inputs &amp; Assumptions'!$I$30*'Model Inputs &amp; Assumptions'!$K$30*C1239/1000,IF('Model Inputs &amp; Assumptions'!$H$30="CPC",'Model Inputs &amp; Assumptions'!$I$30*'Model Inputs &amp; Assumptions'!$K$30*G1239,0)))</f>
        <v>6900</v>
      </c>
      <c r="J1239" s="50" t="n">
        <f aca="false">H1239*INDEX('Model Inputs &amp; Assumptions'!$D$40:$D$42,MATCH('Model Inputs &amp; Assumptions'!$L$30,'Model Inputs &amp; Assumptions'!$A$40:$A$42,0))*INDEX('Model Inputs &amp; Assumptions'!$H$40:$H$42,MATCH('Model Inputs &amp; Assumptions'!$L$30,'Model Inputs &amp; Assumptions'!$A$40:$A$42,0))</f>
        <v>389956.298745923</v>
      </c>
      <c r="K1239" s="49" t="n">
        <f aca="false">H1239*INDEX('Model Inputs &amp; Assumptions'!$G$40:$G$42,MATCH('Model Inputs &amp; Assumptions'!$L$30,'Model Inputs &amp; Assumptions'!$A$40:$A$42,0))*INDEX('Model Inputs &amp; Assumptions'!$H$40:$H$42,MATCH('Model Inputs &amp; Assumptions'!$L$30,'Model Inputs &amp; Assumptions'!$A$40:$A$42,0))</f>
        <v>8598.53638734761</v>
      </c>
      <c r="L1239" s="51" t="n">
        <f aca="false">IFERROR(K1239/I1239,0)</f>
        <v>1.24616469381849</v>
      </c>
      <c r="M1239" s="49" t="n">
        <f aca="false">IFERROR(I1239/H1239,0)</f>
        <v>127.398891003346</v>
      </c>
      <c r="N1239" s="52" t="str">
        <f aca="false">'Model Inputs &amp; Assumptions'!$L$30</f>
        <v>PRD-USIQ</v>
      </c>
      <c r="P1239" s="53" t="n">
        <v>-0.391064</v>
      </c>
      <c r="Q1239" s="53" t="n">
        <v>0.981986</v>
      </c>
      <c r="R1239" s="53" t="n">
        <v>0.506956</v>
      </c>
      <c r="S1239" s="53" t="n">
        <v>0.753975</v>
      </c>
    </row>
    <row r="1240" customFormat="false" ht="15" hidden="false" customHeight="false" outlineLevel="0" collapsed="false">
      <c r="A1240" s="43" t="n">
        <v>237</v>
      </c>
      <c r="B1240" s="44" t="str">
        <f aca="false">'Model Inputs &amp; Assumptions'!$B$30</f>
        <v>extraETF — Newsletter Takeover</v>
      </c>
      <c r="C1240" s="45" t="n">
        <f aca="false">ROUND(MAX(0,'Model Inputs &amp; Assumptions'!$S$30*EXP('Model Inputs &amp; Assumptions'!$T$30*P1240-'Model Inputs &amp; Assumptions'!$T$30^2/2)),0)</f>
        <v>71893</v>
      </c>
      <c r="D1240" s="46" t="n">
        <f aca="false">MIN(1,'Model Inputs &amp; Assumptions'!$U$30*EXP('Model Inputs &amp; Assumptions'!$V$30*Q1240-'Model Inputs &amp; Assumptions'!$V$30^2/2))</f>
        <v>0</v>
      </c>
      <c r="E1240" s="45" t="n">
        <f aca="false">ROUND(C1240*D1240,0)</f>
        <v>0</v>
      </c>
      <c r="F1240" s="47" t="n">
        <f aca="false">MIN(1,'Model Inputs &amp; Assumptions'!$W$30*EXP('Model Inputs &amp; Assumptions'!$X$30*R1240-'Model Inputs &amp; Assumptions'!$X$30^2/2))</f>
        <v>0.0067753805957327</v>
      </c>
      <c r="G1240" s="45" t="n">
        <f aca="false">ROUND(C1240*F1240,0)</f>
        <v>487</v>
      </c>
      <c r="H1240" s="48" t="n">
        <f aca="false">MAX(0,(C1240*'Model Inputs &amp; Assumptions'!$N$30+E1240*'Model Inputs &amp; Assumptions'!$O$30+G1240*'Model Inputs &amp; Assumptions'!$P$30)*EXP('Model Inputs &amp; Assumptions'!$Q$30*S1240-'Model Inputs &amp; Assumptions'!$Q$30^2/2))</f>
        <v>28.8700539962249</v>
      </c>
      <c r="I1240" s="49" t="n">
        <f aca="false">IF('Model Inputs &amp; Assumptions'!$H$30="Fixed",'Model Inputs &amp; Assumptions'!$I$30*'Model Inputs &amp; Assumptions'!$K$30,IF('Model Inputs &amp; Assumptions'!$H$30="CPM",'Model Inputs &amp; Assumptions'!$I$30*'Model Inputs &amp; Assumptions'!$K$30*C1240/1000,IF('Model Inputs &amp; Assumptions'!$H$30="CPC",'Model Inputs &amp; Assumptions'!$I$30*'Model Inputs &amp; Assumptions'!$K$30*G1240,0)))</f>
        <v>6900</v>
      </c>
      <c r="J1240" s="50" t="n">
        <f aca="false">H1240*INDEX('Model Inputs &amp; Assumptions'!$D$40:$D$42,MATCH('Model Inputs &amp; Assumptions'!$L$30,'Model Inputs &amp; Assumptions'!$A$40:$A$42,0))*INDEX('Model Inputs &amp; Assumptions'!$H$40:$H$42,MATCH('Model Inputs &amp; Assumptions'!$L$30,'Model Inputs &amp; Assumptions'!$A$40:$A$42,0))</f>
        <v>207864.388772819</v>
      </c>
      <c r="K1240" s="49" t="n">
        <f aca="false">H1240*INDEX('Model Inputs &amp; Assumptions'!$G$40:$G$42,MATCH('Model Inputs &amp; Assumptions'!$L$30,'Model Inputs &amp; Assumptions'!$A$40:$A$42,0))*INDEX('Model Inputs &amp; Assumptions'!$H$40:$H$42,MATCH('Model Inputs &amp; Assumptions'!$L$30,'Model Inputs &amp; Assumptions'!$A$40:$A$42,0))</f>
        <v>4583.40977244066</v>
      </c>
      <c r="L1240" s="51" t="n">
        <f aca="false">IFERROR(K1240/I1240,0)</f>
        <v>0.664262285860965</v>
      </c>
      <c r="M1240" s="49" t="n">
        <f aca="false">IFERROR(I1240/H1240,0)</f>
        <v>239.001977651385</v>
      </c>
      <c r="N1240" s="52" t="str">
        <f aca="false">'Model Inputs &amp; Assumptions'!$L$30</f>
        <v>PRD-USIQ</v>
      </c>
      <c r="P1240" s="53" t="n">
        <v>-1.624647</v>
      </c>
      <c r="Q1240" s="53" t="n">
        <v>-0.467173</v>
      </c>
      <c r="R1240" s="53" t="n">
        <v>-1.03264</v>
      </c>
      <c r="S1240" s="53" t="n">
        <v>-0.243365</v>
      </c>
    </row>
    <row r="1241" customFormat="false" ht="15" hidden="false" customHeight="false" outlineLevel="0" collapsed="false">
      <c r="A1241" s="43" t="n">
        <v>238</v>
      </c>
      <c r="B1241" s="44" t="str">
        <f aca="false">'Model Inputs &amp; Assumptions'!$B$30</f>
        <v>extraETF — Newsletter Takeover</v>
      </c>
      <c r="C1241" s="45" t="n">
        <f aca="false">ROUND(MAX(0,'Model Inputs &amp; Assumptions'!$S$30*EXP('Model Inputs &amp; Assumptions'!$T$30*P1241-'Model Inputs &amp; Assumptions'!$T$30^2/2)),0)</f>
        <v>83484</v>
      </c>
      <c r="D1241" s="46" t="n">
        <f aca="false">MIN(1,'Model Inputs &amp; Assumptions'!$U$30*EXP('Model Inputs &amp; Assumptions'!$V$30*Q1241-'Model Inputs &amp; Assumptions'!$V$30^2/2))</f>
        <v>0</v>
      </c>
      <c r="E1241" s="45" t="n">
        <f aca="false">ROUND(C1241*D1241,0)</f>
        <v>0</v>
      </c>
      <c r="F1241" s="47" t="n">
        <f aca="false">MIN(1,'Model Inputs &amp; Assumptions'!$W$30*EXP('Model Inputs &amp; Assumptions'!$X$30*R1241-'Model Inputs &amp; Assumptions'!$X$30^2/2))</f>
        <v>0.00778928126385878</v>
      </c>
      <c r="G1241" s="45" t="n">
        <f aca="false">ROUND(C1241*F1241,0)</f>
        <v>650</v>
      </c>
      <c r="H1241" s="48" t="n">
        <f aca="false">MAX(0,(C1241*'Model Inputs &amp; Assumptions'!$N$30+E1241*'Model Inputs &amp; Assumptions'!$O$30+G1241*'Model Inputs &amp; Assumptions'!$P$30)*EXP('Model Inputs &amp; Assumptions'!$Q$30*S1241-'Model Inputs &amp; Assumptions'!$Q$30^2/2))</f>
        <v>35.4111805069041</v>
      </c>
      <c r="I1241" s="49" t="n">
        <f aca="false">IF('Model Inputs &amp; Assumptions'!$H$30="Fixed",'Model Inputs &amp; Assumptions'!$I$30*'Model Inputs &amp; Assumptions'!$K$30,IF('Model Inputs &amp; Assumptions'!$H$30="CPM",'Model Inputs &amp; Assumptions'!$I$30*'Model Inputs &amp; Assumptions'!$K$30*C1241/1000,IF('Model Inputs &amp; Assumptions'!$H$30="CPC",'Model Inputs &amp; Assumptions'!$I$30*'Model Inputs &amp; Assumptions'!$K$30*G1241,0)))</f>
        <v>6900</v>
      </c>
      <c r="J1241" s="50" t="n">
        <f aca="false">H1241*INDEX('Model Inputs &amp; Assumptions'!$D$40:$D$42,MATCH('Model Inputs &amp; Assumptions'!$L$30,'Model Inputs &amp; Assumptions'!$A$40:$A$42,0))*INDEX('Model Inputs &amp; Assumptions'!$H$40:$H$42,MATCH('Model Inputs &amp; Assumptions'!$L$30,'Model Inputs &amp; Assumptions'!$A$40:$A$42,0))</f>
        <v>254960.499649709</v>
      </c>
      <c r="K1241" s="49" t="n">
        <f aca="false">H1241*INDEX('Model Inputs &amp; Assumptions'!$G$40:$G$42,MATCH('Model Inputs &amp; Assumptions'!$L$30,'Model Inputs &amp; Assumptions'!$A$40:$A$42,0))*INDEX('Model Inputs &amp; Assumptions'!$H$40:$H$42,MATCH('Model Inputs &amp; Assumptions'!$L$30,'Model Inputs &amp; Assumptions'!$A$40:$A$42,0))</f>
        <v>5621.87901727609</v>
      </c>
      <c r="L1241" s="51" t="n">
        <f aca="false">IFERROR(K1241/I1241,0)</f>
        <v>0.81476507496755</v>
      </c>
      <c r="M1241" s="49" t="n">
        <f aca="false">IFERROR(I1241/H1241,0)</f>
        <v>194.853712901628</v>
      </c>
      <c r="N1241" s="52" t="str">
        <f aca="false">'Model Inputs &amp; Assumptions'!$L$30</f>
        <v>PRD-USIQ</v>
      </c>
      <c r="P1241" s="53" t="n">
        <v>-0.378993</v>
      </c>
      <c r="Q1241" s="53" t="n">
        <v>0.225756</v>
      </c>
      <c r="R1241" s="53" t="n">
        <v>-0.102953</v>
      </c>
      <c r="S1241" s="53" t="n">
        <v>-0.581307</v>
      </c>
    </row>
    <row r="1242" customFormat="false" ht="15" hidden="false" customHeight="false" outlineLevel="0" collapsed="false">
      <c r="A1242" s="43" t="n">
        <v>239</v>
      </c>
      <c r="B1242" s="44" t="str">
        <f aca="false">'Model Inputs &amp; Assumptions'!$B$30</f>
        <v>extraETF — Newsletter Takeover</v>
      </c>
      <c r="C1242" s="45" t="n">
        <f aca="false">ROUND(MAX(0,'Model Inputs &amp; Assumptions'!$S$30*EXP('Model Inputs &amp; Assumptions'!$T$30*P1242-'Model Inputs &amp; Assumptions'!$T$30^2/2)),0)</f>
        <v>96373</v>
      </c>
      <c r="D1242" s="46" t="n">
        <f aca="false">MIN(1,'Model Inputs &amp; Assumptions'!$U$30*EXP('Model Inputs &amp; Assumptions'!$V$30*Q1242-'Model Inputs &amp; Assumptions'!$V$30^2/2))</f>
        <v>0</v>
      </c>
      <c r="E1242" s="45" t="n">
        <f aca="false">ROUND(C1242*D1242,0)</f>
        <v>0</v>
      </c>
      <c r="F1242" s="47" t="n">
        <f aca="false">MIN(1,'Model Inputs &amp; Assumptions'!$W$30*EXP('Model Inputs &amp; Assumptions'!$X$30*R1242-'Model Inputs &amp; Assumptions'!$X$30^2/2))</f>
        <v>0.00831323806387776</v>
      </c>
      <c r="G1242" s="45" t="n">
        <f aca="false">ROUND(C1242*F1242,0)</f>
        <v>801</v>
      </c>
      <c r="H1242" s="48" t="n">
        <f aca="false">MAX(0,(C1242*'Model Inputs &amp; Assumptions'!$N$30+E1242*'Model Inputs &amp; Assumptions'!$O$30+G1242*'Model Inputs &amp; Assumptions'!$P$30)*EXP('Model Inputs &amp; Assumptions'!$Q$30*S1242-'Model Inputs &amp; Assumptions'!$Q$30^2/2))</f>
        <v>35.0493191428822</v>
      </c>
      <c r="I1242" s="49" t="n">
        <f aca="false">IF('Model Inputs &amp; Assumptions'!$H$30="Fixed",'Model Inputs &amp; Assumptions'!$I$30*'Model Inputs &amp; Assumptions'!$K$30,IF('Model Inputs &amp; Assumptions'!$H$30="CPM",'Model Inputs &amp; Assumptions'!$I$30*'Model Inputs &amp; Assumptions'!$K$30*C1242/1000,IF('Model Inputs &amp; Assumptions'!$H$30="CPC",'Model Inputs &amp; Assumptions'!$I$30*'Model Inputs &amp; Assumptions'!$K$30*G1242,0)))</f>
        <v>6900</v>
      </c>
      <c r="J1242" s="50" t="n">
        <f aca="false">H1242*INDEX('Model Inputs &amp; Assumptions'!$D$40:$D$42,MATCH('Model Inputs &amp; Assumptions'!$L$30,'Model Inputs &amp; Assumptions'!$A$40:$A$42,0))*INDEX('Model Inputs &amp; Assumptions'!$H$40:$H$42,MATCH('Model Inputs &amp; Assumptions'!$L$30,'Model Inputs &amp; Assumptions'!$A$40:$A$42,0))</f>
        <v>252355.097828752</v>
      </c>
      <c r="K1242" s="49" t="n">
        <f aca="false">H1242*INDEX('Model Inputs &amp; Assumptions'!$G$40:$G$42,MATCH('Model Inputs &amp; Assumptions'!$L$30,'Model Inputs &amp; Assumptions'!$A$40:$A$42,0))*INDEX('Model Inputs &amp; Assumptions'!$H$40:$H$42,MATCH('Model Inputs &amp; Assumptions'!$L$30,'Model Inputs &amp; Assumptions'!$A$40:$A$42,0))</f>
        <v>5564.42990712398</v>
      </c>
      <c r="L1242" s="51" t="n">
        <f aca="false">IFERROR(K1242/I1242,0)</f>
        <v>0.806439116974489</v>
      </c>
      <c r="M1242" s="49" t="n">
        <f aca="false">IFERROR(I1242/H1242,0)</f>
        <v>196.865450420633</v>
      </c>
      <c r="N1242" s="52" t="str">
        <f aca="false">'Model Inputs &amp; Assumptions'!$L$30</f>
        <v>PRD-USIQ</v>
      </c>
      <c r="P1242" s="53" t="n">
        <v>0.817381</v>
      </c>
      <c r="Q1242" s="53" t="n">
        <v>-1.980919</v>
      </c>
      <c r="R1242" s="53" t="n">
        <v>0.331051</v>
      </c>
      <c r="S1242" s="53" t="n">
        <v>-1.457947</v>
      </c>
    </row>
    <row r="1243" customFormat="false" ht="15" hidden="false" customHeight="false" outlineLevel="0" collapsed="false">
      <c r="A1243" s="43" t="n">
        <v>240</v>
      </c>
      <c r="B1243" s="44" t="str">
        <f aca="false">'Model Inputs &amp; Assumptions'!$B$30</f>
        <v>extraETF — Newsletter Takeover</v>
      </c>
      <c r="C1243" s="45" t="n">
        <f aca="false">ROUND(MAX(0,'Model Inputs &amp; Assumptions'!$S$30*EXP('Model Inputs &amp; Assumptions'!$T$30*P1243-'Model Inputs &amp; Assumptions'!$T$30^2/2)),0)</f>
        <v>77882</v>
      </c>
      <c r="D1243" s="46" t="n">
        <f aca="false">MIN(1,'Model Inputs &amp; Assumptions'!$U$30*EXP('Model Inputs &amp; Assumptions'!$V$30*Q1243-'Model Inputs &amp; Assumptions'!$V$30^2/2))</f>
        <v>0</v>
      </c>
      <c r="E1243" s="45" t="n">
        <f aca="false">ROUND(C1243*D1243,0)</f>
        <v>0</v>
      </c>
      <c r="F1243" s="47" t="n">
        <f aca="false">MIN(1,'Model Inputs &amp; Assumptions'!$W$30*EXP('Model Inputs &amp; Assumptions'!$X$30*R1243-'Model Inputs &amp; Assumptions'!$X$30^2/2))</f>
        <v>0.00685345662427091</v>
      </c>
      <c r="G1243" s="45" t="n">
        <f aca="false">ROUND(C1243*F1243,0)</f>
        <v>534</v>
      </c>
      <c r="H1243" s="48" t="n">
        <f aca="false">MAX(0,(C1243*'Model Inputs &amp; Assumptions'!$N$30+E1243*'Model Inputs &amp; Assumptions'!$O$30+G1243*'Model Inputs &amp; Assumptions'!$P$30)*EXP('Model Inputs &amp; Assumptions'!$Q$30*S1243-'Model Inputs &amp; Assumptions'!$Q$30^2/2))</f>
        <v>34.6192999950264</v>
      </c>
      <c r="I1243" s="49" t="n">
        <f aca="false">IF('Model Inputs &amp; Assumptions'!$H$30="Fixed",'Model Inputs &amp; Assumptions'!$I$30*'Model Inputs &amp; Assumptions'!$K$30,IF('Model Inputs &amp; Assumptions'!$H$30="CPM",'Model Inputs &amp; Assumptions'!$I$30*'Model Inputs &amp; Assumptions'!$K$30*C1243/1000,IF('Model Inputs &amp; Assumptions'!$H$30="CPC",'Model Inputs &amp; Assumptions'!$I$30*'Model Inputs &amp; Assumptions'!$K$30*G1243,0)))</f>
        <v>6900</v>
      </c>
      <c r="J1243" s="50" t="n">
        <f aca="false">H1243*INDEX('Model Inputs &amp; Assumptions'!$D$40:$D$42,MATCH('Model Inputs &amp; Assumptions'!$L$30,'Model Inputs &amp; Assumptions'!$A$40:$A$42,0))*INDEX('Model Inputs &amp; Assumptions'!$H$40:$H$42,MATCH('Model Inputs &amp; Assumptions'!$L$30,'Model Inputs &amp; Assumptions'!$A$40:$A$42,0))</f>
        <v>249258.95996419</v>
      </c>
      <c r="K1243" s="49" t="n">
        <f aca="false">H1243*INDEX('Model Inputs &amp; Assumptions'!$G$40:$G$42,MATCH('Model Inputs &amp; Assumptions'!$L$30,'Model Inputs &amp; Assumptions'!$A$40:$A$42,0))*INDEX('Model Inputs &amp; Assumptions'!$H$40:$H$42,MATCH('Model Inputs &amp; Assumptions'!$L$30,'Model Inputs &amp; Assumptions'!$A$40:$A$42,0))</f>
        <v>5496.16006721039</v>
      </c>
      <c r="L1243" s="51" t="n">
        <f aca="false">IFERROR(K1243/I1243,0)</f>
        <v>0.796544937276868</v>
      </c>
      <c r="M1243" s="49" t="n">
        <f aca="false">IFERROR(I1243/H1243,0)</f>
        <v>199.310789097159</v>
      </c>
      <c r="N1243" s="52" t="str">
        <f aca="false">'Model Inputs &amp; Assumptions'!$L$30</f>
        <v>PRD-USIQ</v>
      </c>
      <c r="P1243" s="53" t="n">
        <v>-0.95784</v>
      </c>
      <c r="Q1243" s="53" t="n">
        <v>-0.523686</v>
      </c>
      <c r="R1243" s="53" t="n">
        <v>-0.956256</v>
      </c>
      <c r="S1243" s="53" t="n">
        <v>0.114534</v>
      </c>
    </row>
    <row r="1244" customFormat="false" ht="15" hidden="false" customHeight="false" outlineLevel="0" collapsed="false">
      <c r="A1244" s="43" t="n">
        <v>241</v>
      </c>
      <c r="B1244" s="44" t="str">
        <f aca="false">'Model Inputs &amp; Assumptions'!$B$30</f>
        <v>extraETF — Newsletter Takeover</v>
      </c>
      <c r="C1244" s="45" t="n">
        <f aca="false">ROUND(MAX(0,'Model Inputs &amp; Assumptions'!$S$30*EXP('Model Inputs &amp; Assumptions'!$T$30*P1244-'Model Inputs &amp; Assumptions'!$T$30^2/2)),0)</f>
        <v>89815</v>
      </c>
      <c r="D1244" s="46" t="n">
        <f aca="false">MIN(1,'Model Inputs &amp; Assumptions'!$U$30*EXP('Model Inputs &amp; Assumptions'!$V$30*Q1244-'Model Inputs &amp; Assumptions'!$V$30^2/2))</f>
        <v>0</v>
      </c>
      <c r="E1244" s="45" t="n">
        <f aca="false">ROUND(C1244*D1244,0)</f>
        <v>0</v>
      </c>
      <c r="F1244" s="47" t="n">
        <f aca="false">MIN(1,'Model Inputs &amp; Assumptions'!$W$30*EXP('Model Inputs &amp; Assumptions'!$X$30*R1244-'Model Inputs &amp; Assumptions'!$X$30^2/2))</f>
        <v>0.00851650411654786</v>
      </c>
      <c r="G1244" s="45" t="n">
        <f aca="false">ROUND(C1244*F1244,0)</f>
        <v>765</v>
      </c>
      <c r="H1244" s="48" t="n">
        <f aca="false">MAX(0,(C1244*'Model Inputs &amp; Assumptions'!$N$30+E1244*'Model Inputs &amp; Assumptions'!$O$30+G1244*'Model Inputs &amp; Assumptions'!$P$30)*EXP('Model Inputs &amp; Assumptions'!$Q$30*S1244-'Model Inputs &amp; Assumptions'!$Q$30^2/2))</f>
        <v>94.8251410205329</v>
      </c>
      <c r="I1244" s="49" t="n">
        <f aca="false">IF('Model Inputs &amp; Assumptions'!$H$30="Fixed",'Model Inputs &amp; Assumptions'!$I$30*'Model Inputs &amp; Assumptions'!$K$30,IF('Model Inputs &amp; Assumptions'!$H$30="CPM",'Model Inputs &amp; Assumptions'!$I$30*'Model Inputs &amp; Assumptions'!$K$30*C1244/1000,IF('Model Inputs &amp; Assumptions'!$H$30="CPC",'Model Inputs &amp; Assumptions'!$I$30*'Model Inputs &amp; Assumptions'!$K$30*G1244,0)))</f>
        <v>6900</v>
      </c>
      <c r="J1244" s="50" t="n">
        <f aca="false">H1244*INDEX('Model Inputs &amp; Assumptions'!$D$40:$D$42,MATCH('Model Inputs &amp; Assumptions'!$L$30,'Model Inputs &amp; Assumptions'!$A$40:$A$42,0))*INDEX('Model Inputs &amp; Assumptions'!$H$40:$H$42,MATCH('Model Inputs &amp; Assumptions'!$L$30,'Model Inputs &amp; Assumptions'!$A$40:$A$42,0))</f>
        <v>682741.015347837</v>
      </c>
      <c r="K1244" s="49" t="n">
        <f aca="false">H1244*INDEX('Model Inputs &amp; Assumptions'!$G$40:$G$42,MATCH('Model Inputs &amp; Assumptions'!$L$30,'Model Inputs &amp; Assumptions'!$A$40:$A$42,0))*INDEX('Model Inputs &amp; Assumptions'!$H$40:$H$42,MATCH('Model Inputs &amp; Assumptions'!$L$30,'Model Inputs &amp; Assumptions'!$A$40:$A$42,0))</f>
        <v>15054.4393884198</v>
      </c>
      <c r="L1244" s="51" t="n">
        <f aca="false">IFERROR(K1244/I1244,0)</f>
        <v>2.18180280991591</v>
      </c>
      <c r="M1244" s="49" t="n">
        <f aca="false">IFERROR(I1244/H1244,0)</f>
        <v>72.76551266616</v>
      </c>
      <c r="N1244" s="52" t="str">
        <f aca="false">'Model Inputs &amp; Assumptions'!$L$30</f>
        <v>PRD-USIQ</v>
      </c>
      <c r="P1244" s="53" t="n">
        <v>0.230169</v>
      </c>
      <c r="Q1244" s="53" t="n">
        <v>-0.100931</v>
      </c>
      <c r="R1244" s="53" t="n">
        <v>0.492096</v>
      </c>
      <c r="S1244" s="53" t="n">
        <v>2.707107</v>
      </c>
    </row>
    <row r="1245" customFormat="false" ht="15" hidden="false" customHeight="false" outlineLevel="0" collapsed="false">
      <c r="A1245" s="43" t="n">
        <v>242</v>
      </c>
      <c r="B1245" s="44" t="str">
        <f aca="false">'Model Inputs &amp; Assumptions'!$B$30</f>
        <v>extraETF — Newsletter Takeover</v>
      </c>
      <c r="C1245" s="45" t="n">
        <f aca="false">ROUND(MAX(0,'Model Inputs &amp; Assumptions'!$S$30*EXP('Model Inputs &amp; Assumptions'!$T$30*P1245-'Model Inputs &amp; Assumptions'!$T$30^2/2)),0)</f>
        <v>81716</v>
      </c>
      <c r="D1245" s="46" t="n">
        <f aca="false">MIN(1,'Model Inputs &amp; Assumptions'!$U$30*EXP('Model Inputs &amp; Assumptions'!$V$30*Q1245-'Model Inputs &amp; Assumptions'!$V$30^2/2))</f>
        <v>0</v>
      </c>
      <c r="E1245" s="45" t="n">
        <f aca="false">ROUND(C1245*D1245,0)</f>
        <v>0</v>
      </c>
      <c r="F1245" s="47" t="n">
        <f aca="false">MIN(1,'Model Inputs &amp; Assumptions'!$W$30*EXP('Model Inputs &amp; Assumptions'!$X$30*R1245-'Model Inputs &amp; Assumptions'!$X$30^2/2))</f>
        <v>0.00965574660945852</v>
      </c>
      <c r="G1245" s="45" t="n">
        <f aca="false">ROUND(C1245*F1245,0)</f>
        <v>789</v>
      </c>
      <c r="H1245" s="48" t="n">
        <f aca="false">MAX(0,(C1245*'Model Inputs &amp; Assumptions'!$N$30+E1245*'Model Inputs &amp; Assumptions'!$O$30+G1245*'Model Inputs &amp; Assumptions'!$P$30)*EXP('Model Inputs &amp; Assumptions'!$Q$30*S1245-'Model Inputs &amp; Assumptions'!$Q$30^2/2))</f>
        <v>63.5588063601833</v>
      </c>
      <c r="I1245" s="49" t="n">
        <f aca="false">IF('Model Inputs &amp; Assumptions'!$H$30="Fixed",'Model Inputs &amp; Assumptions'!$I$30*'Model Inputs &amp; Assumptions'!$K$30,IF('Model Inputs &amp; Assumptions'!$H$30="CPM",'Model Inputs &amp; Assumptions'!$I$30*'Model Inputs &amp; Assumptions'!$K$30*C1245/1000,IF('Model Inputs &amp; Assumptions'!$H$30="CPC",'Model Inputs &amp; Assumptions'!$I$30*'Model Inputs &amp; Assumptions'!$K$30*G1245,0)))</f>
        <v>6900</v>
      </c>
      <c r="J1245" s="50" t="n">
        <f aca="false">H1245*INDEX('Model Inputs &amp; Assumptions'!$D$40:$D$42,MATCH('Model Inputs &amp; Assumptions'!$L$30,'Model Inputs &amp; Assumptions'!$A$40:$A$42,0))*INDEX('Model Inputs &amp; Assumptions'!$H$40:$H$42,MATCH('Model Inputs &amp; Assumptions'!$L$30,'Model Inputs &amp; Assumptions'!$A$40:$A$42,0))</f>
        <v>457623.40579332</v>
      </c>
      <c r="K1245" s="49" t="n">
        <f aca="false">H1245*INDEX('Model Inputs &amp; Assumptions'!$G$40:$G$42,MATCH('Model Inputs &amp; Assumptions'!$L$30,'Model Inputs &amp; Assumptions'!$A$40:$A$42,0))*INDEX('Model Inputs &amp; Assumptions'!$H$40:$H$42,MATCH('Model Inputs &amp; Assumptions'!$L$30,'Model Inputs &amp; Assumptions'!$A$40:$A$42,0))</f>
        <v>10090.5960977427</v>
      </c>
      <c r="L1245" s="51" t="n">
        <f aca="false">IFERROR(K1245/I1245,0)</f>
        <v>1.46240523155691</v>
      </c>
      <c r="M1245" s="49" t="n">
        <f aca="false">IFERROR(I1245/H1245,0)</f>
        <v>108.560880783352</v>
      </c>
      <c r="N1245" s="52" t="str">
        <f aca="false">'Model Inputs &amp; Assumptions'!$L$30</f>
        <v>PRD-USIQ</v>
      </c>
      <c r="P1245" s="53" t="n">
        <v>-0.557422</v>
      </c>
      <c r="Q1245" s="53" t="n">
        <v>1.558008</v>
      </c>
      <c r="R1245" s="53" t="n">
        <v>1.329078</v>
      </c>
      <c r="S1245" s="53" t="n">
        <v>0.983269</v>
      </c>
    </row>
    <row r="1246" customFormat="false" ht="15" hidden="false" customHeight="false" outlineLevel="0" collapsed="false">
      <c r="A1246" s="43" t="n">
        <v>243</v>
      </c>
      <c r="B1246" s="44" t="str">
        <f aca="false">'Model Inputs &amp; Assumptions'!$B$30</f>
        <v>extraETF — Newsletter Takeover</v>
      </c>
      <c r="C1246" s="45" t="n">
        <f aca="false">ROUND(MAX(0,'Model Inputs &amp; Assumptions'!$S$30*EXP('Model Inputs &amp; Assumptions'!$T$30*P1246-'Model Inputs &amp; Assumptions'!$T$30^2/2)),0)</f>
        <v>91232</v>
      </c>
      <c r="D1246" s="46" t="n">
        <f aca="false">MIN(1,'Model Inputs &amp; Assumptions'!$U$30*EXP('Model Inputs &amp; Assumptions'!$V$30*Q1246-'Model Inputs &amp; Assumptions'!$V$30^2/2))</f>
        <v>0</v>
      </c>
      <c r="E1246" s="45" t="n">
        <f aca="false">ROUND(C1246*D1246,0)</f>
        <v>0</v>
      </c>
      <c r="F1246" s="47" t="n">
        <f aca="false">MIN(1,'Model Inputs &amp; Assumptions'!$W$30*EXP('Model Inputs &amp; Assumptions'!$X$30*R1246-'Model Inputs &amp; Assumptions'!$X$30^2/2))</f>
        <v>0.00834425344434954</v>
      </c>
      <c r="G1246" s="45" t="n">
        <f aca="false">ROUND(C1246*F1246,0)</f>
        <v>761</v>
      </c>
      <c r="H1246" s="48" t="n">
        <f aca="false">MAX(0,(C1246*'Model Inputs &amp; Assumptions'!$N$30+E1246*'Model Inputs &amp; Assumptions'!$O$30+G1246*'Model Inputs &amp; Assumptions'!$P$30)*EXP('Model Inputs &amp; Assumptions'!$Q$30*S1246-'Model Inputs &amp; Assumptions'!$Q$30^2/2))</f>
        <v>32.8050297206331</v>
      </c>
      <c r="I1246" s="49" t="n">
        <f aca="false">IF('Model Inputs &amp; Assumptions'!$H$30="Fixed",'Model Inputs &amp; Assumptions'!$I$30*'Model Inputs &amp; Assumptions'!$K$30,IF('Model Inputs &amp; Assumptions'!$H$30="CPM",'Model Inputs &amp; Assumptions'!$I$30*'Model Inputs &amp; Assumptions'!$K$30*C1246/1000,IF('Model Inputs &amp; Assumptions'!$H$30="CPC",'Model Inputs &amp; Assumptions'!$I$30*'Model Inputs &amp; Assumptions'!$K$30*G1246,0)))</f>
        <v>6900</v>
      </c>
      <c r="J1246" s="50" t="n">
        <f aca="false">H1246*INDEX('Model Inputs &amp; Assumptions'!$D$40:$D$42,MATCH('Model Inputs &amp; Assumptions'!$L$30,'Model Inputs &amp; Assumptions'!$A$40:$A$42,0))*INDEX('Model Inputs &amp; Assumptions'!$H$40:$H$42,MATCH('Model Inputs &amp; Assumptions'!$L$30,'Model Inputs &amp; Assumptions'!$A$40:$A$42,0))</f>
        <v>236196.213988558</v>
      </c>
      <c r="K1246" s="49" t="n">
        <f aca="false">H1246*INDEX('Model Inputs &amp; Assumptions'!$G$40:$G$42,MATCH('Model Inputs &amp; Assumptions'!$L$30,'Model Inputs &amp; Assumptions'!$A$40:$A$42,0))*INDEX('Model Inputs &amp; Assumptions'!$H$40:$H$42,MATCH('Model Inputs &amp; Assumptions'!$L$30,'Model Inputs &amp; Assumptions'!$A$40:$A$42,0))</f>
        <v>5208.12651844771</v>
      </c>
      <c r="L1246" s="51" t="n">
        <f aca="false">IFERROR(K1246/I1246,0)</f>
        <v>0.754800944702566</v>
      </c>
      <c r="M1246" s="49" t="n">
        <f aca="false">IFERROR(I1246/H1246,0)</f>
        <v>210.333600022931</v>
      </c>
      <c r="N1246" s="52" t="str">
        <f aca="false">'Model Inputs &amp; Assumptions'!$L$30</f>
        <v>PRD-USIQ</v>
      </c>
      <c r="P1246" s="53" t="n">
        <v>0.360562</v>
      </c>
      <c r="Q1246" s="53" t="n">
        <v>1.208217</v>
      </c>
      <c r="R1246" s="53" t="n">
        <v>0.355877</v>
      </c>
      <c r="S1246" s="53" t="n">
        <v>-1.517734</v>
      </c>
    </row>
    <row r="1247" customFormat="false" ht="15" hidden="false" customHeight="false" outlineLevel="0" collapsed="false">
      <c r="A1247" s="43" t="n">
        <v>244</v>
      </c>
      <c r="B1247" s="44" t="str">
        <f aca="false">'Model Inputs &amp; Assumptions'!$B$30</f>
        <v>extraETF — Newsletter Takeover</v>
      </c>
      <c r="C1247" s="45" t="n">
        <f aca="false">ROUND(MAX(0,'Model Inputs &amp; Assumptions'!$S$30*EXP('Model Inputs &amp; Assumptions'!$T$30*P1247-'Model Inputs &amp; Assumptions'!$T$30^2/2)),0)</f>
        <v>89253</v>
      </c>
      <c r="D1247" s="46" t="n">
        <f aca="false">MIN(1,'Model Inputs &amp; Assumptions'!$U$30*EXP('Model Inputs &amp; Assumptions'!$V$30*Q1247-'Model Inputs &amp; Assumptions'!$V$30^2/2))</f>
        <v>0</v>
      </c>
      <c r="E1247" s="45" t="n">
        <f aca="false">ROUND(C1247*D1247,0)</f>
        <v>0</v>
      </c>
      <c r="F1247" s="47" t="n">
        <f aca="false">MIN(1,'Model Inputs &amp; Assumptions'!$W$30*EXP('Model Inputs &amp; Assumptions'!$X$30*R1247-'Model Inputs &amp; Assumptions'!$X$30^2/2))</f>
        <v>0.00762484269166871</v>
      </c>
      <c r="G1247" s="45" t="n">
        <f aca="false">ROUND(C1247*F1247,0)</f>
        <v>681</v>
      </c>
      <c r="H1247" s="48" t="n">
        <f aca="false">MAX(0,(C1247*'Model Inputs &amp; Assumptions'!$N$30+E1247*'Model Inputs &amp; Assumptions'!$O$30+G1247*'Model Inputs &amp; Assumptions'!$P$30)*EXP('Model Inputs &amp; Assumptions'!$Q$30*S1247-'Model Inputs &amp; Assumptions'!$Q$30^2/2))</f>
        <v>55.5705729169379</v>
      </c>
      <c r="I1247" s="49" t="n">
        <f aca="false">IF('Model Inputs &amp; Assumptions'!$H$30="Fixed",'Model Inputs &amp; Assumptions'!$I$30*'Model Inputs &amp; Assumptions'!$K$30,IF('Model Inputs &amp; Assumptions'!$H$30="CPM",'Model Inputs &amp; Assumptions'!$I$30*'Model Inputs &amp; Assumptions'!$K$30*C1247/1000,IF('Model Inputs &amp; Assumptions'!$H$30="CPC",'Model Inputs &amp; Assumptions'!$I$30*'Model Inputs &amp; Assumptions'!$K$30*G1247,0)))</f>
        <v>6900</v>
      </c>
      <c r="J1247" s="50" t="n">
        <f aca="false">H1247*INDEX('Model Inputs &amp; Assumptions'!$D$40:$D$42,MATCH('Model Inputs &amp; Assumptions'!$L$30,'Model Inputs &amp; Assumptions'!$A$40:$A$42,0))*INDEX('Model Inputs &amp; Assumptions'!$H$40:$H$42,MATCH('Model Inputs &amp; Assumptions'!$L$30,'Model Inputs &amp; Assumptions'!$A$40:$A$42,0))</f>
        <v>400108.125001953</v>
      </c>
      <c r="K1247" s="49" t="n">
        <f aca="false">H1247*INDEX('Model Inputs &amp; Assumptions'!$G$40:$G$42,MATCH('Model Inputs &amp; Assumptions'!$L$30,'Model Inputs &amp; Assumptions'!$A$40:$A$42,0))*INDEX('Model Inputs &amp; Assumptions'!$H$40:$H$42,MATCH('Model Inputs &amp; Assumptions'!$L$30,'Model Inputs &amp; Assumptions'!$A$40:$A$42,0))</f>
        <v>8822.38415629307</v>
      </c>
      <c r="L1247" s="51" t="n">
        <f aca="false">IFERROR(K1247/I1247,0)</f>
        <v>1.27860639946276</v>
      </c>
      <c r="M1247" s="49" t="n">
        <f aca="false">IFERROR(I1247/H1247,0)</f>
        <v>124.166436259592</v>
      </c>
      <c r="N1247" s="52" t="str">
        <f aca="false">'Model Inputs &amp; Assumptions'!$L$30</f>
        <v>PRD-USIQ</v>
      </c>
      <c r="P1247" s="53" t="n">
        <v>0.17785</v>
      </c>
      <c r="Q1247" s="53" t="n">
        <v>0.305318</v>
      </c>
      <c r="R1247" s="53" t="n">
        <v>-0.245199</v>
      </c>
      <c r="S1247" s="53" t="n">
        <v>1.034838</v>
      </c>
    </row>
    <row r="1248" customFormat="false" ht="15" hidden="false" customHeight="false" outlineLevel="0" collapsed="false">
      <c r="A1248" s="43" t="n">
        <v>245</v>
      </c>
      <c r="B1248" s="44" t="str">
        <f aca="false">'Model Inputs &amp; Assumptions'!$B$30</f>
        <v>extraETF — Newsletter Takeover</v>
      </c>
      <c r="C1248" s="45" t="n">
        <f aca="false">ROUND(MAX(0,'Model Inputs &amp; Assumptions'!$S$30*EXP('Model Inputs &amp; Assumptions'!$T$30*P1248-'Model Inputs &amp; Assumptions'!$T$30^2/2)),0)</f>
        <v>81743</v>
      </c>
      <c r="D1248" s="46" t="n">
        <f aca="false">MIN(1,'Model Inputs &amp; Assumptions'!$U$30*EXP('Model Inputs &amp; Assumptions'!$V$30*Q1248-'Model Inputs &amp; Assumptions'!$V$30^2/2))</f>
        <v>0</v>
      </c>
      <c r="E1248" s="45" t="n">
        <f aca="false">ROUND(C1248*D1248,0)</f>
        <v>0</v>
      </c>
      <c r="F1248" s="47" t="n">
        <f aca="false">MIN(1,'Model Inputs &amp; Assumptions'!$W$30*EXP('Model Inputs &amp; Assumptions'!$X$30*R1248-'Model Inputs &amp; Assumptions'!$X$30^2/2))</f>
        <v>0.00707953793161624</v>
      </c>
      <c r="G1248" s="45" t="n">
        <f aca="false">ROUND(C1248*F1248,0)</f>
        <v>579</v>
      </c>
      <c r="H1248" s="48" t="n">
        <f aca="false">MAX(0,(C1248*'Model Inputs &amp; Assumptions'!$N$30+E1248*'Model Inputs &amp; Assumptions'!$O$30+G1248*'Model Inputs &amp; Assumptions'!$P$30)*EXP('Model Inputs &amp; Assumptions'!$Q$30*S1248-'Model Inputs &amp; Assumptions'!$Q$30^2/2))</f>
        <v>26.6700234774132</v>
      </c>
      <c r="I1248" s="49" t="n">
        <f aca="false">IF('Model Inputs &amp; Assumptions'!$H$30="Fixed",'Model Inputs &amp; Assumptions'!$I$30*'Model Inputs &amp; Assumptions'!$K$30,IF('Model Inputs &amp; Assumptions'!$H$30="CPM",'Model Inputs &amp; Assumptions'!$I$30*'Model Inputs &amp; Assumptions'!$K$30*C1248/1000,IF('Model Inputs &amp; Assumptions'!$H$30="CPC",'Model Inputs &amp; Assumptions'!$I$30*'Model Inputs &amp; Assumptions'!$K$30*G1248,0)))</f>
        <v>6900</v>
      </c>
      <c r="J1248" s="50" t="n">
        <f aca="false">H1248*INDEX('Model Inputs &amp; Assumptions'!$D$40:$D$42,MATCH('Model Inputs &amp; Assumptions'!$L$30,'Model Inputs &amp; Assumptions'!$A$40:$A$42,0))*INDEX('Model Inputs &amp; Assumptions'!$H$40:$H$42,MATCH('Model Inputs &amp; Assumptions'!$L$30,'Model Inputs &amp; Assumptions'!$A$40:$A$42,0))</f>
        <v>192024.169037375</v>
      </c>
      <c r="K1248" s="49" t="n">
        <f aca="false">H1248*INDEX('Model Inputs &amp; Assumptions'!$G$40:$G$42,MATCH('Model Inputs &amp; Assumptions'!$L$30,'Model Inputs &amp; Assumptions'!$A$40:$A$42,0))*INDEX('Model Inputs &amp; Assumptions'!$H$40:$H$42,MATCH('Model Inputs &amp; Assumptions'!$L$30,'Model Inputs &amp; Assumptions'!$A$40:$A$42,0))</f>
        <v>4234.13292727413</v>
      </c>
      <c r="L1248" s="51" t="n">
        <f aca="false">IFERROR(K1248/I1248,0)</f>
        <v>0.613642453228134</v>
      </c>
      <c r="M1248" s="49" t="n">
        <f aca="false">IFERROR(I1248/H1248,0)</f>
        <v>258.717432545329</v>
      </c>
      <c r="N1248" s="52" t="str">
        <f aca="false">'Model Inputs &amp; Assumptions'!$L$30</f>
        <v>PRD-USIQ</v>
      </c>
      <c r="P1248" s="53" t="n">
        <v>-0.554635</v>
      </c>
      <c r="Q1248" s="53" t="n">
        <v>-0.760656</v>
      </c>
      <c r="R1248" s="53" t="n">
        <v>-0.739886</v>
      </c>
      <c r="S1248" s="53" t="n">
        <v>-1.252577</v>
      </c>
    </row>
    <row r="1249" customFormat="false" ht="15" hidden="false" customHeight="false" outlineLevel="0" collapsed="false">
      <c r="A1249" s="43" t="n">
        <v>246</v>
      </c>
      <c r="B1249" s="44" t="str">
        <f aca="false">'Model Inputs &amp; Assumptions'!$B$30</f>
        <v>extraETF — Newsletter Takeover</v>
      </c>
      <c r="C1249" s="45" t="n">
        <f aca="false">ROUND(MAX(0,'Model Inputs &amp; Assumptions'!$S$30*EXP('Model Inputs &amp; Assumptions'!$T$30*P1249-'Model Inputs &amp; Assumptions'!$T$30^2/2)),0)</f>
        <v>94822</v>
      </c>
      <c r="D1249" s="46" t="n">
        <f aca="false">MIN(1,'Model Inputs &amp; Assumptions'!$U$30*EXP('Model Inputs &amp; Assumptions'!$V$30*Q1249-'Model Inputs &amp; Assumptions'!$V$30^2/2))</f>
        <v>0</v>
      </c>
      <c r="E1249" s="45" t="n">
        <f aca="false">ROUND(C1249*D1249,0)</f>
        <v>0</v>
      </c>
      <c r="F1249" s="47" t="n">
        <f aca="false">MIN(1,'Model Inputs &amp; Assumptions'!$W$30*EXP('Model Inputs &amp; Assumptions'!$X$30*R1249-'Model Inputs &amp; Assumptions'!$X$30^2/2))</f>
        <v>0.0089932103914249</v>
      </c>
      <c r="G1249" s="45" t="n">
        <f aca="false">ROUND(C1249*F1249,0)</f>
        <v>853</v>
      </c>
      <c r="H1249" s="48" t="n">
        <f aca="false">MAX(0,(C1249*'Model Inputs &amp; Assumptions'!$N$30+E1249*'Model Inputs &amp; Assumptions'!$O$30+G1249*'Model Inputs &amp; Assumptions'!$P$30)*EXP('Model Inputs &amp; Assumptions'!$Q$30*S1249-'Model Inputs &amp; Assumptions'!$Q$30^2/2))</f>
        <v>71.4385427700931</v>
      </c>
      <c r="I1249" s="49" t="n">
        <f aca="false">IF('Model Inputs &amp; Assumptions'!$H$30="Fixed",'Model Inputs &amp; Assumptions'!$I$30*'Model Inputs &amp; Assumptions'!$K$30,IF('Model Inputs &amp; Assumptions'!$H$30="CPM",'Model Inputs &amp; Assumptions'!$I$30*'Model Inputs &amp; Assumptions'!$K$30*C1249/1000,IF('Model Inputs &amp; Assumptions'!$H$30="CPC",'Model Inputs &amp; Assumptions'!$I$30*'Model Inputs &amp; Assumptions'!$K$30*G1249,0)))</f>
        <v>6900</v>
      </c>
      <c r="J1249" s="50" t="n">
        <f aca="false">H1249*INDEX('Model Inputs &amp; Assumptions'!$D$40:$D$42,MATCH('Model Inputs &amp; Assumptions'!$L$30,'Model Inputs &amp; Assumptions'!$A$40:$A$42,0))*INDEX('Model Inputs &amp; Assumptions'!$H$40:$H$42,MATCH('Model Inputs &amp; Assumptions'!$L$30,'Model Inputs &amp; Assumptions'!$A$40:$A$42,0))</f>
        <v>514357.507944671</v>
      </c>
      <c r="K1249" s="49" t="n">
        <f aca="false">H1249*INDEX('Model Inputs &amp; Assumptions'!$G$40:$G$42,MATCH('Model Inputs &amp; Assumptions'!$L$30,'Model Inputs &amp; Assumptions'!$A$40:$A$42,0))*INDEX('Model Inputs &amp; Assumptions'!$H$40:$H$42,MATCH('Model Inputs &amp; Assumptions'!$L$30,'Model Inputs &amp; Assumptions'!$A$40:$A$42,0))</f>
        <v>11341.58305018</v>
      </c>
      <c r="L1249" s="51" t="n">
        <f aca="false">IFERROR(K1249/I1249,0)</f>
        <v>1.64370768843188</v>
      </c>
      <c r="M1249" s="49" t="n">
        <f aca="false">IFERROR(I1249/H1249,0)</f>
        <v>96.5865166399867</v>
      </c>
      <c r="N1249" s="52" t="str">
        <f aca="false">'Model Inputs &amp; Assumptions'!$L$30</f>
        <v>PRD-USIQ</v>
      </c>
      <c r="P1249" s="53" t="n">
        <v>0.682212</v>
      </c>
      <c r="Q1249" s="53" t="n">
        <v>0.721368</v>
      </c>
      <c r="R1249" s="53" t="n">
        <v>0.855189</v>
      </c>
      <c r="S1249" s="53" t="n">
        <v>1.138784</v>
      </c>
    </row>
    <row r="1250" customFormat="false" ht="15" hidden="false" customHeight="false" outlineLevel="0" collapsed="false">
      <c r="A1250" s="43" t="n">
        <v>247</v>
      </c>
      <c r="B1250" s="44" t="str">
        <f aca="false">'Model Inputs &amp; Assumptions'!$B$30</f>
        <v>extraETF — Newsletter Takeover</v>
      </c>
      <c r="C1250" s="45" t="n">
        <f aca="false">ROUND(MAX(0,'Model Inputs &amp; Assumptions'!$S$30*EXP('Model Inputs &amp; Assumptions'!$T$30*P1250-'Model Inputs &amp; Assumptions'!$T$30^2/2)),0)</f>
        <v>83658</v>
      </c>
      <c r="D1250" s="46" t="n">
        <f aca="false">MIN(1,'Model Inputs &amp; Assumptions'!$U$30*EXP('Model Inputs &amp; Assumptions'!$V$30*Q1250-'Model Inputs &amp; Assumptions'!$V$30^2/2))</f>
        <v>0</v>
      </c>
      <c r="E1250" s="45" t="n">
        <f aca="false">ROUND(C1250*D1250,0)</f>
        <v>0</v>
      </c>
      <c r="F1250" s="47" t="n">
        <f aca="false">MIN(1,'Model Inputs &amp; Assumptions'!$W$30*EXP('Model Inputs &amp; Assumptions'!$X$30*R1250-'Model Inputs &amp; Assumptions'!$X$30^2/2))</f>
        <v>0.00914033230183451</v>
      </c>
      <c r="G1250" s="45" t="n">
        <f aca="false">ROUND(C1250*F1250,0)</f>
        <v>765</v>
      </c>
      <c r="H1250" s="48" t="n">
        <f aca="false">MAX(0,(C1250*'Model Inputs &amp; Assumptions'!$N$30+E1250*'Model Inputs &amp; Assumptions'!$O$30+G1250*'Model Inputs &amp; Assumptions'!$P$30)*EXP('Model Inputs &amp; Assumptions'!$Q$30*S1250-'Model Inputs &amp; Assumptions'!$Q$30^2/2))</f>
        <v>47.4137644003717</v>
      </c>
      <c r="I1250" s="49" t="n">
        <f aca="false">IF('Model Inputs &amp; Assumptions'!$H$30="Fixed",'Model Inputs &amp; Assumptions'!$I$30*'Model Inputs &amp; Assumptions'!$K$30,IF('Model Inputs &amp; Assumptions'!$H$30="CPM",'Model Inputs &amp; Assumptions'!$I$30*'Model Inputs &amp; Assumptions'!$K$30*C1250/1000,IF('Model Inputs &amp; Assumptions'!$H$30="CPC",'Model Inputs &amp; Assumptions'!$I$30*'Model Inputs &amp; Assumptions'!$K$30*G1250,0)))</f>
        <v>6900</v>
      </c>
      <c r="J1250" s="50" t="n">
        <f aca="false">H1250*INDEX('Model Inputs &amp; Assumptions'!$D$40:$D$42,MATCH('Model Inputs &amp; Assumptions'!$L$30,'Model Inputs &amp; Assumptions'!$A$40:$A$42,0))*INDEX('Model Inputs &amp; Assumptions'!$H$40:$H$42,MATCH('Model Inputs &amp; Assumptions'!$L$30,'Model Inputs &amp; Assumptions'!$A$40:$A$42,0))</f>
        <v>341379.103682676</v>
      </c>
      <c r="K1250" s="49" t="n">
        <f aca="false">H1250*INDEX('Model Inputs &amp; Assumptions'!$G$40:$G$42,MATCH('Model Inputs &amp; Assumptions'!$L$30,'Model Inputs &amp; Assumptions'!$A$40:$A$42,0))*INDEX('Model Inputs &amp; Assumptions'!$H$40:$H$42,MATCH('Model Inputs &amp; Assumptions'!$L$30,'Model Inputs &amp; Assumptions'!$A$40:$A$42,0))</f>
        <v>7527.40923620301</v>
      </c>
      <c r="L1250" s="51" t="n">
        <f aca="false">IFERROR(K1250/I1250,0)</f>
        <v>1.09092887481203</v>
      </c>
      <c r="M1250" s="49" t="n">
        <f aca="false">IFERROR(I1250/H1250,0)</f>
        <v>145.52736082575</v>
      </c>
      <c r="N1250" s="52" t="str">
        <f aca="false">'Model Inputs &amp; Assumptions'!$L$30</f>
        <v>PRD-USIQ</v>
      </c>
      <c r="P1250" s="53" t="n">
        <v>-0.361616</v>
      </c>
      <c r="Q1250" s="53" t="n">
        <v>-1.254297</v>
      </c>
      <c r="R1250" s="53" t="n">
        <v>0.963368</v>
      </c>
      <c r="S1250" s="53" t="n">
        <v>-0.065381</v>
      </c>
    </row>
    <row r="1251" customFormat="false" ht="15" hidden="false" customHeight="false" outlineLevel="0" collapsed="false">
      <c r="A1251" s="43" t="n">
        <v>248</v>
      </c>
      <c r="B1251" s="44" t="str">
        <f aca="false">'Model Inputs &amp; Assumptions'!$B$30</f>
        <v>extraETF — Newsletter Takeover</v>
      </c>
      <c r="C1251" s="45" t="n">
        <f aca="false">ROUND(MAX(0,'Model Inputs &amp; Assumptions'!$S$30*EXP('Model Inputs &amp; Assumptions'!$T$30*P1251-'Model Inputs &amp; Assumptions'!$T$30^2/2)),0)</f>
        <v>82718</v>
      </c>
      <c r="D1251" s="46" t="n">
        <f aca="false">MIN(1,'Model Inputs &amp; Assumptions'!$U$30*EXP('Model Inputs &amp; Assumptions'!$V$30*Q1251-'Model Inputs &amp; Assumptions'!$V$30^2/2))</f>
        <v>0</v>
      </c>
      <c r="E1251" s="45" t="n">
        <f aca="false">ROUND(C1251*D1251,0)</f>
        <v>0</v>
      </c>
      <c r="F1251" s="47" t="n">
        <f aca="false">MIN(1,'Model Inputs &amp; Assumptions'!$W$30*EXP('Model Inputs &amp; Assumptions'!$X$30*R1251-'Model Inputs &amp; Assumptions'!$X$30^2/2))</f>
        <v>0.0066196711380274</v>
      </c>
      <c r="G1251" s="45" t="n">
        <f aca="false">ROUND(C1251*F1251,0)</f>
        <v>548</v>
      </c>
      <c r="H1251" s="48" t="n">
        <f aca="false">MAX(0,(C1251*'Model Inputs &amp; Assumptions'!$N$30+E1251*'Model Inputs &amp; Assumptions'!$O$30+G1251*'Model Inputs &amp; Assumptions'!$P$30)*EXP('Model Inputs &amp; Assumptions'!$Q$30*S1251-'Model Inputs &amp; Assumptions'!$Q$30^2/2))</f>
        <v>34.3907205955718</v>
      </c>
      <c r="I1251" s="49" t="n">
        <f aca="false">IF('Model Inputs &amp; Assumptions'!$H$30="Fixed",'Model Inputs &amp; Assumptions'!$I$30*'Model Inputs &amp; Assumptions'!$K$30,IF('Model Inputs &amp; Assumptions'!$H$30="CPM",'Model Inputs &amp; Assumptions'!$I$30*'Model Inputs &amp; Assumptions'!$K$30*C1251/1000,IF('Model Inputs &amp; Assumptions'!$H$30="CPC",'Model Inputs &amp; Assumptions'!$I$30*'Model Inputs &amp; Assumptions'!$K$30*G1251,0)))</f>
        <v>6900</v>
      </c>
      <c r="J1251" s="50" t="n">
        <f aca="false">H1251*INDEX('Model Inputs &amp; Assumptions'!$D$40:$D$42,MATCH('Model Inputs &amp; Assumptions'!$L$30,'Model Inputs &amp; Assumptions'!$A$40:$A$42,0))*INDEX('Model Inputs &amp; Assumptions'!$H$40:$H$42,MATCH('Model Inputs &amp; Assumptions'!$L$30,'Model Inputs &amp; Assumptions'!$A$40:$A$42,0))</f>
        <v>247613.188288117</v>
      </c>
      <c r="K1251" s="49" t="n">
        <f aca="false">H1251*INDEX('Model Inputs &amp; Assumptions'!$G$40:$G$42,MATCH('Model Inputs &amp; Assumptions'!$L$30,'Model Inputs &amp; Assumptions'!$A$40:$A$42,0))*INDEX('Model Inputs &amp; Assumptions'!$H$40:$H$42,MATCH('Model Inputs &amp; Assumptions'!$L$30,'Model Inputs &amp; Assumptions'!$A$40:$A$42,0))</f>
        <v>5459.87080175298</v>
      </c>
      <c r="L1251" s="51" t="n">
        <f aca="false">IFERROR(K1251/I1251,0)</f>
        <v>0.791285623442461</v>
      </c>
      <c r="M1251" s="49" t="n">
        <f aca="false">IFERROR(I1251/H1251,0)</f>
        <v>200.635516805323</v>
      </c>
      <c r="N1251" s="52" t="str">
        <f aca="false">'Model Inputs &amp; Assumptions'!$L$30</f>
        <v>PRD-USIQ</v>
      </c>
      <c r="P1251" s="53" t="n">
        <v>-0.455875</v>
      </c>
      <c r="Q1251" s="53" t="n">
        <v>-0.004753</v>
      </c>
      <c r="R1251" s="53" t="n">
        <v>-1.187639</v>
      </c>
      <c r="S1251" s="53" t="n">
        <v>-0.015482</v>
      </c>
    </row>
    <row r="1252" customFormat="false" ht="15" hidden="false" customHeight="false" outlineLevel="0" collapsed="false">
      <c r="A1252" s="43" t="n">
        <v>249</v>
      </c>
      <c r="B1252" s="44" t="str">
        <f aca="false">'Model Inputs &amp; Assumptions'!$B$30</f>
        <v>extraETF — Newsletter Takeover</v>
      </c>
      <c r="C1252" s="45" t="n">
        <f aca="false">ROUND(MAX(0,'Model Inputs &amp; Assumptions'!$S$30*EXP('Model Inputs &amp; Assumptions'!$T$30*P1252-'Model Inputs &amp; Assumptions'!$T$30^2/2)),0)</f>
        <v>99428</v>
      </c>
      <c r="D1252" s="46" t="n">
        <f aca="false">MIN(1,'Model Inputs &amp; Assumptions'!$U$30*EXP('Model Inputs &amp; Assumptions'!$V$30*Q1252-'Model Inputs &amp; Assumptions'!$V$30^2/2))</f>
        <v>0</v>
      </c>
      <c r="E1252" s="45" t="n">
        <f aca="false">ROUND(C1252*D1252,0)</f>
        <v>0</v>
      </c>
      <c r="F1252" s="47" t="n">
        <f aca="false">MIN(1,'Model Inputs &amp; Assumptions'!$W$30*EXP('Model Inputs &amp; Assumptions'!$X$30*R1252-'Model Inputs &amp; Assumptions'!$X$30^2/2))</f>
        <v>0.00863836381552816</v>
      </c>
      <c r="G1252" s="45" t="n">
        <f aca="false">ROUND(C1252*F1252,0)</f>
        <v>859</v>
      </c>
      <c r="H1252" s="48" t="n">
        <f aca="false">MAX(0,(C1252*'Model Inputs &amp; Assumptions'!$N$30+E1252*'Model Inputs &amp; Assumptions'!$O$30+G1252*'Model Inputs &amp; Assumptions'!$P$30)*EXP('Model Inputs &amp; Assumptions'!$Q$30*S1252-'Model Inputs &amp; Assumptions'!$Q$30^2/2))</f>
        <v>56.2740729391928</v>
      </c>
      <c r="I1252" s="49" t="n">
        <f aca="false">IF('Model Inputs &amp; Assumptions'!$H$30="Fixed",'Model Inputs &amp; Assumptions'!$I$30*'Model Inputs &amp; Assumptions'!$K$30,IF('Model Inputs &amp; Assumptions'!$H$30="CPM",'Model Inputs &amp; Assumptions'!$I$30*'Model Inputs &amp; Assumptions'!$K$30*C1252/1000,IF('Model Inputs &amp; Assumptions'!$H$30="CPC",'Model Inputs &amp; Assumptions'!$I$30*'Model Inputs &amp; Assumptions'!$K$30*G1252,0)))</f>
        <v>6900</v>
      </c>
      <c r="J1252" s="50" t="n">
        <f aca="false">H1252*INDEX('Model Inputs &amp; Assumptions'!$D$40:$D$42,MATCH('Model Inputs &amp; Assumptions'!$L$30,'Model Inputs &amp; Assumptions'!$A$40:$A$42,0))*INDEX('Model Inputs &amp; Assumptions'!$H$40:$H$42,MATCH('Model Inputs &amp; Assumptions'!$L$30,'Model Inputs &amp; Assumptions'!$A$40:$A$42,0))</f>
        <v>405173.325162188</v>
      </c>
      <c r="K1252" s="49" t="n">
        <f aca="false">H1252*INDEX('Model Inputs &amp; Assumptions'!$G$40:$G$42,MATCH('Model Inputs &amp; Assumptions'!$L$30,'Model Inputs &amp; Assumptions'!$A$40:$A$42,0))*INDEX('Model Inputs &amp; Assumptions'!$H$40:$H$42,MATCH('Model Inputs &amp; Assumptions'!$L$30,'Model Inputs &amp; Assumptions'!$A$40:$A$42,0))</f>
        <v>8934.07181982624</v>
      </c>
      <c r="L1252" s="51" t="n">
        <f aca="false">IFERROR(K1252/I1252,0)</f>
        <v>1.29479301736612</v>
      </c>
      <c r="M1252" s="49" t="n">
        <f aca="false">IFERROR(I1252/H1252,0)</f>
        <v>122.614192284533</v>
      </c>
      <c r="N1252" s="52" t="str">
        <f aca="false">'Model Inputs &amp; Assumptions'!$L$30</f>
        <v>PRD-USIQ</v>
      </c>
      <c r="P1252" s="53" t="n">
        <v>1.077484</v>
      </c>
      <c r="Q1252" s="53" t="n">
        <v>-1.349655</v>
      </c>
      <c r="R1252" s="53" t="n">
        <v>0.586811</v>
      </c>
      <c r="S1252" s="53" t="n">
        <v>0.156332</v>
      </c>
    </row>
    <row r="1253" customFormat="false" ht="15" hidden="false" customHeight="false" outlineLevel="0" collapsed="false">
      <c r="A1253" s="43" t="n">
        <v>250</v>
      </c>
      <c r="B1253" s="44" t="str">
        <f aca="false">'Model Inputs &amp; Assumptions'!$B$30</f>
        <v>extraETF — Newsletter Takeover</v>
      </c>
      <c r="C1253" s="45" t="n">
        <f aca="false">ROUND(MAX(0,'Model Inputs &amp; Assumptions'!$S$30*EXP('Model Inputs &amp; Assumptions'!$T$30*P1253-'Model Inputs &amp; Assumptions'!$T$30^2/2)),0)</f>
        <v>96188</v>
      </c>
      <c r="D1253" s="46" t="n">
        <f aca="false">MIN(1,'Model Inputs &amp; Assumptions'!$U$30*EXP('Model Inputs &amp; Assumptions'!$V$30*Q1253-'Model Inputs &amp; Assumptions'!$V$30^2/2))</f>
        <v>0</v>
      </c>
      <c r="E1253" s="45" t="n">
        <f aca="false">ROUND(C1253*D1253,0)</f>
        <v>0</v>
      </c>
      <c r="F1253" s="47" t="n">
        <f aca="false">MIN(1,'Model Inputs &amp; Assumptions'!$W$30*EXP('Model Inputs &amp; Assumptions'!$X$30*R1253-'Model Inputs &amp; Assumptions'!$X$30^2/2))</f>
        <v>0.00886795033868079</v>
      </c>
      <c r="G1253" s="45" t="n">
        <f aca="false">ROUND(C1253*F1253,0)</f>
        <v>853</v>
      </c>
      <c r="H1253" s="48" t="n">
        <f aca="false">MAX(0,(C1253*'Model Inputs &amp; Assumptions'!$N$30+E1253*'Model Inputs &amp; Assumptions'!$O$30+G1253*'Model Inputs &amp; Assumptions'!$P$30)*EXP('Model Inputs &amp; Assumptions'!$Q$30*S1253-'Model Inputs &amp; Assumptions'!$Q$30^2/2))</f>
        <v>73.1895051488626</v>
      </c>
      <c r="I1253" s="49" t="n">
        <f aca="false">IF('Model Inputs &amp; Assumptions'!$H$30="Fixed",'Model Inputs &amp; Assumptions'!$I$30*'Model Inputs &amp; Assumptions'!$K$30,IF('Model Inputs &amp; Assumptions'!$H$30="CPM",'Model Inputs &amp; Assumptions'!$I$30*'Model Inputs &amp; Assumptions'!$K$30*C1253/1000,IF('Model Inputs &amp; Assumptions'!$H$30="CPC",'Model Inputs &amp; Assumptions'!$I$30*'Model Inputs &amp; Assumptions'!$K$30*G1253,0)))</f>
        <v>6900</v>
      </c>
      <c r="J1253" s="50" t="n">
        <f aca="false">H1253*INDEX('Model Inputs &amp; Assumptions'!$D$40:$D$42,MATCH('Model Inputs &amp; Assumptions'!$L$30,'Model Inputs &amp; Assumptions'!$A$40:$A$42,0))*INDEX('Model Inputs &amp; Assumptions'!$H$40:$H$42,MATCH('Model Inputs &amp; Assumptions'!$L$30,'Model Inputs &amp; Assumptions'!$A$40:$A$42,0))</f>
        <v>526964.43707181</v>
      </c>
      <c r="K1253" s="49" t="n">
        <f aca="false">H1253*INDEX('Model Inputs &amp; Assumptions'!$G$40:$G$42,MATCH('Model Inputs &amp; Assumptions'!$L$30,'Model Inputs &amp; Assumptions'!$A$40:$A$42,0))*INDEX('Model Inputs &amp; Assumptions'!$H$40:$H$42,MATCH('Model Inputs &amp; Assumptions'!$L$30,'Model Inputs &amp; Assumptions'!$A$40:$A$42,0))</f>
        <v>11619.5658374334</v>
      </c>
      <c r="L1253" s="51" t="n">
        <f aca="false">IFERROR(K1253/I1253,0)</f>
        <v>1.68399504890339</v>
      </c>
      <c r="M1253" s="49" t="n">
        <f aca="false">IFERROR(I1253/H1253,0)</f>
        <v>94.275811620339</v>
      </c>
      <c r="N1253" s="52" t="str">
        <f aca="false">'Model Inputs &amp; Assumptions'!$L$30</f>
        <v>PRD-USIQ</v>
      </c>
      <c r="P1253" s="53" t="n">
        <v>0.801412</v>
      </c>
      <c r="Q1253" s="53" t="n">
        <v>0.244878</v>
      </c>
      <c r="R1253" s="53" t="n">
        <v>0.761681</v>
      </c>
      <c r="S1253" s="53" t="n">
        <v>1.235642</v>
      </c>
    </row>
    <row r="1254" customFormat="false" ht="15" hidden="false" customHeight="false" outlineLevel="0" collapsed="false">
      <c r="A1254" s="43" t="n">
        <v>251</v>
      </c>
      <c r="B1254" s="44" t="str">
        <f aca="false">'Model Inputs &amp; Assumptions'!$B$30</f>
        <v>extraETF — Newsletter Takeover</v>
      </c>
      <c r="C1254" s="45" t="n">
        <f aca="false">ROUND(MAX(0,'Model Inputs &amp; Assumptions'!$S$30*EXP('Model Inputs &amp; Assumptions'!$T$30*P1254-'Model Inputs &amp; Assumptions'!$T$30^2/2)),0)</f>
        <v>64907</v>
      </c>
      <c r="D1254" s="46" t="n">
        <f aca="false">MIN(1,'Model Inputs &amp; Assumptions'!$U$30*EXP('Model Inputs &amp; Assumptions'!$V$30*Q1254-'Model Inputs &amp; Assumptions'!$V$30^2/2))</f>
        <v>0</v>
      </c>
      <c r="E1254" s="45" t="n">
        <f aca="false">ROUND(C1254*D1254,0)</f>
        <v>0</v>
      </c>
      <c r="F1254" s="47" t="n">
        <f aca="false">MIN(1,'Model Inputs &amp; Assumptions'!$W$30*EXP('Model Inputs &amp; Assumptions'!$X$30*R1254-'Model Inputs &amp; Assumptions'!$X$30^2/2))</f>
        <v>0.0070039767275413</v>
      </c>
      <c r="G1254" s="45" t="n">
        <f aca="false">ROUND(C1254*F1254,0)</f>
        <v>455</v>
      </c>
      <c r="H1254" s="48" t="n">
        <f aca="false">MAX(0,(C1254*'Model Inputs &amp; Assumptions'!$N$30+E1254*'Model Inputs &amp; Assumptions'!$O$30+G1254*'Model Inputs &amp; Assumptions'!$P$30)*EXP('Model Inputs &amp; Assumptions'!$Q$30*S1254-'Model Inputs &amp; Assumptions'!$Q$30^2/2))</f>
        <v>19.6543003139249</v>
      </c>
      <c r="I1254" s="49" t="n">
        <f aca="false">IF('Model Inputs &amp; Assumptions'!$H$30="Fixed",'Model Inputs &amp; Assumptions'!$I$30*'Model Inputs &amp; Assumptions'!$K$30,IF('Model Inputs &amp; Assumptions'!$H$30="CPM",'Model Inputs &amp; Assumptions'!$I$30*'Model Inputs &amp; Assumptions'!$K$30*C1254/1000,IF('Model Inputs &amp; Assumptions'!$H$30="CPC",'Model Inputs &amp; Assumptions'!$I$30*'Model Inputs &amp; Assumptions'!$K$30*G1254,0)))</f>
        <v>6900</v>
      </c>
      <c r="J1254" s="50" t="n">
        <f aca="false">H1254*INDEX('Model Inputs &amp; Assumptions'!$D$40:$D$42,MATCH('Model Inputs &amp; Assumptions'!$L$30,'Model Inputs &amp; Assumptions'!$A$40:$A$42,0))*INDEX('Model Inputs &amp; Assumptions'!$H$40:$H$42,MATCH('Model Inputs &amp; Assumptions'!$L$30,'Model Inputs &amp; Assumptions'!$A$40:$A$42,0))</f>
        <v>141510.962260259</v>
      </c>
      <c r="K1254" s="49" t="n">
        <f aca="false">H1254*INDEX('Model Inputs &amp; Assumptions'!$G$40:$G$42,MATCH('Model Inputs &amp; Assumptions'!$L$30,'Model Inputs &amp; Assumptions'!$A$40:$A$42,0))*INDEX('Model Inputs &amp; Assumptions'!$H$40:$H$42,MATCH('Model Inputs &amp; Assumptions'!$L$30,'Model Inputs &amp; Assumptions'!$A$40:$A$42,0))</f>
        <v>3120.31671783872</v>
      </c>
      <c r="L1254" s="51" t="n">
        <f aca="false">IFERROR(K1254/I1254,0)</f>
        <v>0.452219814179524</v>
      </c>
      <c r="M1254" s="49" t="n">
        <f aca="false">IFERROR(I1254/H1254,0)</f>
        <v>351.068208473003</v>
      </c>
      <c r="N1254" s="52" t="str">
        <f aca="false">'Model Inputs &amp; Assumptions'!$L$30</f>
        <v>PRD-USIQ</v>
      </c>
      <c r="P1254" s="53" t="n">
        <v>-2.476449</v>
      </c>
      <c r="Q1254" s="53" t="n">
        <v>0.448654</v>
      </c>
      <c r="R1254" s="53" t="n">
        <v>-0.811423</v>
      </c>
      <c r="S1254" s="53" t="n">
        <v>-1.509533</v>
      </c>
    </row>
    <row r="1255" customFormat="false" ht="15" hidden="false" customHeight="false" outlineLevel="0" collapsed="false">
      <c r="A1255" s="43" t="n">
        <v>252</v>
      </c>
      <c r="B1255" s="44" t="str">
        <f aca="false">'Model Inputs &amp; Assumptions'!$B$30</f>
        <v>extraETF — Newsletter Takeover</v>
      </c>
      <c r="C1255" s="45" t="n">
        <f aca="false">ROUND(MAX(0,'Model Inputs &amp; Assumptions'!$S$30*EXP('Model Inputs &amp; Assumptions'!$T$30*P1255-'Model Inputs &amp; Assumptions'!$T$30^2/2)),0)</f>
        <v>81255</v>
      </c>
      <c r="D1255" s="46" t="n">
        <f aca="false">MIN(1,'Model Inputs &amp; Assumptions'!$U$30*EXP('Model Inputs &amp; Assumptions'!$V$30*Q1255-'Model Inputs &amp; Assumptions'!$V$30^2/2))</f>
        <v>0</v>
      </c>
      <c r="E1255" s="45" t="n">
        <f aca="false">ROUND(C1255*D1255,0)</f>
        <v>0</v>
      </c>
      <c r="F1255" s="47" t="n">
        <f aca="false">MIN(1,'Model Inputs &amp; Assumptions'!$W$30*EXP('Model Inputs &amp; Assumptions'!$X$30*R1255-'Model Inputs &amp; Assumptions'!$X$30^2/2))</f>
        <v>0.00850293409585077</v>
      </c>
      <c r="G1255" s="45" t="n">
        <f aca="false">ROUND(C1255*F1255,0)</f>
        <v>691</v>
      </c>
      <c r="H1255" s="48" t="n">
        <f aca="false">MAX(0,(C1255*'Model Inputs &amp; Assumptions'!$N$30+E1255*'Model Inputs &amp; Assumptions'!$O$30+G1255*'Model Inputs &amp; Assumptions'!$P$30)*EXP('Model Inputs &amp; Assumptions'!$Q$30*S1255-'Model Inputs &amp; Assumptions'!$Q$30^2/2))</f>
        <v>33.4076549780223</v>
      </c>
      <c r="I1255" s="49" t="n">
        <f aca="false">IF('Model Inputs &amp; Assumptions'!$H$30="Fixed",'Model Inputs &amp; Assumptions'!$I$30*'Model Inputs &amp; Assumptions'!$K$30,IF('Model Inputs &amp; Assumptions'!$H$30="CPM",'Model Inputs &amp; Assumptions'!$I$30*'Model Inputs &amp; Assumptions'!$K$30*C1255/1000,IF('Model Inputs &amp; Assumptions'!$H$30="CPC",'Model Inputs &amp; Assumptions'!$I$30*'Model Inputs &amp; Assumptions'!$K$30*G1255,0)))</f>
        <v>6900</v>
      </c>
      <c r="J1255" s="50" t="n">
        <f aca="false">H1255*INDEX('Model Inputs &amp; Assumptions'!$D$40:$D$42,MATCH('Model Inputs &amp; Assumptions'!$L$30,'Model Inputs &amp; Assumptions'!$A$40:$A$42,0))*INDEX('Model Inputs &amp; Assumptions'!$H$40:$H$42,MATCH('Model Inputs &amp; Assumptions'!$L$30,'Model Inputs &amp; Assumptions'!$A$40:$A$42,0))</f>
        <v>240535.11584176</v>
      </c>
      <c r="K1255" s="49" t="n">
        <f aca="false">H1255*INDEX('Model Inputs &amp; Assumptions'!$G$40:$G$42,MATCH('Model Inputs &amp; Assumptions'!$L$30,'Model Inputs &amp; Assumptions'!$A$40:$A$42,0))*INDEX('Model Inputs &amp; Assumptions'!$H$40:$H$42,MATCH('Model Inputs &amp; Assumptions'!$L$30,'Model Inputs &amp; Assumptions'!$A$40:$A$42,0))</f>
        <v>5303.79930431082</v>
      </c>
      <c r="L1255" s="51" t="n">
        <f aca="false">IFERROR(K1255/I1255,0)</f>
        <v>0.768666565842147</v>
      </c>
      <c r="M1255" s="49" t="n">
        <f aca="false">IFERROR(I1255/H1255,0)</f>
        <v>206.539489363718</v>
      </c>
      <c r="N1255" s="52" t="str">
        <f aca="false">'Model Inputs &amp; Assumptions'!$L$30</f>
        <v>PRD-USIQ</v>
      </c>
      <c r="P1255" s="53" t="n">
        <v>-0.604486</v>
      </c>
      <c r="Q1255" s="53" t="n">
        <v>0.300707</v>
      </c>
      <c r="R1255" s="53" t="n">
        <v>0.481465</v>
      </c>
      <c r="S1255" s="53" t="n">
        <v>-1.058947</v>
      </c>
    </row>
    <row r="1256" customFormat="false" ht="15" hidden="false" customHeight="false" outlineLevel="0" collapsed="false">
      <c r="A1256" s="43" t="n">
        <v>253</v>
      </c>
      <c r="B1256" s="44" t="str">
        <f aca="false">'Model Inputs &amp; Assumptions'!$B$30</f>
        <v>extraETF — Newsletter Takeover</v>
      </c>
      <c r="C1256" s="45" t="n">
        <f aca="false">ROUND(MAX(0,'Model Inputs &amp; Assumptions'!$S$30*EXP('Model Inputs &amp; Assumptions'!$T$30*P1256-'Model Inputs &amp; Assumptions'!$T$30^2/2)),0)</f>
        <v>70947</v>
      </c>
      <c r="D1256" s="46" t="n">
        <f aca="false">MIN(1,'Model Inputs &amp; Assumptions'!$U$30*EXP('Model Inputs &amp; Assumptions'!$V$30*Q1256-'Model Inputs &amp; Assumptions'!$V$30^2/2))</f>
        <v>0</v>
      </c>
      <c r="E1256" s="45" t="n">
        <f aca="false">ROUND(C1256*D1256,0)</f>
        <v>0</v>
      </c>
      <c r="F1256" s="47" t="n">
        <f aca="false">MIN(1,'Model Inputs &amp; Assumptions'!$W$30*EXP('Model Inputs &amp; Assumptions'!$X$30*R1256-'Model Inputs &amp; Assumptions'!$X$30^2/2))</f>
        <v>0.00793415725016711</v>
      </c>
      <c r="G1256" s="45" t="n">
        <f aca="false">ROUND(C1256*F1256,0)</f>
        <v>563</v>
      </c>
      <c r="H1256" s="48" t="n">
        <f aca="false">MAX(0,(C1256*'Model Inputs &amp; Assumptions'!$N$30+E1256*'Model Inputs &amp; Assumptions'!$O$30+G1256*'Model Inputs &amp; Assumptions'!$P$30)*EXP('Model Inputs &amp; Assumptions'!$Q$30*S1256-'Model Inputs &amp; Assumptions'!$Q$30^2/2))</f>
        <v>46.3995666177175</v>
      </c>
      <c r="I1256" s="49" t="n">
        <f aca="false">IF('Model Inputs &amp; Assumptions'!$H$30="Fixed",'Model Inputs &amp; Assumptions'!$I$30*'Model Inputs &amp; Assumptions'!$K$30,IF('Model Inputs &amp; Assumptions'!$H$30="CPM",'Model Inputs &amp; Assumptions'!$I$30*'Model Inputs &amp; Assumptions'!$K$30*C1256/1000,IF('Model Inputs &amp; Assumptions'!$H$30="CPC",'Model Inputs &amp; Assumptions'!$I$30*'Model Inputs &amp; Assumptions'!$K$30*G1256,0)))</f>
        <v>6900</v>
      </c>
      <c r="J1256" s="50" t="n">
        <f aca="false">H1256*INDEX('Model Inputs &amp; Assumptions'!$D$40:$D$42,MATCH('Model Inputs &amp; Assumptions'!$L$30,'Model Inputs &amp; Assumptions'!$A$40:$A$42,0))*INDEX('Model Inputs &amp; Assumptions'!$H$40:$H$42,MATCH('Model Inputs &amp; Assumptions'!$L$30,'Model Inputs &amp; Assumptions'!$A$40:$A$42,0))</f>
        <v>334076.879647566</v>
      </c>
      <c r="K1256" s="49" t="n">
        <f aca="false">H1256*INDEX('Model Inputs &amp; Assumptions'!$G$40:$G$42,MATCH('Model Inputs &amp; Assumptions'!$L$30,'Model Inputs &amp; Assumptions'!$A$40:$A$42,0))*INDEX('Model Inputs &amp; Assumptions'!$H$40:$H$42,MATCH('Model Inputs &amp; Assumptions'!$L$30,'Model Inputs &amp; Assumptions'!$A$40:$A$42,0))</f>
        <v>7366.39519622882</v>
      </c>
      <c r="L1256" s="51" t="n">
        <f aca="false">IFERROR(K1256/I1256,0)</f>
        <v>1.06759350669983</v>
      </c>
      <c r="M1256" s="49" t="n">
        <f aca="false">IFERROR(I1256/H1256,0)</f>
        <v>148.708285507246</v>
      </c>
      <c r="N1256" s="52" t="str">
        <f aca="false">'Model Inputs &amp; Assumptions'!$L$30</f>
        <v>PRD-USIQ</v>
      </c>
      <c r="P1256" s="53" t="n">
        <v>-1.735059</v>
      </c>
      <c r="Q1256" s="53" t="n">
        <v>-1.700608</v>
      </c>
      <c r="R1256" s="53" t="n">
        <v>0.019904</v>
      </c>
      <c r="S1256" s="53" t="n">
        <v>1.074514</v>
      </c>
    </row>
    <row r="1257" customFormat="false" ht="15" hidden="false" customHeight="false" outlineLevel="0" collapsed="false">
      <c r="A1257" s="43" t="n">
        <v>254</v>
      </c>
      <c r="B1257" s="44" t="str">
        <f aca="false">'Model Inputs &amp; Assumptions'!$B$30</f>
        <v>extraETF — Newsletter Takeover</v>
      </c>
      <c r="C1257" s="45" t="n">
        <f aca="false">ROUND(MAX(0,'Model Inputs &amp; Assumptions'!$S$30*EXP('Model Inputs &amp; Assumptions'!$T$30*P1257-'Model Inputs &amp; Assumptions'!$T$30^2/2)),0)</f>
        <v>80769</v>
      </c>
      <c r="D1257" s="46" t="n">
        <f aca="false">MIN(1,'Model Inputs &amp; Assumptions'!$U$30*EXP('Model Inputs &amp; Assumptions'!$V$30*Q1257-'Model Inputs &amp; Assumptions'!$V$30^2/2))</f>
        <v>0</v>
      </c>
      <c r="E1257" s="45" t="n">
        <f aca="false">ROUND(C1257*D1257,0)</f>
        <v>0</v>
      </c>
      <c r="F1257" s="47" t="n">
        <f aca="false">MIN(1,'Model Inputs &amp; Assumptions'!$W$30*EXP('Model Inputs &amp; Assumptions'!$X$30*R1257-'Model Inputs &amp; Assumptions'!$X$30^2/2))</f>
        <v>0.00785007622297138</v>
      </c>
      <c r="G1257" s="45" t="n">
        <f aca="false">ROUND(C1257*F1257,0)</f>
        <v>634</v>
      </c>
      <c r="H1257" s="48" t="n">
        <f aca="false">MAX(0,(C1257*'Model Inputs &amp; Assumptions'!$N$30+E1257*'Model Inputs &amp; Assumptions'!$O$30+G1257*'Model Inputs &amp; Assumptions'!$P$30)*EXP('Model Inputs &amp; Assumptions'!$Q$30*S1257-'Model Inputs &amp; Assumptions'!$Q$30^2/2))</f>
        <v>37.5099486584826</v>
      </c>
      <c r="I1257" s="49" t="n">
        <f aca="false">IF('Model Inputs &amp; Assumptions'!$H$30="Fixed",'Model Inputs &amp; Assumptions'!$I$30*'Model Inputs &amp; Assumptions'!$K$30,IF('Model Inputs &amp; Assumptions'!$H$30="CPM",'Model Inputs &amp; Assumptions'!$I$30*'Model Inputs &amp; Assumptions'!$K$30*C1257/1000,IF('Model Inputs &amp; Assumptions'!$H$30="CPC",'Model Inputs &amp; Assumptions'!$I$30*'Model Inputs &amp; Assumptions'!$K$30*G1257,0)))</f>
        <v>6900</v>
      </c>
      <c r="J1257" s="50" t="n">
        <f aca="false">H1257*INDEX('Model Inputs &amp; Assumptions'!$D$40:$D$42,MATCH('Model Inputs &amp; Assumptions'!$L$30,'Model Inputs &amp; Assumptions'!$A$40:$A$42,0))*INDEX('Model Inputs &amp; Assumptions'!$H$40:$H$42,MATCH('Model Inputs &amp; Assumptions'!$L$30,'Model Inputs &amp; Assumptions'!$A$40:$A$42,0))</f>
        <v>270071.630341075</v>
      </c>
      <c r="K1257" s="49" t="n">
        <f aca="false">H1257*INDEX('Model Inputs &amp; Assumptions'!$G$40:$G$42,MATCH('Model Inputs &amp; Assumptions'!$L$30,'Model Inputs &amp; Assumptions'!$A$40:$A$42,0))*INDEX('Model Inputs &amp; Assumptions'!$H$40:$H$42,MATCH('Model Inputs &amp; Assumptions'!$L$30,'Model Inputs &amp; Assumptions'!$A$40:$A$42,0))</f>
        <v>5955.07944902069</v>
      </c>
      <c r="L1257" s="51" t="n">
        <f aca="false">IFERROR(K1257/I1257,0)</f>
        <v>0.863054992611695</v>
      </c>
      <c r="M1257" s="49" t="n">
        <f aca="false">IFERROR(I1257/H1257,0)</f>
        <v>183.951198196045</v>
      </c>
      <c r="N1257" s="52" t="str">
        <f aca="false">'Model Inputs &amp; Assumptions'!$L$30</f>
        <v>PRD-USIQ</v>
      </c>
      <c r="P1257" s="53" t="n">
        <v>-0.654485</v>
      </c>
      <c r="Q1257" s="53" t="n">
        <v>0.172386</v>
      </c>
      <c r="R1257" s="53" t="n">
        <v>-0.051122</v>
      </c>
      <c r="S1257" s="53" t="n">
        <v>-0.251299</v>
      </c>
    </row>
    <row r="1258" customFormat="false" ht="15" hidden="false" customHeight="false" outlineLevel="0" collapsed="false">
      <c r="A1258" s="43" t="n">
        <v>255</v>
      </c>
      <c r="B1258" s="44" t="str">
        <f aca="false">'Model Inputs &amp; Assumptions'!$B$30</f>
        <v>extraETF — Newsletter Takeover</v>
      </c>
      <c r="C1258" s="45" t="n">
        <f aca="false">ROUND(MAX(0,'Model Inputs &amp; Assumptions'!$S$30*EXP('Model Inputs &amp; Assumptions'!$T$30*P1258-'Model Inputs &amp; Assumptions'!$T$30^2/2)),0)</f>
        <v>85572</v>
      </c>
      <c r="D1258" s="46" t="n">
        <f aca="false">MIN(1,'Model Inputs &amp; Assumptions'!$U$30*EXP('Model Inputs &amp; Assumptions'!$V$30*Q1258-'Model Inputs &amp; Assumptions'!$V$30^2/2))</f>
        <v>0</v>
      </c>
      <c r="E1258" s="45" t="n">
        <f aca="false">ROUND(C1258*D1258,0)</f>
        <v>0</v>
      </c>
      <c r="F1258" s="47" t="n">
        <f aca="false">MIN(1,'Model Inputs &amp; Assumptions'!$W$30*EXP('Model Inputs &amp; Assumptions'!$X$30*R1258-'Model Inputs &amp; Assumptions'!$X$30^2/2))</f>
        <v>0.00988549263181604</v>
      </c>
      <c r="G1258" s="45" t="n">
        <f aca="false">ROUND(C1258*F1258,0)</f>
        <v>846</v>
      </c>
      <c r="H1258" s="48" t="n">
        <f aca="false">MAX(0,(C1258*'Model Inputs &amp; Assumptions'!$N$30+E1258*'Model Inputs &amp; Assumptions'!$O$30+G1258*'Model Inputs &amp; Assumptions'!$P$30)*EXP('Model Inputs &amp; Assumptions'!$Q$30*S1258-'Model Inputs &amp; Assumptions'!$Q$30^2/2))</f>
        <v>69.4855523093582</v>
      </c>
      <c r="I1258" s="49" t="n">
        <f aca="false">IF('Model Inputs &amp; Assumptions'!$H$30="Fixed",'Model Inputs &amp; Assumptions'!$I$30*'Model Inputs &amp; Assumptions'!$K$30,IF('Model Inputs &amp; Assumptions'!$H$30="CPM",'Model Inputs &amp; Assumptions'!$I$30*'Model Inputs &amp; Assumptions'!$K$30*C1258/1000,IF('Model Inputs &amp; Assumptions'!$H$30="CPC",'Model Inputs &amp; Assumptions'!$I$30*'Model Inputs &amp; Assumptions'!$K$30*G1258,0)))</f>
        <v>6900</v>
      </c>
      <c r="J1258" s="50" t="n">
        <f aca="false">H1258*INDEX('Model Inputs &amp; Assumptions'!$D$40:$D$42,MATCH('Model Inputs &amp; Assumptions'!$L$30,'Model Inputs &amp; Assumptions'!$A$40:$A$42,0))*INDEX('Model Inputs &amp; Assumptions'!$H$40:$H$42,MATCH('Model Inputs &amp; Assumptions'!$L$30,'Model Inputs &amp; Assumptions'!$A$40:$A$42,0))</f>
        <v>500295.976627379</v>
      </c>
      <c r="K1258" s="49" t="n">
        <f aca="false">H1258*INDEX('Model Inputs &amp; Assumptions'!$G$40:$G$42,MATCH('Model Inputs &amp; Assumptions'!$L$30,'Model Inputs &amp; Assumptions'!$A$40:$A$42,0))*INDEX('Model Inputs &amp; Assumptions'!$H$40:$H$42,MATCH('Model Inputs &amp; Assumptions'!$L$30,'Model Inputs &amp; Assumptions'!$A$40:$A$42,0))</f>
        <v>11031.5262846337</v>
      </c>
      <c r="L1258" s="51" t="n">
        <f aca="false">IFERROR(K1258/I1258,0)</f>
        <v>1.59877192530923</v>
      </c>
      <c r="M1258" s="49" t="n">
        <f aca="false">IFERROR(I1258/H1258,0)</f>
        <v>99.3012183206137</v>
      </c>
      <c r="N1258" s="52" t="str">
        <f aca="false">'Model Inputs &amp; Assumptions'!$L$30</f>
        <v>PRD-USIQ</v>
      </c>
      <c r="P1258" s="53" t="n">
        <v>-0.173126</v>
      </c>
      <c r="Q1258" s="53" t="n">
        <v>-0.234376</v>
      </c>
      <c r="R1258" s="53" t="n">
        <v>1.485845</v>
      </c>
      <c r="S1258" s="53" t="n">
        <v>1.06087</v>
      </c>
    </row>
    <row r="1259" customFormat="false" ht="15" hidden="false" customHeight="false" outlineLevel="0" collapsed="false">
      <c r="A1259" s="43" t="n">
        <v>256</v>
      </c>
      <c r="B1259" s="44" t="str">
        <f aca="false">'Model Inputs &amp; Assumptions'!$B$30</f>
        <v>extraETF — Newsletter Takeover</v>
      </c>
      <c r="C1259" s="45" t="n">
        <f aca="false">ROUND(MAX(0,'Model Inputs &amp; Assumptions'!$S$30*EXP('Model Inputs &amp; Assumptions'!$T$30*P1259-'Model Inputs &amp; Assumptions'!$T$30^2/2)),0)</f>
        <v>88864</v>
      </c>
      <c r="D1259" s="46" t="n">
        <f aca="false">MIN(1,'Model Inputs &amp; Assumptions'!$U$30*EXP('Model Inputs &amp; Assumptions'!$V$30*Q1259-'Model Inputs &amp; Assumptions'!$V$30^2/2))</f>
        <v>0</v>
      </c>
      <c r="E1259" s="45" t="n">
        <f aca="false">ROUND(C1259*D1259,0)</f>
        <v>0</v>
      </c>
      <c r="F1259" s="47" t="n">
        <f aca="false">MIN(1,'Model Inputs &amp; Assumptions'!$W$30*EXP('Model Inputs &amp; Assumptions'!$X$30*R1259-'Model Inputs &amp; Assumptions'!$X$30^2/2))</f>
        <v>0.00858953190657708</v>
      </c>
      <c r="G1259" s="45" t="n">
        <f aca="false">ROUND(C1259*F1259,0)</f>
        <v>763</v>
      </c>
      <c r="H1259" s="48" t="n">
        <f aca="false">MAX(0,(C1259*'Model Inputs &amp; Assumptions'!$N$30+E1259*'Model Inputs &amp; Assumptions'!$O$30+G1259*'Model Inputs &amp; Assumptions'!$P$30)*EXP('Model Inputs &amp; Assumptions'!$Q$30*S1259-'Model Inputs &amp; Assumptions'!$Q$30^2/2))</f>
        <v>46.2537490955234</v>
      </c>
      <c r="I1259" s="49" t="n">
        <f aca="false">IF('Model Inputs &amp; Assumptions'!$H$30="Fixed",'Model Inputs &amp; Assumptions'!$I$30*'Model Inputs &amp; Assumptions'!$K$30,IF('Model Inputs &amp; Assumptions'!$H$30="CPM",'Model Inputs &amp; Assumptions'!$I$30*'Model Inputs &amp; Assumptions'!$K$30*C1259/1000,IF('Model Inputs &amp; Assumptions'!$H$30="CPC",'Model Inputs &amp; Assumptions'!$I$30*'Model Inputs &amp; Assumptions'!$K$30*G1259,0)))</f>
        <v>6900</v>
      </c>
      <c r="J1259" s="50" t="n">
        <f aca="false">H1259*INDEX('Model Inputs &amp; Assumptions'!$D$40:$D$42,MATCH('Model Inputs &amp; Assumptions'!$L$30,'Model Inputs &amp; Assumptions'!$A$40:$A$42,0))*INDEX('Model Inputs &amp; Assumptions'!$H$40:$H$42,MATCH('Model Inputs &amp; Assumptions'!$L$30,'Model Inputs &amp; Assumptions'!$A$40:$A$42,0))</f>
        <v>333026.993487769</v>
      </c>
      <c r="K1259" s="49" t="n">
        <f aca="false">H1259*INDEX('Model Inputs &amp; Assumptions'!$G$40:$G$42,MATCH('Model Inputs &amp; Assumptions'!$L$30,'Model Inputs &amp; Assumptions'!$A$40:$A$42,0))*INDEX('Model Inputs &amp; Assumptions'!$H$40:$H$42,MATCH('Model Inputs &amp; Assumptions'!$L$30,'Model Inputs &amp; Assumptions'!$A$40:$A$42,0))</f>
        <v>7343.2452064053</v>
      </c>
      <c r="L1259" s="51" t="n">
        <f aca="false">IFERROR(K1259/I1259,0)</f>
        <v>1.06423843571091</v>
      </c>
      <c r="M1259" s="49" t="n">
        <f aca="false">IFERROR(I1259/H1259,0)</f>
        <v>149.177096666264</v>
      </c>
      <c r="N1259" s="52" t="str">
        <f aca="false">'Model Inputs &amp; Assumptions'!$L$30</f>
        <v>PRD-USIQ</v>
      </c>
      <c r="P1259" s="53" t="n">
        <v>0.141432</v>
      </c>
      <c r="Q1259" s="53" t="n">
        <v>0.148617</v>
      </c>
      <c r="R1259" s="53" t="n">
        <v>0.549018</v>
      </c>
      <c r="S1259" s="53" t="n">
        <v>-0.15399</v>
      </c>
    </row>
    <row r="1260" customFormat="false" ht="15" hidden="false" customHeight="false" outlineLevel="0" collapsed="false">
      <c r="A1260" s="43" t="n">
        <v>257</v>
      </c>
      <c r="B1260" s="44" t="str">
        <f aca="false">'Model Inputs &amp; Assumptions'!$B$30</f>
        <v>extraETF — Newsletter Takeover</v>
      </c>
      <c r="C1260" s="45" t="n">
        <f aca="false">ROUND(MAX(0,'Model Inputs &amp; Assumptions'!$S$30*EXP('Model Inputs &amp; Assumptions'!$T$30*P1260-'Model Inputs &amp; Assumptions'!$T$30^2/2)),0)</f>
        <v>86650</v>
      </c>
      <c r="D1260" s="46" t="n">
        <f aca="false">MIN(1,'Model Inputs &amp; Assumptions'!$U$30*EXP('Model Inputs &amp; Assumptions'!$V$30*Q1260-'Model Inputs &amp; Assumptions'!$V$30^2/2))</f>
        <v>0</v>
      </c>
      <c r="E1260" s="45" t="n">
        <f aca="false">ROUND(C1260*D1260,0)</f>
        <v>0</v>
      </c>
      <c r="F1260" s="47" t="n">
        <f aca="false">MIN(1,'Model Inputs &amp; Assumptions'!$W$30*EXP('Model Inputs &amp; Assumptions'!$X$30*R1260-'Model Inputs &amp; Assumptions'!$X$30^2/2))</f>
        <v>0.00561781692920443</v>
      </c>
      <c r="G1260" s="45" t="n">
        <f aca="false">ROUND(C1260*F1260,0)</f>
        <v>487</v>
      </c>
      <c r="H1260" s="48" t="n">
        <f aca="false">MAX(0,(C1260*'Model Inputs &amp; Assumptions'!$N$30+E1260*'Model Inputs &amp; Assumptions'!$O$30+G1260*'Model Inputs &amp; Assumptions'!$P$30)*EXP('Model Inputs &amp; Assumptions'!$Q$30*S1260-'Model Inputs &amp; Assumptions'!$Q$30^2/2))</f>
        <v>29.5011461164479</v>
      </c>
      <c r="I1260" s="49" t="n">
        <f aca="false">IF('Model Inputs &amp; Assumptions'!$H$30="Fixed",'Model Inputs &amp; Assumptions'!$I$30*'Model Inputs &amp; Assumptions'!$K$30,IF('Model Inputs &amp; Assumptions'!$H$30="CPM",'Model Inputs &amp; Assumptions'!$I$30*'Model Inputs &amp; Assumptions'!$K$30*C1260/1000,IF('Model Inputs &amp; Assumptions'!$H$30="CPC",'Model Inputs &amp; Assumptions'!$I$30*'Model Inputs &amp; Assumptions'!$K$30*G1260,0)))</f>
        <v>6900</v>
      </c>
      <c r="J1260" s="50" t="n">
        <f aca="false">H1260*INDEX('Model Inputs &amp; Assumptions'!$D$40:$D$42,MATCH('Model Inputs &amp; Assumptions'!$L$30,'Model Inputs &amp; Assumptions'!$A$40:$A$42,0))*INDEX('Model Inputs &amp; Assumptions'!$H$40:$H$42,MATCH('Model Inputs &amp; Assumptions'!$L$30,'Model Inputs &amp; Assumptions'!$A$40:$A$42,0))</f>
        <v>212408.252038425</v>
      </c>
      <c r="K1260" s="49" t="n">
        <f aca="false">H1260*INDEX('Model Inputs &amp; Assumptions'!$G$40:$G$42,MATCH('Model Inputs &amp; Assumptions'!$L$30,'Model Inputs &amp; Assumptions'!$A$40:$A$42,0))*INDEX('Model Inputs &amp; Assumptions'!$H$40:$H$42,MATCH('Model Inputs &amp; Assumptions'!$L$30,'Model Inputs &amp; Assumptions'!$A$40:$A$42,0))</f>
        <v>4683.60195744726</v>
      </c>
      <c r="L1260" s="51" t="n">
        <f aca="false">IFERROR(K1260/I1260,0)</f>
        <v>0.678782892383661</v>
      </c>
      <c r="M1260" s="49" t="n">
        <f aca="false">IFERROR(I1260/H1260,0)</f>
        <v>233.889218160003</v>
      </c>
      <c r="N1260" s="52" t="str">
        <f aca="false">'Model Inputs &amp; Assumptions'!$L$30</f>
        <v>PRD-USIQ</v>
      </c>
      <c r="P1260" s="53" t="n">
        <v>-0.068787</v>
      </c>
      <c r="Q1260" s="53" t="n">
        <v>-0.391056</v>
      </c>
      <c r="R1260" s="53" t="n">
        <v>-2.281656</v>
      </c>
      <c r="S1260" s="53" t="n">
        <v>-0.156868</v>
      </c>
    </row>
    <row r="1261" customFormat="false" ht="15" hidden="false" customHeight="false" outlineLevel="0" collapsed="false">
      <c r="A1261" s="43" t="n">
        <v>258</v>
      </c>
      <c r="B1261" s="44" t="str">
        <f aca="false">'Model Inputs &amp; Assumptions'!$B$30</f>
        <v>extraETF — Newsletter Takeover</v>
      </c>
      <c r="C1261" s="45" t="n">
        <f aca="false">ROUND(MAX(0,'Model Inputs &amp; Assumptions'!$S$30*EXP('Model Inputs &amp; Assumptions'!$T$30*P1261-'Model Inputs &amp; Assumptions'!$T$30^2/2)),0)</f>
        <v>76855</v>
      </c>
      <c r="D1261" s="46" t="n">
        <f aca="false">MIN(1,'Model Inputs &amp; Assumptions'!$U$30*EXP('Model Inputs &amp; Assumptions'!$V$30*Q1261-'Model Inputs &amp; Assumptions'!$V$30^2/2))</f>
        <v>0</v>
      </c>
      <c r="E1261" s="45" t="n">
        <f aca="false">ROUND(C1261*D1261,0)</f>
        <v>0</v>
      </c>
      <c r="F1261" s="47" t="n">
        <f aca="false">MIN(1,'Model Inputs &amp; Assumptions'!$W$30*EXP('Model Inputs &amp; Assumptions'!$X$30*R1261-'Model Inputs &amp; Assumptions'!$X$30^2/2))</f>
        <v>0.00868859409261732</v>
      </c>
      <c r="G1261" s="45" t="n">
        <f aca="false">ROUND(C1261*F1261,0)</f>
        <v>668</v>
      </c>
      <c r="H1261" s="48" t="n">
        <f aca="false">MAX(0,(C1261*'Model Inputs &amp; Assumptions'!$N$30+E1261*'Model Inputs &amp; Assumptions'!$O$30+G1261*'Model Inputs &amp; Assumptions'!$P$30)*EXP('Model Inputs &amp; Assumptions'!$Q$30*S1261-'Model Inputs &amp; Assumptions'!$Q$30^2/2))</f>
        <v>59.5068787105528</v>
      </c>
      <c r="I1261" s="49" t="n">
        <f aca="false">IF('Model Inputs &amp; Assumptions'!$H$30="Fixed",'Model Inputs &amp; Assumptions'!$I$30*'Model Inputs &amp; Assumptions'!$K$30,IF('Model Inputs &amp; Assumptions'!$H$30="CPM",'Model Inputs &amp; Assumptions'!$I$30*'Model Inputs &amp; Assumptions'!$K$30*C1261/1000,IF('Model Inputs &amp; Assumptions'!$H$30="CPC",'Model Inputs &amp; Assumptions'!$I$30*'Model Inputs &amp; Assumptions'!$K$30*G1261,0)))</f>
        <v>6900</v>
      </c>
      <c r="J1261" s="50" t="n">
        <f aca="false">H1261*INDEX('Model Inputs &amp; Assumptions'!$D$40:$D$42,MATCH('Model Inputs &amp; Assumptions'!$L$30,'Model Inputs &amp; Assumptions'!$A$40:$A$42,0))*INDEX('Model Inputs &amp; Assumptions'!$H$40:$H$42,MATCH('Model Inputs &amp; Assumptions'!$L$30,'Model Inputs &amp; Assumptions'!$A$40:$A$42,0))</f>
        <v>428449.52671598</v>
      </c>
      <c r="K1261" s="49" t="n">
        <f aca="false">H1261*INDEX('Model Inputs &amp; Assumptions'!$G$40:$G$42,MATCH('Model Inputs &amp; Assumptions'!$L$30,'Model Inputs &amp; Assumptions'!$A$40:$A$42,0))*INDEX('Model Inputs &amp; Assumptions'!$H$40:$H$42,MATCH('Model Inputs &amp; Assumptions'!$L$30,'Model Inputs &amp; Assumptions'!$A$40:$A$42,0))</f>
        <v>9447.31206408736</v>
      </c>
      <c r="L1261" s="51" t="n">
        <f aca="false">IFERROR(K1261/I1261,0)</f>
        <v>1.36917566146194</v>
      </c>
      <c r="M1261" s="49" t="n">
        <f aca="false">IFERROR(I1261/H1261,0)</f>
        <v>115.952981395013</v>
      </c>
      <c r="N1261" s="52" t="str">
        <f aca="false">'Model Inputs &amp; Assumptions'!$L$30</f>
        <v>PRD-USIQ</v>
      </c>
      <c r="P1261" s="53" t="n">
        <v>-1.068503</v>
      </c>
      <c r="Q1261" s="53" t="n">
        <v>-0.159914</v>
      </c>
      <c r="R1261" s="53" t="n">
        <v>0.625464</v>
      </c>
      <c r="S1261" s="53" t="n">
        <v>1.385687</v>
      </c>
    </row>
    <row r="1262" customFormat="false" ht="15" hidden="false" customHeight="false" outlineLevel="0" collapsed="false">
      <c r="A1262" s="43" t="n">
        <v>259</v>
      </c>
      <c r="B1262" s="44" t="str">
        <f aca="false">'Model Inputs &amp; Assumptions'!$B$30</f>
        <v>extraETF — Newsletter Takeover</v>
      </c>
      <c r="C1262" s="45" t="n">
        <f aca="false">ROUND(MAX(0,'Model Inputs &amp; Assumptions'!$S$30*EXP('Model Inputs &amp; Assumptions'!$T$30*P1262-'Model Inputs &amp; Assumptions'!$T$30^2/2)),0)</f>
        <v>105361</v>
      </c>
      <c r="D1262" s="46" t="n">
        <f aca="false">MIN(1,'Model Inputs &amp; Assumptions'!$U$30*EXP('Model Inputs &amp; Assumptions'!$V$30*Q1262-'Model Inputs &amp; Assumptions'!$V$30^2/2))</f>
        <v>0</v>
      </c>
      <c r="E1262" s="45" t="n">
        <f aca="false">ROUND(C1262*D1262,0)</f>
        <v>0</v>
      </c>
      <c r="F1262" s="47" t="n">
        <f aca="false">MIN(1,'Model Inputs &amp; Assumptions'!$W$30*EXP('Model Inputs &amp; Assumptions'!$X$30*R1262-'Model Inputs &amp; Assumptions'!$X$30^2/2))</f>
        <v>0.00780886589718899</v>
      </c>
      <c r="G1262" s="45" t="n">
        <f aca="false">ROUND(C1262*F1262,0)</f>
        <v>823</v>
      </c>
      <c r="H1262" s="48" t="n">
        <f aca="false">MAX(0,(C1262*'Model Inputs &amp; Assumptions'!$N$30+E1262*'Model Inputs &amp; Assumptions'!$O$30+G1262*'Model Inputs &amp; Assumptions'!$P$30)*EXP('Model Inputs &amp; Assumptions'!$Q$30*S1262-'Model Inputs &amp; Assumptions'!$Q$30^2/2))</f>
        <v>70.5070843208671</v>
      </c>
      <c r="I1262" s="49" t="n">
        <f aca="false">IF('Model Inputs &amp; Assumptions'!$H$30="Fixed",'Model Inputs &amp; Assumptions'!$I$30*'Model Inputs &amp; Assumptions'!$K$30,IF('Model Inputs &amp; Assumptions'!$H$30="CPM",'Model Inputs &amp; Assumptions'!$I$30*'Model Inputs &amp; Assumptions'!$K$30*C1262/1000,IF('Model Inputs &amp; Assumptions'!$H$30="CPC",'Model Inputs &amp; Assumptions'!$I$30*'Model Inputs &amp; Assumptions'!$K$30*G1262,0)))</f>
        <v>6900</v>
      </c>
      <c r="J1262" s="50" t="n">
        <f aca="false">H1262*INDEX('Model Inputs &amp; Assumptions'!$D$40:$D$42,MATCH('Model Inputs &amp; Assumptions'!$L$30,'Model Inputs &amp; Assumptions'!$A$40:$A$42,0))*INDEX('Model Inputs &amp; Assumptions'!$H$40:$H$42,MATCH('Model Inputs &amp; Assumptions'!$L$30,'Model Inputs &amp; Assumptions'!$A$40:$A$42,0))</f>
        <v>507651.007110243</v>
      </c>
      <c r="K1262" s="49" t="n">
        <f aca="false">H1262*INDEX('Model Inputs &amp; Assumptions'!$G$40:$G$42,MATCH('Model Inputs &amp; Assumptions'!$L$30,'Model Inputs &amp; Assumptions'!$A$40:$A$42,0))*INDEX('Model Inputs &amp; Assumptions'!$H$40:$H$42,MATCH('Model Inputs &amp; Assumptions'!$L$30,'Model Inputs &amp; Assumptions'!$A$40:$A$42,0))</f>
        <v>11193.7047067809</v>
      </c>
      <c r="L1262" s="51" t="n">
        <f aca="false">IFERROR(K1262/I1262,0)</f>
        <v>1.62227604446099</v>
      </c>
      <c r="M1262" s="49" t="n">
        <f aca="false">IFERROR(I1262/H1262,0)</f>
        <v>97.8625065333739</v>
      </c>
      <c r="N1262" s="52" t="str">
        <f aca="false">'Model Inputs &amp; Assumptions'!$L$30</f>
        <v>PRD-USIQ</v>
      </c>
      <c r="P1262" s="53" t="n">
        <v>1.560441</v>
      </c>
      <c r="Q1262" s="53" t="n">
        <v>0.89897</v>
      </c>
      <c r="R1262" s="53" t="n">
        <v>-0.086212</v>
      </c>
      <c r="S1262" s="53" t="n">
        <v>1.2295</v>
      </c>
    </row>
    <row r="1263" customFormat="false" ht="15" hidden="false" customHeight="false" outlineLevel="0" collapsed="false">
      <c r="A1263" s="43" t="n">
        <v>260</v>
      </c>
      <c r="B1263" s="44" t="str">
        <f aca="false">'Model Inputs &amp; Assumptions'!$B$30</f>
        <v>extraETF — Newsletter Takeover</v>
      </c>
      <c r="C1263" s="45" t="n">
        <f aca="false">ROUND(MAX(0,'Model Inputs &amp; Assumptions'!$S$30*EXP('Model Inputs &amp; Assumptions'!$T$30*P1263-'Model Inputs &amp; Assumptions'!$T$30^2/2)),0)</f>
        <v>85477</v>
      </c>
      <c r="D1263" s="46" t="n">
        <f aca="false">MIN(1,'Model Inputs &amp; Assumptions'!$U$30*EXP('Model Inputs &amp; Assumptions'!$V$30*Q1263-'Model Inputs &amp; Assumptions'!$V$30^2/2))</f>
        <v>0</v>
      </c>
      <c r="E1263" s="45" t="n">
        <f aca="false">ROUND(C1263*D1263,0)</f>
        <v>0</v>
      </c>
      <c r="F1263" s="47" t="n">
        <f aca="false">MIN(1,'Model Inputs &amp; Assumptions'!$W$30*EXP('Model Inputs &amp; Assumptions'!$X$30*R1263-'Model Inputs &amp; Assumptions'!$X$30^2/2))</f>
        <v>0.00938606123735099</v>
      </c>
      <c r="G1263" s="45" t="n">
        <f aca="false">ROUND(C1263*F1263,0)</f>
        <v>802</v>
      </c>
      <c r="H1263" s="48" t="n">
        <f aca="false">MAX(0,(C1263*'Model Inputs &amp; Assumptions'!$N$30+E1263*'Model Inputs &amp; Assumptions'!$O$30+G1263*'Model Inputs &amp; Assumptions'!$P$30)*EXP('Model Inputs &amp; Assumptions'!$Q$30*S1263-'Model Inputs &amp; Assumptions'!$Q$30^2/2))</f>
        <v>36.9294504825694</v>
      </c>
      <c r="I1263" s="49" t="n">
        <f aca="false">IF('Model Inputs &amp; Assumptions'!$H$30="Fixed",'Model Inputs &amp; Assumptions'!$I$30*'Model Inputs &amp; Assumptions'!$K$30,IF('Model Inputs &amp; Assumptions'!$H$30="CPM",'Model Inputs &amp; Assumptions'!$I$30*'Model Inputs &amp; Assumptions'!$K$30*C1263/1000,IF('Model Inputs &amp; Assumptions'!$H$30="CPC",'Model Inputs &amp; Assumptions'!$I$30*'Model Inputs &amp; Assumptions'!$K$30*G1263,0)))</f>
        <v>6900</v>
      </c>
      <c r="J1263" s="50" t="n">
        <f aca="false">H1263*INDEX('Model Inputs &amp; Assumptions'!$D$40:$D$42,MATCH('Model Inputs &amp; Assumptions'!$L$30,'Model Inputs &amp; Assumptions'!$A$40:$A$42,0))*INDEX('Model Inputs &amp; Assumptions'!$H$40:$H$42,MATCH('Model Inputs &amp; Assumptions'!$L$30,'Model Inputs &amp; Assumptions'!$A$40:$A$42,0))</f>
        <v>265892.0434745</v>
      </c>
      <c r="K1263" s="49" t="n">
        <f aca="false">H1263*INDEX('Model Inputs &amp; Assumptions'!$G$40:$G$42,MATCH('Model Inputs &amp; Assumptions'!$L$30,'Model Inputs &amp; Assumptions'!$A$40:$A$42,0))*INDEX('Model Inputs &amp; Assumptions'!$H$40:$H$42,MATCH('Model Inputs &amp; Assumptions'!$L$30,'Model Inputs &amp; Assumptions'!$A$40:$A$42,0))</f>
        <v>5862.91955861272</v>
      </c>
      <c r="L1263" s="51" t="n">
        <f aca="false">IFERROR(K1263/I1263,0)</f>
        <v>0.849698486755467</v>
      </c>
      <c r="M1263" s="49" t="n">
        <f aca="false">IFERROR(I1263/H1263,0)</f>
        <v>186.842747721274</v>
      </c>
      <c r="N1263" s="52" t="str">
        <f aca="false">'Model Inputs &amp; Assumptions'!$L$30</f>
        <v>PRD-USIQ</v>
      </c>
      <c r="P1263" s="53" t="n">
        <v>-0.182425</v>
      </c>
      <c r="Q1263" s="53" t="n">
        <v>-1.85718</v>
      </c>
      <c r="R1263" s="53" t="n">
        <v>1.140228</v>
      </c>
      <c r="S1263" s="53" t="n">
        <v>-1.253925</v>
      </c>
    </row>
    <row r="1264" customFormat="false" ht="15" hidden="false" customHeight="false" outlineLevel="0" collapsed="false">
      <c r="A1264" s="43" t="n">
        <v>261</v>
      </c>
      <c r="B1264" s="44" t="str">
        <f aca="false">'Model Inputs &amp; Assumptions'!$B$30</f>
        <v>extraETF — Newsletter Takeover</v>
      </c>
      <c r="C1264" s="45" t="n">
        <f aca="false">ROUND(MAX(0,'Model Inputs &amp; Assumptions'!$S$30*EXP('Model Inputs &amp; Assumptions'!$T$30*P1264-'Model Inputs &amp; Assumptions'!$T$30^2/2)),0)</f>
        <v>90309</v>
      </c>
      <c r="D1264" s="46" t="n">
        <f aca="false">MIN(1,'Model Inputs &amp; Assumptions'!$U$30*EXP('Model Inputs &amp; Assumptions'!$V$30*Q1264-'Model Inputs &amp; Assumptions'!$V$30^2/2))</f>
        <v>0</v>
      </c>
      <c r="E1264" s="45" t="n">
        <f aca="false">ROUND(C1264*D1264,0)</f>
        <v>0</v>
      </c>
      <c r="F1264" s="47" t="n">
        <f aca="false">MIN(1,'Model Inputs &amp; Assumptions'!$W$30*EXP('Model Inputs &amp; Assumptions'!$X$30*R1264-'Model Inputs &amp; Assumptions'!$X$30^2/2))</f>
        <v>0.00905568322864367</v>
      </c>
      <c r="G1264" s="45" t="n">
        <f aca="false">ROUND(C1264*F1264,0)</f>
        <v>818</v>
      </c>
      <c r="H1264" s="48" t="n">
        <f aca="false">MAX(0,(C1264*'Model Inputs &amp; Assumptions'!$N$30+E1264*'Model Inputs &amp; Assumptions'!$O$30+G1264*'Model Inputs &amp; Assumptions'!$P$30)*EXP('Model Inputs &amp; Assumptions'!$Q$30*S1264-'Model Inputs &amp; Assumptions'!$Q$30^2/2))</f>
        <v>53.1573869137865</v>
      </c>
      <c r="I1264" s="49" t="n">
        <f aca="false">IF('Model Inputs &amp; Assumptions'!$H$30="Fixed",'Model Inputs &amp; Assumptions'!$I$30*'Model Inputs &amp; Assumptions'!$K$30,IF('Model Inputs &amp; Assumptions'!$H$30="CPM",'Model Inputs &amp; Assumptions'!$I$30*'Model Inputs &amp; Assumptions'!$K$30*C1264/1000,IF('Model Inputs &amp; Assumptions'!$H$30="CPC",'Model Inputs &amp; Assumptions'!$I$30*'Model Inputs &amp; Assumptions'!$K$30*G1264,0)))</f>
        <v>6900</v>
      </c>
      <c r="J1264" s="50" t="n">
        <f aca="false">H1264*INDEX('Model Inputs &amp; Assumptions'!$D$40:$D$42,MATCH('Model Inputs &amp; Assumptions'!$L$30,'Model Inputs &amp; Assumptions'!$A$40:$A$42,0))*INDEX('Model Inputs &amp; Assumptions'!$H$40:$H$42,MATCH('Model Inputs &amp; Assumptions'!$L$30,'Model Inputs &amp; Assumptions'!$A$40:$A$42,0))</f>
        <v>382733.185779263</v>
      </c>
      <c r="K1264" s="49" t="n">
        <f aca="false">H1264*INDEX('Model Inputs &amp; Assumptions'!$G$40:$G$42,MATCH('Model Inputs &amp; Assumptions'!$L$30,'Model Inputs &amp; Assumptions'!$A$40:$A$42,0))*INDEX('Model Inputs &amp; Assumptions'!$H$40:$H$42,MATCH('Model Inputs &amp; Assumptions'!$L$30,'Model Inputs &amp; Assumptions'!$A$40:$A$42,0))</f>
        <v>8439.26674643275</v>
      </c>
      <c r="L1264" s="51" t="n">
        <f aca="false">IFERROR(K1264/I1264,0)</f>
        <v>1.22308213716417</v>
      </c>
      <c r="M1264" s="49" t="n">
        <f aca="false">IFERROR(I1264/H1264,0)</f>
        <v>129.80322022207</v>
      </c>
      <c r="N1264" s="52" t="str">
        <f aca="false">'Model Inputs &amp; Assumptions'!$L$30</f>
        <v>PRD-USIQ</v>
      </c>
      <c r="P1264" s="53" t="n">
        <v>0.27582</v>
      </c>
      <c r="Q1264" s="53" t="n">
        <v>1.314566</v>
      </c>
      <c r="R1264" s="53" t="n">
        <v>0.90134</v>
      </c>
      <c r="S1264" s="53" t="n">
        <v>0.124051</v>
      </c>
    </row>
    <row r="1265" customFormat="false" ht="15" hidden="false" customHeight="false" outlineLevel="0" collapsed="false">
      <c r="A1265" s="43" t="n">
        <v>262</v>
      </c>
      <c r="B1265" s="44" t="str">
        <f aca="false">'Model Inputs &amp; Assumptions'!$B$30</f>
        <v>extraETF — Newsletter Takeover</v>
      </c>
      <c r="C1265" s="45" t="n">
        <f aca="false">ROUND(MAX(0,'Model Inputs &amp; Assumptions'!$S$30*EXP('Model Inputs &amp; Assumptions'!$T$30*P1265-'Model Inputs &amp; Assumptions'!$T$30^2/2)),0)</f>
        <v>84090</v>
      </c>
      <c r="D1265" s="46" t="n">
        <f aca="false">MIN(1,'Model Inputs &amp; Assumptions'!$U$30*EXP('Model Inputs &amp; Assumptions'!$V$30*Q1265-'Model Inputs &amp; Assumptions'!$V$30^2/2))</f>
        <v>0</v>
      </c>
      <c r="E1265" s="45" t="n">
        <f aca="false">ROUND(C1265*D1265,0)</f>
        <v>0</v>
      </c>
      <c r="F1265" s="47" t="n">
        <f aca="false">MIN(1,'Model Inputs &amp; Assumptions'!$W$30*EXP('Model Inputs &amp; Assumptions'!$X$30*R1265-'Model Inputs &amp; Assumptions'!$X$30^2/2))</f>
        <v>0.00757691512845709</v>
      </c>
      <c r="G1265" s="45" t="n">
        <f aca="false">ROUND(C1265*F1265,0)</f>
        <v>637</v>
      </c>
      <c r="H1265" s="48" t="n">
        <f aca="false">MAX(0,(C1265*'Model Inputs &amp; Assumptions'!$N$30+E1265*'Model Inputs &amp; Assumptions'!$O$30+G1265*'Model Inputs &amp; Assumptions'!$P$30)*EXP('Model Inputs &amp; Assumptions'!$Q$30*S1265-'Model Inputs &amp; Assumptions'!$Q$30^2/2))</f>
        <v>41.8168407222694</v>
      </c>
      <c r="I1265" s="49" t="n">
        <f aca="false">IF('Model Inputs &amp; Assumptions'!$H$30="Fixed",'Model Inputs &amp; Assumptions'!$I$30*'Model Inputs &amp; Assumptions'!$K$30,IF('Model Inputs &amp; Assumptions'!$H$30="CPM",'Model Inputs &amp; Assumptions'!$I$30*'Model Inputs &amp; Assumptions'!$K$30*C1265/1000,IF('Model Inputs &amp; Assumptions'!$H$30="CPC",'Model Inputs &amp; Assumptions'!$I$30*'Model Inputs &amp; Assumptions'!$K$30*G1265,0)))</f>
        <v>6900</v>
      </c>
      <c r="J1265" s="50" t="n">
        <f aca="false">H1265*INDEX('Model Inputs &amp; Assumptions'!$D$40:$D$42,MATCH('Model Inputs &amp; Assumptions'!$L$30,'Model Inputs &amp; Assumptions'!$A$40:$A$42,0))*INDEX('Model Inputs &amp; Assumptions'!$H$40:$H$42,MATCH('Model Inputs &amp; Assumptions'!$L$30,'Model Inputs &amp; Assumptions'!$A$40:$A$42,0))</f>
        <v>301081.253200339</v>
      </c>
      <c r="K1265" s="49" t="n">
        <f aca="false">H1265*INDEX('Model Inputs &amp; Assumptions'!$G$40:$G$42,MATCH('Model Inputs &amp; Assumptions'!$L$30,'Model Inputs &amp; Assumptions'!$A$40:$A$42,0))*INDEX('Model Inputs &amp; Assumptions'!$H$40:$H$42,MATCH('Model Inputs &amp; Assumptions'!$L$30,'Model Inputs &amp; Assumptions'!$A$40:$A$42,0))</f>
        <v>6638.84163306748</v>
      </c>
      <c r="L1265" s="51" t="n">
        <f aca="false">IFERROR(K1265/I1265,0)</f>
        <v>0.962150961314128</v>
      </c>
      <c r="M1265" s="49" t="n">
        <f aca="false">IFERROR(I1265/H1265,0)</f>
        <v>165.005291667705</v>
      </c>
      <c r="N1265" s="52" t="str">
        <f aca="false">'Model Inputs &amp; Assumptions'!$L$30</f>
        <v>PRD-USIQ</v>
      </c>
      <c r="P1265" s="53" t="n">
        <v>-0.318748</v>
      </c>
      <c r="Q1265" s="53" t="n">
        <v>-0.551168</v>
      </c>
      <c r="R1265" s="53" t="n">
        <v>-0.287236</v>
      </c>
      <c r="S1265" s="53" t="n">
        <v>0.16459</v>
      </c>
    </row>
    <row r="1266" customFormat="false" ht="15" hidden="false" customHeight="false" outlineLevel="0" collapsed="false">
      <c r="A1266" s="43" t="n">
        <v>263</v>
      </c>
      <c r="B1266" s="44" t="str">
        <f aca="false">'Model Inputs &amp; Assumptions'!$B$30</f>
        <v>extraETF — Newsletter Takeover</v>
      </c>
      <c r="C1266" s="45" t="n">
        <f aca="false">ROUND(MAX(0,'Model Inputs &amp; Assumptions'!$S$30*EXP('Model Inputs &amp; Assumptions'!$T$30*P1266-'Model Inputs &amp; Assumptions'!$T$30^2/2)),0)</f>
        <v>78070</v>
      </c>
      <c r="D1266" s="46" t="n">
        <f aca="false">MIN(1,'Model Inputs &amp; Assumptions'!$U$30*EXP('Model Inputs &amp; Assumptions'!$V$30*Q1266-'Model Inputs &amp; Assumptions'!$V$30^2/2))</f>
        <v>0</v>
      </c>
      <c r="E1266" s="45" t="n">
        <f aca="false">ROUND(C1266*D1266,0)</f>
        <v>0</v>
      </c>
      <c r="F1266" s="47" t="n">
        <f aca="false">MIN(1,'Model Inputs &amp; Assumptions'!$W$30*EXP('Model Inputs &amp; Assumptions'!$X$30*R1266-'Model Inputs &amp; Assumptions'!$X$30^2/2))</f>
        <v>0.00880287384688093</v>
      </c>
      <c r="G1266" s="45" t="n">
        <f aca="false">ROUND(C1266*F1266,0)</f>
        <v>687</v>
      </c>
      <c r="H1266" s="48" t="n">
        <f aca="false">MAX(0,(C1266*'Model Inputs &amp; Assumptions'!$N$30+E1266*'Model Inputs &amp; Assumptions'!$O$30+G1266*'Model Inputs &amp; Assumptions'!$P$30)*EXP('Model Inputs &amp; Assumptions'!$Q$30*S1266-'Model Inputs &amp; Assumptions'!$Q$30^2/2))</f>
        <v>43.3502960775792</v>
      </c>
      <c r="I1266" s="49" t="n">
        <f aca="false">IF('Model Inputs &amp; Assumptions'!$H$30="Fixed",'Model Inputs &amp; Assumptions'!$I$30*'Model Inputs &amp; Assumptions'!$K$30,IF('Model Inputs &amp; Assumptions'!$H$30="CPM",'Model Inputs &amp; Assumptions'!$I$30*'Model Inputs &amp; Assumptions'!$K$30*C1266/1000,IF('Model Inputs &amp; Assumptions'!$H$30="CPC",'Model Inputs &amp; Assumptions'!$I$30*'Model Inputs &amp; Assumptions'!$K$30*G1266,0)))</f>
        <v>6900</v>
      </c>
      <c r="J1266" s="50" t="n">
        <f aca="false">H1266*INDEX('Model Inputs &amp; Assumptions'!$D$40:$D$42,MATCH('Model Inputs &amp; Assumptions'!$L$30,'Model Inputs &amp; Assumptions'!$A$40:$A$42,0))*INDEX('Model Inputs &amp; Assumptions'!$H$40:$H$42,MATCH('Model Inputs &amp; Assumptions'!$L$30,'Model Inputs &amp; Assumptions'!$A$40:$A$42,0))</f>
        <v>312122.13175857</v>
      </c>
      <c r="K1266" s="49" t="n">
        <f aca="false">H1266*INDEX('Model Inputs &amp; Assumptions'!$G$40:$G$42,MATCH('Model Inputs &amp; Assumptions'!$L$30,'Model Inputs &amp; Assumptions'!$A$40:$A$42,0))*INDEX('Model Inputs &amp; Assumptions'!$H$40:$H$42,MATCH('Model Inputs &amp; Assumptions'!$L$30,'Model Inputs &amp; Assumptions'!$A$40:$A$42,0))</f>
        <v>6882.29300527647</v>
      </c>
      <c r="L1266" s="51" t="n">
        <f aca="false">IFERROR(K1266/I1266,0)</f>
        <v>0.997433768880648</v>
      </c>
      <c r="M1266" s="49" t="n">
        <f aca="false">IFERROR(I1266/H1266,0)</f>
        <v>159.168463063132</v>
      </c>
      <c r="N1266" s="52" t="str">
        <f aca="false">'Model Inputs &amp; Assumptions'!$L$30</f>
        <v>PRD-USIQ</v>
      </c>
      <c r="P1266" s="53" t="n">
        <v>-0.937782</v>
      </c>
      <c r="Q1266" s="53" t="n">
        <v>-0.117164</v>
      </c>
      <c r="R1266" s="53" t="n">
        <v>0.712578</v>
      </c>
      <c r="S1266" s="53" t="n">
        <v>0.006389</v>
      </c>
    </row>
    <row r="1267" customFormat="false" ht="15" hidden="false" customHeight="false" outlineLevel="0" collapsed="false">
      <c r="A1267" s="43" t="n">
        <v>264</v>
      </c>
      <c r="B1267" s="44" t="str">
        <f aca="false">'Model Inputs &amp; Assumptions'!$B$30</f>
        <v>extraETF — Newsletter Takeover</v>
      </c>
      <c r="C1267" s="45" t="n">
        <f aca="false">ROUND(MAX(0,'Model Inputs &amp; Assumptions'!$S$30*EXP('Model Inputs &amp; Assumptions'!$T$30*P1267-'Model Inputs &amp; Assumptions'!$T$30^2/2)),0)</f>
        <v>107179</v>
      </c>
      <c r="D1267" s="46" t="n">
        <f aca="false">MIN(1,'Model Inputs &amp; Assumptions'!$U$30*EXP('Model Inputs &amp; Assumptions'!$V$30*Q1267-'Model Inputs &amp; Assumptions'!$V$30^2/2))</f>
        <v>0</v>
      </c>
      <c r="E1267" s="45" t="n">
        <f aca="false">ROUND(C1267*D1267,0)</f>
        <v>0</v>
      </c>
      <c r="F1267" s="47" t="n">
        <f aca="false">MIN(1,'Model Inputs &amp; Assumptions'!$W$30*EXP('Model Inputs &amp; Assumptions'!$X$30*R1267-'Model Inputs &amp; Assumptions'!$X$30^2/2))</f>
        <v>0.0064395534115547</v>
      </c>
      <c r="G1267" s="45" t="n">
        <f aca="false">ROUND(C1267*F1267,0)</f>
        <v>690</v>
      </c>
      <c r="H1267" s="48" t="n">
        <f aca="false">MAX(0,(C1267*'Model Inputs &amp; Assumptions'!$N$30+E1267*'Model Inputs &amp; Assumptions'!$O$30+G1267*'Model Inputs &amp; Assumptions'!$P$30)*EXP('Model Inputs &amp; Assumptions'!$Q$30*S1267-'Model Inputs &amp; Assumptions'!$Q$30^2/2))</f>
        <v>43.311842155458</v>
      </c>
      <c r="I1267" s="49" t="n">
        <f aca="false">IF('Model Inputs &amp; Assumptions'!$H$30="Fixed",'Model Inputs &amp; Assumptions'!$I$30*'Model Inputs &amp; Assumptions'!$K$30,IF('Model Inputs &amp; Assumptions'!$H$30="CPM",'Model Inputs &amp; Assumptions'!$I$30*'Model Inputs &amp; Assumptions'!$K$30*C1267/1000,IF('Model Inputs &amp; Assumptions'!$H$30="CPC",'Model Inputs &amp; Assumptions'!$I$30*'Model Inputs &amp; Assumptions'!$K$30*G1267,0)))</f>
        <v>6900</v>
      </c>
      <c r="J1267" s="50" t="n">
        <f aca="false">H1267*INDEX('Model Inputs &amp; Assumptions'!$D$40:$D$42,MATCH('Model Inputs &amp; Assumptions'!$L$30,'Model Inputs &amp; Assumptions'!$A$40:$A$42,0))*INDEX('Model Inputs &amp; Assumptions'!$H$40:$H$42,MATCH('Model Inputs &amp; Assumptions'!$L$30,'Model Inputs &amp; Assumptions'!$A$40:$A$42,0))</f>
        <v>311845.263519298</v>
      </c>
      <c r="K1267" s="49" t="n">
        <f aca="false">H1267*INDEX('Model Inputs &amp; Assumptions'!$G$40:$G$42,MATCH('Model Inputs &amp; Assumptions'!$L$30,'Model Inputs &amp; Assumptions'!$A$40:$A$42,0))*INDEX('Model Inputs &amp; Assumptions'!$H$40:$H$42,MATCH('Model Inputs &amp; Assumptions'!$L$30,'Model Inputs &amp; Assumptions'!$A$40:$A$42,0))</f>
        <v>6876.18806060052</v>
      </c>
      <c r="L1267" s="51" t="n">
        <f aca="false">IFERROR(K1267/I1267,0)</f>
        <v>0.99654899428993</v>
      </c>
      <c r="M1267" s="49" t="n">
        <f aca="false">IFERROR(I1267/H1267,0)</f>
        <v>159.30977895685</v>
      </c>
      <c r="N1267" s="52" t="str">
        <f aca="false">'Model Inputs &amp; Assumptions'!$L$30</f>
        <v>PRD-USIQ</v>
      </c>
      <c r="P1267" s="53" t="n">
        <v>1.703062</v>
      </c>
      <c r="Q1267" s="53" t="n">
        <v>0.250091</v>
      </c>
      <c r="R1267" s="53" t="n">
        <v>-1.371549</v>
      </c>
      <c r="S1267" s="53" t="n">
        <v>-0.01459</v>
      </c>
    </row>
    <row r="1268" customFormat="false" ht="15" hidden="false" customHeight="false" outlineLevel="0" collapsed="false">
      <c r="A1268" s="43" t="n">
        <v>265</v>
      </c>
      <c r="B1268" s="44" t="str">
        <f aca="false">'Model Inputs &amp; Assumptions'!$B$30</f>
        <v>extraETF — Newsletter Takeover</v>
      </c>
      <c r="C1268" s="45" t="n">
        <f aca="false">ROUND(MAX(0,'Model Inputs &amp; Assumptions'!$S$30*EXP('Model Inputs &amp; Assumptions'!$T$30*P1268-'Model Inputs &amp; Assumptions'!$T$30^2/2)),0)</f>
        <v>76599</v>
      </c>
      <c r="D1268" s="46" t="n">
        <f aca="false">MIN(1,'Model Inputs &amp; Assumptions'!$U$30*EXP('Model Inputs &amp; Assumptions'!$V$30*Q1268-'Model Inputs &amp; Assumptions'!$V$30^2/2))</f>
        <v>0</v>
      </c>
      <c r="E1268" s="45" t="n">
        <f aca="false">ROUND(C1268*D1268,0)</f>
        <v>0</v>
      </c>
      <c r="F1268" s="47" t="n">
        <f aca="false">MIN(1,'Model Inputs &amp; Assumptions'!$W$30*EXP('Model Inputs &amp; Assumptions'!$X$30*R1268-'Model Inputs &amp; Assumptions'!$X$30^2/2))</f>
        <v>0.00690910696716253</v>
      </c>
      <c r="G1268" s="45" t="n">
        <f aca="false">ROUND(C1268*F1268,0)</f>
        <v>529</v>
      </c>
      <c r="H1268" s="48" t="n">
        <f aca="false">MAX(0,(C1268*'Model Inputs &amp; Assumptions'!$N$30+E1268*'Model Inputs &amp; Assumptions'!$O$30+G1268*'Model Inputs &amp; Assumptions'!$P$30)*EXP('Model Inputs &amp; Assumptions'!$Q$30*S1268-'Model Inputs &amp; Assumptions'!$Q$30^2/2))</f>
        <v>20.0720675164541</v>
      </c>
      <c r="I1268" s="49" t="n">
        <f aca="false">IF('Model Inputs &amp; Assumptions'!$H$30="Fixed",'Model Inputs &amp; Assumptions'!$I$30*'Model Inputs &amp; Assumptions'!$K$30,IF('Model Inputs &amp; Assumptions'!$H$30="CPM",'Model Inputs &amp; Assumptions'!$I$30*'Model Inputs &amp; Assumptions'!$K$30*C1268/1000,IF('Model Inputs &amp; Assumptions'!$H$30="CPC",'Model Inputs &amp; Assumptions'!$I$30*'Model Inputs &amp; Assumptions'!$K$30*G1268,0)))</f>
        <v>6900</v>
      </c>
      <c r="J1268" s="50" t="n">
        <f aca="false">H1268*INDEX('Model Inputs &amp; Assumptions'!$D$40:$D$42,MATCH('Model Inputs &amp; Assumptions'!$L$30,'Model Inputs &amp; Assumptions'!$A$40:$A$42,0))*INDEX('Model Inputs &amp; Assumptions'!$H$40:$H$42,MATCH('Model Inputs &amp; Assumptions'!$L$30,'Model Inputs &amp; Assumptions'!$A$40:$A$42,0))</f>
        <v>144518.886118469</v>
      </c>
      <c r="K1268" s="49" t="n">
        <f aca="false">H1268*INDEX('Model Inputs &amp; Assumptions'!$G$40:$G$42,MATCH('Model Inputs &amp; Assumptions'!$L$30,'Model Inputs &amp; Assumptions'!$A$40:$A$42,0))*INDEX('Model Inputs &amp; Assumptions'!$H$40:$H$42,MATCH('Model Inputs &amp; Assumptions'!$L$30,'Model Inputs &amp; Assumptions'!$A$40:$A$42,0))</f>
        <v>3186.64143891225</v>
      </c>
      <c r="L1268" s="51" t="n">
        <f aca="false">IFERROR(K1268/I1268,0)</f>
        <v>0.461832092595978</v>
      </c>
      <c r="M1268" s="49" t="n">
        <f aca="false">IFERROR(I1268/H1268,0)</f>
        <v>343.761298846954</v>
      </c>
      <c r="N1268" s="52" t="str">
        <f aca="false">'Model Inputs &amp; Assumptions'!$L$30</f>
        <v>PRD-USIQ</v>
      </c>
      <c r="P1268" s="53" t="n">
        <v>-1.096314</v>
      </c>
      <c r="Q1268" s="53" t="n">
        <v>0.842218</v>
      </c>
      <c r="R1268" s="53" t="n">
        <v>-0.902341</v>
      </c>
      <c r="S1268" s="53" t="n">
        <v>-2.028165</v>
      </c>
    </row>
    <row r="1269" customFormat="false" ht="15" hidden="false" customHeight="false" outlineLevel="0" collapsed="false">
      <c r="A1269" s="43" t="n">
        <v>266</v>
      </c>
      <c r="B1269" s="44" t="str">
        <f aca="false">'Model Inputs &amp; Assumptions'!$B$30</f>
        <v>extraETF — Newsletter Takeover</v>
      </c>
      <c r="C1269" s="45" t="n">
        <f aca="false">ROUND(MAX(0,'Model Inputs &amp; Assumptions'!$S$30*EXP('Model Inputs &amp; Assumptions'!$T$30*P1269-'Model Inputs &amp; Assumptions'!$T$30^2/2)),0)</f>
        <v>110881</v>
      </c>
      <c r="D1269" s="46" t="n">
        <f aca="false">MIN(1,'Model Inputs &amp; Assumptions'!$U$30*EXP('Model Inputs &amp; Assumptions'!$V$30*Q1269-'Model Inputs &amp; Assumptions'!$V$30^2/2))</f>
        <v>0</v>
      </c>
      <c r="E1269" s="45" t="n">
        <f aca="false">ROUND(C1269*D1269,0)</f>
        <v>0</v>
      </c>
      <c r="F1269" s="47" t="n">
        <f aca="false">MIN(1,'Model Inputs &amp; Assumptions'!$W$30*EXP('Model Inputs &amp; Assumptions'!$X$30*R1269-'Model Inputs &amp; Assumptions'!$X$30^2/2))</f>
        <v>0.00775252651117166</v>
      </c>
      <c r="G1269" s="45" t="n">
        <f aca="false">ROUND(C1269*F1269,0)</f>
        <v>860</v>
      </c>
      <c r="H1269" s="48" t="n">
        <f aca="false">MAX(0,(C1269*'Model Inputs &amp; Assumptions'!$N$30+E1269*'Model Inputs &amp; Assumptions'!$O$30+G1269*'Model Inputs &amp; Assumptions'!$P$30)*EXP('Model Inputs &amp; Assumptions'!$Q$30*S1269-'Model Inputs &amp; Assumptions'!$Q$30^2/2))</f>
        <v>53.2662610690172</v>
      </c>
      <c r="I1269" s="49" t="n">
        <f aca="false">IF('Model Inputs &amp; Assumptions'!$H$30="Fixed",'Model Inputs &amp; Assumptions'!$I$30*'Model Inputs &amp; Assumptions'!$K$30,IF('Model Inputs &amp; Assumptions'!$H$30="CPM",'Model Inputs &amp; Assumptions'!$I$30*'Model Inputs &amp; Assumptions'!$K$30*C1269/1000,IF('Model Inputs &amp; Assumptions'!$H$30="CPC",'Model Inputs &amp; Assumptions'!$I$30*'Model Inputs &amp; Assumptions'!$K$30*G1269,0)))</f>
        <v>6900</v>
      </c>
      <c r="J1269" s="50" t="n">
        <f aca="false">H1269*INDEX('Model Inputs &amp; Assumptions'!$D$40:$D$42,MATCH('Model Inputs &amp; Assumptions'!$L$30,'Model Inputs &amp; Assumptions'!$A$40:$A$42,0))*INDEX('Model Inputs &amp; Assumptions'!$H$40:$H$42,MATCH('Model Inputs &amp; Assumptions'!$L$30,'Model Inputs &amp; Assumptions'!$A$40:$A$42,0))</f>
        <v>383517.079696924</v>
      </c>
      <c r="K1269" s="49" t="n">
        <f aca="false">H1269*INDEX('Model Inputs &amp; Assumptions'!$G$40:$G$42,MATCH('Model Inputs &amp; Assumptions'!$L$30,'Model Inputs &amp; Assumptions'!$A$40:$A$42,0))*INDEX('Model Inputs &amp; Assumptions'!$H$40:$H$42,MATCH('Model Inputs &amp; Assumptions'!$L$30,'Model Inputs &amp; Assumptions'!$A$40:$A$42,0))</f>
        <v>8456.55160731716</v>
      </c>
      <c r="L1269" s="51" t="n">
        <f aca="false">IFERROR(K1269/I1269,0)</f>
        <v>1.22558718946626</v>
      </c>
      <c r="M1269" s="49" t="n">
        <f aca="false">IFERROR(I1269/H1269,0)</f>
        <v>129.537907514471</v>
      </c>
      <c r="N1269" s="52" t="str">
        <f aca="false">'Model Inputs &amp; Assumptions'!$L$30</f>
        <v>PRD-USIQ</v>
      </c>
      <c r="P1269" s="53" t="n">
        <v>1.986035</v>
      </c>
      <c r="Q1269" s="53" t="n">
        <v>0.12065</v>
      </c>
      <c r="R1269" s="53" t="n">
        <v>-0.134485</v>
      </c>
      <c r="S1269" s="53" t="n">
        <v>-0.068045</v>
      </c>
    </row>
    <row r="1270" customFormat="false" ht="15" hidden="false" customHeight="false" outlineLevel="0" collapsed="false">
      <c r="A1270" s="43" t="n">
        <v>267</v>
      </c>
      <c r="B1270" s="44" t="str">
        <f aca="false">'Model Inputs &amp; Assumptions'!$B$30</f>
        <v>extraETF — Newsletter Takeover</v>
      </c>
      <c r="C1270" s="45" t="n">
        <f aca="false">ROUND(MAX(0,'Model Inputs &amp; Assumptions'!$S$30*EXP('Model Inputs &amp; Assumptions'!$T$30*P1270-'Model Inputs &amp; Assumptions'!$T$30^2/2)),0)</f>
        <v>98546</v>
      </c>
      <c r="D1270" s="46" t="n">
        <f aca="false">MIN(1,'Model Inputs &amp; Assumptions'!$U$30*EXP('Model Inputs &amp; Assumptions'!$V$30*Q1270-'Model Inputs &amp; Assumptions'!$V$30^2/2))</f>
        <v>0</v>
      </c>
      <c r="E1270" s="45" t="n">
        <f aca="false">ROUND(C1270*D1270,0)</f>
        <v>0</v>
      </c>
      <c r="F1270" s="47" t="n">
        <f aca="false">MIN(1,'Model Inputs &amp; Assumptions'!$W$30*EXP('Model Inputs &amp; Assumptions'!$X$30*R1270-'Model Inputs &amp; Assumptions'!$X$30^2/2))</f>
        <v>0.0086206340846969</v>
      </c>
      <c r="G1270" s="45" t="n">
        <f aca="false">ROUND(C1270*F1270,0)</f>
        <v>850</v>
      </c>
      <c r="H1270" s="48" t="n">
        <f aca="false">MAX(0,(C1270*'Model Inputs &amp; Assumptions'!$N$30+E1270*'Model Inputs &amp; Assumptions'!$O$30+G1270*'Model Inputs &amp; Assumptions'!$P$30)*EXP('Model Inputs &amp; Assumptions'!$Q$30*S1270-'Model Inputs &amp; Assumptions'!$Q$30^2/2))</f>
        <v>30.877216764086</v>
      </c>
      <c r="I1270" s="49" t="n">
        <f aca="false">IF('Model Inputs &amp; Assumptions'!$H$30="Fixed",'Model Inputs &amp; Assumptions'!$I$30*'Model Inputs &amp; Assumptions'!$K$30,IF('Model Inputs &amp; Assumptions'!$H$30="CPM",'Model Inputs &amp; Assumptions'!$I$30*'Model Inputs &amp; Assumptions'!$K$30*C1270/1000,IF('Model Inputs &amp; Assumptions'!$H$30="CPC",'Model Inputs &amp; Assumptions'!$I$30*'Model Inputs &amp; Assumptions'!$K$30*G1270,0)))</f>
        <v>6900</v>
      </c>
      <c r="J1270" s="50" t="n">
        <f aca="false">H1270*INDEX('Model Inputs &amp; Assumptions'!$D$40:$D$42,MATCH('Model Inputs &amp; Assumptions'!$L$30,'Model Inputs &amp; Assumptions'!$A$40:$A$42,0))*INDEX('Model Inputs &amp; Assumptions'!$H$40:$H$42,MATCH('Model Inputs &amp; Assumptions'!$L$30,'Model Inputs &amp; Assumptions'!$A$40:$A$42,0))</f>
        <v>222315.960701419</v>
      </c>
      <c r="K1270" s="49" t="n">
        <f aca="false">H1270*INDEX('Model Inputs &amp; Assumptions'!$G$40:$G$42,MATCH('Model Inputs &amp; Assumptions'!$L$30,'Model Inputs &amp; Assumptions'!$A$40:$A$42,0))*INDEX('Model Inputs &amp; Assumptions'!$H$40:$H$42,MATCH('Model Inputs &amp; Assumptions'!$L$30,'Model Inputs &amp; Assumptions'!$A$40:$A$42,0))</f>
        <v>4902.06693346629</v>
      </c>
      <c r="L1270" s="51" t="n">
        <f aca="false">IFERROR(K1270/I1270,0)</f>
        <v>0.710444483111056</v>
      </c>
      <c r="M1270" s="49" t="n">
        <f aca="false">IFERROR(I1270/H1270,0)</f>
        <v>223.465736977484</v>
      </c>
      <c r="N1270" s="52" t="str">
        <f aca="false">'Model Inputs &amp; Assumptions'!$L$30</f>
        <v>PRD-USIQ</v>
      </c>
      <c r="P1270" s="53" t="n">
        <v>1.003196</v>
      </c>
      <c r="Q1270" s="53" t="n">
        <v>-0.385465</v>
      </c>
      <c r="R1270" s="53" t="n">
        <v>0.573114</v>
      </c>
      <c r="S1270" s="53" t="n">
        <v>-2.202399</v>
      </c>
    </row>
    <row r="1271" customFormat="false" ht="15" hidden="false" customHeight="false" outlineLevel="0" collapsed="false">
      <c r="A1271" s="43" t="n">
        <v>268</v>
      </c>
      <c r="B1271" s="44" t="str">
        <f aca="false">'Model Inputs &amp; Assumptions'!$B$30</f>
        <v>extraETF — Newsletter Takeover</v>
      </c>
      <c r="C1271" s="45" t="n">
        <f aca="false">ROUND(MAX(0,'Model Inputs &amp; Assumptions'!$S$30*EXP('Model Inputs &amp; Assumptions'!$T$30*P1271-'Model Inputs &amp; Assumptions'!$T$30^2/2)),0)</f>
        <v>86400</v>
      </c>
      <c r="D1271" s="46" t="n">
        <f aca="false">MIN(1,'Model Inputs &amp; Assumptions'!$U$30*EXP('Model Inputs &amp; Assumptions'!$V$30*Q1271-'Model Inputs &amp; Assumptions'!$V$30^2/2))</f>
        <v>0</v>
      </c>
      <c r="E1271" s="45" t="n">
        <f aca="false">ROUND(C1271*D1271,0)</f>
        <v>0</v>
      </c>
      <c r="F1271" s="47" t="n">
        <f aca="false">MIN(1,'Model Inputs &amp; Assumptions'!$W$30*EXP('Model Inputs &amp; Assumptions'!$X$30*R1271-'Model Inputs &amp; Assumptions'!$X$30^2/2))</f>
        <v>0.00941541407676372</v>
      </c>
      <c r="G1271" s="45" t="n">
        <f aca="false">ROUND(C1271*F1271,0)</f>
        <v>813</v>
      </c>
      <c r="H1271" s="48" t="n">
        <f aca="false">MAX(0,(C1271*'Model Inputs &amp; Assumptions'!$N$30+E1271*'Model Inputs &amp; Assumptions'!$O$30+G1271*'Model Inputs &amp; Assumptions'!$P$30)*EXP('Model Inputs &amp; Assumptions'!$Q$30*S1271-'Model Inputs &amp; Assumptions'!$Q$30^2/2))</f>
        <v>51.0983573275628</v>
      </c>
      <c r="I1271" s="49" t="n">
        <f aca="false">IF('Model Inputs &amp; Assumptions'!$H$30="Fixed",'Model Inputs &amp; Assumptions'!$I$30*'Model Inputs &amp; Assumptions'!$K$30,IF('Model Inputs &amp; Assumptions'!$H$30="CPM",'Model Inputs &amp; Assumptions'!$I$30*'Model Inputs &amp; Assumptions'!$K$30*C1271/1000,IF('Model Inputs &amp; Assumptions'!$H$30="CPC",'Model Inputs &amp; Assumptions'!$I$30*'Model Inputs &amp; Assumptions'!$K$30*G1271,0)))</f>
        <v>6900</v>
      </c>
      <c r="J1271" s="50" t="n">
        <f aca="false">H1271*INDEX('Model Inputs &amp; Assumptions'!$D$40:$D$42,MATCH('Model Inputs &amp; Assumptions'!$L$30,'Model Inputs &amp; Assumptions'!$A$40:$A$42,0))*INDEX('Model Inputs &amp; Assumptions'!$H$40:$H$42,MATCH('Model Inputs &amp; Assumptions'!$L$30,'Model Inputs &amp; Assumptions'!$A$40:$A$42,0))</f>
        <v>367908.172758452</v>
      </c>
      <c r="K1271" s="49" t="n">
        <f aca="false">H1271*INDEX('Model Inputs &amp; Assumptions'!$G$40:$G$42,MATCH('Model Inputs &amp; Assumptions'!$L$30,'Model Inputs &amp; Assumptions'!$A$40:$A$42,0))*INDEX('Model Inputs &amp; Assumptions'!$H$40:$H$42,MATCH('Model Inputs &amp; Assumptions'!$L$30,'Model Inputs &amp; Assumptions'!$A$40:$A$42,0))</f>
        <v>8112.37520932388</v>
      </c>
      <c r="L1271" s="51" t="n">
        <f aca="false">IFERROR(K1271/I1271,0)</f>
        <v>1.17570655207592</v>
      </c>
      <c r="M1271" s="49" t="n">
        <f aca="false">IFERROR(I1271/H1271,0)</f>
        <v>135.033695031877</v>
      </c>
      <c r="N1271" s="52" t="str">
        <f aca="false">'Model Inputs &amp; Assumptions'!$L$30</f>
        <v>PRD-USIQ</v>
      </c>
      <c r="P1271" s="53" t="n">
        <v>-0.092923</v>
      </c>
      <c r="Q1271" s="53" t="n">
        <v>0.205503</v>
      </c>
      <c r="R1271" s="53" t="n">
        <v>1.161044</v>
      </c>
      <c r="S1271" s="53" t="n">
        <v>-0.009443</v>
      </c>
    </row>
    <row r="1272" customFormat="false" ht="15" hidden="false" customHeight="false" outlineLevel="0" collapsed="false">
      <c r="A1272" s="43" t="n">
        <v>269</v>
      </c>
      <c r="B1272" s="44" t="str">
        <f aca="false">'Model Inputs &amp; Assumptions'!$B$30</f>
        <v>extraETF — Newsletter Takeover</v>
      </c>
      <c r="C1272" s="45" t="n">
        <f aca="false">ROUND(MAX(0,'Model Inputs &amp; Assumptions'!$S$30*EXP('Model Inputs &amp; Assumptions'!$T$30*P1272-'Model Inputs &amp; Assumptions'!$T$30^2/2)),0)</f>
        <v>88526</v>
      </c>
      <c r="D1272" s="46" t="n">
        <f aca="false">MIN(1,'Model Inputs &amp; Assumptions'!$U$30*EXP('Model Inputs &amp; Assumptions'!$V$30*Q1272-'Model Inputs &amp; Assumptions'!$V$30^2/2))</f>
        <v>0</v>
      </c>
      <c r="E1272" s="45" t="n">
        <f aca="false">ROUND(C1272*D1272,0)</f>
        <v>0</v>
      </c>
      <c r="F1272" s="47" t="n">
        <f aca="false">MIN(1,'Model Inputs &amp; Assumptions'!$W$30*EXP('Model Inputs &amp; Assumptions'!$X$30*R1272-'Model Inputs &amp; Assumptions'!$X$30^2/2))</f>
        <v>0.00873355227708422</v>
      </c>
      <c r="G1272" s="45" t="n">
        <f aca="false">ROUND(C1272*F1272,0)</f>
        <v>773</v>
      </c>
      <c r="H1272" s="48" t="n">
        <f aca="false">MAX(0,(C1272*'Model Inputs &amp; Assumptions'!$N$30+E1272*'Model Inputs &amp; Assumptions'!$O$30+G1272*'Model Inputs &amp; Assumptions'!$P$30)*EXP('Model Inputs &amp; Assumptions'!$Q$30*S1272-'Model Inputs &amp; Assumptions'!$Q$30^2/2))</f>
        <v>73.1682284736723</v>
      </c>
      <c r="I1272" s="49" t="n">
        <f aca="false">IF('Model Inputs &amp; Assumptions'!$H$30="Fixed",'Model Inputs &amp; Assumptions'!$I$30*'Model Inputs &amp; Assumptions'!$K$30,IF('Model Inputs &amp; Assumptions'!$H$30="CPM",'Model Inputs &amp; Assumptions'!$I$30*'Model Inputs &amp; Assumptions'!$K$30*C1272/1000,IF('Model Inputs &amp; Assumptions'!$H$30="CPC",'Model Inputs &amp; Assumptions'!$I$30*'Model Inputs &amp; Assumptions'!$K$30*G1272,0)))</f>
        <v>6900</v>
      </c>
      <c r="J1272" s="50" t="n">
        <f aca="false">H1272*INDEX('Model Inputs &amp; Assumptions'!$D$40:$D$42,MATCH('Model Inputs &amp; Assumptions'!$L$30,'Model Inputs &amp; Assumptions'!$A$40:$A$42,0))*INDEX('Model Inputs &amp; Assumptions'!$H$40:$H$42,MATCH('Model Inputs &amp; Assumptions'!$L$30,'Model Inputs &amp; Assumptions'!$A$40:$A$42,0))</f>
        <v>526811.245010441</v>
      </c>
      <c r="K1272" s="49" t="n">
        <f aca="false">H1272*INDEX('Model Inputs &amp; Assumptions'!$G$40:$G$42,MATCH('Model Inputs &amp; Assumptions'!$L$30,'Model Inputs &amp; Assumptions'!$A$40:$A$42,0))*INDEX('Model Inputs &amp; Assumptions'!$H$40:$H$42,MATCH('Model Inputs &amp; Assumptions'!$L$30,'Model Inputs &amp; Assumptions'!$A$40:$A$42,0))</f>
        <v>11616.1879524802</v>
      </c>
      <c r="L1272" s="51" t="n">
        <f aca="false">IFERROR(K1272/I1272,0)</f>
        <v>1.68350550035945</v>
      </c>
      <c r="M1272" s="49" t="n">
        <f aca="false">IFERROR(I1272/H1272,0)</f>
        <v>94.3032261944512</v>
      </c>
      <c r="N1272" s="52" t="str">
        <f aca="false">'Model Inputs &amp; Assumptions'!$L$30</f>
        <v>PRD-USIQ</v>
      </c>
      <c r="P1272" s="53" t="n">
        <v>0.109672</v>
      </c>
      <c r="Q1272" s="53" t="n">
        <v>0.432927</v>
      </c>
      <c r="R1272" s="53" t="n">
        <v>0.659871</v>
      </c>
      <c r="S1272" s="53" t="n">
        <v>1.628401</v>
      </c>
    </row>
    <row r="1273" customFormat="false" ht="15" hidden="false" customHeight="false" outlineLevel="0" collapsed="false">
      <c r="A1273" s="43" t="n">
        <v>270</v>
      </c>
      <c r="B1273" s="44" t="str">
        <f aca="false">'Model Inputs &amp; Assumptions'!$B$30</f>
        <v>extraETF — Newsletter Takeover</v>
      </c>
      <c r="C1273" s="45" t="n">
        <f aca="false">ROUND(MAX(0,'Model Inputs &amp; Assumptions'!$S$30*EXP('Model Inputs &amp; Assumptions'!$T$30*P1273-'Model Inputs &amp; Assumptions'!$T$30^2/2)),0)</f>
        <v>91568</v>
      </c>
      <c r="D1273" s="46" t="n">
        <f aca="false">MIN(1,'Model Inputs &amp; Assumptions'!$U$30*EXP('Model Inputs &amp; Assumptions'!$V$30*Q1273-'Model Inputs &amp; Assumptions'!$V$30^2/2))</f>
        <v>0</v>
      </c>
      <c r="E1273" s="45" t="n">
        <f aca="false">ROUND(C1273*D1273,0)</f>
        <v>0</v>
      </c>
      <c r="F1273" s="47" t="n">
        <f aca="false">MIN(1,'Model Inputs &amp; Assumptions'!$W$30*EXP('Model Inputs &amp; Assumptions'!$X$30*R1273-'Model Inputs &amp; Assumptions'!$X$30^2/2))</f>
        <v>0.00823598560772029</v>
      </c>
      <c r="G1273" s="45" t="n">
        <f aca="false">ROUND(C1273*F1273,0)</f>
        <v>754</v>
      </c>
      <c r="H1273" s="48" t="n">
        <f aca="false">MAX(0,(C1273*'Model Inputs &amp; Assumptions'!$N$30+E1273*'Model Inputs &amp; Assumptions'!$O$30+G1273*'Model Inputs &amp; Assumptions'!$P$30)*EXP('Model Inputs &amp; Assumptions'!$Q$30*S1273-'Model Inputs &amp; Assumptions'!$Q$30^2/2))</f>
        <v>58.2741797268519</v>
      </c>
      <c r="I1273" s="49" t="n">
        <f aca="false">IF('Model Inputs &amp; Assumptions'!$H$30="Fixed",'Model Inputs &amp; Assumptions'!$I$30*'Model Inputs &amp; Assumptions'!$K$30,IF('Model Inputs &amp; Assumptions'!$H$30="CPM",'Model Inputs &amp; Assumptions'!$I$30*'Model Inputs &amp; Assumptions'!$K$30*C1273/1000,IF('Model Inputs &amp; Assumptions'!$H$30="CPC",'Model Inputs &amp; Assumptions'!$I$30*'Model Inputs &amp; Assumptions'!$K$30*G1273,0)))</f>
        <v>6900</v>
      </c>
      <c r="J1273" s="50" t="n">
        <f aca="false">H1273*INDEX('Model Inputs &amp; Assumptions'!$D$40:$D$42,MATCH('Model Inputs &amp; Assumptions'!$L$30,'Model Inputs &amp; Assumptions'!$A$40:$A$42,0))*INDEX('Model Inputs &amp; Assumptions'!$H$40:$H$42,MATCH('Model Inputs &amp; Assumptions'!$L$30,'Model Inputs &amp; Assumptions'!$A$40:$A$42,0))</f>
        <v>419574.094033333</v>
      </c>
      <c r="K1273" s="49" t="n">
        <f aca="false">H1273*INDEX('Model Inputs &amp; Assumptions'!$G$40:$G$42,MATCH('Model Inputs &amp; Assumptions'!$L$30,'Model Inputs &amp; Assumptions'!$A$40:$A$42,0))*INDEX('Model Inputs &amp; Assumptions'!$H$40:$H$42,MATCH('Model Inputs &amp; Assumptions'!$L$30,'Model Inputs &amp; Assumptions'!$A$40:$A$42,0))</f>
        <v>9251.608773435</v>
      </c>
      <c r="L1273" s="51" t="n">
        <f aca="false">IFERROR(K1273/I1273,0)</f>
        <v>1.34081286571522</v>
      </c>
      <c r="M1273" s="49" t="n">
        <f aca="false">IFERROR(I1273/H1273,0)</f>
        <v>118.405785072262</v>
      </c>
      <c r="N1273" s="52" t="str">
        <f aca="false">'Model Inputs &amp; Assumptions'!$L$30</f>
        <v>PRD-USIQ</v>
      </c>
      <c r="P1273" s="53" t="n">
        <v>0.391166</v>
      </c>
      <c r="Q1273" s="53" t="n">
        <v>-0.488652</v>
      </c>
      <c r="R1273" s="53" t="n">
        <v>0.26881</v>
      </c>
      <c r="S1273" s="53" t="n">
        <v>0.817539</v>
      </c>
    </row>
    <row r="1274" customFormat="false" ht="15" hidden="false" customHeight="false" outlineLevel="0" collapsed="false">
      <c r="A1274" s="43" t="n">
        <v>271</v>
      </c>
      <c r="B1274" s="44" t="str">
        <f aca="false">'Model Inputs &amp; Assumptions'!$B$30</f>
        <v>extraETF — Newsletter Takeover</v>
      </c>
      <c r="C1274" s="45" t="n">
        <f aca="false">ROUND(MAX(0,'Model Inputs &amp; Assumptions'!$S$30*EXP('Model Inputs &amp; Assumptions'!$T$30*P1274-'Model Inputs &amp; Assumptions'!$T$30^2/2)),0)</f>
        <v>96061</v>
      </c>
      <c r="D1274" s="46" t="n">
        <f aca="false">MIN(1,'Model Inputs &amp; Assumptions'!$U$30*EXP('Model Inputs &amp; Assumptions'!$V$30*Q1274-'Model Inputs &amp; Assumptions'!$V$30^2/2))</f>
        <v>0</v>
      </c>
      <c r="E1274" s="45" t="n">
        <f aca="false">ROUND(C1274*D1274,0)</f>
        <v>0</v>
      </c>
      <c r="F1274" s="47" t="n">
        <f aca="false">MIN(1,'Model Inputs &amp; Assumptions'!$W$30*EXP('Model Inputs &amp; Assumptions'!$X$30*R1274-'Model Inputs &amp; Assumptions'!$X$30^2/2))</f>
        <v>0.0106334090488606</v>
      </c>
      <c r="G1274" s="45" t="n">
        <f aca="false">ROUND(C1274*F1274,0)</f>
        <v>1021</v>
      </c>
      <c r="H1274" s="48" t="n">
        <f aca="false">MAX(0,(C1274*'Model Inputs &amp; Assumptions'!$N$30+E1274*'Model Inputs &amp; Assumptions'!$O$30+G1274*'Model Inputs &amp; Assumptions'!$P$30)*EXP('Model Inputs &amp; Assumptions'!$Q$30*S1274-'Model Inputs &amp; Assumptions'!$Q$30^2/2))</f>
        <v>91.1303417900969</v>
      </c>
      <c r="I1274" s="49" t="n">
        <f aca="false">IF('Model Inputs &amp; Assumptions'!$H$30="Fixed",'Model Inputs &amp; Assumptions'!$I$30*'Model Inputs &amp; Assumptions'!$K$30,IF('Model Inputs &amp; Assumptions'!$H$30="CPM",'Model Inputs &amp; Assumptions'!$I$30*'Model Inputs &amp; Assumptions'!$K$30*C1274/1000,IF('Model Inputs &amp; Assumptions'!$H$30="CPC",'Model Inputs &amp; Assumptions'!$I$30*'Model Inputs &amp; Assumptions'!$K$30*G1274,0)))</f>
        <v>6900</v>
      </c>
      <c r="J1274" s="50" t="n">
        <f aca="false">H1274*INDEX('Model Inputs &amp; Assumptions'!$D$40:$D$42,MATCH('Model Inputs &amp; Assumptions'!$L$30,'Model Inputs &amp; Assumptions'!$A$40:$A$42,0))*INDEX('Model Inputs &amp; Assumptions'!$H$40:$H$42,MATCH('Model Inputs &amp; Assumptions'!$L$30,'Model Inputs &amp; Assumptions'!$A$40:$A$42,0))</f>
        <v>656138.460888698</v>
      </c>
      <c r="K1274" s="49" t="n">
        <f aca="false">H1274*INDEX('Model Inputs &amp; Assumptions'!$G$40:$G$42,MATCH('Model Inputs &amp; Assumptions'!$L$30,'Model Inputs &amp; Assumptions'!$A$40:$A$42,0))*INDEX('Model Inputs &amp; Assumptions'!$H$40:$H$42,MATCH('Model Inputs &amp; Assumptions'!$L$30,'Model Inputs &amp; Assumptions'!$A$40:$A$42,0))</f>
        <v>14467.8530625958</v>
      </c>
      <c r="L1274" s="51" t="n">
        <f aca="false">IFERROR(K1274/I1274,0)</f>
        <v>2.09679029892693</v>
      </c>
      <c r="M1274" s="49" t="n">
        <f aca="false">IFERROR(I1274/H1274,0)</f>
        <v>75.7157261177947</v>
      </c>
      <c r="N1274" s="52" t="str">
        <f aca="false">'Model Inputs &amp; Assumptions'!$L$30</f>
        <v>PRD-USIQ</v>
      </c>
      <c r="P1274" s="53" t="n">
        <v>0.790422</v>
      </c>
      <c r="Q1274" s="53" t="n">
        <v>-0.877545</v>
      </c>
      <c r="R1274" s="53" t="n">
        <v>1.972062</v>
      </c>
      <c r="S1274" s="53" t="n">
        <v>1.393484</v>
      </c>
    </row>
    <row r="1275" customFormat="false" ht="15" hidden="false" customHeight="false" outlineLevel="0" collapsed="false">
      <c r="A1275" s="43" t="n">
        <v>272</v>
      </c>
      <c r="B1275" s="44" t="str">
        <f aca="false">'Model Inputs &amp; Assumptions'!$B$30</f>
        <v>extraETF — Newsletter Takeover</v>
      </c>
      <c r="C1275" s="45" t="n">
        <f aca="false">ROUND(MAX(0,'Model Inputs &amp; Assumptions'!$S$30*EXP('Model Inputs &amp; Assumptions'!$T$30*P1275-'Model Inputs &amp; Assumptions'!$T$30^2/2)),0)</f>
        <v>84217</v>
      </c>
      <c r="D1275" s="46" t="n">
        <f aca="false">MIN(1,'Model Inputs &amp; Assumptions'!$U$30*EXP('Model Inputs &amp; Assumptions'!$V$30*Q1275-'Model Inputs &amp; Assumptions'!$V$30^2/2))</f>
        <v>0</v>
      </c>
      <c r="E1275" s="45" t="n">
        <f aca="false">ROUND(C1275*D1275,0)</f>
        <v>0</v>
      </c>
      <c r="F1275" s="47" t="n">
        <f aca="false">MIN(1,'Model Inputs &amp; Assumptions'!$W$30*EXP('Model Inputs &amp; Assumptions'!$X$30*R1275-'Model Inputs &amp; Assumptions'!$X$30^2/2))</f>
        <v>0.00884428326622322</v>
      </c>
      <c r="G1275" s="45" t="n">
        <f aca="false">ROUND(C1275*F1275,0)</f>
        <v>745</v>
      </c>
      <c r="H1275" s="48" t="n">
        <f aca="false">MAX(0,(C1275*'Model Inputs &amp; Assumptions'!$N$30+E1275*'Model Inputs &amp; Assumptions'!$O$30+G1275*'Model Inputs &amp; Assumptions'!$P$30)*EXP('Model Inputs &amp; Assumptions'!$Q$30*S1275-'Model Inputs &amp; Assumptions'!$Q$30^2/2))</f>
        <v>37.1144343243354</v>
      </c>
      <c r="I1275" s="49" t="n">
        <f aca="false">IF('Model Inputs &amp; Assumptions'!$H$30="Fixed",'Model Inputs &amp; Assumptions'!$I$30*'Model Inputs &amp; Assumptions'!$K$30,IF('Model Inputs &amp; Assumptions'!$H$30="CPM",'Model Inputs &amp; Assumptions'!$I$30*'Model Inputs &amp; Assumptions'!$K$30*C1275/1000,IF('Model Inputs &amp; Assumptions'!$H$30="CPC",'Model Inputs &amp; Assumptions'!$I$30*'Model Inputs &amp; Assumptions'!$K$30*G1275,0)))</f>
        <v>6900</v>
      </c>
      <c r="J1275" s="50" t="n">
        <f aca="false">H1275*INDEX('Model Inputs &amp; Assumptions'!$D$40:$D$42,MATCH('Model Inputs &amp; Assumptions'!$L$30,'Model Inputs &amp; Assumptions'!$A$40:$A$42,0))*INDEX('Model Inputs &amp; Assumptions'!$H$40:$H$42,MATCH('Model Inputs &amp; Assumptions'!$L$30,'Model Inputs &amp; Assumptions'!$A$40:$A$42,0))</f>
        <v>267223.927135215</v>
      </c>
      <c r="K1275" s="49" t="n">
        <f aca="false">H1275*INDEX('Model Inputs &amp; Assumptions'!$G$40:$G$42,MATCH('Model Inputs &amp; Assumptions'!$L$30,'Model Inputs &amp; Assumptions'!$A$40:$A$42,0))*INDEX('Model Inputs &amp; Assumptions'!$H$40:$H$42,MATCH('Model Inputs &amp; Assumptions'!$L$30,'Model Inputs &amp; Assumptions'!$A$40:$A$42,0))</f>
        <v>5892.28759333148</v>
      </c>
      <c r="L1275" s="51" t="n">
        <f aca="false">IFERROR(K1275/I1275,0)</f>
        <v>0.853954723671229</v>
      </c>
      <c r="M1275" s="49" t="n">
        <f aca="false">IFERROR(I1275/H1275,0)</f>
        <v>185.911495772839</v>
      </c>
      <c r="N1275" s="52" t="str">
        <f aca="false">'Model Inputs &amp; Assumptions'!$L$30</f>
        <v>PRD-USIQ</v>
      </c>
      <c r="P1275" s="53" t="n">
        <v>-0.306148</v>
      </c>
      <c r="Q1275" s="53" t="n">
        <v>-0.242498</v>
      </c>
      <c r="R1275" s="53" t="n">
        <v>0.743865</v>
      </c>
      <c r="S1275" s="53" t="n">
        <v>-0.939041</v>
      </c>
    </row>
    <row r="1276" customFormat="false" ht="15" hidden="false" customHeight="false" outlineLevel="0" collapsed="false">
      <c r="A1276" s="43" t="n">
        <v>273</v>
      </c>
      <c r="B1276" s="44" t="str">
        <f aca="false">'Model Inputs &amp; Assumptions'!$B$30</f>
        <v>extraETF — Newsletter Takeover</v>
      </c>
      <c r="C1276" s="45" t="n">
        <f aca="false">ROUND(MAX(0,'Model Inputs &amp; Assumptions'!$S$30*EXP('Model Inputs &amp; Assumptions'!$T$30*P1276-'Model Inputs &amp; Assumptions'!$T$30^2/2)),0)</f>
        <v>95197</v>
      </c>
      <c r="D1276" s="46" t="n">
        <f aca="false">MIN(1,'Model Inputs &amp; Assumptions'!$U$30*EXP('Model Inputs &amp; Assumptions'!$V$30*Q1276-'Model Inputs &amp; Assumptions'!$V$30^2/2))</f>
        <v>0</v>
      </c>
      <c r="E1276" s="45" t="n">
        <f aca="false">ROUND(C1276*D1276,0)</f>
        <v>0</v>
      </c>
      <c r="F1276" s="47" t="n">
        <f aca="false">MIN(1,'Model Inputs &amp; Assumptions'!$W$30*EXP('Model Inputs &amp; Assumptions'!$X$30*R1276-'Model Inputs &amp; Assumptions'!$X$30^2/2))</f>
        <v>0.0089843991162705</v>
      </c>
      <c r="G1276" s="45" t="n">
        <f aca="false">ROUND(C1276*F1276,0)</f>
        <v>855</v>
      </c>
      <c r="H1276" s="48" t="n">
        <f aca="false">MAX(0,(C1276*'Model Inputs &amp; Assumptions'!$N$30+E1276*'Model Inputs &amp; Assumptions'!$O$30+G1276*'Model Inputs &amp; Assumptions'!$P$30)*EXP('Model Inputs &amp; Assumptions'!$Q$30*S1276-'Model Inputs &amp; Assumptions'!$Q$30^2/2))</f>
        <v>54.7447355562778</v>
      </c>
      <c r="I1276" s="49" t="n">
        <f aca="false">IF('Model Inputs &amp; Assumptions'!$H$30="Fixed",'Model Inputs &amp; Assumptions'!$I$30*'Model Inputs &amp; Assumptions'!$K$30,IF('Model Inputs &amp; Assumptions'!$H$30="CPM",'Model Inputs &amp; Assumptions'!$I$30*'Model Inputs &amp; Assumptions'!$K$30*C1276/1000,IF('Model Inputs &amp; Assumptions'!$H$30="CPC",'Model Inputs &amp; Assumptions'!$I$30*'Model Inputs &amp; Assumptions'!$K$30*G1276,0)))</f>
        <v>6900</v>
      </c>
      <c r="J1276" s="50" t="n">
        <f aca="false">H1276*INDEX('Model Inputs &amp; Assumptions'!$D$40:$D$42,MATCH('Model Inputs &amp; Assumptions'!$L$30,'Model Inputs &amp; Assumptions'!$A$40:$A$42,0))*INDEX('Model Inputs &amp; Assumptions'!$H$40:$H$42,MATCH('Model Inputs &amp; Assumptions'!$L$30,'Model Inputs &amp; Assumptions'!$A$40:$A$42,0))</f>
        <v>394162.0960052</v>
      </c>
      <c r="K1276" s="49" t="n">
        <f aca="false">H1276*INDEX('Model Inputs &amp; Assumptions'!$G$40:$G$42,MATCH('Model Inputs &amp; Assumptions'!$L$30,'Model Inputs &amp; Assumptions'!$A$40:$A$42,0))*INDEX('Model Inputs &amp; Assumptions'!$H$40:$H$42,MATCH('Model Inputs &amp; Assumptions'!$L$30,'Model Inputs &amp; Assumptions'!$A$40:$A$42,0))</f>
        <v>8691.27421691467</v>
      </c>
      <c r="L1276" s="51" t="n">
        <f aca="false">IFERROR(K1276/I1276,0)</f>
        <v>1.25960495897314</v>
      </c>
      <c r="M1276" s="49" t="n">
        <f aca="false">IFERROR(I1276/H1276,0)</f>
        <v>126.039516492079</v>
      </c>
      <c r="N1276" s="52" t="str">
        <f aca="false">'Model Inputs &amp; Assumptions'!$L$30</f>
        <v>PRD-USIQ</v>
      </c>
      <c r="P1276" s="53" t="n">
        <v>0.71509</v>
      </c>
      <c r="Q1276" s="53" t="n">
        <v>0.10901</v>
      </c>
      <c r="R1276" s="53" t="n">
        <v>0.848654</v>
      </c>
      <c r="S1276" s="53" t="n">
        <v>0.064791</v>
      </c>
    </row>
    <row r="1277" customFormat="false" ht="15" hidden="false" customHeight="false" outlineLevel="0" collapsed="false">
      <c r="A1277" s="43" t="n">
        <v>274</v>
      </c>
      <c r="B1277" s="44" t="str">
        <f aca="false">'Model Inputs &amp; Assumptions'!$B$30</f>
        <v>extraETF — Newsletter Takeover</v>
      </c>
      <c r="C1277" s="45" t="n">
        <f aca="false">ROUND(MAX(0,'Model Inputs &amp; Assumptions'!$S$30*EXP('Model Inputs &amp; Assumptions'!$T$30*P1277-'Model Inputs &amp; Assumptions'!$T$30^2/2)),0)</f>
        <v>95843</v>
      </c>
      <c r="D1277" s="46" t="n">
        <f aca="false">MIN(1,'Model Inputs &amp; Assumptions'!$U$30*EXP('Model Inputs &amp; Assumptions'!$V$30*Q1277-'Model Inputs &amp; Assumptions'!$V$30^2/2))</f>
        <v>0</v>
      </c>
      <c r="E1277" s="45" t="n">
        <f aca="false">ROUND(C1277*D1277,0)</f>
        <v>0</v>
      </c>
      <c r="F1277" s="47" t="n">
        <f aca="false">MIN(1,'Model Inputs &amp; Assumptions'!$W$30*EXP('Model Inputs &amp; Assumptions'!$X$30*R1277-'Model Inputs &amp; Assumptions'!$X$30^2/2))</f>
        <v>0.00843921834932503</v>
      </c>
      <c r="G1277" s="45" t="n">
        <f aca="false">ROUND(C1277*F1277,0)</f>
        <v>809</v>
      </c>
      <c r="H1277" s="48" t="n">
        <f aca="false">MAX(0,(C1277*'Model Inputs &amp; Assumptions'!$N$30+E1277*'Model Inputs &amp; Assumptions'!$O$30+G1277*'Model Inputs &amp; Assumptions'!$P$30)*EXP('Model Inputs &amp; Assumptions'!$Q$30*S1277-'Model Inputs &amp; Assumptions'!$Q$30^2/2))</f>
        <v>66.7917892769353</v>
      </c>
      <c r="I1277" s="49" t="n">
        <f aca="false">IF('Model Inputs &amp; Assumptions'!$H$30="Fixed",'Model Inputs &amp; Assumptions'!$I$30*'Model Inputs &amp; Assumptions'!$K$30,IF('Model Inputs &amp; Assumptions'!$H$30="CPM",'Model Inputs &amp; Assumptions'!$I$30*'Model Inputs &amp; Assumptions'!$K$30*C1277/1000,IF('Model Inputs &amp; Assumptions'!$H$30="CPC",'Model Inputs &amp; Assumptions'!$I$30*'Model Inputs &amp; Assumptions'!$K$30*G1277,0)))</f>
        <v>6900</v>
      </c>
      <c r="J1277" s="50" t="n">
        <f aca="false">H1277*INDEX('Model Inputs &amp; Assumptions'!$D$40:$D$42,MATCH('Model Inputs &amp; Assumptions'!$L$30,'Model Inputs &amp; Assumptions'!$A$40:$A$42,0))*INDEX('Model Inputs &amp; Assumptions'!$H$40:$H$42,MATCH('Model Inputs &amp; Assumptions'!$L$30,'Model Inputs &amp; Assumptions'!$A$40:$A$42,0))</f>
        <v>480900.882793934</v>
      </c>
      <c r="K1277" s="49" t="n">
        <f aca="false">H1277*INDEX('Model Inputs &amp; Assumptions'!$G$40:$G$42,MATCH('Model Inputs &amp; Assumptions'!$L$30,'Model Inputs &amp; Assumptions'!$A$40:$A$42,0))*INDEX('Model Inputs &amp; Assumptions'!$H$40:$H$42,MATCH('Model Inputs &amp; Assumptions'!$L$30,'Model Inputs &amp; Assumptions'!$A$40:$A$42,0))</f>
        <v>10603.8644656062</v>
      </c>
      <c r="L1277" s="51" t="n">
        <f aca="false">IFERROR(K1277/I1277,0)</f>
        <v>1.53679195153714</v>
      </c>
      <c r="M1277" s="49" t="n">
        <f aca="false">IFERROR(I1277/H1277,0)</f>
        <v>103.306111045938</v>
      </c>
      <c r="N1277" s="52" t="str">
        <f aca="false">'Model Inputs &amp; Assumptions'!$L$30</f>
        <v>PRD-USIQ</v>
      </c>
      <c r="P1277" s="53" t="n">
        <v>0.771484</v>
      </c>
      <c r="Q1277" s="53" t="n">
        <v>-0.150337</v>
      </c>
      <c r="R1277" s="53" t="n">
        <v>0.431321</v>
      </c>
      <c r="S1277" s="53" t="n">
        <v>1.081597</v>
      </c>
    </row>
    <row r="1278" customFormat="false" ht="15" hidden="false" customHeight="false" outlineLevel="0" collapsed="false">
      <c r="A1278" s="43" t="n">
        <v>275</v>
      </c>
      <c r="B1278" s="44" t="str">
        <f aca="false">'Model Inputs &amp; Assumptions'!$B$30</f>
        <v>extraETF — Newsletter Takeover</v>
      </c>
      <c r="C1278" s="45" t="n">
        <f aca="false">ROUND(MAX(0,'Model Inputs &amp; Assumptions'!$S$30*EXP('Model Inputs &amp; Assumptions'!$T$30*P1278-'Model Inputs &amp; Assumptions'!$T$30^2/2)),0)</f>
        <v>88251</v>
      </c>
      <c r="D1278" s="46" t="n">
        <f aca="false">MIN(1,'Model Inputs &amp; Assumptions'!$U$30*EXP('Model Inputs &amp; Assumptions'!$V$30*Q1278-'Model Inputs &amp; Assumptions'!$V$30^2/2))</f>
        <v>0</v>
      </c>
      <c r="E1278" s="45" t="n">
        <f aca="false">ROUND(C1278*D1278,0)</f>
        <v>0</v>
      </c>
      <c r="F1278" s="47" t="n">
        <f aca="false">MIN(1,'Model Inputs &amp; Assumptions'!$W$30*EXP('Model Inputs &amp; Assumptions'!$X$30*R1278-'Model Inputs &amp; Assumptions'!$X$30^2/2))</f>
        <v>0.00693892311465742</v>
      </c>
      <c r="G1278" s="45" t="n">
        <f aca="false">ROUND(C1278*F1278,0)</f>
        <v>612</v>
      </c>
      <c r="H1278" s="48" t="n">
        <f aca="false">MAX(0,(C1278*'Model Inputs &amp; Assumptions'!$N$30+E1278*'Model Inputs &amp; Assumptions'!$O$30+G1278*'Model Inputs &amp; Assumptions'!$P$30)*EXP('Model Inputs &amp; Assumptions'!$Q$30*S1278-'Model Inputs &amp; Assumptions'!$Q$30^2/2))</f>
        <v>21.8802088646773</v>
      </c>
      <c r="I1278" s="49" t="n">
        <f aca="false">IF('Model Inputs &amp; Assumptions'!$H$30="Fixed",'Model Inputs &amp; Assumptions'!$I$30*'Model Inputs &amp; Assumptions'!$K$30,IF('Model Inputs &amp; Assumptions'!$H$30="CPM",'Model Inputs &amp; Assumptions'!$I$30*'Model Inputs &amp; Assumptions'!$K$30*C1278/1000,IF('Model Inputs &amp; Assumptions'!$H$30="CPC",'Model Inputs &amp; Assumptions'!$I$30*'Model Inputs &amp; Assumptions'!$K$30*G1278,0)))</f>
        <v>6900</v>
      </c>
      <c r="J1278" s="50" t="n">
        <f aca="false">H1278*INDEX('Model Inputs &amp; Assumptions'!$D$40:$D$42,MATCH('Model Inputs &amp; Assumptions'!$L$30,'Model Inputs &amp; Assumptions'!$A$40:$A$42,0))*INDEX('Model Inputs &amp; Assumptions'!$H$40:$H$42,MATCH('Model Inputs &amp; Assumptions'!$L$30,'Model Inputs &amp; Assumptions'!$A$40:$A$42,0))</f>
        <v>157537.503825676</v>
      </c>
      <c r="K1278" s="49" t="n">
        <f aca="false">H1278*INDEX('Model Inputs &amp; Assumptions'!$G$40:$G$42,MATCH('Model Inputs &amp; Assumptions'!$L$30,'Model Inputs &amp; Assumptions'!$A$40:$A$42,0))*INDEX('Model Inputs &amp; Assumptions'!$H$40:$H$42,MATCH('Model Inputs &amp; Assumptions'!$L$30,'Model Inputs &amp; Assumptions'!$A$40:$A$42,0))</f>
        <v>3473.70195935616</v>
      </c>
      <c r="L1278" s="51" t="n">
        <f aca="false">IFERROR(K1278/I1278,0)</f>
        <v>0.503435066573357</v>
      </c>
      <c r="M1278" s="49" t="n">
        <f aca="false">IFERROR(I1278/H1278,0)</f>
        <v>315.353479606822</v>
      </c>
      <c r="N1278" s="52" t="str">
        <f aca="false">'Model Inputs &amp; Assumptions'!$L$30</f>
        <v>PRD-USIQ</v>
      </c>
      <c r="P1278" s="53" t="n">
        <v>0.083769</v>
      </c>
      <c r="Q1278" s="53" t="n">
        <v>-0.135408</v>
      </c>
      <c r="R1278" s="53" t="n">
        <v>-0.873633</v>
      </c>
      <c r="S1278" s="53" t="n">
        <v>-2.266127</v>
      </c>
    </row>
    <row r="1279" customFormat="false" ht="15" hidden="false" customHeight="false" outlineLevel="0" collapsed="false">
      <c r="A1279" s="43" t="n">
        <v>276</v>
      </c>
      <c r="B1279" s="44" t="str">
        <f aca="false">'Model Inputs &amp; Assumptions'!$B$30</f>
        <v>extraETF — Newsletter Takeover</v>
      </c>
      <c r="C1279" s="45" t="n">
        <f aca="false">ROUND(MAX(0,'Model Inputs &amp; Assumptions'!$S$30*EXP('Model Inputs &amp; Assumptions'!$T$30*P1279-'Model Inputs &amp; Assumptions'!$T$30^2/2)),0)</f>
        <v>89254</v>
      </c>
      <c r="D1279" s="46" t="n">
        <f aca="false">MIN(1,'Model Inputs &amp; Assumptions'!$U$30*EXP('Model Inputs &amp; Assumptions'!$V$30*Q1279-'Model Inputs &amp; Assumptions'!$V$30^2/2))</f>
        <v>0</v>
      </c>
      <c r="E1279" s="45" t="n">
        <f aca="false">ROUND(C1279*D1279,0)</f>
        <v>0</v>
      </c>
      <c r="F1279" s="47" t="n">
        <f aca="false">MIN(1,'Model Inputs &amp; Assumptions'!$W$30*EXP('Model Inputs &amp; Assumptions'!$X$30*R1279-'Model Inputs &amp; Assumptions'!$X$30^2/2))</f>
        <v>0.00799579630482787</v>
      </c>
      <c r="G1279" s="45" t="n">
        <f aca="false">ROUND(C1279*F1279,0)</f>
        <v>714</v>
      </c>
      <c r="H1279" s="48" t="n">
        <f aca="false">MAX(0,(C1279*'Model Inputs &amp; Assumptions'!$N$30+E1279*'Model Inputs &amp; Assumptions'!$O$30+G1279*'Model Inputs &amp; Assumptions'!$P$30)*EXP('Model Inputs &amp; Assumptions'!$Q$30*S1279-'Model Inputs &amp; Assumptions'!$Q$30^2/2))</f>
        <v>35.7345748482662</v>
      </c>
      <c r="I1279" s="49" t="n">
        <f aca="false">IF('Model Inputs &amp; Assumptions'!$H$30="Fixed",'Model Inputs &amp; Assumptions'!$I$30*'Model Inputs &amp; Assumptions'!$K$30,IF('Model Inputs &amp; Assumptions'!$H$30="CPM",'Model Inputs &amp; Assumptions'!$I$30*'Model Inputs &amp; Assumptions'!$K$30*C1279/1000,IF('Model Inputs &amp; Assumptions'!$H$30="CPC",'Model Inputs &amp; Assumptions'!$I$30*'Model Inputs &amp; Assumptions'!$K$30*G1279,0)))</f>
        <v>6900</v>
      </c>
      <c r="J1279" s="50" t="n">
        <f aca="false">H1279*INDEX('Model Inputs &amp; Assumptions'!$D$40:$D$42,MATCH('Model Inputs &amp; Assumptions'!$L$30,'Model Inputs &amp; Assumptions'!$A$40:$A$42,0))*INDEX('Model Inputs &amp; Assumptions'!$H$40:$H$42,MATCH('Model Inputs &amp; Assumptions'!$L$30,'Model Inputs &amp; Assumptions'!$A$40:$A$42,0))</f>
        <v>257288.938907517</v>
      </c>
      <c r="K1279" s="49" t="n">
        <f aca="false">H1279*INDEX('Model Inputs &amp; Assumptions'!$G$40:$G$42,MATCH('Model Inputs &amp; Assumptions'!$L$30,'Model Inputs &amp; Assumptions'!$A$40:$A$42,0))*INDEX('Model Inputs &amp; Assumptions'!$H$40:$H$42,MATCH('Model Inputs &amp; Assumptions'!$L$30,'Model Inputs &amp; Assumptions'!$A$40:$A$42,0))</f>
        <v>5673.22110291075</v>
      </c>
      <c r="L1279" s="51" t="n">
        <f aca="false">IFERROR(K1279/I1279,0)</f>
        <v>0.822205956943586</v>
      </c>
      <c r="M1279" s="49" t="n">
        <f aca="false">IFERROR(I1279/H1279,0)</f>
        <v>193.090306217391</v>
      </c>
      <c r="N1279" s="52" t="str">
        <f aca="false">'Model Inputs &amp; Assumptions'!$L$30</f>
        <v>PRD-USIQ</v>
      </c>
      <c r="P1279" s="53" t="n">
        <v>0.177916</v>
      </c>
      <c r="Q1279" s="53" t="n">
        <v>-1.246823</v>
      </c>
      <c r="R1279" s="53" t="n">
        <v>0.071496</v>
      </c>
      <c r="S1279" s="53" t="n">
        <v>-0.920585</v>
      </c>
    </row>
    <row r="1280" customFormat="false" ht="15" hidden="false" customHeight="false" outlineLevel="0" collapsed="false">
      <c r="A1280" s="43" t="n">
        <v>277</v>
      </c>
      <c r="B1280" s="44" t="str">
        <f aca="false">'Model Inputs &amp; Assumptions'!$B$30</f>
        <v>extraETF — Newsletter Takeover</v>
      </c>
      <c r="C1280" s="45" t="n">
        <f aca="false">ROUND(MAX(0,'Model Inputs &amp; Assumptions'!$S$30*EXP('Model Inputs &amp; Assumptions'!$T$30*P1280-'Model Inputs &amp; Assumptions'!$T$30^2/2)),0)</f>
        <v>95104</v>
      </c>
      <c r="D1280" s="46" t="n">
        <f aca="false">MIN(1,'Model Inputs &amp; Assumptions'!$U$30*EXP('Model Inputs &amp; Assumptions'!$V$30*Q1280-'Model Inputs &amp; Assumptions'!$V$30^2/2))</f>
        <v>0</v>
      </c>
      <c r="E1280" s="45" t="n">
        <f aca="false">ROUND(C1280*D1280,0)</f>
        <v>0</v>
      </c>
      <c r="F1280" s="47" t="n">
        <f aca="false">MIN(1,'Model Inputs &amp; Assumptions'!$W$30*EXP('Model Inputs &amp; Assumptions'!$X$30*R1280-'Model Inputs &amp; Assumptions'!$X$30^2/2))</f>
        <v>0.00705329223620374</v>
      </c>
      <c r="G1280" s="45" t="n">
        <f aca="false">ROUND(C1280*F1280,0)</f>
        <v>671</v>
      </c>
      <c r="H1280" s="48" t="n">
        <f aca="false">MAX(0,(C1280*'Model Inputs &amp; Assumptions'!$N$30+E1280*'Model Inputs &amp; Assumptions'!$O$30+G1280*'Model Inputs &amp; Assumptions'!$P$30)*EXP('Model Inputs &amp; Assumptions'!$Q$30*S1280-'Model Inputs &amp; Assumptions'!$Q$30^2/2))</f>
        <v>49.2575363322073</v>
      </c>
      <c r="I1280" s="49" t="n">
        <f aca="false">IF('Model Inputs &amp; Assumptions'!$H$30="Fixed",'Model Inputs &amp; Assumptions'!$I$30*'Model Inputs &amp; Assumptions'!$K$30,IF('Model Inputs &amp; Assumptions'!$H$30="CPM",'Model Inputs &amp; Assumptions'!$I$30*'Model Inputs &amp; Assumptions'!$K$30*C1280/1000,IF('Model Inputs &amp; Assumptions'!$H$30="CPC",'Model Inputs &amp; Assumptions'!$I$30*'Model Inputs &amp; Assumptions'!$K$30*G1280,0)))</f>
        <v>6900</v>
      </c>
      <c r="J1280" s="50" t="n">
        <f aca="false">H1280*INDEX('Model Inputs &amp; Assumptions'!$D$40:$D$42,MATCH('Model Inputs &amp; Assumptions'!$L$30,'Model Inputs &amp; Assumptions'!$A$40:$A$42,0))*INDEX('Model Inputs &amp; Assumptions'!$H$40:$H$42,MATCH('Model Inputs &amp; Assumptions'!$L$30,'Model Inputs &amp; Assumptions'!$A$40:$A$42,0))</f>
        <v>354654.261591892</v>
      </c>
      <c r="K1280" s="49" t="n">
        <f aca="false">H1280*INDEX('Model Inputs &amp; Assumptions'!$G$40:$G$42,MATCH('Model Inputs &amp; Assumptions'!$L$30,'Model Inputs &amp; Assumptions'!$A$40:$A$42,0))*INDEX('Model Inputs &amp; Assumptions'!$H$40:$H$42,MATCH('Model Inputs &amp; Assumptions'!$L$30,'Model Inputs &amp; Assumptions'!$A$40:$A$42,0))</f>
        <v>7820.12646810123</v>
      </c>
      <c r="L1280" s="51" t="n">
        <f aca="false">IFERROR(K1280/I1280,0)</f>
        <v>1.13335166204366</v>
      </c>
      <c r="M1280" s="49" t="n">
        <f aca="false">IFERROR(I1280/H1280,0)</f>
        <v>140.080087511165</v>
      </c>
      <c r="N1280" s="52" t="str">
        <f aca="false">'Model Inputs &amp; Assumptions'!$L$30</f>
        <v>PRD-USIQ</v>
      </c>
      <c r="P1280" s="53" t="n">
        <v>0.706962</v>
      </c>
      <c r="Q1280" s="53" t="n">
        <v>-1.393878</v>
      </c>
      <c r="R1280" s="53" t="n">
        <v>-0.764647</v>
      </c>
      <c r="S1280" s="53" t="n">
        <v>0.611645</v>
      </c>
    </row>
    <row r="1281" customFormat="false" ht="15" hidden="false" customHeight="false" outlineLevel="0" collapsed="false">
      <c r="A1281" s="43" t="n">
        <v>278</v>
      </c>
      <c r="B1281" s="44" t="str">
        <f aca="false">'Model Inputs &amp; Assumptions'!$B$30</f>
        <v>extraETF — Newsletter Takeover</v>
      </c>
      <c r="C1281" s="45" t="n">
        <f aca="false">ROUND(MAX(0,'Model Inputs &amp; Assumptions'!$S$30*EXP('Model Inputs &amp; Assumptions'!$T$30*P1281-'Model Inputs &amp; Assumptions'!$T$30^2/2)),0)</f>
        <v>84462</v>
      </c>
      <c r="D1281" s="46" t="n">
        <f aca="false">MIN(1,'Model Inputs &amp; Assumptions'!$U$30*EXP('Model Inputs &amp; Assumptions'!$V$30*Q1281-'Model Inputs &amp; Assumptions'!$V$30^2/2))</f>
        <v>0</v>
      </c>
      <c r="E1281" s="45" t="n">
        <f aca="false">ROUND(C1281*D1281,0)</f>
        <v>0</v>
      </c>
      <c r="F1281" s="47" t="n">
        <f aca="false">MIN(1,'Model Inputs &amp; Assumptions'!$W$30*EXP('Model Inputs &amp; Assumptions'!$X$30*R1281-'Model Inputs &amp; Assumptions'!$X$30^2/2))</f>
        <v>0.00971036033873274</v>
      </c>
      <c r="G1281" s="45" t="n">
        <f aca="false">ROUND(C1281*F1281,0)</f>
        <v>820</v>
      </c>
      <c r="H1281" s="48" t="n">
        <f aca="false">MAX(0,(C1281*'Model Inputs &amp; Assumptions'!$N$30+E1281*'Model Inputs &amp; Assumptions'!$O$30+G1281*'Model Inputs &amp; Assumptions'!$P$30)*EXP('Model Inputs &amp; Assumptions'!$Q$30*S1281-'Model Inputs &amp; Assumptions'!$Q$30^2/2))</f>
        <v>45.9852103734473</v>
      </c>
      <c r="I1281" s="49" t="n">
        <f aca="false">IF('Model Inputs &amp; Assumptions'!$H$30="Fixed",'Model Inputs &amp; Assumptions'!$I$30*'Model Inputs &amp; Assumptions'!$K$30,IF('Model Inputs &amp; Assumptions'!$H$30="CPM",'Model Inputs &amp; Assumptions'!$I$30*'Model Inputs &amp; Assumptions'!$K$30*C1281/1000,IF('Model Inputs &amp; Assumptions'!$H$30="CPC",'Model Inputs &amp; Assumptions'!$I$30*'Model Inputs &amp; Assumptions'!$K$30*G1281,0)))</f>
        <v>6900</v>
      </c>
      <c r="J1281" s="50" t="n">
        <f aca="false">H1281*INDEX('Model Inputs &amp; Assumptions'!$D$40:$D$42,MATCH('Model Inputs &amp; Assumptions'!$L$30,'Model Inputs &amp; Assumptions'!$A$40:$A$42,0))*INDEX('Model Inputs &amp; Assumptions'!$H$40:$H$42,MATCH('Model Inputs &amp; Assumptions'!$L$30,'Model Inputs &amp; Assumptions'!$A$40:$A$42,0))</f>
        <v>331093.514688821</v>
      </c>
      <c r="K1281" s="49" t="n">
        <f aca="false">H1281*INDEX('Model Inputs &amp; Assumptions'!$G$40:$G$42,MATCH('Model Inputs &amp; Assumptions'!$L$30,'Model Inputs &amp; Assumptions'!$A$40:$A$42,0))*INDEX('Model Inputs &amp; Assumptions'!$H$40:$H$42,MATCH('Model Inputs &amp; Assumptions'!$L$30,'Model Inputs &amp; Assumptions'!$A$40:$A$42,0))</f>
        <v>7300.61199888849</v>
      </c>
      <c r="L1281" s="51" t="n">
        <f aca="false">IFERROR(K1281/I1281,0)</f>
        <v>1.05805970998384</v>
      </c>
      <c r="M1281" s="49" t="n">
        <f aca="false">IFERROR(I1281/H1281,0)</f>
        <v>150.048242553745</v>
      </c>
      <c r="N1281" s="52" t="str">
        <f aca="false">'Model Inputs &amp; Assumptions'!$L$30</f>
        <v>PRD-USIQ</v>
      </c>
      <c r="P1281" s="53" t="n">
        <v>-0.281949</v>
      </c>
      <c r="Q1281" s="53" t="n">
        <v>2.524141</v>
      </c>
      <c r="R1281" s="53" t="n">
        <v>1.366679</v>
      </c>
      <c r="S1281" s="53" t="n">
        <v>-0.465466</v>
      </c>
    </row>
    <row r="1282" customFormat="false" ht="15" hidden="false" customHeight="false" outlineLevel="0" collapsed="false">
      <c r="A1282" s="43" t="n">
        <v>279</v>
      </c>
      <c r="B1282" s="44" t="str">
        <f aca="false">'Model Inputs &amp; Assumptions'!$B$30</f>
        <v>extraETF — Newsletter Takeover</v>
      </c>
      <c r="C1282" s="45" t="n">
        <f aca="false">ROUND(MAX(0,'Model Inputs &amp; Assumptions'!$S$30*EXP('Model Inputs &amp; Assumptions'!$T$30*P1282-'Model Inputs &amp; Assumptions'!$T$30^2/2)),0)</f>
        <v>96050</v>
      </c>
      <c r="D1282" s="46" t="n">
        <f aca="false">MIN(1,'Model Inputs &amp; Assumptions'!$U$30*EXP('Model Inputs &amp; Assumptions'!$V$30*Q1282-'Model Inputs &amp; Assumptions'!$V$30^2/2))</f>
        <v>0</v>
      </c>
      <c r="E1282" s="45" t="n">
        <f aca="false">ROUND(C1282*D1282,0)</f>
        <v>0</v>
      </c>
      <c r="F1282" s="47" t="n">
        <f aca="false">MIN(1,'Model Inputs &amp; Assumptions'!$W$30*EXP('Model Inputs &amp; Assumptions'!$X$30*R1282-'Model Inputs &amp; Assumptions'!$X$30^2/2))</f>
        <v>0.00735894950076789</v>
      </c>
      <c r="G1282" s="45" t="n">
        <f aca="false">ROUND(C1282*F1282,0)</f>
        <v>707</v>
      </c>
      <c r="H1282" s="48" t="n">
        <f aca="false">MAX(0,(C1282*'Model Inputs &amp; Assumptions'!$N$30+E1282*'Model Inputs &amp; Assumptions'!$O$30+G1282*'Model Inputs &amp; Assumptions'!$P$30)*EXP('Model Inputs &amp; Assumptions'!$Q$30*S1282-'Model Inputs &amp; Assumptions'!$Q$30^2/2))</f>
        <v>34.6648829855649</v>
      </c>
      <c r="I1282" s="49" t="n">
        <f aca="false">IF('Model Inputs &amp; Assumptions'!$H$30="Fixed",'Model Inputs &amp; Assumptions'!$I$30*'Model Inputs &amp; Assumptions'!$K$30,IF('Model Inputs &amp; Assumptions'!$H$30="CPM",'Model Inputs &amp; Assumptions'!$I$30*'Model Inputs &amp; Assumptions'!$K$30*C1282/1000,IF('Model Inputs &amp; Assumptions'!$H$30="CPC",'Model Inputs &amp; Assumptions'!$I$30*'Model Inputs &amp; Assumptions'!$K$30*G1282,0)))</f>
        <v>6900</v>
      </c>
      <c r="J1282" s="50" t="n">
        <f aca="false">H1282*INDEX('Model Inputs &amp; Assumptions'!$D$40:$D$42,MATCH('Model Inputs &amp; Assumptions'!$L$30,'Model Inputs &amp; Assumptions'!$A$40:$A$42,0))*INDEX('Model Inputs &amp; Assumptions'!$H$40:$H$42,MATCH('Model Inputs &amp; Assumptions'!$L$30,'Model Inputs &amp; Assumptions'!$A$40:$A$42,0))</f>
        <v>249587.157496068</v>
      </c>
      <c r="K1282" s="49" t="n">
        <f aca="false">H1282*INDEX('Model Inputs &amp; Assumptions'!$G$40:$G$42,MATCH('Model Inputs &amp; Assumptions'!$L$30,'Model Inputs &amp; Assumptions'!$A$40:$A$42,0))*INDEX('Model Inputs &amp; Assumptions'!$H$40:$H$42,MATCH('Model Inputs &amp; Assumptions'!$L$30,'Model Inputs &amp; Assumptions'!$A$40:$A$42,0))</f>
        <v>5503.39682278829</v>
      </c>
      <c r="L1282" s="51" t="n">
        <f aca="false">IFERROR(K1282/I1282,0)</f>
        <v>0.797593742433085</v>
      </c>
      <c r="M1282" s="49" t="n">
        <f aca="false">IFERROR(I1282/H1282,0)</f>
        <v>199.048703059903</v>
      </c>
      <c r="N1282" s="52" t="str">
        <f aca="false">'Model Inputs &amp; Assumptions'!$L$30</f>
        <v>PRD-USIQ</v>
      </c>
      <c r="P1282" s="53" t="n">
        <v>0.789426</v>
      </c>
      <c r="Q1282" s="53" t="n">
        <v>-0.739163</v>
      </c>
      <c r="R1282" s="53" t="n">
        <v>-0.481829</v>
      </c>
      <c r="S1282" s="53" t="n">
        <v>-1.002742</v>
      </c>
    </row>
    <row r="1283" customFormat="false" ht="15" hidden="false" customHeight="false" outlineLevel="0" collapsed="false">
      <c r="A1283" s="43" t="n">
        <v>280</v>
      </c>
      <c r="B1283" s="44" t="str">
        <f aca="false">'Model Inputs &amp; Assumptions'!$B$30</f>
        <v>extraETF — Newsletter Takeover</v>
      </c>
      <c r="C1283" s="45" t="n">
        <f aca="false">ROUND(MAX(0,'Model Inputs &amp; Assumptions'!$S$30*EXP('Model Inputs &amp; Assumptions'!$T$30*P1283-'Model Inputs &amp; Assumptions'!$T$30^2/2)),0)</f>
        <v>85667</v>
      </c>
      <c r="D1283" s="46" t="n">
        <f aca="false">MIN(1,'Model Inputs &amp; Assumptions'!$U$30*EXP('Model Inputs &amp; Assumptions'!$V$30*Q1283-'Model Inputs &amp; Assumptions'!$V$30^2/2))</f>
        <v>0</v>
      </c>
      <c r="E1283" s="45" t="n">
        <f aca="false">ROUND(C1283*D1283,0)</f>
        <v>0</v>
      </c>
      <c r="F1283" s="47" t="n">
        <f aca="false">MIN(1,'Model Inputs &amp; Assumptions'!$W$30*EXP('Model Inputs &amp; Assumptions'!$X$30*R1283-'Model Inputs &amp; Assumptions'!$X$30^2/2))</f>
        <v>0.00865526660451824</v>
      </c>
      <c r="G1283" s="45" t="n">
        <f aca="false">ROUND(C1283*F1283,0)</f>
        <v>741</v>
      </c>
      <c r="H1283" s="48" t="n">
        <f aca="false">MAX(0,(C1283*'Model Inputs &amp; Assumptions'!$N$30+E1283*'Model Inputs &amp; Assumptions'!$O$30+G1283*'Model Inputs &amp; Assumptions'!$P$30)*EXP('Model Inputs &amp; Assumptions'!$Q$30*S1283-'Model Inputs &amp; Assumptions'!$Q$30^2/2))</f>
        <v>39.0522450460611</v>
      </c>
      <c r="I1283" s="49" t="n">
        <f aca="false">IF('Model Inputs &amp; Assumptions'!$H$30="Fixed",'Model Inputs &amp; Assumptions'!$I$30*'Model Inputs &amp; Assumptions'!$K$30,IF('Model Inputs &amp; Assumptions'!$H$30="CPM",'Model Inputs &amp; Assumptions'!$I$30*'Model Inputs &amp; Assumptions'!$K$30*C1283/1000,IF('Model Inputs &amp; Assumptions'!$H$30="CPC",'Model Inputs &amp; Assumptions'!$I$30*'Model Inputs &amp; Assumptions'!$K$30*G1283,0)))</f>
        <v>6900</v>
      </c>
      <c r="J1283" s="50" t="n">
        <f aca="false">H1283*INDEX('Model Inputs &amp; Assumptions'!$D$40:$D$42,MATCH('Model Inputs &amp; Assumptions'!$L$30,'Model Inputs &amp; Assumptions'!$A$40:$A$42,0))*INDEX('Model Inputs &amp; Assumptions'!$H$40:$H$42,MATCH('Model Inputs &amp; Assumptions'!$L$30,'Model Inputs &amp; Assumptions'!$A$40:$A$42,0))</f>
        <v>281176.16433164</v>
      </c>
      <c r="K1283" s="49" t="n">
        <f aca="false">H1283*INDEX('Model Inputs &amp; Assumptions'!$G$40:$G$42,MATCH('Model Inputs &amp; Assumptions'!$L$30,'Model Inputs &amp; Assumptions'!$A$40:$A$42,0))*INDEX('Model Inputs &amp; Assumptions'!$H$40:$H$42,MATCH('Model Inputs &amp; Assumptions'!$L$30,'Model Inputs &amp; Assumptions'!$A$40:$A$42,0))</f>
        <v>6199.93442351267</v>
      </c>
      <c r="L1283" s="51" t="n">
        <f aca="false">IFERROR(K1283/I1283,0)</f>
        <v>0.898541220798937</v>
      </c>
      <c r="M1283" s="49" t="n">
        <f aca="false">IFERROR(I1283/H1283,0)</f>
        <v>176.686384914917</v>
      </c>
      <c r="N1283" s="52" t="str">
        <f aca="false">'Model Inputs &amp; Assumptions'!$L$30</f>
        <v>PRD-USIQ</v>
      </c>
      <c r="P1283" s="53" t="n">
        <v>-0.163874</v>
      </c>
      <c r="Q1283" s="53" t="n">
        <v>1.106088</v>
      </c>
      <c r="R1283" s="53" t="n">
        <v>0.599843</v>
      </c>
      <c r="S1283" s="53" t="n">
        <v>-0.713929</v>
      </c>
    </row>
    <row r="1284" customFormat="false" ht="15" hidden="false" customHeight="false" outlineLevel="0" collapsed="false">
      <c r="A1284" s="43" t="n">
        <v>281</v>
      </c>
      <c r="B1284" s="44" t="str">
        <f aca="false">'Model Inputs &amp; Assumptions'!$B$30</f>
        <v>extraETF — Newsletter Takeover</v>
      </c>
      <c r="C1284" s="45" t="n">
        <f aca="false">ROUND(MAX(0,'Model Inputs &amp; Assumptions'!$S$30*EXP('Model Inputs &amp; Assumptions'!$T$30*P1284-'Model Inputs &amp; Assumptions'!$T$30^2/2)),0)</f>
        <v>88238</v>
      </c>
      <c r="D1284" s="46" t="n">
        <f aca="false">MIN(1,'Model Inputs &amp; Assumptions'!$U$30*EXP('Model Inputs &amp; Assumptions'!$V$30*Q1284-'Model Inputs &amp; Assumptions'!$V$30^2/2))</f>
        <v>0</v>
      </c>
      <c r="E1284" s="45" t="n">
        <f aca="false">ROUND(C1284*D1284,0)</f>
        <v>0</v>
      </c>
      <c r="F1284" s="47" t="n">
        <f aca="false">MIN(1,'Model Inputs &amp; Assumptions'!$W$30*EXP('Model Inputs &amp; Assumptions'!$X$30*R1284-'Model Inputs &amp; Assumptions'!$X$30^2/2))</f>
        <v>0.00874131504951175</v>
      </c>
      <c r="G1284" s="45" t="n">
        <f aca="false">ROUND(C1284*F1284,0)</f>
        <v>771</v>
      </c>
      <c r="H1284" s="48" t="n">
        <f aca="false">MAX(0,(C1284*'Model Inputs &amp; Assumptions'!$N$30+E1284*'Model Inputs &amp; Assumptions'!$O$30+G1284*'Model Inputs &amp; Assumptions'!$P$30)*EXP('Model Inputs &amp; Assumptions'!$Q$30*S1284-'Model Inputs &amp; Assumptions'!$Q$30^2/2))</f>
        <v>55.842535529872</v>
      </c>
      <c r="I1284" s="49" t="n">
        <f aca="false">IF('Model Inputs &amp; Assumptions'!$H$30="Fixed",'Model Inputs &amp; Assumptions'!$I$30*'Model Inputs &amp; Assumptions'!$K$30,IF('Model Inputs &amp; Assumptions'!$H$30="CPM",'Model Inputs &amp; Assumptions'!$I$30*'Model Inputs &amp; Assumptions'!$K$30*C1284/1000,IF('Model Inputs &amp; Assumptions'!$H$30="CPC",'Model Inputs &amp; Assumptions'!$I$30*'Model Inputs &amp; Assumptions'!$K$30*G1284,0)))</f>
        <v>6900</v>
      </c>
      <c r="J1284" s="50" t="n">
        <f aca="false">H1284*INDEX('Model Inputs &amp; Assumptions'!$D$40:$D$42,MATCH('Model Inputs &amp; Assumptions'!$L$30,'Model Inputs &amp; Assumptions'!$A$40:$A$42,0))*INDEX('Model Inputs &amp; Assumptions'!$H$40:$H$42,MATCH('Model Inputs &amp; Assumptions'!$L$30,'Model Inputs &amp; Assumptions'!$A$40:$A$42,0))</f>
        <v>402066.255815078</v>
      </c>
      <c r="K1284" s="49" t="n">
        <f aca="false">H1284*INDEX('Model Inputs &amp; Assumptions'!$G$40:$G$42,MATCH('Model Inputs &amp; Assumptions'!$L$30,'Model Inputs &amp; Assumptions'!$A$40:$A$42,0))*INDEX('Model Inputs &amp; Assumptions'!$H$40:$H$42,MATCH('Model Inputs &amp; Assumptions'!$L$30,'Model Inputs &amp; Assumptions'!$A$40:$A$42,0))</f>
        <v>8865.56094072248</v>
      </c>
      <c r="L1284" s="51" t="n">
        <f aca="false">IFERROR(K1284/I1284,0)</f>
        <v>1.28486390445253</v>
      </c>
      <c r="M1284" s="49" t="n">
        <f aca="false">IFERROR(I1284/H1284,0)</f>
        <v>123.5617246697</v>
      </c>
      <c r="N1284" s="52" t="str">
        <f aca="false">'Model Inputs &amp; Assumptions'!$L$30</f>
        <v>PRD-USIQ</v>
      </c>
      <c r="P1284" s="53" t="n">
        <v>0.082514</v>
      </c>
      <c r="Q1284" s="53" t="n">
        <v>0.435564</v>
      </c>
      <c r="R1284" s="53" t="n">
        <v>0.665794</v>
      </c>
      <c r="S1284" s="53" t="n">
        <v>0.557862</v>
      </c>
    </row>
    <row r="1285" customFormat="false" ht="15" hidden="false" customHeight="false" outlineLevel="0" collapsed="false">
      <c r="A1285" s="43" t="n">
        <v>282</v>
      </c>
      <c r="B1285" s="44" t="str">
        <f aca="false">'Model Inputs &amp; Assumptions'!$B$30</f>
        <v>extraETF — Newsletter Takeover</v>
      </c>
      <c r="C1285" s="45" t="n">
        <f aca="false">ROUND(MAX(0,'Model Inputs &amp; Assumptions'!$S$30*EXP('Model Inputs &amp; Assumptions'!$T$30*P1285-'Model Inputs &amp; Assumptions'!$T$30^2/2)),0)</f>
        <v>99540</v>
      </c>
      <c r="D1285" s="46" t="n">
        <f aca="false">MIN(1,'Model Inputs &amp; Assumptions'!$U$30*EXP('Model Inputs &amp; Assumptions'!$V$30*Q1285-'Model Inputs &amp; Assumptions'!$V$30^2/2))</f>
        <v>0</v>
      </c>
      <c r="E1285" s="45" t="n">
        <f aca="false">ROUND(C1285*D1285,0)</f>
        <v>0</v>
      </c>
      <c r="F1285" s="47" t="n">
        <f aca="false">MIN(1,'Model Inputs &amp; Assumptions'!$W$30*EXP('Model Inputs &amp; Assumptions'!$X$30*R1285-'Model Inputs &amp; Assumptions'!$X$30^2/2))</f>
        <v>0.00908400969659856</v>
      </c>
      <c r="G1285" s="45" t="n">
        <f aca="false">ROUND(C1285*F1285,0)</f>
        <v>904</v>
      </c>
      <c r="H1285" s="48" t="n">
        <f aca="false">MAX(0,(C1285*'Model Inputs &amp; Assumptions'!$N$30+E1285*'Model Inputs &amp; Assumptions'!$O$30+G1285*'Model Inputs &amp; Assumptions'!$P$30)*EXP('Model Inputs &amp; Assumptions'!$Q$30*S1285-'Model Inputs &amp; Assumptions'!$Q$30^2/2))</f>
        <v>63.6110120822693</v>
      </c>
      <c r="I1285" s="49" t="n">
        <f aca="false">IF('Model Inputs &amp; Assumptions'!$H$30="Fixed",'Model Inputs &amp; Assumptions'!$I$30*'Model Inputs &amp; Assumptions'!$K$30,IF('Model Inputs &amp; Assumptions'!$H$30="CPM",'Model Inputs &amp; Assumptions'!$I$30*'Model Inputs &amp; Assumptions'!$K$30*C1285/1000,IF('Model Inputs &amp; Assumptions'!$H$30="CPC",'Model Inputs &amp; Assumptions'!$I$30*'Model Inputs &amp; Assumptions'!$K$30*G1285,0)))</f>
        <v>6900</v>
      </c>
      <c r="J1285" s="50" t="n">
        <f aca="false">H1285*INDEX('Model Inputs &amp; Assumptions'!$D$40:$D$42,MATCH('Model Inputs &amp; Assumptions'!$L$30,'Model Inputs &amp; Assumptions'!$A$40:$A$42,0))*INDEX('Model Inputs &amp; Assumptions'!$H$40:$H$42,MATCH('Model Inputs &amp; Assumptions'!$L$30,'Model Inputs &amp; Assumptions'!$A$40:$A$42,0))</f>
        <v>457999.286992339</v>
      </c>
      <c r="K1285" s="49" t="n">
        <f aca="false">H1285*INDEX('Model Inputs &amp; Assumptions'!$G$40:$G$42,MATCH('Model Inputs &amp; Assumptions'!$L$30,'Model Inputs &amp; Assumptions'!$A$40:$A$42,0))*INDEX('Model Inputs &amp; Assumptions'!$H$40:$H$42,MATCH('Model Inputs &amp; Assumptions'!$L$30,'Model Inputs &amp; Assumptions'!$A$40:$A$42,0))</f>
        <v>10098.8842781811</v>
      </c>
      <c r="L1285" s="51" t="n">
        <f aca="false">IFERROR(K1285/I1285,0)</f>
        <v>1.46360641712769</v>
      </c>
      <c r="M1285" s="49" t="n">
        <f aca="false">IFERROR(I1285/H1285,0)</f>
        <v>108.471784587802</v>
      </c>
      <c r="N1285" s="52" t="str">
        <f aca="false">'Model Inputs &amp; Assumptions'!$L$30</f>
        <v>PRD-USIQ</v>
      </c>
      <c r="P1285" s="53" t="n">
        <v>1.086871</v>
      </c>
      <c r="Q1285" s="53" t="n">
        <v>0.529923</v>
      </c>
      <c r="R1285" s="53" t="n">
        <v>0.922161</v>
      </c>
      <c r="S1285" s="53" t="n">
        <v>0.442301</v>
      </c>
    </row>
    <row r="1286" customFormat="false" ht="15" hidden="false" customHeight="false" outlineLevel="0" collapsed="false">
      <c r="A1286" s="43" t="n">
        <v>283</v>
      </c>
      <c r="B1286" s="44" t="str">
        <f aca="false">'Model Inputs &amp; Assumptions'!$B$30</f>
        <v>extraETF — Newsletter Takeover</v>
      </c>
      <c r="C1286" s="45" t="n">
        <f aca="false">ROUND(MAX(0,'Model Inputs &amp; Assumptions'!$S$30*EXP('Model Inputs &amp; Assumptions'!$T$30*P1286-'Model Inputs &amp; Assumptions'!$T$30^2/2)),0)</f>
        <v>106140</v>
      </c>
      <c r="D1286" s="46" t="n">
        <f aca="false">MIN(1,'Model Inputs &amp; Assumptions'!$U$30*EXP('Model Inputs &amp; Assumptions'!$V$30*Q1286-'Model Inputs &amp; Assumptions'!$V$30^2/2))</f>
        <v>0</v>
      </c>
      <c r="E1286" s="45" t="n">
        <f aca="false">ROUND(C1286*D1286,0)</f>
        <v>0</v>
      </c>
      <c r="F1286" s="47" t="n">
        <f aca="false">MIN(1,'Model Inputs &amp; Assumptions'!$W$30*EXP('Model Inputs &amp; Assumptions'!$X$30*R1286-'Model Inputs &amp; Assumptions'!$X$30^2/2))</f>
        <v>0.0108889209060312</v>
      </c>
      <c r="G1286" s="45" t="n">
        <f aca="false">ROUND(C1286*F1286,0)</f>
        <v>1156</v>
      </c>
      <c r="H1286" s="48" t="n">
        <f aca="false">MAX(0,(C1286*'Model Inputs &amp; Assumptions'!$N$30+E1286*'Model Inputs &amp; Assumptions'!$O$30+G1286*'Model Inputs &amp; Assumptions'!$P$30)*EXP('Model Inputs &amp; Assumptions'!$Q$30*S1286-'Model Inputs &amp; Assumptions'!$Q$30^2/2))</f>
        <v>66.3549120303557</v>
      </c>
      <c r="I1286" s="49" t="n">
        <f aca="false">IF('Model Inputs &amp; Assumptions'!$H$30="Fixed",'Model Inputs &amp; Assumptions'!$I$30*'Model Inputs &amp; Assumptions'!$K$30,IF('Model Inputs &amp; Assumptions'!$H$30="CPM",'Model Inputs &amp; Assumptions'!$I$30*'Model Inputs &amp; Assumptions'!$K$30*C1286/1000,IF('Model Inputs &amp; Assumptions'!$H$30="CPC",'Model Inputs &amp; Assumptions'!$I$30*'Model Inputs &amp; Assumptions'!$K$30*G1286,0)))</f>
        <v>6900</v>
      </c>
      <c r="J1286" s="50" t="n">
        <f aca="false">H1286*INDEX('Model Inputs &amp; Assumptions'!$D$40:$D$42,MATCH('Model Inputs &amp; Assumptions'!$L$30,'Model Inputs &amp; Assumptions'!$A$40:$A$42,0))*INDEX('Model Inputs &amp; Assumptions'!$H$40:$H$42,MATCH('Model Inputs &amp; Assumptions'!$L$30,'Model Inputs &amp; Assumptions'!$A$40:$A$42,0))</f>
        <v>477755.366618561</v>
      </c>
      <c r="K1286" s="49" t="n">
        <f aca="false">H1286*INDEX('Model Inputs &amp; Assumptions'!$G$40:$G$42,MATCH('Model Inputs &amp; Assumptions'!$L$30,'Model Inputs &amp; Assumptions'!$A$40:$A$42,0))*INDEX('Model Inputs &amp; Assumptions'!$H$40:$H$42,MATCH('Model Inputs &amp; Assumptions'!$L$30,'Model Inputs &amp; Assumptions'!$A$40:$A$42,0))</f>
        <v>10534.5058339393</v>
      </c>
      <c r="L1286" s="51" t="n">
        <f aca="false">IFERROR(K1286/I1286,0)</f>
        <v>1.52673997593323</v>
      </c>
      <c r="M1286" s="49" t="n">
        <f aca="false">IFERROR(I1286/H1286,0)</f>
        <v>103.986273040998</v>
      </c>
      <c r="N1286" s="52" t="str">
        <f aca="false">'Model Inputs &amp; Assumptions'!$L$30</f>
        <v>PRD-USIQ</v>
      </c>
      <c r="P1286" s="53" t="n">
        <v>1.621843</v>
      </c>
      <c r="Q1286" s="53" t="n">
        <v>1.637334</v>
      </c>
      <c r="R1286" s="53" t="n">
        <v>2.130362</v>
      </c>
      <c r="S1286" s="53" t="n">
        <v>-0.372341</v>
      </c>
    </row>
    <row r="1287" customFormat="false" ht="15" hidden="false" customHeight="false" outlineLevel="0" collapsed="false">
      <c r="A1287" s="43" t="n">
        <v>284</v>
      </c>
      <c r="B1287" s="44" t="str">
        <f aca="false">'Model Inputs &amp; Assumptions'!$B$30</f>
        <v>extraETF — Newsletter Takeover</v>
      </c>
      <c r="C1287" s="45" t="n">
        <f aca="false">ROUND(MAX(0,'Model Inputs &amp; Assumptions'!$S$30*EXP('Model Inputs &amp; Assumptions'!$T$30*P1287-'Model Inputs &amp; Assumptions'!$T$30^2/2)),0)</f>
        <v>69004</v>
      </c>
      <c r="D1287" s="46" t="n">
        <f aca="false">MIN(1,'Model Inputs &amp; Assumptions'!$U$30*EXP('Model Inputs &amp; Assumptions'!$V$30*Q1287-'Model Inputs &amp; Assumptions'!$V$30^2/2))</f>
        <v>0</v>
      </c>
      <c r="E1287" s="45" t="n">
        <f aca="false">ROUND(C1287*D1287,0)</f>
        <v>0</v>
      </c>
      <c r="F1287" s="47" t="n">
        <f aca="false">MIN(1,'Model Inputs &amp; Assumptions'!$W$30*EXP('Model Inputs &amp; Assumptions'!$X$30*R1287-'Model Inputs &amp; Assumptions'!$X$30^2/2))</f>
        <v>0.00694813544077528</v>
      </c>
      <c r="G1287" s="45" t="n">
        <f aca="false">ROUND(C1287*F1287,0)</f>
        <v>479</v>
      </c>
      <c r="H1287" s="48" t="n">
        <f aca="false">MAX(0,(C1287*'Model Inputs &amp; Assumptions'!$N$30+E1287*'Model Inputs &amp; Assumptions'!$O$30+G1287*'Model Inputs &amp; Assumptions'!$P$30)*EXP('Model Inputs &amp; Assumptions'!$Q$30*S1287-'Model Inputs &amp; Assumptions'!$Q$30^2/2))</f>
        <v>22.9214542394056</v>
      </c>
      <c r="I1287" s="49" t="n">
        <f aca="false">IF('Model Inputs &amp; Assumptions'!$H$30="Fixed",'Model Inputs &amp; Assumptions'!$I$30*'Model Inputs &amp; Assumptions'!$K$30,IF('Model Inputs &amp; Assumptions'!$H$30="CPM",'Model Inputs &amp; Assumptions'!$I$30*'Model Inputs &amp; Assumptions'!$K$30*C1287/1000,IF('Model Inputs &amp; Assumptions'!$H$30="CPC",'Model Inputs &amp; Assumptions'!$I$30*'Model Inputs &amp; Assumptions'!$K$30*G1287,0)))</f>
        <v>6900</v>
      </c>
      <c r="J1287" s="50" t="n">
        <f aca="false">H1287*INDEX('Model Inputs &amp; Assumptions'!$D$40:$D$42,MATCH('Model Inputs &amp; Assumptions'!$L$30,'Model Inputs &amp; Assumptions'!$A$40:$A$42,0))*INDEX('Model Inputs &amp; Assumptions'!$H$40:$H$42,MATCH('Model Inputs &amp; Assumptions'!$L$30,'Model Inputs &amp; Assumptions'!$A$40:$A$42,0))</f>
        <v>165034.470523721</v>
      </c>
      <c r="K1287" s="49" t="n">
        <f aca="false">H1287*INDEX('Model Inputs &amp; Assumptions'!$G$40:$G$42,MATCH('Model Inputs &amp; Assumptions'!$L$30,'Model Inputs &amp; Assumptions'!$A$40:$A$42,0))*INDEX('Model Inputs &amp; Assumptions'!$H$40:$H$42,MATCH('Model Inputs &amp; Assumptions'!$L$30,'Model Inputs &amp; Assumptions'!$A$40:$A$42,0))</f>
        <v>3639.01007504804</v>
      </c>
      <c r="L1287" s="51" t="n">
        <f aca="false">IFERROR(K1287/I1287,0)</f>
        <v>0.527392764499716</v>
      </c>
      <c r="M1287" s="49" t="n">
        <f aca="false">IFERROR(I1287/H1287,0)</f>
        <v>301.028020645296</v>
      </c>
      <c r="N1287" s="52" t="str">
        <f aca="false">'Model Inputs &amp; Assumptions'!$L$30</f>
        <v>PRD-USIQ</v>
      </c>
      <c r="P1287" s="53" t="n">
        <v>-1.966483</v>
      </c>
      <c r="Q1287" s="53" t="n">
        <v>0.998636</v>
      </c>
      <c r="R1287" s="53" t="n">
        <v>-0.864788</v>
      </c>
      <c r="S1287" s="53" t="n">
        <v>-1.100037</v>
      </c>
    </row>
    <row r="1288" customFormat="false" ht="15" hidden="false" customHeight="false" outlineLevel="0" collapsed="false">
      <c r="A1288" s="43" t="n">
        <v>285</v>
      </c>
      <c r="B1288" s="44" t="str">
        <f aca="false">'Model Inputs &amp; Assumptions'!$B$30</f>
        <v>extraETF — Newsletter Takeover</v>
      </c>
      <c r="C1288" s="45" t="n">
        <f aca="false">ROUND(MAX(0,'Model Inputs &amp; Assumptions'!$S$30*EXP('Model Inputs &amp; Assumptions'!$T$30*P1288-'Model Inputs &amp; Assumptions'!$T$30^2/2)),0)</f>
        <v>96350</v>
      </c>
      <c r="D1288" s="46" t="n">
        <f aca="false">MIN(1,'Model Inputs &amp; Assumptions'!$U$30*EXP('Model Inputs &amp; Assumptions'!$V$30*Q1288-'Model Inputs &amp; Assumptions'!$V$30^2/2))</f>
        <v>0</v>
      </c>
      <c r="E1288" s="45" t="n">
        <f aca="false">ROUND(C1288*D1288,0)</f>
        <v>0</v>
      </c>
      <c r="F1288" s="47" t="n">
        <f aca="false">MIN(1,'Model Inputs &amp; Assumptions'!$W$30*EXP('Model Inputs &amp; Assumptions'!$X$30*R1288-'Model Inputs &amp; Assumptions'!$X$30^2/2))</f>
        <v>0.006652485815622</v>
      </c>
      <c r="G1288" s="45" t="n">
        <f aca="false">ROUND(C1288*F1288,0)</f>
        <v>641</v>
      </c>
      <c r="H1288" s="48" t="n">
        <f aca="false">MAX(0,(C1288*'Model Inputs &amp; Assumptions'!$N$30+E1288*'Model Inputs &amp; Assumptions'!$O$30+G1288*'Model Inputs &amp; Assumptions'!$P$30)*EXP('Model Inputs &amp; Assumptions'!$Q$30*S1288-'Model Inputs &amp; Assumptions'!$Q$30^2/2))</f>
        <v>58.7115486586016</v>
      </c>
      <c r="I1288" s="49" t="n">
        <f aca="false">IF('Model Inputs &amp; Assumptions'!$H$30="Fixed",'Model Inputs &amp; Assumptions'!$I$30*'Model Inputs &amp; Assumptions'!$K$30,IF('Model Inputs &amp; Assumptions'!$H$30="CPM",'Model Inputs &amp; Assumptions'!$I$30*'Model Inputs &amp; Assumptions'!$K$30*C1288/1000,IF('Model Inputs &amp; Assumptions'!$H$30="CPC",'Model Inputs &amp; Assumptions'!$I$30*'Model Inputs &amp; Assumptions'!$K$30*G1288,0)))</f>
        <v>6900</v>
      </c>
      <c r="J1288" s="50" t="n">
        <f aca="false">H1288*INDEX('Model Inputs &amp; Assumptions'!$D$40:$D$42,MATCH('Model Inputs &amp; Assumptions'!$L$30,'Model Inputs &amp; Assumptions'!$A$40:$A$42,0))*INDEX('Model Inputs &amp; Assumptions'!$H$40:$H$42,MATCH('Model Inputs &amp; Assumptions'!$L$30,'Model Inputs &amp; Assumptions'!$A$40:$A$42,0))</f>
        <v>422723.150341932</v>
      </c>
      <c r="K1288" s="49" t="n">
        <f aca="false">H1288*INDEX('Model Inputs &amp; Assumptions'!$G$40:$G$42,MATCH('Model Inputs &amp; Assumptions'!$L$30,'Model Inputs &amp; Assumptions'!$A$40:$A$42,0))*INDEX('Model Inputs &amp; Assumptions'!$H$40:$H$42,MATCH('Model Inputs &amp; Assumptions'!$L$30,'Model Inputs &amp; Assumptions'!$A$40:$A$42,0))</f>
        <v>9321.04546503959</v>
      </c>
      <c r="L1288" s="51" t="n">
        <f aca="false">IFERROR(K1288/I1288,0)</f>
        <v>1.35087615435356</v>
      </c>
      <c r="M1288" s="49" t="n">
        <f aca="false">IFERROR(I1288/H1288,0)</f>
        <v>117.523726722359</v>
      </c>
      <c r="N1288" s="52" t="str">
        <f aca="false">'Model Inputs &amp; Assumptions'!$L$30</f>
        <v>PRD-USIQ</v>
      </c>
      <c r="P1288" s="53" t="n">
        <v>0.815448</v>
      </c>
      <c r="Q1288" s="53" t="n">
        <v>-1.032943</v>
      </c>
      <c r="R1288" s="53" t="n">
        <v>-1.154673</v>
      </c>
      <c r="S1288" s="53" t="n">
        <v>1.4969</v>
      </c>
    </row>
    <row r="1289" customFormat="false" ht="15" hidden="false" customHeight="false" outlineLevel="0" collapsed="false">
      <c r="A1289" s="43" t="n">
        <v>286</v>
      </c>
      <c r="B1289" s="44" t="str">
        <f aca="false">'Model Inputs &amp; Assumptions'!$B$30</f>
        <v>extraETF — Newsletter Takeover</v>
      </c>
      <c r="C1289" s="45" t="n">
        <f aca="false">ROUND(MAX(0,'Model Inputs &amp; Assumptions'!$S$30*EXP('Model Inputs &amp; Assumptions'!$T$30*P1289-'Model Inputs &amp; Assumptions'!$T$30^2/2)),0)</f>
        <v>82825</v>
      </c>
      <c r="D1289" s="46" t="n">
        <f aca="false">MIN(1,'Model Inputs &amp; Assumptions'!$U$30*EXP('Model Inputs &amp; Assumptions'!$V$30*Q1289-'Model Inputs &amp; Assumptions'!$V$30^2/2))</f>
        <v>0</v>
      </c>
      <c r="E1289" s="45" t="n">
        <f aca="false">ROUND(C1289*D1289,0)</f>
        <v>0</v>
      </c>
      <c r="F1289" s="47" t="n">
        <f aca="false">MIN(1,'Model Inputs &amp; Assumptions'!$W$30*EXP('Model Inputs &amp; Assumptions'!$X$30*R1289-'Model Inputs &amp; Assumptions'!$X$30^2/2))</f>
        <v>0.00866084195838012</v>
      </c>
      <c r="G1289" s="45" t="n">
        <f aca="false">ROUND(C1289*F1289,0)</f>
        <v>717</v>
      </c>
      <c r="H1289" s="48" t="n">
        <f aca="false">MAX(0,(C1289*'Model Inputs &amp; Assumptions'!$N$30+E1289*'Model Inputs &amp; Assumptions'!$O$30+G1289*'Model Inputs &amp; Assumptions'!$P$30)*EXP('Model Inputs &amp; Assumptions'!$Q$30*S1289-'Model Inputs &amp; Assumptions'!$Q$30^2/2))</f>
        <v>44.6806861699744</v>
      </c>
      <c r="I1289" s="49" t="n">
        <f aca="false">IF('Model Inputs &amp; Assumptions'!$H$30="Fixed",'Model Inputs &amp; Assumptions'!$I$30*'Model Inputs &amp; Assumptions'!$K$30,IF('Model Inputs &amp; Assumptions'!$H$30="CPM",'Model Inputs &amp; Assumptions'!$I$30*'Model Inputs &amp; Assumptions'!$K$30*C1289/1000,IF('Model Inputs &amp; Assumptions'!$H$30="CPC",'Model Inputs &amp; Assumptions'!$I$30*'Model Inputs &amp; Assumptions'!$K$30*G1289,0)))</f>
        <v>6900</v>
      </c>
      <c r="J1289" s="50" t="n">
        <f aca="false">H1289*INDEX('Model Inputs &amp; Assumptions'!$D$40:$D$42,MATCH('Model Inputs &amp; Assumptions'!$L$30,'Model Inputs &amp; Assumptions'!$A$40:$A$42,0))*INDEX('Model Inputs &amp; Assumptions'!$H$40:$H$42,MATCH('Model Inputs &amp; Assumptions'!$L$30,'Model Inputs &amp; Assumptions'!$A$40:$A$42,0))</f>
        <v>321700.940423816</v>
      </c>
      <c r="K1289" s="49" t="n">
        <f aca="false">H1289*INDEX('Model Inputs &amp; Assumptions'!$G$40:$G$42,MATCH('Model Inputs &amp; Assumptions'!$L$30,'Model Inputs &amp; Assumptions'!$A$40:$A$42,0))*INDEX('Model Inputs &amp; Assumptions'!$H$40:$H$42,MATCH('Model Inputs &amp; Assumptions'!$L$30,'Model Inputs &amp; Assumptions'!$A$40:$A$42,0))</f>
        <v>7093.50573634513</v>
      </c>
      <c r="L1289" s="51" t="n">
        <f aca="false">IFERROR(K1289/I1289,0)</f>
        <v>1.02804430961524</v>
      </c>
      <c r="M1289" s="49" t="n">
        <f aca="false">IFERROR(I1289/H1289,0)</f>
        <v>154.429141346465</v>
      </c>
      <c r="N1289" s="52" t="str">
        <f aca="false">'Model Inputs &amp; Assumptions'!$L$30</f>
        <v>PRD-USIQ</v>
      </c>
      <c r="P1289" s="53" t="n">
        <v>-0.445087</v>
      </c>
      <c r="Q1289" s="53" t="n">
        <v>1.791094</v>
      </c>
      <c r="R1289" s="53" t="n">
        <v>0.604136</v>
      </c>
      <c r="S1289" s="53" t="n">
        <v>-0.043666</v>
      </c>
    </row>
    <row r="1290" customFormat="false" ht="15" hidden="false" customHeight="false" outlineLevel="0" collapsed="false">
      <c r="A1290" s="43" t="n">
        <v>287</v>
      </c>
      <c r="B1290" s="44" t="str">
        <f aca="false">'Model Inputs &amp; Assumptions'!$B$30</f>
        <v>extraETF — Newsletter Takeover</v>
      </c>
      <c r="C1290" s="45" t="n">
        <f aca="false">ROUND(MAX(0,'Model Inputs &amp; Assumptions'!$S$30*EXP('Model Inputs &amp; Assumptions'!$T$30*P1290-'Model Inputs &amp; Assumptions'!$T$30^2/2)),0)</f>
        <v>92698</v>
      </c>
      <c r="D1290" s="46" t="n">
        <f aca="false">MIN(1,'Model Inputs &amp; Assumptions'!$U$30*EXP('Model Inputs &amp; Assumptions'!$V$30*Q1290-'Model Inputs &amp; Assumptions'!$V$30^2/2))</f>
        <v>0</v>
      </c>
      <c r="E1290" s="45" t="n">
        <f aca="false">ROUND(C1290*D1290,0)</f>
        <v>0</v>
      </c>
      <c r="F1290" s="47" t="n">
        <f aca="false">MIN(1,'Model Inputs &amp; Assumptions'!$W$30*EXP('Model Inputs &amp; Assumptions'!$X$30*R1290-'Model Inputs &amp; Assumptions'!$X$30^2/2))</f>
        <v>0.00659862333506942</v>
      </c>
      <c r="G1290" s="45" t="n">
        <f aca="false">ROUND(C1290*F1290,0)</f>
        <v>612</v>
      </c>
      <c r="H1290" s="48" t="n">
        <f aca="false">MAX(0,(C1290*'Model Inputs &amp; Assumptions'!$N$30+E1290*'Model Inputs &amp; Assumptions'!$O$30+G1290*'Model Inputs &amp; Assumptions'!$P$30)*EXP('Model Inputs &amp; Assumptions'!$Q$30*S1290-'Model Inputs &amp; Assumptions'!$Q$30^2/2))</f>
        <v>38.9943991167676</v>
      </c>
      <c r="I1290" s="49" t="n">
        <f aca="false">IF('Model Inputs &amp; Assumptions'!$H$30="Fixed",'Model Inputs &amp; Assumptions'!$I$30*'Model Inputs &amp; Assumptions'!$K$30,IF('Model Inputs &amp; Assumptions'!$H$30="CPM",'Model Inputs &amp; Assumptions'!$I$30*'Model Inputs &amp; Assumptions'!$K$30*C1290/1000,IF('Model Inputs &amp; Assumptions'!$H$30="CPC",'Model Inputs &amp; Assumptions'!$I$30*'Model Inputs &amp; Assumptions'!$K$30*G1290,0)))</f>
        <v>6900</v>
      </c>
      <c r="J1290" s="50" t="n">
        <f aca="false">H1290*INDEX('Model Inputs &amp; Assumptions'!$D$40:$D$42,MATCH('Model Inputs &amp; Assumptions'!$L$30,'Model Inputs &amp; Assumptions'!$A$40:$A$42,0))*INDEX('Model Inputs &amp; Assumptions'!$H$40:$H$42,MATCH('Model Inputs &amp; Assumptions'!$L$30,'Model Inputs &amp; Assumptions'!$A$40:$A$42,0))</f>
        <v>280759.673640727</v>
      </c>
      <c r="K1290" s="49" t="n">
        <f aca="false">H1290*INDEX('Model Inputs &amp; Assumptions'!$G$40:$G$42,MATCH('Model Inputs &amp; Assumptions'!$L$30,'Model Inputs &amp; Assumptions'!$A$40:$A$42,0))*INDEX('Model Inputs &amp; Assumptions'!$H$40:$H$42,MATCH('Model Inputs &amp; Assumptions'!$L$30,'Model Inputs &amp; Assumptions'!$A$40:$A$42,0))</f>
        <v>6190.75080377803</v>
      </c>
      <c r="L1290" s="51" t="n">
        <f aca="false">IFERROR(K1290/I1290,0)</f>
        <v>0.897210261417106</v>
      </c>
      <c r="M1290" s="49" t="n">
        <f aca="false">IFERROR(I1290/H1290,0)</f>
        <v>176.948488918579</v>
      </c>
      <c r="N1290" s="52" t="str">
        <f aca="false">'Model Inputs &amp; Assumptions'!$L$30</f>
        <v>PRD-USIQ</v>
      </c>
      <c r="P1290" s="53" t="n">
        <v>0.493391</v>
      </c>
      <c r="Q1290" s="53" t="n">
        <v>-1.081646</v>
      </c>
      <c r="R1290" s="53" t="n">
        <v>-1.20887</v>
      </c>
      <c r="S1290" s="53" t="n">
        <v>0.045215</v>
      </c>
    </row>
    <row r="1291" customFormat="false" ht="15" hidden="false" customHeight="false" outlineLevel="0" collapsed="false">
      <c r="A1291" s="43" t="n">
        <v>288</v>
      </c>
      <c r="B1291" s="44" t="str">
        <f aca="false">'Model Inputs &amp; Assumptions'!$B$30</f>
        <v>extraETF — Newsletter Takeover</v>
      </c>
      <c r="C1291" s="45" t="n">
        <f aca="false">ROUND(MAX(0,'Model Inputs &amp; Assumptions'!$S$30*EXP('Model Inputs &amp; Assumptions'!$T$30*P1291-'Model Inputs &amp; Assumptions'!$T$30^2/2)),0)</f>
        <v>85224</v>
      </c>
      <c r="D1291" s="46" t="n">
        <f aca="false">MIN(1,'Model Inputs &amp; Assumptions'!$U$30*EXP('Model Inputs &amp; Assumptions'!$V$30*Q1291-'Model Inputs &amp; Assumptions'!$V$30^2/2))</f>
        <v>0</v>
      </c>
      <c r="E1291" s="45" t="n">
        <f aca="false">ROUND(C1291*D1291,0)</f>
        <v>0</v>
      </c>
      <c r="F1291" s="47" t="n">
        <f aca="false">MIN(1,'Model Inputs &amp; Assumptions'!$W$30*EXP('Model Inputs &amp; Assumptions'!$X$30*R1291-'Model Inputs &amp; Assumptions'!$X$30^2/2))</f>
        <v>0.00670601437523708</v>
      </c>
      <c r="G1291" s="45" t="n">
        <f aca="false">ROUND(C1291*F1291,0)</f>
        <v>572</v>
      </c>
      <c r="H1291" s="48" t="n">
        <f aca="false">MAX(0,(C1291*'Model Inputs &amp; Assumptions'!$N$30+E1291*'Model Inputs &amp; Assumptions'!$O$30+G1291*'Model Inputs &amp; Assumptions'!$P$30)*EXP('Model Inputs &amp; Assumptions'!$Q$30*S1291-'Model Inputs &amp; Assumptions'!$Q$30^2/2))</f>
        <v>45.7486591133088</v>
      </c>
      <c r="I1291" s="49" t="n">
        <f aca="false">IF('Model Inputs &amp; Assumptions'!$H$30="Fixed",'Model Inputs &amp; Assumptions'!$I$30*'Model Inputs &amp; Assumptions'!$K$30,IF('Model Inputs &amp; Assumptions'!$H$30="CPM",'Model Inputs &amp; Assumptions'!$I$30*'Model Inputs &amp; Assumptions'!$K$30*C1291/1000,IF('Model Inputs &amp; Assumptions'!$H$30="CPC",'Model Inputs &amp; Assumptions'!$I$30*'Model Inputs &amp; Assumptions'!$K$30*G1291,0)))</f>
        <v>6900</v>
      </c>
      <c r="J1291" s="50" t="n">
        <f aca="false">H1291*INDEX('Model Inputs &amp; Assumptions'!$D$40:$D$42,MATCH('Model Inputs &amp; Assumptions'!$L$30,'Model Inputs &amp; Assumptions'!$A$40:$A$42,0))*INDEX('Model Inputs &amp; Assumptions'!$H$40:$H$42,MATCH('Model Inputs &amp; Assumptions'!$L$30,'Model Inputs &amp; Assumptions'!$A$40:$A$42,0))</f>
        <v>329390.345615823</v>
      </c>
      <c r="K1291" s="49" t="n">
        <f aca="false">H1291*INDEX('Model Inputs &amp; Assumptions'!$G$40:$G$42,MATCH('Model Inputs &amp; Assumptions'!$L$30,'Model Inputs &amp; Assumptions'!$A$40:$A$42,0))*INDEX('Model Inputs &amp; Assumptions'!$H$40:$H$42,MATCH('Model Inputs &amp; Assumptions'!$L$30,'Model Inputs &amp; Assumptions'!$A$40:$A$42,0))</f>
        <v>7263.0571208289</v>
      </c>
      <c r="L1291" s="51" t="n">
        <f aca="false">IFERROR(K1291/I1291,0)</f>
        <v>1.05261697403317</v>
      </c>
      <c r="M1291" s="49" t="n">
        <f aca="false">IFERROR(I1291/H1291,0)</f>
        <v>150.824092634285</v>
      </c>
      <c r="N1291" s="52" t="str">
        <f aca="false">'Model Inputs &amp; Assumptions'!$L$30</f>
        <v>PRD-USIQ</v>
      </c>
      <c r="P1291" s="53" t="n">
        <v>-0.207143</v>
      </c>
      <c r="Q1291" s="53" t="n">
        <v>-0.967033</v>
      </c>
      <c r="R1291" s="53" t="n">
        <v>-1.101245</v>
      </c>
      <c r="S1291" s="53" t="n">
        <v>0.954566</v>
      </c>
    </row>
    <row r="1292" customFormat="false" ht="15" hidden="false" customHeight="false" outlineLevel="0" collapsed="false">
      <c r="A1292" s="43" t="n">
        <v>289</v>
      </c>
      <c r="B1292" s="44" t="str">
        <f aca="false">'Model Inputs &amp; Assumptions'!$B$30</f>
        <v>extraETF — Newsletter Takeover</v>
      </c>
      <c r="C1292" s="45" t="n">
        <f aca="false">ROUND(MAX(0,'Model Inputs &amp; Assumptions'!$S$30*EXP('Model Inputs &amp; Assumptions'!$T$30*P1292-'Model Inputs &amp; Assumptions'!$T$30^2/2)),0)</f>
        <v>84785</v>
      </c>
      <c r="D1292" s="46" t="n">
        <f aca="false">MIN(1,'Model Inputs &amp; Assumptions'!$U$30*EXP('Model Inputs &amp; Assumptions'!$V$30*Q1292-'Model Inputs &amp; Assumptions'!$V$30^2/2))</f>
        <v>0</v>
      </c>
      <c r="E1292" s="45" t="n">
        <f aca="false">ROUND(C1292*D1292,0)</f>
        <v>0</v>
      </c>
      <c r="F1292" s="47" t="n">
        <f aca="false">MIN(1,'Model Inputs &amp; Assumptions'!$W$30*EXP('Model Inputs &amp; Assumptions'!$X$30*R1292-'Model Inputs &amp; Assumptions'!$X$30^2/2))</f>
        <v>0.010416903691921</v>
      </c>
      <c r="G1292" s="45" t="n">
        <f aca="false">ROUND(C1292*F1292,0)</f>
        <v>883</v>
      </c>
      <c r="H1292" s="48" t="n">
        <f aca="false">MAX(0,(C1292*'Model Inputs &amp; Assumptions'!$N$30+E1292*'Model Inputs &amp; Assumptions'!$O$30+G1292*'Model Inputs &amp; Assumptions'!$P$30)*EXP('Model Inputs &amp; Assumptions'!$Q$30*S1292-'Model Inputs &amp; Assumptions'!$Q$30^2/2))</f>
        <v>43.9970216351722</v>
      </c>
      <c r="I1292" s="49" t="n">
        <f aca="false">IF('Model Inputs &amp; Assumptions'!$H$30="Fixed",'Model Inputs &amp; Assumptions'!$I$30*'Model Inputs &amp; Assumptions'!$K$30,IF('Model Inputs &amp; Assumptions'!$H$30="CPM",'Model Inputs &amp; Assumptions'!$I$30*'Model Inputs &amp; Assumptions'!$K$30*C1292/1000,IF('Model Inputs &amp; Assumptions'!$H$30="CPC",'Model Inputs &amp; Assumptions'!$I$30*'Model Inputs &amp; Assumptions'!$K$30*G1292,0)))</f>
        <v>6900</v>
      </c>
      <c r="J1292" s="50" t="n">
        <f aca="false">H1292*INDEX('Model Inputs &amp; Assumptions'!$D$40:$D$42,MATCH('Model Inputs &amp; Assumptions'!$L$30,'Model Inputs &amp; Assumptions'!$A$40:$A$42,0))*INDEX('Model Inputs &amp; Assumptions'!$H$40:$H$42,MATCH('Model Inputs &amp; Assumptions'!$L$30,'Model Inputs &amp; Assumptions'!$A$40:$A$42,0))</f>
        <v>316778.55577324</v>
      </c>
      <c r="K1292" s="49" t="n">
        <f aca="false">H1292*INDEX('Model Inputs &amp; Assumptions'!$G$40:$G$42,MATCH('Model Inputs &amp; Assumptions'!$L$30,'Model Inputs &amp; Assumptions'!$A$40:$A$42,0))*INDEX('Model Inputs &amp; Assumptions'!$H$40:$H$42,MATCH('Model Inputs &amp; Assumptions'!$L$30,'Model Inputs &amp; Assumptions'!$A$40:$A$42,0))</f>
        <v>6984.96715479994</v>
      </c>
      <c r="L1292" s="51" t="n">
        <f aca="false">IFERROR(K1292/I1292,0)</f>
        <v>1.01231408040579</v>
      </c>
      <c r="M1292" s="49" t="n">
        <f aca="false">IFERROR(I1292/H1292,0)</f>
        <v>156.828797576697</v>
      </c>
      <c r="N1292" s="52" t="str">
        <f aca="false">'Model Inputs &amp; Assumptions'!$L$30</f>
        <v>PRD-USIQ</v>
      </c>
      <c r="P1292" s="53" t="n">
        <v>-0.25015</v>
      </c>
      <c r="Q1292" s="53" t="n">
        <v>0.752902</v>
      </c>
      <c r="R1292" s="53" t="n">
        <v>1.834922</v>
      </c>
      <c r="S1292" s="53" t="n">
        <v>-0.938341</v>
      </c>
    </row>
    <row r="1293" customFormat="false" ht="15" hidden="false" customHeight="false" outlineLevel="0" collapsed="false">
      <c r="A1293" s="43" t="n">
        <v>290</v>
      </c>
      <c r="B1293" s="44" t="str">
        <f aca="false">'Model Inputs &amp; Assumptions'!$B$30</f>
        <v>extraETF — Newsletter Takeover</v>
      </c>
      <c r="C1293" s="45" t="n">
        <f aca="false">ROUND(MAX(0,'Model Inputs &amp; Assumptions'!$S$30*EXP('Model Inputs &amp; Assumptions'!$T$30*P1293-'Model Inputs &amp; Assumptions'!$T$30^2/2)),0)</f>
        <v>97958</v>
      </c>
      <c r="D1293" s="46" t="n">
        <f aca="false">MIN(1,'Model Inputs &amp; Assumptions'!$U$30*EXP('Model Inputs &amp; Assumptions'!$V$30*Q1293-'Model Inputs &amp; Assumptions'!$V$30^2/2))</f>
        <v>0</v>
      </c>
      <c r="E1293" s="45" t="n">
        <f aca="false">ROUND(C1293*D1293,0)</f>
        <v>0</v>
      </c>
      <c r="F1293" s="47" t="n">
        <f aca="false">MIN(1,'Model Inputs &amp; Assumptions'!$W$30*EXP('Model Inputs &amp; Assumptions'!$X$30*R1293-'Model Inputs &amp; Assumptions'!$X$30^2/2))</f>
        <v>0.00795660492315068</v>
      </c>
      <c r="G1293" s="45" t="n">
        <f aca="false">ROUND(C1293*F1293,0)</f>
        <v>779</v>
      </c>
      <c r="H1293" s="48" t="n">
        <f aca="false">MAX(0,(C1293*'Model Inputs &amp; Assumptions'!$N$30+E1293*'Model Inputs &amp; Assumptions'!$O$30+G1293*'Model Inputs &amp; Assumptions'!$P$30)*EXP('Model Inputs &amp; Assumptions'!$Q$30*S1293-'Model Inputs &amp; Assumptions'!$Q$30^2/2))</f>
        <v>61.7137671680692</v>
      </c>
      <c r="I1293" s="49" t="n">
        <f aca="false">IF('Model Inputs &amp; Assumptions'!$H$30="Fixed",'Model Inputs &amp; Assumptions'!$I$30*'Model Inputs &amp; Assumptions'!$K$30,IF('Model Inputs &amp; Assumptions'!$H$30="CPM",'Model Inputs &amp; Assumptions'!$I$30*'Model Inputs &amp; Assumptions'!$K$30*C1293/1000,IF('Model Inputs &amp; Assumptions'!$H$30="CPC",'Model Inputs &amp; Assumptions'!$I$30*'Model Inputs &amp; Assumptions'!$K$30*G1293,0)))</f>
        <v>6900</v>
      </c>
      <c r="J1293" s="50" t="n">
        <f aca="false">H1293*INDEX('Model Inputs &amp; Assumptions'!$D$40:$D$42,MATCH('Model Inputs &amp; Assumptions'!$L$30,'Model Inputs &amp; Assumptions'!$A$40:$A$42,0))*INDEX('Model Inputs &amp; Assumptions'!$H$40:$H$42,MATCH('Model Inputs &amp; Assumptions'!$L$30,'Model Inputs &amp; Assumptions'!$A$40:$A$42,0))</f>
        <v>444339.123610099</v>
      </c>
      <c r="K1293" s="49" t="n">
        <f aca="false">H1293*INDEX('Model Inputs &amp; Assumptions'!$G$40:$G$42,MATCH('Model Inputs &amp; Assumptions'!$L$30,'Model Inputs &amp; Assumptions'!$A$40:$A$42,0))*INDEX('Model Inputs &amp; Assumptions'!$H$40:$H$42,MATCH('Model Inputs &amp; Assumptions'!$L$30,'Model Inputs &amp; Assumptions'!$A$40:$A$42,0))</f>
        <v>9797.67767560267</v>
      </c>
      <c r="L1293" s="51" t="n">
        <f aca="false">IFERROR(K1293/I1293,0)</f>
        <v>1.41995328631923</v>
      </c>
      <c r="M1293" s="49" t="n">
        <f aca="false">IFERROR(I1293/H1293,0)</f>
        <v>111.806494995011</v>
      </c>
      <c r="N1293" s="52" t="str">
        <f aca="false">'Model Inputs &amp; Assumptions'!$L$30</f>
        <v>PRD-USIQ</v>
      </c>
      <c r="P1293" s="53" t="n">
        <v>0.953365</v>
      </c>
      <c r="Q1293" s="53" t="n">
        <v>0.426853</v>
      </c>
      <c r="R1293" s="53" t="n">
        <v>0.038739</v>
      </c>
      <c r="S1293" s="53" t="n">
        <v>0.916456</v>
      </c>
    </row>
    <row r="1294" customFormat="false" ht="15" hidden="false" customHeight="false" outlineLevel="0" collapsed="false">
      <c r="A1294" s="43" t="n">
        <v>291</v>
      </c>
      <c r="B1294" s="44" t="str">
        <f aca="false">'Model Inputs &amp; Assumptions'!$B$30</f>
        <v>extraETF — Newsletter Takeover</v>
      </c>
      <c r="C1294" s="45" t="n">
        <f aca="false">ROUND(MAX(0,'Model Inputs &amp; Assumptions'!$S$30*EXP('Model Inputs &amp; Assumptions'!$T$30*P1294-'Model Inputs &amp; Assumptions'!$T$30^2/2)),0)</f>
        <v>83996</v>
      </c>
      <c r="D1294" s="46" t="n">
        <f aca="false">MIN(1,'Model Inputs &amp; Assumptions'!$U$30*EXP('Model Inputs &amp; Assumptions'!$V$30*Q1294-'Model Inputs &amp; Assumptions'!$V$30^2/2))</f>
        <v>0</v>
      </c>
      <c r="E1294" s="45" t="n">
        <f aca="false">ROUND(C1294*D1294,0)</f>
        <v>0</v>
      </c>
      <c r="F1294" s="47" t="n">
        <f aca="false">MIN(1,'Model Inputs &amp; Assumptions'!$W$30*EXP('Model Inputs &amp; Assumptions'!$X$30*R1294-'Model Inputs &amp; Assumptions'!$X$30^2/2))</f>
        <v>0.00948832164319107</v>
      </c>
      <c r="G1294" s="45" t="n">
        <f aca="false">ROUND(C1294*F1294,0)</f>
        <v>797</v>
      </c>
      <c r="H1294" s="48" t="n">
        <f aca="false">MAX(0,(C1294*'Model Inputs &amp; Assumptions'!$N$30+E1294*'Model Inputs &amp; Assumptions'!$O$30+G1294*'Model Inputs &amp; Assumptions'!$P$30)*EXP('Model Inputs &amp; Assumptions'!$Q$30*S1294-'Model Inputs &amp; Assumptions'!$Q$30^2/2))</f>
        <v>46.4168096100025</v>
      </c>
      <c r="I1294" s="49" t="n">
        <f aca="false">IF('Model Inputs &amp; Assumptions'!$H$30="Fixed",'Model Inputs &amp; Assumptions'!$I$30*'Model Inputs &amp; Assumptions'!$K$30,IF('Model Inputs &amp; Assumptions'!$H$30="CPM",'Model Inputs &amp; Assumptions'!$I$30*'Model Inputs &amp; Assumptions'!$K$30*C1294/1000,IF('Model Inputs &amp; Assumptions'!$H$30="CPC",'Model Inputs &amp; Assumptions'!$I$30*'Model Inputs &amp; Assumptions'!$K$30*G1294,0)))</f>
        <v>6900</v>
      </c>
      <c r="J1294" s="50" t="n">
        <f aca="false">H1294*INDEX('Model Inputs &amp; Assumptions'!$D$40:$D$42,MATCH('Model Inputs &amp; Assumptions'!$L$30,'Model Inputs &amp; Assumptions'!$A$40:$A$42,0))*INDEX('Model Inputs &amp; Assumptions'!$H$40:$H$42,MATCH('Model Inputs &amp; Assumptions'!$L$30,'Model Inputs &amp; Assumptions'!$A$40:$A$42,0))</f>
        <v>334201.029192018</v>
      </c>
      <c r="K1294" s="49" t="n">
        <f aca="false">H1294*INDEX('Model Inputs &amp; Assumptions'!$G$40:$G$42,MATCH('Model Inputs &amp; Assumptions'!$L$30,'Model Inputs &amp; Assumptions'!$A$40:$A$42,0))*INDEX('Model Inputs &amp; Assumptions'!$H$40:$H$42,MATCH('Model Inputs &amp; Assumptions'!$L$30,'Model Inputs &amp; Assumptions'!$A$40:$A$42,0))</f>
        <v>7369.13269368399</v>
      </c>
      <c r="L1294" s="51" t="n">
        <f aca="false">IFERROR(K1294/I1294,0)</f>
        <v>1.06799024546145</v>
      </c>
      <c r="M1294" s="49" t="n">
        <f aca="false">IFERROR(I1294/H1294,0)</f>
        <v>148.653043110337</v>
      </c>
      <c r="N1294" s="52" t="str">
        <f aca="false">'Model Inputs &amp; Assumptions'!$L$30</f>
        <v>PRD-USIQ</v>
      </c>
      <c r="P1294" s="53" t="n">
        <v>-0.328034</v>
      </c>
      <c r="Q1294" s="53" t="n">
        <v>0.644585</v>
      </c>
      <c r="R1294" s="53" t="n">
        <v>1.212468</v>
      </c>
      <c r="S1294" s="53" t="n">
        <v>-0.3143</v>
      </c>
    </row>
    <row r="1295" customFormat="false" ht="15" hidden="false" customHeight="false" outlineLevel="0" collapsed="false">
      <c r="A1295" s="43" t="n">
        <v>292</v>
      </c>
      <c r="B1295" s="44" t="str">
        <f aca="false">'Model Inputs &amp; Assumptions'!$B$30</f>
        <v>extraETF — Newsletter Takeover</v>
      </c>
      <c r="C1295" s="45" t="n">
        <f aca="false">ROUND(MAX(0,'Model Inputs &amp; Assumptions'!$S$30*EXP('Model Inputs &amp; Assumptions'!$T$30*P1295-'Model Inputs &amp; Assumptions'!$T$30^2/2)),0)</f>
        <v>83224</v>
      </c>
      <c r="D1295" s="46" t="n">
        <f aca="false">MIN(1,'Model Inputs &amp; Assumptions'!$U$30*EXP('Model Inputs &amp; Assumptions'!$V$30*Q1295-'Model Inputs &amp; Assumptions'!$V$30^2/2))</f>
        <v>0</v>
      </c>
      <c r="E1295" s="45" t="n">
        <f aca="false">ROUND(C1295*D1295,0)</f>
        <v>0</v>
      </c>
      <c r="F1295" s="47" t="n">
        <f aca="false">MIN(1,'Model Inputs &amp; Assumptions'!$W$30*EXP('Model Inputs &amp; Assumptions'!$X$30*R1295-'Model Inputs &amp; Assumptions'!$X$30^2/2))</f>
        <v>0.00986638121843942</v>
      </c>
      <c r="G1295" s="45" t="n">
        <f aca="false">ROUND(C1295*F1295,0)</f>
        <v>821</v>
      </c>
      <c r="H1295" s="48" t="n">
        <f aca="false">MAX(0,(C1295*'Model Inputs &amp; Assumptions'!$N$30+E1295*'Model Inputs &amp; Assumptions'!$O$30+G1295*'Model Inputs &amp; Assumptions'!$P$30)*EXP('Model Inputs &amp; Assumptions'!$Q$30*S1295-'Model Inputs &amp; Assumptions'!$Q$30^2/2))</f>
        <v>46.8033064170945</v>
      </c>
      <c r="I1295" s="49" t="n">
        <f aca="false">IF('Model Inputs &amp; Assumptions'!$H$30="Fixed",'Model Inputs &amp; Assumptions'!$I$30*'Model Inputs &amp; Assumptions'!$K$30,IF('Model Inputs &amp; Assumptions'!$H$30="CPM",'Model Inputs &amp; Assumptions'!$I$30*'Model Inputs &amp; Assumptions'!$K$30*C1295/1000,IF('Model Inputs &amp; Assumptions'!$H$30="CPC",'Model Inputs &amp; Assumptions'!$I$30*'Model Inputs &amp; Assumptions'!$K$30*G1295,0)))</f>
        <v>6900</v>
      </c>
      <c r="J1295" s="50" t="n">
        <f aca="false">H1295*INDEX('Model Inputs &amp; Assumptions'!$D$40:$D$42,MATCH('Model Inputs &amp; Assumptions'!$L$30,'Model Inputs &amp; Assumptions'!$A$40:$A$42,0))*INDEX('Model Inputs &amp; Assumptions'!$H$40:$H$42,MATCH('Model Inputs &amp; Assumptions'!$L$30,'Model Inputs &amp; Assumptions'!$A$40:$A$42,0))</f>
        <v>336983.80620308</v>
      </c>
      <c r="K1295" s="49" t="n">
        <f aca="false">H1295*INDEX('Model Inputs &amp; Assumptions'!$G$40:$G$42,MATCH('Model Inputs &amp; Assumptions'!$L$30,'Model Inputs &amp; Assumptions'!$A$40:$A$42,0))*INDEX('Model Inputs &amp; Assumptions'!$H$40:$H$42,MATCH('Model Inputs &amp; Assumptions'!$L$30,'Model Inputs &amp; Assumptions'!$A$40:$A$42,0))</f>
        <v>7430.49292677792</v>
      </c>
      <c r="L1295" s="51" t="n">
        <f aca="false">IFERROR(K1295/I1295,0)</f>
        <v>1.07688303286637</v>
      </c>
      <c r="M1295" s="49" t="n">
        <f aca="false">IFERROR(I1295/H1295,0)</f>
        <v>147.425481834758</v>
      </c>
      <c r="N1295" s="52" t="str">
        <f aca="false">'Model Inputs &amp; Assumptions'!$L$30</f>
        <v>PRD-USIQ</v>
      </c>
      <c r="P1295" s="53" t="n">
        <v>-0.405002</v>
      </c>
      <c r="Q1295" s="53" t="n">
        <v>-1.163706</v>
      </c>
      <c r="R1295" s="53" t="n">
        <v>1.472944</v>
      </c>
      <c r="S1295" s="53" t="n">
        <v>-0.399805</v>
      </c>
    </row>
    <row r="1296" customFormat="false" ht="15" hidden="false" customHeight="false" outlineLevel="0" collapsed="false">
      <c r="A1296" s="43" t="n">
        <v>293</v>
      </c>
      <c r="B1296" s="44" t="str">
        <f aca="false">'Model Inputs &amp; Assumptions'!$B$30</f>
        <v>extraETF — Newsletter Takeover</v>
      </c>
      <c r="C1296" s="45" t="n">
        <f aca="false">ROUND(MAX(0,'Model Inputs &amp; Assumptions'!$S$30*EXP('Model Inputs &amp; Assumptions'!$T$30*P1296-'Model Inputs &amp; Assumptions'!$T$30^2/2)),0)</f>
        <v>103602</v>
      </c>
      <c r="D1296" s="46" t="n">
        <f aca="false">MIN(1,'Model Inputs &amp; Assumptions'!$U$30*EXP('Model Inputs &amp; Assumptions'!$V$30*Q1296-'Model Inputs &amp; Assumptions'!$V$30^2/2))</f>
        <v>0</v>
      </c>
      <c r="E1296" s="45" t="n">
        <f aca="false">ROUND(C1296*D1296,0)</f>
        <v>0</v>
      </c>
      <c r="F1296" s="47" t="n">
        <f aca="false">MIN(1,'Model Inputs &amp; Assumptions'!$W$30*EXP('Model Inputs &amp; Assumptions'!$X$30*R1296-'Model Inputs &amp; Assumptions'!$X$30^2/2))</f>
        <v>0.0115661119819042</v>
      </c>
      <c r="G1296" s="45" t="n">
        <f aca="false">ROUND(C1296*F1296,0)</f>
        <v>1198</v>
      </c>
      <c r="H1296" s="48" t="n">
        <f aca="false">MAX(0,(C1296*'Model Inputs &amp; Assumptions'!$N$30+E1296*'Model Inputs &amp; Assumptions'!$O$30+G1296*'Model Inputs &amp; Assumptions'!$P$30)*EXP('Model Inputs &amp; Assumptions'!$Q$30*S1296-'Model Inputs &amp; Assumptions'!$Q$30^2/2))</f>
        <v>84.001551556958</v>
      </c>
      <c r="I1296" s="49" t="n">
        <f aca="false">IF('Model Inputs &amp; Assumptions'!$H$30="Fixed",'Model Inputs &amp; Assumptions'!$I$30*'Model Inputs &amp; Assumptions'!$K$30,IF('Model Inputs &amp; Assumptions'!$H$30="CPM",'Model Inputs &amp; Assumptions'!$I$30*'Model Inputs &amp; Assumptions'!$K$30*C1296/1000,IF('Model Inputs &amp; Assumptions'!$H$30="CPC",'Model Inputs &amp; Assumptions'!$I$30*'Model Inputs &amp; Assumptions'!$K$30*G1296,0)))</f>
        <v>6900</v>
      </c>
      <c r="J1296" s="50" t="n">
        <f aca="false">H1296*INDEX('Model Inputs &amp; Assumptions'!$D$40:$D$42,MATCH('Model Inputs &amp; Assumptions'!$L$30,'Model Inputs &amp; Assumptions'!$A$40:$A$42,0))*INDEX('Model Inputs &amp; Assumptions'!$H$40:$H$42,MATCH('Model Inputs &amp; Assumptions'!$L$30,'Model Inputs &amp; Assumptions'!$A$40:$A$42,0))</f>
        <v>604811.171210097</v>
      </c>
      <c r="K1296" s="49" t="n">
        <f aca="false">H1296*INDEX('Model Inputs &amp; Assumptions'!$G$40:$G$42,MATCH('Model Inputs &amp; Assumptions'!$L$30,'Model Inputs &amp; Assumptions'!$A$40:$A$42,0))*INDEX('Model Inputs &amp; Assumptions'!$H$40:$H$42,MATCH('Model Inputs &amp; Assumptions'!$L$30,'Model Inputs &amp; Assumptions'!$A$40:$A$42,0))</f>
        <v>13336.0863251826</v>
      </c>
      <c r="L1296" s="51" t="n">
        <f aca="false">IFERROR(K1296/I1296,0)</f>
        <v>1.93276613408444</v>
      </c>
      <c r="M1296" s="49" t="n">
        <f aca="false">IFERROR(I1296/H1296,0)</f>
        <v>82.1413399170537</v>
      </c>
      <c r="N1296" s="52" t="str">
        <f aca="false">'Model Inputs &amp; Assumptions'!$L$30</f>
        <v>PRD-USIQ</v>
      </c>
      <c r="P1296" s="53" t="n">
        <v>1.420194</v>
      </c>
      <c r="Q1296" s="53" t="n">
        <v>-0.681943</v>
      </c>
      <c r="R1296" s="53" t="n">
        <v>2.532586</v>
      </c>
      <c r="S1296" s="53" t="n">
        <v>0.428178</v>
      </c>
    </row>
    <row r="1297" customFormat="false" ht="15" hidden="false" customHeight="false" outlineLevel="0" collapsed="false">
      <c r="A1297" s="43" t="n">
        <v>294</v>
      </c>
      <c r="B1297" s="44" t="str">
        <f aca="false">'Model Inputs &amp; Assumptions'!$B$30</f>
        <v>extraETF — Newsletter Takeover</v>
      </c>
      <c r="C1297" s="45" t="n">
        <f aca="false">ROUND(MAX(0,'Model Inputs &amp; Assumptions'!$S$30*EXP('Model Inputs &amp; Assumptions'!$T$30*P1297-'Model Inputs &amp; Assumptions'!$T$30^2/2)),0)</f>
        <v>85939</v>
      </c>
      <c r="D1297" s="46" t="n">
        <f aca="false">MIN(1,'Model Inputs &amp; Assumptions'!$U$30*EXP('Model Inputs &amp; Assumptions'!$V$30*Q1297-'Model Inputs &amp; Assumptions'!$V$30^2/2))</f>
        <v>0</v>
      </c>
      <c r="E1297" s="45" t="n">
        <f aca="false">ROUND(C1297*D1297,0)</f>
        <v>0</v>
      </c>
      <c r="F1297" s="47" t="n">
        <f aca="false">MIN(1,'Model Inputs &amp; Assumptions'!$W$30*EXP('Model Inputs &amp; Assumptions'!$X$30*R1297-'Model Inputs &amp; Assumptions'!$X$30^2/2))</f>
        <v>0.00561449272725865</v>
      </c>
      <c r="G1297" s="45" t="n">
        <f aca="false">ROUND(C1297*F1297,0)</f>
        <v>483</v>
      </c>
      <c r="H1297" s="48" t="n">
        <f aca="false">MAX(0,(C1297*'Model Inputs &amp; Assumptions'!$N$30+E1297*'Model Inputs &amp; Assumptions'!$O$30+G1297*'Model Inputs &amp; Assumptions'!$P$30)*EXP('Model Inputs &amp; Assumptions'!$Q$30*S1297-'Model Inputs &amp; Assumptions'!$Q$30^2/2))</f>
        <v>31.6368599385574</v>
      </c>
      <c r="I1297" s="49" t="n">
        <f aca="false">IF('Model Inputs &amp; Assumptions'!$H$30="Fixed",'Model Inputs &amp; Assumptions'!$I$30*'Model Inputs &amp; Assumptions'!$K$30,IF('Model Inputs &amp; Assumptions'!$H$30="CPM",'Model Inputs &amp; Assumptions'!$I$30*'Model Inputs &amp; Assumptions'!$K$30*C1297/1000,IF('Model Inputs &amp; Assumptions'!$H$30="CPC",'Model Inputs &amp; Assumptions'!$I$30*'Model Inputs &amp; Assumptions'!$K$30*G1297,0)))</f>
        <v>6900</v>
      </c>
      <c r="J1297" s="50" t="n">
        <f aca="false">H1297*INDEX('Model Inputs &amp; Assumptions'!$D$40:$D$42,MATCH('Model Inputs &amp; Assumptions'!$L$30,'Model Inputs &amp; Assumptions'!$A$40:$A$42,0))*INDEX('Model Inputs &amp; Assumptions'!$H$40:$H$42,MATCH('Model Inputs &amp; Assumptions'!$L$30,'Model Inputs &amp; Assumptions'!$A$40:$A$42,0))</f>
        <v>227785.391557613</v>
      </c>
      <c r="K1297" s="49" t="n">
        <f aca="false">H1297*INDEX('Model Inputs &amp; Assumptions'!$G$40:$G$42,MATCH('Model Inputs &amp; Assumptions'!$L$30,'Model Inputs &amp; Assumptions'!$A$40:$A$42,0))*INDEX('Model Inputs &amp; Assumptions'!$H$40:$H$42,MATCH('Model Inputs &amp; Assumptions'!$L$30,'Model Inputs &amp; Assumptions'!$A$40:$A$42,0))</f>
        <v>5022.66788384537</v>
      </c>
      <c r="L1297" s="51" t="n">
        <f aca="false">IFERROR(K1297/I1297,0)</f>
        <v>0.72792288171672</v>
      </c>
      <c r="M1297" s="49" t="n">
        <f aca="false">IFERROR(I1297/H1297,0)</f>
        <v>218.100026785232</v>
      </c>
      <c r="N1297" s="52" t="str">
        <f aca="false">'Model Inputs &amp; Assumptions'!$L$30</f>
        <v>PRD-USIQ</v>
      </c>
      <c r="P1297" s="53" t="n">
        <v>-0.137489</v>
      </c>
      <c r="Q1297" s="53" t="n">
        <v>-0.332569</v>
      </c>
      <c r="R1297" s="53" t="n">
        <v>-2.285602</v>
      </c>
      <c r="S1297" s="53" t="n">
        <v>0.155697</v>
      </c>
    </row>
    <row r="1298" customFormat="false" ht="15" hidden="false" customHeight="false" outlineLevel="0" collapsed="false">
      <c r="A1298" s="43" t="n">
        <v>295</v>
      </c>
      <c r="B1298" s="44" t="str">
        <f aca="false">'Model Inputs &amp; Assumptions'!$B$30</f>
        <v>extraETF — Newsletter Takeover</v>
      </c>
      <c r="C1298" s="45" t="n">
        <f aca="false">ROUND(MAX(0,'Model Inputs &amp; Assumptions'!$S$30*EXP('Model Inputs &amp; Assumptions'!$T$30*P1298-'Model Inputs &amp; Assumptions'!$T$30^2/2)),0)</f>
        <v>83760</v>
      </c>
      <c r="D1298" s="46" t="n">
        <f aca="false">MIN(1,'Model Inputs &amp; Assumptions'!$U$30*EXP('Model Inputs &amp; Assumptions'!$V$30*Q1298-'Model Inputs &amp; Assumptions'!$V$30^2/2))</f>
        <v>0</v>
      </c>
      <c r="E1298" s="45" t="n">
        <f aca="false">ROUND(C1298*D1298,0)</f>
        <v>0</v>
      </c>
      <c r="F1298" s="47" t="n">
        <f aca="false">MIN(1,'Model Inputs &amp; Assumptions'!$W$30*EXP('Model Inputs &amp; Assumptions'!$X$30*R1298-'Model Inputs &amp; Assumptions'!$X$30^2/2))</f>
        <v>0.00723990106811915</v>
      </c>
      <c r="G1298" s="45" t="n">
        <f aca="false">ROUND(C1298*F1298,0)</f>
        <v>606</v>
      </c>
      <c r="H1298" s="48" t="n">
        <f aca="false">MAX(0,(C1298*'Model Inputs &amp; Assumptions'!$N$30+E1298*'Model Inputs &amp; Assumptions'!$O$30+G1298*'Model Inputs &amp; Assumptions'!$P$30)*EXP('Model Inputs &amp; Assumptions'!$Q$30*S1298-'Model Inputs &amp; Assumptions'!$Q$30^2/2))</f>
        <v>39.376609676484</v>
      </c>
      <c r="I1298" s="49" t="n">
        <f aca="false">IF('Model Inputs &amp; Assumptions'!$H$30="Fixed",'Model Inputs &amp; Assumptions'!$I$30*'Model Inputs &amp; Assumptions'!$K$30,IF('Model Inputs &amp; Assumptions'!$H$30="CPM",'Model Inputs &amp; Assumptions'!$I$30*'Model Inputs &amp; Assumptions'!$K$30*C1298/1000,IF('Model Inputs &amp; Assumptions'!$H$30="CPC",'Model Inputs &amp; Assumptions'!$I$30*'Model Inputs &amp; Assumptions'!$K$30*G1298,0)))</f>
        <v>6900</v>
      </c>
      <c r="J1298" s="50" t="n">
        <f aca="false">H1298*INDEX('Model Inputs &amp; Assumptions'!$D$40:$D$42,MATCH('Model Inputs &amp; Assumptions'!$L$30,'Model Inputs &amp; Assumptions'!$A$40:$A$42,0))*INDEX('Model Inputs &amp; Assumptions'!$H$40:$H$42,MATCH('Model Inputs &amp; Assumptions'!$L$30,'Model Inputs &amp; Assumptions'!$A$40:$A$42,0))</f>
        <v>283511.589670685</v>
      </c>
      <c r="K1298" s="49" t="n">
        <f aca="false">H1298*INDEX('Model Inputs &amp; Assumptions'!$G$40:$G$42,MATCH('Model Inputs &amp; Assumptions'!$L$30,'Model Inputs &amp; Assumptions'!$A$40:$A$42,0))*INDEX('Model Inputs &amp; Assumptions'!$H$40:$H$42,MATCH('Model Inputs &amp; Assumptions'!$L$30,'Model Inputs &amp; Assumptions'!$A$40:$A$42,0))</f>
        <v>6251.4305522386</v>
      </c>
      <c r="L1298" s="51" t="n">
        <f aca="false">IFERROR(K1298/I1298,0)</f>
        <v>0.906004427860667</v>
      </c>
      <c r="M1298" s="49" t="n">
        <f aca="false">IFERROR(I1298/H1298,0)</f>
        <v>175.230931679746</v>
      </c>
      <c r="N1298" s="52" t="str">
        <f aca="false">'Model Inputs &amp; Assumptions'!$L$30</f>
        <v>PRD-USIQ</v>
      </c>
      <c r="P1298" s="53" t="n">
        <v>-0.351467</v>
      </c>
      <c r="Q1298" s="53" t="n">
        <v>1.248764</v>
      </c>
      <c r="R1298" s="53" t="n">
        <v>-0.59056</v>
      </c>
      <c r="S1298" s="53" t="n">
        <v>0.12364</v>
      </c>
    </row>
    <row r="1299" customFormat="false" ht="15" hidden="false" customHeight="false" outlineLevel="0" collapsed="false">
      <c r="A1299" s="43" t="n">
        <v>296</v>
      </c>
      <c r="B1299" s="44" t="str">
        <f aca="false">'Model Inputs &amp; Assumptions'!$B$30</f>
        <v>extraETF — Newsletter Takeover</v>
      </c>
      <c r="C1299" s="45" t="n">
        <f aca="false">ROUND(MAX(0,'Model Inputs &amp; Assumptions'!$S$30*EXP('Model Inputs &amp; Assumptions'!$T$30*P1299-'Model Inputs &amp; Assumptions'!$T$30^2/2)),0)</f>
        <v>109924</v>
      </c>
      <c r="D1299" s="46" t="n">
        <f aca="false">MIN(1,'Model Inputs &amp; Assumptions'!$U$30*EXP('Model Inputs &amp; Assumptions'!$V$30*Q1299-'Model Inputs &amp; Assumptions'!$V$30^2/2))</f>
        <v>0</v>
      </c>
      <c r="E1299" s="45" t="n">
        <f aca="false">ROUND(C1299*D1299,0)</f>
        <v>0</v>
      </c>
      <c r="F1299" s="47" t="n">
        <f aca="false">MIN(1,'Model Inputs &amp; Assumptions'!$W$30*EXP('Model Inputs &amp; Assumptions'!$X$30*R1299-'Model Inputs &amp; Assumptions'!$X$30^2/2))</f>
        <v>0.00839862827299105</v>
      </c>
      <c r="G1299" s="45" t="n">
        <f aca="false">ROUND(C1299*F1299,0)</f>
        <v>923</v>
      </c>
      <c r="H1299" s="48" t="n">
        <f aca="false">MAX(0,(C1299*'Model Inputs &amp; Assumptions'!$N$30+E1299*'Model Inputs &amp; Assumptions'!$O$30+G1299*'Model Inputs &amp; Assumptions'!$P$30)*EXP('Model Inputs &amp; Assumptions'!$Q$30*S1299-'Model Inputs &amp; Assumptions'!$Q$30^2/2))</f>
        <v>48.8976811649285</v>
      </c>
      <c r="I1299" s="49" t="n">
        <f aca="false">IF('Model Inputs &amp; Assumptions'!$H$30="Fixed",'Model Inputs &amp; Assumptions'!$I$30*'Model Inputs &amp; Assumptions'!$K$30,IF('Model Inputs &amp; Assumptions'!$H$30="CPM",'Model Inputs &amp; Assumptions'!$I$30*'Model Inputs &amp; Assumptions'!$K$30*C1299/1000,IF('Model Inputs &amp; Assumptions'!$H$30="CPC",'Model Inputs &amp; Assumptions'!$I$30*'Model Inputs &amp; Assumptions'!$K$30*G1299,0)))</f>
        <v>6900</v>
      </c>
      <c r="J1299" s="50" t="n">
        <f aca="false">H1299*INDEX('Model Inputs &amp; Assumptions'!$D$40:$D$42,MATCH('Model Inputs &amp; Assumptions'!$L$30,'Model Inputs &amp; Assumptions'!$A$40:$A$42,0))*INDEX('Model Inputs &amp; Assumptions'!$H$40:$H$42,MATCH('Model Inputs &amp; Assumptions'!$L$30,'Model Inputs &amp; Assumptions'!$A$40:$A$42,0))</f>
        <v>352063.304387485</v>
      </c>
      <c r="K1299" s="49" t="n">
        <f aca="false">H1299*INDEX('Model Inputs &amp; Assumptions'!$G$40:$G$42,MATCH('Model Inputs &amp; Assumptions'!$L$30,'Model Inputs &amp; Assumptions'!$A$40:$A$42,0))*INDEX('Model Inputs &amp; Assumptions'!$H$40:$H$42,MATCH('Model Inputs &amp; Assumptions'!$L$30,'Model Inputs &amp; Assumptions'!$A$40:$A$42,0))</f>
        <v>7762.99586174404</v>
      </c>
      <c r="L1299" s="51" t="n">
        <f aca="false">IFERROR(K1299/I1299,0)</f>
        <v>1.12507186402088</v>
      </c>
      <c r="M1299" s="49" t="n">
        <f aca="false">IFERROR(I1299/H1299,0)</f>
        <v>141.110985953031</v>
      </c>
      <c r="N1299" s="52" t="str">
        <f aca="false">'Model Inputs &amp; Assumptions'!$L$30</f>
        <v>PRD-USIQ</v>
      </c>
      <c r="P1299" s="53" t="n">
        <v>1.913771</v>
      </c>
      <c r="Q1299" s="53" t="n">
        <v>0.522809</v>
      </c>
      <c r="R1299" s="53" t="n">
        <v>0.399179</v>
      </c>
      <c r="S1299" s="53" t="n">
        <v>-0.693125</v>
      </c>
    </row>
    <row r="1300" customFormat="false" ht="15" hidden="false" customHeight="false" outlineLevel="0" collapsed="false">
      <c r="A1300" s="43" t="n">
        <v>297</v>
      </c>
      <c r="B1300" s="44" t="str">
        <f aca="false">'Model Inputs &amp; Assumptions'!$B$30</f>
        <v>extraETF — Newsletter Takeover</v>
      </c>
      <c r="C1300" s="45" t="n">
        <f aca="false">ROUND(MAX(0,'Model Inputs &amp; Assumptions'!$S$30*EXP('Model Inputs &amp; Assumptions'!$T$30*P1300-'Model Inputs &amp; Assumptions'!$T$30^2/2)),0)</f>
        <v>74241</v>
      </c>
      <c r="D1300" s="46" t="n">
        <f aca="false">MIN(1,'Model Inputs &amp; Assumptions'!$U$30*EXP('Model Inputs &amp; Assumptions'!$V$30*Q1300-'Model Inputs &amp; Assumptions'!$V$30^2/2))</f>
        <v>0</v>
      </c>
      <c r="E1300" s="45" t="n">
        <f aca="false">ROUND(C1300*D1300,0)</f>
        <v>0</v>
      </c>
      <c r="F1300" s="47" t="n">
        <f aca="false">MIN(1,'Model Inputs &amp; Assumptions'!$W$30*EXP('Model Inputs &amp; Assumptions'!$X$30*R1300-'Model Inputs &amp; Assumptions'!$X$30^2/2))</f>
        <v>0.0098135245625916</v>
      </c>
      <c r="G1300" s="45" t="n">
        <f aca="false">ROUND(C1300*F1300,0)</f>
        <v>729</v>
      </c>
      <c r="H1300" s="48" t="n">
        <f aca="false">MAX(0,(C1300*'Model Inputs &amp; Assumptions'!$N$30+E1300*'Model Inputs &amp; Assumptions'!$O$30+G1300*'Model Inputs &amp; Assumptions'!$P$30)*EXP('Model Inputs &amp; Assumptions'!$Q$30*S1300-'Model Inputs &amp; Assumptions'!$Q$30^2/2))</f>
        <v>52.7263706863012</v>
      </c>
      <c r="I1300" s="49" t="n">
        <f aca="false">IF('Model Inputs &amp; Assumptions'!$H$30="Fixed",'Model Inputs &amp; Assumptions'!$I$30*'Model Inputs &amp; Assumptions'!$K$30,IF('Model Inputs &amp; Assumptions'!$H$30="CPM",'Model Inputs &amp; Assumptions'!$I$30*'Model Inputs &amp; Assumptions'!$K$30*C1300/1000,IF('Model Inputs &amp; Assumptions'!$H$30="CPC",'Model Inputs &amp; Assumptions'!$I$30*'Model Inputs &amp; Assumptions'!$K$30*G1300,0)))</f>
        <v>6900</v>
      </c>
      <c r="J1300" s="50" t="n">
        <f aca="false">H1300*INDEX('Model Inputs &amp; Assumptions'!$D$40:$D$42,MATCH('Model Inputs &amp; Assumptions'!$L$30,'Model Inputs &amp; Assumptions'!$A$40:$A$42,0))*INDEX('Model Inputs &amp; Assumptions'!$H$40:$H$42,MATCH('Model Inputs &amp; Assumptions'!$L$30,'Model Inputs &amp; Assumptions'!$A$40:$A$42,0))</f>
        <v>379629.868941369</v>
      </c>
      <c r="K1300" s="49" t="n">
        <f aca="false">H1300*INDEX('Model Inputs &amp; Assumptions'!$G$40:$G$42,MATCH('Model Inputs &amp; Assumptions'!$L$30,'Model Inputs &amp; Assumptions'!$A$40:$A$42,0))*INDEX('Model Inputs &amp; Assumptions'!$H$40:$H$42,MATCH('Model Inputs &amp; Assumptions'!$L$30,'Model Inputs &amp; Assumptions'!$A$40:$A$42,0))</f>
        <v>8370.83861015717</v>
      </c>
      <c r="L1300" s="51" t="n">
        <f aca="false">IFERROR(K1300/I1300,0)</f>
        <v>1.21316501596481</v>
      </c>
      <c r="M1300" s="49" t="n">
        <f aca="false">IFERROR(I1300/H1300,0)</f>
        <v>130.86430774938</v>
      </c>
      <c r="N1300" s="52" t="str">
        <f aca="false">'Model Inputs &amp; Assumptions'!$L$30</f>
        <v>PRD-USIQ</v>
      </c>
      <c r="P1300" s="53" t="n">
        <v>-1.35687</v>
      </c>
      <c r="Q1300" s="53" t="n">
        <v>1.783464</v>
      </c>
      <c r="R1300" s="53" t="n">
        <v>1.437133</v>
      </c>
      <c r="S1300" s="53" t="n">
        <v>0.55224</v>
      </c>
    </row>
    <row r="1301" customFormat="false" ht="15" hidden="false" customHeight="false" outlineLevel="0" collapsed="false">
      <c r="A1301" s="43" t="n">
        <v>298</v>
      </c>
      <c r="B1301" s="44" t="str">
        <f aca="false">'Model Inputs &amp; Assumptions'!$B$30</f>
        <v>extraETF — Newsletter Takeover</v>
      </c>
      <c r="C1301" s="45" t="n">
        <f aca="false">ROUND(MAX(0,'Model Inputs &amp; Assumptions'!$S$30*EXP('Model Inputs &amp; Assumptions'!$T$30*P1301-'Model Inputs &amp; Assumptions'!$T$30^2/2)),0)</f>
        <v>97797</v>
      </c>
      <c r="D1301" s="46" t="n">
        <f aca="false">MIN(1,'Model Inputs &amp; Assumptions'!$U$30*EXP('Model Inputs &amp; Assumptions'!$V$30*Q1301-'Model Inputs &amp; Assumptions'!$V$30^2/2))</f>
        <v>0</v>
      </c>
      <c r="E1301" s="45" t="n">
        <f aca="false">ROUND(C1301*D1301,0)</f>
        <v>0</v>
      </c>
      <c r="F1301" s="47" t="n">
        <f aca="false">MIN(1,'Model Inputs &amp; Assumptions'!$W$30*EXP('Model Inputs &amp; Assumptions'!$X$30*R1301-'Model Inputs &amp; Assumptions'!$X$30^2/2))</f>
        <v>0.00857025546753877</v>
      </c>
      <c r="G1301" s="45" t="n">
        <f aca="false">ROUND(C1301*F1301,0)</f>
        <v>838</v>
      </c>
      <c r="H1301" s="48" t="n">
        <f aca="false">MAX(0,(C1301*'Model Inputs &amp; Assumptions'!$N$30+E1301*'Model Inputs &amp; Assumptions'!$O$30+G1301*'Model Inputs &amp; Assumptions'!$P$30)*EXP('Model Inputs &amp; Assumptions'!$Q$30*S1301-'Model Inputs &amp; Assumptions'!$Q$30^2/2))</f>
        <v>79.9027357128393</v>
      </c>
      <c r="I1301" s="49" t="n">
        <f aca="false">IF('Model Inputs &amp; Assumptions'!$H$30="Fixed",'Model Inputs &amp; Assumptions'!$I$30*'Model Inputs &amp; Assumptions'!$K$30,IF('Model Inputs &amp; Assumptions'!$H$30="CPM",'Model Inputs &amp; Assumptions'!$I$30*'Model Inputs &amp; Assumptions'!$K$30*C1301/1000,IF('Model Inputs &amp; Assumptions'!$H$30="CPC",'Model Inputs &amp; Assumptions'!$I$30*'Model Inputs &amp; Assumptions'!$K$30*G1301,0)))</f>
        <v>6900</v>
      </c>
      <c r="J1301" s="50" t="n">
        <f aca="false">H1301*INDEX('Model Inputs &amp; Assumptions'!$D$40:$D$42,MATCH('Model Inputs &amp; Assumptions'!$L$30,'Model Inputs &amp; Assumptions'!$A$40:$A$42,0))*INDEX('Model Inputs &amp; Assumptions'!$H$40:$H$42,MATCH('Model Inputs &amp; Assumptions'!$L$30,'Model Inputs &amp; Assumptions'!$A$40:$A$42,0))</f>
        <v>575299.697132443</v>
      </c>
      <c r="K1301" s="49" t="n">
        <f aca="false">H1301*INDEX('Model Inputs &amp; Assumptions'!$G$40:$G$42,MATCH('Model Inputs &amp; Assumptions'!$L$30,'Model Inputs &amp; Assumptions'!$A$40:$A$42,0))*INDEX('Model Inputs &amp; Assumptions'!$H$40:$H$42,MATCH('Model Inputs &amp; Assumptions'!$L$30,'Model Inputs &amp; Assumptions'!$A$40:$A$42,0))</f>
        <v>12685.3583217704</v>
      </c>
      <c r="L1301" s="51" t="n">
        <f aca="false">IFERROR(K1301/I1301,0)</f>
        <v>1.83845772779281</v>
      </c>
      <c r="M1301" s="49" t="n">
        <f aca="false">IFERROR(I1301/H1301,0)</f>
        <v>86.3549907076745</v>
      </c>
      <c r="N1301" s="52" t="str">
        <f aca="false">'Model Inputs &amp; Assumptions'!$L$30</f>
        <v>PRD-USIQ</v>
      </c>
      <c r="P1301" s="53" t="n">
        <v>0.939644</v>
      </c>
      <c r="Q1301" s="53" t="n">
        <v>-1.190904</v>
      </c>
      <c r="R1301" s="53" t="n">
        <v>0.53404</v>
      </c>
      <c r="S1301" s="53" t="n">
        <v>1.65764</v>
      </c>
    </row>
    <row r="1302" customFormat="false" ht="15" hidden="false" customHeight="false" outlineLevel="0" collapsed="false">
      <c r="A1302" s="43" t="n">
        <v>299</v>
      </c>
      <c r="B1302" s="44" t="str">
        <f aca="false">'Model Inputs &amp; Assumptions'!$B$30</f>
        <v>extraETF — Newsletter Takeover</v>
      </c>
      <c r="C1302" s="45" t="n">
        <f aca="false">ROUND(MAX(0,'Model Inputs &amp; Assumptions'!$S$30*EXP('Model Inputs &amp; Assumptions'!$T$30*P1302-'Model Inputs &amp; Assumptions'!$T$30^2/2)),0)</f>
        <v>78282</v>
      </c>
      <c r="D1302" s="46" t="n">
        <f aca="false">MIN(1,'Model Inputs &amp; Assumptions'!$U$30*EXP('Model Inputs &amp; Assumptions'!$V$30*Q1302-'Model Inputs &amp; Assumptions'!$V$30^2/2))</f>
        <v>0</v>
      </c>
      <c r="E1302" s="45" t="n">
        <f aca="false">ROUND(C1302*D1302,0)</f>
        <v>0</v>
      </c>
      <c r="F1302" s="47" t="n">
        <f aca="false">MIN(1,'Model Inputs &amp; Assumptions'!$W$30*EXP('Model Inputs &amp; Assumptions'!$X$30*R1302-'Model Inputs &amp; Assumptions'!$X$30^2/2))</f>
        <v>0.00755416745431682</v>
      </c>
      <c r="G1302" s="45" t="n">
        <f aca="false">ROUND(C1302*F1302,0)</f>
        <v>591</v>
      </c>
      <c r="H1302" s="48" t="n">
        <f aca="false">MAX(0,(C1302*'Model Inputs &amp; Assumptions'!$N$30+E1302*'Model Inputs &amp; Assumptions'!$O$30+G1302*'Model Inputs &amp; Assumptions'!$P$30)*EXP('Model Inputs &amp; Assumptions'!$Q$30*S1302-'Model Inputs &amp; Assumptions'!$Q$30^2/2))</f>
        <v>36.1227372690353</v>
      </c>
      <c r="I1302" s="49" t="n">
        <f aca="false">IF('Model Inputs &amp; Assumptions'!$H$30="Fixed",'Model Inputs &amp; Assumptions'!$I$30*'Model Inputs &amp; Assumptions'!$K$30,IF('Model Inputs &amp; Assumptions'!$H$30="CPM",'Model Inputs &amp; Assumptions'!$I$30*'Model Inputs &amp; Assumptions'!$K$30*C1302/1000,IF('Model Inputs &amp; Assumptions'!$H$30="CPC",'Model Inputs &amp; Assumptions'!$I$30*'Model Inputs &amp; Assumptions'!$K$30*G1302,0)))</f>
        <v>6900</v>
      </c>
      <c r="J1302" s="50" t="n">
        <f aca="false">H1302*INDEX('Model Inputs &amp; Assumptions'!$D$40:$D$42,MATCH('Model Inputs &amp; Assumptions'!$L$30,'Model Inputs &amp; Assumptions'!$A$40:$A$42,0))*INDEX('Model Inputs &amp; Assumptions'!$H$40:$H$42,MATCH('Model Inputs &amp; Assumptions'!$L$30,'Model Inputs &amp; Assumptions'!$A$40:$A$42,0))</f>
        <v>260083.708337054</v>
      </c>
      <c r="K1302" s="49" t="n">
        <f aca="false">H1302*INDEX('Model Inputs &amp; Assumptions'!$G$40:$G$42,MATCH('Model Inputs &amp; Assumptions'!$L$30,'Model Inputs &amp; Assumptions'!$A$40:$A$42,0))*INDEX('Model Inputs &amp; Assumptions'!$H$40:$H$42,MATCH('Model Inputs &amp; Assumptions'!$L$30,'Model Inputs &amp; Assumptions'!$A$40:$A$42,0))</f>
        <v>5734.84576883204</v>
      </c>
      <c r="L1302" s="51" t="n">
        <f aca="false">IFERROR(K1302/I1302,0)</f>
        <v>0.831137067946673</v>
      </c>
      <c r="M1302" s="49" t="n">
        <f aca="false">IFERROR(I1302/H1302,0)</f>
        <v>191.015424678648</v>
      </c>
      <c r="N1302" s="52" t="str">
        <f aca="false">'Model Inputs &amp; Assumptions'!$L$30</f>
        <v>PRD-USIQ</v>
      </c>
      <c r="P1302" s="53" t="n">
        <v>-0.91521</v>
      </c>
      <c r="Q1302" s="53" t="n">
        <v>0.06344</v>
      </c>
      <c r="R1302" s="53" t="n">
        <v>-0.307281</v>
      </c>
      <c r="S1302" s="53" t="n">
        <v>-0.121102</v>
      </c>
    </row>
    <row r="1303" customFormat="false" ht="15" hidden="false" customHeight="false" outlineLevel="0" collapsed="false">
      <c r="A1303" s="43" t="n">
        <v>300</v>
      </c>
      <c r="B1303" s="44" t="str">
        <f aca="false">'Model Inputs &amp; Assumptions'!$B$30</f>
        <v>extraETF — Newsletter Takeover</v>
      </c>
      <c r="C1303" s="45" t="n">
        <f aca="false">ROUND(MAX(0,'Model Inputs &amp; Assumptions'!$S$30*EXP('Model Inputs &amp; Assumptions'!$T$30*P1303-'Model Inputs &amp; Assumptions'!$T$30^2/2)),0)</f>
        <v>101831</v>
      </c>
      <c r="D1303" s="46" t="n">
        <f aca="false">MIN(1,'Model Inputs &amp; Assumptions'!$U$30*EXP('Model Inputs &amp; Assumptions'!$V$30*Q1303-'Model Inputs &amp; Assumptions'!$V$30^2/2))</f>
        <v>0</v>
      </c>
      <c r="E1303" s="45" t="n">
        <f aca="false">ROUND(C1303*D1303,0)</f>
        <v>0</v>
      </c>
      <c r="F1303" s="47" t="n">
        <f aca="false">MIN(1,'Model Inputs &amp; Assumptions'!$W$30*EXP('Model Inputs &amp; Assumptions'!$X$30*R1303-'Model Inputs &amp; Assumptions'!$X$30^2/2))</f>
        <v>0.00905966271720031</v>
      </c>
      <c r="G1303" s="45" t="n">
        <f aca="false">ROUND(C1303*F1303,0)</f>
        <v>923</v>
      </c>
      <c r="H1303" s="48" t="n">
        <f aca="false">MAX(0,(C1303*'Model Inputs &amp; Assumptions'!$N$30+E1303*'Model Inputs &amp; Assumptions'!$O$30+G1303*'Model Inputs &amp; Assumptions'!$P$30)*EXP('Model Inputs &amp; Assumptions'!$Q$30*S1303-'Model Inputs &amp; Assumptions'!$Q$30^2/2))</f>
        <v>60.1475058114028</v>
      </c>
      <c r="I1303" s="49" t="n">
        <f aca="false">IF('Model Inputs &amp; Assumptions'!$H$30="Fixed",'Model Inputs &amp; Assumptions'!$I$30*'Model Inputs &amp; Assumptions'!$K$30,IF('Model Inputs &amp; Assumptions'!$H$30="CPM",'Model Inputs &amp; Assumptions'!$I$30*'Model Inputs &amp; Assumptions'!$K$30*C1303/1000,IF('Model Inputs &amp; Assumptions'!$H$30="CPC",'Model Inputs &amp; Assumptions'!$I$30*'Model Inputs &amp; Assumptions'!$K$30*G1303,0)))</f>
        <v>6900</v>
      </c>
      <c r="J1303" s="50" t="n">
        <f aca="false">H1303*INDEX('Model Inputs &amp; Assumptions'!$D$40:$D$42,MATCH('Model Inputs &amp; Assumptions'!$L$30,'Model Inputs &amp; Assumptions'!$A$40:$A$42,0))*INDEX('Model Inputs &amp; Assumptions'!$H$40:$H$42,MATCH('Model Inputs &amp; Assumptions'!$L$30,'Model Inputs &amp; Assumptions'!$A$40:$A$42,0))</f>
        <v>433062.0418421</v>
      </c>
      <c r="K1303" s="49" t="n">
        <f aca="false">H1303*INDEX('Model Inputs &amp; Assumptions'!$G$40:$G$42,MATCH('Model Inputs &amp; Assumptions'!$L$30,'Model Inputs &amp; Assumptions'!$A$40:$A$42,0))*INDEX('Model Inputs &amp; Assumptions'!$H$40:$H$42,MATCH('Model Inputs &amp; Assumptions'!$L$30,'Model Inputs &amp; Assumptions'!$A$40:$A$42,0))</f>
        <v>9549.01802261832</v>
      </c>
      <c r="L1303" s="51" t="n">
        <f aca="false">IFERROR(K1303/I1303,0)</f>
        <v>1.38391565545193</v>
      </c>
      <c r="M1303" s="49" t="n">
        <f aca="false">IFERROR(I1303/H1303,0)</f>
        <v>114.717973869698</v>
      </c>
      <c r="N1303" s="52" t="str">
        <f aca="false">'Model Inputs &amp; Assumptions'!$L$30</f>
        <v>PRD-USIQ</v>
      </c>
      <c r="P1303" s="53" t="n">
        <v>1.276442</v>
      </c>
      <c r="Q1303" s="53" t="n">
        <v>-0.551224</v>
      </c>
      <c r="R1303" s="53" t="n">
        <v>0.904269</v>
      </c>
      <c r="S1303" s="53" t="n">
        <v>0.135155</v>
      </c>
    </row>
    <row r="1304" customFormat="false" ht="15" hidden="false" customHeight="false" outlineLevel="0" collapsed="false">
      <c r="A1304" s="43" t="n">
        <v>301</v>
      </c>
      <c r="B1304" s="44" t="str">
        <f aca="false">'Model Inputs &amp; Assumptions'!$B$30</f>
        <v>extraETF — Newsletter Takeover</v>
      </c>
      <c r="C1304" s="45" t="n">
        <f aca="false">ROUND(MAX(0,'Model Inputs &amp; Assumptions'!$S$30*EXP('Model Inputs &amp; Assumptions'!$T$30*P1304-'Model Inputs &amp; Assumptions'!$T$30^2/2)),0)</f>
        <v>92152</v>
      </c>
      <c r="D1304" s="46" t="n">
        <f aca="false">MIN(1,'Model Inputs &amp; Assumptions'!$U$30*EXP('Model Inputs &amp; Assumptions'!$V$30*Q1304-'Model Inputs &amp; Assumptions'!$V$30^2/2))</f>
        <v>0</v>
      </c>
      <c r="E1304" s="45" t="n">
        <f aca="false">ROUND(C1304*D1304,0)</f>
        <v>0</v>
      </c>
      <c r="F1304" s="47" t="n">
        <f aca="false">MIN(1,'Model Inputs &amp; Assumptions'!$W$30*EXP('Model Inputs &amp; Assumptions'!$X$30*R1304-'Model Inputs &amp; Assumptions'!$X$30^2/2))</f>
        <v>0.00849234433922837</v>
      </c>
      <c r="G1304" s="45" t="n">
        <f aca="false">ROUND(C1304*F1304,0)</f>
        <v>783</v>
      </c>
      <c r="H1304" s="48" t="n">
        <f aca="false">MAX(0,(C1304*'Model Inputs &amp; Assumptions'!$N$30+E1304*'Model Inputs &amp; Assumptions'!$O$30+G1304*'Model Inputs &amp; Assumptions'!$P$30)*EXP('Model Inputs &amp; Assumptions'!$Q$30*S1304-'Model Inputs &amp; Assumptions'!$Q$30^2/2))</f>
        <v>38.621319278023</v>
      </c>
      <c r="I1304" s="49" t="n">
        <f aca="false">IF('Model Inputs &amp; Assumptions'!$H$30="Fixed",'Model Inputs &amp; Assumptions'!$I$30*'Model Inputs &amp; Assumptions'!$K$30,IF('Model Inputs &amp; Assumptions'!$H$30="CPM",'Model Inputs &amp; Assumptions'!$I$30*'Model Inputs &amp; Assumptions'!$K$30*C1304/1000,IF('Model Inputs &amp; Assumptions'!$H$30="CPC",'Model Inputs &amp; Assumptions'!$I$30*'Model Inputs &amp; Assumptions'!$K$30*G1304,0)))</f>
        <v>6900</v>
      </c>
      <c r="J1304" s="50" t="n">
        <f aca="false">H1304*INDEX('Model Inputs &amp; Assumptions'!$D$40:$D$42,MATCH('Model Inputs &amp; Assumptions'!$L$30,'Model Inputs &amp; Assumptions'!$A$40:$A$42,0))*INDEX('Model Inputs &amp; Assumptions'!$H$40:$H$42,MATCH('Model Inputs &amp; Assumptions'!$L$30,'Model Inputs &amp; Assumptions'!$A$40:$A$42,0))</f>
        <v>278073.498801766</v>
      </c>
      <c r="K1304" s="49" t="n">
        <f aca="false">H1304*INDEX('Model Inputs &amp; Assumptions'!$G$40:$G$42,MATCH('Model Inputs &amp; Assumptions'!$L$30,'Model Inputs &amp; Assumptions'!$A$40:$A$42,0))*INDEX('Model Inputs &amp; Assumptions'!$H$40:$H$42,MATCH('Model Inputs &amp; Assumptions'!$L$30,'Model Inputs &amp; Assumptions'!$A$40:$A$42,0))</f>
        <v>6131.52064857894</v>
      </c>
      <c r="L1304" s="51" t="n">
        <f aca="false">IFERROR(K1304/I1304,0)</f>
        <v>0.888626180953469</v>
      </c>
      <c r="M1304" s="49" t="n">
        <f aca="false">IFERROR(I1304/H1304,0)</f>
        <v>178.657801675003</v>
      </c>
      <c r="N1304" s="52" t="str">
        <f aca="false">'Model Inputs &amp; Assumptions'!$L$30</f>
        <v>PRD-USIQ</v>
      </c>
      <c r="P1304" s="53" t="n">
        <v>0.444199</v>
      </c>
      <c r="Q1304" s="53" t="n">
        <v>-0.056577</v>
      </c>
      <c r="R1304" s="53" t="n">
        <v>0.473157</v>
      </c>
      <c r="S1304" s="53" t="n">
        <v>-0.978841</v>
      </c>
    </row>
    <row r="1305" customFormat="false" ht="15" hidden="false" customHeight="false" outlineLevel="0" collapsed="false">
      <c r="A1305" s="43" t="n">
        <v>302</v>
      </c>
      <c r="B1305" s="44" t="str">
        <f aca="false">'Model Inputs &amp; Assumptions'!$B$30</f>
        <v>extraETF — Newsletter Takeover</v>
      </c>
      <c r="C1305" s="45" t="n">
        <f aca="false">ROUND(MAX(0,'Model Inputs &amp; Assumptions'!$S$30*EXP('Model Inputs &amp; Assumptions'!$T$30*P1305-'Model Inputs &amp; Assumptions'!$T$30^2/2)),0)</f>
        <v>78695</v>
      </c>
      <c r="D1305" s="46" t="n">
        <f aca="false">MIN(1,'Model Inputs &amp; Assumptions'!$U$30*EXP('Model Inputs &amp; Assumptions'!$V$30*Q1305-'Model Inputs &amp; Assumptions'!$V$30^2/2))</f>
        <v>0</v>
      </c>
      <c r="E1305" s="45" t="n">
        <f aca="false">ROUND(C1305*D1305,0)</f>
        <v>0</v>
      </c>
      <c r="F1305" s="47" t="n">
        <f aca="false">MIN(1,'Model Inputs &amp; Assumptions'!$W$30*EXP('Model Inputs &amp; Assumptions'!$X$30*R1305-'Model Inputs &amp; Assumptions'!$X$30^2/2))</f>
        <v>0.00781256114568706</v>
      </c>
      <c r="G1305" s="45" t="n">
        <f aca="false">ROUND(C1305*F1305,0)</f>
        <v>615</v>
      </c>
      <c r="H1305" s="48" t="n">
        <f aca="false">MAX(0,(C1305*'Model Inputs &amp; Assumptions'!$N$30+E1305*'Model Inputs &amp; Assumptions'!$O$30+G1305*'Model Inputs &amp; Assumptions'!$P$30)*EXP('Model Inputs &amp; Assumptions'!$Q$30*S1305-'Model Inputs &amp; Assumptions'!$Q$30^2/2))</f>
        <v>43.4527551218705</v>
      </c>
      <c r="I1305" s="49" t="n">
        <f aca="false">IF('Model Inputs &amp; Assumptions'!$H$30="Fixed",'Model Inputs &amp; Assumptions'!$I$30*'Model Inputs &amp; Assumptions'!$K$30,IF('Model Inputs &amp; Assumptions'!$H$30="CPM",'Model Inputs &amp; Assumptions'!$I$30*'Model Inputs &amp; Assumptions'!$K$30*C1305/1000,IF('Model Inputs &amp; Assumptions'!$H$30="CPC",'Model Inputs &amp; Assumptions'!$I$30*'Model Inputs &amp; Assumptions'!$K$30*G1305,0)))</f>
        <v>6900</v>
      </c>
      <c r="J1305" s="50" t="n">
        <f aca="false">H1305*INDEX('Model Inputs &amp; Assumptions'!$D$40:$D$42,MATCH('Model Inputs &amp; Assumptions'!$L$30,'Model Inputs &amp; Assumptions'!$A$40:$A$42,0))*INDEX('Model Inputs &amp; Assumptions'!$H$40:$H$42,MATCH('Model Inputs &amp; Assumptions'!$L$30,'Model Inputs &amp; Assumptions'!$A$40:$A$42,0))</f>
        <v>312859.836877468</v>
      </c>
      <c r="K1305" s="49" t="n">
        <f aca="false">H1305*INDEX('Model Inputs &amp; Assumptions'!$G$40:$G$42,MATCH('Model Inputs &amp; Assumptions'!$L$30,'Model Inputs &amp; Assumptions'!$A$40:$A$42,0))*INDEX('Model Inputs &amp; Assumptions'!$H$40:$H$42,MATCH('Model Inputs &amp; Assumptions'!$L$30,'Model Inputs &amp; Assumptions'!$A$40:$A$42,0))</f>
        <v>6898.55940314816</v>
      </c>
      <c r="L1305" s="51" t="n">
        <f aca="false">IFERROR(K1305/I1305,0)</f>
        <v>0.999791217847559</v>
      </c>
      <c r="M1305" s="49" t="n">
        <f aca="false">IFERROR(I1305/H1305,0)</f>
        <v>158.793153176313</v>
      </c>
      <c r="N1305" s="52" t="str">
        <f aca="false">'Model Inputs &amp; Assumptions'!$L$30</f>
        <v>PRD-USIQ</v>
      </c>
      <c r="P1305" s="53" t="n">
        <v>-0.871295</v>
      </c>
      <c r="Q1305" s="53" t="n">
        <v>1.17795</v>
      </c>
      <c r="R1305" s="53" t="n">
        <v>-0.083058</v>
      </c>
      <c r="S1305" s="53" t="n">
        <v>0.45868</v>
      </c>
    </row>
    <row r="1306" customFormat="false" ht="15" hidden="false" customHeight="false" outlineLevel="0" collapsed="false">
      <c r="A1306" s="43" t="n">
        <v>303</v>
      </c>
      <c r="B1306" s="44" t="str">
        <f aca="false">'Model Inputs &amp; Assumptions'!$B$30</f>
        <v>extraETF — Newsletter Takeover</v>
      </c>
      <c r="C1306" s="45" t="n">
        <f aca="false">ROUND(MAX(0,'Model Inputs &amp; Assumptions'!$S$30*EXP('Model Inputs &amp; Assumptions'!$T$30*P1306-'Model Inputs &amp; Assumptions'!$T$30^2/2)),0)</f>
        <v>95744</v>
      </c>
      <c r="D1306" s="46" t="n">
        <f aca="false">MIN(1,'Model Inputs &amp; Assumptions'!$U$30*EXP('Model Inputs &amp; Assumptions'!$V$30*Q1306-'Model Inputs &amp; Assumptions'!$V$30^2/2))</f>
        <v>0</v>
      </c>
      <c r="E1306" s="45" t="n">
        <f aca="false">ROUND(C1306*D1306,0)</f>
        <v>0</v>
      </c>
      <c r="F1306" s="47" t="n">
        <f aca="false">MIN(1,'Model Inputs &amp; Assumptions'!$W$30*EXP('Model Inputs &amp; Assumptions'!$X$30*R1306-'Model Inputs &amp; Assumptions'!$X$30^2/2))</f>
        <v>0.00756270470696228</v>
      </c>
      <c r="G1306" s="45" t="n">
        <f aca="false">ROUND(C1306*F1306,0)</f>
        <v>724</v>
      </c>
      <c r="H1306" s="48" t="n">
        <f aca="false">MAX(0,(C1306*'Model Inputs &amp; Assumptions'!$N$30+E1306*'Model Inputs &amp; Assumptions'!$O$30+G1306*'Model Inputs &amp; Assumptions'!$P$30)*EXP('Model Inputs &amp; Assumptions'!$Q$30*S1306-'Model Inputs &amp; Assumptions'!$Q$30^2/2))</f>
        <v>52.8638046890636</v>
      </c>
      <c r="I1306" s="49" t="n">
        <f aca="false">IF('Model Inputs &amp; Assumptions'!$H$30="Fixed",'Model Inputs &amp; Assumptions'!$I$30*'Model Inputs &amp; Assumptions'!$K$30,IF('Model Inputs &amp; Assumptions'!$H$30="CPM",'Model Inputs &amp; Assumptions'!$I$30*'Model Inputs &amp; Assumptions'!$K$30*C1306/1000,IF('Model Inputs &amp; Assumptions'!$H$30="CPC",'Model Inputs &amp; Assumptions'!$I$30*'Model Inputs &amp; Assumptions'!$K$30*G1306,0)))</f>
        <v>6900</v>
      </c>
      <c r="J1306" s="50" t="n">
        <f aca="false">H1306*INDEX('Model Inputs &amp; Assumptions'!$D$40:$D$42,MATCH('Model Inputs &amp; Assumptions'!$L$30,'Model Inputs &amp; Assumptions'!$A$40:$A$42,0))*INDEX('Model Inputs &amp; Assumptions'!$H$40:$H$42,MATCH('Model Inputs &amp; Assumptions'!$L$30,'Model Inputs &amp; Assumptions'!$A$40:$A$42,0))</f>
        <v>380619.393761258</v>
      </c>
      <c r="K1306" s="49" t="n">
        <f aca="false">H1306*INDEX('Model Inputs &amp; Assumptions'!$G$40:$G$42,MATCH('Model Inputs &amp; Assumptions'!$L$30,'Model Inputs &amp; Assumptions'!$A$40:$A$42,0))*INDEX('Model Inputs &amp; Assumptions'!$H$40:$H$42,MATCH('Model Inputs &amp; Assumptions'!$L$30,'Model Inputs &amp; Assumptions'!$A$40:$A$42,0))</f>
        <v>8392.65763243574</v>
      </c>
      <c r="L1306" s="51" t="n">
        <f aca="false">IFERROR(K1306/I1306,0)</f>
        <v>1.21632719310663</v>
      </c>
      <c r="M1306" s="49" t="n">
        <f aca="false">IFERROR(I1306/H1306,0)</f>
        <v>130.524089981504</v>
      </c>
      <c r="N1306" s="52" t="str">
        <f aca="false">'Model Inputs &amp; Assumptions'!$L$30</f>
        <v>PRD-USIQ</v>
      </c>
      <c r="P1306" s="53" t="n">
        <v>0.762818</v>
      </c>
      <c r="Q1306" s="53" t="n">
        <v>2.237635</v>
      </c>
      <c r="R1306" s="53" t="n">
        <v>-0.299751</v>
      </c>
      <c r="S1306" s="53" t="n">
        <v>0.590182</v>
      </c>
    </row>
    <row r="1307" customFormat="false" ht="15" hidden="false" customHeight="false" outlineLevel="0" collapsed="false">
      <c r="A1307" s="43" t="n">
        <v>304</v>
      </c>
      <c r="B1307" s="44" t="str">
        <f aca="false">'Model Inputs &amp; Assumptions'!$B$30</f>
        <v>extraETF — Newsletter Takeover</v>
      </c>
      <c r="C1307" s="45" t="n">
        <f aca="false">ROUND(MAX(0,'Model Inputs &amp; Assumptions'!$S$30*EXP('Model Inputs &amp; Assumptions'!$T$30*P1307-'Model Inputs &amp; Assumptions'!$T$30^2/2)),0)</f>
        <v>86769</v>
      </c>
      <c r="D1307" s="46" t="n">
        <f aca="false">MIN(1,'Model Inputs &amp; Assumptions'!$U$30*EXP('Model Inputs &amp; Assumptions'!$V$30*Q1307-'Model Inputs &amp; Assumptions'!$V$30^2/2))</f>
        <v>0</v>
      </c>
      <c r="E1307" s="45" t="n">
        <f aca="false">ROUND(C1307*D1307,0)</f>
        <v>0</v>
      </c>
      <c r="F1307" s="47" t="n">
        <f aca="false">MIN(1,'Model Inputs &amp; Assumptions'!$W$30*EXP('Model Inputs &amp; Assumptions'!$X$30*R1307-'Model Inputs &amp; Assumptions'!$X$30^2/2))</f>
        <v>0.00670439909094289</v>
      </c>
      <c r="G1307" s="45" t="n">
        <f aca="false">ROUND(C1307*F1307,0)</f>
        <v>582</v>
      </c>
      <c r="H1307" s="48" t="n">
        <f aca="false">MAX(0,(C1307*'Model Inputs &amp; Assumptions'!$N$30+E1307*'Model Inputs &amp; Assumptions'!$O$30+G1307*'Model Inputs &amp; Assumptions'!$P$30)*EXP('Model Inputs &amp; Assumptions'!$Q$30*S1307-'Model Inputs &amp; Assumptions'!$Q$30^2/2))</f>
        <v>43.6786724630319</v>
      </c>
      <c r="I1307" s="49" t="n">
        <f aca="false">IF('Model Inputs &amp; Assumptions'!$H$30="Fixed",'Model Inputs &amp; Assumptions'!$I$30*'Model Inputs &amp; Assumptions'!$K$30,IF('Model Inputs &amp; Assumptions'!$H$30="CPM",'Model Inputs &amp; Assumptions'!$I$30*'Model Inputs &amp; Assumptions'!$K$30*C1307/1000,IF('Model Inputs &amp; Assumptions'!$H$30="CPC",'Model Inputs &amp; Assumptions'!$I$30*'Model Inputs &amp; Assumptions'!$K$30*G1307,0)))</f>
        <v>6900</v>
      </c>
      <c r="J1307" s="50" t="n">
        <f aca="false">H1307*INDEX('Model Inputs &amp; Assumptions'!$D$40:$D$42,MATCH('Model Inputs &amp; Assumptions'!$L$30,'Model Inputs &amp; Assumptions'!$A$40:$A$42,0))*INDEX('Model Inputs &amp; Assumptions'!$H$40:$H$42,MATCH('Model Inputs &amp; Assumptions'!$L$30,'Model Inputs &amp; Assumptions'!$A$40:$A$42,0))</f>
        <v>314486.44173383</v>
      </c>
      <c r="K1307" s="49" t="n">
        <f aca="false">H1307*INDEX('Model Inputs &amp; Assumptions'!$G$40:$G$42,MATCH('Model Inputs &amp; Assumptions'!$L$30,'Model Inputs &amp; Assumptions'!$A$40:$A$42,0))*INDEX('Model Inputs &amp; Assumptions'!$H$40:$H$42,MATCH('Model Inputs &amp; Assumptions'!$L$30,'Model Inputs &amp; Assumptions'!$A$40:$A$42,0))</f>
        <v>6934.42604023095</v>
      </c>
      <c r="L1307" s="51" t="n">
        <f aca="false">IFERROR(K1307/I1307,0)</f>
        <v>1.00498928119289</v>
      </c>
      <c r="M1307" s="49" t="n">
        <f aca="false">IFERROR(I1307/H1307,0)</f>
        <v>157.971834099123</v>
      </c>
      <c r="N1307" s="52" t="str">
        <f aca="false">'Model Inputs &amp; Assumptions'!$L$30</f>
        <v>PRD-USIQ</v>
      </c>
      <c r="P1307" s="53" t="n">
        <v>-0.057438</v>
      </c>
      <c r="Q1307" s="53" t="n">
        <v>1.068831</v>
      </c>
      <c r="R1307" s="53" t="n">
        <v>-1.102851</v>
      </c>
      <c r="S1307" s="53" t="n">
        <v>0.70003</v>
      </c>
    </row>
    <row r="1308" customFormat="false" ht="15" hidden="false" customHeight="false" outlineLevel="0" collapsed="false">
      <c r="A1308" s="43" t="n">
        <v>305</v>
      </c>
      <c r="B1308" s="44" t="str">
        <f aca="false">'Model Inputs &amp; Assumptions'!$B$30</f>
        <v>extraETF — Newsletter Takeover</v>
      </c>
      <c r="C1308" s="45" t="n">
        <f aca="false">ROUND(MAX(0,'Model Inputs &amp; Assumptions'!$S$30*EXP('Model Inputs &amp; Assumptions'!$T$30*P1308-'Model Inputs &amp; Assumptions'!$T$30^2/2)),0)</f>
        <v>83940</v>
      </c>
      <c r="D1308" s="46" t="n">
        <f aca="false">MIN(1,'Model Inputs &amp; Assumptions'!$U$30*EXP('Model Inputs &amp; Assumptions'!$V$30*Q1308-'Model Inputs &amp; Assumptions'!$V$30^2/2))</f>
        <v>0</v>
      </c>
      <c r="E1308" s="45" t="n">
        <f aca="false">ROUND(C1308*D1308,0)</f>
        <v>0</v>
      </c>
      <c r="F1308" s="47" t="n">
        <f aca="false">MIN(1,'Model Inputs &amp; Assumptions'!$W$30*EXP('Model Inputs &amp; Assumptions'!$X$30*R1308-'Model Inputs &amp; Assumptions'!$X$30^2/2))</f>
        <v>0.00812718765385501</v>
      </c>
      <c r="G1308" s="45" t="n">
        <f aca="false">ROUND(C1308*F1308,0)</f>
        <v>682</v>
      </c>
      <c r="H1308" s="48" t="n">
        <f aca="false">MAX(0,(C1308*'Model Inputs &amp; Assumptions'!$N$30+E1308*'Model Inputs &amp; Assumptions'!$O$30+G1308*'Model Inputs &amp; Assumptions'!$P$30)*EXP('Model Inputs &amp; Assumptions'!$Q$30*S1308-'Model Inputs &amp; Assumptions'!$Q$30^2/2))</f>
        <v>32.7434649532287</v>
      </c>
      <c r="I1308" s="49" t="n">
        <f aca="false">IF('Model Inputs &amp; Assumptions'!$H$30="Fixed",'Model Inputs &amp; Assumptions'!$I$30*'Model Inputs &amp; Assumptions'!$K$30,IF('Model Inputs &amp; Assumptions'!$H$30="CPM",'Model Inputs &amp; Assumptions'!$I$30*'Model Inputs &amp; Assumptions'!$K$30*C1308/1000,IF('Model Inputs &amp; Assumptions'!$H$30="CPC",'Model Inputs &amp; Assumptions'!$I$30*'Model Inputs &amp; Assumptions'!$K$30*G1308,0)))</f>
        <v>6900</v>
      </c>
      <c r="J1308" s="50" t="n">
        <f aca="false">H1308*INDEX('Model Inputs &amp; Assumptions'!$D$40:$D$42,MATCH('Model Inputs &amp; Assumptions'!$L$30,'Model Inputs &amp; Assumptions'!$A$40:$A$42,0))*INDEX('Model Inputs &amp; Assumptions'!$H$40:$H$42,MATCH('Model Inputs &amp; Assumptions'!$L$30,'Model Inputs &amp; Assumptions'!$A$40:$A$42,0))</f>
        <v>235752.947663247</v>
      </c>
      <c r="K1308" s="49" t="n">
        <f aca="false">H1308*INDEX('Model Inputs &amp; Assumptions'!$G$40:$G$42,MATCH('Model Inputs &amp; Assumptions'!$L$30,'Model Inputs &amp; Assumptions'!$A$40:$A$42,0))*INDEX('Model Inputs &amp; Assumptions'!$H$40:$H$42,MATCH('Model Inputs &amp; Assumptions'!$L$30,'Model Inputs &amp; Assumptions'!$A$40:$A$42,0))</f>
        <v>5198.35249597459</v>
      </c>
      <c r="L1308" s="51" t="n">
        <f aca="false">IFERROR(K1308/I1308,0)</f>
        <v>0.753384419706463</v>
      </c>
      <c r="M1308" s="49" t="n">
        <f aca="false">IFERROR(I1308/H1308,0)</f>
        <v>210.729072499079</v>
      </c>
      <c r="N1308" s="52" t="str">
        <f aca="false">'Model Inputs &amp; Assumptions'!$L$30</f>
        <v>PRD-USIQ</v>
      </c>
      <c r="P1308" s="53" t="n">
        <v>-0.333592</v>
      </c>
      <c r="Q1308" s="53" t="n">
        <v>-0.392311</v>
      </c>
      <c r="R1308" s="53" t="n">
        <v>0.180156</v>
      </c>
      <c r="S1308" s="53" t="n">
        <v>-1.086833</v>
      </c>
    </row>
    <row r="1309" customFormat="false" ht="15" hidden="false" customHeight="false" outlineLevel="0" collapsed="false">
      <c r="A1309" s="43" t="n">
        <v>306</v>
      </c>
      <c r="B1309" s="44" t="str">
        <f aca="false">'Model Inputs &amp; Assumptions'!$B$30</f>
        <v>extraETF — Newsletter Takeover</v>
      </c>
      <c r="C1309" s="45" t="n">
        <f aca="false">ROUND(MAX(0,'Model Inputs &amp; Assumptions'!$S$30*EXP('Model Inputs &amp; Assumptions'!$T$30*P1309-'Model Inputs &amp; Assumptions'!$T$30^2/2)),0)</f>
        <v>102944</v>
      </c>
      <c r="D1309" s="46" t="n">
        <f aca="false">MIN(1,'Model Inputs &amp; Assumptions'!$U$30*EXP('Model Inputs &amp; Assumptions'!$V$30*Q1309-'Model Inputs &amp; Assumptions'!$V$30^2/2))</f>
        <v>0</v>
      </c>
      <c r="E1309" s="45" t="n">
        <f aca="false">ROUND(C1309*D1309,0)</f>
        <v>0</v>
      </c>
      <c r="F1309" s="47" t="n">
        <f aca="false">MIN(1,'Model Inputs &amp; Assumptions'!$W$30*EXP('Model Inputs &amp; Assumptions'!$X$30*R1309-'Model Inputs &amp; Assumptions'!$X$30^2/2))</f>
        <v>0.00813968304812708</v>
      </c>
      <c r="G1309" s="45" t="n">
        <f aca="false">ROUND(C1309*F1309,0)</f>
        <v>838</v>
      </c>
      <c r="H1309" s="48" t="n">
        <f aca="false">MAX(0,(C1309*'Model Inputs &amp; Assumptions'!$N$30+E1309*'Model Inputs &amp; Assumptions'!$O$30+G1309*'Model Inputs &amp; Assumptions'!$P$30)*EXP('Model Inputs &amp; Assumptions'!$Q$30*S1309-'Model Inputs &amp; Assumptions'!$Q$30^2/2))</f>
        <v>57.8246752139671</v>
      </c>
      <c r="I1309" s="49" t="n">
        <f aca="false">IF('Model Inputs &amp; Assumptions'!$H$30="Fixed",'Model Inputs &amp; Assumptions'!$I$30*'Model Inputs &amp; Assumptions'!$K$30,IF('Model Inputs &amp; Assumptions'!$H$30="CPM",'Model Inputs &amp; Assumptions'!$I$30*'Model Inputs &amp; Assumptions'!$K$30*C1309/1000,IF('Model Inputs &amp; Assumptions'!$H$30="CPC",'Model Inputs &amp; Assumptions'!$I$30*'Model Inputs &amp; Assumptions'!$K$30*G1309,0)))</f>
        <v>6900</v>
      </c>
      <c r="J1309" s="50" t="n">
        <f aca="false">H1309*INDEX('Model Inputs &amp; Assumptions'!$D$40:$D$42,MATCH('Model Inputs &amp; Assumptions'!$L$30,'Model Inputs &amp; Assumptions'!$A$40:$A$42,0))*INDEX('Model Inputs &amp; Assumptions'!$H$40:$H$42,MATCH('Model Inputs &amp; Assumptions'!$L$30,'Model Inputs &amp; Assumptions'!$A$40:$A$42,0))</f>
        <v>416337.661540563</v>
      </c>
      <c r="K1309" s="49" t="n">
        <f aca="false">H1309*INDEX('Model Inputs &amp; Assumptions'!$G$40:$G$42,MATCH('Model Inputs &amp; Assumptions'!$L$30,'Model Inputs &amp; Assumptions'!$A$40:$A$42,0))*INDEX('Model Inputs &amp; Assumptions'!$H$40:$H$42,MATCH('Model Inputs &amp; Assumptions'!$L$30,'Model Inputs &amp; Assumptions'!$A$40:$A$42,0))</f>
        <v>9180.24543696942</v>
      </c>
      <c r="L1309" s="51" t="n">
        <f aca="false">IFERROR(K1309/I1309,0)</f>
        <v>1.33047035318397</v>
      </c>
      <c r="M1309" s="49" t="n">
        <f aca="false">IFERROR(I1309/H1309,0)</f>
        <v>119.326221452487</v>
      </c>
      <c r="N1309" s="52" t="str">
        <f aca="false">'Model Inputs &amp; Assumptions'!$L$30</f>
        <v>PRD-USIQ</v>
      </c>
      <c r="P1309" s="53" t="n">
        <v>1.367078</v>
      </c>
      <c r="Q1309" s="53" t="n">
        <v>-1.396065</v>
      </c>
      <c r="R1309" s="53" t="n">
        <v>0.190398</v>
      </c>
      <c r="S1309" s="53" t="n">
        <v>0.364062</v>
      </c>
    </row>
    <row r="1310" customFormat="false" ht="15" hidden="false" customHeight="false" outlineLevel="0" collapsed="false">
      <c r="A1310" s="43" t="n">
        <v>307</v>
      </c>
      <c r="B1310" s="44" t="str">
        <f aca="false">'Model Inputs &amp; Assumptions'!$B$30</f>
        <v>extraETF — Newsletter Takeover</v>
      </c>
      <c r="C1310" s="45" t="n">
        <f aca="false">ROUND(MAX(0,'Model Inputs &amp; Assumptions'!$S$30*EXP('Model Inputs &amp; Assumptions'!$T$30*P1310-'Model Inputs &amp; Assumptions'!$T$30^2/2)),0)</f>
        <v>78420</v>
      </c>
      <c r="D1310" s="46" t="n">
        <f aca="false">MIN(1,'Model Inputs &amp; Assumptions'!$U$30*EXP('Model Inputs &amp; Assumptions'!$V$30*Q1310-'Model Inputs &amp; Assumptions'!$V$30^2/2))</f>
        <v>0</v>
      </c>
      <c r="E1310" s="45" t="n">
        <f aca="false">ROUND(C1310*D1310,0)</f>
        <v>0</v>
      </c>
      <c r="F1310" s="47" t="n">
        <f aca="false">MIN(1,'Model Inputs &amp; Assumptions'!$W$30*EXP('Model Inputs &amp; Assumptions'!$X$30*R1310-'Model Inputs &amp; Assumptions'!$X$30^2/2))</f>
        <v>0.00557342263384876</v>
      </c>
      <c r="G1310" s="45" t="n">
        <f aca="false">ROUND(C1310*F1310,0)</f>
        <v>437</v>
      </c>
      <c r="H1310" s="48" t="n">
        <f aca="false">MAX(0,(C1310*'Model Inputs &amp; Assumptions'!$N$30+E1310*'Model Inputs &amp; Assumptions'!$O$30+G1310*'Model Inputs &amp; Assumptions'!$P$30)*EXP('Model Inputs &amp; Assumptions'!$Q$30*S1310-'Model Inputs &amp; Assumptions'!$Q$30^2/2))</f>
        <v>19.8307038481475</v>
      </c>
      <c r="I1310" s="49" t="n">
        <f aca="false">IF('Model Inputs &amp; Assumptions'!$H$30="Fixed",'Model Inputs &amp; Assumptions'!$I$30*'Model Inputs &amp; Assumptions'!$K$30,IF('Model Inputs &amp; Assumptions'!$H$30="CPM",'Model Inputs &amp; Assumptions'!$I$30*'Model Inputs &amp; Assumptions'!$K$30*C1310/1000,IF('Model Inputs &amp; Assumptions'!$H$30="CPC",'Model Inputs &amp; Assumptions'!$I$30*'Model Inputs &amp; Assumptions'!$K$30*G1310,0)))</f>
        <v>6900</v>
      </c>
      <c r="J1310" s="50" t="n">
        <f aca="false">H1310*INDEX('Model Inputs &amp; Assumptions'!$D$40:$D$42,MATCH('Model Inputs &amp; Assumptions'!$L$30,'Model Inputs &amp; Assumptions'!$A$40:$A$42,0))*INDEX('Model Inputs &amp; Assumptions'!$H$40:$H$42,MATCH('Model Inputs &amp; Assumptions'!$L$30,'Model Inputs &amp; Assumptions'!$A$40:$A$42,0))</f>
        <v>142781.067706662</v>
      </c>
      <c r="K1310" s="49" t="n">
        <f aca="false">H1310*INDEX('Model Inputs &amp; Assumptions'!$G$40:$G$42,MATCH('Model Inputs &amp; Assumptions'!$L$30,'Model Inputs &amp; Assumptions'!$A$40:$A$42,0))*INDEX('Model Inputs &amp; Assumptions'!$H$40:$H$42,MATCH('Model Inputs &amp; Assumptions'!$L$30,'Model Inputs &amp; Assumptions'!$A$40:$A$42,0))</f>
        <v>3148.3225429319</v>
      </c>
      <c r="L1310" s="51" t="n">
        <f aca="false">IFERROR(K1310/I1310,0)</f>
        <v>0.45627862941042</v>
      </c>
      <c r="M1310" s="49" t="n">
        <f aca="false">IFERROR(I1310/H1310,0)</f>
        <v>347.945289932035</v>
      </c>
      <c r="N1310" s="52" t="str">
        <f aca="false">'Model Inputs &amp; Assumptions'!$L$30</f>
        <v>PRD-USIQ</v>
      </c>
      <c r="P1310" s="53" t="n">
        <v>-0.900482</v>
      </c>
      <c r="Q1310" s="53" t="n">
        <v>1.137984</v>
      </c>
      <c r="R1310" s="53" t="n">
        <v>-2.334548</v>
      </c>
      <c r="S1310" s="53" t="n">
        <v>-1.312335</v>
      </c>
    </row>
    <row r="1311" customFormat="false" ht="15" hidden="false" customHeight="false" outlineLevel="0" collapsed="false">
      <c r="A1311" s="43" t="n">
        <v>308</v>
      </c>
      <c r="B1311" s="44" t="str">
        <f aca="false">'Model Inputs &amp; Assumptions'!$B$30</f>
        <v>extraETF — Newsletter Takeover</v>
      </c>
      <c r="C1311" s="45" t="n">
        <f aca="false">ROUND(MAX(0,'Model Inputs &amp; Assumptions'!$S$30*EXP('Model Inputs &amp; Assumptions'!$T$30*P1311-'Model Inputs &amp; Assumptions'!$T$30^2/2)),0)</f>
        <v>91013</v>
      </c>
      <c r="D1311" s="46" t="n">
        <f aca="false">MIN(1,'Model Inputs &amp; Assumptions'!$U$30*EXP('Model Inputs &amp; Assumptions'!$V$30*Q1311-'Model Inputs &amp; Assumptions'!$V$30^2/2))</f>
        <v>0</v>
      </c>
      <c r="E1311" s="45" t="n">
        <f aca="false">ROUND(C1311*D1311,0)</f>
        <v>0</v>
      </c>
      <c r="F1311" s="47" t="n">
        <f aca="false">MIN(1,'Model Inputs &amp; Assumptions'!$W$30*EXP('Model Inputs &amp; Assumptions'!$X$30*R1311-'Model Inputs &amp; Assumptions'!$X$30^2/2))</f>
        <v>0.0100809695313126</v>
      </c>
      <c r="G1311" s="45" t="n">
        <f aca="false">ROUND(C1311*F1311,0)</f>
        <v>917</v>
      </c>
      <c r="H1311" s="48" t="n">
        <f aca="false">MAX(0,(C1311*'Model Inputs &amp; Assumptions'!$N$30+E1311*'Model Inputs &amp; Assumptions'!$O$30+G1311*'Model Inputs &amp; Assumptions'!$P$30)*EXP('Model Inputs &amp; Assumptions'!$Q$30*S1311-'Model Inputs &amp; Assumptions'!$Q$30^2/2))</f>
        <v>66.9988840424868</v>
      </c>
      <c r="I1311" s="49" t="n">
        <f aca="false">IF('Model Inputs &amp; Assumptions'!$H$30="Fixed",'Model Inputs &amp; Assumptions'!$I$30*'Model Inputs &amp; Assumptions'!$K$30,IF('Model Inputs &amp; Assumptions'!$H$30="CPM",'Model Inputs &amp; Assumptions'!$I$30*'Model Inputs &amp; Assumptions'!$K$30*C1311/1000,IF('Model Inputs &amp; Assumptions'!$H$30="CPC",'Model Inputs &amp; Assumptions'!$I$30*'Model Inputs &amp; Assumptions'!$K$30*G1311,0)))</f>
        <v>6900</v>
      </c>
      <c r="J1311" s="50" t="n">
        <f aca="false">H1311*INDEX('Model Inputs &amp; Assumptions'!$D$40:$D$42,MATCH('Model Inputs &amp; Assumptions'!$L$30,'Model Inputs &amp; Assumptions'!$A$40:$A$42,0))*INDEX('Model Inputs &amp; Assumptions'!$H$40:$H$42,MATCH('Model Inputs &amp; Assumptions'!$L$30,'Model Inputs &amp; Assumptions'!$A$40:$A$42,0))</f>
        <v>482391.965105905</v>
      </c>
      <c r="K1311" s="49" t="n">
        <f aca="false">H1311*INDEX('Model Inputs &amp; Assumptions'!$G$40:$G$42,MATCH('Model Inputs &amp; Assumptions'!$L$30,'Model Inputs &amp; Assumptions'!$A$40:$A$42,0))*INDEX('Model Inputs &amp; Assumptions'!$H$40:$H$42,MATCH('Model Inputs &amp; Assumptions'!$L$30,'Model Inputs &amp; Assumptions'!$A$40:$A$42,0))</f>
        <v>10636.7428305852</v>
      </c>
      <c r="L1311" s="51" t="n">
        <f aca="false">IFERROR(K1311/I1311,0)</f>
        <v>1.54155693196887</v>
      </c>
      <c r="M1311" s="49" t="n">
        <f aca="false">IFERROR(I1311/H1311,0)</f>
        <v>102.986789983314</v>
      </c>
      <c r="N1311" s="52" t="str">
        <f aca="false">'Model Inputs &amp; Assumptions'!$L$30</f>
        <v>PRD-USIQ</v>
      </c>
      <c r="P1311" s="53" t="n">
        <v>0.34059</v>
      </c>
      <c r="Q1311" s="53" t="n">
        <v>1.001624</v>
      </c>
      <c r="R1311" s="53" t="n">
        <v>1.616386</v>
      </c>
      <c r="S1311" s="53" t="n">
        <v>0.592746</v>
      </c>
    </row>
    <row r="1312" customFormat="false" ht="15" hidden="false" customHeight="false" outlineLevel="0" collapsed="false">
      <c r="A1312" s="43" t="n">
        <v>309</v>
      </c>
      <c r="B1312" s="44" t="str">
        <f aca="false">'Model Inputs &amp; Assumptions'!$B$30</f>
        <v>extraETF — Newsletter Takeover</v>
      </c>
      <c r="C1312" s="45" t="n">
        <f aca="false">ROUND(MAX(0,'Model Inputs &amp; Assumptions'!$S$30*EXP('Model Inputs &amp; Assumptions'!$T$30*P1312-'Model Inputs &amp; Assumptions'!$T$30^2/2)),0)</f>
        <v>78068</v>
      </c>
      <c r="D1312" s="46" t="n">
        <f aca="false">MIN(1,'Model Inputs &amp; Assumptions'!$U$30*EXP('Model Inputs &amp; Assumptions'!$V$30*Q1312-'Model Inputs &amp; Assumptions'!$V$30^2/2))</f>
        <v>0</v>
      </c>
      <c r="E1312" s="45" t="n">
        <f aca="false">ROUND(C1312*D1312,0)</f>
        <v>0</v>
      </c>
      <c r="F1312" s="47" t="n">
        <f aca="false">MIN(1,'Model Inputs &amp; Assumptions'!$W$30*EXP('Model Inputs &amp; Assumptions'!$X$30*R1312-'Model Inputs &amp; Assumptions'!$X$30^2/2))</f>
        <v>0.00897041187246952</v>
      </c>
      <c r="G1312" s="45" t="n">
        <f aca="false">ROUND(C1312*F1312,0)</f>
        <v>700</v>
      </c>
      <c r="H1312" s="48" t="n">
        <f aca="false">MAX(0,(C1312*'Model Inputs &amp; Assumptions'!$N$30+E1312*'Model Inputs &amp; Assumptions'!$O$30+G1312*'Model Inputs &amp; Assumptions'!$P$30)*EXP('Model Inputs &amp; Assumptions'!$Q$30*S1312-'Model Inputs &amp; Assumptions'!$Q$30^2/2))</f>
        <v>37.9274386832973</v>
      </c>
      <c r="I1312" s="49" t="n">
        <f aca="false">IF('Model Inputs &amp; Assumptions'!$H$30="Fixed",'Model Inputs &amp; Assumptions'!$I$30*'Model Inputs &amp; Assumptions'!$K$30,IF('Model Inputs &amp; Assumptions'!$H$30="CPM",'Model Inputs &amp; Assumptions'!$I$30*'Model Inputs &amp; Assumptions'!$K$30*C1312/1000,IF('Model Inputs &amp; Assumptions'!$H$30="CPC",'Model Inputs &amp; Assumptions'!$I$30*'Model Inputs &amp; Assumptions'!$K$30*G1312,0)))</f>
        <v>6900</v>
      </c>
      <c r="J1312" s="50" t="n">
        <f aca="false">H1312*INDEX('Model Inputs &amp; Assumptions'!$D$40:$D$42,MATCH('Model Inputs &amp; Assumptions'!$L$30,'Model Inputs &amp; Assumptions'!$A$40:$A$42,0))*INDEX('Model Inputs &amp; Assumptions'!$H$40:$H$42,MATCH('Model Inputs &amp; Assumptions'!$L$30,'Model Inputs &amp; Assumptions'!$A$40:$A$42,0))</f>
        <v>273077.55851974</v>
      </c>
      <c r="K1312" s="49" t="n">
        <f aca="false">H1312*INDEX('Model Inputs &amp; Assumptions'!$G$40:$G$42,MATCH('Model Inputs &amp; Assumptions'!$L$30,'Model Inputs &amp; Assumptions'!$A$40:$A$42,0))*INDEX('Model Inputs &amp; Assumptions'!$H$40:$H$42,MATCH('Model Inputs &amp; Assumptions'!$L$30,'Model Inputs &amp; Assumptions'!$A$40:$A$42,0))</f>
        <v>6021.36016536027</v>
      </c>
      <c r="L1312" s="51" t="n">
        <f aca="false">IFERROR(K1312/I1312,0)</f>
        <v>0.872660893530475</v>
      </c>
      <c r="M1312" s="49" t="n">
        <f aca="false">IFERROR(I1312/H1312,0)</f>
        <v>181.926337225579</v>
      </c>
      <c r="N1312" s="52" t="str">
        <f aca="false">'Model Inputs &amp; Assumptions'!$L$30</f>
        <v>PRD-USIQ</v>
      </c>
      <c r="P1312" s="53" t="n">
        <v>-0.938007</v>
      </c>
      <c r="Q1312" s="53" t="n">
        <v>-1.110034</v>
      </c>
      <c r="R1312" s="53" t="n">
        <v>0.838267</v>
      </c>
      <c r="S1312" s="53" t="n">
        <v>-0.60315</v>
      </c>
    </row>
    <row r="1313" customFormat="false" ht="15" hidden="false" customHeight="false" outlineLevel="0" collapsed="false">
      <c r="A1313" s="43" t="n">
        <v>310</v>
      </c>
      <c r="B1313" s="44" t="str">
        <f aca="false">'Model Inputs &amp; Assumptions'!$B$30</f>
        <v>extraETF — Newsletter Takeover</v>
      </c>
      <c r="C1313" s="45" t="n">
        <f aca="false">ROUND(MAX(0,'Model Inputs &amp; Assumptions'!$S$30*EXP('Model Inputs &amp; Assumptions'!$T$30*P1313-'Model Inputs &amp; Assumptions'!$T$30^2/2)),0)</f>
        <v>81871</v>
      </c>
      <c r="D1313" s="46" t="n">
        <f aca="false">MIN(1,'Model Inputs &amp; Assumptions'!$U$30*EXP('Model Inputs &amp; Assumptions'!$V$30*Q1313-'Model Inputs &amp; Assumptions'!$V$30^2/2))</f>
        <v>0</v>
      </c>
      <c r="E1313" s="45" t="n">
        <f aca="false">ROUND(C1313*D1313,0)</f>
        <v>0</v>
      </c>
      <c r="F1313" s="47" t="n">
        <f aca="false">MIN(1,'Model Inputs &amp; Assumptions'!$W$30*EXP('Model Inputs &amp; Assumptions'!$X$30*R1313-'Model Inputs &amp; Assumptions'!$X$30^2/2))</f>
        <v>0.00717977138252924</v>
      </c>
      <c r="G1313" s="45" t="n">
        <f aca="false">ROUND(C1313*F1313,0)</f>
        <v>588</v>
      </c>
      <c r="H1313" s="48" t="n">
        <f aca="false">MAX(0,(C1313*'Model Inputs &amp; Assumptions'!$N$30+E1313*'Model Inputs &amp; Assumptions'!$O$30+G1313*'Model Inputs &amp; Assumptions'!$P$30)*EXP('Model Inputs &amp; Assumptions'!$Q$30*S1313-'Model Inputs &amp; Assumptions'!$Q$30^2/2))</f>
        <v>43.2051062636389</v>
      </c>
      <c r="I1313" s="49" t="n">
        <f aca="false">IF('Model Inputs &amp; Assumptions'!$H$30="Fixed",'Model Inputs &amp; Assumptions'!$I$30*'Model Inputs &amp; Assumptions'!$K$30,IF('Model Inputs &amp; Assumptions'!$H$30="CPM",'Model Inputs &amp; Assumptions'!$I$30*'Model Inputs &amp; Assumptions'!$K$30*C1313/1000,IF('Model Inputs &amp; Assumptions'!$H$30="CPC",'Model Inputs &amp; Assumptions'!$I$30*'Model Inputs &amp; Assumptions'!$K$30*G1313,0)))</f>
        <v>6900</v>
      </c>
      <c r="J1313" s="50" t="n">
        <f aca="false">H1313*INDEX('Model Inputs &amp; Assumptions'!$D$40:$D$42,MATCH('Model Inputs &amp; Assumptions'!$L$30,'Model Inputs &amp; Assumptions'!$A$40:$A$42,0))*INDEX('Model Inputs &amp; Assumptions'!$H$40:$H$42,MATCH('Model Inputs &amp; Assumptions'!$L$30,'Model Inputs &amp; Assumptions'!$A$40:$A$42,0))</f>
        <v>311076.7650982</v>
      </c>
      <c r="K1313" s="49" t="n">
        <f aca="false">H1313*INDEX('Model Inputs &amp; Assumptions'!$G$40:$G$42,MATCH('Model Inputs &amp; Assumptions'!$L$30,'Model Inputs &amp; Assumptions'!$A$40:$A$42,0))*INDEX('Model Inputs &amp; Assumptions'!$H$40:$H$42,MATCH('Model Inputs &amp; Assumptions'!$L$30,'Model Inputs &amp; Assumptions'!$A$40:$A$42,0))</f>
        <v>6859.24267041531</v>
      </c>
      <c r="L1313" s="51" t="n">
        <f aca="false">IFERROR(K1313/I1313,0)</f>
        <v>0.9940931406399</v>
      </c>
      <c r="M1313" s="49" t="n">
        <f aca="false">IFERROR(I1313/H1313,0)</f>
        <v>159.703345199431</v>
      </c>
      <c r="N1313" s="52" t="str">
        <f aca="false">'Model Inputs &amp; Assumptions'!$L$30</f>
        <v>PRD-USIQ</v>
      </c>
      <c r="P1313" s="53" t="n">
        <v>-0.541556</v>
      </c>
      <c r="Q1313" s="53" t="n">
        <v>2.404785</v>
      </c>
      <c r="R1313" s="53" t="n">
        <v>-0.64616</v>
      </c>
      <c r="S1313" s="53" t="n">
        <v>0.615399</v>
      </c>
    </row>
    <row r="1314" customFormat="false" ht="15" hidden="false" customHeight="false" outlineLevel="0" collapsed="false">
      <c r="A1314" s="43" t="n">
        <v>311</v>
      </c>
      <c r="B1314" s="44" t="str">
        <f aca="false">'Model Inputs &amp; Assumptions'!$B$30</f>
        <v>extraETF — Newsletter Takeover</v>
      </c>
      <c r="C1314" s="45" t="n">
        <f aca="false">ROUND(MAX(0,'Model Inputs &amp; Assumptions'!$S$30*EXP('Model Inputs &amp; Assumptions'!$T$30*P1314-'Model Inputs &amp; Assumptions'!$T$30^2/2)),0)</f>
        <v>93295</v>
      </c>
      <c r="D1314" s="46" t="n">
        <f aca="false">MIN(1,'Model Inputs &amp; Assumptions'!$U$30*EXP('Model Inputs &amp; Assumptions'!$V$30*Q1314-'Model Inputs &amp; Assumptions'!$V$30^2/2))</f>
        <v>0</v>
      </c>
      <c r="E1314" s="45" t="n">
        <f aca="false">ROUND(C1314*D1314,0)</f>
        <v>0</v>
      </c>
      <c r="F1314" s="47" t="n">
        <f aca="false">MIN(1,'Model Inputs &amp; Assumptions'!$W$30*EXP('Model Inputs &amp; Assumptions'!$X$30*R1314-'Model Inputs &amp; Assumptions'!$X$30^2/2))</f>
        <v>0.00698319111207384</v>
      </c>
      <c r="G1314" s="45" t="n">
        <f aca="false">ROUND(C1314*F1314,0)</f>
        <v>651</v>
      </c>
      <c r="H1314" s="48" t="n">
        <f aca="false">MAX(0,(C1314*'Model Inputs &amp; Assumptions'!$N$30+E1314*'Model Inputs &amp; Assumptions'!$O$30+G1314*'Model Inputs &amp; Assumptions'!$P$30)*EXP('Model Inputs &amp; Assumptions'!$Q$30*S1314-'Model Inputs &amp; Assumptions'!$Q$30^2/2))</f>
        <v>56.8829776109633</v>
      </c>
      <c r="I1314" s="49" t="n">
        <f aca="false">IF('Model Inputs &amp; Assumptions'!$H$30="Fixed",'Model Inputs &amp; Assumptions'!$I$30*'Model Inputs &amp; Assumptions'!$K$30,IF('Model Inputs &amp; Assumptions'!$H$30="CPM",'Model Inputs &amp; Assumptions'!$I$30*'Model Inputs &amp; Assumptions'!$K$30*C1314/1000,IF('Model Inputs &amp; Assumptions'!$H$30="CPC",'Model Inputs &amp; Assumptions'!$I$30*'Model Inputs &amp; Assumptions'!$K$30*G1314,0)))</f>
        <v>6900</v>
      </c>
      <c r="J1314" s="50" t="n">
        <f aca="false">H1314*INDEX('Model Inputs &amp; Assumptions'!$D$40:$D$42,MATCH('Model Inputs &amp; Assumptions'!$L$30,'Model Inputs &amp; Assumptions'!$A$40:$A$42,0))*INDEX('Model Inputs &amp; Assumptions'!$H$40:$H$42,MATCH('Model Inputs &amp; Assumptions'!$L$30,'Model Inputs &amp; Assumptions'!$A$40:$A$42,0))</f>
        <v>409557.438798936</v>
      </c>
      <c r="K1314" s="49" t="n">
        <f aca="false">H1314*INDEX('Model Inputs &amp; Assumptions'!$G$40:$G$42,MATCH('Model Inputs &amp; Assumptions'!$L$30,'Model Inputs &amp; Assumptions'!$A$40:$A$42,0))*INDEX('Model Inputs &amp; Assumptions'!$H$40:$H$42,MATCH('Model Inputs &amp; Assumptions'!$L$30,'Model Inputs &amp; Assumptions'!$A$40:$A$42,0))</f>
        <v>9030.74152551653</v>
      </c>
      <c r="L1314" s="51" t="n">
        <f aca="false">IFERROR(K1314/I1314,0)</f>
        <v>1.30880311964008</v>
      </c>
      <c r="M1314" s="49" t="n">
        <f aca="false">IFERROR(I1314/H1314,0)</f>
        <v>121.301666857013</v>
      </c>
      <c r="N1314" s="52" t="str">
        <f aca="false">'Model Inputs &amp; Assumptions'!$L$30</f>
        <v>PRD-USIQ</v>
      </c>
      <c r="P1314" s="53" t="n">
        <v>0.54692</v>
      </c>
      <c r="Q1314" s="53" t="n">
        <v>1.604883</v>
      </c>
      <c r="R1314" s="53" t="n">
        <v>-0.831237</v>
      </c>
      <c r="S1314" s="53" t="n">
        <v>1.308418</v>
      </c>
    </row>
    <row r="1315" customFormat="false" ht="15" hidden="false" customHeight="false" outlineLevel="0" collapsed="false">
      <c r="A1315" s="43" t="n">
        <v>312</v>
      </c>
      <c r="B1315" s="44" t="str">
        <f aca="false">'Model Inputs &amp; Assumptions'!$B$30</f>
        <v>extraETF — Newsletter Takeover</v>
      </c>
      <c r="C1315" s="45" t="n">
        <f aca="false">ROUND(MAX(0,'Model Inputs &amp; Assumptions'!$S$30*EXP('Model Inputs &amp; Assumptions'!$T$30*P1315-'Model Inputs &amp; Assumptions'!$T$30^2/2)),0)</f>
        <v>87681</v>
      </c>
      <c r="D1315" s="46" t="n">
        <f aca="false">MIN(1,'Model Inputs &amp; Assumptions'!$U$30*EXP('Model Inputs &amp; Assumptions'!$V$30*Q1315-'Model Inputs &amp; Assumptions'!$V$30^2/2))</f>
        <v>0</v>
      </c>
      <c r="E1315" s="45" t="n">
        <f aca="false">ROUND(C1315*D1315,0)</f>
        <v>0</v>
      </c>
      <c r="F1315" s="47" t="n">
        <f aca="false">MIN(1,'Model Inputs &amp; Assumptions'!$W$30*EXP('Model Inputs &amp; Assumptions'!$X$30*R1315-'Model Inputs &amp; Assumptions'!$X$30^2/2))</f>
        <v>0.00860590797880104</v>
      </c>
      <c r="G1315" s="45" t="n">
        <f aca="false">ROUND(C1315*F1315,0)</f>
        <v>755</v>
      </c>
      <c r="H1315" s="48" t="n">
        <f aca="false">MAX(0,(C1315*'Model Inputs &amp; Assumptions'!$N$30+E1315*'Model Inputs &amp; Assumptions'!$O$30+G1315*'Model Inputs &amp; Assumptions'!$P$30)*EXP('Model Inputs &amp; Assumptions'!$Q$30*S1315-'Model Inputs &amp; Assumptions'!$Q$30^2/2))</f>
        <v>47.7578518550048</v>
      </c>
      <c r="I1315" s="49" t="n">
        <f aca="false">IF('Model Inputs &amp; Assumptions'!$H$30="Fixed",'Model Inputs &amp; Assumptions'!$I$30*'Model Inputs &amp; Assumptions'!$K$30,IF('Model Inputs &amp; Assumptions'!$H$30="CPM",'Model Inputs &amp; Assumptions'!$I$30*'Model Inputs &amp; Assumptions'!$K$30*C1315/1000,IF('Model Inputs &amp; Assumptions'!$H$30="CPC",'Model Inputs &amp; Assumptions'!$I$30*'Model Inputs &amp; Assumptions'!$K$30*G1315,0)))</f>
        <v>6900</v>
      </c>
      <c r="J1315" s="50" t="n">
        <f aca="false">H1315*INDEX('Model Inputs &amp; Assumptions'!$D$40:$D$42,MATCH('Model Inputs &amp; Assumptions'!$L$30,'Model Inputs &amp; Assumptions'!$A$40:$A$42,0))*INDEX('Model Inputs &amp; Assumptions'!$H$40:$H$42,MATCH('Model Inputs &amp; Assumptions'!$L$30,'Model Inputs &amp; Assumptions'!$A$40:$A$42,0))</f>
        <v>343856.533356034</v>
      </c>
      <c r="K1315" s="49" t="n">
        <f aca="false">H1315*INDEX('Model Inputs &amp; Assumptions'!$G$40:$G$42,MATCH('Model Inputs &amp; Assumptions'!$L$30,'Model Inputs &amp; Assumptions'!$A$40:$A$42,0))*INDEX('Model Inputs &amp; Assumptions'!$H$40:$H$42,MATCH('Model Inputs &amp; Assumptions'!$L$30,'Model Inputs &amp; Assumptions'!$A$40:$A$42,0))</f>
        <v>7582.03656050056</v>
      </c>
      <c r="L1315" s="51" t="n">
        <f aca="false">IFERROR(K1315/I1315,0)</f>
        <v>1.09884587833341</v>
      </c>
      <c r="M1315" s="49" t="n">
        <f aca="false">IFERROR(I1315/H1315,0)</f>
        <v>144.478860166256</v>
      </c>
      <c r="N1315" s="52" t="str">
        <f aca="false">'Model Inputs &amp; Assumptions'!$L$30</f>
        <v>PRD-USIQ</v>
      </c>
      <c r="P1315" s="53" t="n">
        <v>0.029694</v>
      </c>
      <c r="Q1315" s="53" t="n">
        <v>0.138181</v>
      </c>
      <c r="R1315" s="53" t="n">
        <v>0.561716</v>
      </c>
      <c r="S1315" s="53" t="n">
        <v>0.016175</v>
      </c>
    </row>
    <row r="1316" customFormat="false" ht="15" hidden="false" customHeight="false" outlineLevel="0" collapsed="false">
      <c r="A1316" s="43" t="n">
        <v>313</v>
      </c>
      <c r="B1316" s="44" t="str">
        <f aca="false">'Model Inputs &amp; Assumptions'!$B$30</f>
        <v>extraETF — Newsletter Takeover</v>
      </c>
      <c r="C1316" s="45" t="n">
        <f aca="false">ROUND(MAX(0,'Model Inputs &amp; Assumptions'!$S$30*EXP('Model Inputs &amp; Assumptions'!$T$30*P1316-'Model Inputs &amp; Assumptions'!$T$30^2/2)),0)</f>
        <v>106694</v>
      </c>
      <c r="D1316" s="46" t="n">
        <f aca="false">MIN(1,'Model Inputs &amp; Assumptions'!$U$30*EXP('Model Inputs &amp; Assumptions'!$V$30*Q1316-'Model Inputs &amp; Assumptions'!$V$30^2/2))</f>
        <v>0</v>
      </c>
      <c r="E1316" s="45" t="n">
        <f aca="false">ROUND(C1316*D1316,0)</f>
        <v>0</v>
      </c>
      <c r="F1316" s="47" t="n">
        <f aca="false">MIN(1,'Model Inputs &amp; Assumptions'!$W$30*EXP('Model Inputs &amp; Assumptions'!$X$30*R1316-'Model Inputs &amp; Assumptions'!$X$30^2/2))</f>
        <v>0.0095076932976122</v>
      </c>
      <c r="G1316" s="45" t="n">
        <f aca="false">ROUND(C1316*F1316,0)</f>
        <v>1014</v>
      </c>
      <c r="H1316" s="48" t="n">
        <f aca="false">MAX(0,(C1316*'Model Inputs &amp; Assumptions'!$N$30+E1316*'Model Inputs &amp; Assumptions'!$O$30+G1316*'Model Inputs &amp; Assumptions'!$P$30)*EXP('Model Inputs &amp; Assumptions'!$Q$30*S1316-'Model Inputs &amp; Assumptions'!$Q$30^2/2))</f>
        <v>93.0162235826718</v>
      </c>
      <c r="I1316" s="49" t="n">
        <f aca="false">IF('Model Inputs &amp; Assumptions'!$H$30="Fixed",'Model Inputs &amp; Assumptions'!$I$30*'Model Inputs &amp; Assumptions'!$K$30,IF('Model Inputs &amp; Assumptions'!$H$30="CPM",'Model Inputs &amp; Assumptions'!$I$30*'Model Inputs &amp; Assumptions'!$K$30*C1316/1000,IF('Model Inputs &amp; Assumptions'!$H$30="CPC",'Model Inputs &amp; Assumptions'!$I$30*'Model Inputs &amp; Assumptions'!$K$30*G1316,0)))</f>
        <v>6900</v>
      </c>
      <c r="J1316" s="50" t="n">
        <f aca="false">H1316*INDEX('Model Inputs &amp; Assumptions'!$D$40:$D$42,MATCH('Model Inputs &amp; Assumptions'!$L$30,'Model Inputs &amp; Assumptions'!$A$40:$A$42,0))*INDEX('Model Inputs &amp; Assumptions'!$H$40:$H$42,MATCH('Model Inputs &amp; Assumptions'!$L$30,'Model Inputs &amp; Assumptions'!$A$40:$A$42,0))</f>
        <v>669716.809795237</v>
      </c>
      <c r="K1316" s="49" t="n">
        <f aca="false">H1316*INDEX('Model Inputs &amp; Assumptions'!$G$40:$G$42,MATCH('Model Inputs &amp; Assumptions'!$L$30,'Model Inputs &amp; Assumptions'!$A$40:$A$42,0))*INDEX('Model Inputs &amp; Assumptions'!$H$40:$H$42,MATCH('Model Inputs &amp; Assumptions'!$L$30,'Model Inputs &amp; Assumptions'!$A$40:$A$42,0))</f>
        <v>14767.255655985</v>
      </c>
      <c r="L1316" s="51" t="n">
        <f aca="false">IFERROR(K1316/I1316,0)</f>
        <v>2.14018197912826</v>
      </c>
      <c r="M1316" s="49" t="n">
        <f aca="false">IFERROR(I1316/H1316,0)</f>
        <v>74.1806077932992</v>
      </c>
      <c r="N1316" s="52" t="str">
        <f aca="false">'Model Inputs &amp; Assumptions'!$L$30</f>
        <v>PRD-USIQ</v>
      </c>
      <c r="P1316" s="53" t="n">
        <v>1.665221</v>
      </c>
      <c r="Q1316" s="53" t="n">
        <v>-0.825191</v>
      </c>
      <c r="R1316" s="53" t="n">
        <v>1.226065</v>
      </c>
      <c r="S1316" s="53" t="n">
        <v>1.502935</v>
      </c>
    </row>
    <row r="1317" customFormat="false" ht="15" hidden="false" customHeight="false" outlineLevel="0" collapsed="false">
      <c r="A1317" s="43" t="n">
        <v>314</v>
      </c>
      <c r="B1317" s="44" t="str">
        <f aca="false">'Model Inputs &amp; Assumptions'!$B$30</f>
        <v>extraETF — Newsletter Takeover</v>
      </c>
      <c r="C1317" s="45" t="n">
        <f aca="false">ROUND(MAX(0,'Model Inputs &amp; Assumptions'!$S$30*EXP('Model Inputs &amp; Assumptions'!$T$30*P1317-'Model Inputs &amp; Assumptions'!$T$30^2/2)),0)</f>
        <v>96489</v>
      </c>
      <c r="D1317" s="46" t="n">
        <f aca="false">MIN(1,'Model Inputs &amp; Assumptions'!$U$30*EXP('Model Inputs &amp; Assumptions'!$V$30*Q1317-'Model Inputs &amp; Assumptions'!$V$30^2/2))</f>
        <v>0</v>
      </c>
      <c r="E1317" s="45" t="n">
        <f aca="false">ROUND(C1317*D1317,0)</f>
        <v>0</v>
      </c>
      <c r="F1317" s="47" t="n">
        <f aca="false">MIN(1,'Model Inputs &amp; Assumptions'!$W$30*EXP('Model Inputs &amp; Assumptions'!$X$30*R1317-'Model Inputs &amp; Assumptions'!$X$30^2/2))</f>
        <v>0.00699927268615895</v>
      </c>
      <c r="G1317" s="45" t="n">
        <f aca="false">ROUND(C1317*F1317,0)</f>
        <v>675</v>
      </c>
      <c r="H1317" s="48" t="n">
        <f aca="false">MAX(0,(C1317*'Model Inputs &amp; Assumptions'!$N$30+E1317*'Model Inputs &amp; Assumptions'!$O$30+G1317*'Model Inputs &amp; Assumptions'!$P$30)*EXP('Model Inputs &amp; Assumptions'!$Q$30*S1317-'Model Inputs &amp; Assumptions'!$Q$30^2/2))</f>
        <v>32.705423871741</v>
      </c>
      <c r="I1317" s="49" t="n">
        <f aca="false">IF('Model Inputs &amp; Assumptions'!$H$30="Fixed",'Model Inputs &amp; Assumptions'!$I$30*'Model Inputs &amp; Assumptions'!$K$30,IF('Model Inputs &amp; Assumptions'!$H$30="CPM",'Model Inputs &amp; Assumptions'!$I$30*'Model Inputs &amp; Assumptions'!$K$30*C1317/1000,IF('Model Inputs &amp; Assumptions'!$H$30="CPC",'Model Inputs &amp; Assumptions'!$I$30*'Model Inputs &amp; Assumptions'!$K$30*G1317,0)))</f>
        <v>6900</v>
      </c>
      <c r="J1317" s="50" t="n">
        <f aca="false">H1317*INDEX('Model Inputs &amp; Assumptions'!$D$40:$D$42,MATCH('Model Inputs &amp; Assumptions'!$L$30,'Model Inputs &amp; Assumptions'!$A$40:$A$42,0))*INDEX('Model Inputs &amp; Assumptions'!$H$40:$H$42,MATCH('Model Inputs &amp; Assumptions'!$L$30,'Model Inputs &amp; Assumptions'!$A$40:$A$42,0))</f>
        <v>235479.051876535</v>
      </c>
      <c r="K1317" s="49" t="n">
        <f aca="false">H1317*INDEX('Model Inputs &amp; Assumptions'!$G$40:$G$42,MATCH('Model Inputs &amp; Assumptions'!$L$30,'Model Inputs &amp; Assumptions'!$A$40:$A$42,0))*INDEX('Model Inputs &amp; Assumptions'!$H$40:$H$42,MATCH('Model Inputs &amp; Assumptions'!$L$30,'Model Inputs &amp; Assumptions'!$A$40:$A$42,0))</f>
        <v>5192.31309387759</v>
      </c>
      <c r="L1317" s="51" t="n">
        <f aca="false">IFERROR(K1317/I1317,0)</f>
        <v>0.752509144040231</v>
      </c>
      <c r="M1317" s="49" t="n">
        <f aca="false">IFERROR(I1317/H1317,0)</f>
        <v>210.974180523064</v>
      </c>
      <c r="N1317" s="52" t="str">
        <f aca="false">'Model Inputs &amp; Assumptions'!$L$30</f>
        <v>PRD-USIQ</v>
      </c>
      <c r="P1317" s="53" t="n">
        <v>0.8274</v>
      </c>
      <c r="Q1317" s="53" t="n">
        <v>0.584204</v>
      </c>
      <c r="R1317" s="53" t="n">
        <v>-0.815902</v>
      </c>
      <c r="S1317" s="53" t="n">
        <v>-1.050215</v>
      </c>
    </row>
    <row r="1318" customFormat="false" ht="15" hidden="false" customHeight="false" outlineLevel="0" collapsed="false">
      <c r="A1318" s="43" t="n">
        <v>315</v>
      </c>
      <c r="B1318" s="44" t="str">
        <f aca="false">'Model Inputs &amp; Assumptions'!$B$30</f>
        <v>extraETF — Newsletter Takeover</v>
      </c>
      <c r="C1318" s="45" t="n">
        <f aca="false">ROUND(MAX(0,'Model Inputs &amp; Assumptions'!$S$30*EXP('Model Inputs &amp; Assumptions'!$T$30*P1318-'Model Inputs &amp; Assumptions'!$T$30^2/2)),0)</f>
        <v>100131</v>
      </c>
      <c r="D1318" s="46" t="n">
        <f aca="false">MIN(1,'Model Inputs &amp; Assumptions'!$U$30*EXP('Model Inputs &amp; Assumptions'!$V$30*Q1318-'Model Inputs &amp; Assumptions'!$V$30^2/2))</f>
        <v>0</v>
      </c>
      <c r="E1318" s="45" t="n">
        <f aca="false">ROUND(C1318*D1318,0)</f>
        <v>0</v>
      </c>
      <c r="F1318" s="47" t="n">
        <f aca="false">MIN(1,'Model Inputs &amp; Assumptions'!$W$30*EXP('Model Inputs &amp; Assumptions'!$X$30*R1318-'Model Inputs &amp; Assumptions'!$X$30^2/2))</f>
        <v>0.00877850606991971</v>
      </c>
      <c r="G1318" s="45" t="n">
        <f aca="false">ROUND(C1318*F1318,0)</f>
        <v>879</v>
      </c>
      <c r="H1318" s="48" t="n">
        <f aca="false">MAX(0,(C1318*'Model Inputs &amp; Assumptions'!$N$30+E1318*'Model Inputs &amp; Assumptions'!$O$30+G1318*'Model Inputs &amp; Assumptions'!$P$30)*EXP('Model Inputs &amp; Assumptions'!$Q$30*S1318-'Model Inputs &amp; Assumptions'!$Q$30^2/2))</f>
        <v>52.5914278903388</v>
      </c>
      <c r="I1318" s="49" t="n">
        <f aca="false">IF('Model Inputs &amp; Assumptions'!$H$30="Fixed",'Model Inputs &amp; Assumptions'!$I$30*'Model Inputs &amp; Assumptions'!$K$30,IF('Model Inputs &amp; Assumptions'!$H$30="CPM",'Model Inputs &amp; Assumptions'!$I$30*'Model Inputs &amp; Assumptions'!$K$30*C1318/1000,IF('Model Inputs &amp; Assumptions'!$H$30="CPC",'Model Inputs &amp; Assumptions'!$I$30*'Model Inputs &amp; Assumptions'!$K$30*G1318,0)))</f>
        <v>6900</v>
      </c>
      <c r="J1318" s="50" t="n">
        <f aca="false">H1318*INDEX('Model Inputs &amp; Assumptions'!$D$40:$D$42,MATCH('Model Inputs &amp; Assumptions'!$L$30,'Model Inputs &amp; Assumptions'!$A$40:$A$42,0))*INDEX('Model Inputs &amp; Assumptions'!$H$40:$H$42,MATCH('Model Inputs &amp; Assumptions'!$L$30,'Model Inputs &amp; Assumptions'!$A$40:$A$42,0))</f>
        <v>378658.280810439</v>
      </c>
      <c r="K1318" s="49" t="n">
        <f aca="false">H1318*INDEX('Model Inputs &amp; Assumptions'!$G$40:$G$42,MATCH('Model Inputs &amp; Assumptions'!$L$30,'Model Inputs &amp; Assumptions'!$A$40:$A$42,0))*INDEX('Model Inputs &amp; Assumptions'!$H$40:$H$42,MATCH('Model Inputs &amp; Assumptions'!$L$30,'Model Inputs &amp; Assumptions'!$A$40:$A$42,0))</f>
        <v>8349.41509187019</v>
      </c>
      <c r="L1318" s="51" t="n">
        <f aca="false">IFERROR(K1318/I1318,0)</f>
        <v>1.21006015824206</v>
      </c>
      <c r="M1318" s="49" t="n">
        <f aca="false">IFERROR(I1318/H1318,0)</f>
        <v>131.200088622571</v>
      </c>
      <c r="N1318" s="52" t="str">
        <f aca="false">'Model Inputs &amp; Assumptions'!$L$30</f>
        <v>PRD-USIQ</v>
      </c>
      <c r="P1318" s="53" t="n">
        <v>1.136181</v>
      </c>
      <c r="Q1318" s="53" t="n">
        <v>0.928441</v>
      </c>
      <c r="R1318" s="53" t="n">
        <v>0.694098</v>
      </c>
      <c r="S1318" s="53" t="n">
        <v>-0.206455</v>
      </c>
    </row>
    <row r="1319" customFormat="false" ht="15" hidden="false" customHeight="false" outlineLevel="0" collapsed="false">
      <c r="A1319" s="43" t="n">
        <v>316</v>
      </c>
      <c r="B1319" s="44" t="str">
        <f aca="false">'Model Inputs &amp; Assumptions'!$B$30</f>
        <v>extraETF — Newsletter Takeover</v>
      </c>
      <c r="C1319" s="45" t="n">
        <f aca="false">ROUND(MAX(0,'Model Inputs &amp; Assumptions'!$S$30*EXP('Model Inputs &amp; Assumptions'!$T$30*P1319-'Model Inputs &amp; Assumptions'!$T$30^2/2)),0)</f>
        <v>73091</v>
      </c>
      <c r="D1319" s="46" t="n">
        <f aca="false">MIN(1,'Model Inputs &amp; Assumptions'!$U$30*EXP('Model Inputs &amp; Assumptions'!$V$30*Q1319-'Model Inputs &amp; Assumptions'!$V$30^2/2))</f>
        <v>0</v>
      </c>
      <c r="E1319" s="45" t="n">
        <f aca="false">ROUND(C1319*D1319,0)</f>
        <v>0</v>
      </c>
      <c r="F1319" s="47" t="n">
        <f aca="false">MIN(1,'Model Inputs &amp; Assumptions'!$W$30*EXP('Model Inputs &amp; Assumptions'!$X$30*R1319-'Model Inputs &amp; Assumptions'!$X$30^2/2))</f>
        <v>0.00832603574282084</v>
      </c>
      <c r="G1319" s="45" t="n">
        <f aca="false">ROUND(C1319*F1319,0)</f>
        <v>609</v>
      </c>
      <c r="H1319" s="48" t="n">
        <f aca="false">MAX(0,(C1319*'Model Inputs &amp; Assumptions'!$N$30+E1319*'Model Inputs &amp; Assumptions'!$O$30+G1319*'Model Inputs &amp; Assumptions'!$P$30)*EXP('Model Inputs &amp; Assumptions'!$Q$30*S1319-'Model Inputs &amp; Assumptions'!$Q$30^2/2))</f>
        <v>30.4916159403525</v>
      </c>
      <c r="I1319" s="49" t="n">
        <f aca="false">IF('Model Inputs &amp; Assumptions'!$H$30="Fixed",'Model Inputs &amp; Assumptions'!$I$30*'Model Inputs &amp; Assumptions'!$K$30,IF('Model Inputs &amp; Assumptions'!$H$30="CPM",'Model Inputs &amp; Assumptions'!$I$30*'Model Inputs &amp; Assumptions'!$K$30*C1319/1000,IF('Model Inputs &amp; Assumptions'!$H$30="CPC",'Model Inputs &amp; Assumptions'!$I$30*'Model Inputs &amp; Assumptions'!$K$30*G1319,0)))</f>
        <v>6900</v>
      </c>
      <c r="J1319" s="50" t="n">
        <f aca="false">H1319*INDEX('Model Inputs &amp; Assumptions'!$D$40:$D$42,MATCH('Model Inputs &amp; Assumptions'!$L$30,'Model Inputs &amp; Assumptions'!$A$40:$A$42,0))*INDEX('Model Inputs &amp; Assumptions'!$H$40:$H$42,MATCH('Model Inputs &amp; Assumptions'!$L$30,'Model Inputs &amp; Assumptions'!$A$40:$A$42,0))</f>
        <v>219539.634770538</v>
      </c>
      <c r="K1319" s="49" t="n">
        <f aca="false">H1319*INDEX('Model Inputs &amp; Assumptions'!$G$40:$G$42,MATCH('Model Inputs &amp; Assumptions'!$L$30,'Model Inputs &amp; Assumptions'!$A$40:$A$42,0))*INDEX('Model Inputs &amp; Assumptions'!$H$40:$H$42,MATCH('Model Inputs &amp; Assumptions'!$L$30,'Model Inputs &amp; Assumptions'!$A$40:$A$42,0))</f>
        <v>4840.84894669037</v>
      </c>
      <c r="L1319" s="51" t="n">
        <f aca="false">IFERROR(K1319/I1319,0)</f>
        <v>0.701572311114546</v>
      </c>
      <c r="M1319" s="49" t="n">
        <f aca="false">IFERROR(I1319/H1319,0)</f>
        <v>226.291712892414</v>
      </c>
      <c r="N1319" s="52" t="str">
        <f aca="false">'Model Inputs &amp; Assumptions'!$L$30</f>
        <v>PRD-USIQ</v>
      </c>
      <c r="P1319" s="53" t="n">
        <v>-1.486882</v>
      </c>
      <c r="Q1319" s="53" t="n">
        <v>-0.816966</v>
      </c>
      <c r="R1319" s="53" t="n">
        <v>0.341306</v>
      </c>
      <c r="S1319" s="53" t="n">
        <v>-0.918994</v>
      </c>
    </row>
    <row r="1320" customFormat="false" ht="15" hidden="false" customHeight="false" outlineLevel="0" collapsed="false">
      <c r="A1320" s="43" t="n">
        <v>317</v>
      </c>
      <c r="B1320" s="44" t="str">
        <f aca="false">'Model Inputs &amp; Assumptions'!$B$30</f>
        <v>extraETF — Newsletter Takeover</v>
      </c>
      <c r="C1320" s="45" t="n">
        <f aca="false">ROUND(MAX(0,'Model Inputs &amp; Assumptions'!$S$30*EXP('Model Inputs &amp; Assumptions'!$T$30*P1320-'Model Inputs &amp; Assumptions'!$T$30^2/2)),0)</f>
        <v>101562</v>
      </c>
      <c r="D1320" s="46" t="n">
        <f aca="false">MIN(1,'Model Inputs &amp; Assumptions'!$U$30*EXP('Model Inputs &amp; Assumptions'!$V$30*Q1320-'Model Inputs &amp; Assumptions'!$V$30^2/2))</f>
        <v>0</v>
      </c>
      <c r="E1320" s="45" t="n">
        <f aca="false">ROUND(C1320*D1320,0)</f>
        <v>0</v>
      </c>
      <c r="F1320" s="47" t="n">
        <f aca="false">MIN(1,'Model Inputs &amp; Assumptions'!$W$30*EXP('Model Inputs &amp; Assumptions'!$X$30*R1320-'Model Inputs &amp; Assumptions'!$X$30^2/2))</f>
        <v>0.00855184963969087</v>
      </c>
      <c r="G1320" s="45" t="n">
        <f aca="false">ROUND(C1320*F1320,0)</f>
        <v>869</v>
      </c>
      <c r="H1320" s="48" t="n">
        <f aca="false">MAX(0,(C1320*'Model Inputs &amp; Assumptions'!$N$30+E1320*'Model Inputs &amp; Assumptions'!$O$30+G1320*'Model Inputs &amp; Assumptions'!$P$30)*EXP('Model Inputs &amp; Assumptions'!$Q$30*S1320-'Model Inputs &amp; Assumptions'!$Q$30^2/2))</f>
        <v>55.4594218874884</v>
      </c>
      <c r="I1320" s="49" t="n">
        <f aca="false">IF('Model Inputs &amp; Assumptions'!$H$30="Fixed",'Model Inputs &amp; Assumptions'!$I$30*'Model Inputs &amp; Assumptions'!$K$30,IF('Model Inputs &amp; Assumptions'!$H$30="CPM",'Model Inputs &amp; Assumptions'!$I$30*'Model Inputs &amp; Assumptions'!$K$30*C1320/1000,IF('Model Inputs &amp; Assumptions'!$H$30="CPC",'Model Inputs &amp; Assumptions'!$I$30*'Model Inputs &amp; Assumptions'!$K$30*G1320,0)))</f>
        <v>6900</v>
      </c>
      <c r="J1320" s="50" t="n">
        <f aca="false">H1320*INDEX('Model Inputs &amp; Assumptions'!$D$40:$D$42,MATCH('Model Inputs &amp; Assumptions'!$L$30,'Model Inputs &amp; Assumptions'!$A$40:$A$42,0))*INDEX('Model Inputs &amp; Assumptions'!$H$40:$H$42,MATCH('Model Inputs &amp; Assumptions'!$L$30,'Model Inputs &amp; Assumptions'!$A$40:$A$42,0))</f>
        <v>399307.837589917</v>
      </c>
      <c r="K1320" s="49" t="n">
        <f aca="false">H1320*INDEX('Model Inputs &amp; Assumptions'!$G$40:$G$42,MATCH('Model Inputs &amp; Assumptions'!$L$30,'Model Inputs &amp; Assumptions'!$A$40:$A$42,0))*INDEX('Model Inputs &amp; Assumptions'!$H$40:$H$42,MATCH('Model Inputs &amp; Assumptions'!$L$30,'Model Inputs &amp; Assumptions'!$A$40:$A$42,0))</f>
        <v>8804.73781885766</v>
      </c>
      <c r="L1320" s="51" t="n">
        <f aca="false">IFERROR(K1320/I1320,0)</f>
        <v>1.27604895925473</v>
      </c>
      <c r="M1320" s="49" t="n">
        <f aca="false">IFERROR(I1320/H1320,0)</f>
        <v>124.415288965654</v>
      </c>
      <c r="N1320" s="52" t="str">
        <f aca="false">'Model Inputs &amp; Assumptions'!$L$30</f>
        <v>PRD-USIQ</v>
      </c>
      <c r="P1320" s="53" t="n">
        <v>1.254467</v>
      </c>
      <c r="Q1320" s="53" t="n">
        <v>0.084523</v>
      </c>
      <c r="R1320" s="53" t="n">
        <v>0.519707</v>
      </c>
      <c r="S1320" s="53" t="n">
        <v>0.051706</v>
      </c>
    </row>
    <row r="1321" customFormat="false" ht="15" hidden="false" customHeight="false" outlineLevel="0" collapsed="false">
      <c r="A1321" s="43" t="n">
        <v>318</v>
      </c>
      <c r="B1321" s="44" t="str">
        <f aca="false">'Model Inputs &amp; Assumptions'!$B$30</f>
        <v>extraETF — Newsletter Takeover</v>
      </c>
      <c r="C1321" s="45" t="n">
        <f aca="false">ROUND(MAX(0,'Model Inputs &amp; Assumptions'!$S$30*EXP('Model Inputs &amp; Assumptions'!$T$30*P1321-'Model Inputs &amp; Assumptions'!$T$30^2/2)),0)</f>
        <v>98291</v>
      </c>
      <c r="D1321" s="46" t="n">
        <f aca="false">MIN(1,'Model Inputs &amp; Assumptions'!$U$30*EXP('Model Inputs &amp; Assumptions'!$V$30*Q1321-'Model Inputs &amp; Assumptions'!$V$30^2/2))</f>
        <v>0</v>
      </c>
      <c r="E1321" s="45" t="n">
        <f aca="false">ROUND(C1321*D1321,0)</f>
        <v>0</v>
      </c>
      <c r="F1321" s="47" t="n">
        <f aca="false">MIN(1,'Model Inputs &amp; Assumptions'!$W$30*EXP('Model Inputs &amp; Assumptions'!$X$30*R1321-'Model Inputs &amp; Assumptions'!$X$30^2/2))</f>
        <v>0.00589201468924244</v>
      </c>
      <c r="G1321" s="45" t="n">
        <f aca="false">ROUND(C1321*F1321,0)</f>
        <v>579</v>
      </c>
      <c r="H1321" s="48" t="n">
        <f aca="false">MAX(0,(C1321*'Model Inputs &amp; Assumptions'!$N$30+E1321*'Model Inputs &amp; Assumptions'!$O$30+G1321*'Model Inputs &amp; Assumptions'!$P$30)*EXP('Model Inputs &amp; Assumptions'!$Q$30*S1321-'Model Inputs &amp; Assumptions'!$Q$30^2/2))</f>
        <v>30.1709327294871</v>
      </c>
      <c r="I1321" s="49" t="n">
        <f aca="false">IF('Model Inputs &amp; Assumptions'!$H$30="Fixed",'Model Inputs &amp; Assumptions'!$I$30*'Model Inputs &amp; Assumptions'!$K$30,IF('Model Inputs &amp; Assumptions'!$H$30="CPM",'Model Inputs &amp; Assumptions'!$I$30*'Model Inputs &amp; Assumptions'!$K$30*C1321/1000,IF('Model Inputs &amp; Assumptions'!$H$30="CPC",'Model Inputs &amp; Assumptions'!$I$30*'Model Inputs &amp; Assumptions'!$K$30*G1321,0)))</f>
        <v>6900</v>
      </c>
      <c r="J1321" s="50" t="n">
        <f aca="false">H1321*INDEX('Model Inputs &amp; Assumptions'!$D$40:$D$42,MATCH('Model Inputs &amp; Assumptions'!$L$30,'Model Inputs &amp; Assumptions'!$A$40:$A$42,0))*INDEX('Model Inputs &amp; Assumptions'!$H$40:$H$42,MATCH('Model Inputs &amp; Assumptions'!$L$30,'Model Inputs &amp; Assumptions'!$A$40:$A$42,0))</f>
        <v>217230.715652307</v>
      </c>
      <c r="K1321" s="49" t="n">
        <f aca="false">H1321*INDEX('Model Inputs &amp; Assumptions'!$G$40:$G$42,MATCH('Model Inputs &amp; Assumptions'!$L$30,'Model Inputs &amp; Assumptions'!$A$40:$A$42,0))*INDEX('Model Inputs &amp; Assumptions'!$H$40:$H$42,MATCH('Model Inputs &amp; Assumptions'!$L$30,'Model Inputs &amp; Assumptions'!$A$40:$A$42,0))</f>
        <v>4789.93728013338</v>
      </c>
      <c r="L1321" s="51" t="n">
        <f aca="false">IFERROR(K1321/I1321,0)</f>
        <v>0.694193808714983</v>
      </c>
      <c r="M1321" s="49" t="n">
        <f aca="false">IFERROR(I1321/H1321,0)</f>
        <v>228.696940259205</v>
      </c>
      <c r="N1321" s="52" t="str">
        <f aca="false">'Model Inputs &amp; Assumptions'!$L$30</f>
        <v>PRD-USIQ</v>
      </c>
      <c r="P1321" s="53" t="n">
        <v>0.981618</v>
      </c>
      <c r="Q1321" s="53" t="n">
        <v>-1.141163</v>
      </c>
      <c r="R1321" s="53" t="n">
        <v>-1.963957</v>
      </c>
      <c r="S1321" s="53" t="n">
        <v>-0.759222</v>
      </c>
    </row>
    <row r="1322" customFormat="false" ht="15" hidden="false" customHeight="false" outlineLevel="0" collapsed="false">
      <c r="A1322" s="43" t="n">
        <v>319</v>
      </c>
      <c r="B1322" s="44" t="str">
        <f aca="false">'Model Inputs &amp; Assumptions'!$B$30</f>
        <v>extraETF — Newsletter Takeover</v>
      </c>
      <c r="C1322" s="45" t="n">
        <f aca="false">ROUND(MAX(0,'Model Inputs &amp; Assumptions'!$S$30*EXP('Model Inputs &amp; Assumptions'!$T$30*P1322-'Model Inputs &amp; Assumptions'!$T$30^2/2)),0)</f>
        <v>104533</v>
      </c>
      <c r="D1322" s="46" t="n">
        <f aca="false">MIN(1,'Model Inputs &amp; Assumptions'!$U$30*EXP('Model Inputs &amp; Assumptions'!$V$30*Q1322-'Model Inputs &amp; Assumptions'!$V$30^2/2))</f>
        <v>0</v>
      </c>
      <c r="E1322" s="45" t="n">
        <f aca="false">ROUND(C1322*D1322,0)</f>
        <v>0</v>
      </c>
      <c r="F1322" s="47" t="n">
        <f aca="false">MIN(1,'Model Inputs &amp; Assumptions'!$W$30*EXP('Model Inputs &amp; Assumptions'!$X$30*R1322-'Model Inputs &amp; Assumptions'!$X$30^2/2))</f>
        <v>0.0087850383908921</v>
      </c>
      <c r="G1322" s="45" t="n">
        <f aca="false">ROUND(C1322*F1322,0)</f>
        <v>918</v>
      </c>
      <c r="H1322" s="48" t="n">
        <f aca="false">MAX(0,(C1322*'Model Inputs &amp; Assumptions'!$N$30+E1322*'Model Inputs &amp; Assumptions'!$O$30+G1322*'Model Inputs &amp; Assumptions'!$P$30)*EXP('Model Inputs &amp; Assumptions'!$Q$30*S1322-'Model Inputs &amp; Assumptions'!$Q$30^2/2))</f>
        <v>42.417547448201</v>
      </c>
      <c r="I1322" s="49" t="n">
        <f aca="false">IF('Model Inputs &amp; Assumptions'!$H$30="Fixed",'Model Inputs &amp; Assumptions'!$I$30*'Model Inputs &amp; Assumptions'!$K$30,IF('Model Inputs &amp; Assumptions'!$H$30="CPM",'Model Inputs &amp; Assumptions'!$I$30*'Model Inputs &amp; Assumptions'!$K$30*C1322/1000,IF('Model Inputs &amp; Assumptions'!$H$30="CPC",'Model Inputs &amp; Assumptions'!$I$30*'Model Inputs &amp; Assumptions'!$K$30*G1322,0)))</f>
        <v>6900</v>
      </c>
      <c r="J1322" s="50" t="n">
        <f aca="false">H1322*INDEX('Model Inputs &amp; Assumptions'!$D$40:$D$42,MATCH('Model Inputs &amp; Assumptions'!$L$30,'Model Inputs &amp; Assumptions'!$A$40:$A$42,0))*INDEX('Model Inputs &amp; Assumptions'!$H$40:$H$42,MATCH('Model Inputs &amp; Assumptions'!$L$30,'Model Inputs &amp; Assumptions'!$A$40:$A$42,0))</f>
        <v>305406.341627047</v>
      </c>
      <c r="K1322" s="49" t="n">
        <f aca="false">H1322*INDEX('Model Inputs &amp; Assumptions'!$G$40:$G$42,MATCH('Model Inputs &amp; Assumptions'!$L$30,'Model Inputs &amp; Assumptions'!$A$40:$A$42,0))*INDEX('Model Inputs &amp; Assumptions'!$H$40:$H$42,MATCH('Model Inputs &amp; Assumptions'!$L$30,'Model Inputs &amp; Assumptions'!$A$40:$A$42,0))</f>
        <v>6734.20983287639</v>
      </c>
      <c r="L1322" s="51" t="n">
        <f aca="false">IFERROR(K1322/I1322,0)</f>
        <v>0.975972439547303</v>
      </c>
      <c r="M1322" s="49" t="n">
        <f aca="false">IFERROR(I1322/H1322,0)</f>
        <v>162.66852788757</v>
      </c>
      <c r="N1322" s="52" t="str">
        <f aca="false">'Model Inputs &amp; Assumptions'!$L$30</f>
        <v>PRD-USIQ</v>
      </c>
      <c r="P1322" s="53" t="n">
        <v>1.494709</v>
      </c>
      <c r="Q1322" s="53" t="n">
        <v>-0.009175</v>
      </c>
      <c r="R1322" s="53" t="n">
        <v>0.699057</v>
      </c>
      <c r="S1322" s="53" t="n">
        <v>-1.240069</v>
      </c>
    </row>
    <row r="1323" customFormat="false" ht="15" hidden="false" customHeight="false" outlineLevel="0" collapsed="false">
      <c r="A1323" s="43" t="n">
        <v>320</v>
      </c>
      <c r="B1323" s="44" t="str">
        <f aca="false">'Model Inputs &amp; Assumptions'!$B$30</f>
        <v>extraETF — Newsletter Takeover</v>
      </c>
      <c r="C1323" s="45" t="n">
        <f aca="false">ROUND(MAX(0,'Model Inputs &amp; Assumptions'!$S$30*EXP('Model Inputs &amp; Assumptions'!$T$30*P1323-'Model Inputs &amp; Assumptions'!$T$30^2/2)),0)</f>
        <v>84744</v>
      </c>
      <c r="D1323" s="46" t="n">
        <f aca="false">MIN(1,'Model Inputs &amp; Assumptions'!$U$30*EXP('Model Inputs &amp; Assumptions'!$V$30*Q1323-'Model Inputs &amp; Assumptions'!$V$30^2/2))</f>
        <v>0</v>
      </c>
      <c r="E1323" s="45" t="n">
        <f aca="false">ROUND(C1323*D1323,0)</f>
        <v>0</v>
      </c>
      <c r="F1323" s="47" t="n">
        <f aca="false">MIN(1,'Model Inputs &amp; Assumptions'!$W$30*EXP('Model Inputs &amp; Assumptions'!$X$30*R1323-'Model Inputs &amp; Assumptions'!$X$30^2/2))</f>
        <v>0.00589698198269621</v>
      </c>
      <c r="G1323" s="45" t="n">
        <f aca="false">ROUND(C1323*F1323,0)</f>
        <v>500</v>
      </c>
      <c r="H1323" s="48" t="n">
        <f aca="false">MAX(0,(C1323*'Model Inputs &amp; Assumptions'!$N$30+E1323*'Model Inputs &amp; Assumptions'!$O$30+G1323*'Model Inputs &amp; Assumptions'!$P$30)*EXP('Model Inputs &amp; Assumptions'!$Q$30*S1323-'Model Inputs &amp; Assumptions'!$Q$30^2/2))</f>
        <v>23.5220220144112</v>
      </c>
      <c r="I1323" s="49" t="n">
        <f aca="false">IF('Model Inputs &amp; Assumptions'!$H$30="Fixed",'Model Inputs &amp; Assumptions'!$I$30*'Model Inputs &amp; Assumptions'!$K$30,IF('Model Inputs &amp; Assumptions'!$H$30="CPM",'Model Inputs &amp; Assumptions'!$I$30*'Model Inputs &amp; Assumptions'!$K$30*C1323/1000,IF('Model Inputs &amp; Assumptions'!$H$30="CPC",'Model Inputs &amp; Assumptions'!$I$30*'Model Inputs &amp; Assumptions'!$K$30*G1323,0)))</f>
        <v>6900</v>
      </c>
      <c r="J1323" s="50" t="n">
        <f aca="false">H1323*INDEX('Model Inputs &amp; Assumptions'!$D$40:$D$42,MATCH('Model Inputs &amp; Assumptions'!$L$30,'Model Inputs &amp; Assumptions'!$A$40:$A$42,0))*INDEX('Model Inputs &amp; Assumptions'!$H$40:$H$42,MATCH('Model Inputs &amp; Assumptions'!$L$30,'Model Inputs &amp; Assumptions'!$A$40:$A$42,0))</f>
        <v>169358.55850376</v>
      </c>
      <c r="K1323" s="49" t="n">
        <f aca="false">H1323*INDEX('Model Inputs &amp; Assumptions'!$G$40:$G$42,MATCH('Model Inputs &amp; Assumptions'!$L$30,'Model Inputs &amp; Assumptions'!$A$40:$A$42,0))*INDEX('Model Inputs &amp; Assumptions'!$H$40:$H$42,MATCH('Model Inputs &amp; Assumptions'!$L$30,'Model Inputs &amp; Assumptions'!$A$40:$A$42,0))</f>
        <v>3734.35621500792</v>
      </c>
      <c r="L1323" s="51" t="n">
        <f aca="false">IFERROR(K1323/I1323,0)</f>
        <v>0.541211045653321</v>
      </c>
      <c r="M1323" s="49" t="n">
        <f aca="false">IFERROR(I1323/H1323,0)</f>
        <v>293.342128315865</v>
      </c>
      <c r="N1323" s="52" t="str">
        <f aca="false">'Model Inputs &amp; Assumptions'!$L$30</f>
        <v>PRD-USIQ</v>
      </c>
      <c r="P1323" s="53" t="n">
        <v>-0.254194</v>
      </c>
      <c r="Q1323" s="53" t="n">
        <v>0.564644</v>
      </c>
      <c r="R1323" s="53" t="n">
        <v>-1.958339</v>
      </c>
      <c r="S1323" s="53" t="n">
        <v>-1.168212</v>
      </c>
    </row>
    <row r="1324" customFormat="false" ht="15" hidden="false" customHeight="false" outlineLevel="0" collapsed="false">
      <c r="A1324" s="43" t="n">
        <v>321</v>
      </c>
      <c r="B1324" s="44" t="str">
        <f aca="false">'Model Inputs &amp; Assumptions'!$B$30</f>
        <v>extraETF — Newsletter Takeover</v>
      </c>
      <c r="C1324" s="45" t="n">
        <f aca="false">ROUND(MAX(0,'Model Inputs &amp; Assumptions'!$S$30*EXP('Model Inputs &amp; Assumptions'!$T$30*P1324-'Model Inputs &amp; Assumptions'!$T$30^2/2)),0)</f>
        <v>110466</v>
      </c>
      <c r="D1324" s="46" t="n">
        <f aca="false">MIN(1,'Model Inputs &amp; Assumptions'!$U$30*EXP('Model Inputs &amp; Assumptions'!$V$30*Q1324-'Model Inputs &amp; Assumptions'!$V$30^2/2))</f>
        <v>0</v>
      </c>
      <c r="E1324" s="45" t="n">
        <f aca="false">ROUND(C1324*D1324,0)</f>
        <v>0</v>
      </c>
      <c r="F1324" s="47" t="n">
        <f aca="false">MIN(1,'Model Inputs &amp; Assumptions'!$W$30*EXP('Model Inputs &amp; Assumptions'!$X$30*R1324-'Model Inputs &amp; Assumptions'!$X$30^2/2))</f>
        <v>0.00931997262703557</v>
      </c>
      <c r="G1324" s="45" t="n">
        <f aca="false">ROUND(C1324*F1324,0)</f>
        <v>1030</v>
      </c>
      <c r="H1324" s="48" t="n">
        <f aca="false">MAX(0,(C1324*'Model Inputs &amp; Assumptions'!$N$30+E1324*'Model Inputs &amp; Assumptions'!$O$30+G1324*'Model Inputs &amp; Assumptions'!$P$30)*EXP('Model Inputs &amp; Assumptions'!$Q$30*S1324-'Model Inputs &amp; Assumptions'!$Q$30^2/2))</f>
        <v>77.4129300952136</v>
      </c>
      <c r="I1324" s="49" t="n">
        <f aca="false">IF('Model Inputs &amp; Assumptions'!$H$30="Fixed",'Model Inputs &amp; Assumptions'!$I$30*'Model Inputs &amp; Assumptions'!$K$30,IF('Model Inputs &amp; Assumptions'!$H$30="CPM",'Model Inputs &amp; Assumptions'!$I$30*'Model Inputs &amp; Assumptions'!$K$30*C1324/1000,IF('Model Inputs &amp; Assumptions'!$H$30="CPC",'Model Inputs &amp; Assumptions'!$I$30*'Model Inputs &amp; Assumptions'!$K$30*G1324,0)))</f>
        <v>6900</v>
      </c>
      <c r="J1324" s="50" t="n">
        <f aca="false">H1324*INDEX('Model Inputs &amp; Assumptions'!$D$40:$D$42,MATCH('Model Inputs &amp; Assumptions'!$L$30,'Model Inputs &amp; Assumptions'!$A$40:$A$42,0))*INDEX('Model Inputs &amp; Assumptions'!$H$40:$H$42,MATCH('Model Inputs &amp; Assumptions'!$L$30,'Model Inputs &amp; Assumptions'!$A$40:$A$42,0))</f>
        <v>557373.096685538</v>
      </c>
      <c r="K1324" s="49" t="n">
        <f aca="false">H1324*INDEX('Model Inputs &amp; Assumptions'!$G$40:$G$42,MATCH('Model Inputs &amp; Assumptions'!$L$30,'Model Inputs &amp; Assumptions'!$A$40:$A$42,0))*INDEX('Model Inputs &amp; Assumptions'!$H$40:$H$42,MATCH('Model Inputs &amp; Assumptions'!$L$30,'Model Inputs &amp; Assumptions'!$A$40:$A$42,0))</f>
        <v>12290.0767819161</v>
      </c>
      <c r="L1324" s="51" t="n">
        <f aca="false">IFERROR(K1324/I1324,0)</f>
        <v>1.78117054810378</v>
      </c>
      <c r="M1324" s="49" t="n">
        <f aca="false">IFERROR(I1324/H1324,0)</f>
        <v>89.1323967651578</v>
      </c>
      <c r="N1324" s="52" t="str">
        <f aca="false">'Model Inputs &amp; Assumptions'!$L$30</f>
        <v>PRD-USIQ</v>
      </c>
      <c r="P1324" s="53" t="n">
        <v>1.954723</v>
      </c>
      <c r="Q1324" s="53" t="n">
        <v>-0.510436</v>
      </c>
      <c r="R1324" s="53" t="n">
        <v>1.093121</v>
      </c>
      <c r="S1324" s="53" t="n">
        <v>0.705831</v>
      </c>
    </row>
    <row r="1325" customFormat="false" ht="15" hidden="false" customHeight="false" outlineLevel="0" collapsed="false">
      <c r="A1325" s="43" t="n">
        <v>322</v>
      </c>
      <c r="B1325" s="44" t="str">
        <f aca="false">'Model Inputs &amp; Assumptions'!$B$30</f>
        <v>extraETF — Newsletter Takeover</v>
      </c>
      <c r="C1325" s="45" t="n">
        <f aca="false">ROUND(MAX(0,'Model Inputs &amp; Assumptions'!$S$30*EXP('Model Inputs &amp; Assumptions'!$T$30*P1325-'Model Inputs &amp; Assumptions'!$T$30^2/2)),0)</f>
        <v>85067</v>
      </c>
      <c r="D1325" s="46" t="n">
        <f aca="false">MIN(1,'Model Inputs &amp; Assumptions'!$U$30*EXP('Model Inputs &amp; Assumptions'!$V$30*Q1325-'Model Inputs &amp; Assumptions'!$V$30^2/2))</f>
        <v>0</v>
      </c>
      <c r="E1325" s="45" t="n">
        <f aca="false">ROUND(C1325*D1325,0)</f>
        <v>0</v>
      </c>
      <c r="F1325" s="47" t="n">
        <f aca="false">MIN(1,'Model Inputs &amp; Assumptions'!$W$30*EXP('Model Inputs &amp; Assumptions'!$X$30*R1325-'Model Inputs &amp; Assumptions'!$X$30^2/2))</f>
        <v>0.00828324120499964</v>
      </c>
      <c r="G1325" s="45" t="n">
        <f aca="false">ROUND(C1325*F1325,0)</f>
        <v>705</v>
      </c>
      <c r="H1325" s="48" t="n">
        <f aca="false">MAX(0,(C1325*'Model Inputs &amp; Assumptions'!$N$30+E1325*'Model Inputs &amp; Assumptions'!$O$30+G1325*'Model Inputs &amp; Assumptions'!$P$30)*EXP('Model Inputs &amp; Assumptions'!$Q$30*S1325-'Model Inputs &amp; Assumptions'!$Q$30^2/2))</f>
        <v>56.5312195370248</v>
      </c>
      <c r="I1325" s="49" t="n">
        <f aca="false">IF('Model Inputs &amp; Assumptions'!$H$30="Fixed",'Model Inputs &amp; Assumptions'!$I$30*'Model Inputs &amp; Assumptions'!$K$30,IF('Model Inputs &amp; Assumptions'!$H$30="CPM",'Model Inputs &amp; Assumptions'!$I$30*'Model Inputs &amp; Assumptions'!$K$30*C1325/1000,IF('Model Inputs &amp; Assumptions'!$H$30="CPC",'Model Inputs &amp; Assumptions'!$I$30*'Model Inputs &amp; Assumptions'!$K$30*G1325,0)))</f>
        <v>6900</v>
      </c>
      <c r="J1325" s="50" t="n">
        <f aca="false">H1325*INDEX('Model Inputs &amp; Assumptions'!$D$40:$D$42,MATCH('Model Inputs &amp; Assumptions'!$L$30,'Model Inputs &amp; Assumptions'!$A$40:$A$42,0))*INDEX('Model Inputs &amp; Assumptions'!$H$40:$H$42,MATCH('Model Inputs &amp; Assumptions'!$L$30,'Model Inputs &amp; Assumptions'!$A$40:$A$42,0))</f>
        <v>407024.780666579</v>
      </c>
      <c r="K1325" s="49" t="n">
        <f aca="false">H1325*INDEX('Model Inputs &amp; Assumptions'!$G$40:$G$42,MATCH('Model Inputs &amp; Assumptions'!$L$30,'Model Inputs &amp; Assumptions'!$A$40:$A$42,0))*INDEX('Model Inputs &amp; Assumptions'!$H$40:$H$42,MATCH('Model Inputs &amp; Assumptions'!$L$30,'Model Inputs &amp; Assumptions'!$A$40:$A$42,0))</f>
        <v>8974.89641369806</v>
      </c>
      <c r="L1325" s="51" t="n">
        <f aca="false">IFERROR(K1325/I1325,0)</f>
        <v>1.30070962517363</v>
      </c>
      <c r="M1325" s="49" t="n">
        <f aca="false">IFERROR(I1325/H1325,0)</f>
        <v>122.056450515469</v>
      </c>
      <c r="N1325" s="52" t="str">
        <f aca="false">'Model Inputs &amp; Assumptions'!$L$30</f>
        <v>PRD-USIQ</v>
      </c>
      <c r="P1325" s="53" t="n">
        <v>-0.222444</v>
      </c>
      <c r="Q1325" s="53" t="n">
        <v>-0.149003</v>
      </c>
      <c r="R1325" s="53" t="n">
        <v>0.306952</v>
      </c>
      <c r="S1325" s="53" t="n">
        <v>0.964853</v>
      </c>
    </row>
    <row r="1326" customFormat="false" ht="15" hidden="false" customHeight="false" outlineLevel="0" collapsed="false">
      <c r="A1326" s="43" t="n">
        <v>323</v>
      </c>
      <c r="B1326" s="44" t="str">
        <f aca="false">'Model Inputs &amp; Assumptions'!$B$30</f>
        <v>extraETF — Newsletter Takeover</v>
      </c>
      <c r="C1326" s="45" t="n">
        <f aca="false">ROUND(MAX(0,'Model Inputs &amp; Assumptions'!$S$30*EXP('Model Inputs &amp; Assumptions'!$T$30*P1326-'Model Inputs &amp; Assumptions'!$T$30^2/2)),0)</f>
        <v>66178</v>
      </c>
      <c r="D1326" s="46" t="n">
        <f aca="false">MIN(1,'Model Inputs &amp; Assumptions'!$U$30*EXP('Model Inputs &amp; Assumptions'!$V$30*Q1326-'Model Inputs &amp; Assumptions'!$V$30^2/2))</f>
        <v>0</v>
      </c>
      <c r="E1326" s="45" t="n">
        <f aca="false">ROUND(C1326*D1326,0)</f>
        <v>0</v>
      </c>
      <c r="F1326" s="47" t="n">
        <f aca="false">MIN(1,'Model Inputs &amp; Assumptions'!$W$30*EXP('Model Inputs &amp; Assumptions'!$X$30*R1326-'Model Inputs &amp; Assumptions'!$X$30^2/2))</f>
        <v>0.00602558241852479</v>
      </c>
      <c r="G1326" s="45" t="n">
        <f aca="false">ROUND(C1326*F1326,0)</f>
        <v>399</v>
      </c>
      <c r="H1326" s="48" t="n">
        <f aca="false">MAX(0,(C1326*'Model Inputs &amp; Assumptions'!$N$30+E1326*'Model Inputs &amp; Assumptions'!$O$30+G1326*'Model Inputs &amp; Assumptions'!$P$30)*EXP('Model Inputs &amp; Assumptions'!$Q$30*S1326-'Model Inputs &amp; Assumptions'!$Q$30^2/2))</f>
        <v>26.2105147817228</v>
      </c>
      <c r="I1326" s="49" t="n">
        <f aca="false">IF('Model Inputs &amp; Assumptions'!$H$30="Fixed",'Model Inputs &amp; Assumptions'!$I$30*'Model Inputs &amp; Assumptions'!$K$30,IF('Model Inputs &amp; Assumptions'!$H$30="CPM",'Model Inputs &amp; Assumptions'!$I$30*'Model Inputs &amp; Assumptions'!$K$30*C1326/1000,IF('Model Inputs &amp; Assumptions'!$H$30="CPC",'Model Inputs &amp; Assumptions'!$I$30*'Model Inputs &amp; Assumptions'!$K$30*G1326,0)))</f>
        <v>6900</v>
      </c>
      <c r="J1326" s="50" t="n">
        <f aca="false">H1326*INDEX('Model Inputs &amp; Assumptions'!$D$40:$D$42,MATCH('Model Inputs &amp; Assumptions'!$L$30,'Model Inputs &amp; Assumptions'!$A$40:$A$42,0))*INDEX('Model Inputs &amp; Assumptions'!$H$40:$H$42,MATCH('Model Inputs &amp; Assumptions'!$L$30,'Model Inputs &amp; Assumptions'!$A$40:$A$42,0))</f>
        <v>188715.706428404</v>
      </c>
      <c r="K1326" s="49" t="n">
        <f aca="false">H1326*INDEX('Model Inputs &amp; Assumptions'!$G$40:$G$42,MATCH('Model Inputs &amp; Assumptions'!$L$30,'Model Inputs &amp; Assumptions'!$A$40:$A$42,0))*INDEX('Model Inputs &amp; Assumptions'!$H$40:$H$42,MATCH('Model Inputs &amp; Assumptions'!$L$30,'Model Inputs &amp; Assumptions'!$A$40:$A$42,0))</f>
        <v>4161.18132674631</v>
      </c>
      <c r="L1326" s="51" t="n">
        <f aca="false">IFERROR(K1326/I1326,0)</f>
        <v>0.603069757499466</v>
      </c>
      <c r="M1326" s="49" t="n">
        <f aca="false">IFERROR(I1326/H1326,0)</f>
        <v>263.253127893983</v>
      </c>
      <c r="N1326" s="52" t="str">
        <f aca="false">'Model Inputs &amp; Assumptions'!$L$30</f>
        <v>PRD-USIQ</v>
      </c>
      <c r="P1326" s="53" t="n">
        <v>-2.314919</v>
      </c>
      <c r="Q1326" s="53" t="n">
        <v>0.221598</v>
      </c>
      <c r="R1326" s="53" t="n">
        <v>-1.814516</v>
      </c>
      <c r="S1326" s="53" t="n">
        <v>0.167269</v>
      </c>
    </row>
    <row r="1327" customFormat="false" ht="15" hidden="false" customHeight="false" outlineLevel="0" collapsed="false">
      <c r="A1327" s="43" t="n">
        <v>324</v>
      </c>
      <c r="B1327" s="44" t="str">
        <f aca="false">'Model Inputs &amp; Assumptions'!$B$30</f>
        <v>extraETF — Newsletter Takeover</v>
      </c>
      <c r="C1327" s="45" t="n">
        <f aca="false">ROUND(MAX(0,'Model Inputs &amp; Assumptions'!$S$30*EXP('Model Inputs &amp; Assumptions'!$T$30*P1327-'Model Inputs &amp; Assumptions'!$T$30^2/2)),0)</f>
        <v>99384</v>
      </c>
      <c r="D1327" s="46" t="n">
        <f aca="false">MIN(1,'Model Inputs &amp; Assumptions'!$U$30*EXP('Model Inputs &amp; Assumptions'!$V$30*Q1327-'Model Inputs &amp; Assumptions'!$V$30^2/2))</f>
        <v>0</v>
      </c>
      <c r="E1327" s="45" t="n">
        <f aca="false">ROUND(C1327*D1327,0)</f>
        <v>0</v>
      </c>
      <c r="F1327" s="47" t="n">
        <f aca="false">MIN(1,'Model Inputs &amp; Assumptions'!$W$30*EXP('Model Inputs &amp; Assumptions'!$X$30*R1327-'Model Inputs &amp; Assumptions'!$X$30^2/2))</f>
        <v>0.00946796118154561</v>
      </c>
      <c r="G1327" s="45" t="n">
        <f aca="false">ROUND(C1327*F1327,0)</f>
        <v>941</v>
      </c>
      <c r="H1327" s="48" t="n">
        <f aca="false">MAX(0,(C1327*'Model Inputs &amp; Assumptions'!$N$30+E1327*'Model Inputs &amp; Assumptions'!$O$30+G1327*'Model Inputs &amp; Assumptions'!$P$30)*EXP('Model Inputs &amp; Assumptions'!$Q$30*S1327-'Model Inputs &amp; Assumptions'!$Q$30^2/2))</f>
        <v>63.9923234773289</v>
      </c>
      <c r="I1327" s="49" t="n">
        <f aca="false">IF('Model Inputs &amp; Assumptions'!$H$30="Fixed",'Model Inputs &amp; Assumptions'!$I$30*'Model Inputs &amp; Assumptions'!$K$30,IF('Model Inputs &amp; Assumptions'!$H$30="CPM",'Model Inputs &amp; Assumptions'!$I$30*'Model Inputs &amp; Assumptions'!$K$30*C1327/1000,IF('Model Inputs &amp; Assumptions'!$H$30="CPC",'Model Inputs &amp; Assumptions'!$I$30*'Model Inputs &amp; Assumptions'!$K$30*G1327,0)))</f>
        <v>6900</v>
      </c>
      <c r="J1327" s="50" t="n">
        <f aca="false">H1327*INDEX('Model Inputs &amp; Assumptions'!$D$40:$D$42,MATCH('Model Inputs &amp; Assumptions'!$L$30,'Model Inputs &amp; Assumptions'!$A$40:$A$42,0))*INDEX('Model Inputs &amp; Assumptions'!$H$40:$H$42,MATCH('Model Inputs &amp; Assumptions'!$L$30,'Model Inputs &amp; Assumptions'!$A$40:$A$42,0))</f>
        <v>460744.729036768</v>
      </c>
      <c r="K1327" s="49" t="n">
        <f aca="false">H1327*INDEX('Model Inputs &amp; Assumptions'!$G$40:$G$42,MATCH('Model Inputs &amp; Assumptions'!$L$30,'Model Inputs &amp; Assumptions'!$A$40:$A$42,0))*INDEX('Model Inputs &amp; Assumptions'!$H$40:$H$42,MATCH('Model Inputs &amp; Assumptions'!$L$30,'Model Inputs &amp; Assumptions'!$A$40:$A$42,0))</f>
        <v>10159.4212752607</v>
      </c>
      <c r="L1327" s="51" t="n">
        <f aca="false">IFERROR(K1327/I1327,0)</f>
        <v>1.47237989496532</v>
      </c>
      <c r="M1327" s="49" t="n">
        <f aca="false">IFERROR(I1327/H1327,0)</f>
        <v>107.825433193475</v>
      </c>
      <c r="N1327" s="52" t="str">
        <f aca="false">'Model Inputs &amp; Assumptions'!$L$30</f>
        <v>PRD-USIQ</v>
      </c>
      <c r="P1327" s="53" t="n">
        <v>1.073787</v>
      </c>
      <c r="Q1327" s="53" t="n">
        <v>-0.789217</v>
      </c>
      <c r="R1327" s="53" t="n">
        <v>1.198147</v>
      </c>
      <c r="S1327" s="53" t="n">
        <v>0.305752</v>
      </c>
    </row>
    <row r="1328" customFormat="false" ht="15" hidden="false" customHeight="false" outlineLevel="0" collapsed="false">
      <c r="A1328" s="43" t="n">
        <v>325</v>
      </c>
      <c r="B1328" s="44" t="str">
        <f aca="false">'Model Inputs &amp; Assumptions'!$B$30</f>
        <v>extraETF — Newsletter Takeover</v>
      </c>
      <c r="C1328" s="45" t="n">
        <f aca="false">ROUND(MAX(0,'Model Inputs &amp; Assumptions'!$S$30*EXP('Model Inputs &amp; Assumptions'!$T$30*P1328-'Model Inputs &amp; Assumptions'!$T$30^2/2)),0)</f>
        <v>89892</v>
      </c>
      <c r="D1328" s="46" t="n">
        <f aca="false">MIN(1,'Model Inputs &amp; Assumptions'!$U$30*EXP('Model Inputs &amp; Assumptions'!$V$30*Q1328-'Model Inputs &amp; Assumptions'!$V$30^2/2))</f>
        <v>0</v>
      </c>
      <c r="E1328" s="45" t="n">
        <f aca="false">ROUND(C1328*D1328,0)</f>
        <v>0</v>
      </c>
      <c r="F1328" s="47" t="n">
        <f aca="false">MIN(1,'Model Inputs &amp; Assumptions'!$W$30*EXP('Model Inputs &amp; Assumptions'!$X$30*R1328-'Model Inputs &amp; Assumptions'!$X$30^2/2))</f>
        <v>0.00807921643270253</v>
      </c>
      <c r="G1328" s="45" t="n">
        <f aca="false">ROUND(C1328*F1328,0)</f>
        <v>726</v>
      </c>
      <c r="H1328" s="48" t="n">
        <f aca="false">MAX(0,(C1328*'Model Inputs &amp; Assumptions'!$N$30+E1328*'Model Inputs &amp; Assumptions'!$O$30+G1328*'Model Inputs &amp; Assumptions'!$P$30)*EXP('Model Inputs &amp; Assumptions'!$Q$30*S1328-'Model Inputs &amp; Assumptions'!$Q$30^2/2))</f>
        <v>58.4958906071194</v>
      </c>
      <c r="I1328" s="49" t="n">
        <f aca="false">IF('Model Inputs &amp; Assumptions'!$H$30="Fixed",'Model Inputs &amp; Assumptions'!$I$30*'Model Inputs &amp; Assumptions'!$K$30,IF('Model Inputs &amp; Assumptions'!$H$30="CPM",'Model Inputs &amp; Assumptions'!$I$30*'Model Inputs &amp; Assumptions'!$K$30*C1328/1000,IF('Model Inputs &amp; Assumptions'!$H$30="CPC",'Model Inputs &amp; Assumptions'!$I$30*'Model Inputs &amp; Assumptions'!$K$30*G1328,0)))</f>
        <v>6900</v>
      </c>
      <c r="J1328" s="50" t="n">
        <f aca="false">H1328*INDEX('Model Inputs &amp; Assumptions'!$D$40:$D$42,MATCH('Model Inputs &amp; Assumptions'!$L$30,'Model Inputs &amp; Assumptions'!$A$40:$A$42,0))*INDEX('Model Inputs &amp; Assumptions'!$H$40:$H$42,MATCH('Model Inputs &amp; Assumptions'!$L$30,'Model Inputs &amp; Assumptions'!$A$40:$A$42,0))</f>
        <v>421170.41237126</v>
      </c>
      <c r="K1328" s="49" t="n">
        <f aca="false">H1328*INDEX('Model Inputs &amp; Assumptions'!$G$40:$G$42,MATCH('Model Inputs &amp; Assumptions'!$L$30,'Model Inputs &amp; Assumptions'!$A$40:$A$42,0))*INDEX('Model Inputs &amp; Assumptions'!$H$40:$H$42,MATCH('Model Inputs &amp; Assumptions'!$L$30,'Model Inputs &amp; Assumptions'!$A$40:$A$42,0))</f>
        <v>9286.80759278628</v>
      </c>
      <c r="L1328" s="51" t="n">
        <f aca="false">IFERROR(K1328/I1328,0)</f>
        <v>1.34591414388207</v>
      </c>
      <c r="M1328" s="49" t="n">
        <f aca="false">IFERROR(I1328/H1328,0)</f>
        <v>117.95700396021</v>
      </c>
      <c r="N1328" s="52" t="str">
        <f aca="false">'Model Inputs &amp; Assumptions'!$L$30</f>
        <v>PRD-USIQ</v>
      </c>
      <c r="P1328" s="53" t="n">
        <v>0.237311</v>
      </c>
      <c r="Q1328" s="53" t="n">
        <v>1.041669</v>
      </c>
      <c r="R1328" s="53" t="n">
        <v>0.140689</v>
      </c>
      <c r="S1328" s="53" t="n">
        <v>0.984098</v>
      </c>
    </row>
    <row r="1329" customFormat="false" ht="15" hidden="false" customHeight="false" outlineLevel="0" collapsed="false">
      <c r="A1329" s="43" t="n">
        <v>326</v>
      </c>
      <c r="B1329" s="44" t="str">
        <f aca="false">'Model Inputs &amp; Assumptions'!$B$30</f>
        <v>extraETF — Newsletter Takeover</v>
      </c>
      <c r="C1329" s="45" t="n">
        <f aca="false">ROUND(MAX(0,'Model Inputs &amp; Assumptions'!$S$30*EXP('Model Inputs &amp; Assumptions'!$T$30*P1329-'Model Inputs &amp; Assumptions'!$T$30^2/2)),0)</f>
        <v>79404</v>
      </c>
      <c r="D1329" s="46" t="n">
        <f aca="false">MIN(1,'Model Inputs &amp; Assumptions'!$U$30*EXP('Model Inputs &amp; Assumptions'!$V$30*Q1329-'Model Inputs &amp; Assumptions'!$V$30^2/2))</f>
        <v>0</v>
      </c>
      <c r="E1329" s="45" t="n">
        <f aca="false">ROUND(C1329*D1329,0)</f>
        <v>0</v>
      </c>
      <c r="F1329" s="47" t="n">
        <f aca="false">MIN(1,'Model Inputs &amp; Assumptions'!$W$30*EXP('Model Inputs &amp; Assumptions'!$X$30*R1329-'Model Inputs &amp; Assumptions'!$X$30^2/2))</f>
        <v>0.00827993312505055</v>
      </c>
      <c r="G1329" s="45" t="n">
        <f aca="false">ROUND(C1329*F1329,0)</f>
        <v>657</v>
      </c>
      <c r="H1329" s="48" t="n">
        <f aca="false">MAX(0,(C1329*'Model Inputs &amp; Assumptions'!$N$30+E1329*'Model Inputs &amp; Assumptions'!$O$30+G1329*'Model Inputs &amp; Assumptions'!$P$30)*EXP('Model Inputs &amp; Assumptions'!$Q$30*S1329-'Model Inputs &amp; Assumptions'!$Q$30^2/2))</f>
        <v>51.1115121944123</v>
      </c>
      <c r="I1329" s="49" t="n">
        <f aca="false">IF('Model Inputs &amp; Assumptions'!$H$30="Fixed",'Model Inputs &amp; Assumptions'!$I$30*'Model Inputs &amp; Assumptions'!$K$30,IF('Model Inputs &amp; Assumptions'!$H$30="CPM",'Model Inputs &amp; Assumptions'!$I$30*'Model Inputs &amp; Assumptions'!$K$30*C1329/1000,IF('Model Inputs &amp; Assumptions'!$H$30="CPC",'Model Inputs &amp; Assumptions'!$I$30*'Model Inputs &amp; Assumptions'!$K$30*G1329,0)))</f>
        <v>6900</v>
      </c>
      <c r="J1329" s="50" t="n">
        <f aca="false">H1329*INDEX('Model Inputs &amp; Assumptions'!$D$40:$D$42,MATCH('Model Inputs &amp; Assumptions'!$L$30,'Model Inputs &amp; Assumptions'!$A$40:$A$42,0))*INDEX('Model Inputs &amp; Assumptions'!$H$40:$H$42,MATCH('Model Inputs &amp; Assumptions'!$L$30,'Model Inputs &amp; Assumptions'!$A$40:$A$42,0))</f>
        <v>368002.887799768</v>
      </c>
      <c r="K1329" s="49" t="n">
        <f aca="false">H1329*INDEX('Model Inputs &amp; Assumptions'!$G$40:$G$42,MATCH('Model Inputs &amp; Assumptions'!$L$30,'Model Inputs &amp; Assumptions'!$A$40:$A$42,0))*INDEX('Model Inputs &amp; Assumptions'!$H$40:$H$42,MATCH('Model Inputs &amp; Assumptions'!$L$30,'Model Inputs &amp; Assumptions'!$A$40:$A$42,0))</f>
        <v>8114.46367598489</v>
      </c>
      <c r="L1329" s="51" t="n">
        <f aca="false">IFERROR(K1329/I1329,0)</f>
        <v>1.17600922840361</v>
      </c>
      <c r="M1329" s="49" t="n">
        <f aca="false">IFERROR(I1329/H1329,0)</f>
        <v>134.998940625246</v>
      </c>
      <c r="N1329" s="52" t="str">
        <f aca="false">'Model Inputs &amp; Assumptions'!$L$30</f>
        <v>PRD-USIQ</v>
      </c>
      <c r="P1329" s="53" t="n">
        <v>-0.796515</v>
      </c>
      <c r="Q1329" s="53" t="n">
        <v>0.053266</v>
      </c>
      <c r="R1329" s="53" t="n">
        <v>0.304289</v>
      </c>
      <c r="S1329" s="53" t="n">
        <v>0.843775</v>
      </c>
    </row>
    <row r="1330" customFormat="false" ht="15" hidden="false" customHeight="false" outlineLevel="0" collapsed="false">
      <c r="A1330" s="43" t="n">
        <v>327</v>
      </c>
      <c r="B1330" s="44" t="str">
        <f aca="false">'Model Inputs &amp; Assumptions'!$B$30</f>
        <v>extraETF — Newsletter Takeover</v>
      </c>
      <c r="C1330" s="45" t="n">
        <f aca="false">ROUND(MAX(0,'Model Inputs &amp; Assumptions'!$S$30*EXP('Model Inputs &amp; Assumptions'!$T$30*P1330-'Model Inputs &amp; Assumptions'!$T$30^2/2)),0)</f>
        <v>71903</v>
      </c>
      <c r="D1330" s="46" t="n">
        <f aca="false">MIN(1,'Model Inputs &amp; Assumptions'!$U$30*EXP('Model Inputs &amp; Assumptions'!$V$30*Q1330-'Model Inputs &amp; Assumptions'!$V$30^2/2))</f>
        <v>0</v>
      </c>
      <c r="E1330" s="45" t="n">
        <f aca="false">ROUND(C1330*D1330,0)</f>
        <v>0</v>
      </c>
      <c r="F1330" s="47" t="n">
        <f aca="false">MIN(1,'Model Inputs &amp; Assumptions'!$W$30*EXP('Model Inputs &amp; Assumptions'!$X$30*R1330-'Model Inputs &amp; Assumptions'!$X$30^2/2))</f>
        <v>0.00939929645892596</v>
      </c>
      <c r="G1330" s="45" t="n">
        <f aca="false">ROUND(C1330*F1330,0)</f>
        <v>676</v>
      </c>
      <c r="H1330" s="48" t="n">
        <f aca="false">MAX(0,(C1330*'Model Inputs &amp; Assumptions'!$N$30+E1330*'Model Inputs &amp; Assumptions'!$O$30+G1330*'Model Inputs &amp; Assumptions'!$P$30)*EXP('Model Inputs &amp; Assumptions'!$Q$30*S1330-'Model Inputs &amp; Assumptions'!$Q$30^2/2))</f>
        <v>58.2896948467618</v>
      </c>
      <c r="I1330" s="49" t="n">
        <f aca="false">IF('Model Inputs &amp; Assumptions'!$H$30="Fixed",'Model Inputs &amp; Assumptions'!$I$30*'Model Inputs &amp; Assumptions'!$K$30,IF('Model Inputs &amp; Assumptions'!$H$30="CPM",'Model Inputs &amp; Assumptions'!$I$30*'Model Inputs &amp; Assumptions'!$K$30*C1330/1000,IF('Model Inputs &amp; Assumptions'!$H$30="CPC",'Model Inputs &amp; Assumptions'!$I$30*'Model Inputs &amp; Assumptions'!$K$30*G1330,0)))</f>
        <v>6900</v>
      </c>
      <c r="J1330" s="50" t="n">
        <f aca="false">H1330*INDEX('Model Inputs &amp; Assumptions'!$D$40:$D$42,MATCH('Model Inputs &amp; Assumptions'!$L$30,'Model Inputs &amp; Assumptions'!$A$40:$A$42,0))*INDEX('Model Inputs &amp; Assumptions'!$H$40:$H$42,MATCH('Model Inputs &amp; Assumptions'!$L$30,'Model Inputs &amp; Assumptions'!$A$40:$A$42,0))</f>
        <v>419685.802896685</v>
      </c>
      <c r="K1330" s="49" t="n">
        <f aca="false">H1330*INDEX('Model Inputs &amp; Assumptions'!$G$40:$G$42,MATCH('Model Inputs &amp; Assumptions'!$L$30,'Model Inputs &amp; Assumptions'!$A$40:$A$42,0))*INDEX('Model Inputs &amp; Assumptions'!$H$40:$H$42,MATCH('Model Inputs &amp; Assumptions'!$L$30,'Model Inputs &amp; Assumptions'!$A$40:$A$42,0))</f>
        <v>9254.0719538719</v>
      </c>
      <c r="L1330" s="51" t="n">
        <f aca="false">IFERROR(K1330/I1330,0)</f>
        <v>1.34116984838723</v>
      </c>
      <c r="M1330" s="49" t="n">
        <f aca="false">IFERROR(I1330/H1330,0)</f>
        <v>118.374268696027</v>
      </c>
      <c r="N1330" s="52" t="str">
        <f aca="false">'Model Inputs &amp; Assumptions'!$L$30</f>
        <v>PRD-USIQ</v>
      </c>
      <c r="P1330" s="53" t="n">
        <v>-1.623493</v>
      </c>
      <c r="Q1330" s="53" t="n">
        <v>-0.180514</v>
      </c>
      <c r="R1330" s="53" t="n">
        <v>1.149622</v>
      </c>
      <c r="S1330" s="53" t="n">
        <v>1.255401</v>
      </c>
    </row>
    <row r="1331" customFormat="false" ht="15" hidden="false" customHeight="false" outlineLevel="0" collapsed="false">
      <c r="A1331" s="43" t="n">
        <v>328</v>
      </c>
      <c r="B1331" s="44" t="str">
        <f aca="false">'Model Inputs &amp; Assumptions'!$B$30</f>
        <v>extraETF — Newsletter Takeover</v>
      </c>
      <c r="C1331" s="45" t="n">
        <f aca="false">ROUND(MAX(0,'Model Inputs &amp; Assumptions'!$S$30*EXP('Model Inputs &amp; Assumptions'!$T$30*P1331-'Model Inputs &amp; Assumptions'!$T$30^2/2)),0)</f>
        <v>104186</v>
      </c>
      <c r="D1331" s="46" t="n">
        <f aca="false">MIN(1,'Model Inputs &amp; Assumptions'!$U$30*EXP('Model Inputs &amp; Assumptions'!$V$30*Q1331-'Model Inputs &amp; Assumptions'!$V$30^2/2))</f>
        <v>0</v>
      </c>
      <c r="E1331" s="45" t="n">
        <f aca="false">ROUND(C1331*D1331,0)</f>
        <v>0</v>
      </c>
      <c r="F1331" s="47" t="n">
        <f aca="false">MIN(1,'Model Inputs &amp; Assumptions'!$W$30*EXP('Model Inputs &amp; Assumptions'!$X$30*R1331-'Model Inputs &amp; Assumptions'!$X$30^2/2))</f>
        <v>0.00946490257743196</v>
      </c>
      <c r="G1331" s="45" t="n">
        <f aca="false">ROUND(C1331*F1331,0)</f>
        <v>986</v>
      </c>
      <c r="H1331" s="48" t="n">
        <f aca="false">MAX(0,(C1331*'Model Inputs &amp; Assumptions'!$N$30+E1331*'Model Inputs &amp; Assumptions'!$O$30+G1331*'Model Inputs &amp; Assumptions'!$P$30)*EXP('Model Inputs &amp; Assumptions'!$Q$30*S1331-'Model Inputs &amp; Assumptions'!$Q$30^2/2))</f>
        <v>76.5813324627739</v>
      </c>
      <c r="I1331" s="49" t="n">
        <f aca="false">IF('Model Inputs &amp; Assumptions'!$H$30="Fixed",'Model Inputs &amp; Assumptions'!$I$30*'Model Inputs &amp; Assumptions'!$K$30,IF('Model Inputs &amp; Assumptions'!$H$30="CPM",'Model Inputs &amp; Assumptions'!$I$30*'Model Inputs &amp; Assumptions'!$K$30*C1331/1000,IF('Model Inputs &amp; Assumptions'!$H$30="CPC",'Model Inputs &amp; Assumptions'!$I$30*'Model Inputs &amp; Assumptions'!$K$30*G1331,0)))</f>
        <v>6900</v>
      </c>
      <c r="J1331" s="50" t="n">
        <f aca="false">H1331*INDEX('Model Inputs &amp; Assumptions'!$D$40:$D$42,MATCH('Model Inputs &amp; Assumptions'!$L$30,'Model Inputs &amp; Assumptions'!$A$40:$A$42,0))*INDEX('Model Inputs &amp; Assumptions'!$H$40:$H$42,MATCH('Model Inputs &amp; Assumptions'!$L$30,'Model Inputs &amp; Assumptions'!$A$40:$A$42,0))</f>
        <v>551385.593731972</v>
      </c>
      <c r="K1331" s="49" t="n">
        <f aca="false">H1331*INDEX('Model Inputs &amp; Assumptions'!$G$40:$G$42,MATCH('Model Inputs &amp; Assumptions'!$L$30,'Model Inputs &amp; Assumptions'!$A$40:$A$42,0))*INDEX('Model Inputs &amp; Assumptions'!$H$40:$H$42,MATCH('Model Inputs &amp; Assumptions'!$L$30,'Model Inputs &amp; Assumptions'!$A$40:$A$42,0))</f>
        <v>12158.05234179</v>
      </c>
      <c r="L1331" s="51" t="n">
        <f aca="false">IFERROR(K1331/I1331,0)</f>
        <v>1.76203657127391</v>
      </c>
      <c r="M1331" s="49" t="n">
        <f aca="false">IFERROR(I1331/H1331,0)</f>
        <v>90.1002865594442</v>
      </c>
      <c r="N1331" s="52" t="str">
        <f aca="false">'Model Inputs &amp; Assumptions'!$L$30</f>
        <v>PRD-USIQ</v>
      </c>
      <c r="P1331" s="53" t="n">
        <v>1.467002</v>
      </c>
      <c r="Q1331" s="53" t="n">
        <v>0.851822</v>
      </c>
      <c r="R1331" s="53" t="n">
        <v>1.195993</v>
      </c>
      <c r="S1331" s="53" t="n">
        <v>0.83726</v>
      </c>
    </row>
    <row r="1332" customFormat="false" ht="15" hidden="false" customHeight="false" outlineLevel="0" collapsed="false">
      <c r="A1332" s="43" t="n">
        <v>329</v>
      </c>
      <c r="B1332" s="44" t="str">
        <f aca="false">'Model Inputs &amp; Assumptions'!$B$30</f>
        <v>extraETF — Newsletter Takeover</v>
      </c>
      <c r="C1332" s="45" t="n">
        <f aca="false">ROUND(MAX(0,'Model Inputs &amp; Assumptions'!$S$30*EXP('Model Inputs &amp; Assumptions'!$T$30*P1332-'Model Inputs &amp; Assumptions'!$T$30^2/2)),0)</f>
        <v>90117</v>
      </c>
      <c r="D1332" s="46" t="n">
        <f aca="false">MIN(1,'Model Inputs &amp; Assumptions'!$U$30*EXP('Model Inputs &amp; Assumptions'!$V$30*Q1332-'Model Inputs &amp; Assumptions'!$V$30^2/2))</f>
        <v>0</v>
      </c>
      <c r="E1332" s="45" t="n">
        <f aca="false">ROUND(C1332*D1332,0)</f>
        <v>0</v>
      </c>
      <c r="F1332" s="47" t="n">
        <f aca="false">MIN(1,'Model Inputs &amp; Assumptions'!$W$30*EXP('Model Inputs &amp; Assumptions'!$X$30*R1332-'Model Inputs &amp; Assumptions'!$X$30^2/2))</f>
        <v>0.00941743389970145</v>
      </c>
      <c r="G1332" s="45" t="n">
        <f aca="false">ROUND(C1332*F1332,0)</f>
        <v>849</v>
      </c>
      <c r="H1332" s="48" t="n">
        <f aca="false">MAX(0,(C1332*'Model Inputs &amp; Assumptions'!$N$30+E1332*'Model Inputs &amp; Assumptions'!$O$30+G1332*'Model Inputs &amp; Assumptions'!$P$30)*EXP('Model Inputs &amp; Assumptions'!$Q$30*S1332-'Model Inputs &amp; Assumptions'!$Q$30^2/2))</f>
        <v>62.0801118279015</v>
      </c>
      <c r="I1332" s="49" t="n">
        <f aca="false">IF('Model Inputs &amp; Assumptions'!$H$30="Fixed",'Model Inputs &amp; Assumptions'!$I$30*'Model Inputs &amp; Assumptions'!$K$30,IF('Model Inputs &amp; Assumptions'!$H$30="CPM",'Model Inputs &amp; Assumptions'!$I$30*'Model Inputs &amp; Assumptions'!$K$30*C1332/1000,IF('Model Inputs &amp; Assumptions'!$H$30="CPC",'Model Inputs &amp; Assumptions'!$I$30*'Model Inputs &amp; Assumptions'!$K$30*G1332,0)))</f>
        <v>6900</v>
      </c>
      <c r="J1332" s="50" t="n">
        <f aca="false">H1332*INDEX('Model Inputs &amp; Assumptions'!$D$40:$D$42,MATCH('Model Inputs &amp; Assumptions'!$L$30,'Model Inputs &amp; Assumptions'!$A$40:$A$42,0))*INDEX('Model Inputs &amp; Assumptions'!$H$40:$H$42,MATCH('Model Inputs &amp; Assumptions'!$L$30,'Model Inputs &amp; Assumptions'!$A$40:$A$42,0))</f>
        <v>446976.805160891</v>
      </c>
      <c r="K1332" s="49" t="n">
        <f aca="false">H1332*INDEX('Model Inputs &amp; Assumptions'!$G$40:$G$42,MATCH('Model Inputs &amp; Assumptions'!$L$30,'Model Inputs &amp; Assumptions'!$A$40:$A$42,0))*INDEX('Model Inputs &amp; Assumptions'!$H$40:$H$42,MATCH('Model Inputs &amp; Assumptions'!$L$30,'Model Inputs &amp; Assumptions'!$A$40:$A$42,0))</f>
        <v>9855.83855379765</v>
      </c>
      <c r="L1332" s="51" t="n">
        <f aca="false">IFERROR(K1332/I1332,0)</f>
        <v>1.42838239910111</v>
      </c>
      <c r="M1332" s="49" t="n">
        <f aca="false">IFERROR(I1332/H1332,0)</f>
        <v>111.146707002207</v>
      </c>
      <c r="N1332" s="52" t="str">
        <f aca="false">'Model Inputs &amp; Assumptions'!$L$30</f>
        <v>PRD-USIQ</v>
      </c>
      <c r="P1332" s="53" t="n">
        <v>0.258059</v>
      </c>
      <c r="Q1332" s="53" t="n">
        <v>1.11371</v>
      </c>
      <c r="R1332" s="53" t="n">
        <v>1.162474</v>
      </c>
      <c r="S1332" s="53" t="n">
        <v>0.595938</v>
      </c>
    </row>
    <row r="1333" customFormat="false" ht="15" hidden="false" customHeight="false" outlineLevel="0" collapsed="false">
      <c r="A1333" s="43" t="n">
        <v>330</v>
      </c>
      <c r="B1333" s="44" t="str">
        <f aca="false">'Model Inputs &amp; Assumptions'!$B$30</f>
        <v>extraETF — Newsletter Takeover</v>
      </c>
      <c r="C1333" s="45" t="n">
        <f aca="false">ROUND(MAX(0,'Model Inputs &amp; Assumptions'!$S$30*EXP('Model Inputs &amp; Assumptions'!$T$30*P1333-'Model Inputs &amp; Assumptions'!$T$30^2/2)),0)</f>
        <v>93354</v>
      </c>
      <c r="D1333" s="46" t="n">
        <f aca="false">MIN(1,'Model Inputs &amp; Assumptions'!$U$30*EXP('Model Inputs &amp; Assumptions'!$V$30*Q1333-'Model Inputs &amp; Assumptions'!$V$30^2/2))</f>
        <v>0</v>
      </c>
      <c r="E1333" s="45" t="n">
        <f aca="false">ROUND(C1333*D1333,0)</f>
        <v>0</v>
      </c>
      <c r="F1333" s="47" t="n">
        <f aca="false">MIN(1,'Model Inputs &amp; Assumptions'!$W$30*EXP('Model Inputs &amp; Assumptions'!$X$30*R1333-'Model Inputs &amp; Assumptions'!$X$30^2/2))</f>
        <v>0.00780732457919398</v>
      </c>
      <c r="G1333" s="45" t="n">
        <f aca="false">ROUND(C1333*F1333,0)</f>
        <v>729</v>
      </c>
      <c r="H1333" s="48" t="n">
        <f aca="false">MAX(0,(C1333*'Model Inputs &amp; Assumptions'!$N$30+E1333*'Model Inputs &amp; Assumptions'!$O$30+G1333*'Model Inputs &amp; Assumptions'!$P$30)*EXP('Model Inputs &amp; Assumptions'!$Q$30*S1333-'Model Inputs &amp; Assumptions'!$Q$30^2/2))</f>
        <v>32.2356819115465</v>
      </c>
      <c r="I1333" s="49" t="n">
        <f aca="false">IF('Model Inputs &amp; Assumptions'!$H$30="Fixed",'Model Inputs &amp; Assumptions'!$I$30*'Model Inputs &amp; Assumptions'!$K$30,IF('Model Inputs &amp; Assumptions'!$H$30="CPM",'Model Inputs &amp; Assumptions'!$I$30*'Model Inputs &amp; Assumptions'!$K$30*C1333/1000,IF('Model Inputs &amp; Assumptions'!$H$30="CPC",'Model Inputs &amp; Assumptions'!$I$30*'Model Inputs &amp; Assumptions'!$K$30*G1333,0)))</f>
        <v>6900</v>
      </c>
      <c r="J1333" s="50" t="n">
        <f aca="false">H1333*INDEX('Model Inputs &amp; Assumptions'!$D$40:$D$42,MATCH('Model Inputs &amp; Assumptions'!$L$30,'Model Inputs &amp; Assumptions'!$A$40:$A$42,0))*INDEX('Model Inputs &amp; Assumptions'!$H$40:$H$42,MATCH('Model Inputs &amp; Assumptions'!$L$30,'Model Inputs &amp; Assumptions'!$A$40:$A$42,0))</f>
        <v>232096.909763135</v>
      </c>
      <c r="K1333" s="49" t="n">
        <f aca="false">H1333*INDEX('Model Inputs &amp; Assumptions'!$G$40:$G$42,MATCH('Model Inputs &amp; Assumptions'!$L$30,'Model Inputs &amp; Assumptions'!$A$40:$A$42,0))*INDEX('Model Inputs &amp; Assumptions'!$H$40:$H$42,MATCH('Model Inputs &amp; Assumptions'!$L$30,'Model Inputs &amp; Assumptions'!$A$40:$A$42,0))</f>
        <v>5117.73686027712</v>
      </c>
      <c r="L1333" s="51" t="n">
        <f aca="false">IFERROR(K1333/I1333,0)</f>
        <v>0.741700994243061</v>
      </c>
      <c r="M1333" s="49" t="n">
        <f aca="false">IFERROR(I1333/H1333,0)</f>
        <v>214.04851986483</v>
      </c>
      <c r="N1333" s="52" t="str">
        <f aca="false">'Model Inputs &amp; Assumptions'!$L$30</f>
        <v>PRD-USIQ</v>
      </c>
      <c r="P1333" s="53" t="n">
        <v>0.552164</v>
      </c>
      <c r="Q1333" s="53" t="n">
        <v>0.648903</v>
      </c>
      <c r="R1333" s="53" t="n">
        <v>-0.087528</v>
      </c>
      <c r="S1333" s="53" t="n">
        <v>-1.415927</v>
      </c>
    </row>
    <row r="1334" customFormat="false" ht="15" hidden="false" customHeight="false" outlineLevel="0" collapsed="false">
      <c r="A1334" s="43" t="n">
        <v>331</v>
      </c>
      <c r="B1334" s="44" t="str">
        <f aca="false">'Model Inputs &amp; Assumptions'!$B$30</f>
        <v>extraETF — Newsletter Takeover</v>
      </c>
      <c r="C1334" s="45" t="n">
        <f aca="false">ROUND(MAX(0,'Model Inputs &amp; Assumptions'!$S$30*EXP('Model Inputs &amp; Assumptions'!$T$30*P1334-'Model Inputs &amp; Assumptions'!$T$30^2/2)),0)</f>
        <v>89029</v>
      </c>
      <c r="D1334" s="46" t="n">
        <f aca="false">MIN(1,'Model Inputs &amp; Assumptions'!$U$30*EXP('Model Inputs &amp; Assumptions'!$V$30*Q1334-'Model Inputs &amp; Assumptions'!$V$30^2/2))</f>
        <v>0</v>
      </c>
      <c r="E1334" s="45" t="n">
        <f aca="false">ROUND(C1334*D1334,0)</f>
        <v>0</v>
      </c>
      <c r="F1334" s="47" t="n">
        <f aca="false">MIN(1,'Model Inputs &amp; Assumptions'!$W$30*EXP('Model Inputs &amp; Assumptions'!$X$30*R1334-'Model Inputs &amp; Assumptions'!$X$30^2/2))</f>
        <v>0.0087338247681661</v>
      </c>
      <c r="G1334" s="45" t="n">
        <f aca="false">ROUND(C1334*F1334,0)</f>
        <v>778</v>
      </c>
      <c r="H1334" s="48" t="n">
        <f aca="false">MAX(0,(C1334*'Model Inputs &amp; Assumptions'!$N$30+E1334*'Model Inputs &amp; Assumptions'!$O$30+G1334*'Model Inputs &amp; Assumptions'!$P$30)*EXP('Model Inputs &amp; Assumptions'!$Q$30*S1334-'Model Inputs &amp; Assumptions'!$Q$30^2/2))</f>
        <v>32.0846353204143</v>
      </c>
      <c r="I1334" s="49" t="n">
        <f aca="false">IF('Model Inputs &amp; Assumptions'!$H$30="Fixed",'Model Inputs &amp; Assumptions'!$I$30*'Model Inputs &amp; Assumptions'!$K$30,IF('Model Inputs &amp; Assumptions'!$H$30="CPM",'Model Inputs &amp; Assumptions'!$I$30*'Model Inputs &amp; Assumptions'!$K$30*C1334/1000,IF('Model Inputs &amp; Assumptions'!$H$30="CPC",'Model Inputs &amp; Assumptions'!$I$30*'Model Inputs &amp; Assumptions'!$K$30*G1334,0)))</f>
        <v>6900</v>
      </c>
      <c r="J1334" s="50" t="n">
        <f aca="false">H1334*INDEX('Model Inputs &amp; Assumptions'!$D$40:$D$42,MATCH('Model Inputs &amp; Assumptions'!$L$30,'Model Inputs &amp; Assumptions'!$A$40:$A$42,0))*INDEX('Model Inputs &amp; Assumptions'!$H$40:$H$42,MATCH('Model Inputs &amp; Assumptions'!$L$30,'Model Inputs &amp; Assumptions'!$A$40:$A$42,0))</f>
        <v>231009.374306983</v>
      </c>
      <c r="K1334" s="49" t="n">
        <f aca="false">H1334*INDEX('Model Inputs &amp; Assumptions'!$G$40:$G$42,MATCH('Model Inputs &amp; Assumptions'!$L$30,'Model Inputs &amp; Assumptions'!$A$40:$A$42,0))*INDEX('Model Inputs &amp; Assumptions'!$H$40:$H$42,MATCH('Model Inputs &amp; Assumptions'!$L$30,'Model Inputs &amp; Assumptions'!$A$40:$A$42,0))</f>
        <v>5093.75670346898</v>
      </c>
      <c r="L1334" s="51" t="n">
        <f aca="false">IFERROR(K1334/I1334,0)</f>
        <v>0.738225609198402</v>
      </c>
      <c r="M1334" s="49" t="n">
        <f aca="false">IFERROR(I1334/H1334,0)</f>
        <v>215.056207779609</v>
      </c>
      <c r="N1334" s="52" t="str">
        <f aca="false">'Model Inputs &amp; Assumptions'!$L$30</f>
        <v>PRD-USIQ</v>
      </c>
      <c r="P1334" s="53" t="n">
        <v>0.156856</v>
      </c>
      <c r="Q1334" s="53" t="n">
        <v>-1.584774</v>
      </c>
      <c r="R1334" s="53" t="n">
        <v>0.660079</v>
      </c>
      <c r="S1334" s="53" t="n">
        <v>-1.694925</v>
      </c>
    </row>
    <row r="1335" customFormat="false" ht="15" hidden="false" customHeight="false" outlineLevel="0" collapsed="false">
      <c r="A1335" s="43" t="n">
        <v>332</v>
      </c>
      <c r="B1335" s="44" t="str">
        <f aca="false">'Model Inputs &amp; Assumptions'!$B$30</f>
        <v>extraETF — Newsletter Takeover</v>
      </c>
      <c r="C1335" s="45" t="n">
        <f aca="false">ROUND(MAX(0,'Model Inputs &amp; Assumptions'!$S$30*EXP('Model Inputs &amp; Assumptions'!$T$30*P1335-'Model Inputs &amp; Assumptions'!$T$30^2/2)),0)</f>
        <v>82471</v>
      </c>
      <c r="D1335" s="46" t="n">
        <f aca="false">MIN(1,'Model Inputs &amp; Assumptions'!$U$30*EXP('Model Inputs &amp; Assumptions'!$V$30*Q1335-'Model Inputs &amp; Assumptions'!$V$30^2/2))</f>
        <v>0</v>
      </c>
      <c r="E1335" s="45" t="n">
        <f aca="false">ROUND(C1335*D1335,0)</f>
        <v>0</v>
      </c>
      <c r="F1335" s="47" t="n">
        <f aca="false">MIN(1,'Model Inputs &amp; Assumptions'!$W$30*EXP('Model Inputs &amp; Assumptions'!$X$30*R1335-'Model Inputs &amp; Assumptions'!$X$30^2/2))</f>
        <v>0.00706062794555766</v>
      </c>
      <c r="G1335" s="45" t="n">
        <f aca="false">ROUND(C1335*F1335,0)</f>
        <v>582</v>
      </c>
      <c r="H1335" s="48" t="n">
        <f aca="false">MAX(0,(C1335*'Model Inputs &amp; Assumptions'!$N$30+E1335*'Model Inputs &amp; Assumptions'!$O$30+G1335*'Model Inputs &amp; Assumptions'!$P$30)*EXP('Model Inputs &amp; Assumptions'!$Q$30*S1335-'Model Inputs &amp; Assumptions'!$Q$30^2/2))</f>
        <v>32.9355686788089</v>
      </c>
      <c r="I1335" s="49" t="n">
        <f aca="false">IF('Model Inputs &amp; Assumptions'!$H$30="Fixed",'Model Inputs &amp; Assumptions'!$I$30*'Model Inputs &amp; Assumptions'!$K$30,IF('Model Inputs &amp; Assumptions'!$H$30="CPM",'Model Inputs &amp; Assumptions'!$I$30*'Model Inputs &amp; Assumptions'!$K$30*C1335/1000,IF('Model Inputs &amp; Assumptions'!$H$30="CPC",'Model Inputs &amp; Assumptions'!$I$30*'Model Inputs &amp; Assumptions'!$K$30*G1335,0)))</f>
        <v>6900</v>
      </c>
      <c r="J1335" s="50" t="n">
        <f aca="false">H1335*INDEX('Model Inputs &amp; Assumptions'!$D$40:$D$42,MATCH('Model Inputs &amp; Assumptions'!$L$30,'Model Inputs &amp; Assumptions'!$A$40:$A$42,0))*INDEX('Model Inputs &amp; Assumptions'!$H$40:$H$42,MATCH('Model Inputs &amp; Assumptions'!$L$30,'Model Inputs &amp; Assumptions'!$A$40:$A$42,0))</f>
        <v>237136.094487424</v>
      </c>
      <c r="K1335" s="49" t="n">
        <f aca="false">H1335*INDEX('Model Inputs &amp; Assumptions'!$G$40:$G$42,MATCH('Model Inputs &amp; Assumptions'!$L$30,'Model Inputs &amp; Assumptions'!$A$40:$A$42,0))*INDEX('Model Inputs &amp; Assumptions'!$H$40:$H$42,MATCH('Model Inputs &amp; Assumptions'!$L$30,'Model Inputs &amp; Assumptions'!$A$40:$A$42,0))</f>
        <v>5228.85088344771</v>
      </c>
      <c r="L1335" s="51" t="n">
        <f aca="false">IFERROR(K1335/I1335,0)</f>
        <v>0.757804475861987</v>
      </c>
      <c r="M1335" s="49" t="n">
        <f aca="false">IFERROR(I1335/H1335,0)</f>
        <v>209.499950260143</v>
      </c>
      <c r="N1335" s="52" t="str">
        <f aca="false">'Model Inputs &amp; Assumptions'!$L$30</f>
        <v>PRD-USIQ</v>
      </c>
      <c r="P1335" s="53" t="n">
        <v>-0.480704</v>
      </c>
      <c r="Q1335" s="53" t="n">
        <v>-0.423665</v>
      </c>
      <c r="R1335" s="53" t="n">
        <v>-0.757717</v>
      </c>
      <c r="S1335" s="53" t="n">
        <v>-0.429197</v>
      </c>
    </row>
    <row r="1336" customFormat="false" ht="15" hidden="false" customHeight="false" outlineLevel="0" collapsed="false">
      <c r="A1336" s="43" t="n">
        <v>333</v>
      </c>
      <c r="B1336" s="44" t="str">
        <f aca="false">'Model Inputs &amp; Assumptions'!$B$30</f>
        <v>extraETF — Newsletter Takeover</v>
      </c>
      <c r="C1336" s="45" t="n">
        <f aca="false">ROUND(MAX(0,'Model Inputs &amp; Assumptions'!$S$30*EXP('Model Inputs &amp; Assumptions'!$T$30*P1336-'Model Inputs &amp; Assumptions'!$T$30^2/2)),0)</f>
        <v>86531</v>
      </c>
      <c r="D1336" s="46" t="n">
        <f aca="false">MIN(1,'Model Inputs &amp; Assumptions'!$U$30*EXP('Model Inputs &amp; Assumptions'!$V$30*Q1336-'Model Inputs &amp; Assumptions'!$V$30^2/2))</f>
        <v>0</v>
      </c>
      <c r="E1336" s="45" t="n">
        <f aca="false">ROUND(C1336*D1336,0)</f>
        <v>0</v>
      </c>
      <c r="F1336" s="47" t="n">
        <f aca="false">MIN(1,'Model Inputs &amp; Assumptions'!$W$30*EXP('Model Inputs &amp; Assumptions'!$X$30*R1336-'Model Inputs &amp; Assumptions'!$X$30^2/2))</f>
        <v>0.00726684659557865</v>
      </c>
      <c r="G1336" s="45" t="n">
        <f aca="false">ROUND(C1336*F1336,0)</f>
        <v>629</v>
      </c>
      <c r="H1336" s="48" t="n">
        <f aca="false">MAX(0,(C1336*'Model Inputs &amp; Assumptions'!$N$30+E1336*'Model Inputs &amp; Assumptions'!$O$30+G1336*'Model Inputs &amp; Assumptions'!$P$30)*EXP('Model Inputs &amp; Assumptions'!$Q$30*S1336-'Model Inputs &amp; Assumptions'!$Q$30^2/2))</f>
        <v>35.5287684655972</v>
      </c>
      <c r="I1336" s="49" t="n">
        <f aca="false">IF('Model Inputs &amp; Assumptions'!$H$30="Fixed",'Model Inputs &amp; Assumptions'!$I$30*'Model Inputs &amp; Assumptions'!$K$30,IF('Model Inputs &amp; Assumptions'!$H$30="CPM",'Model Inputs &amp; Assumptions'!$I$30*'Model Inputs &amp; Assumptions'!$K$30*C1336/1000,IF('Model Inputs &amp; Assumptions'!$H$30="CPC",'Model Inputs &amp; Assumptions'!$I$30*'Model Inputs &amp; Assumptions'!$K$30*G1336,0)))</f>
        <v>6900</v>
      </c>
      <c r="J1336" s="50" t="n">
        <f aca="false">H1336*INDEX('Model Inputs &amp; Assumptions'!$D$40:$D$42,MATCH('Model Inputs &amp; Assumptions'!$L$30,'Model Inputs &amp; Assumptions'!$A$40:$A$42,0))*INDEX('Model Inputs &amp; Assumptions'!$H$40:$H$42,MATCH('Model Inputs &amp; Assumptions'!$L$30,'Model Inputs &amp; Assumptions'!$A$40:$A$42,0))</f>
        <v>255807.1329523</v>
      </c>
      <c r="K1336" s="49" t="n">
        <f aca="false">H1336*INDEX('Model Inputs &amp; Assumptions'!$G$40:$G$42,MATCH('Model Inputs &amp; Assumptions'!$L$30,'Model Inputs &amp; Assumptions'!$A$40:$A$42,0))*INDEX('Model Inputs &amp; Assumptions'!$H$40:$H$42,MATCH('Model Inputs &amp; Assumptions'!$L$30,'Model Inputs &amp; Assumptions'!$A$40:$A$42,0))</f>
        <v>5640.54728159821</v>
      </c>
      <c r="L1336" s="51" t="n">
        <f aca="false">IFERROR(K1336/I1336,0)</f>
        <v>0.81747062052148</v>
      </c>
      <c r="M1336" s="49" t="n">
        <f aca="false">IFERROR(I1336/H1336,0)</f>
        <v>194.208814377603</v>
      </c>
      <c r="N1336" s="52" t="str">
        <f aca="false">'Model Inputs &amp; Assumptions'!$L$30</f>
        <v>PRD-USIQ</v>
      </c>
      <c r="P1336" s="53" t="n">
        <v>-0.080251</v>
      </c>
      <c r="Q1336" s="53" t="n">
        <v>0.23476</v>
      </c>
      <c r="R1336" s="53" t="n">
        <v>-0.565794</v>
      </c>
      <c r="S1336" s="53" t="n">
        <v>-0.436682</v>
      </c>
    </row>
    <row r="1337" customFormat="false" ht="15" hidden="false" customHeight="false" outlineLevel="0" collapsed="false">
      <c r="A1337" s="43" t="n">
        <v>334</v>
      </c>
      <c r="B1337" s="44" t="str">
        <f aca="false">'Model Inputs &amp; Assumptions'!$B$30</f>
        <v>extraETF — Newsletter Takeover</v>
      </c>
      <c r="C1337" s="45" t="n">
        <f aca="false">ROUND(MAX(0,'Model Inputs &amp; Assumptions'!$S$30*EXP('Model Inputs &amp; Assumptions'!$T$30*P1337-'Model Inputs &amp; Assumptions'!$T$30^2/2)),0)</f>
        <v>96973</v>
      </c>
      <c r="D1337" s="46" t="n">
        <f aca="false">MIN(1,'Model Inputs &amp; Assumptions'!$U$30*EXP('Model Inputs &amp; Assumptions'!$V$30*Q1337-'Model Inputs &amp; Assumptions'!$V$30^2/2))</f>
        <v>0</v>
      </c>
      <c r="E1337" s="45" t="n">
        <f aca="false">ROUND(C1337*D1337,0)</f>
        <v>0</v>
      </c>
      <c r="F1337" s="47" t="n">
        <f aca="false">MIN(1,'Model Inputs &amp; Assumptions'!$W$30*EXP('Model Inputs &amp; Assumptions'!$X$30*R1337-'Model Inputs &amp; Assumptions'!$X$30^2/2))</f>
        <v>0.00902172846618819</v>
      </c>
      <c r="G1337" s="45" t="n">
        <f aca="false">ROUND(C1337*F1337,0)</f>
        <v>875</v>
      </c>
      <c r="H1337" s="48" t="n">
        <f aca="false">MAX(0,(C1337*'Model Inputs &amp; Assumptions'!$N$30+E1337*'Model Inputs &amp; Assumptions'!$O$30+G1337*'Model Inputs &amp; Assumptions'!$P$30)*EXP('Model Inputs &amp; Assumptions'!$Q$30*S1337-'Model Inputs &amp; Assumptions'!$Q$30^2/2))</f>
        <v>35.5015595772924</v>
      </c>
      <c r="I1337" s="49" t="n">
        <f aca="false">IF('Model Inputs &amp; Assumptions'!$H$30="Fixed",'Model Inputs &amp; Assumptions'!$I$30*'Model Inputs &amp; Assumptions'!$K$30,IF('Model Inputs &amp; Assumptions'!$H$30="CPM",'Model Inputs &amp; Assumptions'!$I$30*'Model Inputs &amp; Assumptions'!$K$30*C1337/1000,IF('Model Inputs &amp; Assumptions'!$H$30="CPC",'Model Inputs &amp; Assumptions'!$I$30*'Model Inputs &amp; Assumptions'!$K$30*G1337,0)))</f>
        <v>6900</v>
      </c>
      <c r="J1337" s="50" t="n">
        <f aca="false">H1337*INDEX('Model Inputs &amp; Assumptions'!$D$40:$D$42,MATCH('Model Inputs &amp; Assumptions'!$L$30,'Model Inputs &amp; Assumptions'!$A$40:$A$42,0))*INDEX('Model Inputs &amp; Assumptions'!$H$40:$H$42,MATCH('Model Inputs &amp; Assumptions'!$L$30,'Model Inputs &amp; Assumptions'!$A$40:$A$42,0))</f>
        <v>255611.228956505</v>
      </c>
      <c r="K1337" s="49" t="n">
        <f aca="false">H1337*INDEX('Model Inputs &amp; Assumptions'!$G$40:$G$42,MATCH('Model Inputs &amp; Assumptions'!$L$30,'Model Inputs &amp; Assumptions'!$A$40:$A$42,0))*INDEX('Model Inputs &amp; Assumptions'!$H$40:$H$42,MATCH('Model Inputs &amp; Assumptions'!$L$30,'Model Inputs &amp; Assumptions'!$A$40:$A$42,0))</f>
        <v>5636.22759849094</v>
      </c>
      <c r="L1337" s="51" t="n">
        <f aca="false">IFERROR(K1337/I1337,0)</f>
        <v>0.816844579491441</v>
      </c>
      <c r="M1337" s="49" t="n">
        <f aca="false">IFERROR(I1337/H1337,0)</f>
        <v>194.357658710109</v>
      </c>
      <c r="N1337" s="52" t="str">
        <f aca="false">'Model Inputs &amp; Assumptions'!$L$30</f>
        <v>PRD-USIQ</v>
      </c>
      <c r="P1337" s="53" t="n">
        <v>0.869141</v>
      </c>
      <c r="Q1337" s="53" t="n">
        <v>0.888351</v>
      </c>
      <c r="R1337" s="53" t="n">
        <v>0.876296</v>
      </c>
      <c r="S1337" s="53" t="n">
        <v>-1.760117</v>
      </c>
    </row>
    <row r="1338" customFormat="false" ht="15" hidden="false" customHeight="false" outlineLevel="0" collapsed="false">
      <c r="A1338" s="43" t="n">
        <v>335</v>
      </c>
      <c r="B1338" s="44" t="str">
        <f aca="false">'Model Inputs &amp; Assumptions'!$B$30</f>
        <v>extraETF — Newsletter Takeover</v>
      </c>
      <c r="C1338" s="45" t="n">
        <f aca="false">ROUND(MAX(0,'Model Inputs &amp; Assumptions'!$S$30*EXP('Model Inputs &amp; Assumptions'!$T$30*P1338-'Model Inputs &amp; Assumptions'!$T$30^2/2)),0)</f>
        <v>96146</v>
      </c>
      <c r="D1338" s="46" t="n">
        <f aca="false">MIN(1,'Model Inputs &amp; Assumptions'!$U$30*EXP('Model Inputs &amp; Assumptions'!$V$30*Q1338-'Model Inputs &amp; Assumptions'!$V$30^2/2))</f>
        <v>0</v>
      </c>
      <c r="E1338" s="45" t="n">
        <f aca="false">ROUND(C1338*D1338,0)</f>
        <v>0</v>
      </c>
      <c r="F1338" s="47" t="n">
        <f aca="false">MIN(1,'Model Inputs &amp; Assumptions'!$W$30*EXP('Model Inputs &amp; Assumptions'!$X$30*R1338-'Model Inputs &amp; Assumptions'!$X$30^2/2))</f>
        <v>0.00795405722839543</v>
      </c>
      <c r="G1338" s="45" t="n">
        <f aca="false">ROUND(C1338*F1338,0)</f>
        <v>765</v>
      </c>
      <c r="H1338" s="48" t="n">
        <f aca="false">MAX(0,(C1338*'Model Inputs &amp; Assumptions'!$N$30+E1338*'Model Inputs &amp; Assumptions'!$O$30+G1338*'Model Inputs &amp; Assumptions'!$P$30)*EXP('Model Inputs &amp; Assumptions'!$Q$30*S1338-'Model Inputs &amp; Assumptions'!$Q$30^2/2))</f>
        <v>42.0926892984049</v>
      </c>
      <c r="I1338" s="49" t="n">
        <f aca="false">IF('Model Inputs &amp; Assumptions'!$H$30="Fixed",'Model Inputs &amp; Assumptions'!$I$30*'Model Inputs &amp; Assumptions'!$K$30,IF('Model Inputs &amp; Assumptions'!$H$30="CPM",'Model Inputs &amp; Assumptions'!$I$30*'Model Inputs &amp; Assumptions'!$K$30*C1338/1000,IF('Model Inputs &amp; Assumptions'!$H$30="CPC",'Model Inputs &amp; Assumptions'!$I$30*'Model Inputs &amp; Assumptions'!$K$30*G1338,0)))</f>
        <v>6900</v>
      </c>
      <c r="J1338" s="50" t="n">
        <f aca="false">H1338*INDEX('Model Inputs &amp; Assumptions'!$D$40:$D$42,MATCH('Model Inputs &amp; Assumptions'!$L$30,'Model Inputs &amp; Assumptions'!$A$40:$A$42,0))*INDEX('Model Inputs &amp; Assumptions'!$H$40:$H$42,MATCH('Model Inputs &amp; Assumptions'!$L$30,'Model Inputs &amp; Assumptions'!$A$40:$A$42,0))</f>
        <v>303067.362948515</v>
      </c>
      <c r="K1338" s="49" t="n">
        <f aca="false">H1338*INDEX('Model Inputs &amp; Assumptions'!$G$40:$G$42,MATCH('Model Inputs &amp; Assumptions'!$L$30,'Model Inputs &amp; Assumptions'!$A$40:$A$42,0))*INDEX('Model Inputs &amp; Assumptions'!$H$40:$H$42,MATCH('Model Inputs &amp; Assumptions'!$L$30,'Model Inputs &amp; Assumptions'!$A$40:$A$42,0))</f>
        <v>6682.63535301476</v>
      </c>
      <c r="L1338" s="51" t="n">
        <f aca="false">IFERROR(K1338/I1338,0)</f>
        <v>0.968497877248516</v>
      </c>
      <c r="M1338" s="49" t="n">
        <f aca="false">IFERROR(I1338/H1338,0)</f>
        <v>163.923952472703</v>
      </c>
      <c r="N1338" s="52" t="str">
        <f aca="false">'Model Inputs &amp; Assumptions'!$L$30</f>
        <v>PRD-USIQ</v>
      </c>
      <c r="P1338" s="53" t="n">
        <v>0.797742</v>
      </c>
      <c r="Q1338" s="53" t="n">
        <v>0.285956</v>
      </c>
      <c r="R1338" s="53" t="n">
        <v>0.036604</v>
      </c>
      <c r="S1338" s="53" t="n">
        <v>-0.541535</v>
      </c>
    </row>
    <row r="1339" customFormat="false" ht="15" hidden="false" customHeight="false" outlineLevel="0" collapsed="false">
      <c r="A1339" s="43" t="n">
        <v>336</v>
      </c>
      <c r="B1339" s="44" t="str">
        <f aca="false">'Model Inputs &amp; Assumptions'!$B$30</f>
        <v>extraETF — Newsletter Takeover</v>
      </c>
      <c r="C1339" s="45" t="n">
        <f aca="false">ROUND(MAX(0,'Model Inputs &amp; Assumptions'!$S$30*EXP('Model Inputs &amp; Assumptions'!$T$30*P1339-'Model Inputs &amp; Assumptions'!$T$30^2/2)),0)</f>
        <v>76321</v>
      </c>
      <c r="D1339" s="46" t="n">
        <f aca="false">MIN(1,'Model Inputs &amp; Assumptions'!$U$30*EXP('Model Inputs &amp; Assumptions'!$V$30*Q1339-'Model Inputs &amp; Assumptions'!$V$30^2/2))</f>
        <v>0</v>
      </c>
      <c r="E1339" s="45" t="n">
        <f aca="false">ROUND(C1339*D1339,0)</f>
        <v>0</v>
      </c>
      <c r="F1339" s="47" t="n">
        <f aca="false">MIN(1,'Model Inputs &amp; Assumptions'!$W$30*EXP('Model Inputs &amp; Assumptions'!$X$30*R1339-'Model Inputs &amp; Assumptions'!$X$30^2/2))</f>
        <v>0.00657676439872077</v>
      </c>
      <c r="G1339" s="45" t="n">
        <f aca="false">ROUND(C1339*F1339,0)</f>
        <v>502</v>
      </c>
      <c r="H1339" s="48" t="n">
        <f aca="false">MAX(0,(C1339*'Model Inputs &amp; Assumptions'!$N$30+E1339*'Model Inputs &amp; Assumptions'!$O$30+G1339*'Model Inputs &amp; Assumptions'!$P$30)*EXP('Model Inputs &amp; Assumptions'!$Q$30*S1339-'Model Inputs &amp; Assumptions'!$Q$30^2/2))</f>
        <v>26.2632890538041</v>
      </c>
      <c r="I1339" s="49" t="n">
        <f aca="false">IF('Model Inputs &amp; Assumptions'!$H$30="Fixed",'Model Inputs &amp; Assumptions'!$I$30*'Model Inputs &amp; Assumptions'!$K$30,IF('Model Inputs &amp; Assumptions'!$H$30="CPM",'Model Inputs &amp; Assumptions'!$I$30*'Model Inputs &amp; Assumptions'!$K$30*C1339/1000,IF('Model Inputs &amp; Assumptions'!$H$30="CPC",'Model Inputs &amp; Assumptions'!$I$30*'Model Inputs &amp; Assumptions'!$K$30*G1339,0)))</f>
        <v>6900</v>
      </c>
      <c r="J1339" s="50" t="n">
        <f aca="false">H1339*INDEX('Model Inputs &amp; Assumptions'!$D$40:$D$42,MATCH('Model Inputs &amp; Assumptions'!$L$30,'Model Inputs &amp; Assumptions'!$A$40:$A$42,0))*INDEX('Model Inputs &amp; Assumptions'!$H$40:$H$42,MATCH('Model Inputs &amp; Assumptions'!$L$30,'Model Inputs &amp; Assumptions'!$A$40:$A$42,0))</f>
        <v>189095.68118739</v>
      </c>
      <c r="K1339" s="49" t="n">
        <f aca="false">H1339*INDEX('Model Inputs &amp; Assumptions'!$G$40:$G$42,MATCH('Model Inputs &amp; Assumptions'!$L$30,'Model Inputs &amp; Assumptions'!$A$40:$A$42,0))*INDEX('Model Inputs &amp; Assumptions'!$H$40:$H$42,MATCH('Model Inputs &amp; Assumptions'!$L$30,'Model Inputs &amp; Assumptions'!$A$40:$A$42,0))</f>
        <v>4169.55977018194</v>
      </c>
      <c r="L1339" s="51" t="n">
        <f aca="false">IFERROR(K1339/I1339,0)</f>
        <v>0.604284024664049</v>
      </c>
      <c r="M1339" s="49" t="n">
        <f aca="false">IFERROR(I1339/H1339,0)</f>
        <v>262.724138848884</v>
      </c>
      <c r="N1339" s="52" t="str">
        <f aca="false">'Model Inputs &amp; Assumptions'!$L$30</f>
        <v>PRD-USIQ</v>
      </c>
      <c r="P1339" s="53" t="n">
        <v>-1.126572</v>
      </c>
      <c r="Q1339" s="53" t="n">
        <v>-0.617892</v>
      </c>
      <c r="R1339" s="53" t="n">
        <v>-1.230991</v>
      </c>
      <c r="S1339" s="53" t="n">
        <v>-0.74324</v>
      </c>
    </row>
    <row r="1340" customFormat="false" ht="15" hidden="false" customHeight="false" outlineLevel="0" collapsed="false">
      <c r="A1340" s="43" t="n">
        <v>337</v>
      </c>
      <c r="B1340" s="44" t="str">
        <f aca="false">'Model Inputs &amp; Assumptions'!$B$30</f>
        <v>extraETF — Newsletter Takeover</v>
      </c>
      <c r="C1340" s="45" t="n">
        <f aca="false">ROUND(MAX(0,'Model Inputs &amp; Assumptions'!$S$30*EXP('Model Inputs &amp; Assumptions'!$T$30*P1340-'Model Inputs &amp; Assumptions'!$T$30^2/2)),0)</f>
        <v>68641</v>
      </c>
      <c r="D1340" s="46" t="n">
        <f aca="false">MIN(1,'Model Inputs &amp; Assumptions'!$U$30*EXP('Model Inputs &amp; Assumptions'!$V$30*Q1340-'Model Inputs &amp; Assumptions'!$V$30^2/2))</f>
        <v>0</v>
      </c>
      <c r="E1340" s="45" t="n">
        <f aca="false">ROUND(C1340*D1340,0)</f>
        <v>0</v>
      </c>
      <c r="F1340" s="47" t="n">
        <f aca="false">MIN(1,'Model Inputs &amp; Assumptions'!$W$30*EXP('Model Inputs &amp; Assumptions'!$X$30*R1340-'Model Inputs &amp; Assumptions'!$X$30^2/2))</f>
        <v>0.00910677317563322</v>
      </c>
      <c r="G1340" s="45" t="n">
        <f aca="false">ROUND(C1340*F1340,0)</f>
        <v>625</v>
      </c>
      <c r="H1340" s="48" t="n">
        <f aca="false">MAX(0,(C1340*'Model Inputs &amp; Assumptions'!$N$30+E1340*'Model Inputs &amp; Assumptions'!$O$30+G1340*'Model Inputs &amp; Assumptions'!$P$30)*EXP('Model Inputs &amp; Assumptions'!$Q$30*S1340-'Model Inputs &amp; Assumptions'!$Q$30^2/2))</f>
        <v>37.2477630491262</v>
      </c>
      <c r="I1340" s="49" t="n">
        <f aca="false">IF('Model Inputs &amp; Assumptions'!$H$30="Fixed",'Model Inputs &amp; Assumptions'!$I$30*'Model Inputs &amp; Assumptions'!$K$30,IF('Model Inputs &amp; Assumptions'!$H$30="CPM",'Model Inputs &amp; Assumptions'!$I$30*'Model Inputs &amp; Assumptions'!$K$30*C1340/1000,IF('Model Inputs &amp; Assumptions'!$H$30="CPC",'Model Inputs &amp; Assumptions'!$I$30*'Model Inputs &amp; Assumptions'!$K$30*G1340,0)))</f>
        <v>6900</v>
      </c>
      <c r="J1340" s="50" t="n">
        <f aca="false">H1340*INDEX('Model Inputs &amp; Assumptions'!$D$40:$D$42,MATCH('Model Inputs &amp; Assumptions'!$L$30,'Model Inputs &amp; Assumptions'!$A$40:$A$42,0))*INDEX('Model Inputs &amp; Assumptions'!$H$40:$H$42,MATCH('Model Inputs &amp; Assumptions'!$L$30,'Model Inputs &amp; Assumptions'!$A$40:$A$42,0))</f>
        <v>268183.893953709</v>
      </c>
      <c r="K1340" s="49" t="n">
        <f aca="false">H1340*INDEX('Model Inputs &amp; Assumptions'!$G$40:$G$42,MATCH('Model Inputs &amp; Assumptions'!$L$30,'Model Inputs &amp; Assumptions'!$A$40:$A$42,0))*INDEX('Model Inputs &amp; Assumptions'!$H$40:$H$42,MATCH('Model Inputs &amp; Assumptions'!$L$30,'Model Inputs &amp; Assumptions'!$A$40:$A$42,0))</f>
        <v>5913.45486167928</v>
      </c>
      <c r="L1340" s="51" t="n">
        <f aca="false">IFERROR(K1340/I1340,0)</f>
        <v>0.857022443721634</v>
      </c>
      <c r="M1340" s="49" t="n">
        <f aca="false">IFERROR(I1340/H1340,0)</f>
        <v>185.246023792075</v>
      </c>
      <c r="N1340" s="52" t="str">
        <f aca="false">'Model Inputs &amp; Assumptions'!$L$30</f>
        <v>PRD-USIQ</v>
      </c>
      <c r="P1340" s="53" t="n">
        <v>-2.010353</v>
      </c>
      <c r="Q1340" s="53" t="n">
        <v>-0.652586</v>
      </c>
      <c r="R1340" s="53" t="n">
        <v>0.938846</v>
      </c>
      <c r="S1340" s="53" t="n">
        <v>-0.222167</v>
      </c>
    </row>
    <row r="1341" customFormat="false" ht="15" hidden="false" customHeight="false" outlineLevel="0" collapsed="false">
      <c r="A1341" s="43" t="n">
        <v>338</v>
      </c>
      <c r="B1341" s="44" t="str">
        <f aca="false">'Model Inputs &amp; Assumptions'!$B$30</f>
        <v>extraETF — Newsletter Takeover</v>
      </c>
      <c r="C1341" s="45" t="n">
        <f aca="false">ROUND(MAX(0,'Model Inputs &amp; Assumptions'!$S$30*EXP('Model Inputs &amp; Assumptions'!$T$30*P1341-'Model Inputs &amp; Assumptions'!$T$30^2/2)),0)</f>
        <v>97877</v>
      </c>
      <c r="D1341" s="46" t="n">
        <f aca="false">MIN(1,'Model Inputs &amp; Assumptions'!$U$30*EXP('Model Inputs &amp; Assumptions'!$V$30*Q1341-'Model Inputs &amp; Assumptions'!$V$30^2/2))</f>
        <v>0</v>
      </c>
      <c r="E1341" s="45" t="n">
        <f aca="false">ROUND(C1341*D1341,0)</f>
        <v>0</v>
      </c>
      <c r="F1341" s="47" t="n">
        <f aca="false">MIN(1,'Model Inputs &amp; Assumptions'!$W$30*EXP('Model Inputs &amp; Assumptions'!$X$30*R1341-'Model Inputs &amp; Assumptions'!$X$30^2/2))</f>
        <v>0.00834896594005658</v>
      </c>
      <c r="G1341" s="45" t="n">
        <f aca="false">ROUND(C1341*F1341,0)</f>
        <v>817</v>
      </c>
      <c r="H1341" s="48" t="n">
        <f aca="false">MAX(0,(C1341*'Model Inputs &amp; Assumptions'!$N$30+E1341*'Model Inputs &amp; Assumptions'!$O$30+G1341*'Model Inputs &amp; Assumptions'!$P$30)*EXP('Model Inputs &amp; Assumptions'!$Q$30*S1341-'Model Inputs &amp; Assumptions'!$Q$30^2/2))</f>
        <v>52.3721041370071</v>
      </c>
      <c r="I1341" s="49" t="n">
        <f aca="false">IF('Model Inputs &amp; Assumptions'!$H$30="Fixed",'Model Inputs &amp; Assumptions'!$I$30*'Model Inputs &amp; Assumptions'!$K$30,IF('Model Inputs &amp; Assumptions'!$H$30="CPM",'Model Inputs &amp; Assumptions'!$I$30*'Model Inputs &amp; Assumptions'!$K$30*C1341/1000,IF('Model Inputs &amp; Assumptions'!$H$30="CPC",'Model Inputs &amp; Assumptions'!$I$30*'Model Inputs &amp; Assumptions'!$K$30*G1341,0)))</f>
        <v>6900</v>
      </c>
      <c r="J1341" s="50" t="n">
        <f aca="false">H1341*INDEX('Model Inputs &amp; Assumptions'!$D$40:$D$42,MATCH('Model Inputs &amp; Assumptions'!$L$30,'Model Inputs &amp; Assumptions'!$A$40:$A$42,0))*INDEX('Model Inputs &amp; Assumptions'!$H$40:$H$42,MATCH('Model Inputs &amp; Assumptions'!$L$30,'Model Inputs &amp; Assumptions'!$A$40:$A$42,0))</f>
        <v>377079.149786451</v>
      </c>
      <c r="K1341" s="49" t="n">
        <f aca="false">H1341*INDEX('Model Inputs &amp; Assumptions'!$G$40:$G$42,MATCH('Model Inputs &amp; Assumptions'!$L$30,'Model Inputs &amp; Assumptions'!$A$40:$A$42,0))*INDEX('Model Inputs &amp; Assumptions'!$H$40:$H$42,MATCH('Model Inputs &amp; Assumptions'!$L$30,'Model Inputs &amp; Assumptions'!$A$40:$A$42,0))</f>
        <v>8314.59525279125</v>
      </c>
      <c r="L1341" s="51" t="n">
        <f aca="false">IFERROR(K1341/I1341,0)</f>
        <v>1.20501380475235</v>
      </c>
      <c r="M1341" s="49" t="n">
        <f aca="false">IFERROR(I1341/H1341,0)</f>
        <v>131.749527992028</v>
      </c>
      <c r="N1341" s="52" t="str">
        <f aca="false">'Model Inputs &amp; Assumptions'!$L$30</f>
        <v>PRD-USIQ</v>
      </c>
      <c r="P1341" s="53" t="n">
        <v>0.946496</v>
      </c>
      <c r="Q1341" s="53" t="n">
        <v>-1.607677</v>
      </c>
      <c r="R1341" s="53" t="n">
        <v>0.359641</v>
      </c>
      <c r="S1341" s="53" t="n">
        <v>0.069412</v>
      </c>
    </row>
    <row r="1342" customFormat="false" ht="15" hidden="false" customHeight="false" outlineLevel="0" collapsed="false">
      <c r="A1342" s="43" t="n">
        <v>339</v>
      </c>
      <c r="B1342" s="44" t="str">
        <f aca="false">'Model Inputs &amp; Assumptions'!$B$30</f>
        <v>extraETF — Newsletter Takeover</v>
      </c>
      <c r="C1342" s="45" t="n">
        <f aca="false">ROUND(MAX(0,'Model Inputs &amp; Assumptions'!$S$30*EXP('Model Inputs &amp; Assumptions'!$T$30*P1342-'Model Inputs &amp; Assumptions'!$T$30^2/2)),0)</f>
        <v>87881</v>
      </c>
      <c r="D1342" s="46" t="n">
        <f aca="false">MIN(1,'Model Inputs &amp; Assumptions'!$U$30*EXP('Model Inputs &amp; Assumptions'!$V$30*Q1342-'Model Inputs &amp; Assumptions'!$V$30^2/2))</f>
        <v>0</v>
      </c>
      <c r="E1342" s="45" t="n">
        <f aca="false">ROUND(C1342*D1342,0)</f>
        <v>0</v>
      </c>
      <c r="F1342" s="47" t="n">
        <f aca="false">MIN(1,'Model Inputs &amp; Assumptions'!$W$30*EXP('Model Inputs &amp; Assumptions'!$X$30*R1342-'Model Inputs &amp; Assumptions'!$X$30^2/2))</f>
        <v>0.00936919276644839</v>
      </c>
      <c r="G1342" s="45" t="n">
        <f aca="false">ROUND(C1342*F1342,0)</f>
        <v>823</v>
      </c>
      <c r="H1342" s="48" t="n">
        <f aca="false">MAX(0,(C1342*'Model Inputs &amp; Assumptions'!$N$30+E1342*'Model Inputs &amp; Assumptions'!$O$30+G1342*'Model Inputs &amp; Assumptions'!$P$30)*EXP('Model Inputs &amp; Assumptions'!$Q$30*S1342-'Model Inputs &amp; Assumptions'!$Q$30^2/2))</f>
        <v>46.9053242090741</v>
      </c>
      <c r="I1342" s="49" t="n">
        <f aca="false">IF('Model Inputs &amp; Assumptions'!$H$30="Fixed",'Model Inputs &amp; Assumptions'!$I$30*'Model Inputs &amp; Assumptions'!$K$30,IF('Model Inputs &amp; Assumptions'!$H$30="CPM",'Model Inputs &amp; Assumptions'!$I$30*'Model Inputs &amp; Assumptions'!$K$30*C1342/1000,IF('Model Inputs &amp; Assumptions'!$H$30="CPC",'Model Inputs &amp; Assumptions'!$I$30*'Model Inputs &amp; Assumptions'!$K$30*G1342,0)))</f>
        <v>6900</v>
      </c>
      <c r="J1342" s="50" t="n">
        <f aca="false">H1342*INDEX('Model Inputs &amp; Assumptions'!$D$40:$D$42,MATCH('Model Inputs &amp; Assumptions'!$L$30,'Model Inputs &amp; Assumptions'!$A$40:$A$42,0))*INDEX('Model Inputs &amp; Assumptions'!$H$40:$H$42,MATCH('Model Inputs &amp; Assumptions'!$L$30,'Model Inputs &amp; Assumptions'!$A$40:$A$42,0))</f>
        <v>337718.334305333</v>
      </c>
      <c r="K1342" s="49" t="n">
        <f aca="false">H1342*INDEX('Model Inputs &amp; Assumptions'!$G$40:$G$42,MATCH('Model Inputs &amp; Assumptions'!$L$30,'Model Inputs &amp; Assumptions'!$A$40:$A$42,0))*INDEX('Model Inputs &amp; Assumptions'!$H$40:$H$42,MATCH('Model Inputs &amp; Assumptions'!$L$30,'Model Inputs &amp; Assumptions'!$A$40:$A$42,0))</f>
        <v>7446.6892714326</v>
      </c>
      <c r="L1342" s="51" t="n">
        <f aca="false">IFERROR(K1342/I1342,0)</f>
        <v>1.07923032919313</v>
      </c>
      <c r="M1342" s="49" t="n">
        <f aca="false">IFERROR(I1342/H1342,0)</f>
        <v>147.104835460559</v>
      </c>
      <c r="N1342" s="52" t="str">
        <f aca="false">'Model Inputs &amp; Assumptions'!$L$30</f>
        <v>PRD-USIQ</v>
      </c>
      <c r="P1342" s="53" t="n">
        <v>0.048693</v>
      </c>
      <c r="Q1342" s="53" t="n">
        <v>-0.859324</v>
      </c>
      <c r="R1342" s="53" t="n">
        <v>1.128236</v>
      </c>
      <c r="S1342" s="53" t="n">
        <v>-0.400828</v>
      </c>
    </row>
    <row r="1343" customFormat="false" ht="15" hidden="false" customHeight="false" outlineLevel="0" collapsed="false">
      <c r="A1343" s="43" t="n">
        <v>340</v>
      </c>
      <c r="B1343" s="44" t="str">
        <f aca="false">'Model Inputs &amp; Assumptions'!$B$30</f>
        <v>extraETF — Newsletter Takeover</v>
      </c>
      <c r="C1343" s="45" t="n">
        <f aca="false">ROUND(MAX(0,'Model Inputs &amp; Assumptions'!$S$30*EXP('Model Inputs &amp; Assumptions'!$T$30*P1343-'Model Inputs &amp; Assumptions'!$T$30^2/2)),0)</f>
        <v>75667</v>
      </c>
      <c r="D1343" s="46" t="n">
        <f aca="false">MIN(1,'Model Inputs &amp; Assumptions'!$U$30*EXP('Model Inputs &amp; Assumptions'!$V$30*Q1343-'Model Inputs &amp; Assumptions'!$V$30^2/2))</f>
        <v>0</v>
      </c>
      <c r="E1343" s="45" t="n">
        <f aca="false">ROUND(C1343*D1343,0)</f>
        <v>0</v>
      </c>
      <c r="F1343" s="47" t="n">
        <f aca="false">MIN(1,'Model Inputs &amp; Assumptions'!$W$30*EXP('Model Inputs &amp; Assumptions'!$X$30*R1343-'Model Inputs &amp; Assumptions'!$X$30^2/2))</f>
        <v>0.00849523647483402</v>
      </c>
      <c r="G1343" s="45" t="n">
        <f aca="false">ROUND(C1343*F1343,0)</f>
        <v>643</v>
      </c>
      <c r="H1343" s="48" t="n">
        <f aca="false">MAX(0,(C1343*'Model Inputs &amp; Assumptions'!$N$30+E1343*'Model Inputs &amp; Assumptions'!$O$30+G1343*'Model Inputs &amp; Assumptions'!$P$30)*EXP('Model Inputs &amp; Assumptions'!$Q$30*S1343-'Model Inputs &amp; Assumptions'!$Q$30^2/2))</f>
        <v>39.6653680293304</v>
      </c>
      <c r="I1343" s="49" t="n">
        <f aca="false">IF('Model Inputs &amp; Assumptions'!$H$30="Fixed",'Model Inputs &amp; Assumptions'!$I$30*'Model Inputs &amp; Assumptions'!$K$30,IF('Model Inputs &amp; Assumptions'!$H$30="CPM",'Model Inputs &amp; Assumptions'!$I$30*'Model Inputs &amp; Assumptions'!$K$30*C1343/1000,IF('Model Inputs &amp; Assumptions'!$H$30="CPC",'Model Inputs &amp; Assumptions'!$I$30*'Model Inputs &amp; Assumptions'!$K$30*G1343,0)))</f>
        <v>6900</v>
      </c>
      <c r="J1343" s="50" t="n">
        <f aca="false">H1343*INDEX('Model Inputs &amp; Assumptions'!$D$40:$D$42,MATCH('Model Inputs &amp; Assumptions'!$L$30,'Model Inputs &amp; Assumptions'!$A$40:$A$42,0))*INDEX('Model Inputs &amp; Assumptions'!$H$40:$H$42,MATCH('Model Inputs &amp; Assumptions'!$L$30,'Model Inputs &amp; Assumptions'!$A$40:$A$42,0))</f>
        <v>285590.649811179</v>
      </c>
      <c r="K1343" s="49" t="n">
        <f aca="false">H1343*INDEX('Model Inputs &amp; Assumptions'!$G$40:$G$42,MATCH('Model Inputs &amp; Assumptions'!$L$30,'Model Inputs &amp; Assumptions'!$A$40:$A$42,0))*INDEX('Model Inputs &amp; Assumptions'!$H$40:$H$42,MATCH('Model Inputs &amp; Assumptions'!$L$30,'Model Inputs &amp; Assumptions'!$A$40:$A$42,0))</f>
        <v>6297.2738283365</v>
      </c>
      <c r="L1343" s="51" t="n">
        <f aca="false">IFERROR(K1343/I1343,0)</f>
        <v>0.912648380918333</v>
      </c>
      <c r="M1343" s="49" t="n">
        <f aca="false">IFERROR(I1343/H1343,0)</f>
        <v>173.955274911298</v>
      </c>
      <c r="N1343" s="52" t="str">
        <f aca="false">'Model Inputs &amp; Assumptions'!$L$30</f>
        <v>PRD-USIQ</v>
      </c>
      <c r="P1343" s="53" t="n">
        <v>-1.198291</v>
      </c>
      <c r="Q1343" s="53" t="n">
        <v>0.765213</v>
      </c>
      <c r="R1343" s="53" t="n">
        <v>0.475427</v>
      </c>
      <c r="S1343" s="53" t="n">
        <v>-0.084193</v>
      </c>
    </row>
    <row r="1344" customFormat="false" ht="15" hidden="false" customHeight="false" outlineLevel="0" collapsed="false">
      <c r="A1344" s="43" t="n">
        <v>341</v>
      </c>
      <c r="B1344" s="44" t="str">
        <f aca="false">'Model Inputs &amp; Assumptions'!$B$30</f>
        <v>extraETF — Newsletter Takeover</v>
      </c>
      <c r="C1344" s="45" t="n">
        <f aca="false">ROUND(MAX(0,'Model Inputs &amp; Assumptions'!$S$30*EXP('Model Inputs &amp; Assumptions'!$T$30*P1344-'Model Inputs &amp; Assumptions'!$T$30^2/2)),0)</f>
        <v>78075</v>
      </c>
      <c r="D1344" s="46" t="n">
        <f aca="false">MIN(1,'Model Inputs &amp; Assumptions'!$U$30*EXP('Model Inputs &amp; Assumptions'!$V$30*Q1344-'Model Inputs &amp; Assumptions'!$V$30^2/2))</f>
        <v>0</v>
      </c>
      <c r="E1344" s="45" t="n">
        <f aca="false">ROUND(C1344*D1344,0)</f>
        <v>0</v>
      </c>
      <c r="F1344" s="47" t="n">
        <f aca="false">MIN(1,'Model Inputs &amp; Assumptions'!$W$30*EXP('Model Inputs &amp; Assumptions'!$X$30*R1344-'Model Inputs &amp; Assumptions'!$X$30^2/2))</f>
        <v>0.00716473655065735</v>
      </c>
      <c r="G1344" s="45" t="n">
        <f aca="false">ROUND(C1344*F1344,0)</f>
        <v>559</v>
      </c>
      <c r="H1344" s="48" t="n">
        <f aca="false">MAX(0,(C1344*'Model Inputs &amp; Assumptions'!$N$30+E1344*'Model Inputs &amp; Assumptions'!$O$30+G1344*'Model Inputs &amp; Assumptions'!$P$30)*EXP('Model Inputs &amp; Assumptions'!$Q$30*S1344-'Model Inputs &amp; Assumptions'!$Q$30^2/2))</f>
        <v>33.596670307535</v>
      </c>
      <c r="I1344" s="49" t="n">
        <f aca="false">IF('Model Inputs &amp; Assumptions'!$H$30="Fixed",'Model Inputs &amp; Assumptions'!$I$30*'Model Inputs &amp; Assumptions'!$K$30,IF('Model Inputs &amp; Assumptions'!$H$30="CPM",'Model Inputs &amp; Assumptions'!$I$30*'Model Inputs &amp; Assumptions'!$K$30*C1344/1000,IF('Model Inputs &amp; Assumptions'!$H$30="CPC",'Model Inputs &amp; Assumptions'!$I$30*'Model Inputs &amp; Assumptions'!$K$30*G1344,0)))</f>
        <v>6900</v>
      </c>
      <c r="J1344" s="50" t="n">
        <f aca="false">H1344*INDEX('Model Inputs &amp; Assumptions'!$D$40:$D$42,MATCH('Model Inputs &amp; Assumptions'!$L$30,'Model Inputs &amp; Assumptions'!$A$40:$A$42,0))*INDEX('Model Inputs &amp; Assumptions'!$H$40:$H$42,MATCH('Model Inputs &amp; Assumptions'!$L$30,'Model Inputs &amp; Assumptions'!$A$40:$A$42,0))</f>
        <v>241896.026214252</v>
      </c>
      <c r="K1344" s="49" t="n">
        <f aca="false">H1344*INDEX('Model Inputs &amp; Assumptions'!$G$40:$G$42,MATCH('Model Inputs &amp; Assumptions'!$L$30,'Model Inputs &amp; Assumptions'!$A$40:$A$42,0))*INDEX('Model Inputs &amp; Assumptions'!$H$40:$H$42,MATCH('Model Inputs &amp; Assumptions'!$L$30,'Model Inputs &amp; Assumptions'!$A$40:$A$42,0))</f>
        <v>5333.80737802426</v>
      </c>
      <c r="L1344" s="51" t="n">
        <f aca="false">IFERROR(K1344/I1344,0)</f>
        <v>0.773015562032501</v>
      </c>
      <c r="M1344" s="49" t="n">
        <f aca="false">IFERROR(I1344/H1344,0)</f>
        <v>205.37749535413</v>
      </c>
      <c r="N1344" s="52" t="str">
        <f aca="false">'Model Inputs &amp; Assumptions'!$L$30</f>
        <v>PRD-USIQ</v>
      </c>
      <c r="P1344" s="53" t="n">
        <v>-0.93718</v>
      </c>
      <c r="Q1344" s="53" t="n">
        <v>-0.343431</v>
      </c>
      <c r="R1344" s="53" t="n">
        <v>-0.660135</v>
      </c>
      <c r="S1344" s="53" t="n">
        <v>-0.188418</v>
      </c>
    </row>
    <row r="1345" customFormat="false" ht="15" hidden="false" customHeight="false" outlineLevel="0" collapsed="false">
      <c r="A1345" s="43" t="n">
        <v>342</v>
      </c>
      <c r="B1345" s="44" t="str">
        <f aca="false">'Model Inputs &amp; Assumptions'!$B$30</f>
        <v>extraETF — Newsletter Takeover</v>
      </c>
      <c r="C1345" s="45" t="n">
        <f aca="false">ROUND(MAX(0,'Model Inputs &amp; Assumptions'!$S$30*EXP('Model Inputs &amp; Assumptions'!$T$30*P1345-'Model Inputs &amp; Assumptions'!$T$30^2/2)),0)</f>
        <v>80853</v>
      </c>
      <c r="D1345" s="46" t="n">
        <f aca="false">MIN(1,'Model Inputs &amp; Assumptions'!$U$30*EXP('Model Inputs &amp; Assumptions'!$V$30*Q1345-'Model Inputs &amp; Assumptions'!$V$30^2/2))</f>
        <v>0</v>
      </c>
      <c r="E1345" s="45" t="n">
        <f aca="false">ROUND(C1345*D1345,0)</f>
        <v>0</v>
      </c>
      <c r="F1345" s="47" t="n">
        <f aca="false">MIN(1,'Model Inputs &amp; Assumptions'!$W$30*EXP('Model Inputs &amp; Assumptions'!$X$30*R1345-'Model Inputs &amp; Assumptions'!$X$30^2/2))</f>
        <v>0.00907088371095201</v>
      </c>
      <c r="G1345" s="45" t="n">
        <f aca="false">ROUND(C1345*F1345,0)</f>
        <v>733</v>
      </c>
      <c r="H1345" s="48" t="n">
        <f aca="false">MAX(0,(C1345*'Model Inputs &amp; Assumptions'!$N$30+E1345*'Model Inputs &amp; Assumptions'!$O$30+G1345*'Model Inputs &amp; Assumptions'!$P$30)*EXP('Model Inputs &amp; Assumptions'!$Q$30*S1345-'Model Inputs &amp; Assumptions'!$Q$30^2/2))</f>
        <v>59.7993142081776</v>
      </c>
      <c r="I1345" s="49" t="n">
        <f aca="false">IF('Model Inputs &amp; Assumptions'!$H$30="Fixed",'Model Inputs &amp; Assumptions'!$I$30*'Model Inputs &amp; Assumptions'!$K$30,IF('Model Inputs &amp; Assumptions'!$H$30="CPM",'Model Inputs &amp; Assumptions'!$I$30*'Model Inputs &amp; Assumptions'!$K$30*C1345/1000,IF('Model Inputs &amp; Assumptions'!$H$30="CPC",'Model Inputs &amp; Assumptions'!$I$30*'Model Inputs &amp; Assumptions'!$K$30*G1345,0)))</f>
        <v>6900</v>
      </c>
      <c r="J1345" s="50" t="n">
        <f aca="false">H1345*INDEX('Model Inputs &amp; Assumptions'!$D$40:$D$42,MATCH('Model Inputs &amp; Assumptions'!$L$30,'Model Inputs &amp; Assumptions'!$A$40:$A$42,0))*INDEX('Model Inputs &amp; Assumptions'!$H$40:$H$42,MATCH('Model Inputs &amp; Assumptions'!$L$30,'Model Inputs &amp; Assumptions'!$A$40:$A$42,0))</f>
        <v>430555.062298879</v>
      </c>
      <c r="K1345" s="49" t="n">
        <f aca="false">H1345*INDEX('Model Inputs &amp; Assumptions'!$G$40:$G$42,MATCH('Model Inputs &amp; Assumptions'!$L$30,'Model Inputs &amp; Assumptions'!$A$40:$A$42,0))*INDEX('Model Inputs &amp; Assumptions'!$H$40:$H$42,MATCH('Model Inputs &amp; Assumptions'!$L$30,'Model Inputs &amp; Assumptions'!$A$40:$A$42,0))</f>
        <v>9493.73912369028</v>
      </c>
      <c r="L1345" s="51" t="n">
        <f aca="false">IFERROR(K1345/I1345,0)</f>
        <v>1.37590422082468</v>
      </c>
      <c r="M1345" s="49" t="n">
        <f aca="false">IFERROR(I1345/H1345,0)</f>
        <v>115.385938641022</v>
      </c>
      <c r="N1345" s="52" t="str">
        <f aca="false">'Model Inputs &amp; Assumptions'!$L$30</f>
        <v>PRD-USIQ</v>
      </c>
      <c r="P1345" s="53" t="n">
        <v>-0.645827</v>
      </c>
      <c r="Q1345" s="53" t="n">
        <v>0.891264</v>
      </c>
      <c r="R1345" s="53" t="n">
        <v>0.912521</v>
      </c>
      <c r="S1345" s="53" t="n">
        <v>1.033866</v>
      </c>
    </row>
    <row r="1346" customFormat="false" ht="15" hidden="false" customHeight="false" outlineLevel="0" collapsed="false">
      <c r="A1346" s="43" t="n">
        <v>343</v>
      </c>
      <c r="B1346" s="44" t="str">
        <f aca="false">'Model Inputs &amp; Assumptions'!$B$30</f>
        <v>extraETF — Newsletter Takeover</v>
      </c>
      <c r="C1346" s="45" t="n">
        <f aca="false">ROUND(MAX(0,'Model Inputs &amp; Assumptions'!$S$30*EXP('Model Inputs &amp; Assumptions'!$T$30*P1346-'Model Inputs &amp; Assumptions'!$T$30^2/2)),0)</f>
        <v>102436</v>
      </c>
      <c r="D1346" s="46" t="n">
        <f aca="false">MIN(1,'Model Inputs &amp; Assumptions'!$U$30*EXP('Model Inputs &amp; Assumptions'!$V$30*Q1346-'Model Inputs &amp; Assumptions'!$V$30^2/2))</f>
        <v>0</v>
      </c>
      <c r="E1346" s="45" t="n">
        <f aca="false">ROUND(C1346*D1346,0)</f>
        <v>0</v>
      </c>
      <c r="F1346" s="47" t="n">
        <f aca="false">MIN(1,'Model Inputs &amp; Assumptions'!$W$30*EXP('Model Inputs &amp; Assumptions'!$X$30*R1346-'Model Inputs &amp; Assumptions'!$X$30^2/2))</f>
        <v>0.00858093336754819</v>
      </c>
      <c r="G1346" s="45" t="n">
        <f aca="false">ROUND(C1346*F1346,0)</f>
        <v>879</v>
      </c>
      <c r="H1346" s="48" t="n">
        <f aca="false">MAX(0,(C1346*'Model Inputs &amp; Assumptions'!$N$30+E1346*'Model Inputs &amp; Assumptions'!$O$30+G1346*'Model Inputs &amp; Assumptions'!$P$30)*EXP('Model Inputs &amp; Assumptions'!$Q$30*S1346-'Model Inputs &amp; Assumptions'!$Q$30^2/2))</f>
        <v>44.1364573673433</v>
      </c>
      <c r="I1346" s="49" t="n">
        <f aca="false">IF('Model Inputs &amp; Assumptions'!$H$30="Fixed",'Model Inputs &amp; Assumptions'!$I$30*'Model Inputs &amp; Assumptions'!$K$30,IF('Model Inputs &amp; Assumptions'!$H$30="CPM",'Model Inputs &amp; Assumptions'!$I$30*'Model Inputs &amp; Assumptions'!$K$30*C1346/1000,IF('Model Inputs &amp; Assumptions'!$H$30="CPC",'Model Inputs &amp; Assumptions'!$I$30*'Model Inputs &amp; Assumptions'!$K$30*G1346,0)))</f>
        <v>6900</v>
      </c>
      <c r="J1346" s="50" t="n">
        <f aca="false">H1346*INDEX('Model Inputs &amp; Assumptions'!$D$40:$D$42,MATCH('Model Inputs &amp; Assumptions'!$L$30,'Model Inputs &amp; Assumptions'!$A$40:$A$42,0))*INDEX('Model Inputs &amp; Assumptions'!$H$40:$H$42,MATCH('Model Inputs &amp; Assumptions'!$L$30,'Model Inputs &amp; Assumptions'!$A$40:$A$42,0))</f>
        <v>317782.493044872</v>
      </c>
      <c r="K1346" s="49" t="n">
        <f aca="false">H1346*INDEX('Model Inputs &amp; Assumptions'!$G$40:$G$42,MATCH('Model Inputs &amp; Assumptions'!$L$30,'Model Inputs &amp; Assumptions'!$A$40:$A$42,0))*INDEX('Model Inputs &amp; Assumptions'!$H$40:$H$42,MATCH('Model Inputs &amp; Assumptions'!$L$30,'Model Inputs &amp; Assumptions'!$A$40:$A$42,0))</f>
        <v>7007.10397163943</v>
      </c>
      <c r="L1346" s="51" t="n">
        <f aca="false">IFERROR(K1346/I1346,0)</f>
        <v>1.01552231473035</v>
      </c>
      <c r="M1346" s="49" t="n">
        <f aca="false">IFERROR(I1346/H1346,0)</f>
        <v>156.33334462193</v>
      </c>
      <c r="N1346" s="52" t="str">
        <f aca="false">'Model Inputs &amp; Assumptions'!$L$30</f>
        <v>PRD-USIQ</v>
      </c>
      <c r="P1346" s="53" t="n">
        <v>1.325868</v>
      </c>
      <c r="Q1346" s="53" t="n">
        <v>-0.407758</v>
      </c>
      <c r="R1346" s="53" t="n">
        <v>0.542341</v>
      </c>
      <c r="S1346" s="53" t="n">
        <v>-0.907523</v>
      </c>
    </row>
    <row r="1347" customFormat="false" ht="15" hidden="false" customHeight="false" outlineLevel="0" collapsed="false">
      <c r="A1347" s="43" t="n">
        <v>344</v>
      </c>
      <c r="B1347" s="44" t="str">
        <f aca="false">'Model Inputs &amp; Assumptions'!$B$30</f>
        <v>extraETF — Newsletter Takeover</v>
      </c>
      <c r="C1347" s="45" t="n">
        <f aca="false">ROUND(MAX(0,'Model Inputs &amp; Assumptions'!$S$30*EXP('Model Inputs &amp; Assumptions'!$T$30*P1347-'Model Inputs &amp; Assumptions'!$T$30^2/2)),0)</f>
        <v>94509</v>
      </c>
      <c r="D1347" s="46" t="n">
        <f aca="false">MIN(1,'Model Inputs &amp; Assumptions'!$U$30*EXP('Model Inputs &amp; Assumptions'!$V$30*Q1347-'Model Inputs &amp; Assumptions'!$V$30^2/2))</f>
        <v>0</v>
      </c>
      <c r="E1347" s="45" t="n">
        <f aca="false">ROUND(C1347*D1347,0)</f>
        <v>0</v>
      </c>
      <c r="F1347" s="47" t="n">
        <f aca="false">MIN(1,'Model Inputs &amp; Assumptions'!$W$30*EXP('Model Inputs &amp; Assumptions'!$X$30*R1347-'Model Inputs &amp; Assumptions'!$X$30^2/2))</f>
        <v>0.00668813921817102</v>
      </c>
      <c r="G1347" s="45" t="n">
        <f aca="false">ROUND(C1347*F1347,0)</f>
        <v>632</v>
      </c>
      <c r="H1347" s="48" t="n">
        <f aca="false">MAX(0,(C1347*'Model Inputs &amp; Assumptions'!$N$30+E1347*'Model Inputs &amp; Assumptions'!$O$30+G1347*'Model Inputs &amp; Assumptions'!$P$30)*EXP('Model Inputs &amp; Assumptions'!$Q$30*S1347-'Model Inputs &amp; Assumptions'!$Q$30^2/2))</f>
        <v>38.4929221856849</v>
      </c>
      <c r="I1347" s="49" t="n">
        <f aca="false">IF('Model Inputs &amp; Assumptions'!$H$30="Fixed",'Model Inputs &amp; Assumptions'!$I$30*'Model Inputs &amp; Assumptions'!$K$30,IF('Model Inputs &amp; Assumptions'!$H$30="CPM",'Model Inputs &amp; Assumptions'!$I$30*'Model Inputs &amp; Assumptions'!$K$30*C1347/1000,IF('Model Inputs &amp; Assumptions'!$H$30="CPC",'Model Inputs &amp; Assumptions'!$I$30*'Model Inputs &amp; Assumptions'!$K$30*G1347,0)))</f>
        <v>6900</v>
      </c>
      <c r="J1347" s="50" t="n">
        <f aca="false">H1347*INDEX('Model Inputs &amp; Assumptions'!$D$40:$D$42,MATCH('Model Inputs &amp; Assumptions'!$L$30,'Model Inputs &amp; Assumptions'!$A$40:$A$42,0))*INDEX('Model Inputs &amp; Assumptions'!$H$40:$H$42,MATCH('Model Inputs &amp; Assumptions'!$L$30,'Model Inputs &amp; Assumptions'!$A$40:$A$42,0))</f>
        <v>277149.039736931</v>
      </c>
      <c r="K1347" s="49" t="n">
        <f aca="false">H1347*INDEX('Model Inputs &amp; Assumptions'!$G$40:$G$42,MATCH('Model Inputs &amp; Assumptions'!$L$30,'Model Inputs &amp; Assumptions'!$A$40:$A$42,0))*INDEX('Model Inputs &amp; Assumptions'!$H$40:$H$42,MATCH('Model Inputs &amp; Assumptions'!$L$30,'Model Inputs &amp; Assumptions'!$A$40:$A$42,0))</f>
        <v>6111.13632619934</v>
      </c>
      <c r="L1347" s="51" t="n">
        <f aca="false">IFERROR(K1347/I1347,0)</f>
        <v>0.885671931333237</v>
      </c>
      <c r="M1347" s="49" t="n">
        <f aca="false">IFERROR(I1347/H1347,0)</f>
        <v>179.253733107486</v>
      </c>
      <c r="N1347" s="52" t="str">
        <f aca="false">'Model Inputs &amp; Assumptions'!$L$30</f>
        <v>PRD-USIQ</v>
      </c>
      <c r="P1347" s="53" t="n">
        <v>0.654659</v>
      </c>
      <c r="Q1347" s="53" t="n">
        <v>-0.383285</v>
      </c>
      <c r="R1347" s="53" t="n">
        <v>-1.119039</v>
      </c>
      <c r="S1347" s="53" t="n">
        <v>-0.135188</v>
      </c>
    </row>
    <row r="1348" customFormat="false" ht="15" hidden="false" customHeight="false" outlineLevel="0" collapsed="false">
      <c r="A1348" s="43" t="n">
        <v>345</v>
      </c>
      <c r="B1348" s="44" t="str">
        <f aca="false">'Model Inputs &amp; Assumptions'!$B$30</f>
        <v>extraETF — Newsletter Takeover</v>
      </c>
      <c r="C1348" s="45" t="n">
        <f aca="false">ROUND(MAX(0,'Model Inputs &amp; Assumptions'!$S$30*EXP('Model Inputs &amp; Assumptions'!$T$30*P1348-'Model Inputs &amp; Assumptions'!$T$30^2/2)),0)</f>
        <v>86506</v>
      </c>
      <c r="D1348" s="46" t="n">
        <f aca="false">MIN(1,'Model Inputs &amp; Assumptions'!$U$30*EXP('Model Inputs &amp; Assumptions'!$V$30*Q1348-'Model Inputs &amp; Assumptions'!$V$30^2/2))</f>
        <v>0</v>
      </c>
      <c r="E1348" s="45" t="n">
        <f aca="false">ROUND(C1348*D1348,0)</f>
        <v>0</v>
      </c>
      <c r="F1348" s="47" t="n">
        <f aca="false">MIN(1,'Model Inputs &amp; Assumptions'!$W$30*EXP('Model Inputs &amp; Assumptions'!$X$30*R1348-'Model Inputs &amp; Assumptions'!$X$30^2/2))</f>
        <v>0.00729220005776832</v>
      </c>
      <c r="G1348" s="45" t="n">
        <f aca="false">ROUND(C1348*F1348,0)</f>
        <v>631</v>
      </c>
      <c r="H1348" s="48" t="n">
        <f aca="false">MAX(0,(C1348*'Model Inputs &amp; Assumptions'!$N$30+E1348*'Model Inputs &amp; Assumptions'!$O$30+G1348*'Model Inputs &amp; Assumptions'!$P$30)*EXP('Model Inputs &amp; Assumptions'!$Q$30*S1348-'Model Inputs &amp; Assumptions'!$Q$30^2/2))</f>
        <v>34.0460273070252</v>
      </c>
      <c r="I1348" s="49" t="n">
        <f aca="false">IF('Model Inputs &amp; Assumptions'!$H$30="Fixed",'Model Inputs &amp; Assumptions'!$I$30*'Model Inputs &amp; Assumptions'!$K$30,IF('Model Inputs &amp; Assumptions'!$H$30="CPM",'Model Inputs &amp; Assumptions'!$I$30*'Model Inputs &amp; Assumptions'!$K$30*C1348/1000,IF('Model Inputs &amp; Assumptions'!$H$30="CPC",'Model Inputs &amp; Assumptions'!$I$30*'Model Inputs &amp; Assumptions'!$K$30*G1348,0)))</f>
        <v>6900</v>
      </c>
      <c r="J1348" s="50" t="n">
        <f aca="false">H1348*INDEX('Model Inputs &amp; Assumptions'!$D$40:$D$42,MATCH('Model Inputs &amp; Assumptions'!$L$30,'Model Inputs &amp; Assumptions'!$A$40:$A$42,0))*INDEX('Model Inputs &amp; Assumptions'!$H$40:$H$42,MATCH('Model Inputs &amp; Assumptions'!$L$30,'Model Inputs &amp; Assumptions'!$A$40:$A$42,0))</f>
        <v>245131.396610581</v>
      </c>
      <c r="K1348" s="49" t="n">
        <f aca="false">H1348*INDEX('Model Inputs &amp; Assumptions'!$G$40:$G$42,MATCH('Model Inputs &amp; Assumptions'!$L$30,'Model Inputs &amp; Assumptions'!$A$40:$A$42,0))*INDEX('Model Inputs &amp; Assumptions'!$H$40:$H$42,MATCH('Model Inputs &amp; Assumptions'!$L$30,'Model Inputs &amp; Assumptions'!$A$40:$A$42,0))</f>
        <v>5405.14729526332</v>
      </c>
      <c r="L1348" s="51" t="n">
        <f aca="false">IFERROR(K1348/I1348,0)</f>
        <v>0.783354680472945</v>
      </c>
      <c r="M1348" s="49" t="n">
        <f aca="false">IFERROR(I1348/H1348,0)</f>
        <v>202.666817416792</v>
      </c>
      <c r="N1348" s="52" t="str">
        <f aca="false">'Model Inputs &amp; Assumptions'!$L$30</f>
        <v>PRD-USIQ</v>
      </c>
      <c r="P1348" s="53" t="n">
        <v>-0.082663</v>
      </c>
      <c r="Q1348" s="53" t="n">
        <v>0.428021</v>
      </c>
      <c r="R1348" s="53" t="n">
        <v>-0.542575</v>
      </c>
      <c r="S1348" s="53" t="n">
        <v>-0.619898</v>
      </c>
    </row>
    <row r="1349" customFormat="false" ht="15" hidden="false" customHeight="false" outlineLevel="0" collapsed="false">
      <c r="A1349" s="43" t="n">
        <v>346</v>
      </c>
      <c r="B1349" s="44" t="str">
        <f aca="false">'Model Inputs &amp; Assumptions'!$B$30</f>
        <v>extraETF — Newsletter Takeover</v>
      </c>
      <c r="C1349" s="45" t="n">
        <f aca="false">ROUND(MAX(0,'Model Inputs &amp; Assumptions'!$S$30*EXP('Model Inputs &amp; Assumptions'!$T$30*P1349-'Model Inputs &amp; Assumptions'!$T$30^2/2)),0)</f>
        <v>88382</v>
      </c>
      <c r="D1349" s="46" t="n">
        <f aca="false">MIN(1,'Model Inputs &amp; Assumptions'!$U$30*EXP('Model Inputs &amp; Assumptions'!$V$30*Q1349-'Model Inputs &amp; Assumptions'!$V$30^2/2))</f>
        <v>0</v>
      </c>
      <c r="E1349" s="45" t="n">
        <f aca="false">ROUND(C1349*D1349,0)</f>
        <v>0</v>
      </c>
      <c r="F1349" s="47" t="n">
        <f aca="false">MIN(1,'Model Inputs &amp; Assumptions'!$W$30*EXP('Model Inputs &amp; Assumptions'!$X$30*R1349-'Model Inputs &amp; Assumptions'!$X$30^2/2))</f>
        <v>0.00788864466824771</v>
      </c>
      <c r="G1349" s="45" t="n">
        <f aca="false">ROUND(C1349*F1349,0)</f>
        <v>697</v>
      </c>
      <c r="H1349" s="48" t="n">
        <f aca="false">MAX(0,(C1349*'Model Inputs &amp; Assumptions'!$N$30+E1349*'Model Inputs &amp; Assumptions'!$O$30+G1349*'Model Inputs &amp; Assumptions'!$P$30)*EXP('Model Inputs &amp; Assumptions'!$Q$30*S1349-'Model Inputs &amp; Assumptions'!$Q$30^2/2))</f>
        <v>43.4238965650916</v>
      </c>
      <c r="I1349" s="49" t="n">
        <f aca="false">IF('Model Inputs &amp; Assumptions'!$H$30="Fixed",'Model Inputs &amp; Assumptions'!$I$30*'Model Inputs &amp; Assumptions'!$K$30,IF('Model Inputs &amp; Assumptions'!$H$30="CPM",'Model Inputs &amp; Assumptions'!$I$30*'Model Inputs &amp; Assumptions'!$K$30*C1349/1000,IF('Model Inputs &amp; Assumptions'!$H$30="CPC",'Model Inputs &amp; Assumptions'!$I$30*'Model Inputs &amp; Assumptions'!$K$30*G1349,0)))</f>
        <v>6900</v>
      </c>
      <c r="J1349" s="50" t="n">
        <f aca="false">H1349*INDEX('Model Inputs &amp; Assumptions'!$D$40:$D$42,MATCH('Model Inputs &amp; Assumptions'!$L$30,'Model Inputs &amp; Assumptions'!$A$40:$A$42,0))*INDEX('Model Inputs &amp; Assumptions'!$H$40:$H$42,MATCH('Model Inputs &amp; Assumptions'!$L$30,'Model Inputs &amp; Assumptions'!$A$40:$A$42,0))</f>
        <v>312652.05526866</v>
      </c>
      <c r="K1349" s="49" t="n">
        <f aca="false">H1349*INDEX('Model Inputs &amp; Assumptions'!$G$40:$G$42,MATCH('Model Inputs &amp; Assumptions'!$L$30,'Model Inputs &amp; Assumptions'!$A$40:$A$42,0))*INDEX('Model Inputs &amp; Assumptions'!$H$40:$H$42,MATCH('Model Inputs &amp; Assumptions'!$L$30,'Model Inputs &amp; Assumptions'!$A$40:$A$42,0))</f>
        <v>6893.97781867395</v>
      </c>
      <c r="L1349" s="51" t="n">
        <f aca="false">IFERROR(K1349/I1349,0)</f>
        <v>0.999127220097674</v>
      </c>
      <c r="M1349" s="49" t="n">
        <f aca="false">IFERROR(I1349/H1349,0)</f>
        <v>158.898683577533</v>
      </c>
      <c r="N1349" s="52" t="str">
        <f aca="false">'Model Inputs &amp; Assumptions'!$L$30</f>
        <v>PRD-USIQ</v>
      </c>
      <c r="P1349" s="53" t="n">
        <v>0.096112</v>
      </c>
      <c r="Q1349" s="53" t="n">
        <v>1.411433</v>
      </c>
      <c r="R1349" s="53" t="n">
        <v>-0.018448</v>
      </c>
      <c r="S1349" s="53" t="n">
        <v>-0.04463</v>
      </c>
    </row>
    <row r="1350" customFormat="false" ht="15" hidden="false" customHeight="false" outlineLevel="0" collapsed="false">
      <c r="A1350" s="43" t="n">
        <v>347</v>
      </c>
      <c r="B1350" s="44" t="str">
        <f aca="false">'Model Inputs &amp; Assumptions'!$B$30</f>
        <v>extraETF — Newsletter Takeover</v>
      </c>
      <c r="C1350" s="45" t="n">
        <f aca="false">ROUND(MAX(0,'Model Inputs &amp; Assumptions'!$S$30*EXP('Model Inputs &amp; Assumptions'!$T$30*P1350-'Model Inputs &amp; Assumptions'!$T$30^2/2)),0)</f>
        <v>87734</v>
      </c>
      <c r="D1350" s="46" t="n">
        <f aca="false">MIN(1,'Model Inputs &amp; Assumptions'!$U$30*EXP('Model Inputs &amp; Assumptions'!$V$30*Q1350-'Model Inputs &amp; Assumptions'!$V$30^2/2))</f>
        <v>0</v>
      </c>
      <c r="E1350" s="45" t="n">
        <f aca="false">ROUND(C1350*D1350,0)</f>
        <v>0</v>
      </c>
      <c r="F1350" s="47" t="n">
        <f aca="false">MIN(1,'Model Inputs &amp; Assumptions'!$W$30*EXP('Model Inputs &amp; Assumptions'!$X$30*R1350-'Model Inputs &amp; Assumptions'!$X$30^2/2))</f>
        <v>0.0101172323340699</v>
      </c>
      <c r="G1350" s="45" t="n">
        <f aca="false">ROUND(C1350*F1350,0)</f>
        <v>888</v>
      </c>
      <c r="H1350" s="48" t="n">
        <f aca="false">MAX(0,(C1350*'Model Inputs &amp; Assumptions'!$N$30+E1350*'Model Inputs &amp; Assumptions'!$O$30+G1350*'Model Inputs &amp; Assumptions'!$P$30)*EXP('Model Inputs &amp; Assumptions'!$Q$30*S1350-'Model Inputs &amp; Assumptions'!$Q$30^2/2))</f>
        <v>51.9037729419186</v>
      </c>
      <c r="I1350" s="49" t="n">
        <f aca="false">IF('Model Inputs &amp; Assumptions'!$H$30="Fixed",'Model Inputs &amp; Assumptions'!$I$30*'Model Inputs &amp; Assumptions'!$K$30,IF('Model Inputs &amp; Assumptions'!$H$30="CPM",'Model Inputs &amp; Assumptions'!$I$30*'Model Inputs &amp; Assumptions'!$K$30*C1350/1000,IF('Model Inputs &amp; Assumptions'!$H$30="CPC",'Model Inputs &amp; Assumptions'!$I$30*'Model Inputs &amp; Assumptions'!$K$30*G1350,0)))</f>
        <v>6900</v>
      </c>
      <c r="J1350" s="50" t="n">
        <f aca="false">H1350*INDEX('Model Inputs &amp; Assumptions'!$D$40:$D$42,MATCH('Model Inputs &amp; Assumptions'!$L$30,'Model Inputs &amp; Assumptions'!$A$40:$A$42,0))*INDEX('Model Inputs &amp; Assumptions'!$H$40:$H$42,MATCH('Model Inputs &amp; Assumptions'!$L$30,'Model Inputs &amp; Assumptions'!$A$40:$A$42,0))</f>
        <v>373707.165181814</v>
      </c>
      <c r="K1350" s="49" t="n">
        <f aca="false">H1350*INDEX('Model Inputs &amp; Assumptions'!$G$40:$G$42,MATCH('Model Inputs &amp; Assumptions'!$L$30,'Model Inputs &amp; Assumptions'!$A$40:$A$42,0))*INDEX('Model Inputs &amp; Assumptions'!$H$40:$H$42,MATCH('Model Inputs &amp; Assumptions'!$L$30,'Model Inputs &amp; Assumptions'!$A$40:$A$42,0))</f>
        <v>8240.24299225899</v>
      </c>
      <c r="L1350" s="51" t="n">
        <f aca="false">IFERROR(K1350/I1350,0)</f>
        <v>1.19423811482014</v>
      </c>
      <c r="M1350" s="49" t="n">
        <f aca="false">IFERROR(I1350/H1350,0)</f>
        <v>132.938312745034</v>
      </c>
      <c r="N1350" s="52" t="str">
        <f aca="false">'Model Inputs &amp; Assumptions'!$L$30</f>
        <v>PRD-USIQ</v>
      </c>
      <c r="P1350" s="53" t="n">
        <v>0.034798</v>
      </c>
      <c r="Q1350" s="53" t="n">
        <v>1.563917</v>
      </c>
      <c r="R1350" s="53" t="n">
        <v>1.640324</v>
      </c>
      <c r="S1350" s="53" t="n">
        <v>-0.299849</v>
      </c>
    </row>
    <row r="1351" customFormat="false" ht="15" hidden="false" customHeight="false" outlineLevel="0" collapsed="false">
      <c r="A1351" s="43" t="n">
        <v>348</v>
      </c>
      <c r="B1351" s="44" t="str">
        <f aca="false">'Model Inputs &amp; Assumptions'!$B$30</f>
        <v>extraETF — Newsletter Takeover</v>
      </c>
      <c r="C1351" s="45" t="n">
        <f aca="false">ROUND(MAX(0,'Model Inputs &amp; Assumptions'!$S$30*EXP('Model Inputs &amp; Assumptions'!$T$30*P1351-'Model Inputs &amp; Assumptions'!$T$30^2/2)),0)</f>
        <v>89549</v>
      </c>
      <c r="D1351" s="46" t="n">
        <f aca="false">MIN(1,'Model Inputs &amp; Assumptions'!$U$30*EXP('Model Inputs &amp; Assumptions'!$V$30*Q1351-'Model Inputs &amp; Assumptions'!$V$30^2/2))</f>
        <v>0</v>
      </c>
      <c r="E1351" s="45" t="n">
        <f aca="false">ROUND(C1351*D1351,0)</f>
        <v>0</v>
      </c>
      <c r="F1351" s="47" t="n">
        <f aca="false">MIN(1,'Model Inputs &amp; Assumptions'!$W$30*EXP('Model Inputs &amp; Assumptions'!$X$30*R1351-'Model Inputs &amp; Assumptions'!$X$30^2/2))</f>
        <v>0.00728672967911453</v>
      </c>
      <c r="G1351" s="45" t="n">
        <f aca="false">ROUND(C1351*F1351,0)</f>
        <v>653</v>
      </c>
      <c r="H1351" s="48" t="n">
        <f aca="false">MAX(0,(C1351*'Model Inputs &amp; Assumptions'!$N$30+E1351*'Model Inputs &amp; Assumptions'!$O$30+G1351*'Model Inputs &amp; Assumptions'!$P$30)*EXP('Model Inputs &amp; Assumptions'!$Q$30*S1351-'Model Inputs &amp; Assumptions'!$Q$30^2/2))</f>
        <v>47.6996886295181</v>
      </c>
      <c r="I1351" s="49" t="n">
        <f aca="false">IF('Model Inputs &amp; Assumptions'!$H$30="Fixed",'Model Inputs &amp; Assumptions'!$I$30*'Model Inputs &amp; Assumptions'!$K$30,IF('Model Inputs &amp; Assumptions'!$H$30="CPM",'Model Inputs &amp; Assumptions'!$I$30*'Model Inputs &amp; Assumptions'!$K$30*C1351/1000,IF('Model Inputs &amp; Assumptions'!$H$30="CPC",'Model Inputs &amp; Assumptions'!$I$30*'Model Inputs &amp; Assumptions'!$K$30*G1351,0)))</f>
        <v>6900</v>
      </c>
      <c r="J1351" s="50" t="n">
        <f aca="false">H1351*INDEX('Model Inputs &amp; Assumptions'!$D$40:$D$42,MATCH('Model Inputs &amp; Assumptions'!$L$30,'Model Inputs &amp; Assumptions'!$A$40:$A$42,0))*INDEX('Model Inputs &amp; Assumptions'!$H$40:$H$42,MATCH('Model Inputs &amp; Assumptions'!$L$30,'Model Inputs &amp; Assumptions'!$A$40:$A$42,0))</f>
        <v>343437.75813253</v>
      </c>
      <c r="K1351" s="49" t="n">
        <f aca="false">H1351*INDEX('Model Inputs &amp; Assumptions'!$G$40:$G$42,MATCH('Model Inputs &amp; Assumptions'!$L$30,'Model Inputs &amp; Assumptions'!$A$40:$A$42,0))*INDEX('Model Inputs &amp; Assumptions'!$H$40:$H$42,MATCH('Model Inputs &amp; Assumptions'!$L$30,'Model Inputs &amp; Assumptions'!$A$40:$A$42,0))</f>
        <v>7572.80256682229</v>
      </c>
      <c r="L1351" s="51" t="n">
        <f aca="false">IFERROR(K1351/I1351,0)</f>
        <v>1.09750761838004</v>
      </c>
      <c r="M1351" s="49" t="n">
        <f aca="false">IFERROR(I1351/H1351,0)</f>
        <v>144.655032312518</v>
      </c>
      <c r="N1351" s="52" t="str">
        <f aca="false">'Model Inputs &amp; Assumptions'!$L$30</f>
        <v>PRD-USIQ</v>
      </c>
      <c r="P1351" s="53" t="n">
        <v>0.205439</v>
      </c>
      <c r="Q1351" s="53" t="n">
        <v>-0.135209</v>
      </c>
      <c r="R1351" s="53" t="n">
        <v>-0.547578</v>
      </c>
      <c r="S1351" s="53" t="n">
        <v>0.591863</v>
      </c>
    </row>
    <row r="1352" customFormat="false" ht="15" hidden="false" customHeight="false" outlineLevel="0" collapsed="false">
      <c r="A1352" s="43" t="n">
        <v>349</v>
      </c>
      <c r="B1352" s="44" t="str">
        <f aca="false">'Model Inputs &amp; Assumptions'!$B$30</f>
        <v>extraETF — Newsletter Takeover</v>
      </c>
      <c r="C1352" s="45" t="n">
        <f aca="false">ROUND(MAX(0,'Model Inputs &amp; Assumptions'!$S$30*EXP('Model Inputs &amp; Assumptions'!$T$30*P1352-'Model Inputs &amp; Assumptions'!$T$30^2/2)),0)</f>
        <v>89594</v>
      </c>
      <c r="D1352" s="46" t="n">
        <f aca="false">MIN(1,'Model Inputs &amp; Assumptions'!$U$30*EXP('Model Inputs &amp; Assumptions'!$V$30*Q1352-'Model Inputs &amp; Assumptions'!$V$30^2/2))</f>
        <v>0</v>
      </c>
      <c r="E1352" s="45" t="n">
        <f aca="false">ROUND(C1352*D1352,0)</f>
        <v>0</v>
      </c>
      <c r="F1352" s="47" t="n">
        <f aca="false">MIN(1,'Model Inputs &amp; Assumptions'!$W$30*EXP('Model Inputs &amp; Assumptions'!$X$30*R1352-'Model Inputs &amp; Assumptions'!$X$30^2/2))</f>
        <v>0.00796596619969948</v>
      </c>
      <c r="G1352" s="45" t="n">
        <f aca="false">ROUND(C1352*F1352,0)</f>
        <v>714</v>
      </c>
      <c r="H1352" s="48" t="n">
        <f aca="false">MAX(0,(C1352*'Model Inputs &amp; Assumptions'!$N$30+E1352*'Model Inputs &amp; Assumptions'!$O$30+G1352*'Model Inputs &amp; Assumptions'!$P$30)*EXP('Model Inputs &amp; Assumptions'!$Q$30*S1352-'Model Inputs &amp; Assumptions'!$Q$30^2/2))</f>
        <v>36.8465393806689</v>
      </c>
      <c r="I1352" s="49" t="n">
        <f aca="false">IF('Model Inputs &amp; Assumptions'!$H$30="Fixed",'Model Inputs &amp; Assumptions'!$I$30*'Model Inputs &amp; Assumptions'!$K$30,IF('Model Inputs &amp; Assumptions'!$H$30="CPM",'Model Inputs &amp; Assumptions'!$I$30*'Model Inputs &amp; Assumptions'!$K$30*C1352/1000,IF('Model Inputs &amp; Assumptions'!$H$30="CPC",'Model Inputs &amp; Assumptions'!$I$30*'Model Inputs &amp; Assumptions'!$K$30*G1352,0)))</f>
        <v>6900</v>
      </c>
      <c r="J1352" s="50" t="n">
        <f aca="false">H1352*INDEX('Model Inputs &amp; Assumptions'!$D$40:$D$42,MATCH('Model Inputs &amp; Assumptions'!$L$30,'Model Inputs &amp; Assumptions'!$A$40:$A$42,0))*INDEX('Model Inputs &amp; Assumptions'!$H$40:$H$42,MATCH('Model Inputs &amp; Assumptions'!$L$30,'Model Inputs &amp; Assumptions'!$A$40:$A$42,0))</f>
        <v>265295.083540816</v>
      </c>
      <c r="K1352" s="49" t="n">
        <f aca="false">H1352*INDEX('Model Inputs &amp; Assumptions'!$G$40:$G$42,MATCH('Model Inputs &amp; Assumptions'!$L$30,'Model Inputs &amp; Assumptions'!$A$40:$A$42,0))*INDEX('Model Inputs &amp; Assumptions'!$H$40:$H$42,MATCH('Model Inputs &amp; Assumptions'!$L$30,'Model Inputs &amp; Assumptions'!$A$40:$A$42,0))</f>
        <v>5849.756592075</v>
      </c>
      <c r="L1352" s="51" t="n">
        <f aca="false">IFERROR(K1352/I1352,0)</f>
        <v>0.847790810445652</v>
      </c>
      <c r="M1352" s="49" t="n">
        <f aca="false">IFERROR(I1352/H1352,0)</f>
        <v>187.263176297636</v>
      </c>
      <c r="N1352" s="52" t="str">
        <f aca="false">'Model Inputs &amp; Assumptions'!$L$30</f>
        <v>PRD-USIQ</v>
      </c>
      <c r="P1352" s="53" t="n">
        <v>0.209588</v>
      </c>
      <c r="Q1352" s="53" t="n">
        <v>-0.840664</v>
      </c>
      <c r="R1352" s="53" t="n">
        <v>0.046578</v>
      </c>
      <c r="S1352" s="53" t="n">
        <v>-0.798013</v>
      </c>
    </row>
    <row r="1353" customFormat="false" ht="15" hidden="false" customHeight="false" outlineLevel="0" collapsed="false">
      <c r="A1353" s="43" t="n">
        <v>350</v>
      </c>
      <c r="B1353" s="44" t="str">
        <f aca="false">'Model Inputs &amp; Assumptions'!$B$30</f>
        <v>extraETF — Newsletter Takeover</v>
      </c>
      <c r="C1353" s="45" t="n">
        <f aca="false">ROUND(MAX(0,'Model Inputs &amp; Assumptions'!$S$30*EXP('Model Inputs &amp; Assumptions'!$T$30*P1353-'Model Inputs &amp; Assumptions'!$T$30^2/2)),0)</f>
        <v>87405</v>
      </c>
      <c r="D1353" s="46" t="n">
        <f aca="false">MIN(1,'Model Inputs &amp; Assumptions'!$U$30*EXP('Model Inputs &amp; Assumptions'!$V$30*Q1353-'Model Inputs &amp; Assumptions'!$V$30^2/2))</f>
        <v>0</v>
      </c>
      <c r="E1353" s="45" t="n">
        <f aca="false">ROUND(C1353*D1353,0)</f>
        <v>0</v>
      </c>
      <c r="F1353" s="47" t="n">
        <f aca="false">MIN(1,'Model Inputs &amp; Assumptions'!$W$30*EXP('Model Inputs &amp; Assumptions'!$X$30*R1353-'Model Inputs &amp; Assumptions'!$X$30^2/2))</f>
        <v>0.00953625491362592</v>
      </c>
      <c r="G1353" s="45" t="n">
        <f aca="false">ROUND(C1353*F1353,0)</f>
        <v>834</v>
      </c>
      <c r="H1353" s="48" t="n">
        <f aca="false">MAX(0,(C1353*'Model Inputs &amp; Assumptions'!$N$30+E1353*'Model Inputs &amp; Assumptions'!$O$30+G1353*'Model Inputs &amp; Assumptions'!$P$30)*EXP('Model Inputs &amp; Assumptions'!$Q$30*S1353-'Model Inputs &amp; Assumptions'!$Q$30^2/2))</f>
        <v>42.5354201136512</v>
      </c>
      <c r="I1353" s="49" t="n">
        <f aca="false">IF('Model Inputs &amp; Assumptions'!$H$30="Fixed",'Model Inputs &amp; Assumptions'!$I$30*'Model Inputs &amp; Assumptions'!$K$30,IF('Model Inputs &amp; Assumptions'!$H$30="CPM",'Model Inputs &amp; Assumptions'!$I$30*'Model Inputs &amp; Assumptions'!$K$30*C1353/1000,IF('Model Inputs &amp; Assumptions'!$H$30="CPC",'Model Inputs &amp; Assumptions'!$I$30*'Model Inputs &amp; Assumptions'!$K$30*G1353,0)))</f>
        <v>6900</v>
      </c>
      <c r="J1353" s="50" t="n">
        <f aca="false">H1353*INDEX('Model Inputs &amp; Assumptions'!$D$40:$D$42,MATCH('Model Inputs &amp; Assumptions'!$L$30,'Model Inputs &amp; Assumptions'!$A$40:$A$42,0))*INDEX('Model Inputs &amp; Assumptions'!$H$40:$H$42,MATCH('Model Inputs &amp; Assumptions'!$L$30,'Model Inputs &amp; Assumptions'!$A$40:$A$42,0))</f>
        <v>306255.024818289</v>
      </c>
      <c r="K1353" s="49" t="n">
        <f aca="false">H1353*INDEX('Model Inputs &amp; Assumptions'!$G$40:$G$42,MATCH('Model Inputs &amp; Assumptions'!$L$30,'Model Inputs &amp; Assumptions'!$A$40:$A$42,0))*INDEX('Model Inputs &amp; Assumptions'!$H$40:$H$42,MATCH('Model Inputs &amp; Assumptions'!$L$30,'Model Inputs &amp; Assumptions'!$A$40:$A$42,0))</f>
        <v>6752.92329724327</v>
      </c>
      <c r="L1353" s="51" t="n">
        <f aca="false">IFERROR(K1353/I1353,0)</f>
        <v>0.978684535832358</v>
      </c>
      <c r="M1353" s="49" t="n">
        <f aca="false">IFERROR(I1353/H1353,0)</f>
        <v>162.217746564246</v>
      </c>
      <c r="N1353" s="52" t="str">
        <f aca="false">'Model Inputs &amp; Assumptions'!$L$30</f>
        <v>PRD-USIQ</v>
      </c>
      <c r="P1353" s="53" t="n">
        <v>0.00342</v>
      </c>
      <c r="Q1353" s="53" t="n">
        <v>-1.785923</v>
      </c>
      <c r="R1353" s="53" t="n">
        <v>1.246062</v>
      </c>
      <c r="S1353" s="53" t="n">
        <v>-0.845113</v>
      </c>
    </row>
    <row r="1354" customFormat="false" ht="15" hidden="false" customHeight="false" outlineLevel="0" collapsed="false">
      <c r="A1354" s="43" t="n">
        <v>351</v>
      </c>
      <c r="B1354" s="44" t="str">
        <f aca="false">'Model Inputs &amp; Assumptions'!$B$30</f>
        <v>extraETF — Newsletter Takeover</v>
      </c>
      <c r="C1354" s="45" t="n">
        <f aca="false">ROUND(MAX(0,'Model Inputs &amp; Assumptions'!$S$30*EXP('Model Inputs &amp; Assumptions'!$T$30*P1354-'Model Inputs &amp; Assumptions'!$T$30^2/2)),0)</f>
        <v>98732</v>
      </c>
      <c r="D1354" s="46" t="n">
        <f aca="false">MIN(1,'Model Inputs &amp; Assumptions'!$U$30*EXP('Model Inputs &amp; Assumptions'!$V$30*Q1354-'Model Inputs &amp; Assumptions'!$V$30^2/2))</f>
        <v>0</v>
      </c>
      <c r="E1354" s="45" t="n">
        <f aca="false">ROUND(C1354*D1354,0)</f>
        <v>0</v>
      </c>
      <c r="F1354" s="47" t="n">
        <f aca="false">MIN(1,'Model Inputs &amp; Assumptions'!$W$30*EXP('Model Inputs &amp; Assumptions'!$X$30*R1354-'Model Inputs &amp; Assumptions'!$X$30^2/2))</f>
        <v>0.00937957583343753</v>
      </c>
      <c r="G1354" s="45" t="n">
        <f aca="false">ROUND(C1354*F1354,0)</f>
        <v>926</v>
      </c>
      <c r="H1354" s="48" t="n">
        <f aca="false">MAX(0,(C1354*'Model Inputs &amp; Assumptions'!$N$30+E1354*'Model Inputs &amp; Assumptions'!$O$30+G1354*'Model Inputs &amp; Assumptions'!$P$30)*EXP('Model Inputs &amp; Assumptions'!$Q$30*S1354-'Model Inputs &amp; Assumptions'!$Q$30^2/2))</f>
        <v>51.6902008859114</v>
      </c>
      <c r="I1354" s="49" t="n">
        <f aca="false">IF('Model Inputs &amp; Assumptions'!$H$30="Fixed",'Model Inputs &amp; Assumptions'!$I$30*'Model Inputs &amp; Assumptions'!$K$30,IF('Model Inputs &amp; Assumptions'!$H$30="CPM",'Model Inputs &amp; Assumptions'!$I$30*'Model Inputs &amp; Assumptions'!$K$30*C1354/1000,IF('Model Inputs &amp; Assumptions'!$H$30="CPC",'Model Inputs &amp; Assumptions'!$I$30*'Model Inputs &amp; Assumptions'!$K$30*G1354,0)))</f>
        <v>6900</v>
      </c>
      <c r="J1354" s="50" t="n">
        <f aca="false">H1354*INDEX('Model Inputs &amp; Assumptions'!$D$40:$D$42,MATCH('Model Inputs &amp; Assumptions'!$L$30,'Model Inputs &amp; Assumptions'!$A$40:$A$42,0))*INDEX('Model Inputs &amp; Assumptions'!$H$40:$H$42,MATCH('Model Inputs &amp; Assumptions'!$L$30,'Model Inputs &amp; Assumptions'!$A$40:$A$42,0))</f>
        <v>372169.446378562</v>
      </c>
      <c r="K1354" s="49" t="n">
        <f aca="false">H1354*INDEX('Model Inputs &amp; Assumptions'!$G$40:$G$42,MATCH('Model Inputs &amp; Assumptions'!$L$30,'Model Inputs &amp; Assumptions'!$A$40:$A$42,0))*INDEX('Model Inputs &amp; Assumptions'!$H$40:$H$42,MATCH('Model Inputs &amp; Assumptions'!$L$30,'Model Inputs &amp; Assumptions'!$A$40:$A$42,0))</f>
        <v>8206.33629264729</v>
      </c>
      <c r="L1354" s="51" t="n">
        <f aca="false">IFERROR(K1354/I1354,0)</f>
        <v>1.18932410038366</v>
      </c>
      <c r="M1354" s="49" t="n">
        <f aca="false">IFERROR(I1354/H1354,0)</f>
        <v>133.487583366708</v>
      </c>
      <c r="N1354" s="52" t="str">
        <f aca="false">'Model Inputs &amp; Assumptions'!$L$30</f>
        <v>PRD-USIQ</v>
      </c>
      <c r="P1354" s="53" t="n">
        <v>1.018925</v>
      </c>
      <c r="Q1354" s="53" t="n">
        <v>-0.25798</v>
      </c>
      <c r="R1354" s="53" t="n">
        <v>1.13562</v>
      </c>
      <c r="S1354" s="53" t="n">
        <v>-0.483952</v>
      </c>
    </row>
    <row r="1355" customFormat="false" ht="15" hidden="false" customHeight="false" outlineLevel="0" collapsed="false">
      <c r="A1355" s="43" t="n">
        <v>352</v>
      </c>
      <c r="B1355" s="44" t="str">
        <f aca="false">'Model Inputs &amp; Assumptions'!$B$30</f>
        <v>extraETF — Newsletter Takeover</v>
      </c>
      <c r="C1355" s="45" t="n">
        <f aca="false">ROUND(MAX(0,'Model Inputs &amp; Assumptions'!$S$30*EXP('Model Inputs &amp; Assumptions'!$T$30*P1355-'Model Inputs &amp; Assumptions'!$T$30^2/2)),0)</f>
        <v>86274</v>
      </c>
      <c r="D1355" s="46" t="n">
        <f aca="false">MIN(1,'Model Inputs &amp; Assumptions'!$U$30*EXP('Model Inputs &amp; Assumptions'!$V$30*Q1355-'Model Inputs &amp; Assumptions'!$V$30^2/2))</f>
        <v>0</v>
      </c>
      <c r="E1355" s="45" t="n">
        <f aca="false">ROUND(C1355*D1355,0)</f>
        <v>0</v>
      </c>
      <c r="F1355" s="47" t="n">
        <f aca="false">MIN(1,'Model Inputs &amp; Assumptions'!$W$30*EXP('Model Inputs &amp; Assumptions'!$X$30*R1355-'Model Inputs &amp; Assumptions'!$X$30^2/2))</f>
        <v>0.00657432322810807</v>
      </c>
      <c r="G1355" s="45" t="n">
        <f aca="false">ROUND(C1355*F1355,0)</f>
        <v>567</v>
      </c>
      <c r="H1355" s="48" t="n">
        <f aca="false">MAX(0,(C1355*'Model Inputs &amp; Assumptions'!$N$30+E1355*'Model Inputs &amp; Assumptions'!$O$30+G1355*'Model Inputs &amp; Assumptions'!$P$30)*EXP('Model Inputs &amp; Assumptions'!$Q$30*S1355-'Model Inputs &amp; Assumptions'!$Q$30^2/2))</f>
        <v>43.5909820236232</v>
      </c>
      <c r="I1355" s="49" t="n">
        <f aca="false">IF('Model Inputs &amp; Assumptions'!$H$30="Fixed",'Model Inputs &amp; Assumptions'!$I$30*'Model Inputs &amp; Assumptions'!$K$30,IF('Model Inputs &amp; Assumptions'!$H$30="CPM",'Model Inputs &amp; Assumptions'!$I$30*'Model Inputs &amp; Assumptions'!$K$30*C1355/1000,IF('Model Inputs &amp; Assumptions'!$H$30="CPC",'Model Inputs &amp; Assumptions'!$I$30*'Model Inputs &amp; Assumptions'!$K$30*G1355,0)))</f>
        <v>6900</v>
      </c>
      <c r="J1355" s="50" t="n">
        <f aca="false">H1355*INDEX('Model Inputs &amp; Assumptions'!$D$40:$D$42,MATCH('Model Inputs &amp; Assumptions'!$L$30,'Model Inputs &amp; Assumptions'!$A$40:$A$42,0))*INDEX('Model Inputs &amp; Assumptions'!$H$40:$H$42,MATCH('Model Inputs &amp; Assumptions'!$L$30,'Model Inputs &amp; Assumptions'!$A$40:$A$42,0))</f>
        <v>313855.070570087</v>
      </c>
      <c r="K1355" s="49" t="n">
        <f aca="false">H1355*INDEX('Model Inputs &amp; Assumptions'!$G$40:$G$42,MATCH('Model Inputs &amp; Assumptions'!$L$30,'Model Inputs &amp; Assumptions'!$A$40:$A$42,0))*INDEX('Model Inputs &amp; Assumptions'!$H$40:$H$42,MATCH('Model Inputs &amp; Assumptions'!$L$30,'Model Inputs &amp; Assumptions'!$A$40:$A$42,0))</f>
        <v>6920.50430607042</v>
      </c>
      <c r="L1355" s="51" t="n">
        <f aca="false">IFERROR(K1355/I1355,0)</f>
        <v>1.00297163856093</v>
      </c>
      <c r="M1355" s="49" t="n">
        <f aca="false">IFERROR(I1355/H1355,0)</f>
        <v>158.289620460046</v>
      </c>
      <c r="N1355" s="52" t="str">
        <f aca="false">'Model Inputs &amp; Assumptions'!$L$30</f>
        <v>PRD-USIQ</v>
      </c>
      <c r="P1355" s="53" t="n">
        <v>-0.105113</v>
      </c>
      <c r="Q1355" s="53" t="n">
        <v>0.848363</v>
      </c>
      <c r="R1355" s="53" t="n">
        <v>-1.233466</v>
      </c>
      <c r="S1355" s="53" t="n">
        <v>0.796436</v>
      </c>
    </row>
    <row r="1356" customFormat="false" ht="15" hidden="false" customHeight="false" outlineLevel="0" collapsed="false">
      <c r="A1356" s="43" t="n">
        <v>353</v>
      </c>
      <c r="B1356" s="44" t="str">
        <f aca="false">'Model Inputs &amp; Assumptions'!$B$30</f>
        <v>extraETF — Newsletter Takeover</v>
      </c>
      <c r="C1356" s="45" t="n">
        <f aca="false">ROUND(MAX(0,'Model Inputs &amp; Assumptions'!$S$30*EXP('Model Inputs &amp; Assumptions'!$T$30*P1356-'Model Inputs &amp; Assumptions'!$T$30^2/2)),0)</f>
        <v>77814</v>
      </c>
      <c r="D1356" s="46" t="n">
        <f aca="false">MIN(1,'Model Inputs &amp; Assumptions'!$U$30*EXP('Model Inputs &amp; Assumptions'!$V$30*Q1356-'Model Inputs &amp; Assumptions'!$V$30^2/2))</f>
        <v>0</v>
      </c>
      <c r="E1356" s="45" t="n">
        <f aca="false">ROUND(C1356*D1356,0)</f>
        <v>0</v>
      </c>
      <c r="F1356" s="47" t="n">
        <f aca="false">MIN(1,'Model Inputs &amp; Assumptions'!$W$30*EXP('Model Inputs &amp; Assumptions'!$X$30*R1356-'Model Inputs &amp; Assumptions'!$X$30^2/2))</f>
        <v>0.00630835813159454</v>
      </c>
      <c r="G1356" s="45" t="n">
        <f aca="false">ROUND(C1356*F1356,0)</f>
        <v>491</v>
      </c>
      <c r="H1356" s="48" t="n">
        <f aca="false">MAX(0,(C1356*'Model Inputs &amp; Assumptions'!$N$30+E1356*'Model Inputs &amp; Assumptions'!$O$30+G1356*'Model Inputs &amp; Assumptions'!$P$30)*EXP('Model Inputs &amp; Assumptions'!$Q$30*S1356-'Model Inputs &amp; Assumptions'!$Q$30^2/2))</f>
        <v>33.112012061432</v>
      </c>
      <c r="I1356" s="49" t="n">
        <f aca="false">IF('Model Inputs &amp; Assumptions'!$H$30="Fixed",'Model Inputs &amp; Assumptions'!$I$30*'Model Inputs &amp; Assumptions'!$K$30,IF('Model Inputs &amp; Assumptions'!$H$30="CPM",'Model Inputs &amp; Assumptions'!$I$30*'Model Inputs &amp; Assumptions'!$K$30*C1356/1000,IF('Model Inputs &amp; Assumptions'!$H$30="CPC",'Model Inputs &amp; Assumptions'!$I$30*'Model Inputs &amp; Assumptions'!$K$30*G1356,0)))</f>
        <v>6900</v>
      </c>
      <c r="J1356" s="50" t="n">
        <f aca="false">H1356*INDEX('Model Inputs &amp; Assumptions'!$D$40:$D$42,MATCH('Model Inputs &amp; Assumptions'!$L$30,'Model Inputs &amp; Assumptions'!$A$40:$A$42,0))*INDEX('Model Inputs &amp; Assumptions'!$H$40:$H$42,MATCH('Model Inputs &amp; Assumptions'!$L$30,'Model Inputs &amp; Assumptions'!$A$40:$A$42,0))</f>
        <v>238406.48684231</v>
      </c>
      <c r="K1356" s="49" t="n">
        <f aca="false">H1356*INDEX('Model Inputs &amp; Assumptions'!$G$40:$G$42,MATCH('Model Inputs &amp; Assumptions'!$L$30,'Model Inputs &amp; Assumptions'!$A$40:$A$42,0))*INDEX('Model Inputs &amp; Assumptions'!$H$40:$H$42,MATCH('Model Inputs &amp; Assumptions'!$L$30,'Model Inputs &amp; Assumptions'!$A$40:$A$42,0))</f>
        <v>5256.86303487294</v>
      </c>
      <c r="L1356" s="51" t="n">
        <f aca="false">IFERROR(K1356/I1356,0)</f>
        <v>0.761864207952599</v>
      </c>
      <c r="M1356" s="49" t="n">
        <f aca="false">IFERROR(I1356/H1356,0)</f>
        <v>208.383591646397</v>
      </c>
      <c r="N1356" s="52" t="str">
        <f aca="false">'Model Inputs &amp; Assumptions'!$L$30</f>
        <v>PRD-USIQ</v>
      </c>
      <c r="P1356" s="53" t="n">
        <v>-0.965095</v>
      </c>
      <c r="Q1356" s="53" t="n">
        <v>-1.753349</v>
      </c>
      <c r="R1356" s="53" t="n">
        <v>-1.508774</v>
      </c>
      <c r="S1356" s="53" t="n">
        <v>0.27228</v>
      </c>
    </row>
    <row r="1357" customFormat="false" ht="15" hidden="false" customHeight="false" outlineLevel="0" collapsed="false">
      <c r="A1357" s="43" t="n">
        <v>354</v>
      </c>
      <c r="B1357" s="44" t="str">
        <f aca="false">'Model Inputs &amp; Assumptions'!$B$30</f>
        <v>extraETF — Newsletter Takeover</v>
      </c>
      <c r="C1357" s="45" t="n">
        <f aca="false">ROUND(MAX(0,'Model Inputs &amp; Assumptions'!$S$30*EXP('Model Inputs &amp; Assumptions'!$T$30*P1357-'Model Inputs &amp; Assumptions'!$T$30^2/2)),0)</f>
        <v>82548</v>
      </c>
      <c r="D1357" s="46" t="n">
        <f aca="false">MIN(1,'Model Inputs &amp; Assumptions'!$U$30*EXP('Model Inputs &amp; Assumptions'!$V$30*Q1357-'Model Inputs &amp; Assumptions'!$V$30^2/2))</f>
        <v>0</v>
      </c>
      <c r="E1357" s="45" t="n">
        <f aca="false">ROUND(C1357*D1357,0)</f>
        <v>0</v>
      </c>
      <c r="F1357" s="47" t="n">
        <f aca="false">MIN(1,'Model Inputs &amp; Assumptions'!$W$30*EXP('Model Inputs &amp; Assumptions'!$X$30*R1357-'Model Inputs &amp; Assumptions'!$X$30^2/2))</f>
        <v>0.010132301021535</v>
      </c>
      <c r="G1357" s="45" t="n">
        <f aca="false">ROUND(C1357*F1357,0)</f>
        <v>836</v>
      </c>
      <c r="H1357" s="48" t="n">
        <f aca="false">MAX(0,(C1357*'Model Inputs &amp; Assumptions'!$N$30+E1357*'Model Inputs &amp; Assumptions'!$O$30+G1357*'Model Inputs &amp; Assumptions'!$P$30)*EXP('Model Inputs &amp; Assumptions'!$Q$30*S1357-'Model Inputs &amp; Assumptions'!$Q$30^2/2))</f>
        <v>52.3698531393713</v>
      </c>
      <c r="I1357" s="49" t="n">
        <f aca="false">IF('Model Inputs &amp; Assumptions'!$H$30="Fixed",'Model Inputs &amp; Assumptions'!$I$30*'Model Inputs &amp; Assumptions'!$K$30,IF('Model Inputs &amp; Assumptions'!$H$30="CPM",'Model Inputs &amp; Assumptions'!$I$30*'Model Inputs &amp; Assumptions'!$K$30*C1357/1000,IF('Model Inputs &amp; Assumptions'!$H$30="CPC",'Model Inputs &amp; Assumptions'!$I$30*'Model Inputs &amp; Assumptions'!$K$30*G1357,0)))</f>
        <v>6900</v>
      </c>
      <c r="J1357" s="50" t="n">
        <f aca="false">H1357*INDEX('Model Inputs &amp; Assumptions'!$D$40:$D$42,MATCH('Model Inputs &amp; Assumptions'!$L$30,'Model Inputs &amp; Assumptions'!$A$40:$A$42,0))*INDEX('Model Inputs &amp; Assumptions'!$H$40:$H$42,MATCH('Model Inputs &amp; Assumptions'!$L$30,'Model Inputs &amp; Assumptions'!$A$40:$A$42,0))</f>
        <v>377062.942603474</v>
      </c>
      <c r="K1357" s="49" t="n">
        <f aca="false">H1357*INDEX('Model Inputs &amp; Assumptions'!$G$40:$G$42,MATCH('Model Inputs &amp; Assumptions'!$L$30,'Model Inputs &amp; Assumptions'!$A$40:$A$42,0))*INDEX('Model Inputs &amp; Assumptions'!$H$40:$H$42,MATCH('Model Inputs &amp; Assumptions'!$L$30,'Model Inputs &amp; Assumptions'!$A$40:$A$42,0))</f>
        <v>8314.23788440659</v>
      </c>
      <c r="L1357" s="51" t="n">
        <f aca="false">IFERROR(K1357/I1357,0)</f>
        <v>1.20496201223284</v>
      </c>
      <c r="M1357" s="49" t="n">
        <f aca="false">IFERROR(I1357/H1357,0)</f>
        <v>131.755190942337</v>
      </c>
      <c r="N1357" s="52" t="str">
        <f aca="false">'Model Inputs &amp; Assumptions'!$L$30</f>
        <v>PRD-USIQ</v>
      </c>
      <c r="P1357" s="53" t="n">
        <v>-0.472976</v>
      </c>
      <c r="Q1357" s="53" t="n">
        <v>-0.340809</v>
      </c>
      <c r="R1357" s="53" t="n">
        <v>1.650246</v>
      </c>
      <c r="S1357" s="53" t="n">
        <v>-0.022718</v>
      </c>
    </row>
    <row r="1358" customFormat="false" ht="15" hidden="false" customHeight="false" outlineLevel="0" collapsed="false">
      <c r="A1358" s="43" t="n">
        <v>355</v>
      </c>
      <c r="B1358" s="44" t="str">
        <f aca="false">'Model Inputs &amp; Assumptions'!$B$30</f>
        <v>extraETF — Newsletter Takeover</v>
      </c>
      <c r="C1358" s="45" t="n">
        <f aca="false">ROUND(MAX(0,'Model Inputs &amp; Assumptions'!$S$30*EXP('Model Inputs &amp; Assumptions'!$T$30*P1358-'Model Inputs &amp; Assumptions'!$T$30^2/2)),0)</f>
        <v>80166</v>
      </c>
      <c r="D1358" s="46" t="n">
        <f aca="false">MIN(1,'Model Inputs &amp; Assumptions'!$U$30*EXP('Model Inputs &amp; Assumptions'!$V$30*Q1358-'Model Inputs &amp; Assumptions'!$V$30^2/2))</f>
        <v>0</v>
      </c>
      <c r="E1358" s="45" t="n">
        <f aca="false">ROUND(C1358*D1358,0)</f>
        <v>0</v>
      </c>
      <c r="F1358" s="47" t="n">
        <f aca="false">MIN(1,'Model Inputs &amp; Assumptions'!$W$30*EXP('Model Inputs &amp; Assumptions'!$X$30*R1358-'Model Inputs &amp; Assumptions'!$X$30^2/2))</f>
        <v>0.00922929386892592</v>
      </c>
      <c r="G1358" s="45" t="n">
        <f aca="false">ROUND(C1358*F1358,0)</f>
        <v>740</v>
      </c>
      <c r="H1358" s="48" t="n">
        <f aca="false">MAX(0,(C1358*'Model Inputs &amp; Assumptions'!$N$30+E1358*'Model Inputs &amp; Assumptions'!$O$30+G1358*'Model Inputs &amp; Assumptions'!$P$30)*EXP('Model Inputs &amp; Assumptions'!$Q$30*S1358-'Model Inputs &amp; Assumptions'!$Q$30^2/2))</f>
        <v>59.7281645472524</v>
      </c>
      <c r="I1358" s="49" t="n">
        <f aca="false">IF('Model Inputs &amp; Assumptions'!$H$30="Fixed",'Model Inputs &amp; Assumptions'!$I$30*'Model Inputs &amp; Assumptions'!$K$30,IF('Model Inputs &amp; Assumptions'!$H$30="CPM",'Model Inputs &amp; Assumptions'!$I$30*'Model Inputs &amp; Assumptions'!$K$30*C1358/1000,IF('Model Inputs &amp; Assumptions'!$H$30="CPC",'Model Inputs &amp; Assumptions'!$I$30*'Model Inputs &amp; Assumptions'!$K$30*G1358,0)))</f>
        <v>6900</v>
      </c>
      <c r="J1358" s="50" t="n">
        <f aca="false">H1358*INDEX('Model Inputs &amp; Assumptions'!$D$40:$D$42,MATCH('Model Inputs &amp; Assumptions'!$L$30,'Model Inputs &amp; Assumptions'!$A$40:$A$42,0))*INDEX('Model Inputs &amp; Assumptions'!$H$40:$H$42,MATCH('Model Inputs &amp; Assumptions'!$L$30,'Model Inputs &amp; Assumptions'!$A$40:$A$42,0))</f>
        <v>430042.784740217</v>
      </c>
      <c r="K1358" s="49" t="n">
        <f aca="false">H1358*INDEX('Model Inputs &amp; Assumptions'!$G$40:$G$42,MATCH('Model Inputs &amp; Assumptions'!$L$30,'Model Inputs &amp; Assumptions'!$A$40:$A$42,0))*INDEX('Model Inputs &amp; Assumptions'!$H$40:$H$42,MATCH('Model Inputs &amp; Assumptions'!$L$30,'Model Inputs &amp; Assumptions'!$A$40:$A$42,0))</f>
        <v>9482.44340352178</v>
      </c>
      <c r="L1358" s="51" t="n">
        <f aca="false">IFERROR(K1358/I1358,0)</f>
        <v>1.37426715993069</v>
      </c>
      <c r="M1358" s="49" t="n">
        <f aca="false">IFERROR(I1358/H1358,0)</f>
        <v>115.523389213497</v>
      </c>
      <c r="N1358" s="52" t="str">
        <f aca="false">'Model Inputs &amp; Assumptions'!$L$30</f>
        <v>PRD-USIQ</v>
      </c>
      <c r="P1358" s="53" t="n">
        <v>-0.716996</v>
      </c>
      <c r="Q1358" s="53" t="n">
        <v>-0.662567</v>
      </c>
      <c r="R1358" s="53" t="n">
        <v>1.02794</v>
      </c>
      <c r="S1358" s="53" t="n">
        <v>0.991086</v>
      </c>
    </row>
    <row r="1359" customFormat="false" ht="15" hidden="false" customHeight="false" outlineLevel="0" collapsed="false">
      <c r="A1359" s="43" t="n">
        <v>356</v>
      </c>
      <c r="B1359" s="44" t="str">
        <f aca="false">'Model Inputs &amp; Assumptions'!$B$30</f>
        <v>extraETF — Newsletter Takeover</v>
      </c>
      <c r="C1359" s="45" t="n">
        <f aca="false">ROUND(MAX(0,'Model Inputs &amp; Assumptions'!$S$30*EXP('Model Inputs &amp; Assumptions'!$T$30*P1359-'Model Inputs &amp; Assumptions'!$T$30^2/2)),0)</f>
        <v>102259</v>
      </c>
      <c r="D1359" s="46" t="n">
        <f aca="false">MIN(1,'Model Inputs &amp; Assumptions'!$U$30*EXP('Model Inputs &amp; Assumptions'!$V$30*Q1359-'Model Inputs &amp; Assumptions'!$V$30^2/2))</f>
        <v>0</v>
      </c>
      <c r="E1359" s="45" t="n">
        <f aca="false">ROUND(C1359*D1359,0)</f>
        <v>0</v>
      </c>
      <c r="F1359" s="47" t="n">
        <f aca="false">MIN(1,'Model Inputs &amp; Assumptions'!$W$30*EXP('Model Inputs &amp; Assumptions'!$X$30*R1359-'Model Inputs &amp; Assumptions'!$X$30^2/2))</f>
        <v>0.00677605952288207</v>
      </c>
      <c r="G1359" s="45" t="n">
        <f aca="false">ROUND(C1359*F1359,0)</f>
        <v>693</v>
      </c>
      <c r="H1359" s="48" t="n">
        <f aca="false">MAX(0,(C1359*'Model Inputs &amp; Assumptions'!$N$30+E1359*'Model Inputs &amp; Assumptions'!$O$30+G1359*'Model Inputs &amp; Assumptions'!$P$30)*EXP('Model Inputs &amp; Assumptions'!$Q$30*S1359-'Model Inputs &amp; Assumptions'!$Q$30^2/2))</f>
        <v>30.0823611025961</v>
      </c>
      <c r="I1359" s="49" t="n">
        <f aca="false">IF('Model Inputs &amp; Assumptions'!$H$30="Fixed",'Model Inputs &amp; Assumptions'!$I$30*'Model Inputs &amp; Assumptions'!$K$30,IF('Model Inputs &amp; Assumptions'!$H$30="CPM",'Model Inputs &amp; Assumptions'!$I$30*'Model Inputs &amp; Assumptions'!$K$30*C1359/1000,IF('Model Inputs &amp; Assumptions'!$H$30="CPC",'Model Inputs &amp; Assumptions'!$I$30*'Model Inputs &amp; Assumptions'!$K$30*G1359,0)))</f>
        <v>6900</v>
      </c>
      <c r="J1359" s="50" t="n">
        <f aca="false">H1359*INDEX('Model Inputs &amp; Assumptions'!$D$40:$D$42,MATCH('Model Inputs &amp; Assumptions'!$L$30,'Model Inputs &amp; Assumptions'!$A$40:$A$42,0))*INDEX('Model Inputs &amp; Assumptions'!$H$40:$H$42,MATCH('Model Inputs &amp; Assumptions'!$L$30,'Model Inputs &amp; Assumptions'!$A$40:$A$42,0))</f>
        <v>216592.999938692</v>
      </c>
      <c r="K1359" s="49" t="n">
        <f aca="false">H1359*INDEX('Model Inputs &amp; Assumptions'!$G$40:$G$42,MATCH('Model Inputs &amp; Assumptions'!$L$30,'Model Inputs &amp; Assumptions'!$A$40:$A$42,0))*INDEX('Model Inputs &amp; Assumptions'!$H$40:$H$42,MATCH('Model Inputs &amp; Assumptions'!$L$30,'Model Inputs &amp; Assumptions'!$A$40:$A$42,0))</f>
        <v>4775.87564864816</v>
      </c>
      <c r="L1359" s="51" t="n">
        <f aca="false">IFERROR(K1359/I1359,0)</f>
        <v>0.692155891108429</v>
      </c>
      <c r="M1359" s="49" t="n">
        <f aca="false">IFERROR(I1359/H1359,0)</f>
        <v>229.370293657054</v>
      </c>
      <c r="N1359" s="52" t="str">
        <f aca="false">'Model Inputs &amp; Assumptions'!$L$30</f>
        <v>PRD-USIQ</v>
      </c>
      <c r="P1359" s="53" t="n">
        <v>1.311431</v>
      </c>
      <c r="Q1359" s="53" t="n">
        <v>-0.154489</v>
      </c>
      <c r="R1359" s="53" t="n">
        <v>-1.031972</v>
      </c>
      <c r="S1359" s="53" t="n">
        <v>-1.489892</v>
      </c>
    </row>
    <row r="1360" customFormat="false" ht="15" hidden="false" customHeight="false" outlineLevel="0" collapsed="false">
      <c r="A1360" s="43" t="n">
        <v>357</v>
      </c>
      <c r="B1360" s="44" t="str">
        <f aca="false">'Model Inputs &amp; Assumptions'!$B$30</f>
        <v>extraETF — Newsletter Takeover</v>
      </c>
      <c r="C1360" s="45" t="n">
        <f aca="false">ROUND(MAX(0,'Model Inputs &amp; Assumptions'!$S$30*EXP('Model Inputs &amp; Assumptions'!$T$30*P1360-'Model Inputs &amp; Assumptions'!$T$30^2/2)),0)</f>
        <v>70363</v>
      </c>
      <c r="D1360" s="46" t="n">
        <f aca="false">MIN(1,'Model Inputs &amp; Assumptions'!$U$30*EXP('Model Inputs &amp; Assumptions'!$V$30*Q1360-'Model Inputs &amp; Assumptions'!$V$30^2/2))</f>
        <v>0</v>
      </c>
      <c r="E1360" s="45" t="n">
        <f aca="false">ROUND(C1360*D1360,0)</f>
        <v>0</v>
      </c>
      <c r="F1360" s="47" t="n">
        <f aca="false">MIN(1,'Model Inputs &amp; Assumptions'!$W$30*EXP('Model Inputs &amp; Assumptions'!$X$30*R1360-'Model Inputs &amp; Assumptions'!$X$30^2/2))</f>
        <v>0.00583252867711046</v>
      </c>
      <c r="G1360" s="45" t="n">
        <f aca="false">ROUND(C1360*F1360,0)</f>
        <v>410</v>
      </c>
      <c r="H1360" s="48" t="n">
        <f aca="false">MAX(0,(C1360*'Model Inputs &amp; Assumptions'!$N$30+E1360*'Model Inputs &amp; Assumptions'!$O$30+G1360*'Model Inputs &amp; Assumptions'!$P$30)*EXP('Model Inputs &amp; Assumptions'!$Q$30*S1360-'Model Inputs &amp; Assumptions'!$Q$30^2/2))</f>
        <v>19.4598700826324</v>
      </c>
      <c r="I1360" s="49" t="n">
        <f aca="false">IF('Model Inputs &amp; Assumptions'!$H$30="Fixed",'Model Inputs &amp; Assumptions'!$I$30*'Model Inputs &amp; Assumptions'!$K$30,IF('Model Inputs &amp; Assumptions'!$H$30="CPM",'Model Inputs &amp; Assumptions'!$I$30*'Model Inputs &amp; Assumptions'!$K$30*C1360/1000,IF('Model Inputs &amp; Assumptions'!$H$30="CPC",'Model Inputs &amp; Assumptions'!$I$30*'Model Inputs &amp; Assumptions'!$K$30*G1360,0)))</f>
        <v>6900</v>
      </c>
      <c r="J1360" s="50" t="n">
        <f aca="false">H1360*INDEX('Model Inputs &amp; Assumptions'!$D$40:$D$42,MATCH('Model Inputs &amp; Assumptions'!$L$30,'Model Inputs &amp; Assumptions'!$A$40:$A$42,0))*INDEX('Model Inputs &amp; Assumptions'!$H$40:$H$42,MATCH('Model Inputs &amp; Assumptions'!$L$30,'Model Inputs &amp; Assumptions'!$A$40:$A$42,0))</f>
        <v>140111.064594953</v>
      </c>
      <c r="K1360" s="49" t="n">
        <f aca="false">H1360*INDEX('Model Inputs &amp; Assumptions'!$G$40:$G$42,MATCH('Model Inputs &amp; Assumptions'!$L$30,'Model Inputs &amp; Assumptions'!$A$40:$A$42,0))*INDEX('Model Inputs &amp; Assumptions'!$H$40:$H$42,MATCH('Model Inputs &amp; Assumptions'!$L$30,'Model Inputs &amp; Assumptions'!$A$40:$A$42,0))</f>
        <v>3089.44897431872</v>
      </c>
      <c r="L1360" s="51" t="n">
        <f aca="false">IFERROR(K1360/I1360,0)</f>
        <v>0.447746228162134</v>
      </c>
      <c r="M1360" s="49" t="n">
        <f aca="false">IFERROR(I1360/H1360,0)</f>
        <v>354.575851262138</v>
      </c>
      <c r="N1360" s="52" t="str">
        <f aca="false">'Model Inputs &amp; Assumptions'!$L$30</f>
        <v>PRD-USIQ</v>
      </c>
      <c r="P1360" s="53" t="n">
        <v>-1.8039</v>
      </c>
      <c r="Q1360" s="53" t="n">
        <v>-0.080508</v>
      </c>
      <c r="R1360" s="53" t="n">
        <v>-2.031606</v>
      </c>
      <c r="S1360" s="53" t="n">
        <v>-1.132739</v>
      </c>
    </row>
    <row r="1361" customFormat="false" ht="15" hidden="false" customHeight="false" outlineLevel="0" collapsed="false">
      <c r="A1361" s="43" t="n">
        <v>358</v>
      </c>
      <c r="B1361" s="44" t="str">
        <f aca="false">'Model Inputs &amp; Assumptions'!$B$30</f>
        <v>extraETF — Newsletter Takeover</v>
      </c>
      <c r="C1361" s="45" t="n">
        <f aca="false">ROUND(MAX(0,'Model Inputs &amp; Assumptions'!$S$30*EXP('Model Inputs &amp; Assumptions'!$T$30*P1361-'Model Inputs &amp; Assumptions'!$T$30^2/2)),0)</f>
        <v>98605</v>
      </c>
      <c r="D1361" s="46" t="n">
        <f aca="false">MIN(1,'Model Inputs &amp; Assumptions'!$U$30*EXP('Model Inputs &amp; Assumptions'!$V$30*Q1361-'Model Inputs &amp; Assumptions'!$V$30^2/2))</f>
        <v>0</v>
      </c>
      <c r="E1361" s="45" t="n">
        <f aca="false">ROUND(C1361*D1361,0)</f>
        <v>0</v>
      </c>
      <c r="F1361" s="47" t="n">
        <f aca="false">MIN(1,'Model Inputs &amp; Assumptions'!$W$30*EXP('Model Inputs &amp; Assumptions'!$X$30*R1361-'Model Inputs &amp; Assumptions'!$X$30^2/2))</f>
        <v>0.00681364549343553</v>
      </c>
      <c r="G1361" s="45" t="n">
        <f aca="false">ROUND(C1361*F1361,0)</f>
        <v>672</v>
      </c>
      <c r="H1361" s="48" t="n">
        <f aca="false">MAX(0,(C1361*'Model Inputs &amp; Assumptions'!$N$30+E1361*'Model Inputs &amp; Assumptions'!$O$30+G1361*'Model Inputs &amp; Assumptions'!$P$30)*EXP('Model Inputs &amp; Assumptions'!$Q$30*S1361-'Model Inputs &amp; Assumptions'!$Q$30^2/2))</f>
        <v>70.8726306450312</v>
      </c>
      <c r="I1361" s="49" t="n">
        <f aca="false">IF('Model Inputs &amp; Assumptions'!$H$30="Fixed",'Model Inputs &amp; Assumptions'!$I$30*'Model Inputs &amp; Assumptions'!$K$30,IF('Model Inputs &amp; Assumptions'!$H$30="CPM",'Model Inputs &amp; Assumptions'!$I$30*'Model Inputs &amp; Assumptions'!$K$30*C1361/1000,IF('Model Inputs &amp; Assumptions'!$H$30="CPC",'Model Inputs &amp; Assumptions'!$I$30*'Model Inputs &amp; Assumptions'!$K$30*G1361,0)))</f>
        <v>6900</v>
      </c>
      <c r="J1361" s="50" t="n">
        <f aca="false">H1361*INDEX('Model Inputs &amp; Assumptions'!$D$40:$D$42,MATCH('Model Inputs &amp; Assumptions'!$L$30,'Model Inputs &amp; Assumptions'!$A$40:$A$42,0))*INDEX('Model Inputs &amp; Assumptions'!$H$40:$H$42,MATCH('Model Inputs &amp; Assumptions'!$L$30,'Model Inputs &amp; Assumptions'!$A$40:$A$42,0))</f>
        <v>510282.940644225</v>
      </c>
      <c r="K1361" s="49" t="n">
        <f aca="false">H1361*INDEX('Model Inputs &amp; Assumptions'!$G$40:$G$42,MATCH('Model Inputs &amp; Assumptions'!$L$30,'Model Inputs &amp; Assumptions'!$A$40:$A$42,0))*INDEX('Model Inputs &amp; Assumptions'!$H$40:$H$42,MATCH('Model Inputs &amp; Assumptions'!$L$30,'Model Inputs &amp; Assumptions'!$A$40:$A$42,0))</f>
        <v>11251.7388412052</v>
      </c>
      <c r="L1361" s="51" t="n">
        <f aca="false">IFERROR(K1361/I1361,0)</f>
        <v>1.63068678858046</v>
      </c>
      <c r="M1361" s="49" t="n">
        <f aca="false">IFERROR(I1361/H1361,0)</f>
        <v>97.357752029256</v>
      </c>
      <c r="N1361" s="52" t="str">
        <f aca="false">'Model Inputs &amp; Assumptions'!$L$30</f>
        <v>PRD-USIQ</v>
      </c>
      <c r="P1361" s="53" t="n">
        <v>1.008198</v>
      </c>
      <c r="Q1361" s="53" t="n">
        <v>0.796639</v>
      </c>
      <c r="R1361" s="53" t="n">
        <v>-0.995095</v>
      </c>
      <c r="S1361" s="53" t="n">
        <v>2.060976</v>
      </c>
    </row>
    <row r="1362" customFormat="false" ht="15" hidden="false" customHeight="false" outlineLevel="0" collapsed="false">
      <c r="A1362" s="43" t="n">
        <v>359</v>
      </c>
      <c r="B1362" s="44" t="str">
        <f aca="false">'Model Inputs &amp; Assumptions'!$B$30</f>
        <v>extraETF — Newsletter Takeover</v>
      </c>
      <c r="C1362" s="45" t="n">
        <f aca="false">ROUND(MAX(0,'Model Inputs &amp; Assumptions'!$S$30*EXP('Model Inputs &amp; Assumptions'!$T$30*P1362-'Model Inputs &amp; Assumptions'!$T$30^2/2)),0)</f>
        <v>101575</v>
      </c>
      <c r="D1362" s="46" t="n">
        <f aca="false">MIN(1,'Model Inputs &amp; Assumptions'!$U$30*EXP('Model Inputs &amp; Assumptions'!$V$30*Q1362-'Model Inputs &amp; Assumptions'!$V$30^2/2))</f>
        <v>0</v>
      </c>
      <c r="E1362" s="45" t="n">
        <f aca="false">ROUND(C1362*D1362,0)</f>
        <v>0</v>
      </c>
      <c r="F1362" s="47" t="n">
        <f aca="false">MIN(1,'Model Inputs &amp; Assumptions'!$W$30*EXP('Model Inputs &amp; Assumptions'!$X$30*R1362-'Model Inputs &amp; Assumptions'!$X$30^2/2))</f>
        <v>0.00562761141367868</v>
      </c>
      <c r="G1362" s="45" t="n">
        <f aca="false">ROUND(C1362*F1362,0)</f>
        <v>572</v>
      </c>
      <c r="H1362" s="48" t="n">
        <f aca="false">MAX(0,(C1362*'Model Inputs &amp; Assumptions'!$N$30+E1362*'Model Inputs &amp; Assumptions'!$O$30+G1362*'Model Inputs &amp; Assumptions'!$P$30)*EXP('Model Inputs &amp; Assumptions'!$Q$30*S1362-'Model Inputs &amp; Assumptions'!$Q$30^2/2))</f>
        <v>57.6553896955104</v>
      </c>
      <c r="I1362" s="49" t="n">
        <f aca="false">IF('Model Inputs &amp; Assumptions'!$H$30="Fixed",'Model Inputs &amp; Assumptions'!$I$30*'Model Inputs &amp; Assumptions'!$K$30,IF('Model Inputs &amp; Assumptions'!$H$30="CPM",'Model Inputs &amp; Assumptions'!$I$30*'Model Inputs &amp; Assumptions'!$K$30*C1362/1000,IF('Model Inputs &amp; Assumptions'!$H$30="CPC",'Model Inputs &amp; Assumptions'!$I$30*'Model Inputs &amp; Assumptions'!$K$30*G1362,0)))</f>
        <v>6900</v>
      </c>
      <c r="J1362" s="50" t="n">
        <f aca="false">H1362*INDEX('Model Inputs &amp; Assumptions'!$D$40:$D$42,MATCH('Model Inputs &amp; Assumptions'!$L$30,'Model Inputs &amp; Assumptions'!$A$40:$A$42,0))*INDEX('Model Inputs &amp; Assumptions'!$H$40:$H$42,MATCH('Model Inputs &amp; Assumptions'!$L$30,'Model Inputs &amp; Assumptions'!$A$40:$A$42,0))</f>
        <v>415118.805807675</v>
      </c>
      <c r="K1362" s="49" t="n">
        <f aca="false">H1362*INDEX('Model Inputs &amp; Assumptions'!$G$40:$G$42,MATCH('Model Inputs &amp; Assumptions'!$L$30,'Model Inputs &amp; Assumptions'!$A$40:$A$42,0))*INDEX('Model Inputs &amp; Assumptions'!$H$40:$H$42,MATCH('Model Inputs &amp; Assumptions'!$L$30,'Model Inputs &amp; Assumptions'!$A$40:$A$42,0))</f>
        <v>9153.36966805924</v>
      </c>
      <c r="L1362" s="51" t="n">
        <f aca="false">IFERROR(K1362/I1362,0)</f>
        <v>1.32657531421148</v>
      </c>
      <c r="M1362" s="49" t="n">
        <f aca="false">IFERROR(I1362/H1362,0)</f>
        <v>119.676582474601</v>
      </c>
      <c r="N1362" s="52" t="str">
        <f aca="false">'Model Inputs &amp; Assumptions'!$L$30</f>
        <v>PRD-USIQ</v>
      </c>
      <c r="P1362" s="53" t="n">
        <v>1.255476</v>
      </c>
      <c r="Q1362" s="53" t="n">
        <v>-2.743664</v>
      </c>
      <c r="R1362" s="53" t="n">
        <v>-2.270043</v>
      </c>
      <c r="S1362" s="53" t="n">
        <v>1.879851</v>
      </c>
    </row>
    <row r="1363" customFormat="false" ht="15" hidden="false" customHeight="false" outlineLevel="0" collapsed="false">
      <c r="A1363" s="43" t="n">
        <v>360</v>
      </c>
      <c r="B1363" s="44" t="str">
        <f aca="false">'Model Inputs &amp; Assumptions'!$B$30</f>
        <v>extraETF — Newsletter Takeover</v>
      </c>
      <c r="C1363" s="45" t="n">
        <f aca="false">ROUND(MAX(0,'Model Inputs &amp; Assumptions'!$S$30*EXP('Model Inputs &amp; Assumptions'!$T$30*P1363-'Model Inputs &amp; Assumptions'!$T$30^2/2)),0)</f>
        <v>85024</v>
      </c>
      <c r="D1363" s="46" t="n">
        <f aca="false">MIN(1,'Model Inputs &amp; Assumptions'!$U$30*EXP('Model Inputs &amp; Assumptions'!$V$30*Q1363-'Model Inputs &amp; Assumptions'!$V$30^2/2))</f>
        <v>0</v>
      </c>
      <c r="E1363" s="45" t="n">
        <f aca="false">ROUND(C1363*D1363,0)</f>
        <v>0</v>
      </c>
      <c r="F1363" s="47" t="n">
        <f aca="false">MIN(1,'Model Inputs &amp; Assumptions'!$W$30*EXP('Model Inputs &amp; Assumptions'!$X$30*R1363-'Model Inputs &amp; Assumptions'!$X$30^2/2))</f>
        <v>0.00589801257034266</v>
      </c>
      <c r="G1363" s="45" t="n">
        <f aca="false">ROUND(C1363*F1363,0)</f>
        <v>501</v>
      </c>
      <c r="H1363" s="48" t="n">
        <f aca="false">MAX(0,(C1363*'Model Inputs &amp; Assumptions'!$N$30+E1363*'Model Inputs &amp; Assumptions'!$O$30+G1363*'Model Inputs &amp; Assumptions'!$P$30)*EXP('Model Inputs &amp; Assumptions'!$Q$30*S1363-'Model Inputs &amp; Assumptions'!$Q$30^2/2))</f>
        <v>25.2729989839602</v>
      </c>
      <c r="I1363" s="49" t="n">
        <f aca="false">IF('Model Inputs &amp; Assumptions'!$H$30="Fixed",'Model Inputs &amp; Assumptions'!$I$30*'Model Inputs &amp; Assumptions'!$K$30,IF('Model Inputs &amp; Assumptions'!$H$30="CPM",'Model Inputs &amp; Assumptions'!$I$30*'Model Inputs &amp; Assumptions'!$K$30*C1363/1000,IF('Model Inputs &amp; Assumptions'!$H$30="CPC",'Model Inputs &amp; Assumptions'!$I$30*'Model Inputs &amp; Assumptions'!$K$30*G1363,0)))</f>
        <v>6900</v>
      </c>
      <c r="J1363" s="50" t="n">
        <f aca="false">H1363*INDEX('Model Inputs &amp; Assumptions'!$D$40:$D$42,MATCH('Model Inputs &amp; Assumptions'!$L$30,'Model Inputs &amp; Assumptions'!$A$40:$A$42,0))*INDEX('Model Inputs &amp; Assumptions'!$H$40:$H$42,MATCH('Model Inputs &amp; Assumptions'!$L$30,'Model Inputs &amp; Assumptions'!$A$40:$A$42,0))</f>
        <v>181965.592684513</v>
      </c>
      <c r="K1363" s="49" t="n">
        <f aca="false">H1363*INDEX('Model Inputs &amp; Assumptions'!$G$40:$G$42,MATCH('Model Inputs &amp; Assumptions'!$L$30,'Model Inputs &amp; Assumptions'!$A$40:$A$42,0))*INDEX('Model Inputs &amp; Assumptions'!$H$40:$H$42,MATCH('Model Inputs &amp; Assumptions'!$L$30,'Model Inputs &amp; Assumptions'!$A$40:$A$42,0))</f>
        <v>4012.34131869352</v>
      </c>
      <c r="L1363" s="51" t="n">
        <f aca="false">IFERROR(K1363/I1363,0)</f>
        <v>0.58149874183964</v>
      </c>
      <c r="M1363" s="49" t="n">
        <f aca="false">IFERROR(I1363/H1363,0)</f>
        <v>273.018647465589</v>
      </c>
      <c r="N1363" s="52" t="str">
        <f aca="false">'Model Inputs &amp; Assumptions'!$L$30</f>
        <v>PRD-USIQ</v>
      </c>
      <c r="P1363" s="53" t="n">
        <v>-0.226709</v>
      </c>
      <c r="Q1363" s="53" t="n">
        <v>-0.328633</v>
      </c>
      <c r="R1363" s="53" t="n">
        <v>-1.957174</v>
      </c>
      <c r="S1363" s="53" t="n">
        <v>-0.889006</v>
      </c>
    </row>
    <row r="1364" customFormat="false" ht="15" hidden="false" customHeight="false" outlineLevel="0" collapsed="false">
      <c r="A1364" s="43" t="n">
        <v>361</v>
      </c>
      <c r="B1364" s="44" t="str">
        <f aca="false">'Model Inputs &amp; Assumptions'!$B$30</f>
        <v>extraETF — Newsletter Takeover</v>
      </c>
      <c r="C1364" s="45" t="n">
        <f aca="false">ROUND(MAX(0,'Model Inputs &amp; Assumptions'!$S$30*EXP('Model Inputs &amp; Assumptions'!$T$30*P1364-'Model Inputs &amp; Assumptions'!$T$30^2/2)),0)</f>
        <v>77047</v>
      </c>
      <c r="D1364" s="46" t="n">
        <f aca="false">MIN(1,'Model Inputs &amp; Assumptions'!$U$30*EXP('Model Inputs &amp; Assumptions'!$V$30*Q1364-'Model Inputs &amp; Assumptions'!$V$30^2/2))</f>
        <v>0</v>
      </c>
      <c r="E1364" s="45" t="n">
        <f aca="false">ROUND(C1364*D1364,0)</f>
        <v>0</v>
      </c>
      <c r="F1364" s="47" t="n">
        <f aca="false">MIN(1,'Model Inputs &amp; Assumptions'!$W$30*EXP('Model Inputs &amp; Assumptions'!$X$30*R1364-'Model Inputs &amp; Assumptions'!$X$30^2/2))</f>
        <v>0.00974877115497877</v>
      </c>
      <c r="G1364" s="45" t="n">
        <f aca="false">ROUND(C1364*F1364,0)</f>
        <v>751</v>
      </c>
      <c r="H1364" s="48" t="n">
        <f aca="false">MAX(0,(C1364*'Model Inputs &amp; Assumptions'!$N$30+E1364*'Model Inputs &amp; Assumptions'!$O$30+G1364*'Model Inputs &amp; Assumptions'!$P$30)*EXP('Model Inputs &amp; Assumptions'!$Q$30*S1364-'Model Inputs &amp; Assumptions'!$Q$30^2/2))</f>
        <v>52.6113771865713</v>
      </c>
      <c r="I1364" s="49" t="n">
        <f aca="false">IF('Model Inputs &amp; Assumptions'!$H$30="Fixed",'Model Inputs &amp; Assumptions'!$I$30*'Model Inputs &amp; Assumptions'!$K$30,IF('Model Inputs &amp; Assumptions'!$H$30="CPM",'Model Inputs &amp; Assumptions'!$I$30*'Model Inputs &amp; Assumptions'!$K$30*C1364/1000,IF('Model Inputs &amp; Assumptions'!$H$30="CPC",'Model Inputs &amp; Assumptions'!$I$30*'Model Inputs &amp; Assumptions'!$K$30*G1364,0)))</f>
        <v>6900</v>
      </c>
      <c r="J1364" s="50" t="n">
        <f aca="false">H1364*INDEX('Model Inputs &amp; Assumptions'!$D$40:$D$42,MATCH('Model Inputs &amp; Assumptions'!$L$30,'Model Inputs &amp; Assumptions'!$A$40:$A$42,0))*INDEX('Model Inputs &amp; Assumptions'!$H$40:$H$42,MATCH('Model Inputs &amp; Assumptions'!$L$30,'Model Inputs &amp; Assumptions'!$A$40:$A$42,0))</f>
        <v>378801.915743313</v>
      </c>
      <c r="K1364" s="49" t="n">
        <f aca="false">H1364*INDEX('Model Inputs &amp; Assumptions'!$G$40:$G$42,MATCH('Model Inputs &amp; Assumptions'!$L$30,'Model Inputs &amp; Assumptions'!$A$40:$A$42,0))*INDEX('Model Inputs &amp; Assumptions'!$H$40:$H$42,MATCH('Model Inputs &amp; Assumptions'!$L$30,'Model Inputs &amp; Assumptions'!$A$40:$A$42,0))</f>
        <v>8352.58224214006</v>
      </c>
      <c r="L1364" s="51" t="n">
        <f aca="false">IFERROR(K1364/I1364,0)</f>
        <v>1.21051916552754</v>
      </c>
      <c r="M1364" s="49" t="n">
        <f aca="false">IFERROR(I1364/H1364,0)</f>
        <v>131.150339888103</v>
      </c>
      <c r="N1364" s="52" t="str">
        <f aca="false">'Model Inputs &amp; Assumptions'!$L$30</f>
        <v>PRD-USIQ</v>
      </c>
      <c r="P1364" s="53" t="n">
        <v>-1.047649</v>
      </c>
      <c r="Q1364" s="53" t="n">
        <v>1.01167</v>
      </c>
      <c r="R1364" s="53" t="n">
        <v>1.392998</v>
      </c>
      <c r="S1364" s="53" t="n">
        <v>0.424579</v>
      </c>
    </row>
    <row r="1365" customFormat="false" ht="15" hidden="false" customHeight="false" outlineLevel="0" collapsed="false">
      <c r="A1365" s="43" t="n">
        <v>362</v>
      </c>
      <c r="B1365" s="44" t="str">
        <f aca="false">'Model Inputs &amp; Assumptions'!$B$30</f>
        <v>extraETF — Newsletter Takeover</v>
      </c>
      <c r="C1365" s="45" t="n">
        <f aca="false">ROUND(MAX(0,'Model Inputs &amp; Assumptions'!$S$30*EXP('Model Inputs &amp; Assumptions'!$T$30*P1365-'Model Inputs &amp; Assumptions'!$T$30^2/2)),0)</f>
        <v>74386</v>
      </c>
      <c r="D1365" s="46" t="n">
        <f aca="false">MIN(1,'Model Inputs &amp; Assumptions'!$U$30*EXP('Model Inputs &amp; Assumptions'!$V$30*Q1365-'Model Inputs &amp; Assumptions'!$V$30^2/2))</f>
        <v>0</v>
      </c>
      <c r="E1365" s="45" t="n">
        <f aca="false">ROUND(C1365*D1365,0)</f>
        <v>0</v>
      </c>
      <c r="F1365" s="47" t="n">
        <f aca="false">MIN(1,'Model Inputs &amp; Assumptions'!$W$30*EXP('Model Inputs &amp; Assumptions'!$X$30*R1365-'Model Inputs &amp; Assumptions'!$X$30^2/2))</f>
        <v>0.00651398329047666</v>
      </c>
      <c r="G1365" s="45" t="n">
        <f aca="false">ROUND(C1365*F1365,0)</f>
        <v>485</v>
      </c>
      <c r="H1365" s="48" t="n">
        <f aca="false">MAX(0,(C1365*'Model Inputs &amp; Assumptions'!$N$30+E1365*'Model Inputs &amp; Assumptions'!$O$30+G1365*'Model Inputs &amp; Assumptions'!$P$30)*EXP('Model Inputs &amp; Assumptions'!$Q$30*S1365-'Model Inputs &amp; Assumptions'!$Q$30^2/2))</f>
        <v>20.2220962808471</v>
      </c>
      <c r="I1365" s="49" t="n">
        <f aca="false">IF('Model Inputs &amp; Assumptions'!$H$30="Fixed",'Model Inputs &amp; Assumptions'!$I$30*'Model Inputs &amp; Assumptions'!$K$30,IF('Model Inputs &amp; Assumptions'!$H$30="CPM",'Model Inputs &amp; Assumptions'!$I$30*'Model Inputs &amp; Assumptions'!$K$30*C1365/1000,IF('Model Inputs &amp; Assumptions'!$H$30="CPC",'Model Inputs &amp; Assumptions'!$I$30*'Model Inputs &amp; Assumptions'!$K$30*G1365,0)))</f>
        <v>6900</v>
      </c>
      <c r="J1365" s="50" t="n">
        <f aca="false">H1365*INDEX('Model Inputs &amp; Assumptions'!$D$40:$D$42,MATCH('Model Inputs &amp; Assumptions'!$L$30,'Model Inputs &amp; Assumptions'!$A$40:$A$42,0))*INDEX('Model Inputs &amp; Assumptions'!$H$40:$H$42,MATCH('Model Inputs &amp; Assumptions'!$L$30,'Model Inputs &amp; Assumptions'!$A$40:$A$42,0))</f>
        <v>145599.093222099</v>
      </c>
      <c r="K1365" s="49" t="n">
        <f aca="false">H1365*INDEX('Model Inputs &amp; Assumptions'!$G$40:$G$42,MATCH('Model Inputs &amp; Assumptions'!$L$30,'Model Inputs &amp; Assumptions'!$A$40:$A$42,0))*INDEX('Model Inputs &amp; Assumptions'!$H$40:$H$42,MATCH('Model Inputs &amp; Assumptions'!$L$30,'Model Inputs &amp; Assumptions'!$A$40:$A$42,0))</f>
        <v>3210.46000554728</v>
      </c>
      <c r="L1365" s="51" t="n">
        <f aca="false">IFERROR(K1365/I1365,0)</f>
        <v>0.465284058774968</v>
      </c>
      <c r="M1365" s="49" t="n">
        <f aca="false">IFERROR(I1365/H1365,0)</f>
        <v>341.210916226088</v>
      </c>
      <c r="N1365" s="52" t="str">
        <f aca="false">'Model Inputs &amp; Assumptions'!$L$30</f>
        <v>PRD-USIQ</v>
      </c>
      <c r="P1365" s="53" t="n">
        <v>-1.340583</v>
      </c>
      <c r="Q1365" s="53" t="n">
        <v>0.734939</v>
      </c>
      <c r="R1365" s="53" t="n">
        <v>-1.294936</v>
      </c>
      <c r="S1365" s="53" t="n">
        <v>-1.65102</v>
      </c>
    </row>
    <row r="1366" customFormat="false" ht="15" hidden="false" customHeight="false" outlineLevel="0" collapsed="false">
      <c r="A1366" s="43" t="n">
        <v>363</v>
      </c>
      <c r="B1366" s="44" t="str">
        <f aca="false">'Model Inputs &amp; Assumptions'!$B$30</f>
        <v>extraETF — Newsletter Takeover</v>
      </c>
      <c r="C1366" s="45" t="n">
        <f aca="false">ROUND(MAX(0,'Model Inputs &amp; Assumptions'!$S$30*EXP('Model Inputs &amp; Assumptions'!$T$30*P1366-'Model Inputs &amp; Assumptions'!$T$30^2/2)),0)</f>
        <v>91956</v>
      </c>
      <c r="D1366" s="46" t="n">
        <f aca="false">MIN(1,'Model Inputs &amp; Assumptions'!$U$30*EXP('Model Inputs &amp; Assumptions'!$V$30*Q1366-'Model Inputs &amp; Assumptions'!$V$30^2/2))</f>
        <v>0</v>
      </c>
      <c r="E1366" s="45" t="n">
        <f aca="false">ROUND(C1366*D1366,0)</f>
        <v>0</v>
      </c>
      <c r="F1366" s="47" t="n">
        <f aca="false">MIN(1,'Model Inputs &amp; Assumptions'!$W$30*EXP('Model Inputs &amp; Assumptions'!$X$30*R1366-'Model Inputs &amp; Assumptions'!$X$30^2/2))</f>
        <v>0.0103891681742487</v>
      </c>
      <c r="G1366" s="45" t="n">
        <f aca="false">ROUND(C1366*F1366,0)</f>
        <v>955</v>
      </c>
      <c r="H1366" s="48" t="n">
        <f aca="false">MAX(0,(C1366*'Model Inputs &amp; Assumptions'!$N$30+E1366*'Model Inputs &amp; Assumptions'!$O$30+G1366*'Model Inputs &amp; Assumptions'!$P$30)*EXP('Model Inputs &amp; Assumptions'!$Q$30*S1366-'Model Inputs &amp; Assumptions'!$Q$30^2/2))</f>
        <v>92.3311047913528</v>
      </c>
      <c r="I1366" s="49" t="n">
        <f aca="false">IF('Model Inputs &amp; Assumptions'!$H$30="Fixed",'Model Inputs &amp; Assumptions'!$I$30*'Model Inputs &amp; Assumptions'!$K$30,IF('Model Inputs &amp; Assumptions'!$H$30="CPM",'Model Inputs &amp; Assumptions'!$I$30*'Model Inputs &amp; Assumptions'!$K$30*C1366/1000,IF('Model Inputs &amp; Assumptions'!$H$30="CPC",'Model Inputs &amp; Assumptions'!$I$30*'Model Inputs &amp; Assumptions'!$K$30*G1366,0)))</f>
        <v>6900</v>
      </c>
      <c r="J1366" s="50" t="n">
        <f aca="false">H1366*INDEX('Model Inputs &amp; Assumptions'!$D$40:$D$42,MATCH('Model Inputs &amp; Assumptions'!$L$30,'Model Inputs &amp; Assumptions'!$A$40:$A$42,0))*INDEX('Model Inputs &amp; Assumptions'!$H$40:$H$42,MATCH('Model Inputs &amp; Assumptions'!$L$30,'Model Inputs &amp; Assumptions'!$A$40:$A$42,0))</f>
        <v>664783.95449774</v>
      </c>
      <c r="K1366" s="49" t="n">
        <f aca="false">H1366*INDEX('Model Inputs &amp; Assumptions'!$G$40:$G$42,MATCH('Model Inputs &amp; Assumptions'!$L$30,'Model Inputs &amp; Assumptions'!$A$40:$A$42,0))*INDEX('Model Inputs &amp; Assumptions'!$H$40:$H$42,MATCH('Model Inputs &amp; Assumptions'!$L$30,'Model Inputs &amp; Assumptions'!$A$40:$A$42,0))</f>
        <v>14658.4861966752</v>
      </c>
      <c r="L1366" s="51" t="n">
        <f aca="false">IFERROR(K1366/I1366,0)</f>
        <v>2.12441828937321</v>
      </c>
      <c r="M1366" s="49" t="n">
        <f aca="false">IFERROR(I1366/H1366,0)</f>
        <v>74.7310455733463</v>
      </c>
      <c r="N1366" s="52" t="str">
        <f aca="false">'Model Inputs &amp; Assumptions'!$L$30</f>
        <v>PRD-USIQ</v>
      </c>
      <c r="P1366" s="53" t="n">
        <v>0.426462</v>
      </c>
      <c r="Q1366" s="53" t="n">
        <v>0.189281</v>
      </c>
      <c r="R1366" s="53" t="n">
        <v>1.817148</v>
      </c>
      <c r="S1366" s="53" t="n">
        <v>1.713151</v>
      </c>
    </row>
    <row r="1367" customFormat="false" ht="15" hidden="false" customHeight="false" outlineLevel="0" collapsed="false">
      <c r="A1367" s="43" t="n">
        <v>364</v>
      </c>
      <c r="B1367" s="44" t="str">
        <f aca="false">'Model Inputs &amp; Assumptions'!$B$30</f>
        <v>extraETF — Newsletter Takeover</v>
      </c>
      <c r="C1367" s="45" t="n">
        <f aca="false">ROUND(MAX(0,'Model Inputs &amp; Assumptions'!$S$30*EXP('Model Inputs &amp; Assumptions'!$T$30*P1367-'Model Inputs &amp; Assumptions'!$T$30^2/2)),0)</f>
        <v>80847</v>
      </c>
      <c r="D1367" s="46" t="n">
        <f aca="false">MIN(1,'Model Inputs &amp; Assumptions'!$U$30*EXP('Model Inputs &amp; Assumptions'!$V$30*Q1367-'Model Inputs &amp; Assumptions'!$V$30^2/2))</f>
        <v>0</v>
      </c>
      <c r="E1367" s="45" t="n">
        <f aca="false">ROUND(C1367*D1367,0)</f>
        <v>0</v>
      </c>
      <c r="F1367" s="47" t="n">
        <f aca="false">MIN(1,'Model Inputs &amp; Assumptions'!$W$30*EXP('Model Inputs &amp; Assumptions'!$X$30*R1367-'Model Inputs &amp; Assumptions'!$X$30^2/2))</f>
        <v>0.00863646963004844</v>
      </c>
      <c r="G1367" s="45" t="n">
        <f aca="false">ROUND(C1367*F1367,0)</f>
        <v>698</v>
      </c>
      <c r="H1367" s="48" t="n">
        <f aca="false">MAX(0,(C1367*'Model Inputs &amp; Assumptions'!$N$30+E1367*'Model Inputs &amp; Assumptions'!$O$30+G1367*'Model Inputs &amp; Assumptions'!$P$30)*EXP('Model Inputs &amp; Assumptions'!$Q$30*S1367-'Model Inputs &amp; Assumptions'!$Q$30^2/2))</f>
        <v>40.3391654204165</v>
      </c>
      <c r="I1367" s="49" t="n">
        <f aca="false">IF('Model Inputs &amp; Assumptions'!$H$30="Fixed",'Model Inputs &amp; Assumptions'!$I$30*'Model Inputs &amp; Assumptions'!$K$30,IF('Model Inputs &amp; Assumptions'!$H$30="CPM",'Model Inputs &amp; Assumptions'!$I$30*'Model Inputs &amp; Assumptions'!$K$30*C1367/1000,IF('Model Inputs &amp; Assumptions'!$H$30="CPC",'Model Inputs &amp; Assumptions'!$I$30*'Model Inputs &amp; Assumptions'!$K$30*G1367,0)))</f>
        <v>6900</v>
      </c>
      <c r="J1367" s="50" t="n">
        <f aca="false">H1367*INDEX('Model Inputs &amp; Assumptions'!$D$40:$D$42,MATCH('Model Inputs &amp; Assumptions'!$L$30,'Model Inputs &amp; Assumptions'!$A$40:$A$42,0))*INDEX('Model Inputs &amp; Assumptions'!$H$40:$H$42,MATCH('Model Inputs &amp; Assumptions'!$L$30,'Model Inputs &amp; Assumptions'!$A$40:$A$42,0))</f>
        <v>290441.991026999</v>
      </c>
      <c r="K1367" s="49" t="n">
        <f aca="false">H1367*INDEX('Model Inputs &amp; Assumptions'!$G$40:$G$42,MATCH('Model Inputs &amp; Assumptions'!$L$30,'Model Inputs &amp; Assumptions'!$A$40:$A$42,0))*INDEX('Model Inputs &amp; Assumptions'!$H$40:$H$42,MATCH('Model Inputs &amp; Assumptions'!$L$30,'Model Inputs &amp; Assumptions'!$A$40:$A$42,0))</f>
        <v>6404.24590214532</v>
      </c>
      <c r="L1367" s="51" t="n">
        <f aca="false">IFERROR(K1367/I1367,0)</f>
        <v>0.928151580021061</v>
      </c>
      <c r="M1367" s="49" t="n">
        <f aca="false">IFERROR(I1367/H1367,0)</f>
        <v>171.049646865222</v>
      </c>
      <c r="N1367" s="52" t="str">
        <f aca="false">'Model Inputs &amp; Assumptions'!$L$30</f>
        <v>PRD-USIQ</v>
      </c>
      <c r="P1367" s="53" t="n">
        <v>-0.646483</v>
      </c>
      <c r="Q1367" s="53" t="n">
        <v>-0.941743</v>
      </c>
      <c r="R1367" s="53" t="n">
        <v>0.585349</v>
      </c>
      <c r="S1367" s="53" t="n">
        <v>-0.345113</v>
      </c>
    </row>
    <row r="1368" customFormat="false" ht="15" hidden="false" customHeight="false" outlineLevel="0" collapsed="false">
      <c r="A1368" s="43" t="n">
        <v>365</v>
      </c>
      <c r="B1368" s="44" t="str">
        <f aca="false">'Model Inputs &amp; Assumptions'!$B$30</f>
        <v>extraETF — Newsletter Takeover</v>
      </c>
      <c r="C1368" s="45" t="n">
        <f aca="false">ROUND(MAX(0,'Model Inputs &amp; Assumptions'!$S$30*EXP('Model Inputs &amp; Assumptions'!$T$30*P1368-'Model Inputs &amp; Assumptions'!$T$30^2/2)),0)</f>
        <v>91168</v>
      </c>
      <c r="D1368" s="46" t="n">
        <f aca="false">MIN(1,'Model Inputs &amp; Assumptions'!$U$30*EXP('Model Inputs &amp; Assumptions'!$V$30*Q1368-'Model Inputs &amp; Assumptions'!$V$30^2/2))</f>
        <v>0</v>
      </c>
      <c r="E1368" s="45" t="n">
        <f aca="false">ROUND(C1368*D1368,0)</f>
        <v>0</v>
      </c>
      <c r="F1368" s="47" t="n">
        <f aca="false">MIN(1,'Model Inputs &amp; Assumptions'!$W$30*EXP('Model Inputs &amp; Assumptions'!$X$30*R1368-'Model Inputs &amp; Assumptions'!$X$30^2/2))</f>
        <v>0.00737524366999824</v>
      </c>
      <c r="G1368" s="45" t="n">
        <f aca="false">ROUND(C1368*F1368,0)</f>
        <v>672</v>
      </c>
      <c r="H1368" s="48" t="n">
        <f aca="false">MAX(0,(C1368*'Model Inputs &amp; Assumptions'!$N$30+E1368*'Model Inputs &amp; Assumptions'!$O$30+G1368*'Model Inputs &amp; Assumptions'!$P$30)*EXP('Model Inputs &amp; Assumptions'!$Q$30*S1368-'Model Inputs &amp; Assumptions'!$Q$30^2/2))</f>
        <v>34.4026752907944</v>
      </c>
      <c r="I1368" s="49" t="n">
        <f aca="false">IF('Model Inputs &amp; Assumptions'!$H$30="Fixed",'Model Inputs &amp; Assumptions'!$I$30*'Model Inputs &amp; Assumptions'!$K$30,IF('Model Inputs &amp; Assumptions'!$H$30="CPM",'Model Inputs &amp; Assumptions'!$I$30*'Model Inputs &amp; Assumptions'!$K$30*C1368/1000,IF('Model Inputs &amp; Assumptions'!$H$30="CPC",'Model Inputs &amp; Assumptions'!$I$30*'Model Inputs &amp; Assumptions'!$K$30*G1368,0)))</f>
        <v>6900</v>
      </c>
      <c r="J1368" s="50" t="n">
        <f aca="false">H1368*INDEX('Model Inputs &amp; Assumptions'!$D$40:$D$42,MATCH('Model Inputs &amp; Assumptions'!$L$30,'Model Inputs &amp; Assumptions'!$A$40:$A$42,0))*INDEX('Model Inputs &amp; Assumptions'!$H$40:$H$42,MATCH('Model Inputs &amp; Assumptions'!$L$30,'Model Inputs &amp; Assumptions'!$A$40:$A$42,0))</f>
        <v>247699.26209372</v>
      </c>
      <c r="K1368" s="49" t="n">
        <f aca="false">H1368*INDEX('Model Inputs &amp; Assumptions'!$G$40:$G$42,MATCH('Model Inputs &amp; Assumptions'!$L$30,'Model Inputs &amp; Assumptions'!$A$40:$A$42,0))*INDEX('Model Inputs &amp; Assumptions'!$H$40:$H$42,MATCH('Model Inputs &amp; Assumptions'!$L$30,'Model Inputs &amp; Assumptions'!$A$40:$A$42,0))</f>
        <v>5461.76872916652</v>
      </c>
      <c r="L1368" s="51" t="n">
        <f aca="false">IFERROR(K1368/I1368,0)</f>
        <v>0.791560685386452</v>
      </c>
      <c r="M1368" s="49" t="n">
        <f aca="false">IFERROR(I1368/H1368,0)</f>
        <v>200.565797330486</v>
      </c>
      <c r="N1368" s="52" t="str">
        <f aca="false">'Model Inputs &amp; Assumptions'!$L$30</f>
        <v>PRD-USIQ</v>
      </c>
      <c r="P1368" s="53" t="n">
        <v>0.354717</v>
      </c>
      <c r="Q1368" s="53" t="n">
        <v>0.328474</v>
      </c>
      <c r="R1368" s="53" t="n">
        <v>-0.467084</v>
      </c>
      <c r="S1368" s="53" t="n">
        <v>-0.830024</v>
      </c>
    </row>
    <row r="1369" customFormat="false" ht="15" hidden="false" customHeight="false" outlineLevel="0" collapsed="false">
      <c r="A1369" s="43" t="n">
        <v>366</v>
      </c>
      <c r="B1369" s="44" t="str">
        <f aca="false">'Model Inputs &amp; Assumptions'!$B$30</f>
        <v>extraETF — Newsletter Takeover</v>
      </c>
      <c r="C1369" s="45" t="n">
        <f aca="false">ROUND(MAX(0,'Model Inputs &amp; Assumptions'!$S$30*EXP('Model Inputs &amp; Assumptions'!$T$30*P1369-'Model Inputs &amp; Assumptions'!$T$30^2/2)),0)</f>
        <v>96361</v>
      </c>
      <c r="D1369" s="46" t="n">
        <f aca="false">MIN(1,'Model Inputs &amp; Assumptions'!$U$30*EXP('Model Inputs &amp; Assumptions'!$V$30*Q1369-'Model Inputs &amp; Assumptions'!$V$30^2/2))</f>
        <v>0</v>
      </c>
      <c r="E1369" s="45" t="n">
        <f aca="false">ROUND(C1369*D1369,0)</f>
        <v>0</v>
      </c>
      <c r="F1369" s="47" t="n">
        <f aca="false">MIN(1,'Model Inputs &amp; Assumptions'!$W$30*EXP('Model Inputs &amp; Assumptions'!$X$30*R1369-'Model Inputs &amp; Assumptions'!$X$30^2/2))</f>
        <v>0.00800040321016081</v>
      </c>
      <c r="G1369" s="45" t="n">
        <f aca="false">ROUND(C1369*F1369,0)</f>
        <v>771</v>
      </c>
      <c r="H1369" s="48" t="n">
        <f aca="false">MAX(0,(C1369*'Model Inputs &amp; Assumptions'!$N$30+E1369*'Model Inputs &amp; Assumptions'!$O$30+G1369*'Model Inputs &amp; Assumptions'!$P$30)*EXP('Model Inputs &amp; Assumptions'!$Q$30*S1369-'Model Inputs &amp; Assumptions'!$Q$30^2/2))</f>
        <v>44.719699734381</v>
      </c>
      <c r="I1369" s="49" t="n">
        <f aca="false">IF('Model Inputs &amp; Assumptions'!$H$30="Fixed",'Model Inputs &amp; Assumptions'!$I$30*'Model Inputs &amp; Assumptions'!$K$30,IF('Model Inputs &amp; Assumptions'!$H$30="CPM",'Model Inputs &amp; Assumptions'!$I$30*'Model Inputs &amp; Assumptions'!$K$30*C1369/1000,IF('Model Inputs &amp; Assumptions'!$H$30="CPC",'Model Inputs &amp; Assumptions'!$I$30*'Model Inputs &amp; Assumptions'!$K$30*G1369,0)))</f>
        <v>6900</v>
      </c>
      <c r="J1369" s="50" t="n">
        <f aca="false">H1369*INDEX('Model Inputs &amp; Assumptions'!$D$40:$D$42,MATCH('Model Inputs &amp; Assumptions'!$L$30,'Model Inputs &amp; Assumptions'!$A$40:$A$42,0))*INDEX('Model Inputs &amp; Assumptions'!$H$40:$H$42,MATCH('Model Inputs &amp; Assumptions'!$L$30,'Model Inputs &amp; Assumptions'!$A$40:$A$42,0))</f>
        <v>321981.838087543</v>
      </c>
      <c r="K1369" s="49" t="n">
        <f aca="false">H1369*INDEX('Model Inputs &amp; Assumptions'!$G$40:$G$42,MATCH('Model Inputs &amp; Assumptions'!$L$30,'Model Inputs &amp; Assumptions'!$A$40:$A$42,0))*INDEX('Model Inputs &amp; Assumptions'!$H$40:$H$42,MATCH('Model Inputs &amp; Assumptions'!$L$30,'Model Inputs &amp; Assumptions'!$A$40:$A$42,0))</f>
        <v>7099.69952983033</v>
      </c>
      <c r="L1369" s="51" t="n">
        <f aca="false">IFERROR(K1369/I1369,0)</f>
        <v>1.02894196084498</v>
      </c>
      <c r="M1369" s="49" t="n">
        <f aca="false">IFERROR(I1369/H1369,0)</f>
        <v>154.294417023896</v>
      </c>
      <c r="N1369" s="52" t="str">
        <f aca="false">'Model Inputs &amp; Assumptions'!$L$30</f>
        <v>PRD-USIQ</v>
      </c>
      <c r="P1369" s="53" t="n">
        <v>0.816397</v>
      </c>
      <c r="Q1369" s="53" t="n">
        <v>2.354239</v>
      </c>
      <c r="R1369" s="53" t="n">
        <v>0.075336</v>
      </c>
      <c r="S1369" s="53" t="n">
        <v>-0.330625</v>
      </c>
    </row>
    <row r="1370" customFormat="false" ht="15" hidden="false" customHeight="false" outlineLevel="0" collapsed="false">
      <c r="A1370" s="43" t="n">
        <v>367</v>
      </c>
      <c r="B1370" s="44" t="str">
        <f aca="false">'Model Inputs &amp; Assumptions'!$B$30</f>
        <v>extraETF — Newsletter Takeover</v>
      </c>
      <c r="C1370" s="45" t="n">
        <f aca="false">ROUND(MAX(0,'Model Inputs &amp; Assumptions'!$S$30*EXP('Model Inputs &amp; Assumptions'!$T$30*P1370-'Model Inputs &amp; Assumptions'!$T$30^2/2)),0)</f>
        <v>105139</v>
      </c>
      <c r="D1370" s="46" t="n">
        <f aca="false">MIN(1,'Model Inputs &amp; Assumptions'!$U$30*EXP('Model Inputs &amp; Assumptions'!$V$30*Q1370-'Model Inputs &amp; Assumptions'!$V$30^2/2))</f>
        <v>0</v>
      </c>
      <c r="E1370" s="45" t="n">
        <f aca="false">ROUND(C1370*D1370,0)</f>
        <v>0</v>
      </c>
      <c r="F1370" s="47" t="n">
        <f aca="false">MIN(1,'Model Inputs &amp; Assumptions'!$W$30*EXP('Model Inputs &amp; Assumptions'!$X$30*R1370-'Model Inputs &amp; Assumptions'!$X$30^2/2))</f>
        <v>0.00870722239558323</v>
      </c>
      <c r="G1370" s="45" t="n">
        <f aca="false">ROUND(C1370*F1370,0)</f>
        <v>915</v>
      </c>
      <c r="H1370" s="48" t="n">
        <f aca="false">MAX(0,(C1370*'Model Inputs &amp; Assumptions'!$N$30+E1370*'Model Inputs &amp; Assumptions'!$O$30+G1370*'Model Inputs &amp; Assumptions'!$P$30)*EXP('Model Inputs &amp; Assumptions'!$Q$30*S1370-'Model Inputs &amp; Assumptions'!$Q$30^2/2))</f>
        <v>52.8372564353323</v>
      </c>
      <c r="I1370" s="49" t="n">
        <f aca="false">IF('Model Inputs &amp; Assumptions'!$H$30="Fixed",'Model Inputs &amp; Assumptions'!$I$30*'Model Inputs &amp; Assumptions'!$K$30,IF('Model Inputs &amp; Assumptions'!$H$30="CPM",'Model Inputs &amp; Assumptions'!$I$30*'Model Inputs &amp; Assumptions'!$K$30*C1370/1000,IF('Model Inputs &amp; Assumptions'!$H$30="CPC",'Model Inputs &amp; Assumptions'!$I$30*'Model Inputs &amp; Assumptions'!$K$30*G1370,0)))</f>
        <v>6900</v>
      </c>
      <c r="J1370" s="50" t="n">
        <f aca="false">H1370*INDEX('Model Inputs &amp; Assumptions'!$D$40:$D$42,MATCH('Model Inputs &amp; Assumptions'!$L$30,'Model Inputs &amp; Assumptions'!$A$40:$A$42,0))*INDEX('Model Inputs &amp; Assumptions'!$H$40:$H$42,MATCH('Model Inputs &amp; Assumptions'!$L$30,'Model Inputs &amp; Assumptions'!$A$40:$A$42,0))</f>
        <v>380428.246334392</v>
      </c>
      <c r="K1370" s="49" t="n">
        <f aca="false">H1370*INDEX('Model Inputs &amp; Assumptions'!$G$40:$G$42,MATCH('Model Inputs &amp; Assumptions'!$L$30,'Model Inputs &amp; Assumptions'!$A$40:$A$42,0))*INDEX('Model Inputs &amp; Assumptions'!$H$40:$H$42,MATCH('Model Inputs &amp; Assumptions'!$L$30,'Model Inputs &amp; Assumptions'!$A$40:$A$42,0))</f>
        <v>8388.44283167335</v>
      </c>
      <c r="L1370" s="51" t="n">
        <f aca="false">IFERROR(K1370/I1370,0)</f>
        <v>1.21571635241643</v>
      </c>
      <c r="M1370" s="49" t="n">
        <f aca="false">IFERROR(I1370/H1370,0)</f>
        <v>130.58967224093</v>
      </c>
      <c r="N1370" s="52" t="str">
        <f aca="false">'Model Inputs &amp; Assumptions'!$L$30</f>
        <v>PRD-USIQ</v>
      </c>
      <c r="P1370" s="53" t="n">
        <v>1.542901</v>
      </c>
      <c r="Q1370" s="53" t="n">
        <v>2.228546</v>
      </c>
      <c r="R1370" s="53" t="n">
        <v>0.639742</v>
      </c>
      <c r="S1370" s="53" t="n">
        <v>-0.348358</v>
      </c>
    </row>
    <row r="1371" customFormat="false" ht="15" hidden="false" customHeight="false" outlineLevel="0" collapsed="false">
      <c r="A1371" s="43" t="n">
        <v>368</v>
      </c>
      <c r="B1371" s="44" t="str">
        <f aca="false">'Model Inputs &amp; Assumptions'!$B$30</f>
        <v>extraETF — Newsletter Takeover</v>
      </c>
      <c r="C1371" s="45" t="n">
        <f aca="false">ROUND(MAX(0,'Model Inputs &amp; Assumptions'!$S$30*EXP('Model Inputs &amp; Assumptions'!$T$30*P1371-'Model Inputs &amp; Assumptions'!$T$30^2/2)),0)</f>
        <v>84307</v>
      </c>
      <c r="D1371" s="46" t="n">
        <f aca="false">MIN(1,'Model Inputs &amp; Assumptions'!$U$30*EXP('Model Inputs &amp; Assumptions'!$V$30*Q1371-'Model Inputs &amp; Assumptions'!$V$30^2/2))</f>
        <v>0</v>
      </c>
      <c r="E1371" s="45" t="n">
        <f aca="false">ROUND(C1371*D1371,0)</f>
        <v>0</v>
      </c>
      <c r="F1371" s="47" t="n">
        <f aca="false">MIN(1,'Model Inputs &amp; Assumptions'!$W$30*EXP('Model Inputs &amp; Assumptions'!$X$30*R1371-'Model Inputs &amp; Assumptions'!$X$30^2/2))</f>
        <v>0.00853767516383114</v>
      </c>
      <c r="G1371" s="45" t="n">
        <f aca="false">ROUND(C1371*F1371,0)</f>
        <v>720</v>
      </c>
      <c r="H1371" s="48" t="n">
        <f aca="false">MAX(0,(C1371*'Model Inputs &amp; Assumptions'!$N$30+E1371*'Model Inputs &amp; Assumptions'!$O$30+G1371*'Model Inputs &amp; Assumptions'!$P$30)*EXP('Model Inputs &amp; Assumptions'!$Q$30*S1371-'Model Inputs &amp; Assumptions'!$Q$30^2/2))</f>
        <v>28.6313337256475</v>
      </c>
      <c r="I1371" s="49" t="n">
        <f aca="false">IF('Model Inputs &amp; Assumptions'!$H$30="Fixed",'Model Inputs &amp; Assumptions'!$I$30*'Model Inputs &amp; Assumptions'!$K$30,IF('Model Inputs &amp; Assumptions'!$H$30="CPM",'Model Inputs &amp; Assumptions'!$I$30*'Model Inputs &amp; Assumptions'!$K$30*C1371/1000,IF('Model Inputs &amp; Assumptions'!$H$30="CPC",'Model Inputs &amp; Assumptions'!$I$30*'Model Inputs &amp; Assumptions'!$K$30*G1371,0)))</f>
        <v>6900</v>
      </c>
      <c r="J1371" s="50" t="n">
        <f aca="false">H1371*INDEX('Model Inputs &amp; Assumptions'!$D$40:$D$42,MATCH('Model Inputs &amp; Assumptions'!$L$30,'Model Inputs &amp; Assumptions'!$A$40:$A$42,0))*INDEX('Model Inputs &amp; Assumptions'!$H$40:$H$42,MATCH('Model Inputs &amp; Assumptions'!$L$30,'Model Inputs &amp; Assumptions'!$A$40:$A$42,0))</f>
        <v>206145.602824662</v>
      </c>
      <c r="K1371" s="49" t="n">
        <f aca="false">H1371*INDEX('Model Inputs &amp; Assumptions'!$G$40:$G$42,MATCH('Model Inputs &amp; Assumptions'!$L$30,'Model Inputs &amp; Assumptions'!$A$40:$A$42,0))*INDEX('Model Inputs &amp; Assumptions'!$H$40:$H$42,MATCH('Model Inputs &amp; Assumptions'!$L$30,'Model Inputs &amp; Assumptions'!$A$40:$A$42,0))</f>
        <v>4545.5105422838</v>
      </c>
      <c r="L1371" s="51" t="n">
        <f aca="false">IFERROR(K1371/I1371,0)</f>
        <v>0.658769643809246</v>
      </c>
      <c r="M1371" s="49" t="n">
        <f aca="false">IFERROR(I1371/H1371,0)</f>
        <v>240.994711113269</v>
      </c>
      <c r="N1371" s="52" t="str">
        <f aca="false">'Model Inputs &amp; Assumptions'!$L$30</f>
        <v>PRD-USIQ</v>
      </c>
      <c r="P1371" s="53" t="n">
        <v>-0.297277</v>
      </c>
      <c r="Q1371" s="53" t="n">
        <v>-0.080183</v>
      </c>
      <c r="R1371" s="53" t="n">
        <v>0.508648</v>
      </c>
      <c r="S1371" s="53" t="n">
        <v>-1.840526</v>
      </c>
    </row>
    <row r="1372" customFormat="false" ht="15" hidden="false" customHeight="false" outlineLevel="0" collapsed="false">
      <c r="A1372" s="43" t="n">
        <v>369</v>
      </c>
      <c r="B1372" s="44" t="str">
        <f aca="false">'Model Inputs &amp; Assumptions'!$B$30</f>
        <v>extraETF — Newsletter Takeover</v>
      </c>
      <c r="C1372" s="45" t="n">
        <f aca="false">ROUND(MAX(0,'Model Inputs &amp; Assumptions'!$S$30*EXP('Model Inputs &amp; Assumptions'!$T$30*P1372-'Model Inputs &amp; Assumptions'!$T$30^2/2)),0)</f>
        <v>76147</v>
      </c>
      <c r="D1372" s="46" t="n">
        <f aca="false">MIN(1,'Model Inputs &amp; Assumptions'!$U$30*EXP('Model Inputs &amp; Assumptions'!$V$30*Q1372-'Model Inputs &amp; Assumptions'!$V$30^2/2))</f>
        <v>0</v>
      </c>
      <c r="E1372" s="45" t="n">
        <f aca="false">ROUND(C1372*D1372,0)</f>
        <v>0</v>
      </c>
      <c r="F1372" s="47" t="n">
        <f aca="false">MIN(1,'Model Inputs &amp; Assumptions'!$W$30*EXP('Model Inputs &amp; Assumptions'!$X$30*R1372-'Model Inputs &amp; Assumptions'!$X$30^2/2))</f>
        <v>0.00742103838664542</v>
      </c>
      <c r="G1372" s="45" t="n">
        <f aca="false">ROUND(C1372*F1372,0)</f>
        <v>565</v>
      </c>
      <c r="H1372" s="48" t="n">
        <f aca="false">MAX(0,(C1372*'Model Inputs &amp; Assumptions'!$N$30+E1372*'Model Inputs &amp; Assumptions'!$O$30+G1372*'Model Inputs &amp; Assumptions'!$P$30)*EXP('Model Inputs &amp; Assumptions'!$Q$30*S1372-'Model Inputs &amp; Assumptions'!$Q$30^2/2))</f>
        <v>24.6490465951693</v>
      </c>
      <c r="I1372" s="49" t="n">
        <f aca="false">IF('Model Inputs &amp; Assumptions'!$H$30="Fixed",'Model Inputs &amp; Assumptions'!$I$30*'Model Inputs &amp; Assumptions'!$K$30,IF('Model Inputs &amp; Assumptions'!$H$30="CPM",'Model Inputs &amp; Assumptions'!$I$30*'Model Inputs &amp; Assumptions'!$K$30*C1372/1000,IF('Model Inputs &amp; Assumptions'!$H$30="CPC",'Model Inputs &amp; Assumptions'!$I$30*'Model Inputs &amp; Assumptions'!$K$30*G1372,0)))</f>
        <v>6900</v>
      </c>
      <c r="J1372" s="50" t="n">
        <f aca="false">H1372*INDEX('Model Inputs &amp; Assumptions'!$D$40:$D$42,MATCH('Model Inputs &amp; Assumptions'!$L$30,'Model Inputs &amp; Assumptions'!$A$40:$A$42,0))*INDEX('Model Inputs &amp; Assumptions'!$H$40:$H$42,MATCH('Model Inputs &amp; Assumptions'!$L$30,'Model Inputs &amp; Assumptions'!$A$40:$A$42,0))</f>
        <v>177473.135485219</v>
      </c>
      <c r="K1372" s="49" t="n">
        <f aca="false">H1372*INDEX('Model Inputs &amp; Assumptions'!$G$40:$G$42,MATCH('Model Inputs &amp; Assumptions'!$L$30,'Model Inputs &amp; Assumptions'!$A$40:$A$42,0))*INDEX('Model Inputs &amp; Assumptions'!$H$40:$H$42,MATCH('Model Inputs &amp; Assumptions'!$L$30,'Model Inputs &amp; Assumptions'!$A$40:$A$42,0))</f>
        <v>3913.28263744908</v>
      </c>
      <c r="L1372" s="51" t="n">
        <f aca="false">IFERROR(K1372/I1372,0)</f>
        <v>0.567142411224505</v>
      </c>
      <c r="M1372" s="49" t="n">
        <f aca="false">IFERROR(I1372/H1372,0)</f>
        <v>279.929691128591</v>
      </c>
      <c r="N1372" s="52" t="str">
        <f aca="false">'Model Inputs &amp; Assumptions'!$L$30</f>
        <v>PRD-USIQ</v>
      </c>
      <c r="P1372" s="53" t="n">
        <v>-1.145625</v>
      </c>
      <c r="Q1372" s="53" t="n">
        <v>-0.293899</v>
      </c>
      <c r="R1372" s="53" t="n">
        <v>-0.425817</v>
      </c>
      <c r="S1372" s="53" t="n">
        <v>-1.469878</v>
      </c>
    </row>
    <row r="1373" customFormat="false" ht="15" hidden="false" customHeight="false" outlineLevel="0" collapsed="false">
      <c r="A1373" s="43" t="n">
        <v>370</v>
      </c>
      <c r="B1373" s="44" t="str">
        <f aca="false">'Model Inputs &amp; Assumptions'!$B$30</f>
        <v>extraETF — Newsletter Takeover</v>
      </c>
      <c r="C1373" s="45" t="n">
        <f aca="false">ROUND(MAX(0,'Model Inputs &amp; Assumptions'!$S$30*EXP('Model Inputs &amp; Assumptions'!$T$30*P1373-'Model Inputs &amp; Assumptions'!$T$30^2/2)),0)</f>
        <v>85024</v>
      </c>
      <c r="D1373" s="46" t="n">
        <f aca="false">MIN(1,'Model Inputs &amp; Assumptions'!$U$30*EXP('Model Inputs &amp; Assumptions'!$V$30*Q1373-'Model Inputs &amp; Assumptions'!$V$30^2/2))</f>
        <v>0</v>
      </c>
      <c r="E1373" s="45" t="n">
        <f aca="false">ROUND(C1373*D1373,0)</f>
        <v>0</v>
      </c>
      <c r="F1373" s="47" t="n">
        <f aca="false">MIN(1,'Model Inputs &amp; Assumptions'!$W$30*EXP('Model Inputs &amp; Assumptions'!$X$30*R1373-'Model Inputs &amp; Assumptions'!$X$30^2/2))</f>
        <v>0.00781214630970422</v>
      </c>
      <c r="G1373" s="45" t="n">
        <f aca="false">ROUND(C1373*F1373,0)</f>
        <v>664</v>
      </c>
      <c r="H1373" s="48" t="n">
        <f aca="false">MAX(0,(C1373*'Model Inputs &amp; Assumptions'!$N$30+E1373*'Model Inputs &amp; Assumptions'!$O$30+G1373*'Model Inputs &amp; Assumptions'!$P$30)*EXP('Model Inputs &amp; Assumptions'!$Q$30*S1373-'Model Inputs &amp; Assumptions'!$Q$30^2/2))</f>
        <v>27.3704479776893</v>
      </c>
      <c r="I1373" s="49" t="n">
        <f aca="false">IF('Model Inputs &amp; Assumptions'!$H$30="Fixed",'Model Inputs &amp; Assumptions'!$I$30*'Model Inputs &amp; Assumptions'!$K$30,IF('Model Inputs &amp; Assumptions'!$H$30="CPM",'Model Inputs &amp; Assumptions'!$I$30*'Model Inputs &amp; Assumptions'!$K$30*C1373/1000,IF('Model Inputs &amp; Assumptions'!$H$30="CPC",'Model Inputs &amp; Assumptions'!$I$30*'Model Inputs &amp; Assumptions'!$K$30*G1373,0)))</f>
        <v>6900</v>
      </c>
      <c r="J1373" s="50" t="n">
        <f aca="false">H1373*INDEX('Model Inputs &amp; Assumptions'!$D$40:$D$42,MATCH('Model Inputs &amp; Assumptions'!$L$30,'Model Inputs &amp; Assumptions'!$A$40:$A$42,0))*INDEX('Model Inputs &amp; Assumptions'!$H$40:$H$42,MATCH('Model Inputs &amp; Assumptions'!$L$30,'Model Inputs &amp; Assumptions'!$A$40:$A$42,0))</f>
        <v>197067.225439363</v>
      </c>
      <c r="K1373" s="49" t="n">
        <f aca="false">H1373*INDEX('Model Inputs &amp; Assumptions'!$G$40:$G$42,MATCH('Model Inputs &amp; Assumptions'!$L$30,'Model Inputs &amp; Assumptions'!$A$40:$A$42,0))*INDEX('Model Inputs &amp; Assumptions'!$H$40:$H$42,MATCH('Model Inputs &amp; Assumptions'!$L$30,'Model Inputs &amp; Assumptions'!$A$40:$A$42,0))</f>
        <v>4345.33232093795</v>
      </c>
      <c r="L1373" s="51" t="n">
        <f aca="false">IFERROR(K1373/I1373,0)</f>
        <v>0.629758307382311</v>
      </c>
      <c r="M1373" s="49" t="n">
        <f aca="false">IFERROR(I1373/H1373,0)</f>
        <v>252.096714150403</v>
      </c>
      <c r="N1373" s="52" t="str">
        <f aca="false">'Model Inputs &amp; Assumptions'!$L$30</f>
        <v>PRD-USIQ</v>
      </c>
      <c r="P1373" s="53" t="n">
        <v>-0.226653</v>
      </c>
      <c r="Q1373" s="53" t="n">
        <v>-0.353074</v>
      </c>
      <c r="R1373" s="53" t="n">
        <v>-0.083412</v>
      </c>
      <c r="S1373" s="53" t="n">
        <v>-1.696801</v>
      </c>
    </row>
    <row r="1374" customFormat="false" ht="15" hidden="false" customHeight="false" outlineLevel="0" collapsed="false">
      <c r="A1374" s="43" t="n">
        <v>371</v>
      </c>
      <c r="B1374" s="44" t="str">
        <f aca="false">'Model Inputs &amp; Assumptions'!$B$30</f>
        <v>extraETF — Newsletter Takeover</v>
      </c>
      <c r="C1374" s="45" t="n">
        <f aca="false">ROUND(MAX(0,'Model Inputs &amp; Assumptions'!$S$30*EXP('Model Inputs &amp; Assumptions'!$T$30*P1374-'Model Inputs &amp; Assumptions'!$T$30^2/2)),0)</f>
        <v>91993</v>
      </c>
      <c r="D1374" s="46" t="n">
        <f aca="false">MIN(1,'Model Inputs &amp; Assumptions'!$U$30*EXP('Model Inputs &amp; Assumptions'!$V$30*Q1374-'Model Inputs &amp; Assumptions'!$V$30^2/2))</f>
        <v>0</v>
      </c>
      <c r="E1374" s="45" t="n">
        <f aca="false">ROUND(C1374*D1374,0)</f>
        <v>0</v>
      </c>
      <c r="F1374" s="47" t="n">
        <f aca="false">MIN(1,'Model Inputs &amp; Assumptions'!$W$30*EXP('Model Inputs &amp; Assumptions'!$X$30*R1374-'Model Inputs &amp; Assumptions'!$X$30^2/2))</f>
        <v>0.00932535926326882</v>
      </c>
      <c r="G1374" s="45" t="n">
        <f aca="false">ROUND(C1374*F1374,0)</f>
        <v>858</v>
      </c>
      <c r="H1374" s="48" t="n">
        <f aca="false">MAX(0,(C1374*'Model Inputs &amp; Assumptions'!$N$30+E1374*'Model Inputs &amp; Assumptions'!$O$30+G1374*'Model Inputs &amp; Assumptions'!$P$30)*EXP('Model Inputs &amp; Assumptions'!$Q$30*S1374-'Model Inputs &amp; Assumptions'!$Q$30^2/2))</f>
        <v>40.4790109003769</v>
      </c>
      <c r="I1374" s="49" t="n">
        <f aca="false">IF('Model Inputs &amp; Assumptions'!$H$30="Fixed",'Model Inputs &amp; Assumptions'!$I$30*'Model Inputs &amp; Assumptions'!$K$30,IF('Model Inputs &amp; Assumptions'!$H$30="CPM",'Model Inputs &amp; Assumptions'!$I$30*'Model Inputs &amp; Assumptions'!$K$30*C1374/1000,IF('Model Inputs &amp; Assumptions'!$H$30="CPC",'Model Inputs &amp; Assumptions'!$I$30*'Model Inputs &amp; Assumptions'!$K$30*G1374,0)))</f>
        <v>6900</v>
      </c>
      <c r="J1374" s="50" t="n">
        <f aca="false">H1374*INDEX('Model Inputs &amp; Assumptions'!$D$40:$D$42,MATCH('Model Inputs &amp; Assumptions'!$L$30,'Model Inputs &amp; Assumptions'!$A$40:$A$42,0))*INDEX('Model Inputs &amp; Assumptions'!$H$40:$H$42,MATCH('Model Inputs &amp; Assumptions'!$L$30,'Model Inputs &amp; Assumptions'!$A$40:$A$42,0))</f>
        <v>291448.878482714</v>
      </c>
      <c r="K1374" s="49" t="n">
        <f aca="false">H1374*INDEX('Model Inputs &amp; Assumptions'!$G$40:$G$42,MATCH('Model Inputs &amp; Assumptions'!$L$30,'Model Inputs &amp; Assumptions'!$A$40:$A$42,0))*INDEX('Model Inputs &amp; Assumptions'!$H$40:$H$42,MATCH('Model Inputs &amp; Assumptions'!$L$30,'Model Inputs &amp; Assumptions'!$A$40:$A$42,0))</f>
        <v>6426.44777054384</v>
      </c>
      <c r="L1374" s="51" t="n">
        <f aca="false">IFERROR(K1374/I1374,0)</f>
        <v>0.931369242107803</v>
      </c>
      <c r="M1374" s="49" t="n">
        <f aca="false">IFERROR(I1374/H1374,0)</f>
        <v>170.458710490274</v>
      </c>
      <c r="N1374" s="52" t="str">
        <f aca="false">'Model Inputs &amp; Assumptions'!$L$30</f>
        <v>PRD-USIQ</v>
      </c>
      <c r="P1374" s="53" t="n">
        <v>0.429784</v>
      </c>
      <c r="Q1374" s="53" t="n">
        <v>0.338245</v>
      </c>
      <c r="R1374" s="53" t="n">
        <v>1.096973</v>
      </c>
      <c r="S1374" s="53" t="n">
        <v>-1.15681</v>
      </c>
    </row>
    <row r="1375" customFormat="false" ht="15" hidden="false" customHeight="false" outlineLevel="0" collapsed="false">
      <c r="A1375" s="43" t="n">
        <v>372</v>
      </c>
      <c r="B1375" s="44" t="str">
        <f aca="false">'Model Inputs &amp; Assumptions'!$B$30</f>
        <v>extraETF — Newsletter Takeover</v>
      </c>
      <c r="C1375" s="45" t="n">
        <f aca="false">ROUND(MAX(0,'Model Inputs &amp; Assumptions'!$S$30*EXP('Model Inputs &amp; Assumptions'!$T$30*P1375-'Model Inputs &amp; Assumptions'!$T$30^2/2)),0)</f>
        <v>85170</v>
      </c>
      <c r="D1375" s="46" t="n">
        <f aca="false">MIN(1,'Model Inputs &amp; Assumptions'!$U$30*EXP('Model Inputs &amp; Assumptions'!$V$30*Q1375-'Model Inputs &amp; Assumptions'!$V$30^2/2))</f>
        <v>0</v>
      </c>
      <c r="E1375" s="45" t="n">
        <f aca="false">ROUND(C1375*D1375,0)</f>
        <v>0</v>
      </c>
      <c r="F1375" s="47" t="n">
        <f aca="false">MIN(1,'Model Inputs &amp; Assumptions'!$W$30*EXP('Model Inputs &amp; Assumptions'!$X$30*R1375-'Model Inputs &amp; Assumptions'!$X$30^2/2))</f>
        <v>0.00733534313994867</v>
      </c>
      <c r="G1375" s="45" t="n">
        <f aca="false">ROUND(C1375*F1375,0)</f>
        <v>625</v>
      </c>
      <c r="H1375" s="48" t="n">
        <f aca="false">MAX(0,(C1375*'Model Inputs &amp; Assumptions'!$N$30+E1375*'Model Inputs &amp; Assumptions'!$O$30+G1375*'Model Inputs &amp; Assumptions'!$P$30)*EXP('Model Inputs &amp; Assumptions'!$Q$30*S1375-'Model Inputs &amp; Assumptions'!$Q$30^2/2))</f>
        <v>24.6935577715682</v>
      </c>
      <c r="I1375" s="49" t="n">
        <f aca="false">IF('Model Inputs &amp; Assumptions'!$H$30="Fixed",'Model Inputs &amp; Assumptions'!$I$30*'Model Inputs &amp; Assumptions'!$K$30,IF('Model Inputs &amp; Assumptions'!$H$30="CPM",'Model Inputs &amp; Assumptions'!$I$30*'Model Inputs &amp; Assumptions'!$K$30*C1375/1000,IF('Model Inputs &amp; Assumptions'!$H$30="CPC",'Model Inputs &amp; Assumptions'!$I$30*'Model Inputs &amp; Assumptions'!$K$30*G1375,0)))</f>
        <v>6900</v>
      </c>
      <c r="J1375" s="50" t="n">
        <f aca="false">H1375*INDEX('Model Inputs &amp; Assumptions'!$D$40:$D$42,MATCH('Model Inputs &amp; Assumptions'!$L$30,'Model Inputs &amp; Assumptions'!$A$40:$A$42,0))*INDEX('Model Inputs &amp; Assumptions'!$H$40:$H$42,MATCH('Model Inputs &amp; Assumptions'!$L$30,'Model Inputs &amp; Assumptions'!$A$40:$A$42,0))</f>
        <v>177793.615955291</v>
      </c>
      <c r="K1375" s="49" t="n">
        <f aca="false">H1375*INDEX('Model Inputs &amp; Assumptions'!$G$40:$G$42,MATCH('Model Inputs &amp; Assumptions'!$L$30,'Model Inputs &amp; Assumptions'!$A$40:$A$42,0))*INDEX('Model Inputs &amp; Assumptions'!$H$40:$H$42,MATCH('Model Inputs &amp; Assumptions'!$L$30,'Model Inputs &amp; Assumptions'!$A$40:$A$42,0))</f>
        <v>3920.34923181417</v>
      </c>
      <c r="L1375" s="51" t="n">
        <f aca="false">IFERROR(K1375/I1375,0)</f>
        <v>0.568166555335388</v>
      </c>
      <c r="M1375" s="49" t="n">
        <f aca="false">IFERROR(I1375/H1375,0)</f>
        <v>279.42510608757</v>
      </c>
      <c r="N1375" s="52" t="str">
        <f aca="false">'Model Inputs &amp; Assumptions'!$L$30</f>
        <v>PRD-USIQ</v>
      </c>
      <c r="P1375" s="53" t="n">
        <v>-0.212433</v>
      </c>
      <c r="Q1375" s="53" t="n">
        <v>0.316265</v>
      </c>
      <c r="R1375" s="53" t="n">
        <v>-0.503249</v>
      </c>
      <c r="S1375" s="53" t="n">
        <v>-1.866365</v>
      </c>
    </row>
    <row r="1376" customFormat="false" ht="15" hidden="false" customHeight="false" outlineLevel="0" collapsed="false">
      <c r="A1376" s="43" t="n">
        <v>373</v>
      </c>
      <c r="B1376" s="44" t="str">
        <f aca="false">'Model Inputs &amp; Assumptions'!$B$30</f>
        <v>extraETF — Newsletter Takeover</v>
      </c>
      <c r="C1376" s="45" t="n">
        <f aca="false">ROUND(MAX(0,'Model Inputs &amp; Assumptions'!$S$30*EXP('Model Inputs &amp; Assumptions'!$T$30*P1376-'Model Inputs &amp; Assumptions'!$T$30^2/2)),0)</f>
        <v>74014</v>
      </c>
      <c r="D1376" s="46" t="n">
        <f aca="false">MIN(1,'Model Inputs &amp; Assumptions'!$U$30*EXP('Model Inputs &amp; Assumptions'!$V$30*Q1376-'Model Inputs &amp; Assumptions'!$V$30^2/2))</f>
        <v>0</v>
      </c>
      <c r="E1376" s="45" t="n">
        <f aca="false">ROUND(C1376*D1376,0)</f>
        <v>0</v>
      </c>
      <c r="F1376" s="47" t="n">
        <f aca="false">MIN(1,'Model Inputs &amp; Assumptions'!$W$30*EXP('Model Inputs &amp; Assumptions'!$X$30*R1376-'Model Inputs &amp; Assumptions'!$X$30^2/2))</f>
        <v>0.00714267989724918</v>
      </c>
      <c r="G1376" s="45" t="n">
        <f aca="false">ROUND(C1376*F1376,0)</f>
        <v>529</v>
      </c>
      <c r="H1376" s="48" t="n">
        <f aca="false">MAX(0,(C1376*'Model Inputs &amp; Assumptions'!$N$30+E1376*'Model Inputs &amp; Assumptions'!$O$30+G1376*'Model Inputs &amp; Assumptions'!$P$30)*EXP('Model Inputs &amp; Assumptions'!$Q$30*S1376-'Model Inputs &amp; Assumptions'!$Q$30^2/2))</f>
        <v>24.801965964021</v>
      </c>
      <c r="I1376" s="49" t="n">
        <f aca="false">IF('Model Inputs &amp; Assumptions'!$H$30="Fixed",'Model Inputs &amp; Assumptions'!$I$30*'Model Inputs &amp; Assumptions'!$K$30,IF('Model Inputs &amp; Assumptions'!$H$30="CPM",'Model Inputs &amp; Assumptions'!$I$30*'Model Inputs &amp; Assumptions'!$K$30*C1376/1000,IF('Model Inputs &amp; Assumptions'!$H$30="CPC",'Model Inputs &amp; Assumptions'!$I$30*'Model Inputs &amp; Assumptions'!$K$30*G1376,0)))</f>
        <v>6900</v>
      </c>
      <c r="J1376" s="50" t="n">
        <f aca="false">H1376*INDEX('Model Inputs &amp; Assumptions'!$D$40:$D$42,MATCH('Model Inputs &amp; Assumptions'!$L$30,'Model Inputs &amp; Assumptions'!$A$40:$A$42,0))*INDEX('Model Inputs &amp; Assumptions'!$H$40:$H$42,MATCH('Model Inputs &amp; Assumptions'!$L$30,'Model Inputs &amp; Assumptions'!$A$40:$A$42,0))</f>
        <v>178574.154940951</v>
      </c>
      <c r="K1376" s="49" t="n">
        <f aca="false">H1376*INDEX('Model Inputs &amp; Assumptions'!$G$40:$G$42,MATCH('Model Inputs &amp; Assumptions'!$L$30,'Model Inputs &amp; Assumptions'!$A$40:$A$42,0))*INDEX('Model Inputs &amp; Assumptions'!$H$40:$H$42,MATCH('Model Inputs &amp; Assumptions'!$L$30,'Model Inputs &amp; Assumptions'!$A$40:$A$42,0))</f>
        <v>3937.56011644797</v>
      </c>
      <c r="L1376" s="51" t="n">
        <f aca="false">IFERROR(K1376/I1376,0)</f>
        <v>0.570660886441734</v>
      </c>
      <c r="M1376" s="49" t="n">
        <f aca="false">IFERROR(I1376/H1376,0)</f>
        <v>278.203752477102</v>
      </c>
      <c r="N1376" s="52" t="str">
        <f aca="false">'Model Inputs &amp; Assumptions'!$L$30</f>
        <v>PRD-USIQ</v>
      </c>
      <c r="P1376" s="53" t="n">
        <v>-1.38238</v>
      </c>
      <c r="Q1376" s="53" t="n">
        <v>-0.405188</v>
      </c>
      <c r="R1376" s="53" t="n">
        <v>-0.68069</v>
      </c>
      <c r="S1376" s="53" t="n">
        <v>-1.18179</v>
      </c>
    </row>
    <row r="1377" customFormat="false" ht="15" hidden="false" customHeight="false" outlineLevel="0" collapsed="false">
      <c r="A1377" s="43" t="n">
        <v>374</v>
      </c>
      <c r="B1377" s="44" t="str">
        <f aca="false">'Model Inputs &amp; Assumptions'!$B$30</f>
        <v>extraETF — Newsletter Takeover</v>
      </c>
      <c r="C1377" s="45" t="n">
        <f aca="false">ROUND(MAX(0,'Model Inputs &amp; Assumptions'!$S$30*EXP('Model Inputs &amp; Assumptions'!$T$30*P1377-'Model Inputs &amp; Assumptions'!$T$30^2/2)),0)</f>
        <v>97106</v>
      </c>
      <c r="D1377" s="46" t="n">
        <f aca="false">MIN(1,'Model Inputs &amp; Assumptions'!$U$30*EXP('Model Inputs &amp; Assumptions'!$V$30*Q1377-'Model Inputs &amp; Assumptions'!$V$30^2/2))</f>
        <v>0</v>
      </c>
      <c r="E1377" s="45" t="n">
        <f aca="false">ROUND(C1377*D1377,0)</f>
        <v>0</v>
      </c>
      <c r="F1377" s="47" t="n">
        <f aca="false">MIN(1,'Model Inputs &amp; Assumptions'!$W$30*EXP('Model Inputs &amp; Assumptions'!$X$30*R1377-'Model Inputs &amp; Assumptions'!$X$30^2/2))</f>
        <v>0.0112772355612818</v>
      </c>
      <c r="G1377" s="45" t="n">
        <f aca="false">ROUND(C1377*F1377,0)</f>
        <v>1095</v>
      </c>
      <c r="H1377" s="48" t="n">
        <f aca="false">MAX(0,(C1377*'Model Inputs &amp; Assumptions'!$N$30+E1377*'Model Inputs &amp; Assumptions'!$O$30+G1377*'Model Inputs &amp; Assumptions'!$P$30)*EXP('Model Inputs &amp; Assumptions'!$Q$30*S1377-'Model Inputs &amp; Assumptions'!$Q$30^2/2))</f>
        <v>73.6597953836456</v>
      </c>
      <c r="I1377" s="49" t="n">
        <f aca="false">IF('Model Inputs &amp; Assumptions'!$H$30="Fixed",'Model Inputs &amp; Assumptions'!$I$30*'Model Inputs &amp; Assumptions'!$K$30,IF('Model Inputs &amp; Assumptions'!$H$30="CPM",'Model Inputs &amp; Assumptions'!$I$30*'Model Inputs &amp; Assumptions'!$K$30*C1377/1000,IF('Model Inputs &amp; Assumptions'!$H$30="CPC",'Model Inputs &amp; Assumptions'!$I$30*'Model Inputs &amp; Assumptions'!$K$30*G1377,0)))</f>
        <v>6900</v>
      </c>
      <c r="J1377" s="50" t="n">
        <f aca="false">H1377*INDEX('Model Inputs &amp; Assumptions'!$D$40:$D$42,MATCH('Model Inputs &amp; Assumptions'!$L$30,'Model Inputs &amp; Assumptions'!$A$40:$A$42,0))*INDEX('Model Inputs &amp; Assumptions'!$H$40:$H$42,MATCH('Model Inputs &amp; Assumptions'!$L$30,'Model Inputs &amp; Assumptions'!$A$40:$A$42,0))</f>
        <v>530350.526762249</v>
      </c>
      <c r="K1377" s="49" t="n">
        <f aca="false">H1377*INDEX('Model Inputs &amp; Assumptions'!$G$40:$G$42,MATCH('Model Inputs &amp; Assumptions'!$L$30,'Model Inputs &amp; Assumptions'!$A$40:$A$42,0))*INDEX('Model Inputs &amp; Assumptions'!$H$40:$H$42,MATCH('Model Inputs &amp; Assumptions'!$L$30,'Model Inputs &amp; Assumptions'!$A$40:$A$42,0))</f>
        <v>11694.2291151076</v>
      </c>
      <c r="L1377" s="51" t="n">
        <f aca="false">IFERROR(K1377/I1377,0)</f>
        <v>1.69481581378371</v>
      </c>
      <c r="M1377" s="49" t="n">
        <f aca="false">IFERROR(I1377/H1377,0)</f>
        <v>93.6738958350674</v>
      </c>
      <c r="N1377" s="52" t="str">
        <f aca="false">'Model Inputs &amp; Assumptions'!$L$30</f>
        <v>PRD-USIQ</v>
      </c>
      <c r="P1377" s="53" t="n">
        <v>0.880564</v>
      </c>
      <c r="Q1377" s="53" t="n">
        <v>-0.264709</v>
      </c>
      <c r="R1377" s="53" t="n">
        <v>2.363964</v>
      </c>
      <c r="S1377" s="53" t="n">
        <v>0.262262</v>
      </c>
    </row>
    <row r="1378" customFormat="false" ht="15" hidden="false" customHeight="false" outlineLevel="0" collapsed="false">
      <c r="A1378" s="43" t="n">
        <v>375</v>
      </c>
      <c r="B1378" s="44" t="str">
        <f aca="false">'Model Inputs &amp; Assumptions'!$B$30</f>
        <v>extraETF — Newsletter Takeover</v>
      </c>
      <c r="C1378" s="45" t="n">
        <f aca="false">ROUND(MAX(0,'Model Inputs &amp; Assumptions'!$S$30*EXP('Model Inputs &amp; Assumptions'!$T$30*P1378-'Model Inputs &amp; Assumptions'!$T$30^2/2)),0)</f>
        <v>88990</v>
      </c>
      <c r="D1378" s="46" t="n">
        <f aca="false">MIN(1,'Model Inputs &amp; Assumptions'!$U$30*EXP('Model Inputs &amp; Assumptions'!$V$30*Q1378-'Model Inputs &amp; Assumptions'!$V$30^2/2))</f>
        <v>0</v>
      </c>
      <c r="E1378" s="45" t="n">
        <f aca="false">ROUND(C1378*D1378,0)</f>
        <v>0</v>
      </c>
      <c r="F1378" s="47" t="n">
        <f aca="false">MIN(1,'Model Inputs &amp; Assumptions'!$W$30*EXP('Model Inputs &amp; Assumptions'!$X$30*R1378-'Model Inputs &amp; Assumptions'!$X$30^2/2))</f>
        <v>0.00716462693102672</v>
      </c>
      <c r="G1378" s="45" t="n">
        <f aca="false">ROUND(C1378*F1378,0)</f>
        <v>638</v>
      </c>
      <c r="H1378" s="48" t="n">
        <f aca="false">MAX(0,(C1378*'Model Inputs &amp; Assumptions'!$N$30+E1378*'Model Inputs &amp; Assumptions'!$O$30+G1378*'Model Inputs &amp; Assumptions'!$P$30)*EXP('Model Inputs &amp; Assumptions'!$Q$30*S1378-'Model Inputs &amp; Assumptions'!$Q$30^2/2))</f>
        <v>49.2973227479327</v>
      </c>
      <c r="I1378" s="49" t="n">
        <f aca="false">IF('Model Inputs &amp; Assumptions'!$H$30="Fixed",'Model Inputs &amp; Assumptions'!$I$30*'Model Inputs &amp; Assumptions'!$K$30,IF('Model Inputs &amp; Assumptions'!$H$30="CPM",'Model Inputs &amp; Assumptions'!$I$30*'Model Inputs &amp; Assumptions'!$K$30*C1378/1000,IF('Model Inputs &amp; Assumptions'!$H$30="CPC",'Model Inputs &amp; Assumptions'!$I$30*'Model Inputs &amp; Assumptions'!$K$30*G1378,0)))</f>
        <v>6900</v>
      </c>
      <c r="J1378" s="50" t="n">
        <f aca="false">H1378*INDEX('Model Inputs &amp; Assumptions'!$D$40:$D$42,MATCH('Model Inputs &amp; Assumptions'!$L$30,'Model Inputs &amp; Assumptions'!$A$40:$A$42,0))*INDEX('Model Inputs &amp; Assumptions'!$H$40:$H$42,MATCH('Model Inputs &amp; Assumptions'!$L$30,'Model Inputs &amp; Assumptions'!$A$40:$A$42,0))</f>
        <v>354940.723785115</v>
      </c>
      <c r="K1378" s="49" t="n">
        <f aca="false">H1378*INDEX('Model Inputs &amp; Assumptions'!$G$40:$G$42,MATCH('Model Inputs &amp; Assumptions'!$L$30,'Model Inputs &amp; Assumptions'!$A$40:$A$42,0))*INDEX('Model Inputs &amp; Assumptions'!$H$40:$H$42,MATCH('Model Inputs &amp; Assumptions'!$L$30,'Model Inputs &amp; Assumptions'!$A$40:$A$42,0))</f>
        <v>7826.44295946179</v>
      </c>
      <c r="L1378" s="51" t="n">
        <f aca="false">IFERROR(K1378/I1378,0)</f>
        <v>1.13426709557417</v>
      </c>
      <c r="M1378" s="49" t="n">
        <f aca="false">IFERROR(I1378/H1378,0)</f>
        <v>139.967033002606</v>
      </c>
      <c r="N1378" s="52" t="str">
        <f aca="false">'Model Inputs &amp; Assumptions'!$L$30</f>
        <v>PRD-USIQ</v>
      </c>
      <c r="P1378" s="53" t="n">
        <v>0.153259</v>
      </c>
      <c r="Q1378" s="53" t="n">
        <v>-0.483662</v>
      </c>
      <c r="R1378" s="53" t="n">
        <v>-0.660237</v>
      </c>
      <c r="S1378" s="53" t="n">
        <v>0.816598</v>
      </c>
    </row>
    <row r="1379" customFormat="false" ht="15" hidden="false" customHeight="false" outlineLevel="0" collapsed="false">
      <c r="A1379" s="43" t="n">
        <v>376</v>
      </c>
      <c r="B1379" s="44" t="str">
        <f aca="false">'Model Inputs &amp; Assumptions'!$B$30</f>
        <v>extraETF — Newsletter Takeover</v>
      </c>
      <c r="C1379" s="45" t="n">
        <f aca="false">ROUND(MAX(0,'Model Inputs &amp; Assumptions'!$S$30*EXP('Model Inputs &amp; Assumptions'!$T$30*P1379-'Model Inputs &amp; Assumptions'!$T$30^2/2)),0)</f>
        <v>109364</v>
      </c>
      <c r="D1379" s="46" t="n">
        <f aca="false">MIN(1,'Model Inputs &amp; Assumptions'!$U$30*EXP('Model Inputs &amp; Assumptions'!$V$30*Q1379-'Model Inputs &amp; Assumptions'!$V$30^2/2))</f>
        <v>0</v>
      </c>
      <c r="E1379" s="45" t="n">
        <f aca="false">ROUND(C1379*D1379,0)</f>
        <v>0</v>
      </c>
      <c r="F1379" s="47" t="n">
        <f aca="false">MIN(1,'Model Inputs &amp; Assumptions'!$W$30*EXP('Model Inputs &amp; Assumptions'!$X$30*R1379-'Model Inputs &amp; Assumptions'!$X$30^2/2))</f>
        <v>0.00816834151789663</v>
      </c>
      <c r="G1379" s="45" t="n">
        <f aca="false">ROUND(C1379*F1379,0)</f>
        <v>893</v>
      </c>
      <c r="H1379" s="48" t="n">
        <f aca="false">MAX(0,(C1379*'Model Inputs &amp; Assumptions'!$N$30+E1379*'Model Inputs &amp; Assumptions'!$O$30+G1379*'Model Inputs &amp; Assumptions'!$P$30)*EXP('Model Inputs &amp; Assumptions'!$Q$30*S1379-'Model Inputs &amp; Assumptions'!$Q$30^2/2))</f>
        <v>47.670240856776</v>
      </c>
      <c r="I1379" s="49" t="n">
        <f aca="false">IF('Model Inputs &amp; Assumptions'!$H$30="Fixed",'Model Inputs &amp; Assumptions'!$I$30*'Model Inputs &amp; Assumptions'!$K$30,IF('Model Inputs &amp; Assumptions'!$H$30="CPM",'Model Inputs &amp; Assumptions'!$I$30*'Model Inputs &amp; Assumptions'!$K$30*C1379/1000,IF('Model Inputs &amp; Assumptions'!$H$30="CPC",'Model Inputs &amp; Assumptions'!$I$30*'Model Inputs &amp; Assumptions'!$K$30*G1379,0)))</f>
        <v>6900</v>
      </c>
      <c r="J1379" s="50" t="n">
        <f aca="false">H1379*INDEX('Model Inputs &amp; Assumptions'!$D$40:$D$42,MATCH('Model Inputs &amp; Assumptions'!$L$30,'Model Inputs &amp; Assumptions'!$A$40:$A$42,0))*INDEX('Model Inputs &amp; Assumptions'!$H$40:$H$42,MATCH('Model Inputs &amp; Assumptions'!$L$30,'Model Inputs &amp; Assumptions'!$A$40:$A$42,0))</f>
        <v>343225.734168787</v>
      </c>
      <c r="K1379" s="49" t="n">
        <f aca="false">H1379*INDEX('Model Inputs &amp; Assumptions'!$G$40:$G$42,MATCH('Model Inputs &amp; Assumptions'!$L$30,'Model Inputs &amp; Assumptions'!$A$40:$A$42,0))*INDEX('Model Inputs &amp; Assumptions'!$H$40:$H$42,MATCH('Model Inputs &amp; Assumptions'!$L$30,'Model Inputs &amp; Assumptions'!$A$40:$A$42,0))</f>
        <v>7568.12743842176</v>
      </c>
      <c r="L1379" s="51" t="n">
        <f aca="false">IFERROR(K1379/I1379,0)</f>
        <v>1.09683006353939</v>
      </c>
      <c r="M1379" s="49" t="n">
        <f aca="false">IFERROR(I1379/H1379,0)</f>
        <v>144.744391385201</v>
      </c>
      <c r="N1379" s="52" t="str">
        <f aca="false">'Model Inputs &amp; Assumptions'!$L$30</f>
        <v>PRD-USIQ</v>
      </c>
      <c r="P1379" s="53" t="n">
        <v>1.871228</v>
      </c>
      <c r="Q1379" s="53" t="n">
        <v>-0.562186</v>
      </c>
      <c r="R1379" s="53" t="n">
        <v>0.213829</v>
      </c>
      <c r="S1379" s="53" t="n">
        <v>-0.662645</v>
      </c>
    </row>
    <row r="1380" customFormat="false" ht="15" hidden="false" customHeight="false" outlineLevel="0" collapsed="false">
      <c r="A1380" s="43" t="n">
        <v>377</v>
      </c>
      <c r="B1380" s="44" t="str">
        <f aca="false">'Model Inputs &amp; Assumptions'!$B$30</f>
        <v>extraETF — Newsletter Takeover</v>
      </c>
      <c r="C1380" s="45" t="n">
        <f aca="false">ROUND(MAX(0,'Model Inputs &amp; Assumptions'!$S$30*EXP('Model Inputs &amp; Assumptions'!$T$30*P1380-'Model Inputs &amp; Assumptions'!$T$30^2/2)),0)</f>
        <v>88557</v>
      </c>
      <c r="D1380" s="46" t="n">
        <f aca="false">MIN(1,'Model Inputs &amp; Assumptions'!$U$30*EXP('Model Inputs &amp; Assumptions'!$V$30*Q1380-'Model Inputs &amp; Assumptions'!$V$30^2/2))</f>
        <v>0</v>
      </c>
      <c r="E1380" s="45" t="n">
        <f aca="false">ROUND(C1380*D1380,0)</f>
        <v>0</v>
      </c>
      <c r="F1380" s="47" t="n">
        <f aca="false">MIN(1,'Model Inputs &amp; Assumptions'!$W$30*EXP('Model Inputs &amp; Assumptions'!$X$30*R1380-'Model Inputs &amp; Assumptions'!$X$30^2/2))</f>
        <v>0.00781717387109997</v>
      </c>
      <c r="G1380" s="45" t="n">
        <f aca="false">ROUND(C1380*F1380,0)</f>
        <v>692</v>
      </c>
      <c r="H1380" s="48" t="n">
        <f aca="false">MAX(0,(C1380*'Model Inputs &amp; Assumptions'!$N$30+E1380*'Model Inputs &amp; Assumptions'!$O$30+G1380*'Model Inputs &amp; Assumptions'!$P$30)*EXP('Model Inputs &amp; Assumptions'!$Q$30*S1380-'Model Inputs &amp; Assumptions'!$Q$30^2/2))</f>
        <v>51.1618274586563</v>
      </c>
      <c r="I1380" s="49" t="n">
        <f aca="false">IF('Model Inputs &amp; Assumptions'!$H$30="Fixed",'Model Inputs &amp; Assumptions'!$I$30*'Model Inputs &amp; Assumptions'!$K$30,IF('Model Inputs &amp; Assumptions'!$H$30="CPM",'Model Inputs &amp; Assumptions'!$I$30*'Model Inputs &amp; Assumptions'!$K$30*C1380/1000,IF('Model Inputs &amp; Assumptions'!$H$30="CPC",'Model Inputs &amp; Assumptions'!$I$30*'Model Inputs &amp; Assumptions'!$K$30*G1380,0)))</f>
        <v>6900</v>
      </c>
      <c r="J1380" s="50" t="n">
        <f aca="false">H1380*INDEX('Model Inputs &amp; Assumptions'!$D$40:$D$42,MATCH('Model Inputs &amp; Assumptions'!$L$30,'Model Inputs &amp; Assumptions'!$A$40:$A$42,0))*INDEX('Model Inputs &amp; Assumptions'!$H$40:$H$42,MATCH('Model Inputs &amp; Assumptions'!$L$30,'Model Inputs &amp; Assumptions'!$A$40:$A$42,0))</f>
        <v>368365.157702325</v>
      </c>
      <c r="K1380" s="49" t="n">
        <f aca="false">H1380*INDEX('Model Inputs &amp; Assumptions'!$G$40:$G$42,MATCH('Model Inputs &amp; Assumptions'!$L$30,'Model Inputs &amp; Assumptions'!$A$40:$A$42,0))*INDEX('Model Inputs &amp; Assumptions'!$H$40:$H$42,MATCH('Model Inputs &amp; Assumptions'!$L$30,'Model Inputs &amp; Assumptions'!$A$40:$A$42,0))</f>
        <v>8122.45172733627</v>
      </c>
      <c r="L1380" s="51" t="n">
        <f aca="false">IFERROR(K1380/I1380,0)</f>
        <v>1.17716691700526</v>
      </c>
      <c r="M1380" s="49" t="n">
        <f aca="false">IFERROR(I1380/H1380,0)</f>
        <v>134.86617548163</v>
      </c>
      <c r="N1380" s="52" t="str">
        <f aca="false">'Model Inputs &amp; Assumptions'!$L$30</f>
        <v>PRD-USIQ</v>
      </c>
      <c r="P1380" s="53" t="n">
        <v>0.112608</v>
      </c>
      <c r="Q1380" s="53" t="n">
        <v>0.488584</v>
      </c>
      <c r="R1380" s="53" t="n">
        <v>-0.079123</v>
      </c>
      <c r="S1380" s="53" t="n">
        <v>0.640103</v>
      </c>
    </row>
    <row r="1381" customFormat="false" ht="15" hidden="false" customHeight="false" outlineLevel="0" collapsed="false">
      <c r="A1381" s="43" t="n">
        <v>378</v>
      </c>
      <c r="B1381" s="44" t="str">
        <f aca="false">'Model Inputs &amp; Assumptions'!$B$30</f>
        <v>extraETF — Newsletter Takeover</v>
      </c>
      <c r="C1381" s="45" t="n">
        <f aca="false">ROUND(MAX(0,'Model Inputs &amp; Assumptions'!$S$30*EXP('Model Inputs &amp; Assumptions'!$T$30*P1381-'Model Inputs &amp; Assumptions'!$T$30^2/2)),0)</f>
        <v>100871</v>
      </c>
      <c r="D1381" s="46" t="n">
        <f aca="false">MIN(1,'Model Inputs &amp; Assumptions'!$U$30*EXP('Model Inputs &amp; Assumptions'!$V$30*Q1381-'Model Inputs &amp; Assumptions'!$V$30^2/2))</f>
        <v>0</v>
      </c>
      <c r="E1381" s="45" t="n">
        <f aca="false">ROUND(C1381*D1381,0)</f>
        <v>0</v>
      </c>
      <c r="F1381" s="47" t="n">
        <f aca="false">MIN(1,'Model Inputs &amp; Assumptions'!$W$30*EXP('Model Inputs &amp; Assumptions'!$X$30*R1381-'Model Inputs &amp; Assumptions'!$X$30^2/2))</f>
        <v>0.00568431252312469</v>
      </c>
      <c r="G1381" s="45" t="n">
        <f aca="false">ROUND(C1381*F1381,0)</f>
        <v>573</v>
      </c>
      <c r="H1381" s="48" t="n">
        <f aca="false">MAX(0,(C1381*'Model Inputs &amp; Assumptions'!$N$30+E1381*'Model Inputs &amp; Assumptions'!$O$30+G1381*'Model Inputs &amp; Assumptions'!$P$30)*EXP('Model Inputs &amp; Assumptions'!$Q$30*S1381-'Model Inputs &amp; Assumptions'!$Q$30^2/2))</f>
        <v>36.3810562918364</v>
      </c>
      <c r="I1381" s="49" t="n">
        <f aca="false">IF('Model Inputs &amp; Assumptions'!$H$30="Fixed",'Model Inputs &amp; Assumptions'!$I$30*'Model Inputs &amp; Assumptions'!$K$30,IF('Model Inputs &amp; Assumptions'!$H$30="CPM",'Model Inputs &amp; Assumptions'!$I$30*'Model Inputs &amp; Assumptions'!$K$30*C1381/1000,IF('Model Inputs &amp; Assumptions'!$H$30="CPC",'Model Inputs &amp; Assumptions'!$I$30*'Model Inputs &amp; Assumptions'!$K$30*G1381,0)))</f>
        <v>6900</v>
      </c>
      <c r="J1381" s="50" t="n">
        <f aca="false">H1381*INDEX('Model Inputs &amp; Assumptions'!$D$40:$D$42,MATCH('Model Inputs &amp; Assumptions'!$L$30,'Model Inputs &amp; Assumptions'!$A$40:$A$42,0))*INDEX('Model Inputs &amp; Assumptions'!$H$40:$H$42,MATCH('Model Inputs &amp; Assumptions'!$L$30,'Model Inputs &amp; Assumptions'!$A$40:$A$42,0))</f>
        <v>261943.605301222</v>
      </c>
      <c r="K1381" s="49" t="n">
        <f aca="false">H1381*INDEX('Model Inputs &amp; Assumptions'!$G$40:$G$42,MATCH('Model Inputs &amp; Assumptions'!$L$30,'Model Inputs &amp; Assumptions'!$A$40:$A$42,0))*INDEX('Model Inputs &amp; Assumptions'!$H$40:$H$42,MATCH('Model Inputs &amp; Assumptions'!$L$30,'Model Inputs &amp; Assumptions'!$A$40:$A$42,0))</f>
        <v>5775.85649689195</v>
      </c>
      <c r="L1381" s="51" t="n">
        <f aca="false">IFERROR(K1381/I1381,0)</f>
        <v>0.837080651723471</v>
      </c>
      <c r="M1381" s="49" t="n">
        <f aca="false">IFERROR(I1381/H1381,0)</f>
        <v>189.659144161471</v>
      </c>
      <c r="N1381" s="52" t="str">
        <f aca="false">'Model Inputs &amp; Assumptions'!$L$30</f>
        <v>PRD-USIQ</v>
      </c>
      <c r="P1381" s="53" t="n">
        <v>1.197575</v>
      </c>
      <c r="Q1381" s="53" t="n">
        <v>-0.233171</v>
      </c>
      <c r="R1381" s="53" t="n">
        <v>-2.203209</v>
      </c>
      <c r="S1381" s="53" t="n">
        <v>0.031122</v>
      </c>
    </row>
    <row r="1382" customFormat="false" ht="15" hidden="false" customHeight="false" outlineLevel="0" collapsed="false">
      <c r="A1382" s="43" t="n">
        <v>379</v>
      </c>
      <c r="B1382" s="44" t="str">
        <f aca="false">'Model Inputs &amp; Assumptions'!$B$30</f>
        <v>extraETF — Newsletter Takeover</v>
      </c>
      <c r="C1382" s="45" t="n">
        <f aca="false">ROUND(MAX(0,'Model Inputs &amp; Assumptions'!$S$30*EXP('Model Inputs &amp; Assumptions'!$T$30*P1382-'Model Inputs &amp; Assumptions'!$T$30^2/2)),0)</f>
        <v>84490</v>
      </c>
      <c r="D1382" s="46" t="n">
        <f aca="false">MIN(1,'Model Inputs &amp; Assumptions'!$U$30*EXP('Model Inputs &amp; Assumptions'!$V$30*Q1382-'Model Inputs &amp; Assumptions'!$V$30^2/2))</f>
        <v>0</v>
      </c>
      <c r="E1382" s="45" t="n">
        <f aca="false">ROUND(C1382*D1382,0)</f>
        <v>0</v>
      </c>
      <c r="F1382" s="47" t="n">
        <f aca="false">MIN(1,'Model Inputs &amp; Assumptions'!$W$30*EXP('Model Inputs &amp; Assumptions'!$X$30*R1382-'Model Inputs &amp; Assumptions'!$X$30^2/2))</f>
        <v>0.00753159087953692</v>
      </c>
      <c r="G1382" s="45" t="n">
        <f aca="false">ROUND(C1382*F1382,0)</f>
        <v>636</v>
      </c>
      <c r="H1382" s="48" t="n">
        <f aca="false">MAX(0,(C1382*'Model Inputs &amp; Assumptions'!$N$30+E1382*'Model Inputs &amp; Assumptions'!$O$30+G1382*'Model Inputs &amp; Assumptions'!$P$30)*EXP('Model Inputs &amp; Assumptions'!$Q$30*S1382-'Model Inputs &amp; Assumptions'!$Q$30^2/2))</f>
        <v>43.902896800743</v>
      </c>
      <c r="I1382" s="49" t="n">
        <f aca="false">IF('Model Inputs &amp; Assumptions'!$H$30="Fixed",'Model Inputs &amp; Assumptions'!$I$30*'Model Inputs &amp; Assumptions'!$K$30,IF('Model Inputs &amp; Assumptions'!$H$30="CPM",'Model Inputs &amp; Assumptions'!$I$30*'Model Inputs &amp; Assumptions'!$K$30*C1382/1000,IF('Model Inputs &amp; Assumptions'!$H$30="CPC",'Model Inputs &amp; Assumptions'!$I$30*'Model Inputs &amp; Assumptions'!$K$30*G1382,0)))</f>
        <v>6900</v>
      </c>
      <c r="J1382" s="50" t="n">
        <f aca="false">H1382*INDEX('Model Inputs &amp; Assumptions'!$D$40:$D$42,MATCH('Model Inputs &amp; Assumptions'!$L$30,'Model Inputs &amp; Assumptions'!$A$40:$A$42,0))*INDEX('Model Inputs &amp; Assumptions'!$H$40:$H$42,MATCH('Model Inputs &amp; Assumptions'!$L$30,'Model Inputs &amp; Assumptions'!$A$40:$A$42,0))</f>
        <v>316100.85696535</v>
      </c>
      <c r="K1382" s="49" t="n">
        <f aca="false">H1382*INDEX('Model Inputs &amp; Assumptions'!$G$40:$G$42,MATCH('Model Inputs &amp; Assumptions'!$L$30,'Model Inputs &amp; Assumptions'!$A$40:$A$42,0))*INDEX('Model Inputs &amp; Assumptions'!$H$40:$H$42,MATCH('Model Inputs &amp; Assumptions'!$L$30,'Model Inputs &amp; Assumptions'!$A$40:$A$42,0))</f>
        <v>6970.02389608597</v>
      </c>
      <c r="L1382" s="51" t="n">
        <f aca="false">IFERROR(K1382/I1382,0)</f>
        <v>1.0101483907371</v>
      </c>
      <c r="M1382" s="49" t="n">
        <f aca="false">IFERROR(I1382/H1382,0)</f>
        <v>157.165027886798</v>
      </c>
      <c r="N1382" s="52" t="str">
        <f aca="false">'Model Inputs &amp; Assumptions'!$L$30</f>
        <v>PRD-USIQ</v>
      </c>
      <c r="P1382" s="53" t="n">
        <v>-0.279164</v>
      </c>
      <c r="Q1382" s="53" t="n">
        <v>-0.958533</v>
      </c>
      <c r="R1382" s="53" t="n">
        <v>-0.327235</v>
      </c>
      <c r="S1382" s="53" t="n">
        <v>0.365599</v>
      </c>
    </row>
    <row r="1383" customFormat="false" ht="15" hidden="false" customHeight="false" outlineLevel="0" collapsed="false">
      <c r="A1383" s="43" t="n">
        <v>380</v>
      </c>
      <c r="B1383" s="44" t="str">
        <f aca="false">'Model Inputs &amp; Assumptions'!$B$30</f>
        <v>extraETF — Newsletter Takeover</v>
      </c>
      <c r="C1383" s="45" t="n">
        <f aca="false">ROUND(MAX(0,'Model Inputs &amp; Assumptions'!$S$30*EXP('Model Inputs &amp; Assumptions'!$T$30*P1383-'Model Inputs &amp; Assumptions'!$T$30^2/2)),0)</f>
        <v>84994</v>
      </c>
      <c r="D1383" s="46" t="n">
        <f aca="false">MIN(1,'Model Inputs &amp; Assumptions'!$U$30*EXP('Model Inputs &amp; Assumptions'!$V$30*Q1383-'Model Inputs &amp; Assumptions'!$V$30^2/2))</f>
        <v>0</v>
      </c>
      <c r="E1383" s="45" t="n">
        <f aca="false">ROUND(C1383*D1383,0)</f>
        <v>0</v>
      </c>
      <c r="F1383" s="47" t="n">
        <f aca="false">MIN(1,'Model Inputs &amp; Assumptions'!$W$30*EXP('Model Inputs &amp; Assumptions'!$X$30*R1383-'Model Inputs &amp; Assumptions'!$X$30^2/2))</f>
        <v>0.00643208914687177</v>
      </c>
      <c r="G1383" s="45" t="n">
        <f aca="false">ROUND(C1383*F1383,0)</f>
        <v>547</v>
      </c>
      <c r="H1383" s="48" t="n">
        <f aca="false">MAX(0,(C1383*'Model Inputs &amp; Assumptions'!$N$30+E1383*'Model Inputs &amp; Assumptions'!$O$30+G1383*'Model Inputs &amp; Assumptions'!$P$30)*EXP('Model Inputs &amp; Assumptions'!$Q$30*S1383-'Model Inputs &amp; Assumptions'!$Q$30^2/2))</f>
        <v>38.472897922341</v>
      </c>
      <c r="I1383" s="49" t="n">
        <f aca="false">IF('Model Inputs &amp; Assumptions'!$H$30="Fixed",'Model Inputs &amp; Assumptions'!$I$30*'Model Inputs &amp; Assumptions'!$K$30,IF('Model Inputs &amp; Assumptions'!$H$30="CPM",'Model Inputs &amp; Assumptions'!$I$30*'Model Inputs &amp; Assumptions'!$K$30*C1383/1000,IF('Model Inputs &amp; Assumptions'!$H$30="CPC",'Model Inputs &amp; Assumptions'!$I$30*'Model Inputs &amp; Assumptions'!$K$30*G1383,0)))</f>
        <v>6900</v>
      </c>
      <c r="J1383" s="50" t="n">
        <f aca="false">H1383*INDEX('Model Inputs &amp; Assumptions'!$D$40:$D$42,MATCH('Model Inputs &amp; Assumptions'!$L$30,'Model Inputs &amp; Assumptions'!$A$40:$A$42,0))*INDEX('Model Inputs &amp; Assumptions'!$H$40:$H$42,MATCH('Model Inputs &amp; Assumptions'!$L$30,'Model Inputs &amp; Assumptions'!$A$40:$A$42,0))</f>
        <v>277004.865040855</v>
      </c>
      <c r="K1383" s="49" t="n">
        <f aca="false">H1383*INDEX('Model Inputs &amp; Assumptions'!$G$40:$G$42,MATCH('Model Inputs &amp; Assumptions'!$L$30,'Model Inputs &amp; Assumptions'!$A$40:$A$42,0))*INDEX('Model Inputs &amp; Assumptions'!$H$40:$H$42,MATCH('Model Inputs &amp; Assumptions'!$L$30,'Model Inputs &amp; Assumptions'!$A$40:$A$42,0))</f>
        <v>6107.95727415085</v>
      </c>
      <c r="L1383" s="51" t="n">
        <f aca="false">IFERROR(K1383/I1383,0)</f>
        <v>0.885211199152297</v>
      </c>
      <c r="M1383" s="49" t="n">
        <f aca="false">IFERROR(I1383/H1383,0)</f>
        <v>179.34703057534</v>
      </c>
      <c r="N1383" s="52" t="str">
        <f aca="false">'Model Inputs &amp; Assumptions'!$L$30</f>
        <v>PRD-USIQ</v>
      </c>
      <c r="P1383" s="53" t="n">
        <v>-0.229639</v>
      </c>
      <c r="Q1383" s="53" t="n">
        <v>-1.058241</v>
      </c>
      <c r="R1383" s="53" t="n">
        <v>-1.379281</v>
      </c>
      <c r="S1383" s="53" t="n">
        <v>0.440493</v>
      </c>
    </row>
    <row r="1384" customFormat="false" ht="15" hidden="false" customHeight="false" outlineLevel="0" collapsed="false">
      <c r="A1384" s="43" t="n">
        <v>381</v>
      </c>
      <c r="B1384" s="44" t="str">
        <f aca="false">'Model Inputs &amp; Assumptions'!$B$30</f>
        <v>extraETF — Newsletter Takeover</v>
      </c>
      <c r="C1384" s="45" t="n">
        <f aca="false">ROUND(MAX(0,'Model Inputs &amp; Assumptions'!$S$30*EXP('Model Inputs &amp; Assumptions'!$T$30*P1384-'Model Inputs &amp; Assumptions'!$T$30^2/2)),0)</f>
        <v>90528</v>
      </c>
      <c r="D1384" s="46" t="n">
        <f aca="false">MIN(1,'Model Inputs &amp; Assumptions'!$U$30*EXP('Model Inputs &amp; Assumptions'!$V$30*Q1384-'Model Inputs &amp; Assumptions'!$V$30^2/2))</f>
        <v>0</v>
      </c>
      <c r="E1384" s="45" t="n">
        <f aca="false">ROUND(C1384*D1384,0)</f>
        <v>0</v>
      </c>
      <c r="F1384" s="47" t="n">
        <f aca="false">MIN(1,'Model Inputs &amp; Assumptions'!$W$30*EXP('Model Inputs &amp; Assumptions'!$X$30*R1384-'Model Inputs &amp; Assumptions'!$X$30^2/2))</f>
        <v>0.00757987866052491</v>
      </c>
      <c r="G1384" s="45" t="n">
        <f aca="false">ROUND(C1384*F1384,0)</f>
        <v>686</v>
      </c>
      <c r="H1384" s="48" t="n">
        <f aca="false">MAX(0,(C1384*'Model Inputs &amp; Assumptions'!$N$30+E1384*'Model Inputs &amp; Assumptions'!$O$30+G1384*'Model Inputs &amp; Assumptions'!$P$30)*EXP('Model Inputs &amp; Assumptions'!$Q$30*S1384-'Model Inputs &amp; Assumptions'!$Q$30^2/2))</f>
        <v>50.1617918633109</v>
      </c>
      <c r="I1384" s="49" t="n">
        <f aca="false">IF('Model Inputs &amp; Assumptions'!$H$30="Fixed",'Model Inputs &amp; Assumptions'!$I$30*'Model Inputs &amp; Assumptions'!$K$30,IF('Model Inputs &amp; Assumptions'!$H$30="CPM",'Model Inputs &amp; Assumptions'!$I$30*'Model Inputs &amp; Assumptions'!$K$30*C1384/1000,IF('Model Inputs &amp; Assumptions'!$H$30="CPC",'Model Inputs &amp; Assumptions'!$I$30*'Model Inputs &amp; Assumptions'!$K$30*G1384,0)))</f>
        <v>6900</v>
      </c>
      <c r="J1384" s="50" t="n">
        <f aca="false">H1384*INDEX('Model Inputs &amp; Assumptions'!$D$40:$D$42,MATCH('Model Inputs &amp; Assumptions'!$L$30,'Model Inputs &amp; Assumptions'!$A$40:$A$42,0))*INDEX('Model Inputs &amp; Assumptions'!$H$40:$H$42,MATCH('Model Inputs &amp; Assumptions'!$L$30,'Model Inputs &amp; Assumptions'!$A$40:$A$42,0))</f>
        <v>361164.901415839</v>
      </c>
      <c r="K1384" s="49" t="n">
        <f aca="false">H1384*INDEX('Model Inputs &amp; Assumptions'!$G$40:$G$42,MATCH('Model Inputs &amp; Assumptions'!$L$30,'Model Inputs &amp; Assumptions'!$A$40:$A$42,0))*INDEX('Model Inputs &amp; Assumptions'!$H$40:$H$42,MATCH('Model Inputs &amp; Assumptions'!$L$30,'Model Inputs &amp; Assumptions'!$A$40:$A$42,0))</f>
        <v>7963.68607621924</v>
      </c>
      <c r="L1384" s="51" t="n">
        <f aca="false">IFERROR(K1384/I1384,0)</f>
        <v>1.15415740235061</v>
      </c>
      <c r="M1384" s="49" t="n">
        <f aca="false">IFERROR(I1384/H1384,0)</f>
        <v>137.554894745432</v>
      </c>
      <c r="N1384" s="52" t="str">
        <f aca="false">'Model Inputs &amp; Assumptions'!$L$30</f>
        <v>PRD-USIQ</v>
      </c>
      <c r="P1384" s="53" t="n">
        <v>0.296049</v>
      </c>
      <c r="Q1384" s="53" t="n">
        <v>-0.249506</v>
      </c>
      <c r="R1384" s="53" t="n">
        <v>-0.284629</v>
      </c>
      <c r="S1384" s="53" t="n">
        <v>0.595976</v>
      </c>
    </row>
    <row r="1385" customFormat="false" ht="15" hidden="false" customHeight="false" outlineLevel="0" collapsed="false">
      <c r="A1385" s="43" t="n">
        <v>382</v>
      </c>
      <c r="B1385" s="44" t="str">
        <f aca="false">'Model Inputs &amp; Assumptions'!$B$30</f>
        <v>extraETF — Newsletter Takeover</v>
      </c>
      <c r="C1385" s="45" t="n">
        <f aca="false">ROUND(MAX(0,'Model Inputs &amp; Assumptions'!$S$30*EXP('Model Inputs &amp; Assumptions'!$T$30*P1385-'Model Inputs &amp; Assumptions'!$T$30^2/2)),0)</f>
        <v>77820</v>
      </c>
      <c r="D1385" s="46" t="n">
        <f aca="false">MIN(1,'Model Inputs &amp; Assumptions'!$U$30*EXP('Model Inputs &amp; Assumptions'!$V$30*Q1385-'Model Inputs &amp; Assumptions'!$V$30^2/2))</f>
        <v>0</v>
      </c>
      <c r="E1385" s="45" t="n">
        <f aca="false">ROUND(C1385*D1385,0)</f>
        <v>0</v>
      </c>
      <c r="F1385" s="47" t="n">
        <f aca="false">MIN(1,'Model Inputs &amp; Assumptions'!$W$30*EXP('Model Inputs &amp; Assumptions'!$X$30*R1385-'Model Inputs &amp; Assumptions'!$X$30^2/2))</f>
        <v>0.0073077215936263</v>
      </c>
      <c r="G1385" s="45" t="n">
        <f aca="false">ROUND(C1385*F1385,0)</f>
        <v>569</v>
      </c>
      <c r="H1385" s="48" t="n">
        <f aca="false">MAX(0,(C1385*'Model Inputs &amp; Assumptions'!$N$30+E1385*'Model Inputs &amp; Assumptions'!$O$30+G1385*'Model Inputs &amp; Assumptions'!$P$30)*EXP('Model Inputs &amp; Assumptions'!$Q$30*S1385-'Model Inputs &amp; Assumptions'!$Q$30^2/2))</f>
        <v>34.5188542596397</v>
      </c>
      <c r="I1385" s="49" t="n">
        <f aca="false">IF('Model Inputs &amp; Assumptions'!$H$30="Fixed",'Model Inputs &amp; Assumptions'!$I$30*'Model Inputs &amp; Assumptions'!$K$30,IF('Model Inputs &amp; Assumptions'!$H$30="CPM",'Model Inputs &amp; Assumptions'!$I$30*'Model Inputs &amp; Assumptions'!$K$30*C1385/1000,IF('Model Inputs &amp; Assumptions'!$H$30="CPC",'Model Inputs &amp; Assumptions'!$I$30*'Model Inputs &amp; Assumptions'!$K$30*G1385,0)))</f>
        <v>6900</v>
      </c>
      <c r="J1385" s="50" t="n">
        <f aca="false">H1385*INDEX('Model Inputs &amp; Assumptions'!$D$40:$D$42,MATCH('Model Inputs &amp; Assumptions'!$L$30,'Model Inputs &amp; Assumptions'!$A$40:$A$42,0))*INDEX('Model Inputs &amp; Assumptions'!$H$40:$H$42,MATCH('Model Inputs &amp; Assumptions'!$L$30,'Model Inputs &amp; Assumptions'!$A$40:$A$42,0))</f>
        <v>248535.750669406</v>
      </c>
      <c r="K1385" s="49" t="n">
        <f aca="false">H1385*INDEX('Model Inputs &amp; Assumptions'!$G$40:$G$42,MATCH('Model Inputs &amp; Assumptions'!$L$30,'Model Inputs &amp; Assumptions'!$A$40:$A$42,0))*INDEX('Model Inputs &amp; Assumptions'!$H$40:$H$42,MATCH('Model Inputs &amp; Assumptions'!$L$30,'Model Inputs &amp; Assumptions'!$A$40:$A$42,0))</f>
        <v>5480.21330226039</v>
      </c>
      <c r="L1385" s="51" t="n">
        <f aca="false">IFERROR(K1385/I1385,0)</f>
        <v>0.794233811921796</v>
      </c>
      <c r="M1385" s="49" t="n">
        <f aca="false">IFERROR(I1385/H1385,0)</f>
        <v>199.890759644003</v>
      </c>
      <c r="N1385" s="52" t="str">
        <f aca="false">'Model Inputs &amp; Assumptions'!$L$30</f>
        <v>PRD-USIQ</v>
      </c>
      <c r="P1385" s="53" t="n">
        <v>-0.964471</v>
      </c>
      <c r="Q1385" s="53" t="n">
        <v>-0.935112</v>
      </c>
      <c r="R1385" s="53" t="n">
        <v>-0.5284</v>
      </c>
      <c r="S1385" s="53" t="n">
        <v>-0.151027</v>
      </c>
    </row>
    <row r="1386" customFormat="false" ht="15" hidden="false" customHeight="false" outlineLevel="0" collapsed="false">
      <c r="A1386" s="43" t="n">
        <v>383</v>
      </c>
      <c r="B1386" s="44" t="str">
        <f aca="false">'Model Inputs &amp; Assumptions'!$B$30</f>
        <v>extraETF — Newsletter Takeover</v>
      </c>
      <c r="C1386" s="45" t="n">
        <f aca="false">ROUND(MAX(0,'Model Inputs &amp; Assumptions'!$S$30*EXP('Model Inputs &amp; Assumptions'!$T$30*P1386-'Model Inputs &amp; Assumptions'!$T$30^2/2)),0)</f>
        <v>77089</v>
      </c>
      <c r="D1386" s="46" t="n">
        <f aca="false">MIN(1,'Model Inputs &amp; Assumptions'!$U$30*EXP('Model Inputs &amp; Assumptions'!$V$30*Q1386-'Model Inputs &amp; Assumptions'!$V$30^2/2))</f>
        <v>0</v>
      </c>
      <c r="E1386" s="45" t="n">
        <f aca="false">ROUND(C1386*D1386,0)</f>
        <v>0</v>
      </c>
      <c r="F1386" s="47" t="n">
        <f aca="false">MIN(1,'Model Inputs &amp; Assumptions'!$W$30*EXP('Model Inputs &amp; Assumptions'!$X$30*R1386-'Model Inputs &amp; Assumptions'!$X$30^2/2))</f>
        <v>0.00611618136418627</v>
      </c>
      <c r="G1386" s="45" t="n">
        <f aca="false">ROUND(C1386*F1386,0)</f>
        <v>471</v>
      </c>
      <c r="H1386" s="48" t="n">
        <f aca="false">MAX(0,(C1386*'Model Inputs &amp; Assumptions'!$N$30+E1386*'Model Inputs &amp; Assumptions'!$O$30+G1386*'Model Inputs &amp; Assumptions'!$P$30)*EXP('Model Inputs &amp; Assumptions'!$Q$30*S1386-'Model Inputs &amp; Assumptions'!$Q$30^2/2))</f>
        <v>24.1573476642176</v>
      </c>
      <c r="I1386" s="49" t="n">
        <f aca="false">IF('Model Inputs &amp; Assumptions'!$H$30="Fixed",'Model Inputs &amp; Assumptions'!$I$30*'Model Inputs &amp; Assumptions'!$K$30,IF('Model Inputs &amp; Assumptions'!$H$30="CPM",'Model Inputs &amp; Assumptions'!$I$30*'Model Inputs &amp; Assumptions'!$K$30*C1386/1000,IF('Model Inputs &amp; Assumptions'!$H$30="CPC",'Model Inputs &amp; Assumptions'!$I$30*'Model Inputs &amp; Assumptions'!$K$30*G1386,0)))</f>
        <v>6900</v>
      </c>
      <c r="J1386" s="50" t="n">
        <f aca="false">H1386*INDEX('Model Inputs &amp; Assumptions'!$D$40:$D$42,MATCH('Model Inputs &amp; Assumptions'!$L$30,'Model Inputs &amp; Assumptions'!$A$40:$A$42,0))*INDEX('Model Inputs &amp; Assumptions'!$H$40:$H$42,MATCH('Model Inputs &amp; Assumptions'!$L$30,'Model Inputs &amp; Assumptions'!$A$40:$A$42,0))</f>
        <v>173932.903182367</v>
      </c>
      <c r="K1386" s="49" t="n">
        <f aca="false">H1386*INDEX('Model Inputs &amp; Assumptions'!$G$40:$G$42,MATCH('Model Inputs &amp; Assumptions'!$L$30,'Model Inputs &amp; Assumptions'!$A$40:$A$42,0))*INDEX('Model Inputs &amp; Assumptions'!$H$40:$H$42,MATCH('Model Inputs &amp; Assumptions'!$L$30,'Model Inputs &amp; Assumptions'!$A$40:$A$42,0))</f>
        <v>3835.22051517118</v>
      </c>
      <c r="L1386" s="51" t="n">
        <f aca="false">IFERROR(K1386/I1386,0)</f>
        <v>0.555829060169737</v>
      </c>
      <c r="M1386" s="49" t="n">
        <f aca="false">IFERROR(I1386/H1386,0)</f>
        <v>285.627383266932</v>
      </c>
      <c r="N1386" s="52" t="str">
        <f aca="false">'Model Inputs &amp; Assumptions'!$L$30</f>
        <v>PRD-USIQ</v>
      </c>
      <c r="P1386" s="53" t="n">
        <v>-1.043177</v>
      </c>
      <c r="Q1386" s="53" t="n">
        <v>1.997363</v>
      </c>
      <c r="R1386" s="53" t="n">
        <v>-1.715024</v>
      </c>
      <c r="S1386" s="53" t="n">
        <v>-0.822606</v>
      </c>
    </row>
    <row r="1387" customFormat="false" ht="15" hidden="false" customHeight="false" outlineLevel="0" collapsed="false">
      <c r="A1387" s="43" t="n">
        <v>384</v>
      </c>
      <c r="B1387" s="44" t="str">
        <f aca="false">'Model Inputs &amp; Assumptions'!$B$30</f>
        <v>extraETF — Newsletter Takeover</v>
      </c>
      <c r="C1387" s="45" t="n">
        <f aca="false">ROUND(MAX(0,'Model Inputs &amp; Assumptions'!$S$30*EXP('Model Inputs &amp; Assumptions'!$T$30*P1387-'Model Inputs &amp; Assumptions'!$T$30^2/2)),0)</f>
        <v>76829</v>
      </c>
      <c r="D1387" s="46" t="n">
        <f aca="false">MIN(1,'Model Inputs &amp; Assumptions'!$U$30*EXP('Model Inputs &amp; Assumptions'!$V$30*Q1387-'Model Inputs &amp; Assumptions'!$V$30^2/2))</f>
        <v>0</v>
      </c>
      <c r="E1387" s="45" t="n">
        <f aca="false">ROUND(C1387*D1387,0)</f>
        <v>0</v>
      </c>
      <c r="F1387" s="47" t="n">
        <f aca="false">MIN(1,'Model Inputs &amp; Assumptions'!$W$30*EXP('Model Inputs &amp; Assumptions'!$X$30*R1387-'Model Inputs &amp; Assumptions'!$X$30^2/2))</f>
        <v>0.00733535634357821</v>
      </c>
      <c r="G1387" s="45" t="n">
        <f aca="false">ROUND(C1387*F1387,0)</f>
        <v>564</v>
      </c>
      <c r="H1387" s="48" t="n">
        <f aca="false">MAX(0,(C1387*'Model Inputs &amp; Assumptions'!$N$30+E1387*'Model Inputs &amp; Assumptions'!$O$30+G1387*'Model Inputs &amp; Assumptions'!$P$30)*EXP('Model Inputs &amp; Assumptions'!$Q$30*S1387-'Model Inputs &amp; Assumptions'!$Q$30^2/2))</f>
        <v>22.6432884514938</v>
      </c>
      <c r="I1387" s="49" t="n">
        <f aca="false">IF('Model Inputs &amp; Assumptions'!$H$30="Fixed",'Model Inputs &amp; Assumptions'!$I$30*'Model Inputs &amp; Assumptions'!$K$30,IF('Model Inputs &amp; Assumptions'!$H$30="CPM",'Model Inputs &amp; Assumptions'!$I$30*'Model Inputs &amp; Assumptions'!$K$30*C1387/1000,IF('Model Inputs &amp; Assumptions'!$H$30="CPC",'Model Inputs &amp; Assumptions'!$I$30*'Model Inputs &amp; Assumptions'!$K$30*G1387,0)))</f>
        <v>6900</v>
      </c>
      <c r="J1387" s="50" t="n">
        <f aca="false">H1387*INDEX('Model Inputs &amp; Assumptions'!$D$40:$D$42,MATCH('Model Inputs &amp; Assumptions'!$L$30,'Model Inputs &amp; Assumptions'!$A$40:$A$42,0))*INDEX('Model Inputs &amp; Assumptions'!$H$40:$H$42,MATCH('Model Inputs &amp; Assumptions'!$L$30,'Model Inputs &amp; Assumptions'!$A$40:$A$42,0))</f>
        <v>163031.676850755</v>
      </c>
      <c r="K1387" s="49" t="n">
        <f aca="false">H1387*INDEX('Model Inputs &amp; Assumptions'!$G$40:$G$42,MATCH('Model Inputs &amp; Assumptions'!$L$30,'Model Inputs &amp; Assumptions'!$A$40:$A$42,0))*INDEX('Model Inputs &amp; Assumptions'!$H$40:$H$42,MATCH('Model Inputs &amp; Assumptions'!$L$30,'Model Inputs &amp; Assumptions'!$A$40:$A$42,0))</f>
        <v>3594.84847455915</v>
      </c>
      <c r="L1387" s="51" t="n">
        <f aca="false">IFERROR(K1387/I1387,0)</f>
        <v>0.520992532544804</v>
      </c>
      <c r="M1387" s="49" t="n">
        <f aca="false">IFERROR(I1387/H1387,0)</f>
        <v>304.72605667596</v>
      </c>
      <c r="N1387" s="52" t="str">
        <f aca="false">'Model Inputs &amp; Assumptions'!$L$30</f>
        <v>PRD-USIQ</v>
      </c>
      <c r="P1387" s="53" t="n">
        <v>-1.071235</v>
      </c>
      <c r="Q1387" s="53" t="n">
        <v>-2.725363</v>
      </c>
      <c r="R1387" s="53" t="n">
        <v>-0.503237</v>
      </c>
      <c r="S1387" s="53" t="n">
        <v>-1.802291</v>
      </c>
    </row>
    <row r="1388" customFormat="false" ht="15" hidden="false" customHeight="false" outlineLevel="0" collapsed="false">
      <c r="A1388" s="43" t="n">
        <v>385</v>
      </c>
      <c r="B1388" s="44" t="str">
        <f aca="false">'Model Inputs &amp; Assumptions'!$B$30</f>
        <v>extraETF — Newsletter Takeover</v>
      </c>
      <c r="C1388" s="45" t="n">
        <f aca="false">ROUND(MAX(0,'Model Inputs &amp; Assumptions'!$S$30*EXP('Model Inputs &amp; Assumptions'!$T$30*P1388-'Model Inputs &amp; Assumptions'!$T$30^2/2)),0)</f>
        <v>95432</v>
      </c>
      <c r="D1388" s="46" t="n">
        <f aca="false">MIN(1,'Model Inputs &amp; Assumptions'!$U$30*EXP('Model Inputs &amp; Assumptions'!$V$30*Q1388-'Model Inputs &amp; Assumptions'!$V$30^2/2))</f>
        <v>0</v>
      </c>
      <c r="E1388" s="45" t="n">
        <f aca="false">ROUND(C1388*D1388,0)</f>
        <v>0</v>
      </c>
      <c r="F1388" s="47" t="n">
        <f aca="false">MIN(1,'Model Inputs &amp; Assumptions'!$W$30*EXP('Model Inputs &amp; Assumptions'!$X$30*R1388-'Model Inputs &amp; Assumptions'!$X$30^2/2))</f>
        <v>0.0071382156894342</v>
      </c>
      <c r="G1388" s="45" t="n">
        <f aca="false">ROUND(C1388*F1388,0)</f>
        <v>681</v>
      </c>
      <c r="H1388" s="48" t="n">
        <f aca="false">MAX(0,(C1388*'Model Inputs &amp; Assumptions'!$N$30+E1388*'Model Inputs &amp; Assumptions'!$O$30+G1388*'Model Inputs &amp; Assumptions'!$P$30)*EXP('Model Inputs &amp; Assumptions'!$Q$30*S1388-'Model Inputs &amp; Assumptions'!$Q$30^2/2))</f>
        <v>26.534188858229</v>
      </c>
      <c r="I1388" s="49" t="n">
        <f aca="false">IF('Model Inputs &amp; Assumptions'!$H$30="Fixed",'Model Inputs &amp; Assumptions'!$I$30*'Model Inputs &amp; Assumptions'!$K$30,IF('Model Inputs &amp; Assumptions'!$H$30="CPM",'Model Inputs &amp; Assumptions'!$I$30*'Model Inputs &amp; Assumptions'!$K$30*C1388/1000,IF('Model Inputs &amp; Assumptions'!$H$30="CPC",'Model Inputs &amp; Assumptions'!$I$30*'Model Inputs &amp; Assumptions'!$K$30*G1388,0)))</f>
        <v>6900</v>
      </c>
      <c r="J1388" s="50" t="n">
        <f aca="false">H1388*INDEX('Model Inputs &amp; Assumptions'!$D$40:$D$42,MATCH('Model Inputs &amp; Assumptions'!$L$30,'Model Inputs &amp; Assumptions'!$A$40:$A$42,0))*INDEX('Model Inputs &amp; Assumptions'!$H$40:$H$42,MATCH('Model Inputs &amp; Assumptions'!$L$30,'Model Inputs &amp; Assumptions'!$A$40:$A$42,0))</f>
        <v>191046.159779249</v>
      </c>
      <c r="K1388" s="49" t="n">
        <f aca="false">H1388*INDEX('Model Inputs &amp; Assumptions'!$G$40:$G$42,MATCH('Model Inputs &amp; Assumptions'!$L$30,'Model Inputs &amp; Assumptions'!$A$40:$A$42,0))*INDEX('Model Inputs &amp; Assumptions'!$H$40:$H$42,MATCH('Model Inputs &amp; Assumptions'!$L$30,'Model Inputs &amp; Assumptions'!$A$40:$A$42,0))</f>
        <v>4212.56782313244</v>
      </c>
      <c r="L1388" s="51" t="n">
        <f aca="false">IFERROR(K1388/I1388,0)</f>
        <v>0.610517075816296</v>
      </c>
      <c r="M1388" s="49" t="n">
        <f aca="false">IFERROR(I1388/H1388,0)</f>
        <v>260.041866622205</v>
      </c>
      <c r="N1388" s="52" t="str">
        <f aca="false">'Model Inputs &amp; Assumptions'!$L$30</f>
        <v>PRD-USIQ</v>
      </c>
      <c r="P1388" s="53" t="n">
        <v>0.735603</v>
      </c>
      <c r="Q1388" s="53" t="n">
        <v>-0.508604</v>
      </c>
      <c r="R1388" s="53" t="n">
        <v>-0.684858</v>
      </c>
      <c r="S1388" s="53" t="n">
        <v>-1.922041</v>
      </c>
    </row>
    <row r="1389" customFormat="false" ht="15" hidden="false" customHeight="false" outlineLevel="0" collapsed="false">
      <c r="A1389" s="43" t="n">
        <v>386</v>
      </c>
      <c r="B1389" s="44" t="str">
        <f aca="false">'Model Inputs &amp; Assumptions'!$B$30</f>
        <v>extraETF — Newsletter Takeover</v>
      </c>
      <c r="C1389" s="45" t="n">
        <f aca="false">ROUND(MAX(0,'Model Inputs &amp; Assumptions'!$S$30*EXP('Model Inputs &amp; Assumptions'!$T$30*P1389-'Model Inputs &amp; Assumptions'!$T$30^2/2)),0)</f>
        <v>87136</v>
      </c>
      <c r="D1389" s="46" t="n">
        <f aca="false">MIN(1,'Model Inputs &amp; Assumptions'!$U$30*EXP('Model Inputs &amp; Assumptions'!$V$30*Q1389-'Model Inputs &amp; Assumptions'!$V$30^2/2))</f>
        <v>0</v>
      </c>
      <c r="E1389" s="45" t="n">
        <f aca="false">ROUND(C1389*D1389,0)</f>
        <v>0</v>
      </c>
      <c r="F1389" s="47" t="n">
        <f aca="false">MIN(1,'Model Inputs &amp; Assumptions'!$W$30*EXP('Model Inputs &amp; Assumptions'!$X$30*R1389-'Model Inputs &amp; Assumptions'!$X$30^2/2))</f>
        <v>0.0106257557498636</v>
      </c>
      <c r="G1389" s="45" t="n">
        <f aca="false">ROUND(C1389*F1389,0)</f>
        <v>926</v>
      </c>
      <c r="H1389" s="48" t="n">
        <f aca="false">MAX(0,(C1389*'Model Inputs &amp; Assumptions'!$N$30+E1389*'Model Inputs &amp; Assumptions'!$O$30+G1389*'Model Inputs &amp; Assumptions'!$P$30)*EXP('Model Inputs &amp; Assumptions'!$Q$30*S1389-'Model Inputs &amp; Assumptions'!$Q$30^2/2))</f>
        <v>73.9113369525566</v>
      </c>
      <c r="I1389" s="49" t="n">
        <f aca="false">IF('Model Inputs &amp; Assumptions'!$H$30="Fixed",'Model Inputs &amp; Assumptions'!$I$30*'Model Inputs &amp; Assumptions'!$K$30,IF('Model Inputs &amp; Assumptions'!$H$30="CPM",'Model Inputs &amp; Assumptions'!$I$30*'Model Inputs &amp; Assumptions'!$K$30*C1389/1000,IF('Model Inputs &amp; Assumptions'!$H$30="CPC",'Model Inputs &amp; Assumptions'!$I$30*'Model Inputs &amp; Assumptions'!$K$30*G1389,0)))</f>
        <v>6900</v>
      </c>
      <c r="J1389" s="50" t="n">
        <f aca="false">H1389*INDEX('Model Inputs &amp; Assumptions'!$D$40:$D$42,MATCH('Model Inputs &amp; Assumptions'!$L$30,'Model Inputs &amp; Assumptions'!$A$40:$A$42,0))*INDEX('Model Inputs &amp; Assumptions'!$H$40:$H$42,MATCH('Model Inputs &amp; Assumptions'!$L$30,'Model Inputs &amp; Assumptions'!$A$40:$A$42,0))</f>
        <v>532161.626058408</v>
      </c>
      <c r="K1389" s="49" t="n">
        <f aca="false">H1389*INDEX('Model Inputs &amp; Assumptions'!$G$40:$G$42,MATCH('Model Inputs &amp; Assumptions'!$L$30,'Model Inputs &amp; Assumptions'!$A$40:$A$42,0))*INDEX('Model Inputs &amp; Assumptions'!$H$40:$H$42,MATCH('Model Inputs &amp; Assumptions'!$L$30,'Model Inputs &amp; Assumptions'!$A$40:$A$42,0))</f>
        <v>11734.1638545879</v>
      </c>
      <c r="L1389" s="51" t="n">
        <f aca="false">IFERROR(K1389/I1389,0)</f>
        <v>1.70060345718665</v>
      </c>
      <c r="M1389" s="49" t="n">
        <f aca="false">IFERROR(I1389/H1389,0)</f>
        <v>93.3550965859146</v>
      </c>
      <c r="N1389" s="52" t="str">
        <f aca="false">'Model Inputs &amp; Assumptions'!$L$30</f>
        <v>PRD-USIQ</v>
      </c>
      <c r="P1389" s="53" t="n">
        <v>-0.022198</v>
      </c>
      <c r="Q1389" s="53" t="n">
        <v>0.064413</v>
      </c>
      <c r="R1389" s="53" t="n">
        <v>1.967262</v>
      </c>
      <c r="S1389" s="53" t="n">
        <v>0.94644</v>
      </c>
    </row>
    <row r="1390" customFormat="false" ht="15" hidden="false" customHeight="false" outlineLevel="0" collapsed="false">
      <c r="A1390" s="43" t="n">
        <v>387</v>
      </c>
      <c r="B1390" s="44" t="str">
        <f aca="false">'Model Inputs &amp; Assumptions'!$B$30</f>
        <v>extraETF — Newsletter Takeover</v>
      </c>
      <c r="C1390" s="45" t="n">
        <f aca="false">ROUND(MAX(0,'Model Inputs &amp; Assumptions'!$S$30*EXP('Model Inputs &amp; Assumptions'!$T$30*P1390-'Model Inputs &amp; Assumptions'!$T$30^2/2)),0)</f>
        <v>82281</v>
      </c>
      <c r="D1390" s="46" t="n">
        <f aca="false">MIN(1,'Model Inputs &amp; Assumptions'!$U$30*EXP('Model Inputs &amp; Assumptions'!$V$30*Q1390-'Model Inputs &amp; Assumptions'!$V$30^2/2))</f>
        <v>0</v>
      </c>
      <c r="E1390" s="45" t="n">
        <f aca="false">ROUND(C1390*D1390,0)</f>
        <v>0</v>
      </c>
      <c r="F1390" s="47" t="n">
        <f aca="false">MIN(1,'Model Inputs &amp; Assumptions'!$W$30*EXP('Model Inputs &amp; Assumptions'!$X$30*R1390-'Model Inputs &amp; Assumptions'!$X$30^2/2))</f>
        <v>0.00827504237155675</v>
      </c>
      <c r="G1390" s="45" t="n">
        <f aca="false">ROUND(C1390*F1390,0)</f>
        <v>681</v>
      </c>
      <c r="H1390" s="48" t="n">
        <f aca="false">MAX(0,(C1390*'Model Inputs &amp; Assumptions'!$N$30+E1390*'Model Inputs &amp; Assumptions'!$O$30+G1390*'Model Inputs &amp; Assumptions'!$P$30)*EXP('Model Inputs &amp; Assumptions'!$Q$30*S1390-'Model Inputs &amp; Assumptions'!$Q$30^2/2))</f>
        <v>71.8804302137008</v>
      </c>
      <c r="I1390" s="49" t="n">
        <f aca="false">IF('Model Inputs &amp; Assumptions'!$H$30="Fixed",'Model Inputs &amp; Assumptions'!$I$30*'Model Inputs &amp; Assumptions'!$K$30,IF('Model Inputs &amp; Assumptions'!$H$30="CPM",'Model Inputs &amp; Assumptions'!$I$30*'Model Inputs &amp; Assumptions'!$K$30*C1390/1000,IF('Model Inputs &amp; Assumptions'!$H$30="CPC",'Model Inputs &amp; Assumptions'!$I$30*'Model Inputs &amp; Assumptions'!$K$30*G1390,0)))</f>
        <v>6900</v>
      </c>
      <c r="J1390" s="50" t="n">
        <f aca="false">H1390*INDEX('Model Inputs &amp; Assumptions'!$D$40:$D$42,MATCH('Model Inputs &amp; Assumptions'!$L$30,'Model Inputs &amp; Assumptions'!$A$40:$A$42,0))*INDEX('Model Inputs &amp; Assumptions'!$H$40:$H$42,MATCH('Model Inputs &amp; Assumptions'!$L$30,'Model Inputs &amp; Assumptions'!$A$40:$A$42,0))</f>
        <v>517539.097538646</v>
      </c>
      <c r="K1390" s="49" t="n">
        <f aca="false">H1390*INDEX('Model Inputs &amp; Assumptions'!$G$40:$G$42,MATCH('Model Inputs &amp; Assumptions'!$L$30,'Model Inputs &amp; Assumptions'!$A$40:$A$42,0))*INDEX('Model Inputs &amp; Assumptions'!$H$40:$H$42,MATCH('Model Inputs &amp; Assumptions'!$L$30,'Model Inputs &amp; Assumptions'!$A$40:$A$42,0))</f>
        <v>11411.7371007271</v>
      </c>
      <c r="L1390" s="51" t="n">
        <f aca="false">IFERROR(K1390/I1390,0)</f>
        <v>1.65387494213437</v>
      </c>
      <c r="M1390" s="49" t="n">
        <f aca="false">IFERROR(I1390/H1390,0)</f>
        <v>95.9927476711849</v>
      </c>
      <c r="N1390" s="52" t="str">
        <f aca="false">'Model Inputs &amp; Assumptions'!$L$30</f>
        <v>PRD-USIQ</v>
      </c>
      <c r="P1390" s="53" t="n">
        <v>-0.499999</v>
      </c>
      <c r="Q1390" s="53" t="n">
        <v>-0.423352</v>
      </c>
      <c r="R1390" s="53" t="n">
        <v>0.30035</v>
      </c>
      <c r="S1390" s="53" t="n">
        <v>2.064239</v>
      </c>
    </row>
    <row r="1391" customFormat="false" ht="15" hidden="false" customHeight="false" outlineLevel="0" collapsed="false">
      <c r="A1391" s="43" t="n">
        <v>388</v>
      </c>
      <c r="B1391" s="44" t="str">
        <f aca="false">'Model Inputs &amp; Assumptions'!$B$30</f>
        <v>extraETF — Newsletter Takeover</v>
      </c>
      <c r="C1391" s="45" t="n">
        <f aca="false">ROUND(MAX(0,'Model Inputs &amp; Assumptions'!$S$30*EXP('Model Inputs &amp; Assumptions'!$T$30*P1391-'Model Inputs &amp; Assumptions'!$T$30^2/2)),0)</f>
        <v>72064</v>
      </c>
      <c r="D1391" s="46" t="n">
        <f aca="false">MIN(1,'Model Inputs &amp; Assumptions'!$U$30*EXP('Model Inputs &amp; Assumptions'!$V$30*Q1391-'Model Inputs &amp; Assumptions'!$V$30^2/2))</f>
        <v>0</v>
      </c>
      <c r="E1391" s="45" t="n">
        <f aca="false">ROUND(C1391*D1391,0)</f>
        <v>0</v>
      </c>
      <c r="F1391" s="47" t="n">
        <f aca="false">MIN(1,'Model Inputs &amp; Assumptions'!$W$30*EXP('Model Inputs &amp; Assumptions'!$X$30*R1391-'Model Inputs &amp; Assumptions'!$X$30^2/2))</f>
        <v>0.00769210395003119</v>
      </c>
      <c r="G1391" s="45" t="n">
        <f aca="false">ROUND(C1391*F1391,0)</f>
        <v>554</v>
      </c>
      <c r="H1391" s="48" t="n">
        <f aca="false">MAX(0,(C1391*'Model Inputs &amp; Assumptions'!$N$30+E1391*'Model Inputs &amp; Assumptions'!$O$30+G1391*'Model Inputs &amp; Assumptions'!$P$30)*EXP('Model Inputs &amp; Assumptions'!$Q$30*S1391-'Model Inputs &amp; Assumptions'!$Q$30^2/2))</f>
        <v>39.2797032082964</v>
      </c>
      <c r="I1391" s="49" t="n">
        <f aca="false">IF('Model Inputs &amp; Assumptions'!$H$30="Fixed",'Model Inputs &amp; Assumptions'!$I$30*'Model Inputs &amp; Assumptions'!$K$30,IF('Model Inputs &amp; Assumptions'!$H$30="CPM",'Model Inputs &amp; Assumptions'!$I$30*'Model Inputs &amp; Assumptions'!$K$30*C1391/1000,IF('Model Inputs &amp; Assumptions'!$H$30="CPC",'Model Inputs &amp; Assumptions'!$I$30*'Model Inputs &amp; Assumptions'!$K$30*G1391,0)))</f>
        <v>6900</v>
      </c>
      <c r="J1391" s="50" t="n">
        <f aca="false">H1391*INDEX('Model Inputs &amp; Assumptions'!$D$40:$D$42,MATCH('Model Inputs &amp; Assumptions'!$L$30,'Model Inputs &amp; Assumptions'!$A$40:$A$42,0))*INDEX('Model Inputs &amp; Assumptions'!$H$40:$H$42,MATCH('Model Inputs &amp; Assumptions'!$L$30,'Model Inputs &amp; Assumptions'!$A$40:$A$42,0))</f>
        <v>282813.863099734</v>
      </c>
      <c r="K1391" s="49" t="n">
        <f aca="false">H1391*INDEX('Model Inputs &amp; Assumptions'!$G$40:$G$42,MATCH('Model Inputs &amp; Assumptions'!$L$30,'Model Inputs &amp; Assumptions'!$A$40:$A$42,0))*INDEX('Model Inputs &amp; Assumptions'!$H$40:$H$42,MATCH('Model Inputs &amp; Assumptions'!$L$30,'Model Inputs &amp; Assumptions'!$A$40:$A$42,0))</f>
        <v>6236.04568134913</v>
      </c>
      <c r="L1391" s="51" t="n">
        <f aca="false">IFERROR(K1391/I1391,0)</f>
        <v>0.90377473642741</v>
      </c>
      <c r="M1391" s="49" t="n">
        <f aca="false">IFERROR(I1391/H1391,0)</f>
        <v>175.663241736069</v>
      </c>
      <c r="N1391" s="52" t="str">
        <f aca="false">'Model Inputs &amp; Assumptions'!$L$30</f>
        <v>PRD-USIQ</v>
      </c>
      <c r="P1391" s="53" t="n">
        <v>-1.604811</v>
      </c>
      <c r="Q1391" s="53" t="n">
        <v>0.042877</v>
      </c>
      <c r="R1391" s="53" t="n">
        <v>-0.186648</v>
      </c>
      <c r="S1391" s="53" t="n">
        <v>0.472645</v>
      </c>
    </row>
    <row r="1392" customFormat="false" ht="15" hidden="false" customHeight="false" outlineLevel="0" collapsed="false">
      <c r="A1392" s="43" t="n">
        <v>389</v>
      </c>
      <c r="B1392" s="44" t="str">
        <f aca="false">'Model Inputs &amp; Assumptions'!$B$30</f>
        <v>extraETF — Newsletter Takeover</v>
      </c>
      <c r="C1392" s="45" t="n">
        <f aca="false">ROUND(MAX(0,'Model Inputs &amp; Assumptions'!$S$30*EXP('Model Inputs &amp; Assumptions'!$T$30*P1392-'Model Inputs &amp; Assumptions'!$T$30^2/2)),0)</f>
        <v>106160</v>
      </c>
      <c r="D1392" s="46" t="n">
        <f aca="false">MIN(1,'Model Inputs &amp; Assumptions'!$U$30*EXP('Model Inputs &amp; Assumptions'!$V$30*Q1392-'Model Inputs &amp; Assumptions'!$V$30^2/2))</f>
        <v>0</v>
      </c>
      <c r="E1392" s="45" t="n">
        <f aca="false">ROUND(C1392*D1392,0)</f>
        <v>0</v>
      </c>
      <c r="F1392" s="47" t="n">
        <f aca="false">MIN(1,'Model Inputs &amp; Assumptions'!$W$30*EXP('Model Inputs &amp; Assumptions'!$X$30*R1392-'Model Inputs &amp; Assumptions'!$X$30^2/2))</f>
        <v>0.00645720583975613</v>
      </c>
      <c r="G1392" s="45" t="n">
        <f aca="false">ROUND(C1392*F1392,0)</f>
        <v>685</v>
      </c>
      <c r="H1392" s="48" t="n">
        <f aca="false">MAX(0,(C1392*'Model Inputs &amp; Assumptions'!$N$30+E1392*'Model Inputs &amp; Assumptions'!$O$30+G1392*'Model Inputs &amp; Assumptions'!$P$30)*EXP('Model Inputs &amp; Assumptions'!$Q$30*S1392-'Model Inputs &amp; Assumptions'!$Q$30^2/2))</f>
        <v>35.1374874539145</v>
      </c>
      <c r="I1392" s="49" t="n">
        <f aca="false">IF('Model Inputs &amp; Assumptions'!$H$30="Fixed",'Model Inputs &amp; Assumptions'!$I$30*'Model Inputs &amp; Assumptions'!$K$30,IF('Model Inputs &amp; Assumptions'!$H$30="CPM",'Model Inputs &amp; Assumptions'!$I$30*'Model Inputs &amp; Assumptions'!$K$30*C1392/1000,IF('Model Inputs &amp; Assumptions'!$H$30="CPC",'Model Inputs &amp; Assumptions'!$I$30*'Model Inputs &amp; Assumptions'!$K$30*G1392,0)))</f>
        <v>6900</v>
      </c>
      <c r="J1392" s="50" t="n">
        <f aca="false">H1392*INDEX('Model Inputs &amp; Assumptions'!$D$40:$D$42,MATCH('Model Inputs &amp; Assumptions'!$L$30,'Model Inputs &amp; Assumptions'!$A$40:$A$42,0))*INDEX('Model Inputs &amp; Assumptions'!$H$40:$H$42,MATCH('Model Inputs &amp; Assumptions'!$L$30,'Model Inputs &amp; Assumptions'!$A$40:$A$42,0))</f>
        <v>252989.909668185</v>
      </c>
      <c r="K1392" s="49" t="n">
        <f aca="false">H1392*INDEX('Model Inputs &amp; Assumptions'!$G$40:$G$42,MATCH('Model Inputs &amp; Assumptions'!$L$30,'Model Inputs &amp; Assumptions'!$A$40:$A$42,0))*INDEX('Model Inputs &amp; Assumptions'!$H$40:$H$42,MATCH('Model Inputs &amp; Assumptions'!$L$30,'Model Inputs &amp; Assumptions'!$A$40:$A$42,0))</f>
        <v>5578.42750818347</v>
      </c>
      <c r="L1392" s="51" t="n">
        <f aca="false">IFERROR(K1392/I1392,0)</f>
        <v>0.808467754809199</v>
      </c>
      <c r="M1392" s="49" t="n">
        <f aca="false">IFERROR(I1392/H1392,0)</f>
        <v>196.371468194756</v>
      </c>
      <c r="N1392" s="52" t="str">
        <f aca="false">'Model Inputs &amp; Assumptions'!$L$30</f>
        <v>PRD-USIQ</v>
      </c>
      <c r="P1392" s="53" t="n">
        <v>1.623411</v>
      </c>
      <c r="Q1392" s="53" t="n">
        <v>0.178149</v>
      </c>
      <c r="R1392" s="53" t="n">
        <v>-1.353299</v>
      </c>
      <c r="S1392" s="53" t="n">
        <v>-0.822129</v>
      </c>
    </row>
    <row r="1393" customFormat="false" ht="15" hidden="false" customHeight="false" outlineLevel="0" collapsed="false">
      <c r="A1393" s="43" t="n">
        <v>390</v>
      </c>
      <c r="B1393" s="44" t="str">
        <f aca="false">'Model Inputs &amp; Assumptions'!$B$30</f>
        <v>extraETF — Newsletter Takeover</v>
      </c>
      <c r="C1393" s="45" t="n">
        <f aca="false">ROUND(MAX(0,'Model Inputs &amp; Assumptions'!$S$30*EXP('Model Inputs &amp; Assumptions'!$T$30*P1393-'Model Inputs &amp; Assumptions'!$T$30^2/2)),0)</f>
        <v>89532</v>
      </c>
      <c r="D1393" s="46" t="n">
        <f aca="false">MIN(1,'Model Inputs &amp; Assumptions'!$U$30*EXP('Model Inputs &amp; Assumptions'!$V$30*Q1393-'Model Inputs &amp; Assumptions'!$V$30^2/2))</f>
        <v>0</v>
      </c>
      <c r="E1393" s="45" t="n">
        <f aca="false">ROUND(C1393*D1393,0)</f>
        <v>0</v>
      </c>
      <c r="F1393" s="47" t="n">
        <f aca="false">MIN(1,'Model Inputs &amp; Assumptions'!$W$30*EXP('Model Inputs &amp; Assumptions'!$X$30*R1393-'Model Inputs &amp; Assumptions'!$X$30^2/2))</f>
        <v>0.0072495717030475</v>
      </c>
      <c r="G1393" s="45" t="n">
        <f aca="false">ROUND(C1393*F1393,0)</f>
        <v>649</v>
      </c>
      <c r="H1393" s="48" t="n">
        <f aca="false">MAX(0,(C1393*'Model Inputs &amp; Assumptions'!$N$30+E1393*'Model Inputs &amp; Assumptions'!$O$30+G1393*'Model Inputs &amp; Assumptions'!$P$30)*EXP('Model Inputs &amp; Assumptions'!$Q$30*S1393-'Model Inputs &amp; Assumptions'!$Q$30^2/2))</f>
        <v>45.2941079915351</v>
      </c>
      <c r="I1393" s="49" t="n">
        <f aca="false">IF('Model Inputs &amp; Assumptions'!$H$30="Fixed",'Model Inputs &amp; Assumptions'!$I$30*'Model Inputs &amp; Assumptions'!$K$30,IF('Model Inputs &amp; Assumptions'!$H$30="CPM",'Model Inputs &amp; Assumptions'!$I$30*'Model Inputs &amp; Assumptions'!$K$30*C1393/1000,IF('Model Inputs &amp; Assumptions'!$H$30="CPC",'Model Inputs &amp; Assumptions'!$I$30*'Model Inputs &amp; Assumptions'!$K$30*G1393,0)))</f>
        <v>6900</v>
      </c>
      <c r="J1393" s="50" t="n">
        <f aca="false">H1393*INDEX('Model Inputs &amp; Assumptions'!$D$40:$D$42,MATCH('Model Inputs &amp; Assumptions'!$L$30,'Model Inputs &amp; Assumptions'!$A$40:$A$42,0))*INDEX('Model Inputs &amp; Assumptions'!$H$40:$H$42,MATCH('Model Inputs &amp; Assumptions'!$L$30,'Model Inputs &amp; Assumptions'!$A$40:$A$42,0))</f>
        <v>326117.577539053</v>
      </c>
      <c r="K1393" s="49" t="n">
        <f aca="false">H1393*INDEX('Model Inputs &amp; Assumptions'!$G$40:$G$42,MATCH('Model Inputs &amp; Assumptions'!$L$30,'Model Inputs &amp; Assumptions'!$A$40:$A$42,0))*INDEX('Model Inputs &amp; Assumptions'!$H$40:$H$42,MATCH('Model Inputs &amp; Assumptions'!$L$30,'Model Inputs &amp; Assumptions'!$A$40:$A$42,0))</f>
        <v>7190.89258473611</v>
      </c>
      <c r="L1393" s="51" t="n">
        <f aca="false">IFERROR(K1393/I1393,0)</f>
        <v>1.04215834561393</v>
      </c>
      <c r="M1393" s="49" t="n">
        <f aca="false">IFERROR(I1393/H1393,0)</f>
        <v>152.337694812083</v>
      </c>
      <c r="N1393" s="52" t="str">
        <f aca="false">'Model Inputs &amp; Assumptions'!$L$30</f>
        <v>PRD-USIQ</v>
      </c>
      <c r="P1393" s="53" t="n">
        <v>0.203835</v>
      </c>
      <c r="Q1393" s="53" t="n">
        <v>0.310435</v>
      </c>
      <c r="R1393" s="53" t="n">
        <v>-0.581661</v>
      </c>
      <c r="S1393" s="53" t="n">
        <v>0.409449</v>
      </c>
    </row>
    <row r="1394" customFormat="false" ht="15" hidden="false" customHeight="false" outlineLevel="0" collapsed="false">
      <c r="A1394" s="43" t="n">
        <v>391</v>
      </c>
      <c r="B1394" s="44" t="str">
        <f aca="false">'Model Inputs &amp; Assumptions'!$B$30</f>
        <v>extraETF — Newsletter Takeover</v>
      </c>
      <c r="C1394" s="45" t="n">
        <f aca="false">ROUND(MAX(0,'Model Inputs &amp; Assumptions'!$S$30*EXP('Model Inputs &amp; Assumptions'!$T$30*P1394-'Model Inputs &amp; Assumptions'!$T$30^2/2)),0)</f>
        <v>71472</v>
      </c>
      <c r="D1394" s="46" t="n">
        <f aca="false">MIN(1,'Model Inputs &amp; Assumptions'!$U$30*EXP('Model Inputs &amp; Assumptions'!$V$30*Q1394-'Model Inputs &amp; Assumptions'!$V$30^2/2))</f>
        <v>0</v>
      </c>
      <c r="E1394" s="45" t="n">
        <f aca="false">ROUND(C1394*D1394,0)</f>
        <v>0</v>
      </c>
      <c r="F1394" s="47" t="n">
        <f aca="false">MIN(1,'Model Inputs &amp; Assumptions'!$W$30*EXP('Model Inputs &amp; Assumptions'!$X$30*R1394-'Model Inputs &amp; Assumptions'!$X$30^2/2))</f>
        <v>0.00876438974327801</v>
      </c>
      <c r="G1394" s="45" t="n">
        <f aca="false">ROUND(C1394*F1394,0)</f>
        <v>626</v>
      </c>
      <c r="H1394" s="48" t="n">
        <f aca="false">MAX(0,(C1394*'Model Inputs &amp; Assumptions'!$N$30+E1394*'Model Inputs &amp; Assumptions'!$O$30+G1394*'Model Inputs &amp; Assumptions'!$P$30)*EXP('Model Inputs &amp; Assumptions'!$Q$30*S1394-'Model Inputs &amp; Assumptions'!$Q$30^2/2))</f>
        <v>39.8724800158612</v>
      </c>
      <c r="I1394" s="49" t="n">
        <f aca="false">IF('Model Inputs &amp; Assumptions'!$H$30="Fixed",'Model Inputs &amp; Assumptions'!$I$30*'Model Inputs &amp; Assumptions'!$K$30,IF('Model Inputs &amp; Assumptions'!$H$30="CPM",'Model Inputs &amp; Assumptions'!$I$30*'Model Inputs &amp; Assumptions'!$K$30*C1394/1000,IF('Model Inputs &amp; Assumptions'!$H$30="CPC",'Model Inputs &amp; Assumptions'!$I$30*'Model Inputs &amp; Assumptions'!$K$30*G1394,0)))</f>
        <v>6900</v>
      </c>
      <c r="J1394" s="50" t="n">
        <f aca="false">H1394*INDEX('Model Inputs &amp; Assumptions'!$D$40:$D$42,MATCH('Model Inputs &amp; Assumptions'!$L$30,'Model Inputs &amp; Assumptions'!$A$40:$A$42,0))*INDEX('Model Inputs &amp; Assumptions'!$H$40:$H$42,MATCH('Model Inputs &amp; Assumptions'!$L$30,'Model Inputs &amp; Assumptions'!$A$40:$A$42,0))</f>
        <v>287081.856114201</v>
      </c>
      <c r="K1394" s="49" t="n">
        <f aca="false">H1394*INDEX('Model Inputs &amp; Assumptions'!$G$40:$G$42,MATCH('Model Inputs &amp; Assumptions'!$L$30,'Model Inputs &amp; Assumptions'!$A$40:$A$42,0))*INDEX('Model Inputs &amp; Assumptions'!$H$40:$H$42,MATCH('Model Inputs &amp; Assumptions'!$L$30,'Model Inputs &amp; Assumptions'!$A$40:$A$42,0))</f>
        <v>6330.15492731813</v>
      </c>
      <c r="L1394" s="51" t="n">
        <f aca="false">IFERROR(K1394/I1394,0)</f>
        <v>0.917413757582337</v>
      </c>
      <c r="M1394" s="49" t="n">
        <f aca="false">IFERROR(I1394/H1394,0)</f>
        <v>173.051688715003</v>
      </c>
      <c r="N1394" s="52" t="str">
        <f aca="false">'Model Inputs &amp; Assumptions'!$L$30</f>
        <v>PRD-USIQ</v>
      </c>
      <c r="P1394" s="53" t="n">
        <v>-1.673574</v>
      </c>
      <c r="Q1394" s="53" t="n">
        <v>0.887536</v>
      </c>
      <c r="R1394" s="53" t="n">
        <v>0.683369</v>
      </c>
      <c r="S1394" s="53" t="n">
        <v>0.043816</v>
      </c>
    </row>
    <row r="1395" customFormat="false" ht="15" hidden="false" customHeight="false" outlineLevel="0" collapsed="false">
      <c r="A1395" s="43" t="n">
        <v>392</v>
      </c>
      <c r="B1395" s="44" t="str">
        <f aca="false">'Model Inputs &amp; Assumptions'!$B$30</f>
        <v>extraETF — Newsletter Takeover</v>
      </c>
      <c r="C1395" s="45" t="n">
        <f aca="false">ROUND(MAX(0,'Model Inputs &amp; Assumptions'!$S$30*EXP('Model Inputs &amp; Assumptions'!$T$30*P1395-'Model Inputs &amp; Assumptions'!$T$30^2/2)),0)</f>
        <v>79147</v>
      </c>
      <c r="D1395" s="46" t="n">
        <f aca="false">MIN(1,'Model Inputs &amp; Assumptions'!$U$30*EXP('Model Inputs &amp; Assumptions'!$V$30*Q1395-'Model Inputs &amp; Assumptions'!$V$30^2/2))</f>
        <v>0</v>
      </c>
      <c r="E1395" s="45" t="n">
        <f aca="false">ROUND(C1395*D1395,0)</f>
        <v>0</v>
      </c>
      <c r="F1395" s="47" t="n">
        <f aca="false">MIN(1,'Model Inputs &amp; Assumptions'!$W$30*EXP('Model Inputs &amp; Assumptions'!$X$30*R1395-'Model Inputs &amp; Assumptions'!$X$30^2/2))</f>
        <v>0.00647969273421056</v>
      </c>
      <c r="G1395" s="45" t="n">
        <f aca="false">ROUND(C1395*F1395,0)</f>
        <v>513</v>
      </c>
      <c r="H1395" s="48" t="n">
        <f aca="false">MAX(0,(C1395*'Model Inputs &amp; Assumptions'!$N$30+E1395*'Model Inputs &amp; Assumptions'!$O$30+G1395*'Model Inputs &amp; Assumptions'!$P$30)*EXP('Model Inputs &amp; Assumptions'!$Q$30*S1395-'Model Inputs &amp; Assumptions'!$Q$30^2/2))</f>
        <v>28.4408242358277</v>
      </c>
      <c r="I1395" s="49" t="n">
        <f aca="false">IF('Model Inputs &amp; Assumptions'!$H$30="Fixed",'Model Inputs &amp; Assumptions'!$I$30*'Model Inputs &amp; Assumptions'!$K$30,IF('Model Inputs &amp; Assumptions'!$H$30="CPM",'Model Inputs &amp; Assumptions'!$I$30*'Model Inputs &amp; Assumptions'!$K$30*C1395/1000,IF('Model Inputs &amp; Assumptions'!$H$30="CPC",'Model Inputs &amp; Assumptions'!$I$30*'Model Inputs &amp; Assumptions'!$K$30*G1395,0)))</f>
        <v>6900</v>
      </c>
      <c r="J1395" s="50" t="n">
        <f aca="false">H1395*INDEX('Model Inputs &amp; Assumptions'!$D$40:$D$42,MATCH('Model Inputs &amp; Assumptions'!$L$30,'Model Inputs &amp; Assumptions'!$A$40:$A$42,0))*INDEX('Model Inputs &amp; Assumptions'!$H$40:$H$42,MATCH('Model Inputs &amp; Assumptions'!$L$30,'Model Inputs &amp; Assumptions'!$A$40:$A$42,0))</f>
        <v>204773.934497959</v>
      </c>
      <c r="K1395" s="49" t="n">
        <f aca="false">H1395*INDEX('Model Inputs &amp; Assumptions'!$G$40:$G$42,MATCH('Model Inputs &amp; Assumptions'!$L$30,'Model Inputs &amp; Assumptions'!$A$40:$A$42,0))*INDEX('Model Inputs &amp; Assumptions'!$H$40:$H$42,MATCH('Model Inputs &amp; Assumptions'!$L$30,'Model Inputs &amp; Assumptions'!$A$40:$A$42,0))</f>
        <v>4515.26525568</v>
      </c>
      <c r="L1395" s="51" t="n">
        <f aca="false">IFERROR(K1395/I1395,0)</f>
        <v>0.654386268939131</v>
      </c>
      <c r="M1395" s="49" t="n">
        <f aca="false">IFERROR(I1395/H1395,0)</f>
        <v>242.609002565681</v>
      </c>
      <c r="N1395" s="52" t="str">
        <f aca="false">'Model Inputs &amp; Assumptions'!$L$30</f>
        <v>PRD-USIQ</v>
      </c>
      <c r="P1395" s="53" t="n">
        <v>-0.823556</v>
      </c>
      <c r="Q1395" s="53" t="n">
        <v>0.616179</v>
      </c>
      <c r="R1395" s="53" t="n">
        <v>-1.330123</v>
      </c>
      <c r="S1395" s="53" t="n">
        <v>-0.511329</v>
      </c>
    </row>
    <row r="1396" customFormat="false" ht="15" hidden="false" customHeight="false" outlineLevel="0" collapsed="false">
      <c r="A1396" s="43" t="n">
        <v>393</v>
      </c>
      <c r="B1396" s="44" t="str">
        <f aca="false">'Model Inputs &amp; Assumptions'!$B$30</f>
        <v>extraETF — Newsletter Takeover</v>
      </c>
      <c r="C1396" s="45" t="n">
        <f aca="false">ROUND(MAX(0,'Model Inputs &amp; Assumptions'!$S$30*EXP('Model Inputs &amp; Assumptions'!$T$30*P1396-'Model Inputs &amp; Assumptions'!$T$30^2/2)),0)</f>
        <v>79467</v>
      </c>
      <c r="D1396" s="46" t="n">
        <f aca="false">MIN(1,'Model Inputs &amp; Assumptions'!$U$30*EXP('Model Inputs &amp; Assumptions'!$V$30*Q1396-'Model Inputs &amp; Assumptions'!$V$30^2/2))</f>
        <v>0</v>
      </c>
      <c r="E1396" s="45" t="n">
        <f aca="false">ROUND(C1396*D1396,0)</f>
        <v>0</v>
      </c>
      <c r="F1396" s="47" t="n">
        <f aca="false">MIN(1,'Model Inputs &amp; Assumptions'!$W$30*EXP('Model Inputs &amp; Assumptions'!$X$30*R1396-'Model Inputs &amp; Assumptions'!$X$30^2/2))</f>
        <v>0.00706692706873222</v>
      </c>
      <c r="G1396" s="45" t="n">
        <f aca="false">ROUND(C1396*F1396,0)</f>
        <v>562</v>
      </c>
      <c r="H1396" s="48" t="n">
        <f aca="false">MAX(0,(C1396*'Model Inputs &amp; Assumptions'!$N$30+E1396*'Model Inputs &amp; Assumptions'!$O$30+G1396*'Model Inputs &amp; Assumptions'!$P$30)*EXP('Model Inputs &amp; Assumptions'!$Q$30*S1396-'Model Inputs &amp; Assumptions'!$Q$30^2/2))</f>
        <v>39.5159975351881</v>
      </c>
      <c r="I1396" s="49" t="n">
        <f aca="false">IF('Model Inputs &amp; Assumptions'!$H$30="Fixed",'Model Inputs &amp; Assumptions'!$I$30*'Model Inputs &amp; Assumptions'!$K$30,IF('Model Inputs &amp; Assumptions'!$H$30="CPM",'Model Inputs &amp; Assumptions'!$I$30*'Model Inputs &amp; Assumptions'!$K$30*C1396/1000,IF('Model Inputs &amp; Assumptions'!$H$30="CPC",'Model Inputs &amp; Assumptions'!$I$30*'Model Inputs &amp; Assumptions'!$K$30*G1396,0)))</f>
        <v>6900</v>
      </c>
      <c r="J1396" s="50" t="n">
        <f aca="false">H1396*INDEX('Model Inputs &amp; Assumptions'!$D$40:$D$42,MATCH('Model Inputs &amp; Assumptions'!$L$30,'Model Inputs &amp; Assumptions'!$A$40:$A$42,0))*INDEX('Model Inputs &amp; Assumptions'!$H$40:$H$42,MATCH('Model Inputs &amp; Assumptions'!$L$30,'Model Inputs &amp; Assumptions'!$A$40:$A$42,0))</f>
        <v>284515.182253355</v>
      </c>
      <c r="K1396" s="49" t="n">
        <f aca="false">H1396*INDEX('Model Inputs &amp; Assumptions'!$G$40:$G$42,MATCH('Model Inputs &amp; Assumptions'!$L$30,'Model Inputs &amp; Assumptions'!$A$40:$A$42,0))*INDEX('Model Inputs &amp; Assumptions'!$H$40:$H$42,MATCH('Model Inputs &amp; Assumptions'!$L$30,'Model Inputs &amp; Assumptions'!$A$40:$A$42,0))</f>
        <v>6273.55976868647</v>
      </c>
      <c r="L1396" s="51" t="n">
        <f aca="false">IFERROR(K1396/I1396,0)</f>
        <v>0.909211560679199</v>
      </c>
      <c r="M1396" s="49" t="n">
        <f aca="false">IFERROR(I1396/H1396,0)</f>
        <v>174.612825953734</v>
      </c>
      <c r="N1396" s="52" t="str">
        <f aca="false">'Model Inputs &amp; Assumptions'!$L$30</f>
        <v>PRD-USIQ</v>
      </c>
      <c r="P1396" s="53" t="n">
        <v>-0.789941</v>
      </c>
      <c r="Q1396" s="53" t="n">
        <v>0.059163</v>
      </c>
      <c r="R1396" s="53" t="n">
        <v>-0.751772</v>
      </c>
      <c r="S1396" s="53" t="n">
        <v>0.439287</v>
      </c>
    </row>
    <row r="1397" customFormat="false" ht="15" hidden="false" customHeight="false" outlineLevel="0" collapsed="false">
      <c r="A1397" s="43" t="n">
        <v>394</v>
      </c>
      <c r="B1397" s="44" t="str">
        <f aca="false">'Model Inputs &amp; Assumptions'!$B$30</f>
        <v>extraETF — Newsletter Takeover</v>
      </c>
      <c r="C1397" s="45" t="n">
        <f aca="false">ROUND(MAX(0,'Model Inputs &amp; Assumptions'!$S$30*EXP('Model Inputs &amp; Assumptions'!$T$30*P1397-'Model Inputs &amp; Assumptions'!$T$30^2/2)),0)</f>
        <v>82792</v>
      </c>
      <c r="D1397" s="46" t="n">
        <f aca="false">MIN(1,'Model Inputs &amp; Assumptions'!$U$30*EXP('Model Inputs &amp; Assumptions'!$V$30*Q1397-'Model Inputs &amp; Assumptions'!$V$30^2/2))</f>
        <v>0</v>
      </c>
      <c r="E1397" s="45" t="n">
        <f aca="false">ROUND(C1397*D1397,0)</f>
        <v>0</v>
      </c>
      <c r="F1397" s="47" t="n">
        <f aca="false">MIN(1,'Model Inputs &amp; Assumptions'!$W$30*EXP('Model Inputs &amp; Assumptions'!$X$30*R1397-'Model Inputs &amp; Assumptions'!$X$30^2/2))</f>
        <v>0.0103342362566952</v>
      </c>
      <c r="G1397" s="45" t="n">
        <f aca="false">ROUND(C1397*F1397,0)</f>
        <v>856</v>
      </c>
      <c r="H1397" s="48" t="n">
        <f aca="false">MAX(0,(C1397*'Model Inputs &amp; Assumptions'!$N$30+E1397*'Model Inputs &amp; Assumptions'!$O$30+G1397*'Model Inputs &amp; Assumptions'!$P$30)*EXP('Model Inputs &amp; Assumptions'!$Q$30*S1397-'Model Inputs &amp; Assumptions'!$Q$30^2/2))</f>
        <v>45.7320843927911</v>
      </c>
      <c r="I1397" s="49" t="n">
        <f aca="false">IF('Model Inputs &amp; Assumptions'!$H$30="Fixed",'Model Inputs &amp; Assumptions'!$I$30*'Model Inputs &amp; Assumptions'!$K$30,IF('Model Inputs &amp; Assumptions'!$H$30="CPM",'Model Inputs &amp; Assumptions'!$I$30*'Model Inputs &amp; Assumptions'!$K$30*C1397/1000,IF('Model Inputs &amp; Assumptions'!$H$30="CPC",'Model Inputs &amp; Assumptions'!$I$30*'Model Inputs &amp; Assumptions'!$K$30*G1397,0)))</f>
        <v>6900</v>
      </c>
      <c r="J1397" s="50" t="n">
        <f aca="false">H1397*INDEX('Model Inputs &amp; Assumptions'!$D$40:$D$42,MATCH('Model Inputs &amp; Assumptions'!$L$30,'Model Inputs &amp; Assumptions'!$A$40:$A$42,0))*INDEX('Model Inputs &amp; Assumptions'!$H$40:$H$42,MATCH('Model Inputs &amp; Assumptions'!$L$30,'Model Inputs &amp; Assumptions'!$A$40:$A$42,0))</f>
        <v>329271.007628096</v>
      </c>
      <c r="K1397" s="49" t="n">
        <f aca="false">H1397*INDEX('Model Inputs &amp; Assumptions'!$G$40:$G$42,MATCH('Model Inputs &amp; Assumptions'!$L$30,'Model Inputs &amp; Assumptions'!$A$40:$A$42,0))*INDEX('Model Inputs &amp; Assumptions'!$H$40:$H$42,MATCH('Model Inputs &amp; Assumptions'!$L$30,'Model Inputs &amp; Assumptions'!$A$40:$A$42,0))</f>
        <v>7260.42571819951</v>
      </c>
      <c r="L1397" s="51" t="n">
        <f aca="false">IFERROR(K1397/I1397,0)</f>
        <v>1.05223561133326</v>
      </c>
      <c r="M1397" s="49" t="n">
        <f aca="false">IFERROR(I1397/H1397,0)</f>
        <v>150.878755945961</v>
      </c>
      <c r="N1397" s="52" t="str">
        <f aca="false">'Model Inputs &amp; Assumptions'!$L$30</f>
        <v>PRD-USIQ</v>
      </c>
      <c r="P1397" s="53" t="n">
        <v>-0.448406</v>
      </c>
      <c r="Q1397" s="53" t="n">
        <v>-0.774011</v>
      </c>
      <c r="R1397" s="53" t="n">
        <v>1.781805</v>
      </c>
      <c r="S1397" s="53" t="n">
        <v>-0.659409</v>
      </c>
    </row>
    <row r="1398" customFormat="false" ht="15" hidden="false" customHeight="false" outlineLevel="0" collapsed="false">
      <c r="A1398" s="43" t="n">
        <v>395</v>
      </c>
      <c r="B1398" s="44" t="str">
        <f aca="false">'Model Inputs &amp; Assumptions'!$B$30</f>
        <v>extraETF — Newsletter Takeover</v>
      </c>
      <c r="C1398" s="45" t="n">
        <f aca="false">ROUND(MAX(0,'Model Inputs &amp; Assumptions'!$S$30*EXP('Model Inputs &amp; Assumptions'!$T$30*P1398-'Model Inputs &amp; Assumptions'!$T$30^2/2)),0)</f>
        <v>89401</v>
      </c>
      <c r="D1398" s="46" t="n">
        <f aca="false">MIN(1,'Model Inputs &amp; Assumptions'!$U$30*EXP('Model Inputs &amp; Assumptions'!$V$30*Q1398-'Model Inputs &amp; Assumptions'!$V$30^2/2))</f>
        <v>0</v>
      </c>
      <c r="E1398" s="45" t="n">
        <f aca="false">ROUND(C1398*D1398,0)</f>
        <v>0</v>
      </c>
      <c r="F1398" s="47" t="n">
        <f aca="false">MIN(1,'Model Inputs &amp; Assumptions'!$W$30*EXP('Model Inputs &amp; Assumptions'!$X$30*R1398-'Model Inputs &amp; Assumptions'!$X$30^2/2))</f>
        <v>0.00828651828914086</v>
      </c>
      <c r="G1398" s="45" t="n">
        <f aca="false">ROUND(C1398*F1398,0)</f>
        <v>741</v>
      </c>
      <c r="H1398" s="48" t="n">
        <f aca="false">MAX(0,(C1398*'Model Inputs &amp; Assumptions'!$N$30+E1398*'Model Inputs &amp; Assumptions'!$O$30+G1398*'Model Inputs &amp; Assumptions'!$P$30)*EXP('Model Inputs &amp; Assumptions'!$Q$30*S1398-'Model Inputs &amp; Assumptions'!$Q$30^2/2))</f>
        <v>42.6525736755464</v>
      </c>
      <c r="I1398" s="49" t="n">
        <f aca="false">IF('Model Inputs &amp; Assumptions'!$H$30="Fixed",'Model Inputs &amp; Assumptions'!$I$30*'Model Inputs &amp; Assumptions'!$K$30,IF('Model Inputs &amp; Assumptions'!$H$30="CPM",'Model Inputs &amp; Assumptions'!$I$30*'Model Inputs &amp; Assumptions'!$K$30*C1398/1000,IF('Model Inputs &amp; Assumptions'!$H$30="CPC",'Model Inputs &amp; Assumptions'!$I$30*'Model Inputs &amp; Assumptions'!$K$30*G1398,0)))</f>
        <v>6900</v>
      </c>
      <c r="J1398" s="50" t="n">
        <f aca="false">H1398*INDEX('Model Inputs &amp; Assumptions'!$D$40:$D$42,MATCH('Model Inputs &amp; Assumptions'!$L$30,'Model Inputs &amp; Assumptions'!$A$40:$A$42,0))*INDEX('Model Inputs &amp; Assumptions'!$H$40:$H$42,MATCH('Model Inputs &amp; Assumptions'!$L$30,'Model Inputs &amp; Assumptions'!$A$40:$A$42,0))</f>
        <v>307098.530463934</v>
      </c>
      <c r="K1398" s="49" t="n">
        <f aca="false">H1398*INDEX('Model Inputs &amp; Assumptions'!$G$40:$G$42,MATCH('Model Inputs &amp; Assumptions'!$L$30,'Model Inputs &amp; Assumptions'!$A$40:$A$42,0))*INDEX('Model Inputs &amp; Assumptions'!$H$40:$H$42,MATCH('Model Inputs &amp; Assumptions'!$L$30,'Model Inputs &amp; Assumptions'!$A$40:$A$42,0))</f>
        <v>6771.52259672975</v>
      </c>
      <c r="L1398" s="51" t="n">
        <f aca="false">IFERROR(K1398/I1398,0)</f>
        <v>0.981380086482572</v>
      </c>
      <c r="M1398" s="49" t="n">
        <f aca="false">IFERROR(I1398/H1398,0)</f>
        <v>161.77218407704</v>
      </c>
      <c r="N1398" s="52" t="str">
        <f aca="false">'Model Inputs &amp; Assumptions'!$L$30</f>
        <v>PRD-USIQ</v>
      </c>
      <c r="P1398" s="53" t="n">
        <v>0.191671</v>
      </c>
      <c r="Q1398" s="53" t="n">
        <v>-0.474235</v>
      </c>
      <c r="R1398" s="53" t="n">
        <v>0.309589</v>
      </c>
      <c r="S1398" s="53" t="n">
        <v>-0.36118</v>
      </c>
    </row>
    <row r="1399" customFormat="false" ht="15" hidden="false" customHeight="false" outlineLevel="0" collapsed="false">
      <c r="A1399" s="43" t="n">
        <v>396</v>
      </c>
      <c r="B1399" s="44" t="str">
        <f aca="false">'Model Inputs &amp; Assumptions'!$B$30</f>
        <v>extraETF — Newsletter Takeover</v>
      </c>
      <c r="C1399" s="45" t="n">
        <f aca="false">ROUND(MAX(0,'Model Inputs &amp; Assumptions'!$S$30*EXP('Model Inputs &amp; Assumptions'!$T$30*P1399-'Model Inputs &amp; Assumptions'!$T$30^2/2)),0)</f>
        <v>77380</v>
      </c>
      <c r="D1399" s="46" t="n">
        <f aca="false">MIN(1,'Model Inputs &amp; Assumptions'!$U$30*EXP('Model Inputs &amp; Assumptions'!$V$30*Q1399-'Model Inputs &amp; Assumptions'!$V$30^2/2))</f>
        <v>0</v>
      </c>
      <c r="E1399" s="45" t="n">
        <f aca="false">ROUND(C1399*D1399,0)</f>
        <v>0</v>
      </c>
      <c r="F1399" s="47" t="n">
        <f aca="false">MIN(1,'Model Inputs &amp; Assumptions'!$W$30*EXP('Model Inputs &amp; Assumptions'!$X$30*R1399-'Model Inputs &amp; Assumptions'!$X$30^2/2))</f>
        <v>0.00749393623613598</v>
      </c>
      <c r="G1399" s="45" t="n">
        <f aca="false">ROUND(C1399*F1399,0)</f>
        <v>580</v>
      </c>
      <c r="H1399" s="48" t="n">
        <f aca="false">MAX(0,(C1399*'Model Inputs &amp; Assumptions'!$N$30+E1399*'Model Inputs &amp; Assumptions'!$O$30+G1399*'Model Inputs &amp; Assumptions'!$P$30)*EXP('Model Inputs &amp; Assumptions'!$Q$30*S1399-'Model Inputs &amp; Assumptions'!$Q$30^2/2))</f>
        <v>49.4902457427187</v>
      </c>
      <c r="I1399" s="49" t="n">
        <f aca="false">IF('Model Inputs &amp; Assumptions'!$H$30="Fixed",'Model Inputs &amp; Assumptions'!$I$30*'Model Inputs &amp; Assumptions'!$K$30,IF('Model Inputs &amp; Assumptions'!$H$30="CPM",'Model Inputs &amp; Assumptions'!$I$30*'Model Inputs &amp; Assumptions'!$K$30*C1399/1000,IF('Model Inputs &amp; Assumptions'!$H$30="CPC",'Model Inputs &amp; Assumptions'!$I$30*'Model Inputs &amp; Assumptions'!$K$30*G1399,0)))</f>
        <v>6900</v>
      </c>
      <c r="J1399" s="50" t="n">
        <f aca="false">H1399*INDEX('Model Inputs &amp; Assumptions'!$D$40:$D$42,MATCH('Model Inputs &amp; Assumptions'!$L$30,'Model Inputs &amp; Assumptions'!$A$40:$A$42,0))*INDEX('Model Inputs &amp; Assumptions'!$H$40:$H$42,MATCH('Model Inputs &amp; Assumptions'!$L$30,'Model Inputs &amp; Assumptions'!$A$40:$A$42,0))</f>
        <v>356329.769347574</v>
      </c>
      <c r="K1399" s="49" t="n">
        <f aca="false">H1399*INDEX('Model Inputs &amp; Assumptions'!$G$40:$G$42,MATCH('Model Inputs &amp; Assumptions'!$L$30,'Model Inputs &amp; Assumptions'!$A$40:$A$42,0))*INDEX('Model Inputs &amp; Assumptions'!$H$40:$H$42,MATCH('Model Inputs &amp; Assumptions'!$L$30,'Model Inputs &amp; Assumptions'!$A$40:$A$42,0))</f>
        <v>7857.07141411401</v>
      </c>
      <c r="L1399" s="51" t="n">
        <f aca="false">IFERROR(K1399/I1399,0)</f>
        <v>1.13870600204551</v>
      </c>
      <c r="M1399" s="49" t="n">
        <f aca="false">IFERROR(I1399/H1399,0)</f>
        <v>139.421413178478</v>
      </c>
      <c r="N1399" s="52" t="str">
        <f aca="false">'Model Inputs &amp; Assumptions'!$L$30</f>
        <v>PRD-USIQ</v>
      </c>
      <c r="P1399" s="53" t="n">
        <v>-1.011772</v>
      </c>
      <c r="Q1399" s="53" t="n">
        <v>-0.294041</v>
      </c>
      <c r="R1399" s="53" t="n">
        <v>-0.360649</v>
      </c>
      <c r="S1399" s="53" t="n">
        <v>1.213462</v>
      </c>
    </row>
    <row r="1400" customFormat="false" ht="15" hidden="false" customHeight="false" outlineLevel="0" collapsed="false">
      <c r="A1400" s="43" t="n">
        <v>397</v>
      </c>
      <c r="B1400" s="44" t="str">
        <f aca="false">'Model Inputs &amp; Assumptions'!$B$30</f>
        <v>extraETF — Newsletter Takeover</v>
      </c>
      <c r="C1400" s="45" t="n">
        <f aca="false">ROUND(MAX(0,'Model Inputs &amp; Assumptions'!$S$30*EXP('Model Inputs &amp; Assumptions'!$T$30*P1400-'Model Inputs &amp; Assumptions'!$T$30^2/2)),0)</f>
        <v>79442</v>
      </c>
      <c r="D1400" s="46" t="n">
        <f aca="false">MIN(1,'Model Inputs &amp; Assumptions'!$U$30*EXP('Model Inputs &amp; Assumptions'!$V$30*Q1400-'Model Inputs &amp; Assumptions'!$V$30^2/2))</f>
        <v>0</v>
      </c>
      <c r="E1400" s="45" t="n">
        <f aca="false">ROUND(C1400*D1400,0)</f>
        <v>0</v>
      </c>
      <c r="F1400" s="47" t="n">
        <f aca="false">MIN(1,'Model Inputs &amp; Assumptions'!$W$30*EXP('Model Inputs &amp; Assumptions'!$X$30*R1400-'Model Inputs &amp; Assumptions'!$X$30^2/2))</f>
        <v>0.0069202620795505</v>
      </c>
      <c r="G1400" s="45" t="n">
        <f aca="false">ROUND(C1400*F1400,0)</f>
        <v>550</v>
      </c>
      <c r="H1400" s="48" t="n">
        <f aca="false">MAX(0,(C1400*'Model Inputs &amp; Assumptions'!$N$30+E1400*'Model Inputs &amp; Assumptions'!$O$30+G1400*'Model Inputs &amp; Assumptions'!$P$30)*EXP('Model Inputs &amp; Assumptions'!$Q$30*S1400-'Model Inputs &amp; Assumptions'!$Q$30^2/2))</f>
        <v>25.3794050199229</v>
      </c>
      <c r="I1400" s="49" t="n">
        <f aca="false">IF('Model Inputs &amp; Assumptions'!$H$30="Fixed",'Model Inputs &amp; Assumptions'!$I$30*'Model Inputs &amp; Assumptions'!$K$30,IF('Model Inputs &amp; Assumptions'!$H$30="CPM",'Model Inputs &amp; Assumptions'!$I$30*'Model Inputs &amp; Assumptions'!$K$30*C1400/1000,IF('Model Inputs &amp; Assumptions'!$H$30="CPC",'Model Inputs &amp; Assumptions'!$I$30*'Model Inputs &amp; Assumptions'!$K$30*G1400,0)))</f>
        <v>6900</v>
      </c>
      <c r="J1400" s="50" t="n">
        <f aca="false">H1400*INDEX('Model Inputs &amp; Assumptions'!$D$40:$D$42,MATCH('Model Inputs &amp; Assumptions'!$L$30,'Model Inputs &amp; Assumptions'!$A$40:$A$42,0))*INDEX('Model Inputs &amp; Assumptions'!$H$40:$H$42,MATCH('Model Inputs &amp; Assumptions'!$L$30,'Model Inputs &amp; Assumptions'!$A$40:$A$42,0))</f>
        <v>182731.716143445</v>
      </c>
      <c r="K1400" s="49" t="n">
        <f aca="false">H1400*INDEX('Model Inputs &amp; Assumptions'!$G$40:$G$42,MATCH('Model Inputs &amp; Assumptions'!$L$30,'Model Inputs &amp; Assumptions'!$A$40:$A$42,0))*INDEX('Model Inputs &amp; Assumptions'!$H$40:$H$42,MATCH('Model Inputs &amp; Assumptions'!$L$30,'Model Inputs &amp; Assumptions'!$A$40:$A$42,0))</f>
        <v>4029.23434096297</v>
      </c>
      <c r="L1400" s="51" t="n">
        <f aca="false">IFERROR(K1400/I1400,0)</f>
        <v>0.583947005936662</v>
      </c>
      <c r="M1400" s="49" t="n">
        <f aca="false">IFERROR(I1400/H1400,0)</f>
        <v>271.87398580004</v>
      </c>
      <c r="N1400" s="52" t="str">
        <f aca="false">'Model Inputs &amp; Assumptions'!$L$30</f>
        <v>PRD-USIQ</v>
      </c>
      <c r="P1400" s="53" t="n">
        <v>-0.792543</v>
      </c>
      <c r="Q1400" s="53" t="n">
        <v>-0.788999</v>
      </c>
      <c r="R1400" s="53" t="n">
        <v>-0.891586</v>
      </c>
      <c r="S1400" s="53" t="n">
        <v>-1.245449</v>
      </c>
    </row>
    <row r="1401" customFormat="false" ht="15" hidden="false" customHeight="false" outlineLevel="0" collapsed="false">
      <c r="A1401" s="43" t="n">
        <v>398</v>
      </c>
      <c r="B1401" s="44" t="str">
        <f aca="false">'Model Inputs &amp; Assumptions'!$B$30</f>
        <v>extraETF — Newsletter Takeover</v>
      </c>
      <c r="C1401" s="45" t="n">
        <f aca="false">ROUND(MAX(0,'Model Inputs &amp; Assumptions'!$S$30*EXP('Model Inputs &amp; Assumptions'!$T$30*P1401-'Model Inputs &amp; Assumptions'!$T$30^2/2)),0)</f>
        <v>106624</v>
      </c>
      <c r="D1401" s="46" t="n">
        <f aca="false">MIN(1,'Model Inputs &amp; Assumptions'!$U$30*EXP('Model Inputs &amp; Assumptions'!$V$30*Q1401-'Model Inputs &amp; Assumptions'!$V$30^2/2))</f>
        <v>0</v>
      </c>
      <c r="E1401" s="45" t="n">
        <f aca="false">ROUND(C1401*D1401,0)</f>
        <v>0</v>
      </c>
      <c r="F1401" s="47" t="n">
        <f aca="false">MIN(1,'Model Inputs &amp; Assumptions'!$W$30*EXP('Model Inputs &amp; Assumptions'!$X$30*R1401-'Model Inputs &amp; Assumptions'!$X$30^2/2))</f>
        <v>0.00810517536566639</v>
      </c>
      <c r="G1401" s="45" t="n">
        <f aca="false">ROUND(C1401*F1401,0)</f>
        <v>864</v>
      </c>
      <c r="H1401" s="48" t="n">
        <f aca="false">MAX(0,(C1401*'Model Inputs &amp; Assumptions'!$N$30+E1401*'Model Inputs &amp; Assumptions'!$O$30+G1401*'Model Inputs &amp; Assumptions'!$P$30)*EXP('Model Inputs &amp; Assumptions'!$Q$30*S1401-'Model Inputs &amp; Assumptions'!$Q$30^2/2))</f>
        <v>33.4519559838297</v>
      </c>
      <c r="I1401" s="49" t="n">
        <f aca="false">IF('Model Inputs &amp; Assumptions'!$H$30="Fixed",'Model Inputs &amp; Assumptions'!$I$30*'Model Inputs &amp; Assumptions'!$K$30,IF('Model Inputs &amp; Assumptions'!$H$30="CPM",'Model Inputs &amp; Assumptions'!$I$30*'Model Inputs &amp; Assumptions'!$K$30*C1401/1000,IF('Model Inputs &amp; Assumptions'!$H$30="CPC",'Model Inputs &amp; Assumptions'!$I$30*'Model Inputs &amp; Assumptions'!$K$30*G1401,0)))</f>
        <v>6900</v>
      </c>
      <c r="J1401" s="50" t="n">
        <f aca="false">H1401*INDEX('Model Inputs &amp; Assumptions'!$D$40:$D$42,MATCH('Model Inputs &amp; Assumptions'!$L$30,'Model Inputs &amp; Assumptions'!$A$40:$A$42,0))*INDEX('Model Inputs &amp; Assumptions'!$H$40:$H$42,MATCH('Model Inputs &amp; Assumptions'!$L$30,'Model Inputs &amp; Assumptions'!$A$40:$A$42,0))</f>
        <v>240854.083083574</v>
      </c>
      <c r="K1401" s="49" t="n">
        <f aca="false">H1401*INDEX('Model Inputs &amp; Assumptions'!$G$40:$G$42,MATCH('Model Inputs &amp; Assumptions'!$L$30,'Model Inputs &amp; Assumptions'!$A$40:$A$42,0))*INDEX('Model Inputs &amp; Assumptions'!$H$40:$H$42,MATCH('Model Inputs &amp; Assumptions'!$L$30,'Model Inputs &amp; Assumptions'!$A$40:$A$42,0))</f>
        <v>5310.8325319928</v>
      </c>
      <c r="L1401" s="51" t="n">
        <f aca="false">IFERROR(K1401/I1401,0)</f>
        <v>0.769685874201855</v>
      </c>
      <c r="M1401" s="49" t="n">
        <f aca="false">IFERROR(I1401/H1401,0)</f>
        <v>206.265965533836</v>
      </c>
      <c r="N1401" s="52" t="str">
        <f aca="false">'Model Inputs &amp; Assumptions'!$L$30</f>
        <v>PRD-USIQ</v>
      </c>
      <c r="P1401" s="53" t="n">
        <v>1.659796</v>
      </c>
      <c r="Q1401" s="53" t="n">
        <v>-2.063183</v>
      </c>
      <c r="R1401" s="53" t="n">
        <v>0.162075</v>
      </c>
      <c r="S1401" s="53" t="n">
        <v>-1.947378</v>
      </c>
    </row>
    <row r="1402" customFormat="false" ht="15" hidden="false" customHeight="false" outlineLevel="0" collapsed="false">
      <c r="A1402" s="43" t="n">
        <v>399</v>
      </c>
      <c r="B1402" s="44" t="str">
        <f aca="false">'Model Inputs &amp; Assumptions'!$B$30</f>
        <v>extraETF — Newsletter Takeover</v>
      </c>
      <c r="C1402" s="45" t="n">
        <f aca="false">ROUND(MAX(0,'Model Inputs &amp; Assumptions'!$S$30*EXP('Model Inputs &amp; Assumptions'!$T$30*P1402-'Model Inputs &amp; Assumptions'!$T$30^2/2)),0)</f>
        <v>73087</v>
      </c>
      <c r="D1402" s="46" t="n">
        <f aca="false">MIN(1,'Model Inputs &amp; Assumptions'!$U$30*EXP('Model Inputs &amp; Assumptions'!$V$30*Q1402-'Model Inputs &amp; Assumptions'!$V$30^2/2))</f>
        <v>0</v>
      </c>
      <c r="E1402" s="45" t="n">
        <f aca="false">ROUND(C1402*D1402,0)</f>
        <v>0</v>
      </c>
      <c r="F1402" s="47" t="n">
        <f aca="false">MIN(1,'Model Inputs &amp; Assumptions'!$W$30*EXP('Model Inputs &amp; Assumptions'!$X$30*R1402-'Model Inputs &amp; Assumptions'!$X$30^2/2))</f>
        <v>0.00639464225227744</v>
      </c>
      <c r="G1402" s="45" t="n">
        <f aca="false">ROUND(C1402*F1402,0)</f>
        <v>467</v>
      </c>
      <c r="H1402" s="48" t="n">
        <f aca="false">MAX(0,(C1402*'Model Inputs &amp; Assumptions'!$N$30+E1402*'Model Inputs &amp; Assumptions'!$O$30+G1402*'Model Inputs &amp; Assumptions'!$P$30)*EXP('Model Inputs &amp; Assumptions'!$Q$30*S1402-'Model Inputs &amp; Assumptions'!$Q$30^2/2))</f>
        <v>32.5633280445813</v>
      </c>
      <c r="I1402" s="49" t="n">
        <f aca="false">IF('Model Inputs &amp; Assumptions'!$H$30="Fixed",'Model Inputs &amp; Assumptions'!$I$30*'Model Inputs &amp; Assumptions'!$K$30,IF('Model Inputs &amp; Assumptions'!$H$30="CPM",'Model Inputs &amp; Assumptions'!$I$30*'Model Inputs &amp; Assumptions'!$K$30*C1402/1000,IF('Model Inputs &amp; Assumptions'!$H$30="CPC",'Model Inputs &amp; Assumptions'!$I$30*'Model Inputs &amp; Assumptions'!$K$30*G1402,0)))</f>
        <v>6900</v>
      </c>
      <c r="J1402" s="50" t="n">
        <f aca="false">H1402*INDEX('Model Inputs &amp; Assumptions'!$D$40:$D$42,MATCH('Model Inputs &amp; Assumptions'!$L$30,'Model Inputs &amp; Assumptions'!$A$40:$A$42,0))*INDEX('Model Inputs &amp; Assumptions'!$H$40:$H$42,MATCH('Model Inputs &amp; Assumptions'!$L$30,'Model Inputs &amp; Assumptions'!$A$40:$A$42,0))</f>
        <v>234455.961920986</v>
      </c>
      <c r="K1402" s="49" t="n">
        <f aca="false">H1402*INDEX('Model Inputs &amp; Assumptions'!$G$40:$G$42,MATCH('Model Inputs &amp; Assumptions'!$L$30,'Model Inputs &amp; Assumptions'!$A$40:$A$42,0))*INDEX('Model Inputs &amp; Assumptions'!$H$40:$H$42,MATCH('Model Inputs &amp; Assumptions'!$L$30,'Model Inputs &amp; Assumptions'!$A$40:$A$42,0))</f>
        <v>5169.75396035773</v>
      </c>
      <c r="L1402" s="51" t="n">
        <f aca="false">IFERROR(K1402/I1402,0)</f>
        <v>0.749239704399671</v>
      </c>
      <c r="M1402" s="49" t="n">
        <f aca="false">IFERROR(I1402/H1402,0)</f>
        <v>211.894803582528</v>
      </c>
      <c r="N1402" s="52" t="str">
        <f aca="false">'Model Inputs &amp; Assumptions'!$L$30</f>
        <v>PRD-USIQ</v>
      </c>
      <c r="P1402" s="53" t="n">
        <v>-1.487374</v>
      </c>
      <c r="Q1402" s="53" t="n">
        <v>-0.344248</v>
      </c>
      <c r="R1402" s="53" t="n">
        <v>-1.418207</v>
      </c>
      <c r="S1402" s="53" t="n">
        <v>0.405902</v>
      </c>
    </row>
    <row r="1403" customFormat="false" ht="15" hidden="false" customHeight="false" outlineLevel="0" collapsed="false">
      <c r="A1403" s="43" t="n">
        <v>400</v>
      </c>
      <c r="B1403" s="44" t="str">
        <f aca="false">'Model Inputs &amp; Assumptions'!$B$30</f>
        <v>extraETF — Newsletter Takeover</v>
      </c>
      <c r="C1403" s="45" t="n">
        <f aca="false">ROUND(MAX(0,'Model Inputs &amp; Assumptions'!$S$30*EXP('Model Inputs &amp; Assumptions'!$T$30*P1403-'Model Inputs &amp; Assumptions'!$T$30^2/2)),0)</f>
        <v>77552</v>
      </c>
      <c r="D1403" s="46" t="n">
        <f aca="false">MIN(1,'Model Inputs &amp; Assumptions'!$U$30*EXP('Model Inputs &amp; Assumptions'!$V$30*Q1403-'Model Inputs &amp; Assumptions'!$V$30^2/2))</f>
        <v>0</v>
      </c>
      <c r="E1403" s="45" t="n">
        <f aca="false">ROUND(C1403*D1403,0)</f>
        <v>0</v>
      </c>
      <c r="F1403" s="47" t="n">
        <f aca="false">MIN(1,'Model Inputs &amp; Assumptions'!$W$30*EXP('Model Inputs &amp; Assumptions'!$X$30*R1403-'Model Inputs &amp; Assumptions'!$X$30^2/2))</f>
        <v>0.00702311106613246</v>
      </c>
      <c r="G1403" s="45" t="n">
        <f aca="false">ROUND(C1403*F1403,0)</f>
        <v>545</v>
      </c>
      <c r="H1403" s="48" t="n">
        <f aca="false">MAX(0,(C1403*'Model Inputs &amp; Assumptions'!$N$30+E1403*'Model Inputs &amp; Assumptions'!$O$30+G1403*'Model Inputs &amp; Assumptions'!$P$30)*EXP('Model Inputs &amp; Assumptions'!$Q$30*S1403-'Model Inputs &amp; Assumptions'!$Q$30^2/2))</f>
        <v>33.9041876269775</v>
      </c>
      <c r="I1403" s="49" t="n">
        <f aca="false">IF('Model Inputs &amp; Assumptions'!$H$30="Fixed",'Model Inputs &amp; Assumptions'!$I$30*'Model Inputs &amp; Assumptions'!$K$30,IF('Model Inputs &amp; Assumptions'!$H$30="CPM",'Model Inputs &amp; Assumptions'!$I$30*'Model Inputs &amp; Assumptions'!$K$30*C1403/1000,IF('Model Inputs &amp; Assumptions'!$H$30="CPC",'Model Inputs &amp; Assumptions'!$I$30*'Model Inputs &amp; Assumptions'!$K$30*G1403,0)))</f>
        <v>6900</v>
      </c>
      <c r="J1403" s="50" t="n">
        <f aca="false">H1403*INDEX('Model Inputs &amp; Assumptions'!$D$40:$D$42,MATCH('Model Inputs &amp; Assumptions'!$L$30,'Model Inputs &amp; Assumptions'!$A$40:$A$42,0))*INDEX('Model Inputs &amp; Assumptions'!$H$40:$H$42,MATCH('Model Inputs &amp; Assumptions'!$L$30,'Model Inputs &amp; Assumptions'!$A$40:$A$42,0))</f>
        <v>244110.150914238</v>
      </c>
      <c r="K1403" s="49" t="n">
        <f aca="false">H1403*INDEX('Model Inputs &amp; Assumptions'!$G$40:$G$42,MATCH('Model Inputs &amp; Assumptions'!$L$30,'Model Inputs &amp; Assumptions'!$A$40:$A$42,0))*INDEX('Model Inputs &amp; Assumptions'!$H$40:$H$42,MATCH('Model Inputs &amp; Assumptions'!$L$30,'Model Inputs &amp; Assumptions'!$A$40:$A$42,0))</f>
        <v>5382.62882765895</v>
      </c>
      <c r="L1403" s="51" t="n">
        <f aca="false">IFERROR(K1403/I1403,0)</f>
        <v>0.780091134443326</v>
      </c>
      <c r="M1403" s="49" t="n">
        <f aca="false">IFERROR(I1403/H1403,0)</f>
        <v>203.514683080319</v>
      </c>
      <c r="N1403" s="52" t="str">
        <f aca="false">'Model Inputs &amp; Assumptions'!$L$30</f>
        <v>PRD-USIQ</v>
      </c>
      <c r="P1403" s="53" t="n">
        <v>-0.99328</v>
      </c>
      <c r="Q1403" s="53" t="n">
        <v>0.147431</v>
      </c>
      <c r="R1403" s="53" t="n">
        <v>-0.793235</v>
      </c>
      <c r="S1403" s="53" t="n">
        <v>-0.050517</v>
      </c>
    </row>
    <row r="1404" customFormat="false" ht="15" hidden="false" customHeight="false" outlineLevel="0" collapsed="false">
      <c r="A1404" s="43" t="n">
        <v>401</v>
      </c>
      <c r="B1404" s="44" t="str">
        <f aca="false">'Model Inputs &amp; Assumptions'!$B$30</f>
        <v>extraETF — Newsletter Takeover</v>
      </c>
      <c r="C1404" s="45" t="n">
        <f aca="false">ROUND(MAX(0,'Model Inputs &amp; Assumptions'!$S$30*EXP('Model Inputs &amp; Assumptions'!$T$30*P1404-'Model Inputs &amp; Assumptions'!$T$30^2/2)),0)</f>
        <v>89121</v>
      </c>
      <c r="D1404" s="46" t="n">
        <f aca="false">MIN(1,'Model Inputs &amp; Assumptions'!$U$30*EXP('Model Inputs &amp; Assumptions'!$V$30*Q1404-'Model Inputs &amp; Assumptions'!$V$30^2/2))</f>
        <v>0</v>
      </c>
      <c r="E1404" s="45" t="n">
        <f aca="false">ROUND(C1404*D1404,0)</f>
        <v>0</v>
      </c>
      <c r="F1404" s="47" t="n">
        <f aca="false">MIN(1,'Model Inputs &amp; Assumptions'!$W$30*EXP('Model Inputs &amp; Assumptions'!$X$30*R1404-'Model Inputs &amp; Assumptions'!$X$30^2/2))</f>
        <v>0.00879239058957014</v>
      </c>
      <c r="G1404" s="45" t="n">
        <f aca="false">ROUND(C1404*F1404,0)</f>
        <v>784</v>
      </c>
      <c r="H1404" s="48" t="n">
        <f aca="false">MAX(0,(C1404*'Model Inputs &amp; Assumptions'!$N$30+E1404*'Model Inputs &amp; Assumptions'!$O$30+G1404*'Model Inputs &amp; Assumptions'!$P$30)*EXP('Model Inputs &amp; Assumptions'!$Q$30*S1404-'Model Inputs &amp; Assumptions'!$Q$30^2/2))</f>
        <v>59.4296946426302</v>
      </c>
      <c r="I1404" s="49" t="n">
        <f aca="false">IF('Model Inputs &amp; Assumptions'!$H$30="Fixed",'Model Inputs &amp; Assumptions'!$I$30*'Model Inputs &amp; Assumptions'!$K$30,IF('Model Inputs &amp; Assumptions'!$H$30="CPM",'Model Inputs &amp; Assumptions'!$I$30*'Model Inputs &amp; Assumptions'!$K$30*C1404/1000,IF('Model Inputs &amp; Assumptions'!$H$30="CPC",'Model Inputs &amp; Assumptions'!$I$30*'Model Inputs &amp; Assumptions'!$K$30*G1404,0)))</f>
        <v>6900</v>
      </c>
      <c r="J1404" s="50" t="n">
        <f aca="false">H1404*INDEX('Model Inputs &amp; Assumptions'!$D$40:$D$42,MATCH('Model Inputs &amp; Assumptions'!$L$30,'Model Inputs &amp; Assumptions'!$A$40:$A$42,0))*INDEX('Model Inputs &amp; Assumptions'!$H$40:$H$42,MATCH('Model Inputs &amp; Assumptions'!$L$30,'Model Inputs &amp; Assumptions'!$A$40:$A$42,0))</f>
        <v>427893.801426937</v>
      </c>
      <c r="K1404" s="49" t="n">
        <f aca="false">H1404*INDEX('Model Inputs &amp; Assumptions'!$G$40:$G$42,MATCH('Model Inputs &amp; Assumptions'!$L$30,'Model Inputs &amp; Assumptions'!$A$40:$A$42,0))*INDEX('Model Inputs &amp; Assumptions'!$H$40:$H$42,MATCH('Model Inputs &amp; Assumptions'!$L$30,'Model Inputs &amp; Assumptions'!$A$40:$A$42,0))</f>
        <v>9435.05832146397</v>
      </c>
      <c r="L1404" s="51" t="n">
        <f aca="false">IFERROR(K1404/I1404,0)</f>
        <v>1.36739975673391</v>
      </c>
      <c r="M1404" s="49" t="n">
        <f aca="false">IFERROR(I1404/H1404,0)</f>
        <v>116.103574845739</v>
      </c>
      <c r="N1404" s="52" t="str">
        <f aca="false">'Model Inputs &amp; Assumptions'!$L$30</f>
        <v>PRD-USIQ</v>
      </c>
      <c r="P1404" s="53" t="n">
        <v>0.165444</v>
      </c>
      <c r="Q1404" s="53" t="n">
        <v>0.818793</v>
      </c>
      <c r="R1404" s="53" t="n">
        <v>0.704634</v>
      </c>
      <c r="S1404" s="53" t="n">
        <v>0.740012</v>
      </c>
    </row>
    <row r="1405" customFormat="false" ht="15" hidden="false" customHeight="false" outlineLevel="0" collapsed="false">
      <c r="A1405" s="43" t="n">
        <v>402</v>
      </c>
      <c r="B1405" s="44" t="str">
        <f aca="false">'Model Inputs &amp; Assumptions'!$B$30</f>
        <v>extraETF — Newsletter Takeover</v>
      </c>
      <c r="C1405" s="45" t="n">
        <f aca="false">ROUND(MAX(0,'Model Inputs &amp; Assumptions'!$S$30*EXP('Model Inputs &amp; Assumptions'!$T$30*P1405-'Model Inputs &amp; Assumptions'!$T$30^2/2)),0)</f>
        <v>74881</v>
      </c>
      <c r="D1405" s="46" t="n">
        <f aca="false">MIN(1,'Model Inputs &amp; Assumptions'!$U$30*EXP('Model Inputs &amp; Assumptions'!$V$30*Q1405-'Model Inputs &amp; Assumptions'!$V$30^2/2))</f>
        <v>0</v>
      </c>
      <c r="E1405" s="45" t="n">
        <f aca="false">ROUND(C1405*D1405,0)</f>
        <v>0</v>
      </c>
      <c r="F1405" s="47" t="n">
        <f aca="false">MIN(1,'Model Inputs &amp; Assumptions'!$W$30*EXP('Model Inputs &amp; Assumptions'!$X$30*R1405-'Model Inputs &amp; Assumptions'!$X$30^2/2))</f>
        <v>0.00631519283700987</v>
      </c>
      <c r="G1405" s="45" t="n">
        <f aca="false">ROUND(C1405*F1405,0)</f>
        <v>473</v>
      </c>
      <c r="H1405" s="48" t="n">
        <f aca="false">MAX(0,(C1405*'Model Inputs &amp; Assumptions'!$N$30+E1405*'Model Inputs &amp; Assumptions'!$O$30+G1405*'Model Inputs &amp; Assumptions'!$P$30)*EXP('Model Inputs &amp; Assumptions'!$Q$30*S1405-'Model Inputs &amp; Assumptions'!$Q$30^2/2))</f>
        <v>24.6806214593126</v>
      </c>
      <c r="I1405" s="49" t="n">
        <f aca="false">IF('Model Inputs &amp; Assumptions'!$H$30="Fixed",'Model Inputs &amp; Assumptions'!$I$30*'Model Inputs &amp; Assumptions'!$K$30,IF('Model Inputs &amp; Assumptions'!$H$30="CPM",'Model Inputs &amp; Assumptions'!$I$30*'Model Inputs &amp; Assumptions'!$K$30*C1405/1000,IF('Model Inputs &amp; Assumptions'!$H$30="CPC",'Model Inputs &amp; Assumptions'!$I$30*'Model Inputs &amp; Assumptions'!$K$30*G1405,0)))</f>
        <v>6900</v>
      </c>
      <c r="J1405" s="50" t="n">
        <f aca="false">H1405*INDEX('Model Inputs &amp; Assumptions'!$D$40:$D$42,MATCH('Model Inputs &amp; Assumptions'!$L$30,'Model Inputs &amp; Assumptions'!$A$40:$A$42,0))*INDEX('Model Inputs &amp; Assumptions'!$H$40:$H$42,MATCH('Model Inputs &amp; Assumptions'!$L$30,'Model Inputs &amp; Assumptions'!$A$40:$A$42,0))</f>
        <v>177700.474507051</v>
      </c>
      <c r="K1405" s="49" t="n">
        <f aca="false">H1405*INDEX('Model Inputs &amp; Assumptions'!$G$40:$G$42,MATCH('Model Inputs &amp; Assumptions'!$L$30,'Model Inputs &amp; Assumptions'!$A$40:$A$42,0))*INDEX('Model Inputs &amp; Assumptions'!$H$40:$H$42,MATCH('Model Inputs &amp; Assumptions'!$L$30,'Model Inputs &amp; Assumptions'!$A$40:$A$42,0))</f>
        <v>3918.29546288046</v>
      </c>
      <c r="L1405" s="51" t="n">
        <f aca="false">IFERROR(K1405/I1405,0)</f>
        <v>0.567868907663835</v>
      </c>
      <c r="M1405" s="49" t="n">
        <f aca="false">IFERROR(I1405/H1405,0)</f>
        <v>279.571566355209</v>
      </c>
      <c r="N1405" s="52" t="str">
        <f aca="false">'Model Inputs &amp; Assumptions'!$L$30</f>
        <v>PRD-USIQ</v>
      </c>
      <c r="P1405" s="53" t="n">
        <v>-1.285357</v>
      </c>
      <c r="Q1405" s="53" t="n">
        <v>-1.017596</v>
      </c>
      <c r="R1405" s="53" t="n">
        <v>-1.501555</v>
      </c>
      <c r="S1405" s="53" t="n">
        <v>-0.753836</v>
      </c>
    </row>
    <row r="1406" customFormat="false" ht="15" hidden="false" customHeight="false" outlineLevel="0" collapsed="false">
      <c r="A1406" s="43" t="n">
        <v>403</v>
      </c>
      <c r="B1406" s="44" t="str">
        <f aca="false">'Model Inputs &amp; Assumptions'!$B$30</f>
        <v>extraETF — Newsletter Takeover</v>
      </c>
      <c r="C1406" s="45" t="n">
        <f aca="false">ROUND(MAX(0,'Model Inputs &amp; Assumptions'!$S$30*EXP('Model Inputs &amp; Assumptions'!$T$30*P1406-'Model Inputs &amp; Assumptions'!$T$30^2/2)),0)</f>
        <v>85799</v>
      </c>
      <c r="D1406" s="46" t="n">
        <f aca="false">MIN(1,'Model Inputs &amp; Assumptions'!$U$30*EXP('Model Inputs &amp; Assumptions'!$V$30*Q1406-'Model Inputs &amp; Assumptions'!$V$30^2/2))</f>
        <v>0</v>
      </c>
      <c r="E1406" s="45" t="n">
        <f aca="false">ROUND(C1406*D1406,0)</f>
        <v>0</v>
      </c>
      <c r="F1406" s="47" t="n">
        <f aca="false">MIN(1,'Model Inputs &amp; Assumptions'!$W$30*EXP('Model Inputs &amp; Assumptions'!$X$30*R1406-'Model Inputs &amp; Assumptions'!$X$30^2/2))</f>
        <v>0.0070958456400674</v>
      </c>
      <c r="G1406" s="45" t="n">
        <f aca="false">ROUND(C1406*F1406,0)</f>
        <v>609</v>
      </c>
      <c r="H1406" s="48" t="n">
        <f aca="false">MAX(0,(C1406*'Model Inputs &amp; Assumptions'!$N$30+E1406*'Model Inputs &amp; Assumptions'!$O$30+G1406*'Model Inputs &amp; Assumptions'!$P$30)*EXP('Model Inputs &amp; Assumptions'!$Q$30*S1406-'Model Inputs &amp; Assumptions'!$Q$30^2/2))</f>
        <v>30.4444894892115</v>
      </c>
      <c r="I1406" s="49" t="n">
        <f aca="false">IF('Model Inputs &amp; Assumptions'!$H$30="Fixed",'Model Inputs &amp; Assumptions'!$I$30*'Model Inputs &amp; Assumptions'!$K$30,IF('Model Inputs &amp; Assumptions'!$H$30="CPM",'Model Inputs &amp; Assumptions'!$I$30*'Model Inputs &amp; Assumptions'!$K$30*C1406/1000,IF('Model Inputs &amp; Assumptions'!$H$30="CPC",'Model Inputs &amp; Assumptions'!$I$30*'Model Inputs &amp; Assumptions'!$K$30*G1406,0)))</f>
        <v>6900</v>
      </c>
      <c r="J1406" s="50" t="n">
        <f aca="false">H1406*INDEX('Model Inputs &amp; Assumptions'!$D$40:$D$42,MATCH('Model Inputs &amp; Assumptions'!$L$30,'Model Inputs &amp; Assumptions'!$A$40:$A$42,0))*INDEX('Model Inputs &amp; Assumptions'!$H$40:$H$42,MATCH('Model Inputs &amp; Assumptions'!$L$30,'Model Inputs &amp; Assumptions'!$A$40:$A$42,0))</f>
        <v>219200.324322323</v>
      </c>
      <c r="K1406" s="49" t="n">
        <f aca="false">H1406*INDEX('Model Inputs &amp; Assumptions'!$G$40:$G$42,MATCH('Model Inputs &amp; Assumptions'!$L$30,'Model Inputs &amp; Assumptions'!$A$40:$A$42,0))*INDEX('Model Inputs &amp; Assumptions'!$H$40:$H$42,MATCH('Model Inputs &amp; Assumptions'!$L$30,'Model Inputs &amp; Assumptions'!$A$40:$A$42,0))</f>
        <v>4833.36715130722</v>
      </c>
      <c r="L1406" s="51" t="n">
        <f aca="false">IFERROR(K1406/I1406,0)</f>
        <v>0.700487992943075</v>
      </c>
      <c r="M1406" s="49" t="n">
        <f aca="false">IFERROR(I1406/H1406,0)</f>
        <v>226.64200043312</v>
      </c>
      <c r="N1406" s="52" t="str">
        <f aca="false">'Model Inputs &amp; Assumptions'!$L$30</f>
        <v>PRD-USIQ</v>
      </c>
      <c r="P1406" s="53" t="n">
        <v>-0.151033</v>
      </c>
      <c r="Q1406" s="53" t="n">
        <v>-0.305882</v>
      </c>
      <c r="R1406" s="53" t="n">
        <v>-0.724547</v>
      </c>
      <c r="S1406" s="53" t="n">
        <v>-0.925181</v>
      </c>
    </row>
    <row r="1407" customFormat="false" ht="15" hidden="false" customHeight="false" outlineLevel="0" collapsed="false">
      <c r="A1407" s="43" t="n">
        <v>404</v>
      </c>
      <c r="B1407" s="44" t="str">
        <f aca="false">'Model Inputs &amp; Assumptions'!$B$30</f>
        <v>extraETF — Newsletter Takeover</v>
      </c>
      <c r="C1407" s="45" t="n">
        <f aca="false">ROUND(MAX(0,'Model Inputs &amp; Assumptions'!$S$30*EXP('Model Inputs &amp; Assumptions'!$T$30*P1407-'Model Inputs &amp; Assumptions'!$T$30^2/2)),0)</f>
        <v>86280</v>
      </c>
      <c r="D1407" s="46" t="n">
        <f aca="false">MIN(1,'Model Inputs &amp; Assumptions'!$U$30*EXP('Model Inputs &amp; Assumptions'!$V$30*Q1407-'Model Inputs &amp; Assumptions'!$V$30^2/2))</f>
        <v>0</v>
      </c>
      <c r="E1407" s="45" t="n">
        <f aca="false">ROUND(C1407*D1407,0)</f>
        <v>0</v>
      </c>
      <c r="F1407" s="47" t="n">
        <f aca="false">MIN(1,'Model Inputs &amp; Assumptions'!$W$30*EXP('Model Inputs &amp; Assumptions'!$X$30*R1407-'Model Inputs &amp; Assumptions'!$X$30^2/2))</f>
        <v>0.00804324687368354</v>
      </c>
      <c r="G1407" s="45" t="n">
        <f aca="false">ROUND(C1407*F1407,0)</f>
        <v>694</v>
      </c>
      <c r="H1407" s="48" t="n">
        <f aca="false">MAX(0,(C1407*'Model Inputs &amp; Assumptions'!$N$30+E1407*'Model Inputs &amp; Assumptions'!$O$30+G1407*'Model Inputs &amp; Assumptions'!$P$30)*EXP('Model Inputs &amp; Assumptions'!$Q$30*S1407-'Model Inputs &amp; Assumptions'!$Q$30^2/2))</f>
        <v>52.7748077772245</v>
      </c>
      <c r="I1407" s="49" t="n">
        <f aca="false">IF('Model Inputs &amp; Assumptions'!$H$30="Fixed",'Model Inputs &amp; Assumptions'!$I$30*'Model Inputs &amp; Assumptions'!$K$30,IF('Model Inputs &amp; Assumptions'!$H$30="CPM",'Model Inputs &amp; Assumptions'!$I$30*'Model Inputs &amp; Assumptions'!$K$30*C1407/1000,IF('Model Inputs &amp; Assumptions'!$H$30="CPC",'Model Inputs &amp; Assumptions'!$I$30*'Model Inputs &amp; Assumptions'!$K$30*G1407,0)))</f>
        <v>6900</v>
      </c>
      <c r="J1407" s="50" t="n">
        <f aca="false">H1407*INDEX('Model Inputs &amp; Assumptions'!$D$40:$D$42,MATCH('Model Inputs &amp; Assumptions'!$L$30,'Model Inputs &amp; Assumptions'!$A$40:$A$42,0))*INDEX('Model Inputs &amp; Assumptions'!$H$40:$H$42,MATCH('Model Inputs &amp; Assumptions'!$L$30,'Model Inputs &amp; Assumptions'!$A$40:$A$42,0))</f>
        <v>379978.615996016</v>
      </c>
      <c r="K1407" s="49" t="n">
        <f aca="false">H1407*INDEX('Model Inputs &amp; Assumptions'!$G$40:$G$42,MATCH('Model Inputs &amp; Assumptions'!$L$30,'Model Inputs &amp; Assumptions'!$A$40:$A$42,0))*INDEX('Model Inputs &amp; Assumptions'!$H$40:$H$42,MATCH('Model Inputs &amp; Assumptions'!$L$30,'Model Inputs &amp; Assumptions'!$A$40:$A$42,0))</f>
        <v>8378.52848271216</v>
      </c>
      <c r="L1407" s="51" t="n">
        <f aca="false">IFERROR(K1407/I1407,0)</f>
        <v>1.21427949024814</v>
      </c>
      <c r="M1407" s="49" t="n">
        <f aca="false">IFERROR(I1407/H1407,0)</f>
        <v>130.744199564432</v>
      </c>
      <c r="N1407" s="52" t="str">
        <f aca="false">'Model Inputs &amp; Assumptions'!$L$30</f>
        <v>PRD-USIQ</v>
      </c>
      <c r="P1407" s="53" t="n">
        <v>-0.104457</v>
      </c>
      <c r="Q1407" s="53" t="n">
        <v>-0.720663</v>
      </c>
      <c r="R1407" s="53" t="n">
        <v>0.110942</v>
      </c>
      <c r="S1407" s="53" t="n">
        <v>0.75272</v>
      </c>
    </row>
    <row r="1408" customFormat="false" ht="15" hidden="false" customHeight="false" outlineLevel="0" collapsed="false">
      <c r="A1408" s="43" t="n">
        <v>405</v>
      </c>
      <c r="B1408" s="44" t="str">
        <f aca="false">'Model Inputs &amp; Assumptions'!$B$30</f>
        <v>extraETF — Newsletter Takeover</v>
      </c>
      <c r="C1408" s="45" t="n">
        <f aca="false">ROUND(MAX(0,'Model Inputs &amp; Assumptions'!$S$30*EXP('Model Inputs &amp; Assumptions'!$T$30*P1408-'Model Inputs &amp; Assumptions'!$T$30^2/2)),0)</f>
        <v>112342</v>
      </c>
      <c r="D1408" s="46" t="n">
        <f aca="false">MIN(1,'Model Inputs &amp; Assumptions'!$U$30*EXP('Model Inputs &amp; Assumptions'!$V$30*Q1408-'Model Inputs &amp; Assumptions'!$V$30^2/2))</f>
        <v>0</v>
      </c>
      <c r="E1408" s="45" t="n">
        <f aca="false">ROUND(C1408*D1408,0)</f>
        <v>0</v>
      </c>
      <c r="F1408" s="47" t="n">
        <f aca="false">MIN(1,'Model Inputs &amp; Assumptions'!$W$30*EXP('Model Inputs &amp; Assumptions'!$X$30*R1408-'Model Inputs &amp; Assumptions'!$X$30^2/2))</f>
        <v>0.00957976481098489</v>
      </c>
      <c r="G1408" s="45" t="n">
        <f aca="false">ROUND(C1408*F1408,0)</f>
        <v>1076</v>
      </c>
      <c r="H1408" s="48" t="n">
        <f aca="false">MAX(0,(C1408*'Model Inputs &amp; Assumptions'!$N$30+E1408*'Model Inputs &amp; Assumptions'!$O$30+G1408*'Model Inputs &amp; Assumptions'!$P$30)*EXP('Model Inputs &amp; Assumptions'!$Q$30*S1408-'Model Inputs &amp; Assumptions'!$Q$30^2/2))</f>
        <v>74.4115730608485</v>
      </c>
      <c r="I1408" s="49" t="n">
        <f aca="false">IF('Model Inputs &amp; Assumptions'!$H$30="Fixed",'Model Inputs &amp; Assumptions'!$I$30*'Model Inputs &amp; Assumptions'!$K$30,IF('Model Inputs &amp; Assumptions'!$H$30="CPM",'Model Inputs &amp; Assumptions'!$I$30*'Model Inputs &amp; Assumptions'!$K$30*C1408/1000,IF('Model Inputs &amp; Assumptions'!$H$30="CPC",'Model Inputs &amp; Assumptions'!$I$30*'Model Inputs &amp; Assumptions'!$K$30*G1408,0)))</f>
        <v>6900</v>
      </c>
      <c r="J1408" s="50" t="n">
        <f aca="false">H1408*INDEX('Model Inputs &amp; Assumptions'!$D$40:$D$42,MATCH('Model Inputs &amp; Assumptions'!$L$30,'Model Inputs &amp; Assumptions'!$A$40:$A$42,0))*INDEX('Model Inputs &amp; Assumptions'!$H$40:$H$42,MATCH('Model Inputs &amp; Assumptions'!$L$30,'Model Inputs &amp; Assumptions'!$A$40:$A$42,0))</f>
        <v>535763.326038109</v>
      </c>
      <c r="K1408" s="49" t="n">
        <f aca="false">H1408*INDEX('Model Inputs &amp; Assumptions'!$G$40:$G$42,MATCH('Model Inputs &amp; Assumptions'!$L$30,'Model Inputs &amp; Assumptions'!$A$40:$A$42,0))*INDEX('Model Inputs &amp; Assumptions'!$H$40:$H$42,MATCH('Model Inputs &amp; Assumptions'!$L$30,'Model Inputs &amp; Assumptions'!$A$40:$A$42,0))</f>
        <v>11813.5813391403</v>
      </c>
      <c r="L1408" s="51" t="n">
        <f aca="false">IFERROR(K1408/I1408,0)</f>
        <v>1.71211323755657</v>
      </c>
      <c r="M1408" s="49" t="n">
        <f aca="false">IFERROR(I1408/H1408,0)</f>
        <v>92.7275115439056</v>
      </c>
      <c r="N1408" s="52" t="str">
        <f aca="false">'Model Inputs &amp; Assumptions'!$L$30</f>
        <v>PRD-USIQ</v>
      </c>
      <c r="P1408" s="53" t="n">
        <v>2.095089</v>
      </c>
      <c r="Q1408" s="53" t="n">
        <v>1.659133</v>
      </c>
      <c r="R1408" s="53" t="n">
        <v>1.27641</v>
      </c>
      <c r="S1408" s="53" t="n">
        <v>0.372895</v>
      </c>
    </row>
    <row r="1409" customFormat="false" ht="15" hidden="false" customHeight="false" outlineLevel="0" collapsed="false">
      <c r="A1409" s="43" t="n">
        <v>406</v>
      </c>
      <c r="B1409" s="44" t="str">
        <f aca="false">'Model Inputs &amp; Assumptions'!$B$30</f>
        <v>extraETF — Newsletter Takeover</v>
      </c>
      <c r="C1409" s="45" t="n">
        <f aca="false">ROUND(MAX(0,'Model Inputs &amp; Assumptions'!$S$30*EXP('Model Inputs &amp; Assumptions'!$T$30*P1409-'Model Inputs &amp; Assumptions'!$T$30^2/2)),0)</f>
        <v>82516</v>
      </c>
      <c r="D1409" s="46" t="n">
        <f aca="false">MIN(1,'Model Inputs &amp; Assumptions'!$U$30*EXP('Model Inputs &amp; Assumptions'!$V$30*Q1409-'Model Inputs &amp; Assumptions'!$V$30^2/2))</f>
        <v>0</v>
      </c>
      <c r="E1409" s="45" t="n">
        <f aca="false">ROUND(C1409*D1409,0)</f>
        <v>0</v>
      </c>
      <c r="F1409" s="47" t="n">
        <f aca="false">MIN(1,'Model Inputs &amp; Assumptions'!$W$30*EXP('Model Inputs &amp; Assumptions'!$X$30*R1409-'Model Inputs &amp; Assumptions'!$X$30^2/2))</f>
        <v>0.00731672769397034</v>
      </c>
      <c r="G1409" s="45" t="n">
        <f aca="false">ROUND(C1409*F1409,0)</f>
        <v>604</v>
      </c>
      <c r="H1409" s="48" t="n">
        <f aca="false">MAX(0,(C1409*'Model Inputs &amp; Assumptions'!$N$30+E1409*'Model Inputs &amp; Assumptions'!$O$30+G1409*'Model Inputs &amp; Assumptions'!$P$30)*EXP('Model Inputs &amp; Assumptions'!$Q$30*S1409-'Model Inputs &amp; Assumptions'!$Q$30^2/2))</f>
        <v>31.6007526658357</v>
      </c>
      <c r="I1409" s="49" t="n">
        <f aca="false">IF('Model Inputs &amp; Assumptions'!$H$30="Fixed",'Model Inputs &amp; Assumptions'!$I$30*'Model Inputs &amp; Assumptions'!$K$30,IF('Model Inputs &amp; Assumptions'!$H$30="CPM",'Model Inputs &amp; Assumptions'!$I$30*'Model Inputs &amp; Assumptions'!$K$30*C1409/1000,IF('Model Inputs &amp; Assumptions'!$H$30="CPC",'Model Inputs &amp; Assumptions'!$I$30*'Model Inputs &amp; Assumptions'!$K$30*G1409,0)))</f>
        <v>6900</v>
      </c>
      <c r="J1409" s="50" t="n">
        <f aca="false">H1409*INDEX('Model Inputs &amp; Assumptions'!$D$40:$D$42,MATCH('Model Inputs &amp; Assumptions'!$L$30,'Model Inputs &amp; Assumptions'!$A$40:$A$42,0))*INDEX('Model Inputs &amp; Assumptions'!$H$40:$H$42,MATCH('Model Inputs &amp; Assumptions'!$L$30,'Model Inputs &amp; Assumptions'!$A$40:$A$42,0))</f>
        <v>227525.419194017</v>
      </c>
      <c r="K1409" s="49" t="n">
        <f aca="false">H1409*INDEX('Model Inputs &amp; Assumptions'!$G$40:$G$42,MATCH('Model Inputs &amp; Assumptions'!$L$30,'Model Inputs &amp; Assumptions'!$A$40:$A$42,0))*INDEX('Model Inputs &amp; Assumptions'!$H$40:$H$42,MATCH('Model Inputs &amp; Assumptions'!$L$30,'Model Inputs &amp; Assumptions'!$A$40:$A$42,0))</f>
        <v>5016.93549322808</v>
      </c>
      <c r="L1409" s="51" t="n">
        <f aca="false">IFERROR(K1409/I1409,0)</f>
        <v>0.727092100467838</v>
      </c>
      <c r="M1409" s="49" t="n">
        <f aca="false">IFERROR(I1409/H1409,0)</f>
        <v>218.349229620083</v>
      </c>
      <c r="N1409" s="52" t="str">
        <f aca="false">'Model Inputs &amp; Assumptions'!$L$30</f>
        <v>PRD-USIQ</v>
      </c>
      <c r="P1409" s="53" t="n">
        <v>-0.476174</v>
      </c>
      <c r="Q1409" s="53" t="n">
        <v>-0.693049</v>
      </c>
      <c r="R1409" s="53" t="n">
        <v>-0.520189</v>
      </c>
      <c r="S1409" s="53" t="n">
        <v>-0.743101</v>
      </c>
    </row>
    <row r="1410" customFormat="false" ht="15" hidden="false" customHeight="false" outlineLevel="0" collapsed="false">
      <c r="A1410" s="43" t="n">
        <v>407</v>
      </c>
      <c r="B1410" s="44" t="str">
        <f aca="false">'Model Inputs &amp; Assumptions'!$B$30</f>
        <v>extraETF — Newsletter Takeover</v>
      </c>
      <c r="C1410" s="45" t="n">
        <f aca="false">ROUND(MAX(0,'Model Inputs &amp; Assumptions'!$S$30*EXP('Model Inputs &amp; Assumptions'!$T$30*P1410-'Model Inputs &amp; Assumptions'!$T$30^2/2)),0)</f>
        <v>81152</v>
      </c>
      <c r="D1410" s="46" t="n">
        <f aca="false">MIN(1,'Model Inputs &amp; Assumptions'!$U$30*EXP('Model Inputs &amp; Assumptions'!$V$30*Q1410-'Model Inputs &amp; Assumptions'!$V$30^2/2))</f>
        <v>0</v>
      </c>
      <c r="E1410" s="45" t="n">
        <f aca="false">ROUND(C1410*D1410,0)</f>
        <v>0</v>
      </c>
      <c r="F1410" s="47" t="n">
        <f aca="false">MIN(1,'Model Inputs &amp; Assumptions'!$W$30*EXP('Model Inputs &amp; Assumptions'!$X$30*R1410-'Model Inputs &amp; Assumptions'!$X$30^2/2))</f>
        <v>0.00894123382743373</v>
      </c>
      <c r="G1410" s="45" t="n">
        <f aca="false">ROUND(C1410*F1410,0)</f>
        <v>726</v>
      </c>
      <c r="H1410" s="48" t="n">
        <f aca="false">MAX(0,(C1410*'Model Inputs &amp; Assumptions'!$N$30+E1410*'Model Inputs &amp; Assumptions'!$O$30+G1410*'Model Inputs &amp; Assumptions'!$P$30)*EXP('Model Inputs &amp; Assumptions'!$Q$30*S1410-'Model Inputs &amp; Assumptions'!$Q$30^2/2))</f>
        <v>33.7717112145339</v>
      </c>
      <c r="I1410" s="49" t="n">
        <f aca="false">IF('Model Inputs &amp; Assumptions'!$H$30="Fixed",'Model Inputs &amp; Assumptions'!$I$30*'Model Inputs &amp; Assumptions'!$K$30,IF('Model Inputs &amp; Assumptions'!$H$30="CPM",'Model Inputs &amp; Assumptions'!$I$30*'Model Inputs &amp; Assumptions'!$K$30*C1410/1000,IF('Model Inputs &amp; Assumptions'!$H$30="CPC",'Model Inputs &amp; Assumptions'!$I$30*'Model Inputs &amp; Assumptions'!$K$30*G1410,0)))</f>
        <v>6900</v>
      </c>
      <c r="J1410" s="50" t="n">
        <f aca="false">H1410*INDEX('Model Inputs &amp; Assumptions'!$D$40:$D$42,MATCH('Model Inputs &amp; Assumptions'!$L$30,'Model Inputs &amp; Assumptions'!$A$40:$A$42,0))*INDEX('Model Inputs &amp; Assumptions'!$H$40:$H$42,MATCH('Model Inputs &amp; Assumptions'!$L$30,'Model Inputs &amp; Assumptions'!$A$40:$A$42,0))</f>
        <v>243156.320744644</v>
      </c>
      <c r="K1410" s="49" t="n">
        <f aca="false">H1410*INDEX('Model Inputs &amp; Assumptions'!$G$40:$G$42,MATCH('Model Inputs &amp; Assumptions'!$L$30,'Model Inputs &amp; Assumptions'!$A$40:$A$42,0))*INDEX('Model Inputs &amp; Assumptions'!$H$40:$H$42,MATCH('Model Inputs &amp; Assumptions'!$L$30,'Model Inputs &amp; Assumptions'!$A$40:$A$42,0))</f>
        <v>5361.5968724194</v>
      </c>
      <c r="L1410" s="51" t="n">
        <f aca="false">IFERROR(K1410/I1410,0)</f>
        <v>0.777043024988319</v>
      </c>
      <c r="M1410" s="49" t="n">
        <f aca="false">IFERROR(I1410/H1410,0)</f>
        <v>204.313010855978</v>
      </c>
      <c r="N1410" s="52" t="str">
        <f aca="false">'Model Inputs &amp; Assumptions'!$L$30</f>
        <v>PRD-USIQ</v>
      </c>
      <c r="P1410" s="53" t="n">
        <v>-0.615158</v>
      </c>
      <c r="Q1410" s="53" t="n">
        <v>0.100325</v>
      </c>
      <c r="R1410" s="53" t="n">
        <v>0.816547</v>
      </c>
      <c r="S1410" s="53" t="n">
        <v>-1.213234</v>
      </c>
    </row>
    <row r="1411" customFormat="false" ht="15" hidden="false" customHeight="false" outlineLevel="0" collapsed="false">
      <c r="A1411" s="43" t="n">
        <v>408</v>
      </c>
      <c r="B1411" s="44" t="str">
        <f aca="false">'Model Inputs &amp; Assumptions'!$B$30</f>
        <v>extraETF — Newsletter Takeover</v>
      </c>
      <c r="C1411" s="45" t="n">
        <f aca="false">ROUND(MAX(0,'Model Inputs &amp; Assumptions'!$S$30*EXP('Model Inputs &amp; Assumptions'!$T$30*P1411-'Model Inputs &amp; Assumptions'!$T$30^2/2)),0)</f>
        <v>97751</v>
      </c>
      <c r="D1411" s="46" t="n">
        <f aca="false">MIN(1,'Model Inputs &amp; Assumptions'!$U$30*EXP('Model Inputs &amp; Assumptions'!$V$30*Q1411-'Model Inputs &amp; Assumptions'!$V$30^2/2))</f>
        <v>0</v>
      </c>
      <c r="E1411" s="45" t="n">
        <f aca="false">ROUND(C1411*D1411,0)</f>
        <v>0</v>
      </c>
      <c r="F1411" s="47" t="n">
        <f aca="false">MIN(1,'Model Inputs &amp; Assumptions'!$W$30*EXP('Model Inputs &amp; Assumptions'!$X$30*R1411-'Model Inputs &amp; Assumptions'!$X$30^2/2))</f>
        <v>0.00751848828392756</v>
      </c>
      <c r="G1411" s="45" t="n">
        <f aca="false">ROUND(C1411*F1411,0)</f>
        <v>735</v>
      </c>
      <c r="H1411" s="48" t="n">
        <f aca="false">MAX(0,(C1411*'Model Inputs &amp; Assumptions'!$N$30+E1411*'Model Inputs &amp; Assumptions'!$O$30+G1411*'Model Inputs &amp; Assumptions'!$P$30)*EXP('Model Inputs &amp; Assumptions'!$Q$30*S1411-'Model Inputs &amp; Assumptions'!$Q$30^2/2))</f>
        <v>42.3601363737126</v>
      </c>
      <c r="I1411" s="49" t="n">
        <f aca="false">IF('Model Inputs &amp; Assumptions'!$H$30="Fixed",'Model Inputs &amp; Assumptions'!$I$30*'Model Inputs &amp; Assumptions'!$K$30,IF('Model Inputs &amp; Assumptions'!$H$30="CPM",'Model Inputs &amp; Assumptions'!$I$30*'Model Inputs &amp; Assumptions'!$K$30*C1411/1000,IF('Model Inputs &amp; Assumptions'!$H$30="CPC",'Model Inputs &amp; Assumptions'!$I$30*'Model Inputs &amp; Assumptions'!$K$30*G1411,0)))</f>
        <v>6900</v>
      </c>
      <c r="J1411" s="50" t="n">
        <f aca="false">H1411*INDEX('Model Inputs &amp; Assumptions'!$D$40:$D$42,MATCH('Model Inputs &amp; Assumptions'!$L$30,'Model Inputs &amp; Assumptions'!$A$40:$A$42,0))*INDEX('Model Inputs &amp; Assumptions'!$H$40:$H$42,MATCH('Model Inputs &amp; Assumptions'!$L$30,'Model Inputs &amp; Assumptions'!$A$40:$A$42,0))</f>
        <v>304992.98189073</v>
      </c>
      <c r="K1411" s="49" t="n">
        <f aca="false">H1411*INDEX('Model Inputs &amp; Assumptions'!$G$40:$G$42,MATCH('Model Inputs &amp; Assumptions'!$L$30,'Model Inputs &amp; Assumptions'!$A$40:$A$42,0))*INDEX('Model Inputs &amp; Assumptions'!$H$40:$H$42,MATCH('Model Inputs &amp; Assumptions'!$L$30,'Model Inputs &amp; Assumptions'!$A$40:$A$42,0))</f>
        <v>6725.0952506906</v>
      </c>
      <c r="L1411" s="51" t="n">
        <f aca="false">IFERROR(K1411/I1411,0)</f>
        <v>0.974651485607334</v>
      </c>
      <c r="M1411" s="49" t="n">
        <f aca="false">IFERROR(I1411/H1411,0)</f>
        <v>162.888994009045</v>
      </c>
      <c r="N1411" s="52" t="str">
        <f aca="false">'Model Inputs &amp; Assumptions'!$L$30</f>
        <v>PRD-USIQ</v>
      </c>
      <c r="P1411" s="53" t="n">
        <v>0.935752</v>
      </c>
      <c r="Q1411" s="53" t="n">
        <v>-1.786911</v>
      </c>
      <c r="R1411" s="53" t="n">
        <v>-0.338843</v>
      </c>
      <c r="S1411" s="53" t="n">
        <v>-0.356179</v>
      </c>
    </row>
    <row r="1412" customFormat="false" ht="15" hidden="false" customHeight="false" outlineLevel="0" collapsed="false">
      <c r="A1412" s="43" t="n">
        <v>409</v>
      </c>
      <c r="B1412" s="44" t="str">
        <f aca="false">'Model Inputs &amp; Assumptions'!$B$30</f>
        <v>extraETF — Newsletter Takeover</v>
      </c>
      <c r="C1412" s="45" t="n">
        <f aca="false">ROUND(MAX(0,'Model Inputs &amp; Assumptions'!$S$30*EXP('Model Inputs &amp; Assumptions'!$T$30*P1412-'Model Inputs &amp; Assumptions'!$T$30^2/2)),0)</f>
        <v>81159</v>
      </c>
      <c r="D1412" s="46" t="n">
        <f aca="false">MIN(1,'Model Inputs &amp; Assumptions'!$U$30*EXP('Model Inputs &amp; Assumptions'!$V$30*Q1412-'Model Inputs &amp; Assumptions'!$V$30^2/2))</f>
        <v>0</v>
      </c>
      <c r="E1412" s="45" t="n">
        <f aca="false">ROUND(C1412*D1412,0)</f>
        <v>0</v>
      </c>
      <c r="F1412" s="47" t="n">
        <f aca="false">MIN(1,'Model Inputs &amp; Assumptions'!$W$30*EXP('Model Inputs &amp; Assumptions'!$X$30*R1412-'Model Inputs &amp; Assumptions'!$X$30^2/2))</f>
        <v>0.010300821421128</v>
      </c>
      <c r="G1412" s="45" t="n">
        <f aca="false">ROUND(C1412*F1412,0)</f>
        <v>836</v>
      </c>
      <c r="H1412" s="48" t="n">
        <f aca="false">MAX(0,(C1412*'Model Inputs &amp; Assumptions'!$N$30+E1412*'Model Inputs &amp; Assumptions'!$O$30+G1412*'Model Inputs &amp; Assumptions'!$P$30)*EXP('Model Inputs &amp; Assumptions'!$Q$30*S1412-'Model Inputs &amp; Assumptions'!$Q$30^2/2))</f>
        <v>58.2109134800819</v>
      </c>
      <c r="I1412" s="49" t="n">
        <f aca="false">IF('Model Inputs &amp; Assumptions'!$H$30="Fixed",'Model Inputs &amp; Assumptions'!$I$30*'Model Inputs &amp; Assumptions'!$K$30,IF('Model Inputs &amp; Assumptions'!$H$30="CPM",'Model Inputs &amp; Assumptions'!$I$30*'Model Inputs &amp; Assumptions'!$K$30*C1412/1000,IF('Model Inputs &amp; Assumptions'!$H$30="CPC",'Model Inputs &amp; Assumptions'!$I$30*'Model Inputs &amp; Assumptions'!$K$30*G1412,0)))</f>
        <v>6900</v>
      </c>
      <c r="J1412" s="50" t="n">
        <f aca="false">H1412*INDEX('Model Inputs &amp; Assumptions'!$D$40:$D$42,MATCH('Model Inputs &amp; Assumptions'!$L$30,'Model Inputs &amp; Assumptions'!$A$40:$A$42,0))*INDEX('Model Inputs &amp; Assumptions'!$H$40:$H$42,MATCH('Model Inputs &amp; Assumptions'!$L$30,'Model Inputs &amp; Assumptions'!$A$40:$A$42,0))</f>
        <v>419118.57705659</v>
      </c>
      <c r="K1412" s="49" t="n">
        <f aca="false">H1412*INDEX('Model Inputs &amp; Assumptions'!$G$40:$G$42,MATCH('Model Inputs &amp; Assumptions'!$L$30,'Model Inputs &amp; Assumptions'!$A$40:$A$42,0))*INDEX('Model Inputs &amp; Assumptions'!$H$40:$H$42,MATCH('Model Inputs &amp; Assumptions'!$L$30,'Model Inputs &amp; Assumptions'!$A$40:$A$42,0))</f>
        <v>9241.5646240978</v>
      </c>
      <c r="L1412" s="51" t="n">
        <f aca="false">IFERROR(K1412/I1412,0)</f>
        <v>1.33935719189823</v>
      </c>
      <c r="M1412" s="49" t="n">
        <f aca="false">IFERROR(I1412/H1412,0)</f>
        <v>118.534473820978</v>
      </c>
      <c r="N1412" s="52" t="str">
        <f aca="false">'Model Inputs &amp; Assumptions'!$L$30</f>
        <v>PRD-USIQ</v>
      </c>
      <c r="P1412" s="53" t="n">
        <v>-0.614399</v>
      </c>
      <c r="Q1412" s="53" t="n">
        <v>-1.155136</v>
      </c>
      <c r="R1412" s="53" t="n">
        <v>1.760214</v>
      </c>
      <c r="S1412" s="53" t="n">
        <v>0.400249</v>
      </c>
    </row>
    <row r="1413" customFormat="false" ht="15" hidden="false" customHeight="false" outlineLevel="0" collapsed="false">
      <c r="A1413" s="43" t="n">
        <v>410</v>
      </c>
      <c r="B1413" s="44" t="str">
        <f aca="false">'Model Inputs &amp; Assumptions'!$B$30</f>
        <v>extraETF — Newsletter Takeover</v>
      </c>
      <c r="C1413" s="45" t="n">
        <f aca="false">ROUND(MAX(0,'Model Inputs &amp; Assumptions'!$S$30*EXP('Model Inputs &amp; Assumptions'!$T$30*P1413-'Model Inputs &amp; Assumptions'!$T$30^2/2)),0)</f>
        <v>86973</v>
      </c>
      <c r="D1413" s="46" t="n">
        <f aca="false">MIN(1,'Model Inputs &amp; Assumptions'!$U$30*EXP('Model Inputs &amp; Assumptions'!$V$30*Q1413-'Model Inputs &amp; Assumptions'!$V$30^2/2))</f>
        <v>0</v>
      </c>
      <c r="E1413" s="45" t="n">
        <f aca="false">ROUND(C1413*D1413,0)</f>
        <v>0</v>
      </c>
      <c r="F1413" s="47" t="n">
        <f aca="false">MIN(1,'Model Inputs &amp; Assumptions'!$W$30*EXP('Model Inputs &amp; Assumptions'!$X$30*R1413-'Model Inputs &amp; Assumptions'!$X$30^2/2))</f>
        <v>0.00880823378732391</v>
      </c>
      <c r="G1413" s="45" t="n">
        <f aca="false">ROUND(C1413*F1413,0)</f>
        <v>766</v>
      </c>
      <c r="H1413" s="48" t="n">
        <f aca="false">MAX(0,(C1413*'Model Inputs &amp; Assumptions'!$N$30+E1413*'Model Inputs &amp; Assumptions'!$O$30+G1413*'Model Inputs &amp; Assumptions'!$P$30)*EXP('Model Inputs &amp; Assumptions'!$Q$30*S1413-'Model Inputs &amp; Assumptions'!$Q$30^2/2))</f>
        <v>42.6283131590298</v>
      </c>
      <c r="I1413" s="49" t="n">
        <f aca="false">IF('Model Inputs &amp; Assumptions'!$H$30="Fixed",'Model Inputs &amp; Assumptions'!$I$30*'Model Inputs &amp; Assumptions'!$K$30,IF('Model Inputs &amp; Assumptions'!$H$30="CPM",'Model Inputs &amp; Assumptions'!$I$30*'Model Inputs &amp; Assumptions'!$K$30*C1413/1000,IF('Model Inputs &amp; Assumptions'!$H$30="CPC",'Model Inputs &amp; Assumptions'!$I$30*'Model Inputs &amp; Assumptions'!$K$30*G1413,0)))</f>
        <v>6900</v>
      </c>
      <c r="J1413" s="50" t="n">
        <f aca="false">H1413*INDEX('Model Inputs &amp; Assumptions'!$D$40:$D$42,MATCH('Model Inputs &amp; Assumptions'!$L$30,'Model Inputs &amp; Assumptions'!$A$40:$A$42,0))*INDEX('Model Inputs &amp; Assumptions'!$H$40:$H$42,MATCH('Model Inputs &amp; Assumptions'!$L$30,'Model Inputs &amp; Assumptions'!$A$40:$A$42,0))</f>
        <v>306923.854745015</v>
      </c>
      <c r="K1413" s="49" t="n">
        <f aca="false">H1413*INDEX('Model Inputs &amp; Assumptions'!$G$40:$G$42,MATCH('Model Inputs &amp; Assumptions'!$L$30,'Model Inputs &amp; Assumptions'!$A$40:$A$42,0))*INDEX('Model Inputs &amp; Assumptions'!$H$40:$H$42,MATCH('Model Inputs &amp; Assumptions'!$L$30,'Model Inputs &amp; Assumptions'!$A$40:$A$42,0))</f>
        <v>6767.67099712757</v>
      </c>
      <c r="L1413" s="51" t="n">
        <f aca="false">IFERROR(K1413/I1413,0)</f>
        <v>0.980821883641677</v>
      </c>
      <c r="M1413" s="49" t="n">
        <f aca="false">IFERROR(I1413/H1413,0)</f>
        <v>161.864251448533</v>
      </c>
      <c r="N1413" s="52" t="str">
        <f aca="false">'Model Inputs &amp; Assumptions'!$L$30</f>
        <v>PRD-USIQ</v>
      </c>
      <c r="P1413" s="53" t="n">
        <v>-0.037817</v>
      </c>
      <c r="Q1413" s="53" t="n">
        <v>0.200867</v>
      </c>
      <c r="R1413" s="53" t="n">
        <v>0.716636</v>
      </c>
      <c r="S1413" s="53" t="n">
        <v>-0.496182</v>
      </c>
    </row>
    <row r="1414" customFormat="false" ht="15" hidden="false" customHeight="false" outlineLevel="0" collapsed="false">
      <c r="A1414" s="43" t="n">
        <v>411</v>
      </c>
      <c r="B1414" s="44" t="str">
        <f aca="false">'Model Inputs &amp; Assumptions'!$B$30</f>
        <v>extraETF — Newsletter Takeover</v>
      </c>
      <c r="C1414" s="45" t="n">
        <f aca="false">ROUND(MAX(0,'Model Inputs &amp; Assumptions'!$S$30*EXP('Model Inputs &amp; Assumptions'!$T$30*P1414-'Model Inputs &amp; Assumptions'!$T$30^2/2)),0)</f>
        <v>96788</v>
      </c>
      <c r="D1414" s="46" t="n">
        <f aca="false">MIN(1,'Model Inputs &amp; Assumptions'!$U$30*EXP('Model Inputs &amp; Assumptions'!$V$30*Q1414-'Model Inputs &amp; Assumptions'!$V$30^2/2))</f>
        <v>0</v>
      </c>
      <c r="E1414" s="45" t="n">
        <f aca="false">ROUND(C1414*D1414,0)</f>
        <v>0</v>
      </c>
      <c r="F1414" s="47" t="n">
        <f aca="false">MIN(1,'Model Inputs &amp; Assumptions'!$W$30*EXP('Model Inputs &amp; Assumptions'!$X$30*R1414-'Model Inputs &amp; Assumptions'!$X$30^2/2))</f>
        <v>0.0090812576586153</v>
      </c>
      <c r="G1414" s="45" t="n">
        <f aca="false">ROUND(C1414*F1414,0)</f>
        <v>879</v>
      </c>
      <c r="H1414" s="48" t="n">
        <f aca="false">MAX(0,(C1414*'Model Inputs &amp; Assumptions'!$N$30+E1414*'Model Inputs &amp; Assumptions'!$O$30+G1414*'Model Inputs &amp; Assumptions'!$P$30)*EXP('Model Inputs &amp; Assumptions'!$Q$30*S1414-'Model Inputs &amp; Assumptions'!$Q$30^2/2))</f>
        <v>49.6581307592172</v>
      </c>
      <c r="I1414" s="49" t="n">
        <f aca="false">IF('Model Inputs &amp; Assumptions'!$H$30="Fixed",'Model Inputs &amp; Assumptions'!$I$30*'Model Inputs &amp; Assumptions'!$K$30,IF('Model Inputs &amp; Assumptions'!$H$30="CPM",'Model Inputs &amp; Assumptions'!$I$30*'Model Inputs &amp; Assumptions'!$K$30*C1414/1000,IF('Model Inputs &amp; Assumptions'!$H$30="CPC",'Model Inputs &amp; Assumptions'!$I$30*'Model Inputs &amp; Assumptions'!$K$30*G1414,0)))</f>
        <v>6900</v>
      </c>
      <c r="J1414" s="50" t="n">
        <f aca="false">H1414*INDEX('Model Inputs &amp; Assumptions'!$D$40:$D$42,MATCH('Model Inputs &amp; Assumptions'!$L$30,'Model Inputs &amp; Assumptions'!$A$40:$A$42,0))*INDEX('Model Inputs &amp; Assumptions'!$H$40:$H$42,MATCH('Model Inputs &amp; Assumptions'!$L$30,'Model Inputs &amp; Assumptions'!$A$40:$A$42,0))</f>
        <v>357538.541466364</v>
      </c>
      <c r="K1414" s="49" t="n">
        <f aca="false">H1414*INDEX('Model Inputs &amp; Assumptions'!$G$40:$G$42,MATCH('Model Inputs &amp; Assumptions'!$L$30,'Model Inputs &amp; Assumptions'!$A$40:$A$42,0))*INDEX('Model Inputs &amp; Assumptions'!$H$40:$H$42,MATCH('Model Inputs &amp; Assumptions'!$L$30,'Model Inputs &amp; Assumptions'!$A$40:$A$42,0))</f>
        <v>7883.72483933332</v>
      </c>
      <c r="L1414" s="51" t="n">
        <f aca="false">IFERROR(K1414/I1414,0)</f>
        <v>1.14256881729468</v>
      </c>
      <c r="M1414" s="49" t="n">
        <f aca="false">IFERROR(I1414/H1414,0)</f>
        <v>138.950054996165</v>
      </c>
      <c r="N1414" s="52" t="str">
        <f aca="false">'Model Inputs &amp; Assumptions'!$L$30</f>
        <v>PRD-USIQ</v>
      </c>
      <c r="P1414" s="53" t="n">
        <v>0.853256</v>
      </c>
      <c r="Q1414" s="53" t="n">
        <v>0.436973</v>
      </c>
      <c r="R1414" s="53" t="n">
        <v>0.920141</v>
      </c>
      <c r="S1414" s="53" t="n">
        <v>-0.436019</v>
      </c>
    </row>
    <row r="1415" customFormat="false" ht="15" hidden="false" customHeight="false" outlineLevel="0" collapsed="false">
      <c r="A1415" s="43" t="n">
        <v>412</v>
      </c>
      <c r="B1415" s="44" t="str">
        <f aca="false">'Model Inputs &amp; Assumptions'!$B$30</f>
        <v>extraETF — Newsletter Takeover</v>
      </c>
      <c r="C1415" s="45" t="n">
        <f aca="false">ROUND(MAX(0,'Model Inputs &amp; Assumptions'!$S$30*EXP('Model Inputs &amp; Assumptions'!$T$30*P1415-'Model Inputs &amp; Assumptions'!$T$30^2/2)),0)</f>
        <v>77210</v>
      </c>
      <c r="D1415" s="46" t="n">
        <f aca="false">MIN(1,'Model Inputs &amp; Assumptions'!$U$30*EXP('Model Inputs &amp; Assumptions'!$V$30*Q1415-'Model Inputs &amp; Assumptions'!$V$30^2/2))</f>
        <v>0</v>
      </c>
      <c r="E1415" s="45" t="n">
        <f aca="false">ROUND(C1415*D1415,0)</f>
        <v>0</v>
      </c>
      <c r="F1415" s="47" t="n">
        <f aca="false">MIN(1,'Model Inputs &amp; Assumptions'!$W$30*EXP('Model Inputs &amp; Assumptions'!$X$30*R1415-'Model Inputs &amp; Assumptions'!$X$30^2/2))</f>
        <v>0.00845401047903739</v>
      </c>
      <c r="G1415" s="45" t="n">
        <f aca="false">ROUND(C1415*F1415,0)</f>
        <v>653</v>
      </c>
      <c r="H1415" s="48" t="n">
        <f aca="false">MAX(0,(C1415*'Model Inputs &amp; Assumptions'!$N$30+E1415*'Model Inputs &amp; Assumptions'!$O$30+G1415*'Model Inputs &amp; Assumptions'!$P$30)*EXP('Model Inputs &amp; Assumptions'!$Q$30*S1415-'Model Inputs &amp; Assumptions'!$Q$30^2/2))</f>
        <v>47.9113831478838</v>
      </c>
      <c r="I1415" s="49" t="n">
        <f aca="false">IF('Model Inputs &amp; Assumptions'!$H$30="Fixed",'Model Inputs &amp; Assumptions'!$I$30*'Model Inputs &amp; Assumptions'!$K$30,IF('Model Inputs &amp; Assumptions'!$H$30="CPM",'Model Inputs &amp; Assumptions'!$I$30*'Model Inputs &amp; Assumptions'!$K$30*C1415/1000,IF('Model Inputs &amp; Assumptions'!$H$30="CPC",'Model Inputs &amp; Assumptions'!$I$30*'Model Inputs &amp; Assumptions'!$K$30*G1415,0)))</f>
        <v>6900</v>
      </c>
      <c r="J1415" s="50" t="n">
        <f aca="false">H1415*INDEX('Model Inputs &amp; Assumptions'!$D$40:$D$42,MATCH('Model Inputs &amp; Assumptions'!$L$30,'Model Inputs &amp; Assumptions'!$A$40:$A$42,0))*INDEX('Model Inputs &amp; Assumptions'!$H$40:$H$42,MATCH('Model Inputs &amp; Assumptions'!$L$30,'Model Inputs &amp; Assumptions'!$A$40:$A$42,0))</f>
        <v>344961.958664764</v>
      </c>
      <c r="K1415" s="49" t="n">
        <f aca="false">H1415*INDEX('Model Inputs &amp; Assumptions'!$G$40:$G$42,MATCH('Model Inputs &amp; Assumptions'!$L$30,'Model Inputs &amp; Assumptions'!$A$40:$A$42,0))*INDEX('Model Inputs &amp; Assumptions'!$H$40:$H$42,MATCH('Model Inputs &amp; Assumptions'!$L$30,'Model Inputs &amp; Assumptions'!$A$40:$A$42,0))</f>
        <v>7606.41118855804</v>
      </c>
      <c r="L1415" s="51" t="n">
        <f aca="false">IFERROR(K1415/I1415,0)</f>
        <v>1.10237843312435</v>
      </c>
      <c r="M1415" s="49" t="n">
        <f aca="false">IFERROR(I1415/H1415,0)</f>
        <v>144.015879873524</v>
      </c>
      <c r="N1415" s="52" t="str">
        <f aca="false">'Model Inputs &amp; Assumptions'!$L$30</f>
        <v>PRD-USIQ</v>
      </c>
      <c r="P1415" s="53" t="n">
        <v>-1.030014</v>
      </c>
      <c r="Q1415" s="53" t="n">
        <v>-1.463213</v>
      </c>
      <c r="R1415" s="53" t="n">
        <v>0.442996</v>
      </c>
      <c r="S1415" s="53" t="n">
        <v>0.609576</v>
      </c>
    </row>
    <row r="1416" customFormat="false" ht="15" hidden="false" customHeight="false" outlineLevel="0" collapsed="false">
      <c r="A1416" s="43" t="n">
        <v>413</v>
      </c>
      <c r="B1416" s="44" t="str">
        <f aca="false">'Model Inputs &amp; Assumptions'!$B$30</f>
        <v>extraETF — Newsletter Takeover</v>
      </c>
      <c r="C1416" s="45" t="n">
        <f aca="false">ROUND(MAX(0,'Model Inputs &amp; Assumptions'!$S$30*EXP('Model Inputs &amp; Assumptions'!$T$30*P1416-'Model Inputs &amp; Assumptions'!$T$30^2/2)),0)</f>
        <v>86262</v>
      </c>
      <c r="D1416" s="46" t="n">
        <f aca="false">MIN(1,'Model Inputs &amp; Assumptions'!$U$30*EXP('Model Inputs &amp; Assumptions'!$V$30*Q1416-'Model Inputs &amp; Assumptions'!$V$30^2/2))</f>
        <v>0</v>
      </c>
      <c r="E1416" s="45" t="n">
        <f aca="false">ROUND(C1416*D1416,0)</f>
        <v>0</v>
      </c>
      <c r="F1416" s="47" t="n">
        <f aca="false">MIN(1,'Model Inputs &amp; Assumptions'!$W$30*EXP('Model Inputs &amp; Assumptions'!$X$30*R1416-'Model Inputs &amp; Assumptions'!$X$30^2/2))</f>
        <v>0.00787606443305525</v>
      </c>
      <c r="G1416" s="45" t="n">
        <f aca="false">ROUND(C1416*F1416,0)</f>
        <v>679</v>
      </c>
      <c r="H1416" s="48" t="n">
        <f aca="false">MAX(0,(C1416*'Model Inputs &amp; Assumptions'!$N$30+E1416*'Model Inputs &amp; Assumptions'!$O$30+G1416*'Model Inputs &amp; Assumptions'!$P$30)*EXP('Model Inputs &amp; Assumptions'!$Q$30*S1416-'Model Inputs &amp; Assumptions'!$Q$30^2/2))</f>
        <v>42.1303914940549</v>
      </c>
      <c r="I1416" s="49" t="n">
        <f aca="false">IF('Model Inputs &amp; Assumptions'!$H$30="Fixed",'Model Inputs &amp; Assumptions'!$I$30*'Model Inputs &amp; Assumptions'!$K$30,IF('Model Inputs &amp; Assumptions'!$H$30="CPM",'Model Inputs &amp; Assumptions'!$I$30*'Model Inputs &amp; Assumptions'!$K$30*C1416/1000,IF('Model Inputs &amp; Assumptions'!$H$30="CPC",'Model Inputs &amp; Assumptions'!$I$30*'Model Inputs &amp; Assumptions'!$K$30*G1416,0)))</f>
        <v>6900</v>
      </c>
      <c r="J1416" s="50" t="n">
        <f aca="false">H1416*INDEX('Model Inputs &amp; Assumptions'!$D$40:$D$42,MATCH('Model Inputs &amp; Assumptions'!$L$30,'Model Inputs &amp; Assumptions'!$A$40:$A$42,0))*INDEX('Model Inputs &amp; Assumptions'!$H$40:$H$42,MATCH('Model Inputs &amp; Assumptions'!$L$30,'Model Inputs &amp; Assumptions'!$A$40:$A$42,0))</f>
        <v>303338.818757195</v>
      </c>
      <c r="K1416" s="49" t="n">
        <f aca="false">H1416*INDEX('Model Inputs &amp; Assumptions'!$G$40:$G$42,MATCH('Model Inputs &amp; Assumptions'!$L$30,'Model Inputs &amp; Assumptions'!$A$40:$A$42,0))*INDEX('Model Inputs &amp; Assumptions'!$H$40:$H$42,MATCH('Model Inputs &amp; Assumptions'!$L$30,'Model Inputs &amp; Assumptions'!$A$40:$A$42,0))</f>
        <v>6688.62095359616</v>
      </c>
      <c r="L1416" s="51" t="n">
        <f aca="false">IFERROR(K1416/I1416,0)</f>
        <v>0.969365355593646</v>
      </c>
      <c r="M1416" s="49" t="n">
        <f aca="false">IFERROR(I1416/H1416,0)</f>
        <v>163.777258062595</v>
      </c>
      <c r="N1416" s="52" t="str">
        <f aca="false">'Model Inputs &amp; Assumptions'!$L$30</f>
        <v>PRD-USIQ</v>
      </c>
      <c r="P1416" s="53" t="n">
        <v>-0.10625</v>
      </c>
      <c r="Q1416" s="53" t="n">
        <v>0.298448</v>
      </c>
      <c r="R1416" s="53" t="n">
        <v>-0.029088</v>
      </c>
      <c r="S1416" s="53" t="n">
        <v>-0.060935</v>
      </c>
    </row>
    <row r="1417" customFormat="false" ht="15" hidden="false" customHeight="false" outlineLevel="0" collapsed="false">
      <c r="A1417" s="43" t="n">
        <v>414</v>
      </c>
      <c r="B1417" s="44" t="str">
        <f aca="false">'Model Inputs &amp; Assumptions'!$B$30</f>
        <v>extraETF — Newsletter Takeover</v>
      </c>
      <c r="C1417" s="45" t="n">
        <f aca="false">ROUND(MAX(0,'Model Inputs &amp; Assumptions'!$S$30*EXP('Model Inputs &amp; Assumptions'!$T$30*P1417-'Model Inputs &amp; Assumptions'!$T$30^2/2)),0)</f>
        <v>75807</v>
      </c>
      <c r="D1417" s="46" t="n">
        <f aca="false">MIN(1,'Model Inputs &amp; Assumptions'!$U$30*EXP('Model Inputs &amp; Assumptions'!$V$30*Q1417-'Model Inputs &amp; Assumptions'!$V$30^2/2))</f>
        <v>0</v>
      </c>
      <c r="E1417" s="45" t="n">
        <f aca="false">ROUND(C1417*D1417,0)</f>
        <v>0</v>
      </c>
      <c r="F1417" s="47" t="n">
        <f aca="false">MIN(1,'Model Inputs &amp; Assumptions'!$W$30*EXP('Model Inputs &amp; Assumptions'!$X$30*R1417-'Model Inputs &amp; Assumptions'!$X$30^2/2))</f>
        <v>0.00698845877312221</v>
      </c>
      <c r="G1417" s="45" t="n">
        <f aca="false">ROUND(C1417*F1417,0)</f>
        <v>530</v>
      </c>
      <c r="H1417" s="48" t="n">
        <f aca="false">MAX(0,(C1417*'Model Inputs &amp; Assumptions'!$N$30+E1417*'Model Inputs &amp; Assumptions'!$O$30+G1417*'Model Inputs &amp; Assumptions'!$P$30)*EXP('Model Inputs &amp; Assumptions'!$Q$30*S1417-'Model Inputs &amp; Assumptions'!$Q$30^2/2))</f>
        <v>30.390482917073</v>
      </c>
      <c r="I1417" s="49" t="n">
        <f aca="false">IF('Model Inputs &amp; Assumptions'!$H$30="Fixed",'Model Inputs &amp; Assumptions'!$I$30*'Model Inputs &amp; Assumptions'!$K$30,IF('Model Inputs &amp; Assumptions'!$H$30="CPM",'Model Inputs &amp; Assumptions'!$I$30*'Model Inputs &amp; Assumptions'!$K$30*C1417/1000,IF('Model Inputs &amp; Assumptions'!$H$30="CPC",'Model Inputs &amp; Assumptions'!$I$30*'Model Inputs &amp; Assumptions'!$K$30*G1417,0)))</f>
        <v>6900</v>
      </c>
      <c r="J1417" s="50" t="n">
        <f aca="false">H1417*INDEX('Model Inputs &amp; Assumptions'!$D$40:$D$42,MATCH('Model Inputs &amp; Assumptions'!$L$30,'Model Inputs &amp; Assumptions'!$A$40:$A$42,0))*INDEX('Model Inputs &amp; Assumptions'!$H$40:$H$42,MATCH('Model Inputs &amp; Assumptions'!$L$30,'Model Inputs &amp; Assumptions'!$A$40:$A$42,0))</f>
        <v>218811.477002925</v>
      </c>
      <c r="K1417" s="49" t="n">
        <f aca="false">H1417*INDEX('Model Inputs &amp; Assumptions'!$G$40:$G$42,MATCH('Model Inputs &amp; Assumptions'!$L$30,'Model Inputs &amp; Assumptions'!$A$40:$A$42,0))*INDEX('Model Inputs &amp; Assumptions'!$H$40:$H$42,MATCH('Model Inputs &amp; Assumptions'!$L$30,'Model Inputs &amp; Assumptions'!$A$40:$A$42,0))</f>
        <v>4824.7930679145</v>
      </c>
      <c r="L1417" s="51" t="n">
        <f aca="false">IFERROR(K1417/I1417,0)</f>
        <v>0.699245372161522</v>
      </c>
      <c r="M1417" s="49" t="n">
        <f aca="false">IFERROR(I1417/H1417,0)</f>
        <v>227.044763284221</v>
      </c>
      <c r="N1417" s="52" t="str">
        <f aca="false">'Model Inputs &amp; Assumptions'!$L$30</f>
        <v>PRD-USIQ</v>
      </c>
      <c r="P1417" s="53" t="n">
        <v>-1.182897</v>
      </c>
      <c r="Q1417" s="53" t="n">
        <v>-0.003812</v>
      </c>
      <c r="R1417" s="53" t="n">
        <v>-0.82621</v>
      </c>
      <c r="S1417" s="53" t="n">
        <v>-0.376518</v>
      </c>
    </row>
    <row r="1418" customFormat="false" ht="15" hidden="false" customHeight="false" outlineLevel="0" collapsed="false">
      <c r="A1418" s="43" t="n">
        <v>415</v>
      </c>
      <c r="B1418" s="44" t="str">
        <f aca="false">'Model Inputs &amp; Assumptions'!$B$30</f>
        <v>extraETF — Newsletter Takeover</v>
      </c>
      <c r="C1418" s="45" t="n">
        <f aca="false">ROUND(MAX(0,'Model Inputs &amp; Assumptions'!$S$30*EXP('Model Inputs &amp; Assumptions'!$T$30*P1418-'Model Inputs &amp; Assumptions'!$T$30^2/2)),0)</f>
        <v>70343</v>
      </c>
      <c r="D1418" s="46" t="n">
        <f aca="false">MIN(1,'Model Inputs &amp; Assumptions'!$U$30*EXP('Model Inputs &amp; Assumptions'!$V$30*Q1418-'Model Inputs &amp; Assumptions'!$V$30^2/2))</f>
        <v>0</v>
      </c>
      <c r="E1418" s="45" t="n">
        <f aca="false">ROUND(C1418*D1418,0)</f>
        <v>0</v>
      </c>
      <c r="F1418" s="47" t="n">
        <f aca="false">MIN(1,'Model Inputs &amp; Assumptions'!$W$30*EXP('Model Inputs &amp; Assumptions'!$X$30*R1418-'Model Inputs &amp; Assumptions'!$X$30^2/2))</f>
        <v>0.00867758046618872</v>
      </c>
      <c r="G1418" s="45" t="n">
        <f aca="false">ROUND(C1418*F1418,0)</f>
        <v>610</v>
      </c>
      <c r="H1418" s="48" t="n">
        <f aca="false">MAX(0,(C1418*'Model Inputs &amp; Assumptions'!$N$30+E1418*'Model Inputs &amp; Assumptions'!$O$30+G1418*'Model Inputs &amp; Assumptions'!$P$30)*EXP('Model Inputs &amp; Assumptions'!$Q$30*S1418-'Model Inputs &amp; Assumptions'!$Q$30^2/2))</f>
        <v>24.5476394797711</v>
      </c>
      <c r="I1418" s="49" t="n">
        <f aca="false">IF('Model Inputs &amp; Assumptions'!$H$30="Fixed",'Model Inputs &amp; Assumptions'!$I$30*'Model Inputs &amp; Assumptions'!$K$30,IF('Model Inputs &amp; Assumptions'!$H$30="CPM",'Model Inputs &amp; Assumptions'!$I$30*'Model Inputs &amp; Assumptions'!$K$30*C1418/1000,IF('Model Inputs &amp; Assumptions'!$H$30="CPC",'Model Inputs &amp; Assumptions'!$I$30*'Model Inputs &amp; Assumptions'!$K$30*G1418,0)))</f>
        <v>6900</v>
      </c>
      <c r="J1418" s="50" t="n">
        <f aca="false">H1418*INDEX('Model Inputs &amp; Assumptions'!$D$40:$D$42,MATCH('Model Inputs &amp; Assumptions'!$L$30,'Model Inputs &amp; Assumptions'!$A$40:$A$42,0))*INDEX('Model Inputs &amp; Assumptions'!$H$40:$H$42,MATCH('Model Inputs &amp; Assumptions'!$L$30,'Model Inputs &amp; Assumptions'!$A$40:$A$42,0))</f>
        <v>176743.004254352</v>
      </c>
      <c r="K1418" s="49" t="n">
        <f aca="false">H1418*INDEX('Model Inputs &amp; Assumptions'!$G$40:$G$42,MATCH('Model Inputs &amp; Assumptions'!$L$30,'Model Inputs &amp; Assumptions'!$A$40:$A$42,0))*INDEX('Model Inputs &amp; Assumptions'!$H$40:$H$42,MATCH('Model Inputs &amp; Assumptions'!$L$30,'Model Inputs &amp; Assumptions'!$A$40:$A$42,0))</f>
        <v>3897.18324380847</v>
      </c>
      <c r="L1418" s="51" t="n">
        <f aca="false">IFERROR(K1418/I1418,0)</f>
        <v>0.564809165769343</v>
      </c>
      <c r="M1418" s="49" t="n">
        <f aca="false">IFERROR(I1418/H1418,0)</f>
        <v>281.086089995987</v>
      </c>
      <c r="N1418" s="52" t="str">
        <f aca="false">'Model Inputs &amp; Assumptions'!$L$30</f>
        <v>PRD-USIQ</v>
      </c>
      <c r="P1418" s="53" t="n">
        <v>-1.806227</v>
      </c>
      <c r="Q1418" s="53" t="n">
        <v>1.231842</v>
      </c>
      <c r="R1418" s="53" t="n">
        <v>0.617008</v>
      </c>
      <c r="S1418" s="53" t="n">
        <v>-1.792901</v>
      </c>
    </row>
    <row r="1419" customFormat="false" ht="15" hidden="false" customHeight="false" outlineLevel="0" collapsed="false">
      <c r="A1419" s="43" t="n">
        <v>416</v>
      </c>
      <c r="B1419" s="44" t="str">
        <f aca="false">'Model Inputs &amp; Assumptions'!$B$30</f>
        <v>extraETF — Newsletter Takeover</v>
      </c>
      <c r="C1419" s="45" t="n">
        <f aca="false">ROUND(MAX(0,'Model Inputs &amp; Assumptions'!$S$30*EXP('Model Inputs &amp; Assumptions'!$T$30*P1419-'Model Inputs &amp; Assumptions'!$T$30^2/2)),0)</f>
        <v>75059</v>
      </c>
      <c r="D1419" s="46" t="n">
        <f aca="false">MIN(1,'Model Inputs &amp; Assumptions'!$U$30*EXP('Model Inputs &amp; Assumptions'!$V$30*Q1419-'Model Inputs &amp; Assumptions'!$V$30^2/2))</f>
        <v>0</v>
      </c>
      <c r="E1419" s="45" t="n">
        <f aca="false">ROUND(C1419*D1419,0)</f>
        <v>0</v>
      </c>
      <c r="F1419" s="47" t="n">
        <f aca="false">MIN(1,'Model Inputs &amp; Assumptions'!$W$30*EXP('Model Inputs &amp; Assumptions'!$X$30*R1419-'Model Inputs &amp; Assumptions'!$X$30^2/2))</f>
        <v>0.00780184693090665</v>
      </c>
      <c r="G1419" s="45" t="n">
        <f aca="false">ROUND(C1419*F1419,0)</f>
        <v>586</v>
      </c>
      <c r="H1419" s="48" t="n">
        <f aca="false">MAX(0,(C1419*'Model Inputs &amp; Assumptions'!$N$30+E1419*'Model Inputs &amp; Assumptions'!$O$30+G1419*'Model Inputs &amp; Assumptions'!$P$30)*EXP('Model Inputs &amp; Assumptions'!$Q$30*S1419-'Model Inputs &amp; Assumptions'!$Q$30^2/2))</f>
        <v>40.6110229297387</v>
      </c>
      <c r="I1419" s="49" t="n">
        <f aca="false">IF('Model Inputs &amp; Assumptions'!$H$30="Fixed",'Model Inputs &amp; Assumptions'!$I$30*'Model Inputs &amp; Assumptions'!$K$30,IF('Model Inputs &amp; Assumptions'!$H$30="CPM",'Model Inputs &amp; Assumptions'!$I$30*'Model Inputs &amp; Assumptions'!$K$30*C1419/1000,IF('Model Inputs &amp; Assumptions'!$H$30="CPC",'Model Inputs &amp; Assumptions'!$I$30*'Model Inputs &amp; Assumptions'!$K$30*G1419,0)))</f>
        <v>6900</v>
      </c>
      <c r="J1419" s="50" t="n">
        <f aca="false">H1419*INDEX('Model Inputs &amp; Assumptions'!$D$40:$D$42,MATCH('Model Inputs &amp; Assumptions'!$L$30,'Model Inputs &amp; Assumptions'!$A$40:$A$42,0))*INDEX('Model Inputs &amp; Assumptions'!$H$40:$H$42,MATCH('Model Inputs &amp; Assumptions'!$L$30,'Model Inputs &amp; Assumptions'!$A$40:$A$42,0))</f>
        <v>292399.365094119</v>
      </c>
      <c r="K1419" s="49" t="n">
        <f aca="false">H1419*INDEX('Model Inputs &amp; Assumptions'!$G$40:$G$42,MATCH('Model Inputs &amp; Assumptions'!$L$30,'Model Inputs &amp; Assumptions'!$A$40:$A$42,0))*INDEX('Model Inputs &amp; Assumptions'!$H$40:$H$42,MATCH('Model Inputs &amp; Assumptions'!$L$30,'Model Inputs &amp; Assumptions'!$A$40:$A$42,0))</f>
        <v>6447.40600032531</v>
      </c>
      <c r="L1419" s="51" t="n">
        <f aca="false">IFERROR(K1419/I1419,0)</f>
        <v>0.934406666713814</v>
      </c>
      <c r="M1419" s="49" t="n">
        <f aca="false">IFERROR(I1419/H1419,0)</f>
        <v>169.904609690274</v>
      </c>
      <c r="N1419" s="52" t="str">
        <f aca="false">'Model Inputs &amp; Assumptions'!$L$30</f>
        <v>PRD-USIQ</v>
      </c>
      <c r="P1419" s="53" t="n">
        <v>-1.265549</v>
      </c>
      <c r="Q1419" s="53" t="n">
        <v>0.326747</v>
      </c>
      <c r="R1419" s="53" t="n">
        <v>-0.092207</v>
      </c>
      <c r="S1419" s="53" t="n">
        <v>0.381351</v>
      </c>
    </row>
    <row r="1420" customFormat="false" ht="15" hidden="false" customHeight="false" outlineLevel="0" collapsed="false">
      <c r="A1420" s="43" t="n">
        <v>417</v>
      </c>
      <c r="B1420" s="44" t="str">
        <f aca="false">'Model Inputs &amp; Assumptions'!$B$30</f>
        <v>extraETF — Newsletter Takeover</v>
      </c>
      <c r="C1420" s="45" t="n">
        <f aca="false">ROUND(MAX(0,'Model Inputs &amp; Assumptions'!$S$30*EXP('Model Inputs &amp; Assumptions'!$T$30*P1420-'Model Inputs &amp; Assumptions'!$T$30^2/2)),0)</f>
        <v>89615</v>
      </c>
      <c r="D1420" s="46" t="n">
        <f aca="false">MIN(1,'Model Inputs &amp; Assumptions'!$U$30*EXP('Model Inputs &amp; Assumptions'!$V$30*Q1420-'Model Inputs &amp; Assumptions'!$V$30^2/2))</f>
        <v>0</v>
      </c>
      <c r="E1420" s="45" t="n">
        <f aca="false">ROUND(C1420*D1420,0)</f>
        <v>0</v>
      </c>
      <c r="F1420" s="47" t="n">
        <f aca="false">MIN(1,'Model Inputs &amp; Assumptions'!$W$30*EXP('Model Inputs &amp; Assumptions'!$X$30*R1420-'Model Inputs &amp; Assumptions'!$X$30^2/2))</f>
        <v>0.00758933628558798</v>
      </c>
      <c r="G1420" s="45" t="n">
        <f aca="false">ROUND(C1420*F1420,0)</f>
        <v>680</v>
      </c>
      <c r="H1420" s="48" t="n">
        <f aca="false">MAX(0,(C1420*'Model Inputs &amp; Assumptions'!$N$30+E1420*'Model Inputs &amp; Assumptions'!$O$30+G1420*'Model Inputs &amp; Assumptions'!$P$30)*EXP('Model Inputs &amp; Assumptions'!$Q$30*S1420-'Model Inputs &amp; Assumptions'!$Q$30^2/2))</f>
        <v>57.2159261646651</v>
      </c>
      <c r="I1420" s="49" t="n">
        <f aca="false">IF('Model Inputs &amp; Assumptions'!$H$30="Fixed",'Model Inputs &amp; Assumptions'!$I$30*'Model Inputs &amp; Assumptions'!$K$30,IF('Model Inputs &amp; Assumptions'!$H$30="CPM",'Model Inputs &amp; Assumptions'!$I$30*'Model Inputs &amp; Assumptions'!$K$30*C1420/1000,IF('Model Inputs &amp; Assumptions'!$H$30="CPC",'Model Inputs &amp; Assumptions'!$I$30*'Model Inputs &amp; Assumptions'!$K$30*G1420,0)))</f>
        <v>6900</v>
      </c>
      <c r="J1420" s="50" t="n">
        <f aca="false">H1420*INDEX('Model Inputs &amp; Assumptions'!$D$40:$D$42,MATCH('Model Inputs &amp; Assumptions'!$L$30,'Model Inputs &amp; Assumptions'!$A$40:$A$42,0))*INDEX('Model Inputs &amp; Assumptions'!$H$40:$H$42,MATCH('Model Inputs &amp; Assumptions'!$L$30,'Model Inputs &amp; Assumptions'!$A$40:$A$42,0))</f>
        <v>411954.668385589</v>
      </c>
      <c r="K1420" s="49" t="n">
        <f aca="false">H1420*INDEX('Model Inputs &amp; Assumptions'!$G$40:$G$42,MATCH('Model Inputs &amp; Assumptions'!$L$30,'Model Inputs &amp; Assumptions'!$A$40:$A$42,0))*INDEX('Model Inputs &amp; Assumptions'!$H$40:$H$42,MATCH('Model Inputs &amp; Assumptions'!$L$30,'Model Inputs &amp; Assumptions'!$A$40:$A$42,0))</f>
        <v>9083.60043790223</v>
      </c>
      <c r="L1420" s="51" t="n">
        <f aca="false">IFERROR(K1420/I1420,0)</f>
        <v>1.31646383158003</v>
      </c>
      <c r="M1420" s="49" t="n">
        <f aca="false">IFERROR(I1420/H1420,0)</f>
        <v>120.595793208732</v>
      </c>
      <c r="N1420" s="52" t="str">
        <f aca="false">'Model Inputs &amp; Assumptions'!$L$30</f>
        <v>PRD-USIQ</v>
      </c>
      <c r="P1420" s="53" t="n">
        <v>0.211561</v>
      </c>
      <c r="Q1420" s="53" t="n">
        <v>0.296975</v>
      </c>
      <c r="R1420" s="53" t="n">
        <v>-0.276316</v>
      </c>
      <c r="S1420" s="53" t="n">
        <v>1.15743</v>
      </c>
    </row>
    <row r="1421" customFormat="false" ht="15" hidden="false" customHeight="false" outlineLevel="0" collapsed="false">
      <c r="A1421" s="43" t="n">
        <v>418</v>
      </c>
      <c r="B1421" s="44" t="str">
        <f aca="false">'Model Inputs &amp; Assumptions'!$B$30</f>
        <v>extraETF — Newsletter Takeover</v>
      </c>
      <c r="C1421" s="45" t="n">
        <f aca="false">ROUND(MAX(0,'Model Inputs &amp; Assumptions'!$S$30*EXP('Model Inputs &amp; Assumptions'!$T$30*P1421-'Model Inputs &amp; Assumptions'!$T$30^2/2)),0)</f>
        <v>96357</v>
      </c>
      <c r="D1421" s="46" t="n">
        <f aca="false">MIN(1,'Model Inputs &amp; Assumptions'!$U$30*EXP('Model Inputs &amp; Assumptions'!$V$30*Q1421-'Model Inputs &amp; Assumptions'!$V$30^2/2))</f>
        <v>0</v>
      </c>
      <c r="E1421" s="45" t="n">
        <f aca="false">ROUND(C1421*D1421,0)</f>
        <v>0</v>
      </c>
      <c r="F1421" s="47" t="n">
        <f aca="false">MIN(1,'Model Inputs &amp; Assumptions'!$W$30*EXP('Model Inputs &amp; Assumptions'!$X$30*R1421-'Model Inputs &amp; Assumptions'!$X$30^2/2))</f>
        <v>0.0110739731265249</v>
      </c>
      <c r="G1421" s="45" t="n">
        <f aca="false">ROUND(C1421*F1421,0)</f>
        <v>1067</v>
      </c>
      <c r="H1421" s="48" t="n">
        <f aca="false">MAX(0,(C1421*'Model Inputs &amp; Assumptions'!$N$30+E1421*'Model Inputs &amp; Assumptions'!$O$30+G1421*'Model Inputs &amp; Assumptions'!$P$30)*EXP('Model Inputs &amp; Assumptions'!$Q$30*S1421-'Model Inputs &amp; Assumptions'!$Q$30^2/2))</f>
        <v>65.7771814830518</v>
      </c>
      <c r="I1421" s="49" t="n">
        <f aca="false">IF('Model Inputs &amp; Assumptions'!$H$30="Fixed",'Model Inputs &amp; Assumptions'!$I$30*'Model Inputs &amp; Assumptions'!$K$30,IF('Model Inputs &amp; Assumptions'!$H$30="CPM",'Model Inputs &amp; Assumptions'!$I$30*'Model Inputs &amp; Assumptions'!$K$30*C1421/1000,IF('Model Inputs &amp; Assumptions'!$H$30="CPC",'Model Inputs &amp; Assumptions'!$I$30*'Model Inputs &amp; Assumptions'!$K$30*G1421,0)))</f>
        <v>6900</v>
      </c>
      <c r="J1421" s="50" t="n">
        <f aca="false">H1421*INDEX('Model Inputs &amp; Assumptions'!$D$40:$D$42,MATCH('Model Inputs &amp; Assumptions'!$L$30,'Model Inputs &amp; Assumptions'!$A$40:$A$42,0))*INDEX('Model Inputs &amp; Assumptions'!$H$40:$H$42,MATCH('Model Inputs &amp; Assumptions'!$L$30,'Model Inputs &amp; Assumptions'!$A$40:$A$42,0))</f>
        <v>473595.706677973</v>
      </c>
      <c r="K1421" s="49" t="n">
        <f aca="false">H1421*INDEX('Model Inputs &amp; Assumptions'!$G$40:$G$42,MATCH('Model Inputs &amp; Assumptions'!$L$30,'Model Inputs &amp; Assumptions'!$A$40:$A$42,0))*INDEX('Model Inputs &amp; Assumptions'!$H$40:$H$42,MATCH('Model Inputs &amp; Assumptions'!$L$30,'Model Inputs &amp; Assumptions'!$A$40:$A$42,0))</f>
        <v>10442.7853322493</v>
      </c>
      <c r="L1421" s="51" t="n">
        <f aca="false">IFERROR(K1421/I1421,0)</f>
        <v>1.51344714960135</v>
      </c>
      <c r="M1421" s="49" t="n">
        <f aca="false">IFERROR(I1421/H1421,0)</f>
        <v>104.899599594091</v>
      </c>
      <c r="N1421" s="52" t="str">
        <f aca="false">'Model Inputs &amp; Assumptions'!$L$30</f>
        <v>PRD-USIQ</v>
      </c>
      <c r="P1421" s="53" t="n">
        <v>0.816011</v>
      </c>
      <c r="Q1421" s="53" t="n">
        <v>1.475251</v>
      </c>
      <c r="R1421" s="53" t="n">
        <v>2.242707</v>
      </c>
      <c r="S1421" s="53" t="n">
        <v>-0.086861</v>
      </c>
    </row>
    <row r="1422" customFormat="false" ht="15" hidden="false" customHeight="false" outlineLevel="0" collapsed="false">
      <c r="A1422" s="43" t="n">
        <v>419</v>
      </c>
      <c r="B1422" s="44" t="str">
        <f aca="false">'Model Inputs &amp; Assumptions'!$B$30</f>
        <v>extraETF — Newsletter Takeover</v>
      </c>
      <c r="C1422" s="45" t="n">
        <f aca="false">ROUND(MAX(0,'Model Inputs &amp; Assumptions'!$S$30*EXP('Model Inputs &amp; Assumptions'!$T$30*P1422-'Model Inputs &amp; Assumptions'!$T$30^2/2)),0)</f>
        <v>76961</v>
      </c>
      <c r="D1422" s="46" t="n">
        <f aca="false">MIN(1,'Model Inputs &amp; Assumptions'!$U$30*EXP('Model Inputs &amp; Assumptions'!$V$30*Q1422-'Model Inputs &amp; Assumptions'!$V$30^2/2))</f>
        <v>0</v>
      </c>
      <c r="E1422" s="45" t="n">
        <f aca="false">ROUND(C1422*D1422,0)</f>
        <v>0</v>
      </c>
      <c r="F1422" s="47" t="n">
        <f aca="false">MIN(1,'Model Inputs &amp; Assumptions'!$W$30*EXP('Model Inputs &amp; Assumptions'!$X$30*R1422-'Model Inputs &amp; Assumptions'!$X$30^2/2))</f>
        <v>0.00795827240441657</v>
      </c>
      <c r="G1422" s="45" t="n">
        <f aca="false">ROUND(C1422*F1422,0)</f>
        <v>612</v>
      </c>
      <c r="H1422" s="48" t="n">
        <f aca="false">MAX(0,(C1422*'Model Inputs &amp; Assumptions'!$N$30+E1422*'Model Inputs &amp; Assumptions'!$O$30+G1422*'Model Inputs &amp; Assumptions'!$P$30)*EXP('Model Inputs &amp; Assumptions'!$Q$30*S1422-'Model Inputs &amp; Assumptions'!$Q$30^2/2))</f>
        <v>52.7639938497838</v>
      </c>
      <c r="I1422" s="49" t="n">
        <f aca="false">IF('Model Inputs &amp; Assumptions'!$H$30="Fixed",'Model Inputs &amp; Assumptions'!$I$30*'Model Inputs &amp; Assumptions'!$K$30,IF('Model Inputs &amp; Assumptions'!$H$30="CPM",'Model Inputs &amp; Assumptions'!$I$30*'Model Inputs &amp; Assumptions'!$K$30*C1422/1000,IF('Model Inputs &amp; Assumptions'!$H$30="CPC",'Model Inputs &amp; Assumptions'!$I$30*'Model Inputs &amp; Assumptions'!$K$30*G1422,0)))</f>
        <v>6900</v>
      </c>
      <c r="J1422" s="50" t="n">
        <f aca="false">H1422*INDEX('Model Inputs &amp; Assumptions'!$D$40:$D$42,MATCH('Model Inputs &amp; Assumptions'!$L$30,'Model Inputs &amp; Assumptions'!$A$40:$A$42,0))*INDEX('Model Inputs &amp; Assumptions'!$H$40:$H$42,MATCH('Model Inputs &amp; Assumptions'!$L$30,'Model Inputs &amp; Assumptions'!$A$40:$A$42,0))</f>
        <v>379900.755718444</v>
      </c>
      <c r="K1422" s="49" t="n">
        <f aca="false">H1422*INDEX('Model Inputs &amp; Assumptions'!$G$40:$G$42,MATCH('Model Inputs &amp; Assumptions'!$L$30,'Model Inputs &amp; Assumptions'!$A$40:$A$42,0))*INDEX('Model Inputs &amp; Assumptions'!$H$40:$H$42,MATCH('Model Inputs &amp; Assumptions'!$L$30,'Model Inputs &amp; Assumptions'!$A$40:$A$42,0))</f>
        <v>8376.81166359168</v>
      </c>
      <c r="L1422" s="51" t="n">
        <f aca="false">IFERROR(K1422/I1422,0)</f>
        <v>1.21403067588285</v>
      </c>
      <c r="M1422" s="49" t="n">
        <f aca="false">IFERROR(I1422/H1422,0)</f>
        <v>130.770995456559</v>
      </c>
      <c r="N1422" s="52" t="str">
        <f aca="false">'Model Inputs &amp; Assumptions'!$L$30</f>
        <v>PRD-USIQ</v>
      </c>
      <c r="P1422" s="53" t="n">
        <v>-1.056989</v>
      </c>
      <c r="Q1422" s="53" t="n">
        <v>-0.341357</v>
      </c>
      <c r="R1422" s="53" t="n">
        <v>0.040136</v>
      </c>
      <c r="S1422" s="53" t="n">
        <v>1.254859</v>
      </c>
    </row>
    <row r="1423" customFormat="false" ht="15" hidden="false" customHeight="false" outlineLevel="0" collapsed="false">
      <c r="A1423" s="43" t="n">
        <v>420</v>
      </c>
      <c r="B1423" s="44" t="str">
        <f aca="false">'Model Inputs &amp; Assumptions'!$B$30</f>
        <v>extraETF — Newsletter Takeover</v>
      </c>
      <c r="C1423" s="45" t="n">
        <f aca="false">ROUND(MAX(0,'Model Inputs &amp; Assumptions'!$S$30*EXP('Model Inputs &amp; Assumptions'!$T$30*P1423-'Model Inputs &amp; Assumptions'!$T$30^2/2)),0)</f>
        <v>70899</v>
      </c>
      <c r="D1423" s="46" t="n">
        <f aca="false">MIN(1,'Model Inputs &amp; Assumptions'!$U$30*EXP('Model Inputs &amp; Assumptions'!$V$30*Q1423-'Model Inputs &amp; Assumptions'!$V$30^2/2))</f>
        <v>0</v>
      </c>
      <c r="E1423" s="45" t="n">
        <f aca="false">ROUND(C1423*D1423,0)</f>
        <v>0</v>
      </c>
      <c r="F1423" s="47" t="n">
        <f aca="false">MIN(1,'Model Inputs &amp; Assumptions'!$W$30*EXP('Model Inputs &amp; Assumptions'!$X$30*R1423-'Model Inputs &amp; Assumptions'!$X$30^2/2))</f>
        <v>0.00731232361820586</v>
      </c>
      <c r="G1423" s="45" t="n">
        <f aca="false">ROUND(C1423*F1423,0)</f>
        <v>518</v>
      </c>
      <c r="H1423" s="48" t="n">
        <f aca="false">MAX(0,(C1423*'Model Inputs &amp; Assumptions'!$N$30+E1423*'Model Inputs &amp; Assumptions'!$O$30+G1423*'Model Inputs &amp; Assumptions'!$P$30)*EXP('Model Inputs &amp; Assumptions'!$Q$30*S1423-'Model Inputs &amp; Assumptions'!$Q$30^2/2))</f>
        <v>36.6811035631842</v>
      </c>
      <c r="I1423" s="49" t="n">
        <f aca="false">IF('Model Inputs &amp; Assumptions'!$H$30="Fixed",'Model Inputs &amp; Assumptions'!$I$30*'Model Inputs &amp; Assumptions'!$K$30,IF('Model Inputs &amp; Assumptions'!$H$30="CPM",'Model Inputs &amp; Assumptions'!$I$30*'Model Inputs &amp; Assumptions'!$K$30*C1423/1000,IF('Model Inputs &amp; Assumptions'!$H$30="CPC",'Model Inputs &amp; Assumptions'!$I$30*'Model Inputs &amp; Assumptions'!$K$30*G1423,0)))</f>
        <v>6900</v>
      </c>
      <c r="J1423" s="50" t="n">
        <f aca="false">H1423*INDEX('Model Inputs &amp; Assumptions'!$D$40:$D$42,MATCH('Model Inputs &amp; Assumptions'!$L$30,'Model Inputs &amp; Assumptions'!$A$40:$A$42,0))*INDEX('Model Inputs &amp; Assumptions'!$H$40:$H$42,MATCH('Model Inputs &amp; Assumptions'!$L$30,'Model Inputs &amp; Assumptions'!$A$40:$A$42,0))</f>
        <v>264103.945654926</v>
      </c>
      <c r="K1423" s="49" t="n">
        <f aca="false">H1423*INDEX('Model Inputs &amp; Assumptions'!$G$40:$G$42,MATCH('Model Inputs &amp; Assumptions'!$L$30,'Model Inputs &amp; Assumptions'!$A$40:$A$42,0))*INDEX('Model Inputs &amp; Assumptions'!$H$40:$H$42,MATCH('Model Inputs &amp; Assumptions'!$L$30,'Model Inputs &amp; Assumptions'!$A$40:$A$42,0))</f>
        <v>5823.49200169112</v>
      </c>
      <c r="L1423" s="51" t="n">
        <f aca="false">IFERROR(K1423/I1423,0)</f>
        <v>0.843984348071177</v>
      </c>
      <c r="M1423" s="49" t="n">
        <f aca="false">IFERROR(I1423/H1423,0)</f>
        <v>188.107753849733</v>
      </c>
      <c r="N1423" s="52" t="str">
        <f aca="false">'Model Inputs &amp; Assumptions'!$L$30</f>
        <v>PRD-USIQ</v>
      </c>
      <c r="P1423" s="53" t="n">
        <v>-1.740675</v>
      </c>
      <c r="Q1423" s="53" t="n">
        <v>-1.769202</v>
      </c>
      <c r="R1423" s="53" t="n">
        <v>-0.524203</v>
      </c>
      <c r="S1423" s="53" t="n">
        <v>0.467618</v>
      </c>
    </row>
    <row r="1424" customFormat="false" ht="15" hidden="false" customHeight="false" outlineLevel="0" collapsed="false">
      <c r="A1424" s="43" t="n">
        <v>421</v>
      </c>
      <c r="B1424" s="44" t="str">
        <f aca="false">'Model Inputs &amp; Assumptions'!$B$30</f>
        <v>extraETF — Newsletter Takeover</v>
      </c>
      <c r="C1424" s="45" t="n">
        <f aca="false">ROUND(MAX(0,'Model Inputs &amp; Assumptions'!$S$30*EXP('Model Inputs &amp; Assumptions'!$T$30*P1424-'Model Inputs &amp; Assumptions'!$T$30^2/2)),0)</f>
        <v>95308</v>
      </c>
      <c r="D1424" s="46" t="n">
        <f aca="false">MIN(1,'Model Inputs &amp; Assumptions'!$U$30*EXP('Model Inputs &amp; Assumptions'!$V$30*Q1424-'Model Inputs &amp; Assumptions'!$V$30^2/2))</f>
        <v>0</v>
      </c>
      <c r="E1424" s="45" t="n">
        <f aca="false">ROUND(C1424*D1424,0)</f>
        <v>0</v>
      </c>
      <c r="F1424" s="47" t="n">
        <f aca="false">MIN(1,'Model Inputs &amp; Assumptions'!$W$30*EXP('Model Inputs &amp; Assumptions'!$X$30*R1424-'Model Inputs &amp; Assumptions'!$X$30^2/2))</f>
        <v>0.0073232629853755</v>
      </c>
      <c r="G1424" s="45" t="n">
        <f aca="false">ROUND(C1424*F1424,0)</f>
        <v>698</v>
      </c>
      <c r="H1424" s="48" t="n">
        <f aca="false">MAX(0,(C1424*'Model Inputs &amp; Assumptions'!$N$30+E1424*'Model Inputs &amp; Assumptions'!$O$30+G1424*'Model Inputs &amp; Assumptions'!$P$30)*EXP('Model Inputs &amp; Assumptions'!$Q$30*S1424-'Model Inputs &amp; Assumptions'!$Q$30^2/2))</f>
        <v>38.8728511728762</v>
      </c>
      <c r="I1424" s="49" t="n">
        <f aca="false">IF('Model Inputs &amp; Assumptions'!$H$30="Fixed",'Model Inputs &amp; Assumptions'!$I$30*'Model Inputs &amp; Assumptions'!$K$30,IF('Model Inputs &amp; Assumptions'!$H$30="CPM",'Model Inputs &amp; Assumptions'!$I$30*'Model Inputs &amp; Assumptions'!$K$30*C1424/1000,IF('Model Inputs &amp; Assumptions'!$H$30="CPC",'Model Inputs &amp; Assumptions'!$I$30*'Model Inputs &amp; Assumptions'!$K$30*G1424,0)))</f>
        <v>6900</v>
      </c>
      <c r="J1424" s="50" t="n">
        <f aca="false">H1424*INDEX('Model Inputs &amp; Assumptions'!$D$40:$D$42,MATCH('Model Inputs &amp; Assumptions'!$L$30,'Model Inputs &amp; Assumptions'!$A$40:$A$42,0))*INDEX('Model Inputs &amp; Assumptions'!$H$40:$H$42,MATCH('Model Inputs &amp; Assumptions'!$L$30,'Model Inputs &amp; Assumptions'!$A$40:$A$42,0))</f>
        <v>279884.528444708</v>
      </c>
      <c r="K1424" s="49" t="n">
        <f aca="false">H1424*INDEX('Model Inputs &amp; Assumptions'!$G$40:$G$42,MATCH('Model Inputs &amp; Assumptions'!$L$30,'Model Inputs &amp; Assumptions'!$A$40:$A$42,0))*INDEX('Model Inputs &amp; Assumptions'!$H$40:$H$42,MATCH('Model Inputs &amp; Assumptions'!$L$30,'Model Inputs &amp; Assumptions'!$A$40:$A$42,0))</f>
        <v>6171.45385220582</v>
      </c>
      <c r="L1424" s="51" t="n">
        <f aca="false">IFERROR(K1424/I1424,0)</f>
        <v>0.894413601768959</v>
      </c>
      <c r="M1424" s="49" t="n">
        <f aca="false">IFERROR(I1424/H1424,0)</f>
        <v>177.50177287779</v>
      </c>
      <c r="N1424" s="52" t="str">
        <f aca="false">'Model Inputs &amp; Assumptions'!$L$30</f>
        <v>PRD-USIQ</v>
      </c>
      <c r="P1424" s="53" t="n">
        <v>0.724775</v>
      </c>
      <c r="Q1424" s="53" t="n">
        <v>0.845766</v>
      </c>
      <c r="R1424" s="53" t="n">
        <v>-0.514237</v>
      </c>
      <c r="S1424" s="53" t="n">
        <v>-0.49322</v>
      </c>
    </row>
    <row r="1425" customFormat="false" ht="15" hidden="false" customHeight="false" outlineLevel="0" collapsed="false">
      <c r="A1425" s="43" t="n">
        <v>422</v>
      </c>
      <c r="B1425" s="44" t="str">
        <f aca="false">'Model Inputs &amp; Assumptions'!$B$30</f>
        <v>extraETF — Newsletter Takeover</v>
      </c>
      <c r="C1425" s="45" t="n">
        <f aca="false">ROUND(MAX(0,'Model Inputs &amp; Assumptions'!$S$30*EXP('Model Inputs &amp; Assumptions'!$T$30*P1425-'Model Inputs &amp; Assumptions'!$T$30^2/2)),0)</f>
        <v>58118</v>
      </c>
      <c r="D1425" s="46" t="n">
        <f aca="false">MIN(1,'Model Inputs &amp; Assumptions'!$U$30*EXP('Model Inputs &amp; Assumptions'!$V$30*Q1425-'Model Inputs &amp; Assumptions'!$V$30^2/2))</f>
        <v>0</v>
      </c>
      <c r="E1425" s="45" t="n">
        <f aca="false">ROUND(C1425*D1425,0)</f>
        <v>0</v>
      </c>
      <c r="F1425" s="47" t="n">
        <f aca="false">MIN(1,'Model Inputs &amp; Assumptions'!$W$30*EXP('Model Inputs &amp; Assumptions'!$X$30*R1425-'Model Inputs &amp; Assumptions'!$X$30^2/2))</f>
        <v>0.0070795814709084</v>
      </c>
      <c r="G1425" s="45" t="n">
        <f aca="false">ROUND(C1425*F1425,0)</f>
        <v>411</v>
      </c>
      <c r="H1425" s="48" t="n">
        <f aca="false">MAX(0,(C1425*'Model Inputs &amp; Assumptions'!$N$30+E1425*'Model Inputs &amp; Assumptions'!$O$30+G1425*'Model Inputs &amp; Assumptions'!$P$30)*EXP('Model Inputs &amp; Assumptions'!$Q$30*S1425-'Model Inputs &amp; Assumptions'!$Q$30^2/2))</f>
        <v>29.2054315922685</v>
      </c>
      <c r="I1425" s="49" t="n">
        <f aca="false">IF('Model Inputs &amp; Assumptions'!$H$30="Fixed",'Model Inputs &amp; Assumptions'!$I$30*'Model Inputs &amp; Assumptions'!$K$30,IF('Model Inputs &amp; Assumptions'!$H$30="CPM",'Model Inputs &amp; Assumptions'!$I$30*'Model Inputs &amp; Assumptions'!$K$30*C1425/1000,IF('Model Inputs &amp; Assumptions'!$H$30="CPC",'Model Inputs &amp; Assumptions'!$I$30*'Model Inputs &amp; Assumptions'!$K$30*G1425,0)))</f>
        <v>6900</v>
      </c>
      <c r="J1425" s="50" t="n">
        <f aca="false">H1425*INDEX('Model Inputs &amp; Assumptions'!$D$40:$D$42,MATCH('Model Inputs &amp; Assumptions'!$L$30,'Model Inputs &amp; Assumptions'!$A$40:$A$42,0))*INDEX('Model Inputs &amp; Assumptions'!$H$40:$H$42,MATCH('Model Inputs &amp; Assumptions'!$L$30,'Model Inputs &amp; Assumptions'!$A$40:$A$42,0))</f>
        <v>210279.107464333</v>
      </c>
      <c r="K1425" s="49" t="n">
        <f aca="false">H1425*INDEX('Model Inputs &amp; Assumptions'!$G$40:$G$42,MATCH('Model Inputs &amp; Assumptions'!$L$30,'Model Inputs &amp; Assumptions'!$A$40:$A$42,0))*INDEX('Model Inputs &amp; Assumptions'!$H$40:$H$42,MATCH('Model Inputs &amp; Assumptions'!$L$30,'Model Inputs &amp; Assumptions'!$A$40:$A$42,0))</f>
        <v>4636.65431958854</v>
      </c>
      <c r="L1425" s="51" t="n">
        <f aca="false">IFERROR(K1425/I1425,0)</f>
        <v>0.67197888689689</v>
      </c>
      <c r="M1425" s="49" t="n">
        <f aca="false">IFERROR(I1425/H1425,0)</f>
        <v>236.257422808524</v>
      </c>
      <c r="N1425" s="52" t="str">
        <f aca="false">'Model Inputs &amp; Assumptions'!$L$30</f>
        <v>PRD-USIQ</v>
      </c>
      <c r="P1425" s="53" t="n">
        <v>-3.397135</v>
      </c>
      <c r="Q1425" s="53" t="n">
        <v>1.069622</v>
      </c>
      <c r="R1425" s="53" t="n">
        <v>-0.739845</v>
      </c>
      <c r="S1425" s="53" t="n">
        <v>0.481518</v>
      </c>
    </row>
    <row r="1426" customFormat="false" ht="15" hidden="false" customHeight="false" outlineLevel="0" collapsed="false">
      <c r="A1426" s="43" t="n">
        <v>423</v>
      </c>
      <c r="B1426" s="44" t="str">
        <f aca="false">'Model Inputs &amp; Assumptions'!$B$30</f>
        <v>extraETF — Newsletter Takeover</v>
      </c>
      <c r="C1426" s="45" t="n">
        <f aca="false">ROUND(MAX(0,'Model Inputs &amp; Assumptions'!$S$30*EXP('Model Inputs &amp; Assumptions'!$T$30*P1426-'Model Inputs &amp; Assumptions'!$T$30^2/2)),0)</f>
        <v>83276</v>
      </c>
      <c r="D1426" s="46" t="n">
        <f aca="false">MIN(1,'Model Inputs &amp; Assumptions'!$U$30*EXP('Model Inputs &amp; Assumptions'!$V$30*Q1426-'Model Inputs &amp; Assumptions'!$V$30^2/2))</f>
        <v>0</v>
      </c>
      <c r="E1426" s="45" t="n">
        <f aca="false">ROUND(C1426*D1426,0)</f>
        <v>0</v>
      </c>
      <c r="F1426" s="47" t="n">
        <f aca="false">MIN(1,'Model Inputs &amp; Assumptions'!$W$30*EXP('Model Inputs &amp; Assumptions'!$X$30*R1426-'Model Inputs &amp; Assumptions'!$X$30^2/2))</f>
        <v>0.00658992482938885</v>
      </c>
      <c r="G1426" s="45" t="n">
        <f aca="false">ROUND(C1426*F1426,0)</f>
        <v>549</v>
      </c>
      <c r="H1426" s="48" t="n">
        <f aca="false">MAX(0,(C1426*'Model Inputs &amp; Assumptions'!$N$30+E1426*'Model Inputs &amp; Assumptions'!$O$30+G1426*'Model Inputs &amp; Assumptions'!$P$30)*EXP('Model Inputs &amp; Assumptions'!$Q$30*S1426-'Model Inputs &amp; Assumptions'!$Q$30^2/2))</f>
        <v>30.0505190113085</v>
      </c>
      <c r="I1426" s="49" t="n">
        <f aca="false">IF('Model Inputs &amp; Assumptions'!$H$30="Fixed",'Model Inputs &amp; Assumptions'!$I$30*'Model Inputs &amp; Assumptions'!$K$30,IF('Model Inputs &amp; Assumptions'!$H$30="CPM",'Model Inputs &amp; Assumptions'!$I$30*'Model Inputs &amp; Assumptions'!$K$30*C1426/1000,IF('Model Inputs &amp; Assumptions'!$H$30="CPC",'Model Inputs &amp; Assumptions'!$I$30*'Model Inputs &amp; Assumptions'!$K$30*G1426,0)))</f>
        <v>6900</v>
      </c>
      <c r="J1426" s="50" t="n">
        <f aca="false">H1426*INDEX('Model Inputs &amp; Assumptions'!$D$40:$D$42,MATCH('Model Inputs &amp; Assumptions'!$L$30,'Model Inputs &amp; Assumptions'!$A$40:$A$42,0))*INDEX('Model Inputs &amp; Assumptions'!$H$40:$H$42,MATCH('Model Inputs &amp; Assumptions'!$L$30,'Model Inputs &amp; Assumptions'!$A$40:$A$42,0))</f>
        <v>216363.736881422</v>
      </c>
      <c r="K1426" s="49" t="n">
        <f aca="false">H1426*INDEX('Model Inputs &amp; Assumptions'!$G$40:$G$42,MATCH('Model Inputs &amp; Assumptions'!$L$30,'Model Inputs &amp; Assumptions'!$A$40:$A$42,0))*INDEX('Model Inputs &amp; Assumptions'!$H$40:$H$42,MATCH('Model Inputs &amp; Assumptions'!$L$30,'Model Inputs &amp; Assumptions'!$A$40:$A$42,0))</f>
        <v>4770.82039823534</v>
      </c>
      <c r="L1426" s="51" t="n">
        <f aca="false">IFERROR(K1426/I1426,0)</f>
        <v>0.691423246121064</v>
      </c>
      <c r="M1426" s="49" t="n">
        <f aca="false">IFERROR(I1426/H1426,0)</f>
        <v>229.613338704846</v>
      </c>
      <c r="N1426" s="52" t="str">
        <f aca="false">'Model Inputs &amp; Assumptions'!$L$30</f>
        <v>PRD-USIQ</v>
      </c>
      <c r="P1426" s="53" t="n">
        <v>-0.399794</v>
      </c>
      <c r="Q1426" s="53" t="n">
        <v>0.354909</v>
      </c>
      <c r="R1426" s="53" t="n">
        <v>-1.217664</v>
      </c>
      <c r="S1426" s="53" t="n">
        <v>-0.562402</v>
      </c>
    </row>
    <row r="1427" customFormat="false" ht="15" hidden="false" customHeight="false" outlineLevel="0" collapsed="false">
      <c r="A1427" s="43" t="n">
        <v>424</v>
      </c>
      <c r="B1427" s="44" t="str">
        <f aca="false">'Model Inputs &amp; Assumptions'!$B$30</f>
        <v>extraETF — Newsletter Takeover</v>
      </c>
      <c r="C1427" s="45" t="n">
        <f aca="false">ROUND(MAX(0,'Model Inputs &amp; Assumptions'!$S$30*EXP('Model Inputs &amp; Assumptions'!$T$30*P1427-'Model Inputs &amp; Assumptions'!$T$30^2/2)),0)</f>
        <v>93113</v>
      </c>
      <c r="D1427" s="46" t="n">
        <f aca="false">MIN(1,'Model Inputs &amp; Assumptions'!$U$30*EXP('Model Inputs &amp; Assumptions'!$V$30*Q1427-'Model Inputs &amp; Assumptions'!$V$30^2/2))</f>
        <v>0</v>
      </c>
      <c r="E1427" s="45" t="n">
        <f aca="false">ROUND(C1427*D1427,0)</f>
        <v>0</v>
      </c>
      <c r="F1427" s="47" t="n">
        <f aca="false">MIN(1,'Model Inputs &amp; Assumptions'!$W$30*EXP('Model Inputs &amp; Assumptions'!$X$30*R1427-'Model Inputs &amp; Assumptions'!$X$30^2/2))</f>
        <v>0.00767510052939384</v>
      </c>
      <c r="G1427" s="45" t="n">
        <f aca="false">ROUND(C1427*F1427,0)</f>
        <v>715</v>
      </c>
      <c r="H1427" s="48" t="n">
        <f aca="false">MAX(0,(C1427*'Model Inputs &amp; Assumptions'!$N$30+E1427*'Model Inputs &amp; Assumptions'!$O$30+G1427*'Model Inputs &amp; Assumptions'!$P$30)*EXP('Model Inputs &amp; Assumptions'!$Q$30*S1427-'Model Inputs &amp; Assumptions'!$Q$30^2/2))</f>
        <v>28.7222485603755</v>
      </c>
      <c r="I1427" s="49" t="n">
        <f aca="false">IF('Model Inputs &amp; Assumptions'!$H$30="Fixed",'Model Inputs &amp; Assumptions'!$I$30*'Model Inputs &amp; Assumptions'!$K$30,IF('Model Inputs &amp; Assumptions'!$H$30="CPM",'Model Inputs &amp; Assumptions'!$I$30*'Model Inputs &amp; Assumptions'!$K$30*C1427/1000,IF('Model Inputs &amp; Assumptions'!$H$30="CPC",'Model Inputs &amp; Assumptions'!$I$30*'Model Inputs &amp; Assumptions'!$K$30*G1427,0)))</f>
        <v>6900</v>
      </c>
      <c r="J1427" s="50" t="n">
        <f aca="false">H1427*INDEX('Model Inputs &amp; Assumptions'!$D$40:$D$42,MATCH('Model Inputs &amp; Assumptions'!$L$30,'Model Inputs &amp; Assumptions'!$A$40:$A$42,0))*INDEX('Model Inputs &amp; Assumptions'!$H$40:$H$42,MATCH('Model Inputs &amp; Assumptions'!$L$30,'Model Inputs &amp; Assumptions'!$A$40:$A$42,0))</f>
        <v>206800.189634703</v>
      </c>
      <c r="K1427" s="49" t="n">
        <f aca="false">H1427*INDEX('Model Inputs &amp; Assumptions'!$G$40:$G$42,MATCH('Model Inputs &amp; Assumptions'!$L$30,'Model Inputs &amp; Assumptions'!$A$40:$A$42,0))*INDEX('Model Inputs &amp; Assumptions'!$H$40:$H$42,MATCH('Model Inputs &amp; Assumptions'!$L$30,'Model Inputs &amp; Assumptions'!$A$40:$A$42,0))</f>
        <v>4559.94418144521</v>
      </c>
      <c r="L1427" s="51" t="n">
        <f aca="false">IFERROR(K1427/I1427,0)</f>
        <v>0.660861475571769</v>
      </c>
      <c r="M1427" s="49" t="n">
        <f aca="false">IFERROR(I1427/H1427,0)</f>
        <v>240.231888025615</v>
      </c>
      <c r="N1427" s="52" t="str">
        <f aca="false">'Model Inputs &amp; Assumptions'!$L$30</f>
        <v>PRD-USIQ</v>
      </c>
      <c r="P1427" s="53" t="n">
        <v>0.530647</v>
      </c>
      <c r="Q1427" s="53" t="n">
        <v>1.346852</v>
      </c>
      <c r="R1427" s="53" t="n">
        <v>-0.201401</v>
      </c>
      <c r="S1427" s="53" t="n">
        <v>-1.79997</v>
      </c>
    </row>
    <row r="1428" customFormat="false" ht="15" hidden="false" customHeight="false" outlineLevel="0" collapsed="false">
      <c r="A1428" s="43" t="n">
        <v>425</v>
      </c>
      <c r="B1428" s="44" t="str">
        <f aca="false">'Model Inputs &amp; Assumptions'!$B$30</f>
        <v>extraETF — Newsletter Takeover</v>
      </c>
      <c r="C1428" s="45" t="n">
        <f aca="false">ROUND(MAX(0,'Model Inputs &amp; Assumptions'!$S$30*EXP('Model Inputs &amp; Assumptions'!$T$30*P1428-'Model Inputs &amp; Assumptions'!$T$30^2/2)),0)</f>
        <v>105102</v>
      </c>
      <c r="D1428" s="46" t="n">
        <f aca="false">MIN(1,'Model Inputs &amp; Assumptions'!$U$30*EXP('Model Inputs &amp; Assumptions'!$V$30*Q1428-'Model Inputs &amp; Assumptions'!$V$30^2/2))</f>
        <v>0</v>
      </c>
      <c r="E1428" s="45" t="n">
        <f aca="false">ROUND(C1428*D1428,0)</f>
        <v>0</v>
      </c>
      <c r="F1428" s="47" t="n">
        <f aca="false">MIN(1,'Model Inputs &amp; Assumptions'!$W$30*EXP('Model Inputs &amp; Assumptions'!$X$30*R1428-'Model Inputs &amp; Assumptions'!$X$30^2/2))</f>
        <v>0.00597804201244417</v>
      </c>
      <c r="G1428" s="45" t="n">
        <f aca="false">ROUND(C1428*F1428,0)</f>
        <v>628</v>
      </c>
      <c r="H1428" s="48" t="n">
        <f aca="false">MAX(0,(C1428*'Model Inputs &amp; Assumptions'!$N$30+E1428*'Model Inputs &amp; Assumptions'!$O$30+G1428*'Model Inputs &amp; Assumptions'!$P$30)*EXP('Model Inputs &amp; Assumptions'!$Q$30*S1428-'Model Inputs &amp; Assumptions'!$Q$30^2/2))</f>
        <v>41.2278153075142</v>
      </c>
      <c r="I1428" s="49" t="n">
        <f aca="false">IF('Model Inputs &amp; Assumptions'!$H$30="Fixed",'Model Inputs &amp; Assumptions'!$I$30*'Model Inputs &amp; Assumptions'!$K$30,IF('Model Inputs &amp; Assumptions'!$H$30="CPM",'Model Inputs &amp; Assumptions'!$I$30*'Model Inputs &amp; Assumptions'!$K$30*C1428/1000,IF('Model Inputs &amp; Assumptions'!$H$30="CPC",'Model Inputs &amp; Assumptions'!$I$30*'Model Inputs &amp; Assumptions'!$K$30*G1428,0)))</f>
        <v>6900</v>
      </c>
      <c r="J1428" s="50" t="n">
        <f aca="false">H1428*INDEX('Model Inputs &amp; Assumptions'!$D$40:$D$42,MATCH('Model Inputs &amp; Assumptions'!$L$30,'Model Inputs &amp; Assumptions'!$A$40:$A$42,0))*INDEX('Model Inputs &amp; Assumptions'!$H$40:$H$42,MATCH('Model Inputs &amp; Assumptions'!$L$30,'Model Inputs &amp; Assumptions'!$A$40:$A$42,0))</f>
        <v>296840.270214102</v>
      </c>
      <c r="K1428" s="49" t="n">
        <f aca="false">H1428*INDEX('Model Inputs &amp; Assumptions'!$G$40:$G$42,MATCH('Model Inputs &amp; Assumptions'!$L$30,'Model Inputs &amp; Assumptions'!$A$40:$A$42,0))*INDEX('Model Inputs &amp; Assumptions'!$H$40:$H$42,MATCH('Model Inputs &amp; Assumptions'!$L$30,'Model Inputs &amp; Assumptions'!$A$40:$A$42,0))</f>
        <v>6545.32795822095</v>
      </c>
      <c r="L1428" s="51" t="n">
        <f aca="false">IFERROR(K1428/I1428,0)</f>
        <v>0.94859825481463</v>
      </c>
      <c r="M1428" s="49" t="n">
        <f aca="false">IFERROR(I1428/H1428,0)</f>
        <v>167.362736747838</v>
      </c>
      <c r="N1428" s="52" t="str">
        <f aca="false">'Model Inputs &amp; Assumptions'!$L$30</f>
        <v>PRD-USIQ</v>
      </c>
      <c r="P1428" s="53" t="n">
        <v>1.53993</v>
      </c>
      <c r="Q1428" s="53" t="n">
        <v>-0.38659</v>
      </c>
      <c r="R1428" s="53" t="n">
        <v>-1.867323</v>
      </c>
      <c r="S1428" s="53" t="n">
        <v>0.164764</v>
      </c>
    </row>
    <row r="1429" customFormat="false" ht="15" hidden="false" customHeight="false" outlineLevel="0" collapsed="false">
      <c r="A1429" s="43" t="n">
        <v>426</v>
      </c>
      <c r="B1429" s="44" t="str">
        <f aca="false">'Model Inputs &amp; Assumptions'!$B$30</f>
        <v>extraETF — Newsletter Takeover</v>
      </c>
      <c r="C1429" s="45" t="n">
        <f aca="false">ROUND(MAX(0,'Model Inputs &amp; Assumptions'!$S$30*EXP('Model Inputs &amp; Assumptions'!$T$30*P1429-'Model Inputs &amp; Assumptions'!$T$30^2/2)),0)</f>
        <v>102690</v>
      </c>
      <c r="D1429" s="46" t="n">
        <f aca="false">MIN(1,'Model Inputs &amp; Assumptions'!$U$30*EXP('Model Inputs &amp; Assumptions'!$V$30*Q1429-'Model Inputs &amp; Assumptions'!$V$30^2/2))</f>
        <v>0</v>
      </c>
      <c r="E1429" s="45" t="n">
        <f aca="false">ROUND(C1429*D1429,0)</f>
        <v>0</v>
      </c>
      <c r="F1429" s="47" t="n">
        <f aca="false">MIN(1,'Model Inputs &amp; Assumptions'!$W$30*EXP('Model Inputs &amp; Assumptions'!$X$30*R1429-'Model Inputs &amp; Assumptions'!$X$30^2/2))</f>
        <v>0.00862879608320745</v>
      </c>
      <c r="G1429" s="45" t="n">
        <f aca="false">ROUND(C1429*F1429,0)</f>
        <v>886</v>
      </c>
      <c r="H1429" s="48" t="n">
        <f aca="false">MAX(0,(C1429*'Model Inputs &amp; Assumptions'!$N$30+E1429*'Model Inputs &amp; Assumptions'!$O$30+G1429*'Model Inputs &amp; Assumptions'!$P$30)*EXP('Model Inputs &amp; Assumptions'!$Q$30*S1429-'Model Inputs &amp; Assumptions'!$Q$30^2/2))</f>
        <v>60.062425209505</v>
      </c>
      <c r="I1429" s="49" t="n">
        <f aca="false">IF('Model Inputs &amp; Assumptions'!$H$30="Fixed",'Model Inputs &amp; Assumptions'!$I$30*'Model Inputs &amp; Assumptions'!$K$30,IF('Model Inputs &amp; Assumptions'!$H$30="CPM",'Model Inputs &amp; Assumptions'!$I$30*'Model Inputs &amp; Assumptions'!$K$30*C1429/1000,IF('Model Inputs &amp; Assumptions'!$H$30="CPC",'Model Inputs &amp; Assumptions'!$I$30*'Model Inputs &amp; Assumptions'!$K$30*G1429,0)))</f>
        <v>6900</v>
      </c>
      <c r="J1429" s="50" t="n">
        <f aca="false">H1429*INDEX('Model Inputs &amp; Assumptions'!$D$40:$D$42,MATCH('Model Inputs &amp; Assumptions'!$L$30,'Model Inputs &amp; Assumptions'!$A$40:$A$42,0))*INDEX('Model Inputs &amp; Assumptions'!$H$40:$H$42,MATCH('Model Inputs &amp; Assumptions'!$L$30,'Model Inputs &amp; Assumptions'!$A$40:$A$42,0))</f>
        <v>432449.461508436</v>
      </c>
      <c r="K1429" s="49" t="n">
        <f aca="false">H1429*INDEX('Model Inputs &amp; Assumptions'!$G$40:$G$42,MATCH('Model Inputs &amp; Assumptions'!$L$30,'Model Inputs &amp; Assumptions'!$A$40:$A$42,0))*INDEX('Model Inputs &amp; Assumptions'!$H$40:$H$42,MATCH('Model Inputs &amp; Assumptions'!$L$30,'Model Inputs &amp; Assumptions'!$A$40:$A$42,0))</f>
        <v>9535.51062626102</v>
      </c>
      <c r="L1429" s="51" t="n">
        <f aca="false">IFERROR(K1429/I1429,0)</f>
        <v>1.38195806177696</v>
      </c>
      <c r="M1429" s="49" t="n">
        <f aca="false">IFERROR(I1429/H1429,0)</f>
        <v>114.880476036923</v>
      </c>
      <c r="N1429" s="52" t="str">
        <f aca="false">'Model Inputs &amp; Assumptions'!$L$30</f>
        <v>PRD-USIQ</v>
      </c>
      <c r="P1429" s="53" t="n">
        <v>1.346512</v>
      </c>
      <c r="Q1429" s="53" t="n">
        <v>0.754173</v>
      </c>
      <c r="R1429" s="53" t="n">
        <v>0.579423</v>
      </c>
      <c r="S1429" s="53" t="n">
        <v>0.293142</v>
      </c>
    </row>
    <row r="1430" customFormat="false" ht="15" hidden="false" customHeight="false" outlineLevel="0" collapsed="false">
      <c r="A1430" s="43" t="n">
        <v>427</v>
      </c>
      <c r="B1430" s="44" t="str">
        <f aca="false">'Model Inputs &amp; Assumptions'!$B$30</f>
        <v>extraETF — Newsletter Takeover</v>
      </c>
      <c r="C1430" s="45" t="n">
        <f aca="false">ROUND(MAX(0,'Model Inputs &amp; Assumptions'!$S$30*EXP('Model Inputs &amp; Assumptions'!$T$30*P1430-'Model Inputs &amp; Assumptions'!$T$30^2/2)),0)</f>
        <v>69383</v>
      </c>
      <c r="D1430" s="46" t="n">
        <f aca="false">MIN(1,'Model Inputs &amp; Assumptions'!$U$30*EXP('Model Inputs &amp; Assumptions'!$V$30*Q1430-'Model Inputs &amp; Assumptions'!$V$30^2/2))</f>
        <v>0</v>
      </c>
      <c r="E1430" s="45" t="n">
        <f aca="false">ROUND(C1430*D1430,0)</f>
        <v>0</v>
      </c>
      <c r="F1430" s="47" t="n">
        <f aca="false">MIN(1,'Model Inputs &amp; Assumptions'!$W$30*EXP('Model Inputs &amp; Assumptions'!$X$30*R1430-'Model Inputs &amp; Assumptions'!$X$30^2/2))</f>
        <v>0.00575741990778535</v>
      </c>
      <c r="G1430" s="45" t="n">
        <f aca="false">ROUND(C1430*F1430,0)</f>
        <v>399</v>
      </c>
      <c r="H1430" s="48" t="n">
        <f aca="false">MAX(0,(C1430*'Model Inputs &amp; Assumptions'!$N$30+E1430*'Model Inputs &amp; Assumptions'!$O$30+G1430*'Model Inputs &amp; Assumptions'!$P$30)*EXP('Model Inputs &amp; Assumptions'!$Q$30*S1430-'Model Inputs &amp; Assumptions'!$Q$30^2/2))</f>
        <v>21.5061976805127</v>
      </c>
      <c r="I1430" s="49" t="n">
        <f aca="false">IF('Model Inputs &amp; Assumptions'!$H$30="Fixed",'Model Inputs &amp; Assumptions'!$I$30*'Model Inputs &amp; Assumptions'!$K$30,IF('Model Inputs &amp; Assumptions'!$H$30="CPM",'Model Inputs &amp; Assumptions'!$I$30*'Model Inputs &amp; Assumptions'!$K$30*C1430/1000,IF('Model Inputs &amp; Assumptions'!$H$30="CPC",'Model Inputs &amp; Assumptions'!$I$30*'Model Inputs &amp; Assumptions'!$K$30*G1430,0)))</f>
        <v>6900</v>
      </c>
      <c r="J1430" s="50" t="n">
        <f aca="false">H1430*INDEX('Model Inputs &amp; Assumptions'!$D$40:$D$42,MATCH('Model Inputs &amp; Assumptions'!$L$30,'Model Inputs &amp; Assumptions'!$A$40:$A$42,0))*INDEX('Model Inputs &amp; Assumptions'!$H$40:$H$42,MATCH('Model Inputs &amp; Assumptions'!$L$30,'Model Inputs &amp; Assumptions'!$A$40:$A$42,0))</f>
        <v>154844.623299691</v>
      </c>
      <c r="K1430" s="49" t="n">
        <f aca="false">H1430*INDEX('Model Inputs &amp; Assumptions'!$G$40:$G$42,MATCH('Model Inputs &amp; Assumptions'!$L$30,'Model Inputs &amp; Assumptions'!$A$40:$A$42,0))*INDEX('Model Inputs &amp; Assumptions'!$H$40:$H$42,MATCH('Model Inputs &amp; Assumptions'!$L$30,'Model Inputs &amp; Assumptions'!$A$40:$A$42,0))</f>
        <v>3414.32394375819</v>
      </c>
      <c r="L1430" s="51" t="n">
        <f aca="false">IFERROR(K1430/I1430,0)</f>
        <v>0.494829557066404</v>
      </c>
      <c r="M1430" s="49" t="n">
        <f aca="false">IFERROR(I1430/H1430,0)</f>
        <v>320.837746518636</v>
      </c>
      <c r="N1430" s="52" t="str">
        <f aca="false">'Model Inputs &amp; Assumptions'!$L$30</f>
        <v>PRD-USIQ</v>
      </c>
      <c r="P1430" s="53" t="n">
        <v>-1.920767</v>
      </c>
      <c r="Q1430" s="53" t="n">
        <v>-0.448777</v>
      </c>
      <c r="R1430" s="53" t="n">
        <v>-2.118014</v>
      </c>
      <c r="S1430" s="53" t="n">
        <v>-0.624009</v>
      </c>
    </row>
    <row r="1431" customFormat="false" ht="15" hidden="false" customHeight="false" outlineLevel="0" collapsed="false">
      <c r="A1431" s="43" t="n">
        <v>428</v>
      </c>
      <c r="B1431" s="44" t="str">
        <f aca="false">'Model Inputs &amp; Assumptions'!$B$30</f>
        <v>extraETF — Newsletter Takeover</v>
      </c>
      <c r="C1431" s="45" t="n">
        <f aca="false">ROUND(MAX(0,'Model Inputs &amp; Assumptions'!$S$30*EXP('Model Inputs &amp; Assumptions'!$T$30*P1431-'Model Inputs &amp; Assumptions'!$T$30^2/2)),0)</f>
        <v>72011</v>
      </c>
      <c r="D1431" s="46" t="n">
        <f aca="false">MIN(1,'Model Inputs &amp; Assumptions'!$U$30*EXP('Model Inputs &amp; Assumptions'!$V$30*Q1431-'Model Inputs &amp; Assumptions'!$V$30^2/2))</f>
        <v>0</v>
      </c>
      <c r="E1431" s="45" t="n">
        <f aca="false">ROUND(C1431*D1431,0)</f>
        <v>0</v>
      </c>
      <c r="F1431" s="47" t="n">
        <f aca="false">MIN(1,'Model Inputs &amp; Assumptions'!$W$30*EXP('Model Inputs &amp; Assumptions'!$X$30*R1431-'Model Inputs &amp; Assumptions'!$X$30^2/2))</f>
        <v>0.010235164504041</v>
      </c>
      <c r="G1431" s="45" t="n">
        <f aca="false">ROUND(C1431*F1431,0)</f>
        <v>737</v>
      </c>
      <c r="H1431" s="48" t="n">
        <f aca="false">MAX(0,(C1431*'Model Inputs &amp; Assumptions'!$N$30+E1431*'Model Inputs &amp; Assumptions'!$O$30+G1431*'Model Inputs &amp; Assumptions'!$P$30)*EXP('Model Inputs &amp; Assumptions'!$Q$30*S1431-'Model Inputs &amp; Assumptions'!$Q$30^2/2))</f>
        <v>31.9864422425858</v>
      </c>
      <c r="I1431" s="49" t="n">
        <f aca="false">IF('Model Inputs &amp; Assumptions'!$H$30="Fixed",'Model Inputs &amp; Assumptions'!$I$30*'Model Inputs &amp; Assumptions'!$K$30,IF('Model Inputs &amp; Assumptions'!$H$30="CPM",'Model Inputs &amp; Assumptions'!$I$30*'Model Inputs &amp; Assumptions'!$K$30*C1431/1000,IF('Model Inputs &amp; Assumptions'!$H$30="CPC",'Model Inputs &amp; Assumptions'!$I$30*'Model Inputs &amp; Assumptions'!$K$30*G1431,0)))</f>
        <v>6900</v>
      </c>
      <c r="J1431" s="50" t="n">
        <f aca="false">H1431*INDEX('Model Inputs &amp; Assumptions'!$D$40:$D$42,MATCH('Model Inputs &amp; Assumptions'!$L$30,'Model Inputs &amp; Assumptions'!$A$40:$A$42,0))*INDEX('Model Inputs &amp; Assumptions'!$H$40:$H$42,MATCH('Model Inputs &amp; Assumptions'!$L$30,'Model Inputs &amp; Assumptions'!$A$40:$A$42,0))</f>
        <v>230302.384146618</v>
      </c>
      <c r="K1431" s="49" t="n">
        <f aca="false">H1431*INDEX('Model Inputs &amp; Assumptions'!$G$40:$G$42,MATCH('Model Inputs &amp; Assumptions'!$L$30,'Model Inputs &amp; Assumptions'!$A$40:$A$42,0))*INDEX('Model Inputs &amp; Assumptions'!$H$40:$H$42,MATCH('Model Inputs &amp; Assumptions'!$L$30,'Model Inputs &amp; Assumptions'!$A$40:$A$42,0))</f>
        <v>5078.16757043292</v>
      </c>
      <c r="L1431" s="51" t="n">
        <f aca="false">IFERROR(K1431/I1431,0)</f>
        <v>0.735966314555496</v>
      </c>
      <c r="M1431" s="49" t="n">
        <f aca="false">IFERROR(I1431/H1431,0)</f>
        <v>215.716394704677</v>
      </c>
      <c r="N1431" s="52" t="str">
        <f aca="false">'Model Inputs &amp; Assumptions'!$L$30</f>
        <v>PRD-USIQ</v>
      </c>
      <c r="P1431" s="53" t="n">
        <v>-1.611039</v>
      </c>
      <c r="Q1431" s="53" t="n">
        <v>0.21583</v>
      </c>
      <c r="R1431" s="53" t="n">
        <v>1.717585</v>
      </c>
      <c r="S1431" s="53" t="n">
        <v>-1.490631</v>
      </c>
    </row>
    <row r="1432" customFormat="false" ht="15" hidden="false" customHeight="false" outlineLevel="0" collapsed="false">
      <c r="A1432" s="43" t="n">
        <v>429</v>
      </c>
      <c r="B1432" s="44" t="str">
        <f aca="false">'Model Inputs &amp; Assumptions'!$B$30</f>
        <v>extraETF — Newsletter Takeover</v>
      </c>
      <c r="C1432" s="45" t="n">
        <f aca="false">ROUND(MAX(0,'Model Inputs &amp; Assumptions'!$S$30*EXP('Model Inputs &amp; Assumptions'!$T$30*P1432-'Model Inputs &amp; Assumptions'!$T$30^2/2)),0)</f>
        <v>73409</v>
      </c>
      <c r="D1432" s="46" t="n">
        <f aca="false">MIN(1,'Model Inputs &amp; Assumptions'!$U$30*EXP('Model Inputs &amp; Assumptions'!$V$30*Q1432-'Model Inputs &amp; Assumptions'!$V$30^2/2))</f>
        <v>0</v>
      </c>
      <c r="E1432" s="45" t="n">
        <f aca="false">ROUND(C1432*D1432,0)</f>
        <v>0</v>
      </c>
      <c r="F1432" s="47" t="n">
        <f aca="false">MIN(1,'Model Inputs &amp; Assumptions'!$W$30*EXP('Model Inputs &amp; Assumptions'!$X$30*R1432-'Model Inputs &amp; Assumptions'!$X$30^2/2))</f>
        <v>0.00878637337889874</v>
      </c>
      <c r="G1432" s="45" t="n">
        <f aca="false">ROUND(C1432*F1432,0)</f>
        <v>645</v>
      </c>
      <c r="H1432" s="48" t="n">
        <f aca="false">MAX(0,(C1432*'Model Inputs &amp; Assumptions'!$N$30+E1432*'Model Inputs &amp; Assumptions'!$O$30+G1432*'Model Inputs &amp; Assumptions'!$P$30)*EXP('Model Inputs &amp; Assumptions'!$Q$30*S1432-'Model Inputs &amp; Assumptions'!$Q$30^2/2))</f>
        <v>37.7742274921681</v>
      </c>
      <c r="I1432" s="49" t="n">
        <f aca="false">IF('Model Inputs &amp; Assumptions'!$H$30="Fixed",'Model Inputs &amp; Assumptions'!$I$30*'Model Inputs &amp; Assumptions'!$K$30,IF('Model Inputs &amp; Assumptions'!$H$30="CPM",'Model Inputs &amp; Assumptions'!$I$30*'Model Inputs &amp; Assumptions'!$K$30*C1432/1000,IF('Model Inputs &amp; Assumptions'!$H$30="CPC",'Model Inputs &amp; Assumptions'!$I$30*'Model Inputs &amp; Assumptions'!$K$30*G1432,0)))</f>
        <v>6900</v>
      </c>
      <c r="J1432" s="50" t="n">
        <f aca="false">H1432*INDEX('Model Inputs &amp; Assumptions'!$D$40:$D$42,MATCH('Model Inputs &amp; Assumptions'!$L$30,'Model Inputs &amp; Assumptions'!$A$40:$A$42,0))*INDEX('Model Inputs &amp; Assumptions'!$H$40:$H$42,MATCH('Model Inputs &amp; Assumptions'!$L$30,'Model Inputs &amp; Assumptions'!$A$40:$A$42,0))</f>
        <v>271974.43794361</v>
      </c>
      <c r="K1432" s="49" t="n">
        <f aca="false">H1432*INDEX('Model Inputs &amp; Assumptions'!$G$40:$G$42,MATCH('Model Inputs &amp; Assumptions'!$L$30,'Model Inputs &amp; Assumptions'!$A$40:$A$42,0))*INDEX('Model Inputs &amp; Assumptions'!$H$40:$H$42,MATCH('Model Inputs &amp; Assumptions'!$L$30,'Model Inputs &amp; Assumptions'!$A$40:$A$42,0))</f>
        <v>5997.0363566566</v>
      </c>
      <c r="L1432" s="51" t="n">
        <f aca="false">IFERROR(K1432/I1432,0)</f>
        <v>0.869135703863276</v>
      </c>
      <c r="M1432" s="49" t="n">
        <f aca="false">IFERROR(I1432/H1432,0)</f>
        <v>182.664225269216</v>
      </c>
      <c r="N1432" s="52" t="str">
        <f aca="false">'Model Inputs &amp; Assumptions'!$L$30</f>
        <v>PRD-USIQ</v>
      </c>
      <c r="P1432" s="53" t="n">
        <v>-1.450806</v>
      </c>
      <c r="Q1432" s="53" t="n">
        <v>0.452893</v>
      </c>
      <c r="R1432" s="53" t="n">
        <v>0.70007</v>
      </c>
      <c r="S1432" s="53" t="n">
        <v>-0.292021</v>
      </c>
    </row>
    <row r="1433" customFormat="false" ht="15" hidden="false" customHeight="false" outlineLevel="0" collapsed="false">
      <c r="A1433" s="43" t="n">
        <v>430</v>
      </c>
      <c r="B1433" s="44" t="str">
        <f aca="false">'Model Inputs &amp; Assumptions'!$B$30</f>
        <v>extraETF — Newsletter Takeover</v>
      </c>
      <c r="C1433" s="45" t="n">
        <f aca="false">ROUND(MAX(0,'Model Inputs &amp; Assumptions'!$S$30*EXP('Model Inputs &amp; Assumptions'!$T$30*P1433-'Model Inputs &amp; Assumptions'!$T$30^2/2)),0)</f>
        <v>91378</v>
      </c>
      <c r="D1433" s="46" t="n">
        <f aca="false">MIN(1,'Model Inputs &amp; Assumptions'!$U$30*EXP('Model Inputs &amp; Assumptions'!$V$30*Q1433-'Model Inputs &amp; Assumptions'!$V$30^2/2))</f>
        <v>0</v>
      </c>
      <c r="E1433" s="45" t="n">
        <f aca="false">ROUND(C1433*D1433,0)</f>
        <v>0</v>
      </c>
      <c r="F1433" s="47" t="n">
        <f aca="false">MIN(1,'Model Inputs &amp; Assumptions'!$W$30*EXP('Model Inputs &amp; Assumptions'!$X$30*R1433-'Model Inputs &amp; Assumptions'!$X$30^2/2))</f>
        <v>0.00892830611102062</v>
      </c>
      <c r="G1433" s="45" t="n">
        <f aca="false">ROUND(C1433*F1433,0)</f>
        <v>816</v>
      </c>
      <c r="H1433" s="48" t="n">
        <f aca="false">MAX(0,(C1433*'Model Inputs &amp; Assumptions'!$N$30+E1433*'Model Inputs &amp; Assumptions'!$O$30+G1433*'Model Inputs &amp; Assumptions'!$P$30)*EXP('Model Inputs &amp; Assumptions'!$Q$30*S1433-'Model Inputs &amp; Assumptions'!$Q$30^2/2))</f>
        <v>69.4086046319035</v>
      </c>
      <c r="I1433" s="49" t="n">
        <f aca="false">IF('Model Inputs &amp; Assumptions'!$H$30="Fixed",'Model Inputs &amp; Assumptions'!$I$30*'Model Inputs &amp; Assumptions'!$K$30,IF('Model Inputs &amp; Assumptions'!$H$30="CPM",'Model Inputs &amp; Assumptions'!$I$30*'Model Inputs &amp; Assumptions'!$K$30*C1433/1000,IF('Model Inputs &amp; Assumptions'!$H$30="CPC",'Model Inputs &amp; Assumptions'!$I$30*'Model Inputs &amp; Assumptions'!$K$30*G1433,0)))</f>
        <v>6900</v>
      </c>
      <c r="J1433" s="50" t="n">
        <f aca="false">H1433*INDEX('Model Inputs &amp; Assumptions'!$D$40:$D$42,MATCH('Model Inputs &amp; Assumptions'!$L$30,'Model Inputs &amp; Assumptions'!$A$40:$A$42,0))*INDEX('Model Inputs &amp; Assumptions'!$H$40:$H$42,MATCH('Model Inputs &amp; Assumptions'!$L$30,'Model Inputs &amp; Assumptions'!$A$40:$A$42,0))</f>
        <v>499741.953349706</v>
      </c>
      <c r="K1433" s="49" t="n">
        <f aca="false">H1433*INDEX('Model Inputs &amp; Assumptions'!$G$40:$G$42,MATCH('Model Inputs &amp; Assumptions'!$L$30,'Model Inputs &amp; Assumptions'!$A$40:$A$42,0))*INDEX('Model Inputs &amp; Assumptions'!$H$40:$H$42,MATCH('Model Inputs &amp; Assumptions'!$L$30,'Model Inputs &amp; Assumptions'!$A$40:$A$42,0))</f>
        <v>11019.310071361</v>
      </c>
      <c r="L1433" s="51" t="n">
        <f aca="false">IFERROR(K1433/I1433,0)</f>
        <v>1.59700145961754</v>
      </c>
      <c r="M1433" s="49" t="n">
        <f aca="false">IFERROR(I1433/H1433,0)</f>
        <v>99.4113055087759</v>
      </c>
      <c r="N1433" s="52" t="str">
        <f aca="false">'Model Inputs &amp; Assumptions'!$L$30</f>
        <v>PRD-USIQ</v>
      </c>
      <c r="P1433" s="53" t="n">
        <v>0.373922</v>
      </c>
      <c r="Q1433" s="53" t="n">
        <v>0.266172</v>
      </c>
      <c r="R1433" s="53" t="n">
        <v>0.806901</v>
      </c>
      <c r="S1433" s="53" t="n">
        <v>1.200858</v>
      </c>
    </row>
    <row r="1434" customFormat="false" ht="15" hidden="false" customHeight="false" outlineLevel="0" collapsed="false">
      <c r="A1434" s="43" t="n">
        <v>431</v>
      </c>
      <c r="B1434" s="44" t="str">
        <f aca="false">'Model Inputs &amp; Assumptions'!$B$30</f>
        <v>extraETF — Newsletter Takeover</v>
      </c>
      <c r="C1434" s="45" t="n">
        <f aca="false">ROUND(MAX(0,'Model Inputs &amp; Assumptions'!$S$30*EXP('Model Inputs &amp; Assumptions'!$T$30*P1434-'Model Inputs &amp; Assumptions'!$T$30^2/2)),0)</f>
        <v>76764</v>
      </c>
      <c r="D1434" s="46" t="n">
        <f aca="false">MIN(1,'Model Inputs &amp; Assumptions'!$U$30*EXP('Model Inputs &amp; Assumptions'!$V$30*Q1434-'Model Inputs &amp; Assumptions'!$V$30^2/2))</f>
        <v>0</v>
      </c>
      <c r="E1434" s="45" t="n">
        <f aca="false">ROUND(C1434*D1434,0)</f>
        <v>0</v>
      </c>
      <c r="F1434" s="47" t="n">
        <f aca="false">MIN(1,'Model Inputs &amp; Assumptions'!$W$30*EXP('Model Inputs &amp; Assumptions'!$X$30*R1434-'Model Inputs &amp; Assumptions'!$X$30^2/2))</f>
        <v>0.00740134944990247</v>
      </c>
      <c r="G1434" s="45" t="n">
        <f aca="false">ROUND(C1434*F1434,0)</f>
        <v>568</v>
      </c>
      <c r="H1434" s="48" t="n">
        <f aca="false">MAX(0,(C1434*'Model Inputs &amp; Assumptions'!$N$30+E1434*'Model Inputs &amp; Assumptions'!$O$30+G1434*'Model Inputs &amp; Assumptions'!$P$30)*EXP('Model Inputs &amp; Assumptions'!$Q$30*S1434-'Model Inputs &amp; Assumptions'!$Q$30^2/2))</f>
        <v>35.0757202250323</v>
      </c>
      <c r="I1434" s="49" t="n">
        <f aca="false">IF('Model Inputs &amp; Assumptions'!$H$30="Fixed",'Model Inputs &amp; Assumptions'!$I$30*'Model Inputs &amp; Assumptions'!$K$30,IF('Model Inputs &amp; Assumptions'!$H$30="CPM",'Model Inputs &amp; Assumptions'!$I$30*'Model Inputs &amp; Assumptions'!$K$30*C1434/1000,IF('Model Inputs &amp; Assumptions'!$H$30="CPC",'Model Inputs &amp; Assumptions'!$I$30*'Model Inputs &amp; Assumptions'!$K$30*G1434,0)))</f>
        <v>6900</v>
      </c>
      <c r="J1434" s="50" t="n">
        <f aca="false">H1434*INDEX('Model Inputs &amp; Assumptions'!$D$40:$D$42,MATCH('Model Inputs &amp; Assumptions'!$L$30,'Model Inputs &amp; Assumptions'!$A$40:$A$42,0))*INDEX('Model Inputs &amp; Assumptions'!$H$40:$H$42,MATCH('Model Inputs &amp; Assumptions'!$L$30,'Model Inputs &amp; Assumptions'!$A$40:$A$42,0))</f>
        <v>252545.185620233</v>
      </c>
      <c r="K1434" s="49" t="n">
        <f aca="false">H1434*INDEX('Model Inputs &amp; Assumptions'!$G$40:$G$42,MATCH('Model Inputs &amp; Assumptions'!$L$30,'Model Inputs &amp; Assumptions'!$A$40:$A$42,0))*INDEX('Model Inputs &amp; Assumptions'!$H$40:$H$42,MATCH('Model Inputs &amp; Assumptions'!$L$30,'Model Inputs &amp; Assumptions'!$A$40:$A$42,0))</f>
        <v>5568.62134292613</v>
      </c>
      <c r="L1434" s="51" t="n">
        <f aca="false">IFERROR(K1434/I1434,0)</f>
        <v>0.807046571438569</v>
      </c>
      <c r="M1434" s="49" t="n">
        <f aca="false">IFERROR(I1434/H1434,0)</f>
        <v>196.717272111086</v>
      </c>
      <c r="N1434" s="52" t="str">
        <f aca="false">'Model Inputs &amp; Assumptions'!$L$30</f>
        <v>PRD-USIQ</v>
      </c>
      <c r="P1434" s="53" t="n">
        <v>-1.078334</v>
      </c>
      <c r="Q1434" s="53" t="n">
        <v>1.098929</v>
      </c>
      <c r="R1434" s="53" t="n">
        <v>-0.443528</v>
      </c>
      <c r="S1434" s="53" t="n">
        <v>-0.079977</v>
      </c>
    </row>
    <row r="1435" customFormat="false" ht="15" hidden="false" customHeight="false" outlineLevel="0" collapsed="false">
      <c r="A1435" s="43" t="n">
        <v>432</v>
      </c>
      <c r="B1435" s="44" t="str">
        <f aca="false">'Model Inputs &amp; Assumptions'!$B$30</f>
        <v>extraETF — Newsletter Takeover</v>
      </c>
      <c r="C1435" s="45" t="n">
        <f aca="false">ROUND(MAX(0,'Model Inputs &amp; Assumptions'!$S$30*EXP('Model Inputs &amp; Assumptions'!$T$30*P1435-'Model Inputs &amp; Assumptions'!$T$30^2/2)),0)</f>
        <v>94959</v>
      </c>
      <c r="D1435" s="46" t="n">
        <f aca="false">MIN(1,'Model Inputs &amp; Assumptions'!$U$30*EXP('Model Inputs &amp; Assumptions'!$V$30*Q1435-'Model Inputs &amp; Assumptions'!$V$30^2/2))</f>
        <v>0</v>
      </c>
      <c r="E1435" s="45" t="n">
        <f aca="false">ROUND(C1435*D1435,0)</f>
        <v>0</v>
      </c>
      <c r="F1435" s="47" t="n">
        <f aca="false">MIN(1,'Model Inputs &amp; Assumptions'!$W$30*EXP('Model Inputs &amp; Assumptions'!$X$30*R1435-'Model Inputs &amp; Assumptions'!$X$30^2/2))</f>
        <v>0.00598704903215393</v>
      </c>
      <c r="G1435" s="45" t="n">
        <f aca="false">ROUND(C1435*F1435,0)</f>
        <v>569</v>
      </c>
      <c r="H1435" s="48" t="n">
        <f aca="false">MAX(0,(C1435*'Model Inputs &amp; Assumptions'!$N$30+E1435*'Model Inputs &amp; Assumptions'!$O$30+G1435*'Model Inputs &amp; Assumptions'!$P$30)*EXP('Model Inputs &amp; Assumptions'!$Q$30*S1435-'Model Inputs &amp; Assumptions'!$Q$30^2/2))</f>
        <v>38.1319942957773</v>
      </c>
      <c r="I1435" s="49" t="n">
        <f aca="false">IF('Model Inputs &amp; Assumptions'!$H$30="Fixed",'Model Inputs &amp; Assumptions'!$I$30*'Model Inputs &amp; Assumptions'!$K$30,IF('Model Inputs &amp; Assumptions'!$H$30="CPM",'Model Inputs &amp; Assumptions'!$I$30*'Model Inputs &amp; Assumptions'!$K$30*C1435/1000,IF('Model Inputs &amp; Assumptions'!$H$30="CPC",'Model Inputs &amp; Assumptions'!$I$30*'Model Inputs &amp; Assumptions'!$K$30*G1435,0)))</f>
        <v>6900</v>
      </c>
      <c r="J1435" s="50" t="n">
        <f aca="false">H1435*INDEX('Model Inputs &amp; Assumptions'!$D$40:$D$42,MATCH('Model Inputs &amp; Assumptions'!$L$30,'Model Inputs &amp; Assumptions'!$A$40:$A$42,0))*INDEX('Model Inputs &amp; Assumptions'!$H$40:$H$42,MATCH('Model Inputs &amp; Assumptions'!$L$30,'Model Inputs &amp; Assumptions'!$A$40:$A$42,0))</f>
        <v>274550.358929597</v>
      </c>
      <c r="K1435" s="49" t="n">
        <f aca="false">H1435*INDEX('Model Inputs &amp; Assumptions'!$G$40:$G$42,MATCH('Model Inputs &amp; Assumptions'!$L$30,'Model Inputs &amp; Assumptions'!$A$40:$A$42,0))*INDEX('Model Inputs &amp; Assumptions'!$H$40:$H$42,MATCH('Model Inputs &amp; Assumptions'!$L$30,'Model Inputs &amp; Assumptions'!$A$40:$A$42,0))</f>
        <v>6053.83541439761</v>
      </c>
      <c r="L1435" s="51" t="n">
        <f aca="false">IFERROR(K1435/I1435,0)</f>
        <v>0.877367451361972</v>
      </c>
      <c r="M1435" s="49" t="n">
        <f aca="false">IFERROR(I1435/H1435,0)</f>
        <v>180.950409949162</v>
      </c>
      <c r="N1435" s="52" t="str">
        <f aca="false">'Model Inputs &amp; Assumptions'!$L$30</f>
        <v>PRD-USIQ</v>
      </c>
      <c r="P1435" s="53" t="n">
        <v>0.694238</v>
      </c>
      <c r="Q1435" s="53" t="n">
        <v>-1.690618</v>
      </c>
      <c r="R1435" s="53" t="n">
        <v>-1.857286</v>
      </c>
      <c r="S1435" s="53" t="n">
        <v>0.247165</v>
      </c>
    </row>
    <row r="1436" customFormat="false" ht="15" hidden="false" customHeight="false" outlineLevel="0" collapsed="false">
      <c r="A1436" s="43" t="n">
        <v>433</v>
      </c>
      <c r="B1436" s="44" t="str">
        <f aca="false">'Model Inputs &amp; Assumptions'!$B$30</f>
        <v>extraETF — Newsletter Takeover</v>
      </c>
      <c r="C1436" s="45" t="n">
        <f aca="false">ROUND(MAX(0,'Model Inputs &amp; Assumptions'!$S$30*EXP('Model Inputs &amp; Assumptions'!$T$30*P1436-'Model Inputs &amp; Assumptions'!$T$30^2/2)),0)</f>
        <v>95539</v>
      </c>
      <c r="D1436" s="46" t="n">
        <f aca="false">MIN(1,'Model Inputs &amp; Assumptions'!$U$30*EXP('Model Inputs &amp; Assumptions'!$V$30*Q1436-'Model Inputs &amp; Assumptions'!$V$30^2/2))</f>
        <v>0</v>
      </c>
      <c r="E1436" s="45" t="n">
        <f aca="false">ROUND(C1436*D1436,0)</f>
        <v>0</v>
      </c>
      <c r="F1436" s="47" t="n">
        <f aca="false">MIN(1,'Model Inputs &amp; Assumptions'!$W$30*EXP('Model Inputs &amp; Assumptions'!$X$30*R1436-'Model Inputs &amp; Assumptions'!$X$30^2/2))</f>
        <v>0.00873128097553252</v>
      </c>
      <c r="G1436" s="45" t="n">
        <f aca="false">ROUND(C1436*F1436,0)</f>
        <v>834</v>
      </c>
      <c r="H1436" s="48" t="n">
        <f aca="false">MAX(0,(C1436*'Model Inputs &amp; Assumptions'!$N$30+E1436*'Model Inputs &amp; Assumptions'!$O$30+G1436*'Model Inputs &amp; Assumptions'!$P$30)*EXP('Model Inputs &amp; Assumptions'!$Q$30*S1436-'Model Inputs &amp; Assumptions'!$Q$30^2/2))</f>
        <v>59.0941770965109</v>
      </c>
      <c r="I1436" s="49" t="n">
        <f aca="false">IF('Model Inputs &amp; Assumptions'!$H$30="Fixed",'Model Inputs &amp; Assumptions'!$I$30*'Model Inputs &amp; Assumptions'!$K$30,IF('Model Inputs &amp; Assumptions'!$H$30="CPM",'Model Inputs &amp; Assumptions'!$I$30*'Model Inputs &amp; Assumptions'!$K$30*C1436/1000,IF('Model Inputs &amp; Assumptions'!$H$30="CPC",'Model Inputs &amp; Assumptions'!$I$30*'Model Inputs &amp; Assumptions'!$K$30*G1436,0)))</f>
        <v>6900</v>
      </c>
      <c r="J1436" s="50" t="n">
        <f aca="false">H1436*INDEX('Model Inputs &amp; Assumptions'!$D$40:$D$42,MATCH('Model Inputs &amp; Assumptions'!$L$30,'Model Inputs &amp; Assumptions'!$A$40:$A$42,0))*INDEX('Model Inputs &amp; Assumptions'!$H$40:$H$42,MATCH('Model Inputs &amp; Assumptions'!$L$30,'Model Inputs &amp; Assumptions'!$A$40:$A$42,0))</f>
        <v>425478.075094878</v>
      </c>
      <c r="K1436" s="49" t="n">
        <f aca="false">H1436*INDEX('Model Inputs &amp; Assumptions'!$G$40:$G$42,MATCH('Model Inputs &amp; Assumptions'!$L$30,'Model Inputs &amp; Assumptions'!$A$40:$A$42,0))*INDEX('Model Inputs &amp; Assumptions'!$H$40:$H$42,MATCH('Model Inputs &amp; Assumptions'!$L$30,'Model Inputs &amp; Assumptions'!$A$40:$A$42,0))</f>
        <v>9381.79155584206</v>
      </c>
      <c r="L1436" s="51" t="n">
        <f aca="false">IFERROR(K1436/I1436,0)</f>
        <v>1.35967993562928</v>
      </c>
      <c r="M1436" s="49" t="n">
        <f aca="false">IFERROR(I1436/H1436,0)</f>
        <v>116.762773237897</v>
      </c>
      <c r="N1436" s="52" t="str">
        <f aca="false">'Model Inputs &amp; Assumptions'!$L$30</f>
        <v>PRD-USIQ</v>
      </c>
      <c r="P1436" s="53" t="n">
        <v>0.744995</v>
      </c>
      <c r="Q1436" s="53" t="n">
        <v>-1.190365</v>
      </c>
      <c r="R1436" s="53" t="n">
        <v>0.658137</v>
      </c>
      <c r="S1436" s="53" t="n">
        <v>0.470068</v>
      </c>
    </row>
    <row r="1437" customFormat="false" ht="15" hidden="false" customHeight="false" outlineLevel="0" collapsed="false">
      <c r="A1437" s="43" t="n">
        <v>434</v>
      </c>
      <c r="B1437" s="44" t="str">
        <f aca="false">'Model Inputs &amp; Assumptions'!$B$30</f>
        <v>extraETF — Newsletter Takeover</v>
      </c>
      <c r="C1437" s="45" t="n">
        <f aca="false">ROUND(MAX(0,'Model Inputs &amp; Assumptions'!$S$30*EXP('Model Inputs &amp; Assumptions'!$T$30*P1437-'Model Inputs &amp; Assumptions'!$T$30^2/2)),0)</f>
        <v>113253</v>
      </c>
      <c r="D1437" s="46" t="n">
        <f aca="false">MIN(1,'Model Inputs &amp; Assumptions'!$U$30*EXP('Model Inputs &amp; Assumptions'!$V$30*Q1437-'Model Inputs &amp; Assumptions'!$V$30^2/2))</f>
        <v>0</v>
      </c>
      <c r="E1437" s="45" t="n">
        <f aca="false">ROUND(C1437*D1437,0)</f>
        <v>0</v>
      </c>
      <c r="F1437" s="47" t="n">
        <f aca="false">MIN(1,'Model Inputs &amp; Assumptions'!$W$30*EXP('Model Inputs &amp; Assumptions'!$X$30*R1437-'Model Inputs &amp; Assumptions'!$X$30^2/2))</f>
        <v>0.00914614603026236</v>
      </c>
      <c r="G1437" s="45" t="n">
        <f aca="false">ROUND(C1437*F1437,0)</f>
        <v>1036</v>
      </c>
      <c r="H1437" s="48" t="n">
        <f aca="false">MAX(0,(C1437*'Model Inputs &amp; Assumptions'!$N$30+E1437*'Model Inputs &amp; Assumptions'!$O$30+G1437*'Model Inputs &amp; Assumptions'!$P$30)*EXP('Model Inputs &amp; Assumptions'!$Q$30*S1437-'Model Inputs &amp; Assumptions'!$Q$30^2/2))</f>
        <v>86.8886282681287</v>
      </c>
      <c r="I1437" s="49" t="n">
        <f aca="false">IF('Model Inputs &amp; Assumptions'!$H$30="Fixed",'Model Inputs &amp; Assumptions'!$I$30*'Model Inputs &amp; Assumptions'!$K$30,IF('Model Inputs &amp; Assumptions'!$H$30="CPM",'Model Inputs &amp; Assumptions'!$I$30*'Model Inputs &amp; Assumptions'!$K$30*C1437/1000,IF('Model Inputs &amp; Assumptions'!$H$30="CPC",'Model Inputs &amp; Assumptions'!$I$30*'Model Inputs &amp; Assumptions'!$K$30*G1437,0)))</f>
        <v>6900</v>
      </c>
      <c r="J1437" s="50" t="n">
        <f aca="false">H1437*INDEX('Model Inputs &amp; Assumptions'!$D$40:$D$42,MATCH('Model Inputs &amp; Assumptions'!$L$30,'Model Inputs &amp; Assumptions'!$A$40:$A$42,0))*INDEX('Model Inputs &amp; Assumptions'!$H$40:$H$42,MATCH('Model Inputs &amp; Assumptions'!$L$30,'Model Inputs &amp; Assumptions'!$A$40:$A$42,0))</f>
        <v>625598.123530526</v>
      </c>
      <c r="K1437" s="49" t="n">
        <f aca="false">H1437*INDEX('Model Inputs &amp; Assumptions'!$G$40:$G$42,MATCH('Model Inputs &amp; Assumptions'!$L$30,'Model Inputs &amp; Assumptions'!$A$40:$A$42,0))*INDEX('Model Inputs &amp; Assumptions'!$H$40:$H$42,MATCH('Model Inputs &amp; Assumptions'!$L$30,'Model Inputs &amp; Assumptions'!$A$40:$A$42,0))</f>
        <v>13794.4386238481</v>
      </c>
      <c r="L1437" s="51" t="n">
        <f aca="false">IFERROR(K1437/I1437,0)</f>
        <v>1.99919400345625</v>
      </c>
      <c r="M1437" s="49" t="n">
        <f aca="false">IFERROR(I1437/H1437,0)</f>
        <v>79.4120028999349</v>
      </c>
      <c r="N1437" s="52" t="str">
        <f aca="false">'Model Inputs &amp; Assumptions'!$L$30</f>
        <v>PRD-USIQ</v>
      </c>
      <c r="P1437" s="53" t="n">
        <v>2.162431</v>
      </c>
      <c r="Q1437" s="53" t="n">
        <v>-0.717703</v>
      </c>
      <c r="R1437" s="53" t="n">
        <v>0.967607</v>
      </c>
      <c r="S1437" s="53" t="n">
        <v>1.144491</v>
      </c>
    </row>
    <row r="1438" customFormat="false" ht="15" hidden="false" customHeight="false" outlineLevel="0" collapsed="false">
      <c r="A1438" s="43" t="n">
        <v>435</v>
      </c>
      <c r="B1438" s="44" t="str">
        <f aca="false">'Model Inputs &amp; Assumptions'!$B$30</f>
        <v>extraETF — Newsletter Takeover</v>
      </c>
      <c r="C1438" s="45" t="n">
        <f aca="false">ROUND(MAX(0,'Model Inputs &amp; Assumptions'!$S$30*EXP('Model Inputs &amp; Assumptions'!$T$30*P1438-'Model Inputs &amp; Assumptions'!$T$30^2/2)),0)</f>
        <v>94239</v>
      </c>
      <c r="D1438" s="46" t="n">
        <f aca="false">MIN(1,'Model Inputs &amp; Assumptions'!$U$30*EXP('Model Inputs &amp; Assumptions'!$V$30*Q1438-'Model Inputs &amp; Assumptions'!$V$30^2/2))</f>
        <v>0</v>
      </c>
      <c r="E1438" s="45" t="n">
        <f aca="false">ROUND(C1438*D1438,0)</f>
        <v>0</v>
      </c>
      <c r="F1438" s="47" t="n">
        <f aca="false">MIN(1,'Model Inputs &amp; Assumptions'!$W$30*EXP('Model Inputs &amp; Assumptions'!$X$30*R1438-'Model Inputs &amp; Assumptions'!$X$30^2/2))</f>
        <v>0.00742866519373369</v>
      </c>
      <c r="G1438" s="45" t="n">
        <f aca="false">ROUND(C1438*F1438,0)</f>
        <v>700</v>
      </c>
      <c r="H1438" s="48" t="n">
        <f aca="false">MAX(0,(C1438*'Model Inputs &amp; Assumptions'!$N$30+E1438*'Model Inputs &amp; Assumptions'!$O$30+G1438*'Model Inputs &amp; Assumptions'!$P$30)*EXP('Model Inputs &amp; Assumptions'!$Q$30*S1438-'Model Inputs &amp; Assumptions'!$Q$30^2/2))</f>
        <v>45.7215081919003</v>
      </c>
      <c r="I1438" s="49" t="n">
        <f aca="false">IF('Model Inputs &amp; Assumptions'!$H$30="Fixed",'Model Inputs &amp; Assumptions'!$I$30*'Model Inputs &amp; Assumptions'!$K$30,IF('Model Inputs &amp; Assumptions'!$H$30="CPM",'Model Inputs &amp; Assumptions'!$I$30*'Model Inputs &amp; Assumptions'!$K$30*C1438/1000,IF('Model Inputs &amp; Assumptions'!$H$30="CPC",'Model Inputs &amp; Assumptions'!$I$30*'Model Inputs &amp; Assumptions'!$K$30*G1438,0)))</f>
        <v>6900</v>
      </c>
      <c r="J1438" s="50" t="n">
        <f aca="false">H1438*INDEX('Model Inputs &amp; Assumptions'!$D$40:$D$42,MATCH('Model Inputs &amp; Assumptions'!$L$30,'Model Inputs &amp; Assumptions'!$A$40:$A$42,0))*INDEX('Model Inputs &amp; Assumptions'!$H$40:$H$42,MATCH('Model Inputs &amp; Assumptions'!$L$30,'Model Inputs &amp; Assumptions'!$A$40:$A$42,0))</f>
        <v>329194.858981682</v>
      </c>
      <c r="K1438" s="49" t="n">
        <f aca="false">H1438*INDEX('Model Inputs &amp; Assumptions'!$G$40:$G$42,MATCH('Model Inputs &amp; Assumptions'!$L$30,'Model Inputs &amp; Assumptions'!$A$40:$A$42,0))*INDEX('Model Inputs &amp; Assumptions'!$H$40:$H$42,MATCH('Model Inputs &amp; Assumptions'!$L$30,'Model Inputs &amp; Assumptions'!$A$40:$A$42,0))</f>
        <v>7258.7466405461</v>
      </c>
      <c r="L1438" s="51" t="n">
        <f aca="false">IFERROR(K1438/I1438,0)</f>
        <v>1.05199226674581</v>
      </c>
      <c r="M1438" s="49" t="n">
        <f aca="false">IFERROR(I1438/H1438,0)</f>
        <v>150.913656895123</v>
      </c>
      <c r="N1438" s="52" t="str">
        <f aca="false">'Model Inputs &amp; Assumptions'!$L$30</f>
        <v>PRD-USIQ</v>
      </c>
      <c r="P1438" s="53" t="n">
        <v>0.630776</v>
      </c>
      <c r="Q1438" s="53" t="n">
        <v>0.49705</v>
      </c>
      <c r="R1438" s="53" t="n">
        <v>-0.418969</v>
      </c>
      <c r="S1438" s="53" t="n">
        <v>0.144426</v>
      </c>
    </row>
    <row r="1439" customFormat="false" ht="15" hidden="false" customHeight="false" outlineLevel="0" collapsed="false">
      <c r="A1439" s="43" t="n">
        <v>436</v>
      </c>
      <c r="B1439" s="44" t="str">
        <f aca="false">'Model Inputs &amp; Assumptions'!$B$30</f>
        <v>extraETF — Newsletter Takeover</v>
      </c>
      <c r="C1439" s="45" t="n">
        <f aca="false">ROUND(MAX(0,'Model Inputs &amp; Assumptions'!$S$30*EXP('Model Inputs &amp; Assumptions'!$T$30*P1439-'Model Inputs &amp; Assumptions'!$T$30^2/2)),0)</f>
        <v>92102</v>
      </c>
      <c r="D1439" s="46" t="n">
        <f aca="false">MIN(1,'Model Inputs &amp; Assumptions'!$U$30*EXP('Model Inputs &amp; Assumptions'!$V$30*Q1439-'Model Inputs &amp; Assumptions'!$V$30^2/2))</f>
        <v>0</v>
      </c>
      <c r="E1439" s="45" t="n">
        <f aca="false">ROUND(C1439*D1439,0)</f>
        <v>0</v>
      </c>
      <c r="F1439" s="47" t="n">
        <f aca="false">MIN(1,'Model Inputs &amp; Assumptions'!$W$30*EXP('Model Inputs &amp; Assumptions'!$X$30*R1439-'Model Inputs &amp; Assumptions'!$X$30^2/2))</f>
        <v>0.00700649335820339</v>
      </c>
      <c r="G1439" s="45" t="n">
        <f aca="false">ROUND(C1439*F1439,0)</f>
        <v>645</v>
      </c>
      <c r="H1439" s="48" t="n">
        <f aca="false">MAX(0,(C1439*'Model Inputs &amp; Assumptions'!$N$30+E1439*'Model Inputs &amp; Assumptions'!$O$30+G1439*'Model Inputs &amp; Assumptions'!$P$30)*EXP('Model Inputs &amp; Assumptions'!$Q$30*S1439-'Model Inputs &amp; Assumptions'!$Q$30^2/2))</f>
        <v>46.4156324020633</v>
      </c>
      <c r="I1439" s="49" t="n">
        <f aca="false">IF('Model Inputs &amp; Assumptions'!$H$30="Fixed",'Model Inputs &amp; Assumptions'!$I$30*'Model Inputs &amp; Assumptions'!$K$30,IF('Model Inputs &amp; Assumptions'!$H$30="CPM",'Model Inputs &amp; Assumptions'!$I$30*'Model Inputs &amp; Assumptions'!$K$30*C1439/1000,IF('Model Inputs &amp; Assumptions'!$H$30="CPC",'Model Inputs &amp; Assumptions'!$I$30*'Model Inputs &amp; Assumptions'!$K$30*G1439,0)))</f>
        <v>6900</v>
      </c>
      <c r="J1439" s="50" t="n">
        <f aca="false">H1439*INDEX('Model Inputs &amp; Assumptions'!$D$40:$D$42,MATCH('Model Inputs &amp; Assumptions'!$L$30,'Model Inputs &amp; Assumptions'!$A$40:$A$42,0))*INDEX('Model Inputs &amp; Assumptions'!$H$40:$H$42,MATCH('Model Inputs &amp; Assumptions'!$L$30,'Model Inputs &amp; Assumptions'!$A$40:$A$42,0))</f>
        <v>334192.553294856</v>
      </c>
      <c r="K1439" s="49" t="n">
        <f aca="false">H1439*INDEX('Model Inputs &amp; Assumptions'!$G$40:$G$42,MATCH('Model Inputs &amp; Assumptions'!$L$30,'Model Inputs &amp; Assumptions'!$A$40:$A$42,0))*INDEX('Model Inputs &amp; Assumptions'!$H$40:$H$42,MATCH('Model Inputs &amp; Assumptions'!$L$30,'Model Inputs &amp; Assumptions'!$A$40:$A$42,0))</f>
        <v>7368.94580015157</v>
      </c>
      <c r="L1439" s="51" t="n">
        <f aca="false">IFERROR(K1439/I1439,0)</f>
        <v>1.06796315944226</v>
      </c>
      <c r="M1439" s="49" t="n">
        <f aca="false">IFERROR(I1439/H1439,0)</f>
        <v>148.6568132958</v>
      </c>
      <c r="N1439" s="52" t="str">
        <f aca="false">'Model Inputs &amp; Assumptions'!$L$30</f>
        <v>PRD-USIQ</v>
      </c>
      <c r="P1439" s="53" t="n">
        <v>0.439679</v>
      </c>
      <c r="Q1439" s="53" t="n">
        <v>0.692978</v>
      </c>
      <c r="R1439" s="53" t="n">
        <v>-0.809028</v>
      </c>
      <c r="S1439" s="53" t="n">
        <v>0.532016</v>
      </c>
    </row>
    <row r="1440" customFormat="false" ht="15" hidden="false" customHeight="false" outlineLevel="0" collapsed="false">
      <c r="A1440" s="43" t="n">
        <v>437</v>
      </c>
      <c r="B1440" s="44" t="str">
        <f aca="false">'Model Inputs &amp; Assumptions'!$B$30</f>
        <v>extraETF — Newsletter Takeover</v>
      </c>
      <c r="C1440" s="45" t="n">
        <f aca="false">ROUND(MAX(0,'Model Inputs &amp; Assumptions'!$S$30*EXP('Model Inputs &amp; Assumptions'!$T$30*P1440-'Model Inputs &amp; Assumptions'!$T$30^2/2)),0)</f>
        <v>84204</v>
      </c>
      <c r="D1440" s="46" t="n">
        <f aca="false">MIN(1,'Model Inputs &amp; Assumptions'!$U$30*EXP('Model Inputs &amp; Assumptions'!$V$30*Q1440-'Model Inputs &amp; Assumptions'!$V$30^2/2))</f>
        <v>0</v>
      </c>
      <c r="E1440" s="45" t="n">
        <f aca="false">ROUND(C1440*D1440,0)</f>
        <v>0</v>
      </c>
      <c r="F1440" s="47" t="n">
        <f aca="false">MIN(1,'Model Inputs &amp; Assumptions'!$W$30*EXP('Model Inputs &amp; Assumptions'!$X$30*R1440-'Model Inputs &amp; Assumptions'!$X$30^2/2))</f>
        <v>0.00916444792058625</v>
      </c>
      <c r="G1440" s="45" t="n">
        <f aca="false">ROUND(C1440*F1440,0)</f>
        <v>772</v>
      </c>
      <c r="H1440" s="48" t="n">
        <f aca="false">MAX(0,(C1440*'Model Inputs &amp; Assumptions'!$N$30+E1440*'Model Inputs &amp; Assumptions'!$O$30+G1440*'Model Inputs &amp; Assumptions'!$P$30)*EXP('Model Inputs &amp; Assumptions'!$Q$30*S1440-'Model Inputs &amp; Assumptions'!$Q$30^2/2))</f>
        <v>63.1506436370332</v>
      </c>
      <c r="I1440" s="49" t="n">
        <f aca="false">IF('Model Inputs &amp; Assumptions'!$H$30="Fixed",'Model Inputs &amp; Assumptions'!$I$30*'Model Inputs &amp; Assumptions'!$K$30,IF('Model Inputs &amp; Assumptions'!$H$30="CPM",'Model Inputs &amp; Assumptions'!$I$30*'Model Inputs &amp; Assumptions'!$K$30*C1440/1000,IF('Model Inputs &amp; Assumptions'!$H$30="CPC",'Model Inputs &amp; Assumptions'!$I$30*'Model Inputs &amp; Assumptions'!$K$30*G1440,0)))</f>
        <v>6900</v>
      </c>
      <c r="J1440" s="50" t="n">
        <f aca="false">H1440*INDEX('Model Inputs &amp; Assumptions'!$D$40:$D$42,MATCH('Model Inputs &amp; Assumptions'!$L$30,'Model Inputs &amp; Assumptions'!$A$40:$A$42,0))*INDEX('Model Inputs &amp; Assumptions'!$H$40:$H$42,MATCH('Model Inputs &amp; Assumptions'!$L$30,'Model Inputs &amp; Assumptions'!$A$40:$A$42,0))</f>
        <v>454684.634186639</v>
      </c>
      <c r="K1440" s="49" t="n">
        <f aca="false">H1440*INDEX('Model Inputs &amp; Assumptions'!$G$40:$G$42,MATCH('Model Inputs &amp; Assumptions'!$L$30,'Model Inputs &amp; Assumptions'!$A$40:$A$42,0))*INDEX('Model Inputs &amp; Assumptions'!$H$40:$H$42,MATCH('Model Inputs &amp; Assumptions'!$L$30,'Model Inputs &amp; Assumptions'!$A$40:$A$42,0))</f>
        <v>10025.7961838154</v>
      </c>
      <c r="L1440" s="51" t="n">
        <f aca="false">IFERROR(K1440/I1440,0)</f>
        <v>1.45301393968339</v>
      </c>
      <c r="M1440" s="49" t="n">
        <f aca="false">IFERROR(I1440/H1440,0)</f>
        <v>109.262544332227</v>
      </c>
      <c r="N1440" s="52" t="str">
        <f aca="false">'Model Inputs &amp; Assumptions'!$L$30</f>
        <v>PRD-USIQ</v>
      </c>
      <c r="P1440" s="53" t="n">
        <v>-0.30741</v>
      </c>
      <c r="Q1440" s="53" t="n">
        <v>0.095031</v>
      </c>
      <c r="R1440" s="53" t="n">
        <v>0.980934</v>
      </c>
      <c r="S1440" s="53" t="n">
        <v>1.044626</v>
      </c>
    </row>
    <row r="1441" customFormat="false" ht="15" hidden="false" customHeight="false" outlineLevel="0" collapsed="false">
      <c r="A1441" s="43" t="n">
        <v>438</v>
      </c>
      <c r="B1441" s="44" t="str">
        <f aca="false">'Model Inputs &amp; Assumptions'!$B$30</f>
        <v>extraETF — Newsletter Takeover</v>
      </c>
      <c r="C1441" s="45" t="n">
        <f aca="false">ROUND(MAX(0,'Model Inputs &amp; Assumptions'!$S$30*EXP('Model Inputs &amp; Assumptions'!$T$30*P1441-'Model Inputs &amp; Assumptions'!$T$30^2/2)),0)</f>
        <v>90483</v>
      </c>
      <c r="D1441" s="46" t="n">
        <f aca="false">MIN(1,'Model Inputs &amp; Assumptions'!$U$30*EXP('Model Inputs &amp; Assumptions'!$V$30*Q1441-'Model Inputs &amp; Assumptions'!$V$30^2/2))</f>
        <v>0</v>
      </c>
      <c r="E1441" s="45" t="n">
        <f aca="false">ROUND(C1441*D1441,0)</f>
        <v>0</v>
      </c>
      <c r="F1441" s="47" t="n">
        <f aca="false">MIN(1,'Model Inputs &amp; Assumptions'!$W$30*EXP('Model Inputs &amp; Assumptions'!$X$30*R1441-'Model Inputs &amp; Assumptions'!$X$30^2/2))</f>
        <v>0.00808493490510349</v>
      </c>
      <c r="G1441" s="45" t="n">
        <f aca="false">ROUND(C1441*F1441,0)</f>
        <v>732</v>
      </c>
      <c r="H1441" s="48" t="n">
        <f aca="false">MAX(0,(C1441*'Model Inputs &amp; Assumptions'!$N$30+E1441*'Model Inputs &amp; Assumptions'!$O$30+G1441*'Model Inputs &amp; Assumptions'!$P$30)*EXP('Model Inputs &amp; Assumptions'!$Q$30*S1441-'Model Inputs &amp; Assumptions'!$Q$30^2/2))</f>
        <v>47.3370721488936</v>
      </c>
      <c r="I1441" s="49" t="n">
        <f aca="false">IF('Model Inputs &amp; Assumptions'!$H$30="Fixed",'Model Inputs &amp; Assumptions'!$I$30*'Model Inputs &amp; Assumptions'!$K$30,IF('Model Inputs &amp; Assumptions'!$H$30="CPM",'Model Inputs &amp; Assumptions'!$I$30*'Model Inputs &amp; Assumptions'!$K$30*C1441/1000,IF('Model Inputs &amp; Assumptions'!$H$30="CPC",'Model Inputs &amp; Assumptions'!$I$30*'Model Inputs &amp; Assumptions'!$K$30*G1441,0)))</f>
        <v>6900</v>
      </c>
      <c r="J1441" s="50" t="n">
        <f aca="false">H1441*INDEX('Model Inputs &amp; Assumptions'!$D$40:$D$42,MATCH('Model Inputs &amp; Assumptions'!$L$30,'Model Inputs &amp; Assumptions'!$A$40:$A$42,0))*INDEX('Model Inputs &amp; Assumptions'!$H$40:$H$42,MATCH('Model Inputs &amp; Assumptions'!$L$30,'Model Inputs &amp; Assumptions'!$A$40:$A$42,0))</f>
        <v>340826.919472034</v>
      </c>
      <c r="K1441" s="49" t="n">
        <f aca="false">H1441*INDEX('Model Inputs &amp; Assumptions'!$G$40:$G$42,MATCH('Model Inputs &amp; Assumptions'!$L$30,'Model Inputs &amp; Assumptions'!$A$40:$A$42,0))*INDEX('Model Inputs &amp; Assumptions'!$H$40:$H$42,MATCH('Model Inputs &amp; Assumptions'!$L$30,'Model Inputs &amp; Assumptions'!$A$40:$A$42,0))</f>
        <v>7515.23357435835</v>
      </c>
      <c r="L1441" s="51" t="n">
        <f aca="false">IFERROR(K1441/I1441,0)</f>
        <v>1.08916428613889</v>
      </c>
      <c r="M1441" s="49" t="n">
        <f aca="false">IFERROR(I1441/H1441,0)</f>
        <v>145.763134194206</v>
      </c>
      <c r="N1441" s="52" t="str">
        <f aca="false">'Model Inputs &amp; Assumptions'!$L$30</f>
        <v>PRD-USIQ</v>
      </c>
      <c r="P1441" s="53" t="n">
        <v>0.291881</v>
      </c>
      <c r="Q1441" s="53" t="n">
        <v>-1.12664</v>
      </c>
      <c r="R1441" s="53" t="n">
        <v>0.145406</v>
      </c>
      <c r="S1441" s="53" t="n">
        <v>0.104525</v>
      </c>
    </row>
    <row r="1442" customFormat="false" ht="15" hidden="false" customHeight="false" outlineLevel="0" collapsed="false">
      <c r="A1442" s="43" t="n">
        <v>439</v>
      </c>
      <c r="B1442" s="44" t="str">
        <f aca="false">'Model Inputs &amp; Assumptions'!$B$30</f>
        <v>extraETF — Newsletter Takeover</v>
      </c>
      <c r="C1442" s="45" t="n">
        <f aca="false">ROUND(MAX(0,'Model Inputs &amp; Assumptions'!$S$30*EXP('Model Inputs &amp; Assumptions'!$T$30*P1442-'Model Inputs &amp; Assumptions'!$T$30^2/2)),0)</f>
        <v>73001</v>
      </c>
      <c r="D1442" s="46" t="n">
        <f aca="false">MIN(1,'Model Inputs &amp; Assumptions'!$U$30*EXP('Model Inputs &amp; Assumptions'!$V$30*Q1442-'Model Inputs &amp; Assumptions'!$V$30^2/2))</f>
        <v>0</v>
      </c>
      <c r="E1442" s="45" t="n">
        <f aca="false">ROUND(C1442*D1442,0)</f>
        <v>0</v>
      </c>
      <c r="F1442" s="47" t="n">
        <f aca="false">MIN(1,'Model Inputs &amp; Assumptions'!$W$30*EXP('Model Inputs &amp; Assumptions'!$X$30*R1442-'Model Inputs &amp; Assumptions'!$X$30^2/2))</f>
        <v>0.00603257132365114</v>
      </c>
      <c r="G1442" s="45" t="n">
        <f aca="false">ROUND(C1442*F1442,0)</f>
        <v>440</v>
      </c>
      <c r="H1442" s="48" t="n">
        <f aca="false">MAX(0,(C1442*'Model Inputs &amp; Assumptions'!$N$30+E1442*'Model Inputs &amp; Assumptions'!$O$30+G1442*'Model Inputs &amp; Assumptions'!$P$30)*EXP('Model Inputs &amp; Assumptions'!$Q$30*S1442-'Model Inputs &amp; Assumptions'!$Q$30^2/2))</f>
        <v>32.4437709986531</v>
      </c>
      <c r="I1442" s="49" t="n">
        <f aca="false">IF('Model Inputs &amp; Assumptions'!$H$30="Fixed",'Model Inputs &amp; Assumptions'!$I$30*'Model Inputs &amp; Assumptions'!$K$30,IF('Model Inputs &amp; Assumptions'!$H$30="CPM",'Model Inputs &amp; Assumptions'!$I$30*'Model Inputs &amp; Assumptions'!$K$30*C1442/1000,IF('Model Inputs &amp; Assumptions'!$H$30="CPC",'Model Inputs &amp; Assumptions'!$I$30*'Model Inputs &amp; Assumptions'!$K$30*G1442,0)))</f>
        <v>6900</v>
      </c>
      <c r="J1442" s="50" t="n">
        <f aca="false">H1442*INDEX('Model Inputs &amp; Assumptions'!$D$40:$D$42,MATCH('Model Inputs &amp; Assumptions'!$L$30,'Model Inputs &amp; Assumptions'!$A$40:$A$42,0))*INDEX('Model Inputs &amp; Assumptions'!$H$40:$H$42,MATCH('Model Inputs &amp; Assumptions'!$L$30,'Model Inputs &amp; Assumptions'!$A$40:$A$42,0))</f>
        <v>233595.151190303</v>
      </c>
      <c r="K1442" s="49" t="n">
        <f aca="false">H1442*INDEX('Model Inputs &amp; Assumptions'!$G$40:$G$42,MATCH('Model Inputs &amp; Assumptions'!$L$30,'Model Inputs &amp; Assumptions'!$A$40:$A$42,0))*INDEX('Model Inputs &amp; Assumptions'!$H$40:$H$42,MATCH('Model Inputs &amp; Assumptions'!$L$30,'Model Inputs &amp; Assumptions'!$A$40:$A$42,0))</f>
        <v>5150.77308374617</v>
      </c>
      <c r="L1442" s="51" t="n">
        <f aca="false">IFERROR(K1442/I1442,0)</f>
        <v>0.746488852716836</v>
      </c>
      <c r="M1442" s="49" t="n">
        <f aca="false">IFERROR(I1442/H1442,0)</f>
        <v>212.675647361906</v>
      </c>
      <c r="N1442" s="52" t="str">
        <f aca="false">'Model Inputs &amp; Assumptions'!$L$30</f>
        <v>PRD-USIQ</v>
      </c>
      <c r="P1442" s="53" t="n">
        <v>-1.497142</v>
      </c>
      <c r="Q1442" s="53" t="n">
        <v>2.632505</v>
      </c>
      <c r="R1442" s="53" t="n">
        <v>-1.806788</v>
      </c>
      <c r="S1442" s="53" t="n">
        <v>0.629407</v>
      </c>
    </row>
    <row r="1443" customFormat="false" ht="15" hidden="false" customHeight="false" outlineLevel="0" collapsed="false">
      <c r="A1443" s="43" t="n">
        <v>440</v>
      </c>
      <c r="B1443" s="44" t="str">
        <f aca="false">'Model Inputs &amp; Assumptions'!$B$30</f>
        <v>extraETF — Newsletter Takeover</v>
      </c>
      <c r="C1443" s="45" t="n">
        <f aca="false">ROUND(MAX(0,'Model Inputs &amp; Assumptions'!$S$30*EXP('Model Inputs &amp; Assumptions'!$T$30*P1443-'Model Inputs &amp; Assumptions'!$T$30^2/2)),0)</f>
        <v>92089</v>
      </c>
      <c r="D1443" s="46" t="n">
        <f aca="false">MIN(1,'Model Inputs &amp; Assumptions'!$U$30*EXP('Model Inputs &amp; Assumptions'!$V$30*Q1443-'Model Inputs &amp; Assumptions'!$V$30^2/2))</f>
        <v>0</v>
      </c>
      <c r="E1443" s="45" t="n">
        <f aca="false">ROUND(C1443*D1443,0)</f>
        <v>0</v>
      </c>
      <c r="F1443" s="47" t="n">
        <f aca="false">MIN(1,'Model Inputs &amp; Assumptions'!$W$30*EXP('Model Inputs &amp; Assumptions'!$X$30*R1443-'Model Inputs &amp; Assumptions'!$X$30^2/2))</f>
        <v>0.00969743620373063</v>
      </c>
      <c r="G1443" s="45" t="n">
        <f aca="false">ROUND(C1443*F1443,0)</f>
        <v>893</v>
      </c>
      <c r="H1443" s="48" t="n">
        <f aca="false">MAX(0,(C1443*'Model Inputs &amp; Assumptions'!$N$30+E1443*'Model Inputs &amp; Assumptions'!$O$30+G1443*'Model Inputs &amp; Assumptions'!$P$30)*EXP('Model Inputs &amp; Assumptions'!$Q$30*S1443-'Model Inputs &amp; Assumptions'!$Q$30^2/2))</f>
        <v>50.0586251603453</v>
      </c>
      <c r="I1443" s="49" t="n">
        <f aca="false">IF('Model Inputs &amp; Assumptions'!$H$30="Fixed",'Model Inputs &amp; Assumptions'!$I$30*'Model Inputs &amp; Assumptions'!$K$30,IF('Model Inputs &amp; Assumptions'!$H$30="CPM",'Model Inputs &amp; Assumptions'!$I$30*'Model Inputs &amp; Assumptions'!$K$30*C1443/1000,IF('Model Inputs &amp; Assumptions'!$H$30="CPC",'Model Inputs &amp; Assumptions'!$I$30*'Model Inputs &amp; Assumptions'!$K$30*G1443,0)))</f>
        <v>6900</v>
      </c>
      <c r="J1443" s="50" t="n">
        <f aca="false">H1443*INDEX('Model Inputs &amp; Assumptions'!$D$40:$D$42,MATCH('Model Inputs &amp; Assumptions'!$L$30,'Model Inputs &amp; Assumptions'!$A$40:$A$42,0))*INDEX('Model Inputs &amp; Assumptions'!$H$40:$H$42,MATCH('Model Inputs &amp; Assumptions'!$L$30,'Model Inputs &amp; Assumptions'!$A$40:$A$42,0))</f>
        <v>360422.101154486</v>
      </c>
      <c r="K1443" s="49" t="n">
        <f aca="false">H1443*INDEX('Model Inputs &amp; Assumptions'!$G$40:$G$42,MATCH('Model Inputs &amp; Assumptions'!$L$30,'Model Inputs &amp; Assumptions'!$A$40:$A$42,0))*INDEX('Model Inputs &amp; Assumptions'!$H$40:$H$42,MATCH('Model Inputs &amp; Assumptions'!$L$30,'Model Inputs &amp; Assumptions'!$A$40:$A$42,0))</f>
        <v>7947.30733045641</v>
      </c>
      <c r="L1443" s="51" t="n">
        <f aca="false">IFERROR(K1443/I1443,0)</f>
        <v>1.15178367108064</v>
      </c>
      <c r="M1443" s="49" t="n">
        <f aca="false">IFERROR(I1443/H1443,0)</f>
        <v>137.838384052664</v>
      </c>
      <c r="N1443" s="52" t="str">
        <f aca="false">'Model Inputs &amp; Assumptions'!$L$30</f>
        <v>PRD-USIQ</v>
      </c>
      <c r="P1443" s="53" t="n">
        <v>0.438487</v>
      </c>
      <c r="Q1443" s="53" t="n">
        <v>-0.441162</v>
      </c>
      <c r="R1443" s="53" t="n">
        <v>1.3578</v>
      </c>
      <c r="S1443" s="53" t="n">
        <v>-0.467095</v>
      </c>
    </row>
    <row r="1444" customFormat="false" ht="15" hidden="false" customHeight="false" outlineLevel="0" collapsed="false">
      <c r="A1444" s="43" t="n">
        <v>441</v>
      </c>
      <c r="B1444" s="44" t="str">
        <f aca="false">'Model Inputs &amp; Assumptions'!$B$30</f>
        <v>extraETF — Newsletter Takeover</v>
      </c>
      <c r="C1444" s="45" t="n">
        <f aca="false">ROUND(MAX(0,'Model Inputs &amp; Assumptions'!$S$30*EXP('Model Inputs &amp; Assumptions'!$T$30*P1444-'Model Inputs &amp; Assumptions'!$T$30^2/2)),0)</f>
        <v>109863</v>
      </c>
      <c r="D1444" s="46" t="n">
        <f aca="false">MIN(1,'Model Inputs &amp; Assumptions'!$U$30*EXP('Model Inputs &amp; Assumptions'!$V$30*Q1444-'Model Inputs &amp; Assumptions'!$V$30^2/2))</f>
        <v>0</v>
      </c>
      <c r="E1444" s="45" t="n">
        <f aca="false">ROUND(C1444*D1444,0)</f>
        <v>0</v>
      </c>
      <c r="F1444" s="47" t="n">
        <f aca="false">MIN(1,'Model Inputs &amp; Assumptions'!$W$30*EXP('Model Inputs &amp; Assumptions'!$X$30*R1444-'Model Inputs &amp; Assumptions'!$X$30^2/2))</f>
        <v>0.00965440841571742</v>
      </c>
      <c r="G1444" s="45" t="n">
        <f aca="false">ROUND(C1444*F1444,0)</f>
        <v>1061</v>
      </c>
      <c r="H1444" s="48" t="n">
        <f aca="false">MAX(0,(C1444*'Model Inputs &amp; Assumptions'!$N$30+E1444*'Model Inputs &amp; Assumptions'!$O$30+G1444*'Model Inputs &amp; Assumptions'!$P$30)*EXP('Model Inputs &amp; Assumptions'!$Q$30*S1444-'Model Inputs &amp; Assumptions'!$Q$30^2/2))</f>
        <v>44.8597353463137</v>
      </c>
      <c r="I1444" s="49" t="n">
        <f aca="false">IF('Model Inputs &amp; Assumptions'!$H$30="Fixed",'Model Inputs &amp; Assumptions'!$I$30*'Model Inputs &amp; Assumptions'!$K$30,IF('Model Inputs &amp; Assumptions'!$H$30="CPM",'Model Inputs &amp; Assumptions'!$I$30*'Model Inputs &amp; Assumptions'!$K$30*C1444/1000,IF('Model Inputs &amp; Assumptions'!$H$30="CPC",'Model Inputs &amp; Assumptions'!$I$30*'Model Inputs &amp; Assumptions'!$K$30*G1444,0)))</f>
        <v>6900</v>
      </c>
      <c r="J1444" s="50" t="n">
        <f aca="false">H1444*INDEX('Model Inputs &amp; Assumptions'!$D$40:$D$42,MATCH('Model Inputs &amp; Assumptions'!$L$30,'Model Inputs &amp; Assumptions'!$A$40:$A$42,0))*INDEX('Model Inputs &amp; Assumptions'!$H$40:$H$42,MATCH('Model Inputs &amp; Assumptions'!$L$30,'Model Inputs &amp; Assumptions'!$A$40:$A$42,0))</f>
        <v>322990.094493458</v>
      </c>
      <c r="K1444" s="49" t="n">
        <f aca="false">H1444*INDEX('Model Inputs &amp; Assumptions'!$G$40:$G$42,MATCH('Model Inputs &amp; Assumptions'!$L$30,'Model Inputs &amp; Assumptions'!$A$40:$A$42,0))*INDEX('Model Inputs &amp; Assumptions'!$H$40:$H$42,MATCH('Model Inputs &amp; Assumptions'!$L$30,'Model Inputs &amp; Assumptions'!$A$40:$A$42,0))</f>
        <v>7121.93158358076</v>
      </c>
      <c r="L1444" s="51" t="n">
        <f aca="false">IFERROR(K1444/I1444,0)</f>
        <v>1.0321639976204</v>
      </c>
      <c r="M1444" s="49" t="n">
        <f aca="false">IFERROR(I1444/H1444,0)</f>
        <v>153.812766542926</v>
      </c>
      <c r="N1444" s="52" t="str">
        <f aca="false">'Model Inputs &amp; Assumptions'!$L$30</f>
        <v>PRD-USIQ</v>
      </c>
      <c r="P1444" s="53" t="n">
        <v>1.909144</v>
      </c>
      <c r="Q1444" s="53" t="n">
        <v>-0.059985</v>
      </c>
      <c r="R1444" s="53" t="n">
        <v>1.328154</v>
      </c>
      <c r="S1444" s="53" t="n">
        <v>-1.595234</v>
      </c>
    </row>
    <row r="1445" customFormat="false" ht="15" hidden="false" customHeight="false" outlineLevel="0" collapsed="false">
      <c r="A1445" s="43" t="n">
        <v>442</v>
      </c>
      <c r="B1445" s="44" t="str">
        <f aca="false">'Model Inputs &amp; Assumptions'!$B$30</f>
        <v>extraETF — Newsletter Takeover</v>
      </c>
      <c r="C1445" s="45" t="n">
        <f aca="false">ROUND(MAX(0,'Model Inputs &amp; Assumptions'!$S$30*EXP('Model Inputs &amp; Assumptions'!$T$30*P1445-'Model Inputs &amp; Assumptions'!$T$30^2/2)),0)</f>
        <v>81822</v>
      </c>
      <c r="D1445" s="46" t="n">
        <f aca="false">MIN(1,'Model Inputs &amp; Assumptions'!$U$30*EXP('Model Inputs &amp; Assumptions'!$V$30*Q1445-'Model Inputs &amp; Assumptions'!$V$30^2/2))</f>
        <v>0</v>
      </c>
      <c r="E1445" s="45" t="n">
        <f aca="false">ROUND(C1445*D1445,0)</f>
        <v>0</v>
      </c>
      <c r="F1445" s="47" t="n">
        <f aca="false">MIN(1,'Model Inputs &amp; Assumptions'!$W$30*EXP('Model Inputs &amp; Assumptions'!$X$30*R1445-'Model Inputs &amp; Assumptions'!$X$30^2/2))</f>
        <v>0.00767491057300646</v>
      </c>
      <c r="G1445" s="45" t="n">
        <f aca="false">ROUND(C1445*F1445,0)</f>
        <v>628</v>
      </c>
      <c r="H1445" s="48" t="n">
        <f aca="false">MAX(0,(C1445*'Model Inputs &amp; Assumptions'!$N$30+E1445*'Model Inputs &amp; Assumptions'!$O$30+G1445*'Model Inputs &amp; Assumptions'!$P$30)*EXP('Model Inputs &amp; Assumptions'!$Q$30*S1445-'Model Inputs &amp; Assumptions'!$Q$30^2/2))</f>
        <v>39.8849140087748</v>
      </c>
      <c r="I1445" s="49" t="n">
        <f aca="false">IF('Model Inputs &amp; Assumptions'!$H$30="Fixed",'Model Inputs &amp; Assumptions'!$I$30*'Model Inputs &amp; Assumptions'!$K$30,IF('Model Inputs &amp; Assumptions'!$H$30="CPM",'Model Inputs &amp; Assumptions'!$I$30*'Model Inputs &amp; Assumptions'!$K$30*C1445/1000,IF('Model Inputs &amp; Assumptions'!$H$30="CPC",'Model Inputs &amp; Assumptions'!$I$30*'Model Inputs &amp; Assumptions'!$K$30*G1445,0)))</f>
        <v>6900</v>
      </c>
      <c r="J1445" s="50" t="n">
        <f aca="false">H1445*INDEX('Model Inputs &amp; Assumptions'!$D$40:$D$42,MATCH('Model Inputs &amp; Assumptions'!$L$30,'Model Inputs &amp; Assumptions'!$A$40:$A$42,0))*INDEX('Model Inputs &amp; Assumptions'!$H$40:$H$42,MATCH('Model Inputs &amp; Assumptions'!$L$30,'Model Inputs &amp; Assumptions'!$A$40:$A$42,0))</f>
        <v>287171.380863179</v>
      </c>
      <c r="K1445" s="49" t="n">
        <f aca="false">H1445*INDEX('Model Inputs &amp; Assumptions'!$G$40:$G$42,MATCH('Model Inputs &amp; Assumptions'!$L$30,'Model Inputs &amp; Assumptions'!$A$40:$A$42,0))*INDEX('Model Inputs &amp; Assumptions'!$H$40:$H$42,MATCH('Model Inputs &amp; Assumptions'!$L$30,'Model Inputs &amp; Assumptions'!$A$40:$A$42,0))</f>
        <v>6332.12894803309</v>
      </c>
      <c r="L1445" s="51" t="n">
        <f aca="false">IFERROR(K1445/I1445,0)</f>
        <v>0.917699847541027</v>
      </c>
      <c r="M1445" s="49" t="n">
        <f aca="false">IFERROR(I1445/H1445,0)</f>
        <v>172.997740410873</v>
      </c>
      <c r="N1445" s="52" t="str">
        <f aca="false">'Model Inputs &amp; Assumptions'!$L$30</f>
        <v>PRD-USIQ</v>
      </c>
      <c r="P1445" s="53" t="n">
        <v>-0.546621</v>
      </c>
      <c r="Q1445" s="53" t="n">
        <v>-1.095955</v>
      </c>
      <c r="R1445" s="53" t="n">
        <v>-0.201566</v>
      </c>
      <c r="S1445" s="53" t="n">
        <v>0.032304</v>
      </c>
    </row>
    <row r="1446" customFormat="false" ht="15" hidden="false" customHeight="false" outlineLevel="0" collapsed="false">
      <c r="A1446" s="43" t="n">
        <v>443</v>
      </c>
      <c r="B1446" s="44" t="str">
        <f aca="false">'Model Inputs &amp; Assumptions'!$B$30</f>
        <v>extraETF — Newsletter Takeover</v>
      </c>
      <c r="C1446" s="45" t="n">
        <f aca="false">ROUND(MAX(0,'Model Inputs &amp; Assumptions'!$S$30*EXP('Model Inputs &amp; Assumptions'!$T$30*P1446-'Model Inputs &amp; Assumptions'!$T$30^2/2)),0)</f>
        <v>80733</v>
      </c>
      <c r="D1446" s="46" t="n">
        <f aca="false">MIN(1,'Model Inputs &amp; Assumptions'!$U$30*EXP('Model Inputs &amp; Assumptions'!$V$30*Q1446-'Model Inputs &amp; Assumptions'!$V$30^2/2))</f>
        <v>0</v>
      </c>
      <c r="E1446" s="45" t="n">
        <f aca="false">ROUND(C1446*D1446,0)</f>
        <v>0</v>
      </c>
      <c r="F1446" s="47" t="n">
        <f aca="false">MIN(1,'Model Inputs &amp; Assumptions'!$W$30*EXP('Model Inputs &amp; Assumptions'!$X$30*R1446-'Model Inputs &amp; Assumptions'!$X$30^2/2))</f>
        <v>0.00817239320298764</v>
      </c>
      <c r="G1446" s="45" t="n">
        <f aca="false">ROUND(C1446*F1446,0)</f>
        <v>660</v>
      </c>
      <c r="H1446" s="48" t="n">
        <f aca="false">MAX(0,(C1446*'Model Inputs &amp; Assumptions'!$N$30+E1446*'Model Inputs &amp; Assumptions'!$O$30+G1446*'Model Inputs &amp; Assumptions'!$P$30)*EXP('Model Inputs &amp; Assumptions'!$Q$30*S1446-'Model Inputs &amp; Assumptions'!$Q$30^2/2))</f>
        <v>37.4005374984667</v>
      </c>
      <c r="I1446" s="49" t="n">
        <f aca="false">IF('Model Inputs &amp; Assumptions'!$H$30="Fixed",'Model Inputs &amp; Assumptions'!$I$30*'Model Inputs &amp; Assumptions'!$K$30,IF('Model Inputs &amp; Assumptions'!$H$30="CPM",'Model Inputs &amp; Assumptions'!$I$30*'Model Inputs &amp; Assumptions'!$K$30*C1446/1000,IF('Model Inputs &amp; Assumptions'!$H$30="CPC",'Model Inputs &amp; Assumptions'!$I$30*'Model Inputs &amp; Assumptions'!$K$30*G1446,0)))</f>
        <v>6900</v>
      </c>
      <c r="J1446" s="50" t="n">
        <f aca="false">H1446*INDEX('Model Inputs &amp; Assumptions'!$D$40:$D$42,MATCH('Model Inputs &amp; Assumptions'!$L$30,'Model Inputs &amp; Assumptions'!$A$40:$A$42,0))*INDEX('Model Inputs &amp; Assumptions'!$H$40:$H$42,MATCH('Model Inputs &amp; Assumptions'!$L$30,'Model Inputs &amp; Assumptions'!$A$40:$A$42,0))</f>
        <v>269283.86998896</v>
      </c>
      <c r="K1446" s="49" t="n">
        <f aca="false">H1446*INDEX('Model Inputs &amp; Assumptions'!$G$40:$G$42,MATCH('Model Inputs &amp; Assumptions'!$L$30,'Model Inputs &amp; Assumptions'!$A$40:$A$42,0))*INDEX('Model Inputs &amp; Assumptions'!$H$40:$H$42,MATCH('Model Inputs &amp; Assumptions'!$L$30,'Model Inputs &amp; Assumptions'!$A$40:$A$42,0))</f>
        <v>5937.70933325657</v>
      </c>
      <c r="L1446" s="51" t="n">
        <f aca="false">IFERROR(K1446/I1446,0)</f>
        <v>0.860537584529937</v>
      </c>
      <c r="M1446" s="49" t="n">
        <f aca="false">IFERROR(I1446/H1446,0)</f>
        <v>184.48932719972</v>
      </c>
      <c r="N1446" s="52" t="str">
        <f aca="false">'Model Inputs &amp; Assumptions'!$L$30</f>
        <v>PRD-USIQ</v>
      </c>
      <c r="P1446" s="53" t="n">
        <v>-0.658288</v>
      </c>
      <c r="Q1446" s="53" t="n">
        <v>2.210178</v>
      </c>
      <c r="R1446" s="53" t="n">
        <v>0.217135</v>
      </c>
      <c r="S1446" s="53" t="n">
        <v>-0.423747</v>
      </c>
    </row>
    <row r="1447" customFormat="false" ht="15" hidden="false" customHeight="false" outlineLevel="0" collapsed="false">
      <c r="A1447" s="43" t="n">
        <v>444</v>
      </c>
      <c r="B1447" s="44" t="str">
        <f aca="false">'Model Inputs &amp; Assumptions'!$B$30</f>
        <v>extraETF — Newsletter Takeover</v>
      </c>
      <c r="C1447" s="45" t="n">
        <f aca="false">ROUND(MAX(0,'Model Inputs &amp; Assumptions'!$S$30*EXP('Model Inputs &amp; Assumptions'!$T$30*P1447-'Model Inputs &amp; Assumptions'!$T$30^2/2)),0)</f>
        <v>100196</v>
      </c>
      <c r="D1447" s="46" t="n">
        <f aca="false">MIN(1,'Model Inputs &amp; Assumptions'!$U$30*EXP('Model Inputs &amp; Assumptions'!$V$30*Q1447-'Model Inputs &amp; Assumptions'!$V$30^2/2))</f>
        <v>0</v>
      </c>
      <c r="E1447" s="45" t="n">
        <f aca="false">ROUND(C1447*D1447,0)</f>
        <v>0</v>
      </c>
      <c r="F1447" s="47" t="n">
        <f aca="false">MIN(1,'Model Inputs &amp; Assumptions'!$W$30*EXP('Model Inputs &amp; Assumptions'!$X$30*R1447-'Model Inputs &amp; Assumptions'!$X$30^2/2))</f>
        <v>0.00638481708638725</v>
      </c>
      <c r="G1447" s="45" t="n">
        <f aca="false">ROUND(C1447*F1447,0)</f>
        <v>640</v>
      </c>
      <c r="H1447" s="48" t="n">
        <f aca="false">MAX(0,(C1447*'Model Inputs &amp; Assumptions'!$N$30+E1447*'Model Inputs &amp; Assumptions'!$O$30+G1447*'Model Inputs &amp; Assumptions'!$P$30)*EXP('Model Inputs &amp; Assumptions'!$Q$30*S1447-'Model Inputs &amp; Assumptions'!$Q$30^2/2))</f>
        <v>45.4064727861606</v>
      </c>
      <c r="I1447" s="49" t="n">
        <f aca="false">IF('Model Inputs &amp; Assumptions'!$H$30="Fixed",'Model Inputs &amp; Assumptions'!$I$30*'Model Inputs &amp; Assumptions'!$K$30,IF('Model Inputs &amp; Assumptions'!$H$30="CPM",'Model Inputs &amp; Assumptions'!$I$30*'Model Inputs &amp; Assumptions'!$K$30*C1447/1000,IF('Model Inputs &amp; Assumptions'!$H$30="CPC",'Model Inputs &amp; Assumptions'!$I$30*'Model Inputs &amp; Assumptions'!$K$30*G1447,0)))</f>
        <v>6900</v>
      </c>
      <c r="J1447" s="50" t="n">
        <f aca="false">H1447*INDEX('Model Inputs &amp; Assumptions'!$D$40:$D$42,MATCH('Model Inputs &amp; Assumptions'!$L$30,'Model Inputs &amp; Assumptions'!$A$40:$A$42,0))*INDEX('Model Inputs &amp; Assumptions'!$H$40:$H$42,MATCH('Model Inputs &amp; Assumptions'!$L$30,'Model Inputs &amp; Assumptions'!$A$40:$A$42,0))</f>
        <v>326926.604060356</v>
      </c>
      <c r="K1447" s="49" t="n">
        <f aca="false">H1447*INDEX('Model Inputs &amp; Assumptions'!$G$40:$G$42,MATCH('Model Inputs &amp; Assumptions'!$L$30,'Model Inputs &amp; Assumptions'!$A$40:$A$42,0))*INDEX('Model Inputs &amp; Assumptions'!$H$40:$H$42,MATCH('Model Inputs &amp; Assumptions'!$L$30,'Model Inputs &amp; Assumptions'!$A$40:$A$42,0))</f>
        <v>7208.73161953085</v>
      </c>
      <c r="L1447" s="51" t="n">
        <f aca="false">IFERROR(K1447/I1447,0)</f>
        <v>1.04474371297549</v>
      </c>
      <c r="M1447" s="49" t="n">
        <f aca="false">IFERROR(I1447/H1447,0)</f>
        <v>151.960713453679</v>
      </c>
      <c r="N1447" s="52" t="str">
        <f aca="false">'Model Inputs &amp; Assumptions'!$L$30</f>
        <v>PRD-USIQ</v>
      </c>
      <c r="P1447" s="53" t="n">
        <v>1.141566</v>
      </c>
      <c r="Q1447" s="53" t="n">
        <v>-2.127136</v>
      </c>
      <c r="R1447" s="53" t="n">
        <v>-1.428458</v>
      </c>
      <c r="S1447" s="53" t="n">
        <v>0.475218</v>
      </c>
    </row>
    <row r="1448" customFormat="false" ht="15" hidden="false" customHeight="false" outlineLevel="0" collapsed="false">
      <c r="A1448" s="43" t="n">
        <v>445</v>
      </c>
      <c r="B1448" s="44" t="str">
        <f aca="false">'Model Inputs &amp; Assumptions'!$B$30</f>
        <v>extraETF — Newsletter Takeover</v>
      </c>
      <c r="C1448" s="45" t="n">
        <f aca="false">ROUND(MAX(0,'Model Inputs &amp; Assumptions'!$S$30*EXP('Model Inputs &amp; Assumptions'!$T$30*P1448-'Model Inputs &amp; Assumptions'!$T$30^2/2)),0)</f>
        <v>86520</v>
      </c>
      <c r="D1448" s="46" t="n">
        <f aca="false">MIN(1,'Model Inputs &amp; Assumptions'!$U$30*EXP('Model Inputs &amp; Assumptions'!$V$30*Q1448-'Model Inputs &amp; Assumptions'!$V$30^2/2))</f>
        <v>0</v>
      </c>
      <c r="E1448" s="45" t="n">
        <f aca="false">ROUND(C1448*D1448,0)</f>
        <v>0</v>
      </c>
      <c r="F1448" s="47" t="n">
        <f aca="false">MIN(1,'Model Inputs &amp; Assumptions'!$W$30*EXP('Model Inputs &amp; Assumptions'!$X$30*R1448-'Model Inputs &amp; Assumptions'!$X$30^2/2))</f>
        <v>0.00650565202697416</v>
      </c>
      <c r="G1448" s="45" t="n">
        <f aca="false">ROUND(C1448*F1448,0)</f>
        <v>563</v>
      </c>
      <c r="H1448" s="48" t="n">
        <f aca="false">MAX(0,(C1448*'Model Inputs &amp; Assumptions'!$N$30+E1448*'Model Inputs &amp; Assumptions'!$O$30+G1448*'Model Inputs &amp; Assumptions'!$P$30)*EXP('Model Inputs &amp; Assumptions'!$Q$30*S1448-'Model Inputs &amp; Assumptions'!$Q$30^2/2))</f>
        <v>31.2462343791085</v>
      </c>
      <c r="I1448" s="49" t="n">
        <f aca="false">IF('Model Inputs &amp; Assumptions'!$H$30="Fixed",'Model Inputs &amp; Assumptions'!$I$30*'Model Inputs &amp; Assumptions'!$K$30,IF('Model Inputs &amp; Assumptions'!$H$30="CPM",'Model Inputs &amp; Assumptions'!$I$30*'Model Inputs &amp; Assumptions'!$K$30*C1448/1000,IF('Model Inputs &amp; Assumptions'!$H$30="CPC",'Model Inputs &amp; Assumptions'!$I$30*'Model Inputs &amp; Assumptions'!$K$30*G1448,0)))</f>
        <v>6900</v>
      </c>
      <c r="J1448" s="50" t="n">
        <f aca="false">H1448*INDEX('Model Inputs &amp; Assumptions'!$D$40:$D$42,MATCH('Model Inputs &amp; Assumptions'!$L$30,'Model Inputs &amp; Assumptions'!$A$40:$A$42,0))*INDEX('Model Inputs &amp; Assumptions'!$H$40:$H$42,MATCH('Model Inputs &amp; Assumptions'!$L$30,'Model Inputs &amp; Assumptions'!$A$40:$A$42,0))</f>
        <v>224972.887529581</v>
      </c>
      <c r="K1448" s="49" t="n">
        <f aca="false">H1448*INDEX('Model Inputs &amp; Assumptions'!$G$40:$G$42,MATCH('Model Inputs &amp; Assumptions'!$L$30,'Model Inputs &amp; Assumptions'!$A$40:$A$42,0))*INDEX('Model Inputs &amp; Assumptions'!$H$40:$H$42,MATCH('Model Inputs &amp; Assumptions'!$L$30,'Model Inputs &amp; Assumptions'!$A$40:$A$42,0))</f>
        <v>4960.65217002727</v>
      </c>
      <c r="L1448" s="51" t="n">
        <f aca="false">IFERROR(K1448/I1448,0)</f>
        <v>0.718935097105401</v>
      </c>
      <c r="M1448" s="49" t="n">
        <f aca="false">IFERROR(I1448/H1448,0)</f>
        <v>220.826609577422</v>
      </c>
      <c r="N1448" s="52" t="str">
        <f aca="false">'Model Inputs &amp; Assumptions'!$L$30</f>
        <v>PRD-USIQ</v>
      </c>
      <c r="P1448" s="53" t="n">
        <v>-0.081353</v>
      </c>
      <c r="Q1448" s="53" t="n">
        <v>-1.611796</v>
      </c>
      <c r="R1448" s="53" t="n">
        <v>-1.303468</v>
      </c>
      <c r="S1448" s="53" t="n">
        <v>-0.507051</v>
      </c>
    </row>
    <row r="1449" customFormat="false" ht="15" hidden="false" customHeight="false" outlineLevel="0" collapsed="false">
      <c r="A1449" s="43" t="n">
        <v>446</v>
      </c>
      <c r="B1449" s="44" t="str">
        <f aca="false">'Model Inputs &amp; Assumptions'!$B$30</f>
        <v>extraETF — Newsletter Takeover</v>
      </c>
      <c r="C1449" s="45" t="n">
        <f aca="false">ROUND(MAX(0,'Model Inputs &amp; Assumptions'!$S$30*EXP('Model Inputs &amp; Assumptions'!$T$30*P1449-'Model Inputs &amp; Assumptions'!$T$30^2/2)),0)</f>
        <v>91394</v>
      </c>
      <c r="D1449" s="46" t="n">
        <f aca="false">MIN(1,'Model Inputs &amp; Assumptions'!$U$30*EXP('Model Inputs &amp; Assumptions'!$V$30*Q1449-'Model Inputs &amp; Assumptions'!$V$30^2/2))</f>
        <v>0</v>
      </c>
      <c r="E1449" s="45" t="n">
        <f aca="false">ROUND(C1449*D1449,0)</f>
        <v>0</v>
      </c>
      <c r="F1449" s="47" t="n">
        <f aca="false">MIN(1,'Model Inputs &amp; Assumptions'!$W$30*EXP('Model Inputs &amp; Assumptions'!$X$30*R1449-'Model Inputs &amp; Assumptions'!$X$30^2/2))</f>
        <v>0.00696197321229862</v>
      </c>
      <c r="G1449" s="45" t="n">
        <f aca="false">ROUND(C1449*F1449,0)</f>
        <v>636</v>
      </c>
      <c r="H1449" s="48" t="n">
        <f aca="false">MAX(0,(C1449*'Model Inputs &amp; Assumptions'!$N$30+E1449*'Model Inputs &amp; Assumptions'!$O$30+G1449*'Model Inputs &amp; Assumptions'!$P$30)*EXP('Model Inputs &amp; Assumptions'!$Q$30*S1449-'Model Inputs &amp; Assumptions'!$Q$30^2/2))</f>
        <v>37.8223256620046</v>
      </c>
      <c r="I1449" s="49" t="n">
        <f aca="false">IF('Model Inputs &amp; Assumptions'!$H$30="Fixed",'Model Inputs &amp; Assumptions'!$I$30*'Model Inputs &amp; Assumptions'!$K$30,IF('Model Inputs &amp; Assumptions'!$H$30="CPM",'Model Inputs &amp; Assumptions'!$I$30*'Model Inputs &amp; Assumptions'!$K$30*C1449/1000,IF('Model Inputs &amp; Assumptions'!$H$30="CPC",'Model Inputs &amp; Assumptions'!$I$30*'Model Inputs &amp; Assumptions'!$K$30*G1449,0)))</f>
        <v>6900</v>
      </c>
      <c r="J1449" s="50" t="n">
        <f aca="false">H1449*INDEX('Model Inputs &amp; Assumptions'!$D$40:$D$42,MATCH('Model Inputs &amp; Assumptions'!$L$30,'Model Inputs &amp; Assumptions'!$A$40:$A$42,0))*INDEX('Model Inputs &amp; Assumptions'!$H$40:$H$42,MATCH('Model Inputs &amp; Assumptions'!$L$30,'Model Inputs &amp; Assumptions'!$A$40:$A$42,0))</f>
        <v>272320.744766433</v>
      </c>
      <c r="K1449" s="49" t="n">
        <f aca="false">H1449*INDEX('Model Inputs &amp; Assumptions'!$G$40:$G$42,MATCH('Model Inputs &amp; Assumptions'!$L$30,'Model Inputs &amp; Assumptions'!$A$40:$A$42,0))*INDEX('Model Inputs &amp; Assumptions'!$H$40:$H$42,MATCH('Model Inputs &amp; Assumptions'!$L$30,'Model Inputs &amp; Assumptions'!$A$40:$A$42,0))</f>
        <v>6004.67242209984</v>
      </c>
      <c r="L1449" s="51" t="n">
        <f aca="false">IFERROR(K1449/I1449,0)</f>
        <v>0.87024238001447</v>
      </c>
      <c r="M1449" s="49" t="n">
        <f aca="false">IFERROR(I1449/H1449,0)</f>
        <v>182.431933500366</v>
      </c>
      <c r="N1449" s="52" t="str">
        <f aca="false">'Model Inputs &amp; Assumptions'!$L$30</f>
        <v>PRD-USIQ</v>
      </c>
      <c r="P1449" s="53" t="n">
        <v>0.375353</v>
      </c>
      <c r="Q1449" s="53" t="n">
        <v>-0.243395</v>
      </c>
      <c r="R1449" s="53" t="n">
        <v>-0.851524</v>
      </c>
      <c r="S1449" s="53" t="n">
        <v>-0.230724</v>
      </c>
    </row>
    <row r="1450" customFormat="false" ht="15" hidden="false" customHeight="false" outlineLevel="0" collapsed="false">
      <c r="A1450" s="43" t="n">
        <v>447</v>
      </c>
      <c r="B1450" s="44" t="str">
        <f aca="false">'Model Inputs &amp; Assumptions'!$B$30</f>
        <v>extraETF — Newsletter Takeover</v>
      </c>
      <c r="C1450" s="45" t="n">
        <f aca="false">ROUND(MAX(0,'Model Inputs &amp; Assumptions'!$S$30*EXP('Model Inputs &amp; Assumptions'!$T$30*P1450-'Model Inputs &amp; Assumptions'!$T$30^2/2)),0)</f>
        <v>90867</v>
      </c>
      <c r="D1450" s="46" t="n">
        <f aca="false">MIN(1,'Model Inputs &amp; Assumptions'!$U$30*EXP('Model Inputs &amp; Assumptions'!$V$30*Q1450-'Model Inputs &amp; Assumptions'!$V$30^2/2))</f>
        <v>0</v>
      </c>
      <c r="E1450" s="45" t="n">
        <f aca="false">ROUND(C1450*D1450,0)</f>
        <v>0</v>
      </c>
      <c r="F1450" s="47" t="n">
        <f aca="false">MIN(1,'Model Inputs &amp; Assumptions'!$W$30*EXP('Model Inputs &amp; Assumptions'!$X$30*R1450-'Model Inputs &amp; Assumptions'!$X$30^2/2))</f>
        <v>0.00827699509816818</v>
      </c>
      <c r="G1450" s="45" t="n">
        <f aca="false">ROUND(C1450*F1450,0)</f>
        <v>752</v>
      </c>
      <c r="H1450" s="48" t="n">
        <f aca="false">MAX(0,(C1450*'Model Inputs &amp; Assumptions'!$N$30+E1450*'Model Inputs &amp; Assumptions'!$O$30+G1450*'Model Inputs &amp; Assumptions'!$P$30)*EXP('Model Inputs &amp; Assumptions'!$Q$30*S1450-'Model Inputs &amp; Assumptions'!$Q$30^2/2))</f>
        <v>32.2790952514596</v>
      </c>
      <c r="I1450" s="49" t="n">
        <f aca="false">IF('Model Inputs &amp; Assumptions'!$H$30="Fixed",'Model Inputs &amp; Assumptions'!$I$30*'Model Inputs &amp; Assumptions'!$K$30,IF('Model Inputs &amp; Assumptions'!$H$30="CPM",'Model Inputs &amp; Assumptions'!$I$30*'Model Inputs &amp; Assumptions'!$K$30*C1450/1000,IF('Model Inputs &amp; Assumptions'!$H$30="CPC",'Model Inputs &amp; Assumptions'!$I$30*'Model Inputs &amp; Assumptions'!$K$30*G1450,0)))</f>
        <v>6900</v>
      </c>
      <c r="J1450" s="50" t="n">
        <f aca="false">H1450*INDEX('Model Inputs &amp; Assumptions'!$D$40:$D$42,MATCH('Model Inputs &amp; Assumptions'!$L$30,'Model Inputs &amp; Assumptions'!$A$40:$A$42,0))*INDEX('Model Inputs &amp; Assumptions'!$H$40:$H$42,MATCH('Model Inputs &amp; Assumptions'!$L$30,'Model Inputs &amp; Assumptions'!$A$40:$A$42,0))</f>
        <v>232409.485810509</v>
      </c>
      <c r="K1450" s="49" t="n">
        <f aca="false">H1450*INDEX('Model Inputs &amp; Assumptions'!$G$40:$G$42,MATCH('Model Inputs &amp; Assumptions'!$L$30,'Model Inputs &amp; Assumptions'!$A$40:$A$42,0))*INDEX('Model Inputs &amp; Assumptions'!$H$40:$H$42,MATCH('Model Inputs &amp; Assumptions'!$L$30,'Model Inputs &amp; Assumptions'!$A$40:$A$42,0))</f>
        <v>5124.62916212173</v>
      </c>
      <c r="L1450" s="51" t="n">
        <f aca="false">IFERROR(K1450/I1450,0)</f>
        <v>0.742699878568367</v>
      </c>
      <c r="M1450" s="49" t="n">
        <f aca="false">IFERROR(I1450/H1450,0)</f>
        <v>213.760638154441</v>
      </c>
      <c r="N1450" s="52" t="str">
        <f aca="false">'Model Inputs &amp; Assumptions'!$L$30</f>
        <v>PRD-USIQ</v>
      </c>
      <c r="P1450" s="53" t="n">
        <v>0.327147</v>
      </c>
      <c r="Q1450" s="53" t="n">
        <v>-1.282135</v>
      </c>
      <c r="R1450" s="53" t="n">
        <v>0.301923</v>
      </c>
      <c r="S1450" s="53" t="n">
        <v>-1.534794</v>
      </c>
    </row>
    <row r="1451" customFormat="false" ht="15" hidden="false" customHeight="false" outlineLevel="0" collapsed="false">
      <c r="A1451" s="43" t="n">
        <v>448</v>
      </c>
      <c r="B1451" s="44" t="str">
        <f aca="false">'Model Inputs &amp; Assumptions'!$B$30</f>
        <v>extraETF — Newsletter Takeover</v>
      </c>
      <c r="C1451" s="45" t="n">
        <f aca="false">ROUND(MAX(0,'Model Inputs &amp; Assumptions'!$S$30*EXP('Model Inputs &amp; Assumptions'!$T$30*P1451-'Model Inputs &amp; Assumptions'!$T$30^2/2)),0)</f>
        <v>90636</v>
      </c>
      <c r="D1451" s="46" t="n">
        <f aca="false">MIN(1,'Model Inputs &amp; Assumptions'!$U$30*EXP('Model Inputs &amp; Assumptions'!$V$30*Q1451-'Model Inputs &amp; Assumptions'!$V$30^2/2))</f>
        <v>0</v>
      </c>
      <c r="E1451" s="45" t="n">
        <f aca="false">ROUND(C1451*D1451,0)</f>
        <v>0</v>
      </c>
      <c r="F1451" s="47" t="n">
        <f aca="false">MIN(1,'Model Inputs &amp; Assumptions'!$W$30*EXP('Model Inputs &amp; Assumptions'!$X$30*R1451-'Model Inputs &amp; Assumptions'!$X$30^2/2))</f>
        <v>0.00781282599599909</v>
      </c>
      <c r="G1451" s="45" t="n">
        <f aca="false">ROUND(C1451*F1451,0)</f>
        <v>708</v>
      </c>
      <c r="H1451" s="48" t="n">
        <f aca="false">MAX(0,(C1451*'Model Inputs &amp; Assumptions'!$N$30+E1451*'Model Inputs &amp; Assumptions'!$O$30+G1451*'Model Inputs &amp; Assumptions'!$P$30)*EXP('Model Inputs &amp; Assumptions'!$Q$30*S1451-'Model Inputs &amp; Assumptions'!$Q$30^2/2))</f>
        <v>66.6948397330555</v>
      </c>
      <c r="I1451" s="49" t="n">
        <f aca="false">IF('Model Inputs &amp; Assumptions'!$H$30="Fixed",'Model Inputs &amp; Assumptions'!$I$30*'Model Inputs &amp; Assumptions'!$K$30,IF('Model Inputs &amp; Assumptions'!$H$30="CPM",'Model Inputs &amp; Assumptions'!$I$30*'Model Inputs &amp; Assumptions'!$K$30*C1451/1000,IF('Model Inputs &amp; Assumptions'!$H$30="CPC",'Model Inputs &amp; Assumptions'!$I$30*'Model Inputs &amp; Assumptions'!$K$30*G1451,0)))</f>
        <v>6900</v>
      </c>
      <c r="J1451" s="50" t="n">
        <f aca="false">H1451*INDEX('Model Inputs &amp; Assumptions'!$D$40:$D$42,MATCH('Model Inputs &amp; Assumptions'!$L$30,'Model Inputs &amp; Assumptions'!$A$40:$A$42,0))*INDEX('Model Inputs &amp; Assumptions'!$H$40:$H$42,MATCH('Model Inputs &amp; Assumptions'!$L$30,'Model Inputs &amp; Assumptions'!$A$40:$A$42,0))</f>
        <v>480202.846077999</v>
      </c>
      <c r="K1451" s="49" t="n">
        <f aca="false">H1451*INDEX('Model Inputs &amp; Assumptions'!$G$40:$G$42,MATCH('Model Inputs &amp; Assumptions'!$L$30,'Model Inputs &amp; Assumptions'!$A$40:$A$42,0))*INDEX('Model Inputs &amp; Assumptions'!$H$40:$H$42,MATCH('Model Inputs &amp; Assumptions'!$L$30,'Model Inputs &amp; Assumptions'!$A$40:$A$42,0))</f>
        <v>10588.4727560199</v>
      </c>
      <c r="L1451" s="51" t="n">
        <f aca="false">IFERROR(K1451/I1451,0)</f>
        <v>1.53456126898839</v>
      </c>
      <c r="M1451" s="49" t="n">
        <f aca="false">IFERROR(I1451/H1451,0)</f>
        <v>103.456279790417</v>
      </c>
      <c r="N1451" s="52" t="str">
        <f aca="false">'Model Inputs &amp; Assumptions'!$L$30</f>
        <v>PRD-USIQ</v>
      </c>
      <c r="P1451" s="53" t="n">
        <v>0.305995</v>
      </c>
      <c r="Q1451" s="53" t="n">
        <v>-0.311127</v>
      </c>
      <c r="R1451" s="53" t="n">
        <v>-0.082832</v>
      </c>
      <c r="S1451" s="53" t="n">
        <v>1.609206</v>
      </c>
    </row>
    <row r="1452" customFormat="false" ht="15" hidden="false" customHeight="false" outlineLevel="0" collapsed="false">
      <c r="A1452" s="43" t="n">
        <v>449</v>
      </c>
      <c r="B1452" s="44" t="str">
        <f aca="false">'Model Inputs &amp; Assumptions'!$B$30</f>
        <v>extraETF — Newsletter Takeover</v>
      </c>
      <c r="C1452" s="45" t="n">
        <f aca="false">ROUND(MAX(0,'Model Inputs &amp; Assumptions'!$S$30*EXP('Model Inputs &amp; Assumptions'!$T$30*P1452-'Model Inputs &amp; Assumptions'!$T$30^2/2)),0)</f>
        <v>110308</v>
      </c>
      <c r="D1452" s="46" t="n">
        <f aca="false">MIN(1,'Model Inputs &amp; Assumptions'!$U$30*EXP('Model Inputs &amp; Assumptions'!$V$30*Q1452-'Model Inputs &amp; Assumptions'!$V$30^2/2))</f>
        <v>0</v>
      </c>
      <c r="E1452" s="45" t="n">
        <f aca="false">ROUND(C1452*D1452,0)</f>
        <v>0</v>
      </c>
      <c r="F1452" s="47" t="n">
        <f aca="false">MIN(1,'Model Inputs &amp; Assumptions'!$W$30*EXP('Model Inputs &amp; Assumptions'!$X$30*R1452-'Model Inputs &amp; Assumptions'!$X$30^2/2))</f>
        <v>0.0091449758557413</v>
      </c>
      <c r="G1452" s="45" t="n">
        <f aca="false">ROUND(C1452*F1452,0)</f>
        <v>1009</v>
      </c>
      <c r="H1452" s="48" t="n">
        <f aca="false">MAX(0,(C1452*'Model Inputs &amp; Assumptions'!$N$30+E1452*'Model Inputs &amp; Assumptions'!$O$30+G1452*'Model Inputs &amp; Assumptions'!$P$30)*EXP('Model Inputs &amp; Assumptions'!$Q$30*S1452-'Model Inputs &amp; Assumptions'!$Q$30^2/2))</f>
        <v>74.5664751378908</v>
      </c>
      <c r="I1452" s="49" t="n">
        <f aca="false">IF('Model Inputs &amp; Assumptions'!$H$30="Fixed",'Model Inputs &amp; Assumptions'!$I$30*'Model Inputs &amp; Assumptions'!$K$30,IF('Model Inputs &amp; Assumptions'!$H$30="CPM",'Model Inputs &amp; Assumptions'!$I$30*'Model Inputs &amp; Assumptions'!$K$30*C1452/1000,IF('Model Inputs &amp; Assumptions'!$H$30="CPC",'Model Inputs &amp; Assumptions'!$I$30*'Model Inputs &amp; Assumptions'!$K$30*G1452,0)))</f>
        <v>6900</v>
      </c>
      <c r="J1452" s="50" t="n">
        <f aca="false">H1452*INDEX('Model Inputs &amp; Assumptions'!$D$40:$D$42,MATCH('Model Inputs &amp; Assumptions'!$L$30,'Model Inputs &amp; Assumptions'!$A$40:$A$42,0))*INDEX('Model Inputs &amp; Assumptions'!$H$40:$H$42,MATCH('Model Inputs &amp; Assumptions'!$L$30,'Model Inputs &amp; Assumptions'!$A$40:$A$42,0))</f>
        <v>536878.620992814</v>
      </c>
      <c r="K1452" s="49" t="n">
        <f aca="false">H1452*INDEX('Model Inputs &amp; Assumptions'!$G$40:$G$42,MATCH('Model Inputs &amp; Assumptions'!$L$30,'Model Inputs &amp; Assumptions'!$A$40:$A$42,0))*INDEX('Model Inputs &amp; Assumptions'!$H$40:$H$42,MATCH('Model Inputs &amp; Assumptions'!$L$30,'Model Inputs &amp; Assumptions'!$A$40:$A$42,0))</f>
        <v>11838.1735928915</v>
      </c>
      <c r="L1452" s="51" t="n">
        <f aca="false">IFERROR(K1452/I1452,0)</f>
        <v>1.71567733230312</v>
      </c>
      <c r="M1452" s="49" t="n">
        <f aca="false">IFERROR(I1452/H1452,0)</f>
        <v>92.5348822944935</v>
      </c>
      <c r="N1452" s="52" t="str">
        <f aca="false">'Model Inputs &amp; Assumptions'!$L$30</f>
        <v>PRD-USIQ</v>
      </c>
      <c r="P1452" s="53" t="n">
        <v>1.942855</v>
      </c>
      <c r="Q1452" s="53" t="n">
        <v>-0.261794</v>
      </c>
      <c r="R1452" s="53" t="n">
        <v>0.966754</v>
      </c>
      <c r="S1452" s="53" t="n">
        <v>0.638376</v>
      </c>
    </row>
    <row r="1453" customFormat="false" ht="15" hidden="false" customHeight="false" outlineLevel="0" collapsed="false">
      <c r="A1453" s="43" t="n">
        <v>450</v>
      </c>
      <c r="B1453" s="44" t="str">
        <f aca="false">'Model Inputs &amp; Assumptions'!$B$30</f>
        <v>extraETF — Newsletter Takeover</v>
      </c>
      <c r="C1453" s="45" t="n">
        <f aca="false">ROUND(MAX(0,'Model Inputs &amp; Assumptions'!$S$30*EXP('Model Inputs &amp; Assumptions'!$T$30*P1453-'Model Inputs &amp; Assumptions'!$T$30^2/2)),0)</f>
        <v>98613</v>
      </c>
      <c r="D1453" s="46" t="n">
        <f aca="false">MIN(1,'Model Inputs &amp; Assumptions'!$U$30*EXP('Model Inputs &amp; Assumptions'!$V$30*Q1453-'Model Inputs &amp; Assumptions'!$V$30^2/2))</f>
        <v>0</v>
      </c>
      <c r="E1453" s="45" t="n">
        <f aca="false">ROUND(C1453*D1453,0)</f>
        <v>0</v>
      </c>
      <c r="F1453" s="47" t="n">
        <f aca="false">MIN(1,'Model Inputs &amp; Assumptions'!$W$30*EXP('Model Inputs &amp; Assumptions'!$X$30*R1453-'Model Inputs &amp; Assumptions'!$X$30^2/2))</f>
        <v>0.00705029346133999</v>
      </c>
      <c r="G1453" s="45" t="n">
        <f aca="false">ROUND(C1453*F1453,0)</f>
        <v>695</v>
      </c>
      <c r="H1453" s="48" t="n">
        <f aca="false">MAX(0,(C1453*'Model Inputs &amp; Assumptions'!$N$30+E1453*'Model Inputs &amp; Assumptions'!$O$30+G1453*'Model Inputs &amp; Assumptions'!$P$30)*EXP('Model Inputs &amp; Assumptions'!$Q$30*S1453-'Model Inputs &amp; Assumptions'!$Q$30^2/2))</f>
        <v>31.3875819840872</v>
      </c>
      <c r="I1453" s="49" t="n">
        <f aca="false">IF('Model Inputs &amp; Assumptions'!$H$30="Fixed",'Model Inputs &amp; Assumptions'!$I$30*'Model Inputs &amp; Assumptions'!$K$30,IF('Model Inputs &amp; Assumptions'!$H$30="CPM",'Model Inputs &amp; Assumptions'!$I$30*'Model Inputs &amp; Assumptions'!$K$30*C1453/1000,IF('Model Inputs &amp; Assumptions'!$H$30="CPC",'Model Inputs &amp; Assumptions'!$I$30*'Model Inputs &amp; Assumptions'!$K$30*G1453,0)))</f>
        <v>6900</v>
      </c>
      <c r="J1453" s="50" t="n">
        <f aca="false">H1453*INDEX('Model Inputs &amp; Assumptions'!$D$40:$D$42,MATCH('Model Inputs &amp; Assumptions'!$L$30,'Model Inputs &amp; Assumptions'!$A$40:$A$42,0))*INDEX('Model Inputs &amp; Assumptions'!$H$40:$H$42,MATCH('Model Inputs &amp; Assumptions'!$L$30,'Model Inputs &amp; Assumptions'!$A$40:$A$42,0))</f>
        <v>225990.590285428</v>
      </c>
      <c r="K1453" s="49" t="n">
        <f aca="false">H1453*INDEX('Model Inputs &amp; Assumptions'!$G$40:$G$42,MATCH('Model Inputs &amp; Assumptions'!$L$30,'Model Inputs &amp; Assumptions'!$A$40:$A$42,0))*INDEX('Model Inputs &amp; Assumptions'!$H$40:$H$42,MATCH('Model Inputs &amp; Assumptions'!$L$30,'Model Inputs &amp; Assumptions'!$A$40:$A$42,0))</f>
        <v>4983.09251579369</v>
      </c>
      <c r="L1453" s="51" t="n">
        <f aca="false">IFERROR(K1453/I1453,0)</f>
        <v>0.72218732112952</v>
      </c>
      <c r="M1453" s="49" t="n">
        <f aca="false">IFERROR(I1453/H1453,0)</f>
        <v>219.832161760601</v>
      </c>
      <c r="N1453" s="52" t="str">
        <f aca="false">'Model Inputs &amp; Assumptions'!$L$30</f>
        <v>PRD-USIQ</v>
      </c>
      <c r="P1453" s="53" t="n">
        <v>1.008848</v>
      </c>
      <c r="Q1453" s="53" t="n">
        <v>-0.51467</v>
      </c>
      <c r="R1453" s="53" t="n">
        <v>-0.767482</v>
      </c>
      <c r="S1453" s="53" t="n">
        <v>-1.331526</v>
      </c>
    </row>
    <row r="1454" customFormat="false" ht="15" hidden="false" customHeight="false" outlineLevel="0" collapsed="false">
      <c r="A1454" s="43" t="n">
        <v>451</v>
      </c>
      <c r="B1454" s="44" t="str">
        <f aca="false">'Model Inputs &amp; Assumptions'!$B$30</f>
        <v>extraETF — Newsletter Takeover</v>
      </c>
      <c r="C1454" s="45" t="n">
        <f aca="false">ROUND(MAX(0,'Model Inputs &amp; Assumptions'!$S$30*EXP('Model Inputs &amp; Assumptions'!$T$30*P1454-'Model Inputs &amp; Assumptions'!$T$30^2/2)),0)</f>
        <v>83928</v>
      </c>
      <c r="D1454" s="46" t="n">
        <f aca="false">MIN(1,'Model Inputs &amp; Assumptions'!$U$30*EXP('Model Inputs &amp; Assumptions'!$V$30*Q1454-'Model Inputs &amp; Assumptions'!$V$30^2/2))</f>
        <v>0</v>
      </c>
      <c r="E1454" s="45" t="n">
        <f aca="false">ROUND(C1454*D1454,0)</f>
        <v>0</v>
      </c>
      <c r="F1454" s="47" t="n">
        <f aca="false">MIN(1,'Model Inputs &amp; Assumptions'!$W$30*EXP('Model Inputs &amp; Assumptions'!$X$30*R1454-'Model Inputs &amp; Assumptions'!$X$30^2/2))</f>
        <v>0.00779985069370648</v>
      </c>
      <c r="G1454" s="45" t="n">
        <f aca="false">ROUND(C1454*F1454,0)</f>
        <v>655</v>
      </c>
      <c r="H1454" s="48" t="n">
        <f aca="false">MAX(0,(C1454*'Model Inputs &amp; Assumptions'!$N$30+E1454*'Model Inputs &amp; Assumptions'!$O$30+G1454*'Model Inputs &amp; Assumptions'!$P$30)*EXP('Model Inputs &amp; Assumptions'!$Q$30*S1454-'Model Inputs &amp; Assumptions'!$Q$30^2/2))</f>
        <v>63.6198307855147</v>
      </c>
      <c r="I1454" s="49" t="n">
        <f aca="false">IF('Model Inputs &amp; Assumptions'!$H$30="Fixed",'Model Inputs &amp; Assumptions'!$I$30*'Model Inputs &amp; Assumptions'!$K$30,IF('Model Inputs &amp; Assumptions'!$H$30="CPM",'Model Inputs &amp; Assumptions'!$I$30*'Model Inputs &amp; Assumptions'!$K$30*C1454/1000,IF('Model Inputs &amp; Assumptions'!$H$30="CPC",'Model Inputs &amp; Assumptions'!$I$30*'Model Inputs &amp; Assumptions'!$K$30*G1454,0)))</f>
        <v>6900</v>
      </c>
      <c r="J1454" s="50" t="n">
        <f aca="false">H1454*INDEX('Model Inputs &amp; Assumptions'!$D$40:$D$42,MATCH('Model Inputs &amp; Assumptions'!$L$30,'Model Inputs &amp; Assumptions'!$A$40:$A$42,0))*INDEX('Model Inputs &amp; Assumptions'!$H$40:$H$42,MATCH('Model Inputs &amp; Assumptions'!$L$30,'Model Inputs &amp; Assumptions'!$A$40:$A$42,0))</f>
        <v>458062.781655706</v>
      </c>
      <c r="K1454" s="49" t="n">
        <f aca="false">H1454*INDEX('Model Inputs &amp; Assumptions'!$G$40:$G$42,MATCH('Model Inputs &amp; Assumptions'!$L$30,'Model Inputs &amp; Assumptions'!$A$40:$A$42,0))*INDEX('Model Inputs &amp; Assumptions'!$H$40:$H$42,MATCH('Model Inputs &amp; Assumptions'!$L$30,'Model Inputs &amp; Assumptions'!$A$40:$A$42,0))</f>
        <v>10100.2843355083</v>
      </c>
      <c r="L1454" s="51" t="n">
        <f aca="false">IFERROR(K1454/I1454,0)</f>
        <v>1.46380932398671</v>
      </c>
      <c r="M1454" s="49" t="n">
        <f aca="false">IFERROR(I1454/H1454,0)</f>
        <v>108.456748702498</v>
      </c>
      <c r="N1454" s="52" t="str">
        <f aca="false">'Model Inputs &amp; Assumptions'!$L$30</f>
        <v>PRD-USIQ</v>
      </c>
      <c r="P1454" s="53" t="n">
        <v>-0.334819</v>
      </c>
      <c r="Q1454" s="53" t="n">
        <v>-0.45994</v>
      </c>
      <c r="R1454" s="53" t="n">
        <v>-0.093913</v>
      </c>
      <c r="S1454" s="53" t="n">
        <v>1.731632</v>
      </c>
    </row>
    <row r="1455" customFormat="false" ht="15" hidden="false" customHeight="false" outlineLevel="0" collapsed="false">
      <c r="A1455" s="43" t="n">
        <v>452</v>
      </c>
      <c r="B1455" s="44" t="str">
        <f aca="false">'Model Inputs &amp; Assumptions'!$B$30</f>
        <v>extraETF — Newsletter Takeover</v>
      </c>
      <c r="C1455" s="45" t="n">
        <f aca="false">ROUND(MAX(0,'Model Inputs &amp; Assumptions'!$S$30*EXP('Model Inputs &amp; Assumptions'!$T$30*P1455-'Model Inputs &amp; Assumptions'!$T$30^2/2)),0)</f>
        <v>84145</v>
      </c>
      <c r="D1455" s="46" t="n">
        <f aca="false">MIN(1,'Model Inputs &amp; Assumptions'!$U$30*EXP('Model Inputs &amp; Assumptions'!$V$30*Q1455-'Model Inputs &amp; Assumptions'!$V$30^2/2))</f>
        <v>0</v>
      </c>
      <c r="E1455" s="45" t="n">
        <f aca="false">ROUND(C1455*D1455,0)</f>
        <v>0</v>
      </c>
      <c r="F1455" s="47" t="n">
        <f aca="false">MIN(1,'Model Inputs &amp; Assumptions'!$W$30*EXP('Model Inputs &amp; Assumptions'!$X$30*R1455-'Model Inputs &amp; Assumptions'!$X$30^2/2))</f>
        <v>0.00895387940709603</v>
      </c>
      <c r="G1455" s="45" t="n">
        <f aca="false">ROUND(C1455*F1455,0)</f>
        <v>753</v>
      </c>
      <c r="H1455" s="48" t="n">
        <f aca="false">MAX(0,(C1455*'Model Inputs &amp; Assumptions'!$N$30+E1455*'Model Inputs &amp; Assumptions'!$O$30+G1455*'Model Inputs &amp; Assumptions'!$P$30)*EXP('Model Inputs &amp; Assumptions'!$Q$30*S1455-'Model Inputs &amp; Assumptions'!$Q$30^2/2))</f>
        <v>49.4108713953157</v>
      </c>
      <c r="I1455" s="49" t="n">
        <f aca="false">IF('Model Inputs &amp; Assumptions'!$H$30="Fixed",'Model Inputs &amp; Assumptions'!$I$30*'Model Inputs &amp; Assumptions'!$K$30,IF('Model Inputs &amp; Assumptions'!$H$30="CPM",'Model Inputs &amp; Assumptions'!$I$30*'Model Inputs &amp; Assumptions'!$K$30*C1455/1000,IF('Model Inputs &amp; Assumptions'!$H$30="CPC",'Model Inputs &amp; Assumptions'!$I$30*'Model Inputs &amp; Assumptions'!$K$30*G1455,0)))</f>
        <v>6900</v>
      </c>
      <c r="J1455" s="50" t="n">
        <f aca="false">H1455*INDEX('Model Inputs &amp; Assumptions'!$D$40:$D$42,MATCH('Model Inputs &amp; Assumptions'!$L$30,'Model Inputs &amp; Assumptions'!$A$40:$A$42,0))*INDEX('Model Inputs &amp; Assumptions'!$H$40:$H$42,MATCH('Model Inputs &amp; Assumptions'!$L$30,'Model Inputs &amp; Assumptions'!$A$40:$A$42,0))</f>
        <v>355758.274046273</v>
      </c>
      <c r="K1455" s="49" t="n">
        <f aca="false">H1455*INDEX('Model Inputs &amp; Assumptions'!$G$40:$G$42,MATCH('Model Inputs &amp; Assumptions'!$L$30,'Model Inputs &amp; Assumptions'!$A$40:$A$42,0))*INDEX('Model Inputs &amp; Assumptions'!$H$40:$H$42,MATCH('Model Inputs &amp; Assumptions'!$L$30,'Model Inputs &amp; Assumptions'!$A$40:$A$42,0))</f>
        <v>7844.46994272033</v>
      </c>
      <c r="L1455" s="51" t="n">
        <f aca="false">IFERROR(K1455/I1455,0)</f>
        <v>1.13687970184353</v>
      </c>
      <c r="M1455" s="49" t="n">
        <f aca="false">IFERROR(I1455/H1455,0)</f>
        <v>139.645381778354</v>
      </c>
      <c r="N1455" s="52" t="str">
        <f aca="false">'Model Inputs &amp; Assumptions'!$L$30</f>
        <v>PRD-USIQ</v>
      </c>
      <c r="P1455" s="53" t="n">
        <v>-0.313254</v>
      </c>
      <c r="Q1455" s="53" t="n">
        <v>-0.928363</v>
      </c>
      <c r="R1455" s="53" t="n">
        <v>0.825969</v>
      </c>
      <c r="S1455" s="53" t="n">
        <v>0.162893</v>
      </c>
    </row>
    <row r="1456" customFormat="false" ht="15" hidden="false" customHeight="false" outlineLevel="0" collapsed="false">
      <c r="A1456" s="43" t="n">
        <v>453</v>
      </c>
      <c r="B1456" s="44" t="str">
        <f aca="false">'Model Inputs &amp; Assumptions'!$B$30</f>
        <v>extraETF — Newsletter Takeover</v>
      </c>
      <c r="C1456" s="45" t="n">
        <f aca="false">ROUND(MAX(0,'Model Inputs &amp; Assumptions'!$S$30*EXP('Model Inputs &amp; Assumptions'!$T$30*P1456-'Model Inputs &amp; Assumptions'!$T$30^2/2)),0)</f>
        <v>90947</v>
      </c>
      <c r="D1456" s="46" t="n">
        <f aca="false">MIN(1,'Model Inputs &amp; Assumptions'!$U$30*EXP('Model Inputs &amp; Assumptions'!$V$30*Q1456-'Model Inputs &amp; Assumptions'!$V$30^2/2))</f>
        <v>0</v>
      </c>
      <c r="E1456" s="45" t="n">
        <f aca="false">ROUND(C1456*D1456,0)</f>
        <v>0</v>
      </c>
      <c r="F1456" s="47" t="n">
        <f aca="false">MIN(1,'Model Inputs &amp; Assumptions'!$W$30*EXP('Model Inputs &amp; Assumptions'!$X$30*R1456-'Model Inputs &amp; Assumptions'!$X$30^2/2))</f>
        <v>0.00838113537572439</v>
      </c>
      <c r="G1456" s="45" t="n">
        <f aca="false">ROUND(C1456*F1456,0)</f>
        <v>762</v>
      </c>
      <c r="H1456" s="48" t="n">
        <f aca="false">MAX(0,(C1456*'Model Inputs &amp; Assumptions'!$N$30+E1456*'Model Inputs &amp; Assumptions'!$O$30+G1456*'Model Inputs &amp; Assumptions'!$P$30)*EXP('Model Inputs &amp; Assumptions'!$Q$30*S1456-'Model Inputs &amp; Assumptions'!$Q$30^2/2))</f>
        <v>74.9224101420632</v>
      </c>
      <c r="I1456" s="49" t="n">
        <f aca="false">IF('Model Inputs &amp; Assumptions'!$H$30="Fixed",'Model Inputs &amp; Assumptions'!$I$30*'Model Inputs &amp; Assumptions'!$K$30,IF('Model Inputs &amp; Assumptions'!$H$30="CPM",'Model Inputs &amp; Assumptions'!$I$30*'Model Inputs &amp; Assumptions'!$K$30*C1456/1000,IF('Model Inputs &amp; Assumptions'!$H$30="CPC",'Model Inputs &amp; Assumptions'!$I$30*'Model Inputs &amp; Assumptions'!$K$30*G1456,0)))</f>
        <v>6900</v>
      </c>
      <c r="J1456" s="50" t="n">
        <f aca="false">H1456*INDEX('Model Inputs &amp; Assumptions'!$D$40:$D$42,MATCH('Model Inputs &amp; Assumptions'!$L$30,'Model Inputs &amp; Assumptions'!$A$40:$A$42,0))*INDEX('Model Inputs &amp; Assumptions'!$H$40:$H$42,MATCH('Model Inputs &amp; Assumptions'!$L$30,'Model Inputs &amp; Assumptions'!$A$40:$A$42,0))</f>
        <v>539441.353022855</v>
      </c>
      <c r="K1456" s="49" t="n">
        <f aca="false">H1456*INDEX('Model Inputs &amp; Assumptions'!$G$40:$G$42,MATCH('Model Inputs &amp; Assumptions'!$L$30,'Model Inputs &amp; Assumptions'!$A$40:$A$42,0))*INDEX('Model Inputs &amp; Assumptions'!$H$40:$H$42,MATCH('Model Inputs &amp; Assumptions'!$L$30,'Model Inputs &amp; Assumptions'!$A$40:$A$42,0))</f>
        <v>11894.681834154</v>
      </c>
      <c r="L1456" s="51" t="n">
        <f aca="false">IFERROR(K1456/I1456,0)</f>
        <v>1.72386693248608</v>
      </c>
      <c r="M1456" s="49" t="n">
        <f aca="false">IFERROR(I1456/H1456,0)</f>
        <v>92.095275457859</v>
      </c>
      <c r="N1456" s="52" t="str">
        <f aca="false">'Model Inputs &amp; Assumptions'!$L$30</f>
        <v>PRD-USIQ</v>
      </c>
      <c r="P1456" s="53" t="n">
        <v>0.334513</v>
      </c>
      <c r="Q1456" s="53" t="n">
        <v>-0.127103</v>
      </c>
      <c r="R1456" s="53" t="n">
        <v>0.385279</v>
      </c>
      <c r="S1456" s="53" t="n">
        <v>1.780498</v>
      </c>
    </row>
    <row r="1457" customFormat="false" ht="15" hidden="false" customHeight="false" outlineLevel="0" collapsed="false">
      <c r="A1457" s="43" t="n">
        <v>454</v>
      </c>
      <c r="B1457" s="44" t="str">
        <f aca="false">'Model Inputs &amp; Assumptions'!$B$30</f>
        <v>extraETF — Newsletter Takeover</v>
      </c>
      <c r="C1457" s="45" t="n">
        <f aca="false">ROUND(MAX(0,'Model Inputs &amp; Assumptions'!$S$30*EXP('Model Inputs &amp; Assumptions'!$T$30*P1457-'Model Inputs &amp; Assumptions'!$T$30^2/2)),0)</f>
        <v>89639</v>
      </c>
      <c r="D1457" s="46" t="n">
        <f aca="false">MIN(1,'Model Inputs &amp; Assumptions'!$U$30*EXP('Model Inputs &amp; Assumptions'!$V$30*Q1457-'Model Inputs &amp; Assumptions'!$V$30^2/2))</f>
        <v>0</v>
      </c>
      <c r="E1457" s="45" t="n">
        <f aca="false">ROUND(C1457*D1457,0)</f>
        <v>0</v>
      </c>
      <c r="F1457" s="47" t="n">
        <f aca="false">MIN(1,'Model Inputs &amp; Assumptions'!$W$30*EXP('Model Inputs &amp; Assumptions'!$X$30*R1457-'Model Inputs &amp; Assumptions'!$X$30^2/2))</f>
        <v>0.00855396006895297</v>
      </c>
      <c r="G1457" s="45" t="n">
        <f aca="false">ROUND(C1457*F1457,0)</f>
        <v>767</v>
      </c>
      <c r="H1457" s="48" t="n">
        <f aca="false">MAX(0,(C1457*'Model Inputs &amp; Assumptions'!$N$30+E1457*'Model Inputs &amp; Assumptions'!$O$30+G1457*'Model Inputs &amp; Assumptions'!$P$30)*EXP('Model Inputs &amp; Assumptions'!$Q$30*S1457-'Model Inputs &amp; Assumptions'!$Q$30^2/2))</f>
        <v>48.999460717304</v>
      </c>
      <c r="I1457" s="49" t="n">
        <f aca="false">IF('Model Inputs &amp; Assumptions'!$H$30="Fixed",'Model Inputs &amp; Assumptions'!$I$30*'Model Inputs &amp; Assumptions'!$K$30,IF('Model Inputs &amp; Assumptions'!$H$30="CPM",'Model Inputs &amp; Assumptions'!$I$30*'Model Inputs &amp; Assumptions'!$K$30*C1457/1000,IF('Model Inputs &amp; Assumptions'!$H$30="CPC",'Model Inputs &amp; Assumptions'!$I$30*'Model Inputs &amp; Assumptions'!$K$30*G1457,0)))</f>
        <v>6900</v>
      </c>
      <c r="J1457" s="50" t="n">
        <f aca="false">H1457*INDEX('Model Inputs &amp; Assumptions'!$D$40:$D$42,MATCH('Model Inputs &amp; Assumptions'!$L$30,'Model Inputs &amp; Assumptions'!$A$40:$A$42,0))*INDEX('Model Inputs &amp; Assumptions'!$H$40:$H$42,MATCH('Model Inputs &amp; Assumptions'!$L$30,'Model Inputs &amp; Assumptions'!$A$40:$A$42,0))</f>
        <v>352796.117164589</v>
      </c>
      <c r="K1457" s="49" t="n">
        <f aca="false">H1457*INDEX('Model Inputs &amp; Assumptions'!$G$40:$G$42,MATCH('Model Inputs &amp; Assumptions'!$L$30,'Model Inputs &amp; Assumptions'!$A$40:$A$42,0))*INDEX('Model Inputs &amp; Assumptions'!$H$40:$H$42,MATCH('Model Inputs &amp; Assumptions'!$L$30,'Model Inputs &amp; Assumptions'!$A$40:$A$42,0))</f>
        <v>7779.15438347918</v>
      </c>
      <c r="L1457" s="51" t="n">
        <f aca="false">IFERROR(K1457/I1457,0)</f>
        <v>1.1274136787651</v>
      </c>
      <c r="M1457" s="49" t="n">
        <f aca="false">IFERROR(I1457/H1457,0)</f>
        <v>140.817876339673</v>
      </c>
      <c r="N1457" s="52" t="str">
        <f aca="false">'Model Inputs &amp; Assumptions'!$L$30</f>
        <v>PRD-USIQ</v>
      </c>
      <c r="P1457" s="53" t="n">
        <v>0.21379</v>
      </c>
      <c r="Q1457" s="53" t="n">
        <v>-0.149626</v>
      </c>
      <c r="R1457" s="53" t="n">
        <v>0.521352</v>
      </c>
      <c r="S1457" s="53" t="n">
        <v>0.055762</v>
      </c>
    </row>
    <row r="1458" customFormat="false" ht="15" hidden="false" customHeight="false" outlineLevel="0" collapsed="false">
      <c r="A1458" s="43" t="n">
        <v>455</v>
      </c>
      <c r="B1458" s="44" t="str">
        <f aca="false">'Model Inputs &amp; Assumptions'!$B$30</f>
        <v>extraETF — Newsletter Takeover</v>
      </c>
      <c r="C1458" s="45" t="n">
        <f aca="false">ROUND(MAX(0,'Model Inputs &amp; Assumptions'!$S$30*EXP('Model Inputs &amp; Assumptions'!$T$30*P1458-'Model Inputs &amp; Assumptions'!$T$30^2/2)),0)</f>
        <v>94911</v>
      </c>
      <c r="D1458" s="46" t="n">
        <f aca="false">MIN(1,'Model Inputs &amp; Assumptions'!$U$30*EXP('Model Inputs &amp; Assumptions'!$V$30*Q1458-'Model Inputs &amp; Assumptions'!$V$30^2/2))</f>
        <v>0</v>
      </c>
      <c r="E1458" s="45" t="n">
        <f aca="false">ROUND(C1458*D1458,0)</f>
        <v>0</v>
      </c>
      <c r="F1458" s="47" t="n">
        <f aca="false">MIN(1,'Model Inputs &amp; Assumptions'!$W$30*EXP('Model Inputs &amp; Assumptions'!$X$30*R1458-'Model Inputs &amp; Assumptions'!$X$30^2/2))</f>
        <v>0.00591777356805129</v>
      </c>
      <c r="G1458" s="45" t="n">
        <f aca="false">ROUND(C1458*F1458,0)</f>
        <v>562</v>
      </c>
      <c r="H1458" s="48" t="n">
        <f aca="false">MAX(0,(C1458*'Model Inputs &amp; Assumptions'!$N$30+E1458*'Model Inputs &amp; Assumptions'!$O$30+G1458*'Model Inputs &amp; Assumptions'!$P$30)*EXP('Model Inputs &amp; Assumptions'!$Q$30*S1458-'Model Inputs &amp; Assumptions'!$Q$30^2/2))</f>
        <v>25.8661222381973</v>
      </c>
      <c r="I1458" s="49" t="n">
        <f aca="false">IF('Model Inputs &amp; Assumptions'!$H$30="Fixed",'Model Inputs &amp; Assumptions'!$I$30*'Model Inputs &amp; Assumptions'!$K$30,IF('Model Inputs &amp; Assumptions'!$H$30="CPM",'Model Inputs &amp; Assumptions'!$I$30*'Model Inputs &amp; Assumptions'!$K$30*C1458/1000,IF('Model Inputs &amp; Assumptions'!$H$30="CPC",'Model Inputs &amp; Assumptions'!$I$30*'Model Inputs &amp; Assumptions'!$K$30*G1458,0)))</f>
        <v>6900</v>
      </c>
      <c r="J1458" s="50" t="n">
        <f aca="false">H1458*INDEX('Model Inputs &amp; Assumptions'!$D$40:$D$42,MATCH('Model Inputs &amp; Assumptions'!$L$30,'Model Inputs &amp; Assumptions'!$A$40:$A$42,0))*INDEX('Model Inputs &amp; Assumptions'!$H$40:$H$42,MATCH('Model Inputs &amp; Assumptions'!$L$30,'Model Inputs &amp; Assumptions'!$A$40:$A$42,0))</f>
        <v>186236.080115021</v>
      </c>
      <c r="K1458" s="49" t="n">
        <f aca="false">H1458*INDEX('Model Inputs &amp; Assumptions'!$G$40:$G$42,MATCH('Model Inputs &amp; Assumptions'!$L$30,'Model Inputs &amp; Assumptions'!$A$40:$A$42,0))*INDEX('Model Inputs &amp; Assumptions'!$H$40:$H$42,MATCH('Model Inputs &amp; Assumptions'!$L$30,'Model Inputs &amp; Assumptions'!$A$40:$A$42,0))</f>
        <v>4106.50556653621</v>
      </c>
      <c r="L1458" s="51" t="n">
        <f aca="false">IFERROR(K1458/I1458,0)</f>
        <v>0.59514573428061</v>
      </c>
      <c r="M1458" s="49" t="n">
        <f aca="false">IFERROR(I1458/H1458,0)</f>
        <v>266.758191910597</v>
      </c>
      <c r="N1458" s="52" t="str">
        <f aca="false">'Model Inputs &amp; Assumptions'!$L$30</f>
        <v>PRD-USIQ</v>
      </c>
      <c r="P1458" s="53" t="n">
        <v>0.690065</v>
      </c>
      <c r="Q1458" s="53" t="n">
        <v>-0.13417</v>
      </c>
      <c r="R1458" s="53" t="n">
        <v>-1.934875</v>
      </c>
      <c r="S1458" s="53" t="n">
        <v>-1.255799</v>
      </c>
    </row>
    <row r="1459" customFormat="false" ht="15" hidden="false" customHeight="false" outlineLevel="0" collapsed="false">
      <c r="A1459" s="43" t="n">
        <v>456</v>
      </c>
      <c r="B1459" s="44" t="str">
        <f aca="false">'Model Inputs &amp; Assumptions'!$B$30</f>
        <v>extraETF — Newsletter Takeover</v>
      </c>
      <c r="C1459" s="45" t="n">
        <f aca="false">ROUND(MAX(0,'Model Inputs &amp; Assumptions'!$S$30*EXP('Model Inputs &amp; Assumptions'!$T$30*P1459-'Model Inputs &amp; Assumptions'!$T$30^2/2)),0)</f>
        <v>85818</v>
      </c>
      <c r="D1459" s="46" t="n">
        <f aca="false">MIN(1,'Model Inputs &amp; Assumptions'!$U$30*EXP('Model Inputs &amp; Assumptions'!$V$30*Q1459-'Model Inputs &amp; Assumptions'!$V$30^2/2))</f>
        <v>0</v>
      </c>
      <c r="E1459" s="45" t="n">
        <f aca="false">ROUND(C1459*D1459,0)</f>
        <v>0</v>
      </c>
      <c r="F1459" s="47" t="n">
        <f aca="false">MIN(1,'Model Inputs &amp; Assumptions'!$W$30*EXP('Model Inputs &amp; Assumptions'!$X$30*R1459-'Model Inputs &amp; Assumptions'!$X$30^2/2))</f>
        <v>0.00785769959867348</v>
      </c>
      <c r="G1459" s="45" t="n">
        <f aca="false">ROUND(C1459*F1459,0)</f>
        <v>674</v>
      </c>
      <c r="H1459" s="48" t="n">
        <f aca="false">MAX(0,(C1459*'Model Inputs &amp; Assumptions'!$N$30+E1459*'Model Inputs &amp; Assumptions'!$O$30+G1459*'Model Inputs &amp; Assumptions'!$P$30)*EXP('Model Inputs &amp; Assumptions'!$Q$30*S1459-'Model Inputs &amp; Assumptions'!$Q$30^2/2))</f>
        <v>44.3940122817944</v>
      </c>
      <c r="I1459" s="49" t="n">
        <f aca="false">IF('Model Inputs &amp; Assumptions'!$H$30="Fixed",'Model Inputs &amp; Assumptions'!$I$30*'Model Inputs &amp; Assumptions'!$K$30,IF('Model Inputs &amp; Assumptions'!$H$30="CPM",'Model Inputs &amp; Assumptions'!$I$30*'Model Inputs &amp; Assumptions'!$K$30*C1459/1000,IF('Model Inputs &amp; Assumptions'!$H$30="CPC",'Model Inputs &amp; Assumptions'!$I$30*'Model Inputs &amp; Assumptions'!$K$30*G1459,0)))</f>
        <v>6900</v>
      </c>
      <c r="J1459" s="50" t="n">
        <f aca="false">H1459*INDEX('Model Inputs &amp; Assumptions'!$D$40:$D$42,MATCH('Model Inputs &amp; Assumptions'!$L$30,'Model Inputs &amp; Assumptions'!$A$40:$A$42,0))*INDEX('Model Inputs &amp; Assumptions'!$H$40:$H$42,MATCH('Model Inputs &amp; Assumptions'!$L$30,'Model Inputs &amp; Assumptions'!$A$40:$A$42,0))</f>
        <v>319636.88842892</v>
      </c>
      <c r="K1459" s="49" t="n">
        <f aca="false">H1459*INDEX('Model Inputs &amp; Assumptions'!$G$40:$G$42,MATCH('Model Inputs &amp; Assumptions'!$L$30,'Model Inputs &amp; Assumptions'!$A$40:$A$42,0))*INDEX('Model Inputs &amp; Assumptions'!$H$40:$H$42,MATCH('Model Inputs &amp; Assumptions'!$L$30,'Model Inputs &amp; Assumptions'!$A$40:$A$42,0))</f>
        <v>7047.99338985768</v>
      </c>
      <c r="L1459" s="51" t="n">
        <f aca="false">IFERROR(K1459/I1459,0)</f>
        <v>1.02144831737068</v>
      </c>
      <c r="M1459" s="49" t="n">
        <f aca="false">IFERROR(I1459/H1459,0)</f>
        <v>155.426365974801</v>
      </c>
      <c r="N1459" s="52" t="str">
        <f aca="false">'Model Inputs &amp; Assumptions'!$L$30</f>
        <v>PRD-USIQ</v>
      </c>
      <c r="P1459" s="53" t="n">
        <v>-0.149218</v>
      </c>
      <c r="Q1459" s="53" t="n">
        <v>1.756716</v>
      </c>
      <c r="R1459" s="53" t="n">
        <v>-0.044651</v>
      </c>
      <c r="S1459" s="53" t="n">
        <v>0.17797</v>
      </c>
    </row>
    <row r="1460" customFormat="false" ht="15" hidden="false" customHeight="false" outlineLevel="0" collapsed="false">
      <c r="A1460" s="43" t="n">
        <v>457</v>
      </c>
      <c r="B1460" s="44" t="str">
        <f aca="false">'Model Inputs &amp; Assumptions'!$B$30</f>
        <v>extraETF — Newsletter Takeover</v>
      </c>
      <c r="C1460" s="45" t="n">
        <f aca="false">ROUND(MAX(0,'Model Inputs &amp; Assumptions'!$S$30*EXP('Model Inputs &amp; Assumptions'!$T$30*P1460-'Model Inputs &amp; Assumptions'!$T$30^2/2)),0)</f>
        <v>83139</v>
      </c>
      <c r="D1460" s="46" t="n">
        <f aca="false">MIN(1,'Model Inputs &amp; Assumptions'!$U$30*EXP('Model Inputs &amp; Assumptions'!$V$30*Q1460-'Model Inputs &amp; Assumptions'!$V$30^2/2))</f>
        <v>0</v>
      </c>
      <c r="E1460" s="45" t="n">
        <f aca="false">ROUND(C1460*D1460,0)</f>
        <v>0</v>
      </c>
      <c r="F1460" s="47" t="n">
        <f aca="false">MIN(1,'Model Inputs &amp; Assumptions'!$W$30*EXP('Model Inputs &amp; Assumptions'!$X$30*R1460-'Model Inputs &amp; Assumptions'!$X$30^2/2))</f>
        <v>0.00709524109977264</v>
      </c>
      <c r="G1460" s="45" t="n">
        <f aca="false">ROUND(C1460*F1460,0)</f>
        <v>590</v>
      </c>
      <c r="H1460" s="48" t="n">
        <f aca="false">MAX(0,(C1460*'Model Inputs &amp; Assumptions'!$N$30+E1460*'Model Inputs &amp; Assumptions'!$O$30+G1460*'Model Inputs &amp; Assumptions'!$P$30)*EXP('Model Inputs &amp; Assumptions'!$Q$30*S1460-'Model Inputs &amp; Assumptions'!$Q$30^2/2))</f>
        <v>45.9716212983259</v>
      </c>
      <c r="I1460" s="49" t="n">
        <f aca="false">IF('Model Inputs &amp; Assumptions'!$H$30="Fixed",'Model Inputs &amp; Assumptions'!$I$30*'Model Inputs &amp; Assumptions'!$K$30,IF('Model Inputs &amp; Assumptions'!$H$30="CPM",'Model Inputs &amp; Assumptions'!$I$30*'Model Inputs &amp; Assumptions'!$K$30*C1460/1000,IF('Model Inputs &amp; Assumptions'!$H$30="CPC",'Model Inputs &amp; Assumptions'!$I$30*'Model Inputs &amp; Assumptions'!$K$30*G1460,0)))</f>
        <v>6900</v>
      </c>
      <c r="J1460" s="50" t="n">
        <f aca="false">H1460*INDEX('Model Inputs &amp; Assumptions'!$D$40:$D$42,MATCH('Model Inputs &amp; Assumptions'!$L$30,'Model Inputs &amp; Assumptions'!$A$40:$A$42,0))*INDEX('Model Inputs &amp; Assumptions'!$H$40:$H$42,MATCH('Model Inputs &amp; Assumptions'!$L$30,'Model Inputs &amp; Assumptions'!$A$40:$A$42,0))</f>
        <v>330995.673347946</v>
      </c>
      <c r="K1460" s="49" t="n">
        <f aca="false">H1460*INDEX('Model Inputs &amp; Assumptions'!$G$40:$G$42,MATCH('Model Inputs &amp; Assumptions'!$L$30,'Model Inputs &amp; Assumptions'!$A$40:$A$42,0))*INDEX('Model Inputs &amp; Assumptions'!$H$40:$H$42,MATCH('Model Inputs &amp; Assumptions'!$L$30,'Model Inputs &amp; Assumptions'!$A$40:$A$42,0))</f>
        <v>7298.45459732221</v>
      </c>
      <c r="L1460" s="51" t="n">
        <f aca="false">IFERROR(K1460/I1460,0)</f>
        <v>1.05774704309018</v>
      </c>
      <c r="M1460" s="49" t="n">
        <f aca="false">IFERROR(I1460/H1460,0)</f>
        <v>150.09259636991</v>
      </c>
      <c r="N1460" s="52" t="str">
        <f aca="false">'Model Inputs &amp; Assumptions'!$L$30</f>
        <v>PRD-USIQ</v>
      </c>
      <c r="P1460" s="53" t="n">
        <v>-0.413562</v>
      </c>
      <c r="Q1460" s="53" t="n">
        <v>-1.177825</v>
      </c>
      <c r="R1460" s="53" t="n">
        <v>-0.725115</v>
      </c>
      <c r="S1460" s="53" t="n">
        <v>0.850079</v>
      </c>
    </row>
    <row r="1461" customFormat="false" ht="15" hidden="false" customHeight="false" outlineLevel="0" collapsed="false">
      <c r="A1461" s="43" t="n">
        <v>458</v>
      </c>
      <c r="B1461" s="44" t="str">
        <f aca="false">'Model Inputs &amp; Assumptions'!$B$30</f>
        <v>extraETF — Newsletter Takeover</v>
      </c>
      <c r="C1461" s="45" t="n">
        <f aca="false">ROUND(MAX(0,'Model Inputs &amp; Assumptions'!$S$30*EXP('Model Inputs &amp; Assumptions'!$T$30*P1461-'Model Inputs &amp; Assumptions'!$T$30^2/2)),0)</f>
        <v>76892</v>
      </c>
      <c r="D1461" s="46" t="n">
        <f aca="false">MIN(1,'Model Inputs &amp; Assumptions'!$U$30*EXP('Model Inputs &amp; Assumptions'!$V$30*Q1461-'Model Inputs &amp; Assumptions'!$V$30^2/2))</f>
        <v>0</v>
      </c>
      <c r="E1461" s="45" t="n">
        <f aca="false">ROUND(C1461*D1461,0)</f>
        <v>0</v>
      </c>
      <c r="F1461" s="47" t="n">
        <f aca="false">MIN(1,'Model Inputs &amp; Assumptions'!$W$30*EXP('Model Inputs &amp; Assumptions'!$X$30*R1461-'Model Inputs &amp; Assumptions'!$X$30^2/2))</f>
        <v>0.00854728032479488</v>
      </c>
      <c r="G1461" s="45" t="n">
        <f aca="false">ROUND(C1461*F1461,0)</f>
        <v>657</v>
      </c>
      <c r="H1461" s="48" t="n">
        <f aca="false">MAX(0,(C1461*'Model Inputs &amp; Assumptions'!$N$30+E1461*'Model Inputs &amp; Assumptions'!$O$30+G1461*'Model Inputs &amp; Assumptions'!$P$30)*EXP('Model Inputs &amp; Assumptions'!$Q$30*S1461-'Model Inputs &amp; Assumptions'!$Q$30^2/2))</f>
        <v>42.4594715088916</v>
      </c>
      <c r="I1461" s="49" t="n">
        <f aca="false">IF('Model Inputs &amp; Assumptions'!$H$30="Fixed",'Model Inputs &amp; Assumptions'!$I$30*'Model Inputs &amp; Assumptions'!$K$30,IF('Model Inputs &amp; Assumptions'!$H$30="CPM",'Model Inputs &amp; Assumptions'!$I$30*'Model Inputs &amp; Assumptions'!$K$30*C1461/1000,IF('Model Inputs &amp; Assumptions'!$H$30="CPC",'Model Inputs &amp; Assumptions'!$I$30*'Model Inputs &amp; Assumptions'!$K$30*G1461,0)))</f>
        <v>6900</v>
      </c>
      <c r="J1461" s="50" t="n">
        <f aca="false">H1461*INDEX('Model Inputs &amp; Assumptions'!$D$40:$D$42,MATCH('Model Inputs &amp; Assumptions'!$L$30,'Model Inputs &amp; Assumptions'!$A$40:$A$42,0))*INDEX('Model Inputs &amp; Assumptions'!$H$40:$H$42,MATCH('Model Inputs &amp; Assumptions'!$L$30,'Model Inputs &amp; Assumptions'!$A$40:$A$42,0))</f>
        <v>305708.19486402</v>
      </c>
      <c r="K1461" s="49" t="n">
        <f aca="false">H1461*INDEX('Model Inputs &amp; Assumptions'!$G$40:$G$42,MATCH('Model Inputs &amp; Assumptions'!$L$30,'Model Inputs &amp; Assumptions'!$A$40:$A$42,0))*INDEX('Model Inputs &amp; Assumptions'!$H$40:$H$42,MATCH('Model Inputs &amp; Assumptions'!$L$30,'Model Inputs &amp; Assumptions'!$A$40:$A$42,0))</f>
        <v>6740.86569675164</v>
      </c>
      <c r="L1461" s="51" t="n">
        <f aca="false">IFERROR(K1461/I1461,0)</f>
        <v>0.976937057500237</v>
      </c>
      <c r="M1461" s="49" t="n">
        <f aca="false">IFERROR(I1461/H1461,0)</f>
        <v>162.507910597875</v>
      </c>
      <c r="N1461" s="52" t="str">
        <f aca="false">'Model Inputs &amp; Assumptions'!$L$30</f>
        <v>PRD-USIQ</v>
      </c>
      <c r="P1461" s="53" t="n">
        <v>-1.064458</v>
      </c>
      <c r="Q1461" s="53" t="n">
        <v>-0.773423</v>
      </c>
      <c r="R1461" s="53" t="n">
        <v>0.516144</v>
      </c>
      <c r="S1461" s="53" t="n">
        <v>0.101936</v>
      </c>
    </row>
    <row r="1462" customFormat="false" ht="15" hidden="false" customHeight="false" outlineLevel="0" collapsed="false">
      <c r="A1462" s="43" t="n">
        <v>459</v>
      </c>
      <c r="B1462" s="44" t="str">
        <f aca="false">'Model Inputs &amp; Assumptions'!$B$30</f>
        <v>extraETF — Newsletter Takeover</v>
      </c>
      <c r="C1462" s="45" t="n">
        <f aca="false">ROUND(MAX(0,'Model Inputs &amp; Assumptions'!$S$30*EXP('Model Inputs &amp; Assumptions'!$T$30*P1462-'Model Inputs &amp; Assumptions'!$T$30^2/2)),0)</f>
        <v>82371</v>
      </c>
      <c r="D1462" s="46" t="n">
        <f aca="false">MIN(1,'Model Inputs &amp; Assumptions'!$U$30*EXP('Model Inputs &amp; Assumptions'!$V$30*Q1462-'Model Inputs &amp; Assumptions'!$V$30^2/2))</f>
        <v>0</v>
      </c>
      <c r="E1462" s="45" t="n">
        <f aca="false">ROUND(C1462*D1462,0)</f>
        <v>0</v>
      </c>
      <c r="F1462" s="47" t="n">
        <f aca="false">MIN(1,'Model Inputs &amp; Assumptions'!$W$30*EXP('Model Inputs &amp; Assumptions'!$X$30*R1462-'Model Inputs &amp; Assumptions'!$X$30^2/2))</f>
        <v>0.00857721948542117</v>
      </c>
      <c r="G1462" s="45" t="n">
        <f aca="false">ROUND(C1462*F1462,0)</f>
        <v>707</v>
      </c>
      <c r="H1462" s="48" t="n">
        <f aca="false">MAX(0,(C1462*'Model Inputs &amp; Assumptions'!$N$30+E1462*'Model Inputs &amp; Assumptions'!$O$30+G1462*'Model Inputs &amp; Assumptions'!$P$30)*EXP('Model Inputs &amp; Assumptions'!$Q$30*S1462-'Model Inputs &amp; Assumptions'!$Q$30^2/2))</f>
        <v>71.3648468314874</v>
      </c>
      <c r="I1462" s="49" t="n">
        <f aca="false">IF('Model Inputs &amp; Assumptions'!$H$30="Fixed",'Model Inputs &amp; Assumptions'!$I$30*'Model Inputs &amp; Assumptions'!$K$30,IF('Model Inputs &amp; Assumptions'!$H$30="CPM",'Model Inputs &amp; Assumptions'!$I$30*'Model Inputs &amp; Assumptions'!$K$30*C1462/1000,IF('Model Inputs &amp; Assumptions'!$H$30="CPC",'Model Inputs &amp; Assumptions'!$I$30*'Model Inputs &amp; Assumptions'!$K$30*G1462,0)))</f>
        <v>6900</v>
      </c>
      <c r="J1462" s="50" t="n">
        <f aca="false">H1462*INDEX('Model Inputs &amp; Assumptions'!$D$40:$D$42,MATCH('Model Inputs &amp; Assumptions'!$L$30,'Model Inputs &amp; Assumptions'!$A$40:$A$42,0))*INDEX('Model Inputs &amp; Assumptions'!$H$40:$H$42,MATCH('Model Inputs &amp; Assumptions'!$L$30,'Model Inputs &amp; Assumptions'!$A$40:$A$42,0))</f>
        <v>513826.897186709</v>
      </c>
      <c r="K1462" s="49" t="n">
        <f aca="false">H1462*INDEX('Model Inputs &amp; Assumptions'!$G$40:$G$42,MATCH('Model Inputs &amp; Assumptions'!$L$30,'Model Inputs &amp; Assumptions'!$A$40:$A$42,0))*INDEX('Model Inputs &amp; Assumptions'!$H$40:$H$42,MATCH('Model Inputs &amp; Assumptions'!$L$30,'Model Inputs &amp; Assumptions'!$A$40:$A$42,0))</f>
        <v>11329.8830829669</v>
      </c>
      <c r="L1462" s="51" t="n">
        <f aca="false">IFERROR(K1462/I1462,0)</f>
        <v>1.6420120410097</v>
      </c>
      <c r="M1462" s="49" t="n">
        <f aca="false">IFERROR(I1462/H1462,0)</f>
        <v>96.6862580997736</v>
      </c>
      <c r="N1462" s="52" t="str">
        <f aca="false">'Model Inputs &amp; Assumptions'!$L$30</f>
        <v>PRD-USIQ</v>
      </c>
      <c r="P1462" s="53" t="n">
        <v>-0.490821</v>
      </c>
      <c r="Q1462" s="53" t="n">
        <v>-1.064956</v>
      </c>
      <c r="R1462" s="53" t="n">
        <v>0.539455</v>
      </c>
      <c r="S1462" s="53" t="n">
        <v>1.885571</v>
      </c>
    </row>
    <row r="1463" customFormat="false" ht="15" hidden="false" customHeight="false" outlineLevel="0" collapsed="false">
      <c r="A1463" s="43" t="n">
        <v>460</v>
      </c>
      <c r="B1463" s="44" t="str">
        <f aca="false">'Model Inputs &amp; Assumptions'!$B$30</f>
        <v>extraETF — Newsletter Takeover</v>
      </c>
      <c r="C1463" s="45" t="n">
        <f aca="false">ROUND(MAX(0,'Model Inputs &amp; Assumptions'!$S$30*EXP('Model Inputs &amp; Assumptions'!$T$30*P1463-'Model Inputs &amp; Assumptions'!$T$30^2/2)),0)</f>
        <v>97222</v>
      </c>
      <c r="D1463" s="46" t="n">
        <f aca="false">MIN(1,'Model Inputs &amp; Assumptions'!$U$30*EXP('Model Inputs &amp; Assumptions'!$V$30*Q1463-'Model Inputs &amp; Assumptions'!$V$30^2/2))</f>
        <v>0</v>
      </c>
      <c r="E1463" s="45" t="n">
        <f aca="false">ROUND(C1463*D1463,0)</f>
        <v>0</v>
      </c>
      <c r="F1463" s="47" t="n">
        <f aca="false">MIN(1,'Model Inputs &amp; Assumptions'!$W$30*EXP('Model Inputs &amp; Assumptions'!$X$30*R1463-'Model Inputs &amp; Assumptions'!$X$30^2/2))</f>
        <v>0.0079972032889635</v>
      </c>
      <c r="G1463" s="45" t="n">
        <f aca="false">ROUND(C1463*F1463,0)</f>
        <v>778</v>
      </c>
      <c r="H1463" s="48" t="n">
        <f aca="false">MAX(0,(C1463*'Model Inputs &amp; Assumptions'!$N$30+E1463*'Model Inputs &amp; Assumptions'!$O$30+G1463*'Model Inputs &amp; Assumptions'!$P$30)*EXP('Model Inputs &amp; Assumptions'!$Q$30*S1463-'Model Inputs &amp; Assumptions'!$Q$30^2/2))</f>
        <v>43.1057334563503</v>
      </c>
      <c r="I1463" s="49" t="n">
        <f aca="false">IF('Model Inputs &amp; Assumptions'!$H$30="Fixed",'Model Inputs &amp; Assumptions'!$I$30*'Model Inputs &amp; Assumptions'!$K$30,IF('Model Inputs &amp; Assumptions'!$H$30="CPM",'Model Inputs &amp; Assumptions'!$I$30*'Model Inputs &amp; Assumptions'!$K$30*C1463/1000,IF('Model Inputs &amp; Assumptions'!$H$30="CPC",'Model Inputs &amp; Assumptions'!$I$30*'Model Inputs &amp; Assumptions'!$K$30*G1463,0)))</f>
        <v>6900</v>
      </c>
      <c r="J1463" s="50" t="n">
        <f aca="false">H1463*INDEX('Model Inputs &amp; Assumptions'!$D$40:$D$42,MATCH('Model Inputs &amp; Assumptions'!$L$30,'Model Inputs &amp; Assumptions'!$A$40:$A$42,0))*INDEX('Model Inputs &amp; Assumptions'!$H$40:$H$42,MATCH('Model Inputs &amp; Assumptions'!$L$30,'Model Inputs &amp; Assumptions'!$A$40:$A$42,0))</f>
        <v>310361.280885722</v>
      </c>
      <c r="K1463" s="49" t="n">
        <f aca="false">H1463*INDEX('Model Inputs &amp; Assumptions'!$G$40:$G$42,MATCH('Model Inputs &amp; Assumptions'!$L$30,'Model Inputs &amp; Assumptions'!$A$40:$A$42,0))*INDEX('Model Inputs &amp; Assumptions'!$H$40:$H$42,MATCH('Model Inputs &amp; Assumptions'!$L$30,'Model Inputs &amp; Assumptions'!$A$40:$A$42,0))</f>
        <v>6843.46624353017</v>
      </c>
      <c r="L1463" s="51" t="n">
        <f aca="false">IFERROR(K1463/I1463,0)</f>
        <v>0.991806701960895</v>
      </c>
      <c r="M1463" s="49" t="n">
        <f aca="false">IFERROR(I1463/H1463,0)</f>
        <v>160.071513618648</v>
      </c>
      <c r="N1463" s="52" t="str">
        <f aca="false">'Model Inputs &amp; Assumptions'!$L$30</f>
        <v>PRD-USIQ</v>
      </c>
      <c r="P1463" s="53" t="n">
        <v>0.890499</v>
      </c>
      <c r="Q1463" s="53" t="n">
        <v>0.36659</v>
      </c>
      <c r="R1463" s="53" t="n">
        <v>0.072669</v>
      </c>
      <c r="S1463" s="53" t="n">
        <v>-0.51381</v>
      </c>
    </row>
    <row r="1464" customFormat="false" ht="15" hidden="false" customHeight="false" outlineLevel="0" collapsed="false">
      <c r="A1464" s="43" t="n">
        <v>461</v>
      </c>
      <c r="B1464" s="44" t="str">
        <f aca="false">'Model Inputs &amp; Assumptions'!$B$30</f>
        <v>extraETF — Newsletter Takeover</v>
      </c>
      <c r="C1464" s="45" t="n">
        <f aca="false">ROUND(MAX(0,'Model Inputs &amp; Assumptions'!$S$30*EXP('Model Inputs &amp; Assumptions'!$T$30*P1464-'Model Inputs &amp; Assumptions'!$T$30^2/2)),0)</f>
        <v>86445</v>
      </c>
      <c r="D1464" s="46" t="n">
        <f aca="false">MIN(1,'Model Inputs &amp; Assumptions'!$U$30*EXP('Model Inputs &amp; Assumptions'!$V$30*Q1464-'Model Inputs &amp; Assumptions'!$V$30^2/2))</f>
        <v>0</v>
      </c>
      <c r="E1464" s="45" t="n">
        <f aca="false">ROUND(C1464*D1464,0)</f>
        <v>0</v>
      </c>
      <c r="F1464" s="47" t="n">
        <f aca="false">MIN(1,'Model Inputs &amp; Assumptions'!$W$30*EXP('Model Inputs &amp; Assumptions'!$X$30*R1464-'Model Inputs &amp; Assumptions'!$X$30^2/2))</f>
        <v>0.00644089619842168</v>
      </c>
      <c r="G1464" s="45" t="n">
        <f aca="false">ROUND(C1464*F1464,0)</f>
        <v>557</v>
      </c>
      <c r="H1464" s="48" t="n">
        <f aca="false">MAX(0,(C1464*'Model Inputs &amp; Assumptions'!$N$30+E1464*'Model Inputs &amp; Assumptions'!$O$30+G1464*'Model Inputs &amp; Assumptions'!$P$30)*EXP('Model Inputs &amp; Assumptions'!$Q$30*S1464-'Model Inputs &amp; Assumptions'!$Q$30^2/2))</f>
        <v>50.0540154262985</v>
      </c>
      <c r="I1464" s="49" t="n">
        <f aca="false">IF('Model Inputs &amp; Assumptions'!$H$30="Fixed",'Model Inputs &amp; Assumptions'!$I$30*'Model Inputs &amp; Assumptions'!$K$30,IF('Model Inputs &amp; Assumptions'!$H$30="CPM",'Model Inputs &amp; Assumptions'!$I$30*'Model Inputs &amp; Assumptions'!$K$30*C1464/1000,IF('Model Inputs &amp; Assumptions'!$H$30="CPC",'Model Inputs &amp; Assumptions'!$I$30*'Model Inputs &amp; Assumptions'!$K$30*G1464,0)))</f>
        <v>6900</v>
      </c>
      <c r="J1464" s="50" t="n">
        <f aca="false">H1464*INDEX('Model Inputs &amp; Assumptions'!$D$40:$D$42,MATCH('Model Inputs &amp; Assumptions'!$L$30,'Model Inputs &amp; Assumptions'!$A$40:$A$42,0))*INDEX('Model Inputs &amp; Assumptions'!$H$40:$H$42,MATCH('Model Inputs &amp; Assumptions'!$L$30,'Model Inputs &amp; Assumptions'!$A$40:$A$42,0))</f>
        <v>360388.911069349</v>
      </c>
      <c r="K1464" s="49" t="n">
        <f aca="false">H1464*INDEX('Model Inputs &amp; Assumptions'!$G$40:$G$42,MATCH('Model Inputs &amp; Assumptions'!$L$30,'Model Inputs &amp; Assumptions'!$A$40:$A$42,0))*INDEX('Model Inputs &amp; Assumptions'!$H$40:$H$42,MATCH('Model Inputs &amp; Assumptions'!$L$30,'Model Inputs &amp; Assumptions'!$A$40:$A$42,0))</f>
        <v>7946.57548907915</v>
      </c>
      <c r="L1464" s="51" t="n">
        <f aca="false">IFERROR(K1464/I1464,0)</f>
        <v>1.15167760711292</v>
      </c>
      <c r="M1464" s="49" t="n">
        <f aca="false">IFERROR(I1464/H1464,0)</f>
        <v>137.851078304793</v>
      </c>
      <c r="N1464" s="52" t="str">
        <f aca="false">'Model Inputs &amp; Assumptions'!$L$30</f>
        <v>PRD-USIQ</v>
      </c>
      <c r="P1464" s="53" t="n">
        <v>-0.088611</v>
      </c>
      <c r="Q1464" s="53" t="n">
        <v>1.265508</v>
      </c>
      <c r="R1464" s="53" t="n">
        <v>-1.370159</v>
      </c>
      <c r="S1464" s="53" t="n">
        <v>1.420622</v>
      </c>
    </row>
    <row r="1465" customFormat="false" ht="15" hidden="false" customHeight="false" outlineLevel="0" collapsed="false">
      <c r="A1465" s="43" t="n">
        <v>462</v>
      </c>
      <c r="B1465" s="44" t="str">
        <f aca="false">'Model Inputs &amp; Assumptions'!$B$30</f>
        <v>extraETF — Newsletter Takeover</v>
      </c>
      <c r="C1465" s="45" t="n">
        <f aca="false">ROUND(MAX(0,'Model Inputs &amp; Assumptions'!$S$30*EXP('Model Inputs &amp; Assumptions'!$T$30*P1465-'Model Inputs &amp; Assumptions'!$T$30^2/2)),0)</f>
        <v>81245</v>
      </c>
      <c r="D1465" s="46" t="n">
        <f aca="false">MIN(1,'Model Inputs &amp; Assumptions'!$U$30*EXP('Model Inputs &amp; Assumptions'!$V$30*Q1465-'Model Inputs &amp; Assumptions'!$V$30^2/2))</f>
        <v>0</v>
      </c>
      <c r="E1465" s="45" t="n">
        <f aca="false">ROUND(C1465*D1465,0)</f>
        <v>0</v>
      </c>
      <c r="F1465" s="47" t="n">
        <f aca="false">MIN(1,'Model Inputs &amp; Assumptions'!$W$30*EXP('Model Inputs &amp; Assumptions'!$X$30*R1465-'Model Inputs &amp; Assumptions'!$X$30^2/2))</f>
        <v>0.0081009455681987</v>
      </c>
      <c r="G1465" s="45" t="n">
        <f aca="false">ROUND(C1465*F1465,0)</f>
        <v>658</v>
      </c>
      <c r="H1465" s="48" t="n">
        <f aca="false">MAX(0,(C1465*'Model Inputs &amp; Assumptions'!$N$30+E1465*'Model Inputs &amp; Assumptions'!$O$30+G1465*'Model Inputs &amp; Assumptions'!$P$30)*EXP('Model Inputs &amp; Assumptions'!$Q$30*S1465-'Model Inputs &amp; Assumptions'!$Q$30^2/2))</f>
        <v>42.7435228763255</v>
      </c>
      <c r="I1465" s="49" t="n">
        <f aca="false">IF('Model Inputs &amp; Assumptions'!$H$30="Fixed",'Model Inputs &amp; Assumptions'!$I$30*'Model Inputs &amp; Assumptions'!$K$30,IF('Model Inputs &amp; Assumptions'!$H$30="CPM",'Model Inputs &amp; Assumptions'!$I$30*'Model Inputs &amp; Assumptions'!$K$30*C1465/1000,IF('Model Inputs &amp; Assumptions'!$H$30="CPC",'Model Inputs &amp; Assumptions'!$I$30*'Model Inputs &amp; Assumptions'!$K$30*G1465,0)))</f>
        <v>6900</v>
      </c>
      <c r="J1465" s="50" t="n">
        <f aca="false">H1465*INDEX('Model Inputs &amp; Assumptions'!$D$40:$D$42,MATCH('Model Inputs &amp; Assumptions'!$L$30,'Model Inputs &amp; Assumptions'!$A$40:$A$42,0))*INDEX('Model Inputs &amp; Assumptions'!$H$40:$H$42,MATCH('Model Inputs &amp; Assumptions'!$L$30,'Model Inputs &amp; Assumptions'!$A$40:$A$42,0))</f>
        <v>307753.364709544</v>
      </c>
      <c r="K1465" s="49" t="n">
        <f aca="false">H1465*INDEX('Model Inputs &amp; Assumptions'!$G$40:$G$42,MATCH('Model Inputs &amp; Assumptions'!$L$30,'Model Inputs &amp; Assumptions'!$A$40:$A$42,0))*INDEX('Model Inputs &amp; Assumptions'!$H$40:$H$42,MATCH('Model Inputs &amp; Assumptions'!$L$30,'Model Inputs &amp; Assumptions'!$A$40:$A$42,0))</f>
        <v>6785.96169184544</v>
      </c>
      <c r="L1465" s="51" t="n">
        <f aca="false">IFERROR(K1465/I1465,0)</f>
        <v>0.983472708963107</v>
      </c>
      <c r="M1465" s="49" t="n">
        <f aca="false">IFERROR(I1465/H1465,0)</f>
        <v>161.42796699197</v>
      </c>
      <c r="N1465" s="52" t="str">
        <f aca="false">'Model Inputs &amp; Assumptions'!$L$30</f>
        <v>PRD-USIQ</v>
      </c>
      <c r="P1465" s="53" t="n">
        <v>-0.605563</v>
      </c>
      <c r="Q1465" s="53" t="n">
        <v>0.288067</v>
      </c>
      <c r="R1465" s="53" t="n">
        <v>0.158595</v>
      </c>
      <c r="S1465" s="53" t="n">
        <v>0.122523</v>
      </c>
    </row>
    <row r="1466" customFormat="false" ht="15" hidden="false" customHeight="false" outlineLevel="0" collapsed="false">
      <c r="A1466" s="43" t="n">
        <v>463</v>
      </c>
      <c r="B1466" s="44" t="str">
        <f aca="false">'Model Inputs &amp; Assumptions'!$B$30</f>
        <v>extraETF — Newsletter Takeover</v>
      </c>
      <c r="C1466" s="45" t="n">
        <f aca="false">ROUND(MAX(0,'Model Inputs &amp; Assumptions'!$S$30*EXP('Model Inputs &amp; Assumptions'!$T$30*P1466-'Model Inputs &amp; Assumptions'!$T$30^2/2)),0)</f>
        <v>101193</v>
      </c>
      <c r="D1466" s="46" t="n">
        <f aca="false">MIN(1,'Model Inputs &amp; Assumptions'!$U$30*EXP('Model Inputs &amp; Assumptions'!$V$30*Q1466-'Model Inputs &amp; Assumptions'!$V$30^2/2))</f>
        <v>0</v>
      </c>
      <c r="E1466" s="45" t="n">
        <f aca="false">ROUND(C1466*D1466,0)</f>
        <v>0</v>
      </c>
      <c r="F1466" s="47" t="n">
        <f aca="false">MIN(1,'Model Inputs &amp; Assumptions'!$W$30*EXP('Model Inputs &amp; Assumptions'!$X$30*R1466-'Model Inputs &amp; Assumptions'!$X$30^2/2))</f>
        <v>0.00685110903219692</v>
      </c>
      <c r="G1466" s="45" t="n">
        <f aca="false">ROUND(C1466*F1466,0)</f>
        <v>693</v>
      </c>
      <c r="H1466" s="48" t="n">
        <f aca="false">MAX(0,(C1466*'Model Inputs &amp; Assumptions'!$N$30+E1466*'Model Inputs &amp; Assumptions'!$O$30+G1466*'Model Inputs &amp; Assumptions'!$P$30)*EXP('Model Inputs &amp; Assumptions'!$Q$30*S1466-'Model Inputs &amp; Assumptions'!$Q$30^2/2))</f>
        <v>29.9625866020243</v>
      </c>
      <c r="I1466" s="49" t="n">
        <f aca="false">IF('Model Inputs &amp; Assumptions'!$H$30="Fixed",'Model Inputs &amp; Assumptions'!$I$30*'Model Inputs &amp; Assumptions'!$K$30,IF('Model Inputs &amp; Assumptions'!$H$30="CPM",'Model Inputs &amp; Assumptions'!$I$30*'Model Inputs &amp; Assumptions'!$K$30*C1466/1000,IF('Model Inputs &amp; Assumptions'!$H$30="CPC",'Model Inputs &amp; Assumptions'!$I$30*'Model Inputs &amp; Assumptions'!$K$30*G1466,0)))</f>
        <v>6900</v>
      </c>
      <c r="J1466" s="50" t="n">
        <f aca="false">H1466*INDEX('Model Inputs &amp; Assumptions'!$D$40:$D$42,MATCH('Model Inputs &amp; Assumptions'!$L$30,'Model Inputs &amp; Assumptions'!$A$40:$A$42,0))*INDEX('Model Inputs &amp; Assumptions'!$H$40:$H$42,MATCH('Model Inputs &amp; Assumptions'!$L$30,'Model Inputs &amp; Assumptions'!$A$40:$A$42,0))</f>
        <v>215730.623534575</v>
      </c>
      <c r="K1466" s="49" t="n">
        <f aca="false">H1466*INDEX('Model Inputs &amp; Assumptions'!$G$40:$G$42,MATCH('Model Inputs &amp; Assumptions'!$L$30,'Model Inputs &amp; Assumptions'!$A$40:$A$42,0))*INDEX('Model Inputs &amp; Assumptions'!$H$40:$H$42,MATCH('Model Inputs &amp; Assumptions'!$L$30,'Model Inputs &amp; Assumptions'!$A$40:$A$42,0))</f>
        <v>4756.86024893738</v>
      </c>
      <c r="L1466" s="51" t="n">
        <f aca="false">IFERROR(K1466/I1466,0)</f>
        <v>0.689400036077881</v>
      </c>
      <c r="M1466" s="49" t="n">
        <f aca="false">IFERROR(I1466/H1466,0)</f>
        <v>230.287194214862</v>
      </c>
      <c r="N1466" s="52" t="str">
        <f aca="false">'Model Inputs &amp; Assumptions'!$L$30</f>
        <v>PRD-USIQ</v>
      </c>
      <c r="P1466" s="53" t="n">
        <v>1.224115</v>
      </c>
      <c r="Q1466" s="53" t="n">
        <v>-0.770151</v>
      </c>
      <c r="R1466" s="53" t="n">
        <v>-0.95854</v>
      </c>
      <c r="S1466" s="53" t="n">
        <v>-1.50585</v>
      </c>
    </row>
    <row r="1467" customFormat="false" ht="15" hidden="false" customHeight="false" outlineLevel="0" collapsed="false">
      <c r="A1467" s="43" t="n">
        <v>464</v>
      </c>
      <c r="B1467" s="44" t="str">
        <f aca="false">'Model Inputs &amp; Assumptions'!$B$30</f>
        <v>extraETF — Newsletter Takeover</v>
      </c>
      <c r="C1467" s="45" t="n">
        <f aca="false">ROUND(MAX(0,'Model Inputs &amp; Assumptions'!$S$30*EXP('Model Inputs &amp; Assumptions'!$T$30*P1467-'Model Inputs &amp; Assumptions'!$T$30^2/2)),0)</f>
        <v>97754</v>
      </c>
      <c r="D1467" s="46" t="n">
        <f aca="false">MIN(1,'Model Inputs &amp; Assumptions'!$U$30*EXP('Model Inputs &amp; Assumptions'!$V$30*Q1467-'Model Inputs &amp; Assumptions'!$V$30^2/2))</f>
        <v>0</v>
      </c>
      <c r="E1467" s="45" t="n">
        <f aca="false">ROUND(C1467*D1467,0)</f>
        <v>0</v>
      </c>
      <c r="F1467" s="47" t="n">
        <f aca="false">MIN(1,'Model Inputs &amp; Assumptions'!$W$30*EXP('Model Inputs &amp; Assumptions'!$X$30*R1467-'Model Inputs &amp; Assumptions'!$X$30^2/2))</f>
        <v>0.00921617084526912</v>
      </c>
      <c r="G1467" s="45" t="n">
        <f aca="false">ROUND(C1467*F1467,0)</f>
        <v>901</v>
      </c>
      <c r="H1467" s="48" t="n">
        <f aca="false">MAX(0,(C1467*'Model Inputs &amp; Assumptions'!$N$30+E1467*'Model Inputs &amp; Assumptions'!$O$30+G1467*'Model Inputs &amp; Assumptions'!$P$30)*EXP('Model Inputs &amp; Assumptions'!$Q$30*S1467-'Model Inputs &amp; Assumptions'!$Q$30^2/2))</f>
        <v>45.0313538116529</v>
      </c>
      <c r="I1467" s="49" t="n">
        <f aca="false">IF('Model Inputs &amp; Assumptions'!$H$30="Fixed",'Model Inputs &amp; Assumptions'!$I$30*'Model Inputs &amp; Assumptions'!$K$30,IF('Model Inputs &amp; Assumptions'!$H$30="CPM",'Model Inputs &amp; Assumptions'!$I$30*'Model Inputs &amp; Assumptions'!$K$30*C1467/1000,IF('Model Inputs &amp; Assumptions'!$H$30="CPC",'Model Inputs &amp; Assumptions'!$I$30*'Model Inputs &amp; Assumptions'!$K$30*G1467,0)))</f>
        <v>6900</v>
      </c>
      <c r="J1467" s="50" t="n">
        <f aca="false">H1467*INDEX('Model Inputs &amp; Assumptions'!$D$40:$D$42,MATCH('Model Inputs &amp; Assumptions'!$L$30,'Model Inputs &amp; Assumptions'!$A$40:$A$42,0))*INDEX('Model Inputs &amp; Assumptions'!$H$40:$H$42,MATCH('Model Inputs &amp; Assumptions'!$L$30,'Model Inputs &amp; Assumptions'!$A$40:$A$42,0))</f>
        <v>324225.747443901</v>
      </c>
      <c r="K1467" s="49" t="n">
        <f aca="false">H1467*INDEX('Model Inputs &amp; Assumptions'!$G$40:$G$42,MATCH('Model Inputs &amp; Assumptions'!$L$30,'Model Inputs &amp; Assumptions'!$A$40:$A$42,0))*INDEX('Model Inputs &amp; Assumptions'!$H$40:$H$42,MATCH('Model Inputs &amp; Assumptions'!$L$30,'Model Inputs &amp; Assumptions'!$A$40:$A$42,0))</f>
        <v>7149.17773113801</v>
      </c>
      <c r="L1467" s="51" t="n">
        <f aca="false">IFERROR(K1467/I1467,0)</f>
        <v>1.03611271465768</v>
      </c>
      <c r="M1467" s="49" t="n">
        <f aca="false">IFERROR(I1467/H1467,0)</f>
        <v>153.226572509007</v>
      </c>
      <c r="N1467" s="52" t="str">
        <f aca="false">'Model Inputs &amp; Assumptions'!$L$30</f>
        <v>PRD-USIQ</v>
      </c>
      <c r="P1467" s="53" t="n">
        <v>0.936</v>
      </c>
      <c r="Q1467" s="53" t="n">
        <v>1.172208</v>
      </c>
      <c r="R1467" s="53" t="n">
        <v>1.018454</v>
      </c>
      <c r="S1467" s="53" t="n">
        <v>-0.926113</v>
      </c>
    </row>
    <row r="1468" customFormat="false" ht="15" hidden="false" customHeight="false" outlineLevel="0" collapsed="false">
      <c r="A1468" s="43" t="n">
        <v>465</v>
      </c>
      <c r="B1468" s="44" t="str">
        <f aca="false">'Model Inputs &amp; Assumptions'!$B$30</f>
        <v>extraETF — Newsletter Takeover</v>
      </c>
      <c r="C1468" s="45" t="n">
        <f aca="false">ROUND(MAX(0,'Model Inputs &amp; Assumptions'!$S$30*EXP('Model Inputs &amp; Assumptions'!$T$30*P1468-'Model Inputs &amp; Assumptions'!$T$30^2/2)),0)</f>
        <v>68296</v>
      </c>
      <c r="D1468" s="46" t="n">
        <f aca="false">MIN(1,'Model Inputs &amp; Assumptions'!$U$30*EXP('Model Inputs &amp; Assumptions'!$V$30*Q1468-'Model Inputs &amp; Assumptions'!$V$30^2/2))</f>
        <v>0</v>
      </c>
      <c r="E1468" s="45" t="n">
        <f aca="false">ROUND(C1468*D1468,0)</f>
        <v>0</v>
      </c>
      <c r="F1468" s="47" t="n">
        <f aca="false">MIN(1,'Model Inputs &amp; Assumptions'!$W$30*EXP('Model Inputs &amp; Assumptions'!$X$30*R1468-'Model Inputs &amp; Assumptions'!$X$30^2/2))</f>
        <v>0.00842912011970688</v>
      </c>
      <c r="G1468" s="45" t="n">
        <f aca="false">ROUND(C1468*F1468,0)</f>
        <v>576</v>
      </c>
      <c r="H1468" s="48" t="n">
        <f aca="false">MAX(0,(C1468*'Model Inputs &amp; Assumptions'!$N$30+E1468*'Model Inputs &amp; Assumptions'!$O$30+G1468*'Model Inputs &amp; Assumptions'!$P$30)*EXP('Model Inputs &amp; Assumptions'!$Q$30*S1468-'Model Inputs &amp; Assumptions'!$Q$30^2/2))</f>
        <v>40.1174700530201</v>
      </c>
      <c r="I1468" s="49" t="n">
        <f aca="false">IF('Model Inputs &amp; Assumptions'!$H$30="Fixed",'Model Inputs &amp; Assumptions'!$I$30*'Model Inputs &amp; Assumptions'!$K$30,IF('Model Inputs &amp; Assumptions'!$H$30="CPM",'Model Inputs &amp; Assumptions'!$I$30*'Model Inputs &amp; Assumptions'!$K$30*C1468/1000,IF('Model Inputs &amp; Assumptions'!$H$30="CPC",'Model Inputs &amp; Assumptions'!$I$30*'Model Inputs &amp; Assumptions'!$K$30*G1468,0)))</f>
        <v>6900</v>
      </c>
      <c r="J1468" s="50" t="n">
        <f aca="false">H1468*INDEX('Model Inputs &amp; Assumptions'!$D$40:$D$42,MATCH('Model Inputs &amp; Assumptions'!$L$30,'Model Inputs &amp; Assumptions'!$A$40:$A$42,0))*INDEX('Model Inputs &amp; Assumptions'!$H$40:$H$42,MATCH('Model Inputs &amp; Assumptions'!$L$30,'Model Inputs &amp; Assumptions'!$A$40:$A$42,0))</f>
        <v>288845.784381745</v>
      </c>
      <c r="K1468" s="49" t="n">
        <f aca="false">H1468*INDEX('Model Inputs &amp; Assumptions'!$G$40:$G$42,MATCH('Model Inputs &amp; Assumptions'!$L$30,'Model Inputs &amp; Assumptions'!$A$40:$A$42,0))*INDEX('Model Inputs &amp; Assumptions'!$H$40:$H$42,MATCH('Model Inputs &amp; Assumptions'!$L$30,'Model Inputs &amp; Assumptions'!$A$40:$A$42,0))</f>
        <v>6369.04954561747</v>
      </c>
      <c r="L1468" s="51" t="n">
        <f aca="false">IFERROR(K1468/I1468,0)</f>
        <v>0.92305065878514</v>
      </c>
      <c r="M1468" s="49" t="n">
        <f aca="false">IFERROR(I1468/H1468,0)</f>
        <v>171.994893767748</v>
      </c>
      <c r="N1468" s="52" t="str">
        <f aca="false">'Model Inputs &amp; Assumptions'!$L$30</f>
        <v>PRD-USIQ</v>
      </c>
      <c r="P1468" s="53" t="n">
        <v>-2.052356</v>
      </c>
      <c r="Q1468" s="53" t="n">
        <v>-0.457125</v>
      </c>
      <c r="R1468" s="53" t="n">
        <v>0.423339</v>
      </c>
      <c r="S1468" s="53" t="n">
        <v>0.401289</v>
      </c>
    </row>
    <row r="1469" customFormat="false" ht="15" hidden="false" customHeight="false" outlineLevel="0" collapsed="false">
      <c r="A1469" s="43" t="n">
        <v>466</v>
      </c>
      <c r="B1469" s="44" t="str">
        <f aca="false">'Model Inputs &amp; Assumptions'!$B$30</f>
        <v>extraETF — Newsletter Takeover</v>
      </c>
      <c r="C1469" s="45" t="n">
        <f aca="false">ROUND(MAX(0,'Model Inputs &amp; Assumptions'!$S$30*EXP('Model Inputs &amp; Assumptions'!$T$30*P1469-'Model Inputs &amp; Assumptions'!$T$30^2/2)),0)</f>
        <v>103518</v>
      </c>
      <c r="D1469" s="46" t="n">
        <f aca="false">MIN(1,'Model Inputs &amp; Assumptions'!$U$30*EXP('Model Inputs &amp; Assumptions'!$V$30*Q1469-'Model Inputs &amp; Assumptions'!$V$30^2/2))</f>
        <v>0</v>
      </c>
      <c r="E1469" s="45" t="n">
        <f aca="false">ROUND(C1469*D1469,0)</f>
        <v>0</v>
      </c>
      <c r="F1469" s="47" t="n">
        <f aca="false">MIN(1,'Model Inputs &amp; Assumptions'!$W$30*EXP('Model Inputs &amp; Assumptions'!$X$30*R1469-'Model Inputs &amp; Assumptions'!$X$30^2/2))</f>
        <v>0.00831381917952818</v>
      </c>
      <c r="G1469" s="45" t="n">
        <f aca="false">ROUND(C1469*F1469,0)</f>
        <v>861</v>
      </c>
      <c r="H1469" s="48" t="n">
        <f aca="false">MAX(0,(C1469*'Model Inputs &amp; Assumptions'!$N$30+E1469*'Model Inputs &amp; Assumptions'!$O$30+G1469*'Model Inputs &amp; Assumptions'!$P$30)*EXP('Model Inputs &amp; Assumptions'!$Q$30*S1469-'Model Inputs &amp; Assumptions'!$Q$30^2/2))</f>
        <v>59.0237995835757</v>
      </c>
      <c r="I1469" s="49" t="n">
        <f aca="false">IF('Model Inputs &amp; Assumptions'!$H$30="Fixed",'Model Inputs &amp; Assumptions'!$I$30*'Model Inputs &amp; Assumptions'!$K$30,IF('Model Inputs &amp; Assumptions'!$H$30="CPM",'Model Inputs &amp; Assumptions'!$I$30*'Model Inputs &amp; Assumptions'!$K$30*C1469/1000,IF('Model Inputs &amp; Assumptions'!$H$30="CPC",'Model Inputs &amp; Assumptions'!$I$30*'Model Inputs &amp; Assumptions'!$K$30*G1469,0)))</f>
        <v>6900</v>
      </c>
      <c r="J1469" s="50" t="n">
        <f aca="false">H1469*INDEX('Model Inputs &amp; Assumptions'!$D$40:$D$42,MATCH('Model Inputs &amp; Assumptions'!$L$30,'Model Inputs &amp; Assumptions'!$A$40:$A$42,0))*INDEX('Model Inputs &amp; Assumptions'!$H$40:$H$42,MATCH('Model Inputs &amp; Assumptions'!$L$30,'Model Inputs &amp; Assumptions'!$A$40:$A$42,0))</f>
        <v>424971.357001745</v>
      </c>
      <c r="K1469" s="49" t="n">
        <f aca="false">H1469*INDEX('Model Inputs &amp; Assumptions'!$G$40:$G$42,MATCH('Model Inputs &amp; Assumptions'!$L$30,'Model Inputs &amp; Assumptions'!$A$40:$A$42,0))*INDEX('Model Inputs &amp; Assumptions'!$H$40:$H$42,MATCH('Model Inputs &amp; Assumptions'!$L$30,'Model Inputs &amp; Assumptions'!$A$40:$A$42,0))</f>
        <v>9370.61842188848</v>
      </c>
      <c r="L1469" s="51" t="n">
        <f aca="false">IFERROR(K1469/I1469,0)</f>
        <v>1.3580606408534</v>
      </c>
      <c r="M1469" s="49" t="n">
        <f aca="false">IFERROR(I1469/H1469,0)</f>
        <v>116.901996291002</v>
      </c>
      <c r="N1469" s="52" t="str">
        <f aca="false">'Model Inputs &amp; Assumptions'!$L$30</f>
        <v>PRD-USIQ</v>
      </c>
      <c r="P1469" s="53" t="n">
        <v>1.413388</v>
      </c>
      <c r="Q1469" s="53" t="n">
        <v>0.72543</v>
      </c>
      <c r="R1469" s="53" t="n">
        <v>0.331517</v>
      </c>
      <c r="S1469" s="53" t="n">
        <v>0.337857</v>
      </c>
    </row>
    <row r="1470" customFormat="false" ht="15" hidden="false" customHeight="false" outlineLevel="0" collapsed="false">
      <c r="A1470" s="43" t="n">
        <v>467</v>
      </c>
      <c r="B1470" s="44" t="str">
        <f aca="false">'Model Inputs &amp; Assumptions'!$B$30</f>
        <v>extraETF — Newsletter Takeover</v>
      </c>
      <c r="C1470" s="45" t="n">
        <f aca="false">ROUND(MAX(0,'Model Inputs &amp; Assumptions'!$S$30*EXP('Model Inputs &amp; Assumptions'!$T$30*P1470-'Model Inputs &amp; Assumptions'!$T$30^2/2)),0)</f>
        <v>86549</v>
      </c>
      <c r="D1470" s="46" t="n">
        <f aca="false">MIN(1,'Model Inputs &amp; Assumptions'!$U$30*EXP('Model Inputs &amp; Assumptions'!$V$30*Q1470-'Model Inputs &amp; Assumptions'!$V$30^2/2))</f>
        <v>0</v>
      </c>
      <c r="E1470" s="45" t="n">
        <f aca="false">ROUND(C1470*D1470,0)</f>
        <v>0</v>
      </c>
      <c r="F1470" s="47" t="n">
        <f aca="false">MIN(1,'Model Inputs &amp; Assumptions'!$W$30*EXP('Model Inputs &amp; Assumptions'!$X$30*R1470-'Model Inputs &amp; Assumptions'!$X$30^2/2))</f>
        <v>0.00826708106171608</v>
      </c>
      <c r="G1470" s="45" t="n">
        <f aca="false">ROUND(C1470*F1470,0)</f>
        <v>716</v>
      </c>
      <c r="H1470" s="48" t="n">
        <f aca="false">MAX(0,(C1470*'Model Inputs &amp; Assumptions'!$N$30+E1470*'Model Inputs &amp; Assumptions'!$O$30+G1470*'Model Inputs &amp; Assumptions'!$P$30)*EXP('Model Inputs &amp; Assumptions'!$Q$30*S1470-'Model Inputs &amp; Assumptions'!$Q$30^2/2))</f>
        <v>61.8956812752289</v>
      </c>
      <c r="I1470" s="49" t="n">
        <f aca="false">IF('Model Inputs &amp; Assumptions'!$H$30="Fixed",'Model Inputs &amp; Assumptions'!$I$30*'Model Inputs &amp; Assumptions'!$K$30,IF('Model Inputs &amp; Assumptions'!$H$30="CPM",'Model Inputs &amp; Assumptions'!$I$30*'Model Inputs &amp; Assumptions'!$K$30*C1470/1000,IF('Model Inputs &amp; Assumptions'!$H$30="CPC",'Model Inputs &amp; Assumptions'!$I$30*'Model Inputs &amp; Assumptions'!$K$30*G1470,0)))</f>
        <v>6900</v>
      </c>
      <c r="J1470" s="50" t="n">
        <f aca="false">H1470*INDEX('Model Inputs &amp; Assumptions'!$D$40:$D$42,MATCH('Model Inputs &amp; Assumptions'!$L$30,'Model Inputs &amp; Assumptions'!$A$40:$A$42,0))*INDEX('Model Inputs &amp; Assumptions'!$H$40:$H$42,MATCH('Model Inputs &amp; Assumptions'!$L$30,'Model Inputs &amp; Assumptions'!$A$40:$A$42,0))</f>
        <v>445648.905181648</v>
      </c>
      <c r="K1470" s="49" t="n">
        <f aca="false">H1470*INDEX('Model Inputs &amp; Assumptions'!$G$40:$G$42,MATCH('Model Inputs &amp; Assumptions'!$L$30,'Model Inputs &amp; Assumptions'!$A$40:$A$42,0))*INDEX('Model Inputs &amp; Assumptions'!$H$40:$H$42,MATCH('Model Inputs &amp; Assumptions'!$L$30,'Model Inputs &amp; Assumptions'!$A$40:$A$42,0))</f>
        <v>9826.55835925534</v>
      </c>
      <c r="L1470" s="51" t="n">
        <f aca="false">IFERROR(K1470/I1470,0)</f>
        <v>1.4241388926457</v>
      </c>
      <c r="M1470" s="49" t="n">
        <f aca="false">IFERROR(I1470/H1470,0)</f>
        <v>111.477890829217</v>
      </c>
      <c r="N1470" s="52" t="str">
        <f aca="false">'Model Inputs &amp; Assumptions'!$L$30</f>
        <v>PRD-USIQ</v>
      </c>
      <c r="P1470" s="53" t="n">
        <v>-0.07851</v>
      </c>
      <c r="Q1470" s="53" t="n">
        <v>-0.703633</v>
      </c>
      <c r="R1470" s="53" t="n">
        <v>0.293933</v>
      </c>
      <c r="S1470" s="53" t="n">
        <v>1.265553</v>
      </c>
    </row>
    <row r="1471" customFormat="false" ht="15" hidden="false" customHeight="false" outlineLevel="0" collapsed="false">
      <c r="A1471" s="43" t="n">
        <v>468</v>
      </c>
      <c r="B1471" s="44" t="str">
        <f aca="false">'Model Inputs &amp; Assumptions'!$B$30</f>
        <v>extraETF — Newsletter Takeover</v>
      </c>
      <c r="C1471" s="45" t="n">
        <f aca="false">ROUND(MAX(0,'Model Inputs &amp; Assumptions'!$S$30*EXP('Model Inputs &amp; Assumptions'!$T$30*P1471-'Model Inputs &amp; Assumptions'!$T$30^2/2)),0)</f>
        <v>92011</v>
      </c>
      <c r="D1471" s="46" t="n">
        <f aca="false">MIN(1,'Model Inputs &amp; Assumptions'!$U$30*EXP('Model Inputs &amp; Assumptions'!$V$30*Q1471-'Model Inputs &amp; Assumptions'!$V$30^2/2))</f>
        <v>0</v>
      </c>
      <c r="E1471" s="45" t="n">
        <f aca="false">ROUND(C1471*D1471,0)</f>
        <v>0</v>
      </c>
      <c r="F1471" s="47" t="n">
        <f aca="false">MIN(1,'Model Inputs &amp; Assumptions'!$W$30*EXP('Model Inputs &amp; Assumptions'!$X$30*R1471-'Model Inputs &amp; Assumptions'!$X$30^2/2))</f>
        <v>0.00880840951334083</v>
      </c>
      <c r="G1471" s="45" t="n">
        <f aca="false">ROUND(C1471*F1471,0)</f>
        <v>810</v>
      </c>
      <c r="H1471" s="48" t="n">
        <f aca="false">MAX(0,(C1471*'Model Inputs &amp; Assumptions'!$N$30+E1471*'Model Inputs &amp; Assumptions'!$O$30+G1471*'Model Inputs &amp; Assumptions'!$P$30)*EXP('Model Inputs &amp; Assumptions'!$Q$30*S1471-'Model Inputs &amp; Assumptions'!$Q$30^2/2))</f>
        <v>47.4127290771274</v>
      </c>
      <c r="I1471" s="49" t="n">
        <f aca="false">IF('Model Inputs &amp; Assumptions'!$H$30="Fixed",'Model Inputs &amp; Assumptions'!$I$30*'Model Inputs &amp; Assumptions'!$K$30,IF('Model Inputs &amp; Assumptions'!$H$30="CPM",'Model Inputs &amp; Assumptions'!$I$30*'Model Inputs &amp; Assumptions'!$K$30*C1471/1000,IF('Model Inputs &amp; Assumptions'!$H$30="CPC",'Model Inputs &amp; Assumptions'!$I$30*'Model Inputs &amp; Assumptions'!$K$30*G1471,0)))</f>
        <v>6900</v>
      </c>
      <c r="J1471" s="50" t="n">
        <f aca="false">H1471*INDEX('Model Inputs &amp; Assumptions'!$D$40:$D$42,MATCH('Model Inputs &amp; Assumptions'!$L$30,'Model Inputs &amp; Assumptions'!$A$40:$A$42,0))*INDEX('Model Inputs &amp; Assumptions'!$H$40:$H$42,MATCH('Model Inputs &amp; Assumptions'!$L$30,'Model Inputs &amp; Assumptions'!$A$40:$A$42,0))</f>
        <v>341371.649355317</v>
      </c>
      <c r="K1471" s="49" t="n">
        <f aca="false">H1471*INDEX('Model Inputs &amp; Assumptions'!$G$40:$G$42,MATCH('Model Inputs &amp; Assumptions'!$L$30,'Model Inputs &amp; Assumptions'!$A$40:$A$42,0))*INDEX('Model Inputs &amp; Assumptions'!$H$40:$H$42,MATCH('Model Inputs &amp; Assumptions'!$L$30,'Model Inputs &amp; Assumptions'!$A$40:$A$42,0))</f>
        <v>7527.24486828475</v>
      </c>
      <c r="L1471" s="51" t="n">
        <f aca="false">IFERROR(K1471/I1471,0)</f>
        <v>1.0909050533746</v>
      </c>
      <c r="M1471" s="49" t="n">
        <f aca="false">IFERROR(I1471/H1471,0)</f>
        <v>145.530538619188</v>
      </c>
      <c r="N1471" s="52" t="str">
        <f aca="false">'Model Inputs &amp; Assumptions'!$L$30</f>
        <v>PRD-USIQ</v>
      </c>
      <c r="P1471" s="53" t="n">
        <v>0.431419</v>
      </c>
      <c r="Q1471" s="53" t="n">
        <v>-0.382887</v>
      </c>
      <c r="R1471" s="53" t="n">
        <v>0.716769</v>
      </c>
      <c r="S1471" s="53" t="n">
        <v>-0.294102</v>
      </c>
    </row>
    <row r="1472" customFormat="false" ht="15" hidden="false" customHeight="false" outlineLevel="0" collapsed="false">
      <c r="A1472" s="43" t="n">
        <v>469</v>
      </c>
      <c r="B1472" s="44" t="str">
        <f aca="false">'Model Inputs &amp; Assumptions'!$B$30</f>
        <v>extraETF — Newsletter Takeover</v>
      </c>
      <c r="C1472" s="45" t="n">
        <f aca="false">ROUND(MAX(0,'Model Inputs &amp; Assumptions'!$S$30*EXP('Model Inputs &amp; Assumptions'!$T$30*P1472-'Model Inputs &amp; Assumptions'!$T$30^2/2)),0)</f>
        <v>122027</v>
      </c>
      <c r="D1472" s="46" t="n">
        <f aca="false">MIN(1,'Model Inputs &amp; Assumptions'!$U$30*EXP('Model Inputs &amp; Assumptions'!$V$30*Q1472-'Model Inputs &amp; Assumptions'!$V$30^2/2))</f>
        <v>0</v>
      </c>
      <c r="E1472" s="45" t="n">
        <f aca="false">ROUND(C1472*D1472,0)</f>
        <v>0</v>
      </c>
      <c r="F1472" s="47" t="n">
        <f aca="false">MIN(1,'Model Inputs &amp; Assumptions'!$W$30*EXP('Model Inputs &amp; Assumptions'!$X$30*R1472-'Model Inputs &amp; Assumptions'!$X$30^2/2))</f>
        <v>0.00851278875063551</v>
      </c>
      <c r="G1472" s="45" t="n">
        <f aca="false">ROUND(C1472*F1472,0)</f>
        <v>1039</v>
      </c>
      <c r="H1472" s="48" t="n">
        <f aca="false">MAX(0,(C1472*'Model Inputs &amp; Assumptions'!$N$30+E1472*'Model Inputs &amp; Assumptions'!$O$30+G1472*'Model Inputs &amp; Assumptions'!$P$30)*EXP('Model Inputs &amp; Assumptions'!$Q$30*S1472-'Model Inputs &amp; Assumptions'!$Q$30^2/2))</f>
        <v>68.1662266657491</v>
      </c>
      <c r="I1472" s="49" t="n">
        <f aca="false">IF('Model Inputs &amp; Assumptions'!$H$30="Fixed",'Model Inputs &amp; Assumptions'!$I$30*'Model Inputs &amp; Assumptions'!$K$30,IF('Model Inputs &amp; Assumptions'!$H$30="CPM",'Model Inputs &amp; Assumptions'!$I$30*'Model Inputs &amp; Assumptions'!$K$30*C1472/1000,IF('Model Inputs &amp; Assumptions'!$H$30="CPC",'Model Inputs &amp; Assumptions'!$I$30*'Model Inputs &amp; Assumptions'!$K$30*G1472,0)))</f>
        <v>6900</v>
      </c>
      <c r="J1472" s="50" t="n">
        <f aca="false">H1472*INDEX('Model Inputs &amp; Assumptions'!$D$40:$D$42,MATCH('Model Inputs &amp; Assumptions'!$L$30,'Model Inputs &amp; Assumptions'!$A$40:$A$42,0))*INDEX('Model Inputs &amp; Assumptions'!$H$40:$H$42,MATCH('Model Inputs &amp; Assumptions'!$L$30,'Model Inputs &amp; Assumptions'!$A$40:$A$42,0))</f>
        <v>490796.831993393</v>
      </c>
      <c r="K1472" s="49" t="n">
        <f aca="false">H1472*INDEX('Model Inputs &amp; Assumptions'!$G$40:$G$42,MATCH('Model Inputs &amp; Assumptions'!$L$30,'Model Inputs &amp; Assumptions'!$A$40:$A$42,0))*INDEX('Model Inputs &amp; Assumptions'!$H$40:$H$42,MATCH('Model Inputs &amp; Assumptions'!$L$30,'Model Inputs &amp; Assumptions'!$A$40:$A$42,0))</f>
        <v>10822.0701454543</v>
      </c>
      <c r="L1472" s="51" t="n">
        <f aca="false">IFERROR(K1472/I1472,0)</f>
        <v>1.56841596310932</v>
      </c>
      <c r="M1472" s="49" t="n">
        <f aca="false">IFERROR(I1472/H1472,0)</f>
        <v>101.223147260797</v>
      </c>
      <c r="N1472" s="52" t="str">
        <f aca="false">'Model Inputs &amp; Assumptions'!$L$30</f>
        <v>PRD-USIQ</v>
      </c>
      <c r="P1472" s="53" t="n">
        <v>2.784235</v>
      </c>
      <c r="Q1472" s="53" t="n">
        <v>1.520751</v>
      </c>
      <c r="R1472" s="53" t="n">
        <v>0.489187</v>
      </c>
      <c r="S1472" s="53" t="n">
        <v>0.162213</v>
      </c>
    </row>
    <row r="1473" customFormat="false" ht="15" hidden="false" customHeight="false" outlineLevel="0" collapsed="false">
      <c r="A1473" s="43" t="n">
        <v>470</v>
      </c>
      <c r="B1473" s="44" t="str">
        <f aca="false">'Model Inputs &amp; Assumptions'!$B$30</f>
        <v>extraETF — Newsletter Takeover</v>
      </c>
      <c r="C1473" s="45" t="n">
        <f aca="false">ROUND(MAX(0,'Model Inputs &amp; Assumptions'!$S$30*EXP('Model Inputs &amp; Assumptions'!$T$30*P1473-'Model Inputs &amp; Assumptions'!$T$30^2/2)),0)</f>
        <v>79989</v>
      </c>
      <c r="D1473" s="46" t="n">
        <f aca="false">MIN(1,'Model Inputs &amp; Assumptions'!$U$30*EXP('Model Inputs &amp; Assumptions'!$V$30*Q1473-'Model Inputs &amp; Assumptions'!$V$30^2/2))</f>
        <v>0</v>
      </c>
      <c r="E1473" s="45" t="n">
        <f aca="false">ROUND(C1473*D1473,0)</f>
        <v>0</v>
      </c>
      <c r="F1473" s="47" t="n">
        <f aca="false">MIN(1,'Model Inputs &amp; Assumptions'!$W$30*EXP('Model Inputs &amp; Assumptions'!$X$30*R1473-'Model Inputs &amp; Assumptions'!$X$30^2/2))</f>
        <v>0.00699334016847937</v>
      </c>
      <c r="G1473" s="45" t="n">
        <f aca="false">ROUND(C1473*F1473,0)</f>
        <v>559</v>
      </c>
      <c r="H1473" s="48" t="n">
        <f aca="false">MAX(0,(C1473*'Model Inputs &amp; Assumptions'!$N$30+E1473*'Model Inputs &amp; Assumptions'!$O$30+G1473*'Model Inputs &amp; Assumptions'!$P$30)*EXP('Model Inputs &amp; Assumptions'!$Q$30*S1473-'Model Inputs &amp; Assumptions'!$Q$30^2/2))</f>
        <v>33.1866426142178</v>
      </c>
      <c r="I1473" s="49" t="n">
        <f aca="false">IF('Model Inputs &amp; Assumptions'!$H$30="Fixed",'Model Inputs &amp; Assumptions'!$I$30*'Model Inputs &amp; Assumptions'!$K$30,IF('Model Inputs &amp; Assumptions'!$H$30="CPM",'Model Inputs &amp; Assumptions'!$I$30*'Model Inputs &amp; Assumptions'!$K$30*C1473/1000,IF('Model Inputs &amp; Assumptions'!$H$30="CPC",'Model Inputs &amp; Assumptions'!$I$30*'Model Inputs &amp; Assumptions'!$K$30*G1473,0)))</f>
        <v>6900</v>
      </c>
      <c r="J1473" s="50" t="n">
        <f aca="false">H1473*INDEX('Model Inputs &amp; Assumptions'!$D$40:$D$42,MATCH('Model Inputs &amp; Assumptions'!$L$30,'Model Inputs &amp; Assumptions'!$A$40:$A$42,0))*INDEX('Model Inputs &amp; Assumptions'!$H$40:$H$42,MATCH('Model Inputs &amp; Assumptions'!$L$30,'Model Inputs &amp; Assumptions'!$A$40:$A$42,0))</f>
        <v>238943.826822368</v>
      </c>
      <c r="K1473" s="49" t="n">
        <f aca="false">H1473*INDEX('Model Inputs &amp; Assumptions'!$G$40:$G$42,MATCH('Model Inputs &amp; Assumptions'!$L$30,'Model Inputs &amp; Assumptions'!$A$40:$A$42,0))*INDEX('Model Inputs &amp; Assumptions'!$H$40:$H$42,MATCH('Model Inputs &amp; Assumptions'!$L$30,'Model Inputs &amp; Assumptions'!$A$40:$A$42,0))</f>
        <v>5268.71138143322</v>
      </c>
      <c r="L1473" s="51" t="n">
        <f aca="false">IFERROR(K1473/I1473,0)</f>
        <v>0.763581359628003</v>
      </c>
      <c r="M1473" s="49" t="n">
        <f aca="false">IFERROR(I1473/H1473,0)</f>
        <v>207.914975919978</v>
      </c>
      <c r="N1473" s="52" t="str">
        <f aca="false">'Model Inputs &amp; Assumptions'!$L$30</f>
        <v>PRD-USIQ</v>
      </c>
      <c r="P1473" s="53" t="n">
        <v>-0.73536</v>
      </c>
      <c r="Q1473" s="53" t="n">
        <v>-0.702976</v>
      </c>
      <c r="R1473" s="53" t="n">
        <v>-0.821555</v>
      </c>
      <c r="S1473" s="53" t="n">
        <v>-0.237536</v>
      </c>
    </row>
    <row r="1474" customFormat="false" ht="15" hidden="false" customHeight="false" outlineLevel="0" collapsed="false">
      <c r="A1474" s="43" t="n">
        <v>471</v>
      </c>
      <c r="B1474" s="44" t="str">
        <f aca="false">'Model Inputs &amp; Assumptions'!$B$30</f>
        <v>extraETF — Newsletter Takeover</v>
      </c>
      <c r="C1474" s="45" t="n">
        <f aca="false">ROUND(MAX(0,'Model Inputs &amp; Assumptions'!$S$30*EXP('Model Inputs &amp; Assumptions'!$T$30*P1474-'Model Inputs &amp; Assumptions'!$T$30^2/2)),0)</f>
        <v>82857</v>
      </c>
      <c r="D1474" s="46" t="n">
        <f aca="false">MIN(1,'Model Inputs &amp; Assumptions'!$U$30*EXP('Model Inputs &amp; Assumptions'!$V$30*Q1474-'Model Inputs &amp; Assumptions'!$V$30^2/2))</f>
        <v>0</v>
      </c>
      <c r="E1474" s="45" t="n">
        <f aca="false">ROUND(C1474*D1474,0)</f>
        <v>0</v>
      </c>
      <c r="F1474" s="47" t="n">
        <f aca="false">MIN(1,'Model Inputs &amp; Assumptions'!$W$30*EXP('Model Inputs &amp; Assumptions'!$X$30*R1474-'Model Inputs &amp; Assumptions'!$X$30^2/2))</f>
        <v>0.00753943874072661</v>
      </c>
      <c r="G1474" s="45" t="n">
        <f aca="false">ROUND(C1474*F1474,0)</f>
        <v>625</v>
      </c>
      <c r="H1474" s="48" t="n">
        <f aca="false">MAX(0,(C1474*'Model Inputs &amp; Assumptions'!$N$30+E1474*'Model Inputs &amp; Assumptions'!$O$30+G1474*'Model Inputs &amp; Assumptions'!$P$30)*EXP('Model Inputs &amp; Assumptions'!$Q$30*S1474-'Model Inputs &amp; Assumptions'!$Q$30^2/2))</f>
        <v>44.3155282583131</v>
      </c>
      <c r="I1474" s="49" t="n">
        <f aca="false">IF('Model Inputs &amp; Assumptions'!$H$30="Fixed",'Model Inputs &amp; Assumptions'!$I$30*'Model Inputs &amp; Assumptions'!$K$30,IF('Model Inputs &amp; Assumptions'!$H$30="CPM",'Model Inputs &amp; Assumptions'!$I$30*'Model Inputs &amp; Assumptions'!$K$30*C1474/1000,IF('Model Inputs &amp; Assumptions'!$H$30="CPC",'Model Inputs &amp; Assumptions'!$I$30*'Model Inputs &amp; Assumptions'!$K$30*G1474,0)))</f>
        <v>6900</v>
      </c>
      <c r="J1474" s="50" t="n">
        <f aca="false">H1474*INDEX('Model Inputs &amp; Assumptions'!$D$40:$D$42,MATCH('Model Inputs &amp; Assumptions'!$L$30,'Model Inputs &amp; Assumptions'!$A$40:$A$42,0))*INDEX('Model Inputs &amp; Assumptions'!$H$40:$H$42,MATCH('Model Inputs &amp; Assumptions'!$L$30,'Model Inputs &amp; Assumptions'!$A$40:$A$42,0))</f>
        <v>319071.803459854</v>
      </c>
      <c r="K1474" s="49" t="n">
        <f aca="false">H1474*INDEX('Model Inputs &amp; Assumptions'!$G$40:$G$42,MATCH('Model Inputs &amp; Assumptions'!$L$30,'Model Inputs &amp; Assumptions'!$A$40:$A$42,0))*INDEX('Model Inputs &amp; Assumptions'!$H$40:$H$42,MATCH('Model Inputs &amp; Assumptions'!$L$30,'Model Inputs &amp; Assumptions'!$A$40:$A$42,0))</f>
        <v>7035.53326628978</v>
      </c>
      <c r="L1474" s="51" t="n">
        <f aca="false">IFERROR(K1474/I1474,0)</f>
        <v>1.01964250236084</v>
      </c>
      <c r="M1474" s="49" t="n">
        <f aca="false">IFERROR(I1474/H1474,0)</f>
        <v>155.701630358105</v>
      </c>
      <c r="N1474" s="52" t="str">
        <f aca="false">'Model Inputs &amp; Assumptions'!$L$30</f>
        <v>PRD-USIQ</v>
      </c>
      <c r="P1474" s="53" t="n">
        <v>-0.441839</v>
      </c>
      <c r="Q1474" s="53" t="n">
        <v>-0.388865</v>
      </c>
      <c r="R1474" s="53" t="n">
        <v>-0.320292</v>
      </c>
      <c r="S1474" s="53" t="n">
        <v>0.472806</v>
      </c>
    </row>
    <row r="1475" customFormat="false" ht="15" hidden="false" customHeight="false" outlineLevel="0" collapsed="false">
      <c r="A1475" s="43" t="n">
        <v>472</v>
      </c>
      <c r="B1475" s="44" t="str">
        <f aca="false">'Model Inputs &amp; Assumptions'!$B$30</f>
        <v>extraETF — Newsletter Takeover</v>
      </c>
      <c r="C1475" s="45" t="n">
        <f aca="false">ROUND(MAX(0,'Model Inputs &amp; Assumptions'!$S$30*EXP('Model Inputs &amp; Assumptions'!$T$30*P1475-'Model Inputs &amp; Assumptions'!$T$30^2/2)),0)</f>
        <v>78274</v>
      </c>
      <c r="D1475" s="46" t="n">
        <f aca="false">MIN(1,'Model Inputs &amp; Assumptions'!$U$30*EXP('Model Inputs &amp; Assumptions'!$V$30*Q1475-'Model Inputs &amp; Assumptions'!$V$30^2/2))</f>
        <v>0</v>
      </c>
      <c r="E1475" s="45" t="n">
        <f aca="false">ROUND(C1475*D1475,0)</f>
        <v>0</v>
      </c>
      <c r="F1475" s="47" t="n">
        <f aca="false">MIN(1,'Model Inputs &amp; Assumptions'!$W$30*EXP('Model Inputs &amp; Assumptions'!$X$30*R1475-'Model Inputs &amp; Assumptions'!$X$30^2/2))</f>
        <v>0.00769045647781567</v>
      </c>
      <c r="G1475" s="45" t="n">
        <f aca="false">ROUND(C1475*F1475,0)</f>
        <v>602</v>
      </c>
      <c r="H1475" s="48" t="n">
        <f aca="false">MAX(0,(C1475*'Model Inputs &amp; Assumptions'!$N$30+E1475*'Model Inputs &amp; Assumptions'!$O$30+G1475*'Model Inputs &amp; Assumptions'!$P$30)*EXP('Model Inputs &amp; Assumptions'!$Q$30*S1475-'Model Inputs &amp; Assumptions'!$Q$30^2/2))</f>
        <v>30.7397524859554</v>
      </c>
      <c r="I1475" s="49" t="n">
        <f aca="false">IF('Model Inputs &amp; Assumptions'!$H$30="Fixed",'Model Inputs &amp; Assumptions'!$I$30*'Model Inputs &amp; Assumptions'!$K$30,IF('Model Inputs &amp; Assumptions'!$H$30="CPM",'Model Inputs &amp; Assumptions'!$I$30*'Model Inputs &amp; Assumptions'!$K$30*C1475/1000,IF('Model Inputs &amp; Assumptions'!$H$30="CPC",'Model Inputs &amp; Assumptions'!$I$30*'Model Inputs &amp; Assumptions'!$K$30*G1475,0)))</f>
        <v>6900</v>
      </c>
      <c r="J1475" s="50" t="n">
        <f aca="false">H1475*INDEX('Model Inputs &amp; Assumptions'!$D$40:$D$42,MATCH('Model Inputs &amp; Assumptions'!$L$30,'Model Inputs &amp; Assumptions'!$A$40:$A$42,0))*INDEX('Model Inputs &amp; Assumptions'!$H$40:$H$42,MATCH('Model Inputs &amp; Assumptions'!$L$30,'Model Inputs &amp; Assumptions'!$A$40:$A$42,0))</f>
        <v>221326.217898879</v>
      </c>
      <c r="K1475" s="49" t="n">
        <f aca="false">H1475*INDEX('Model Inputs &amp; Assumptions'!$G$40:$G$42,MATCH('Model Inputs &amp; Assumptions'!$L$30,'Model Inputs &amp; Assumptions'!$A$40:$A$42,0))*INDEX('Model Inputs &amp; Assumptions'!$H$40:$H$42,MATCH('Model Inputs &amp; Assumptions'!$L$30,'Model Inputs &amp; Assumptions'!$A$40:$A$42,0))</f>
        <v>4880.24310467028</v>
      </c>
      <c r="L1475" s="51" t="n">
        <f aca="false">IFERROR(K1475/I1475,0)</f>
        <v>0.707281609372504</v>
      </c>
      <c r="M1475" s="49" t="n">
        <f aca="false">IFERROR(I1475/H1475,0)</f>
        <v>224.465047438249</v>
      </c>
      <c r="N1475" s="52" t="str">
        <f aca="false">'Model Inputs &amp; Assumptions'!$L$30</f>
        <v>PRD-USIQ</v>
      </c>
      <c r="P1475" s="53" t="n">
        <v>-0.916041</v>
      </c>
      <c r="Q1475" s="53" t="n">
        <v>-0.942939</v>
      </c>
      <c r="R1475" s="53" t="n">
        <v>-0.188076</v>
      </c>
      <c r="S1475" s="53" t="n">
        <v>-0.840331</v>
      </c>
    </row>
    <row r="1476" customFormat="false" ht="15" hidden="false" customHeight="false" outlineLevel="0" collapsed="false">
      <c r="A1476" s="43" t="n">
        <v>473</v>
      </c>
      <c r="B1476" s="44" t="str">
        <f aca="false">'Model Inputs &amp; Assumptions'!$B$30</f>
        <v>extraETF — Newsletter Takeover</v>
      </c>
      <c r="C1476" s="45" t="n">
        <f aca="false">ROUND(MAX(0,'Model Inputs &amp; Assumptions'!$S$30*EXP('Model Inputs &amp; Assumptions'!$T$30*P1476-'Model Inputs &amp; Assumptions'!$T$30^2/2)),0)</f>
        <v>92588</v>
      </c>
      <c r="D1476" s="46" t="n">
        <f aca="false">MIN(1,'Model Inputs &amp; Assumptions'!$U$30*EXP('Model Inputs &amp; Assumptions'!$V$30*Q1476-'Model Inputs &amp; Assumptions'!$V$30^2/2))</f>
        <v>0</v>
      </c>
      <c r="E1476" s="45" t="n">
        <f aca="false">ROUND(C1476*D1476,0)</f>
        <v>0</v>
      </c>
      <c r="F1476" s="47" t="n">
        <f aca="false">MIN(1,'Model Inputs &amp; Assumptions'!$W$30*EXP('Model Inputs &amp; Assumptions'!$X$30*R1476-'Model Inputs &amp; Assumptions'!$X$30^2/2))</f>
        <v>0.00807091203737511</v>
      </c>
      <c r="G1476" s="45" t="n">
        <f aca="false">ROUND(C1476*F1476,0)</f>
        <v>747</v>
      </c>
      <c r="H1476" s="48" t="n">
        <f aca="false">MAX(0,(C1476*'Model Inputs &amp; Assumptions'!$N$30+E1476*'Model Inputs &amp; Assumptions'!$O$30+G1476*'Model Inputs &amp; Assumptions'!$P$30)*EXP('Model Inputs &amp; Assumptions'!$Q$30*S1476-'Model Inputs &amp; Assumptions'!$Q$30^2/2))</f>
        <v>49.8446503670451</v>
      </c>
      <c r="I1476" s="49" t="n">
        <f aca="false">IF('Model Inputs &amp; Assumptions'!$H$30="Fixed",'Model Inputs &amp; Assumptions'!$I$30*'Model Inputs &amp; Assumptions'!$K$30,IF('Model Inputs &amp; Assumptions'!$H$30="CPM",'Model Inputs &amp; Assumptions'!$I$30*'Model Inputs &amp; Assumptions'!$K$30*C1476/1000,IF('Model Inputs &amp; Assumptions'!$H$30="CPC",'Model Inputs &amp; Assumptions'!$I$30*'Model Inputs &amp; Assumptions'!$K$30*G1476,0)))</f>
        <v>6900</v>
      </c>
      <c r="J1476" s="50" t="n">
        <f aca="false">H1476*INDEX('Model Inputs &amp; Assumptions'!$D$40:$D$42,MATCH('Model Inputs &amp; Assumptions'!$L$30,'Model Inputs &amp; Assumptions'!$A$40:$A$42,0))*INDEX('Model Inputs &amp; Assumptions'!$H$40:$H$42,MATCH('Model Inputs &amp; Assumptions'!$L$30,'Model Inputs &amp; Assumptions'!$A$40:$A$42,0))</f>
        <v>358881.482642725</v>
      </c>
      <c r="K1476" s="49" t="n">
        <f aca="false">H1476*INDEX('Model Inputs &amp; Assumptions'!$G$40:$G$42,MATCH('Model Inputs &amp; Assumptions'!$L$30,'Model Inputs &amp; Assumptions'!$A$40:$A$42,0))*INDEX('Model Inputs &amp; Assumptions'!$H$40:$H$42,MATCH('Model Inputs &amp; Assumptions'!$L$30,'Model Inputs &amp; Assumptions'!$A$40:$A$42,0))</f>
        <v>7913.33669227209</v>
      </c>
      <c r="L1476" s="51" t="n">
        <f aca="false">IFERROR(K1476/I1476,0)</f>
        <v>1.14686039018436</v>
      </c>
      <c r="M1476" s="49" t="n">
        <f aca="false">IFERROR(I1476/H1476,0)</f>
        <v>138.430101308564</v>
      </c>
      <c r="N1476" s="52" t="str">
        <f aca="false">'Model Inputs &amp; Assumptions'!$L$30</f>
        <v>PRD-USIQ</v>
      </c>
      <c r="P1476" s="53" t="n">
        <v>0.483484</v>
      </c>
      <c r="Q1476" s="53" t="n">
        <v>1.130948</v>
      </c>
      <c r="R1476" s="53" t="n">
        <v>0.133833</v>
      </c>
      <c r="S1476" s="53" t="n">
        <v>0.229856</v>
      </c>
    </row>
    <row r="1477" customFormat="false" ht="15" hidden="false" customHeight="false" outlineLevel="0" collapsed="false">
      <c r="A1477" s="43" t="n">
        <v>474</v>
      </c>
      <c r="B1477" s="44" t="str">
        <f aca="false">'Model Inputs &amp; Assumptions'!$B$30</f>
        <v>extraETF — Newsletter Takeover</v>
      </c>
      <c r="C1477" s="45" t="n">
        <f aca="false">ROUND(MAX(0,'Model Inputs &amp; Assumptions'!$S$30*EXP('Model Inputs &amp; Assumptions'!$T$30*P1477-'Model Inputs &amp; Assumptions'!$T$30^2/2)),0)</f>
        <v>92103</v>
      </c>
      <c r="D1477" s="46" t="n">
        <f aca="false">MIN(1,'Model Inputs &amp; Assumptions'!$U$30*EXP('Model Inputs &amp; Assumptions'!$V$30*Q1477-'Model Inputs &amp; Assumptions'!$V$30^2/2))</f>
        <v>0</v>
      </c>
      <c r="E1477" s="45" t="n">
        <f aca="false">ROUND(C1477*D1477,0)</f>
        <v>0</v>
      </c>
      <c r="F1477" s="47" t="n">
        <f aca="false">MIN(1,'Model Inputs &amp; Assumptions'!$W$30*EXP('Model Inputs &amp; Assumptions'!$X$30*R1477-'Model Inputs &amp; Assumptions'!$X$30^2/2))</f>
        <v>0.00747473331472044</v>
      </c>
      <c r="G1477" s="45" t="n">
        <f aca="false">ROUND(C1477*F1477,0)</f>
        <v>688</v>
      </c>
      <c r="H1477" s="48" t="n">
        <f aca="false">MAX(0,(C1477*'Model Inputs &amp; Assumptions'!$N$30+E1477*'Model Inputs &amp; Assumptions'!$O$30+G1477*'Model Inputs &amp; Assumptions'!$P$30)*EXP('Model Inputs &amp; Assumptions'!$Q$30*S1477-'Model Inputs &amp; Assumptions'!$Q$30^2/2))</f>
        <v>72.6641273544482</v>
      </c>
      <c r="I1477" s="49" t="n">
        <f aca="false">IF('Model Inputs &amp; Assumptions'!$H$30="Fixed",'Model Inputs &amp; Assumptions'!$I$30*'Model Inputs &amp; Assumptions'!$K$30,IF('Model Inputs &amp; Assumptions'!$H$30="CPM",'Model Inputs &amp; Assumptions'!$I$30*'Model Inputs &amp; Assumptions'!$K$30*C1477/1000,IF('Model Inputs &amp; Assumptions'!$H$30="CPC",'Model Inputs &amp; Assumptions'!$I$30*'Model Inputs &amp; Assumptions'!$K$30*G1477,0)))</f>
        <v>6900</v>
      </c>
      <c r="J1477" s="50" t="n">
        <f aca="false">H1477*INDEX('Model Inputs &amp; Assumptions'!$D$40:$D$42,MATCH('Model Inputs &amp; Assumptions'!$L$30,'Model Inputs &amp; Assumptions'!$A$40:$A$42,0))*INDEX('Model Inputs &amp; Assumptions'!$H$40:$H$42,MATCH('Model Inputs &amp; Assumptions'!$L$30,'Model Inputs &amp; Assumptions'!$A$40:$A$42,0))</f>
        <v>523181.716952027</v>
      </c>
      <c r="K1477" s="49" t="n">
        <f aca="false">H1477*INDEX('Model Inputs &amp; Assumptions'!$G$40:$G$42,MATCH('Model Inputs &amp; Assumptions'!$L$30,'Model Inputs &amp; Assumptions'!$A$40:$A$42,0))*INDEX('Model Inputs &amp; Assumptions'!$H$40:$H$42,MATCH('Model Inputs &amp; Assumptions'!$L$30,'Model Inputs &amp; Assumptions'!$A$40:$A$42,0))</f>
        <v>11536.1568587922</v>
      </c>
      <c r="L1477" s="51" t="n">
        <f aca="false">IFERROR(K1477/I1477,0)</f>
        <v>1.6719067911293</v>
      </c>
      <c r="M1477" s="49" t="n">
        <f aca="false">IFERROR(I1477/H1477,0)</f>
        <v>94.957446696394</v>
      </c>
      <c r="N1477" s="52" t="str">
        <f aca="false">'Model Inputs &amp; Assumptions'!$L$30</f>
        <v>PRD-USIQ</v>
      </c>
      <c r="P1477" s="53" t="n">
        <v>0.439779</v>
      </c>
      <c r="Q1477" s="53" t="n">
        <v>-1.709858</v>
      </c>
      <c r="R1477" s="53" t="n">
        <v>-0.377754</v>
      </c>
      <c r="S1477" s="53" t="n">
        <v>2.066708</v>
      </c>
    </row>
    <row r="1478" customFormat="false" ht="15" hidden="false" customHeight="false" outlineLevel="0" collapsed="false">
      <c r="A1478" s="43" t="n">
        <v>475</v>
      </c>
      <c r="B1478" s="44" t="str">
        <f aca="false">'Model Inputs &amp; Assumptions'!$B$30</f>
        <v>extraETF — Newsletter Takeover</v>
      </c>
      <c r="C1478" s="45" t="n">
        <f aca="false">ROUND(MAX(0,'Model Inputs &amp; Assumptions'!$S$30*EXP('Model Inputs &amp; Assumptions'!$T$30*P1478-'Model Inputs &amp; Assumptions'!$T$30^2/2)),0)</f>
        <v>92571</v>
      </c>
      <c r="D1478" s="46" t="n">
        <f aca="false">MIN(1,'Model Inputs &amp; Assumptions'!$U$30*EXP('Model Inputs &amp; Assumptions'!$V$30*Q1478-'Model Inputs &amp; Assumptions'!$V$30^2/2))</f>
        <v>0</v>
      </c>
      <c r="E1478" s="45" t="n">
        <f aca="false">ROUND(C1478*D1478,0)</f>
        <v>0</v>
      </c>
      <c r="F1478" s="47" t="n">
        <f aca="false">MIN(1,'Model Inputs &amp; Assumptions'!$W$30*EXP('Model Inputs &amp; Assumptions'!$X$30*R1478-'Model Inputs &amp; Assumptions'!$X$30^2/2))</f>
        <v>0.00975257684299226</v>
      </c>
      <c r="G1478" s="45" t="n">
        <f aca="false">ROUND(C1478*F1478,0)</f>
        <v>903</v>
      </c>
      <c r="H1478" s="48" t="n">
        <f aca="false">MAX(0,(C1478*'Model Inputs &amp; Assumptions'!$N$30+E1478*'Model Inputs &amp; Assumptions'!$O$30+G1478*'Model Inputs &amp; Assumptions'!$P$30)*EXP('Model Inputs &amp; Assumptions'!$Q$30*S1478-'Model Inputs &amp; Assumptions'!$Q$30^2/2))</f>
        <v>67.352114248966</v>
      </c>
      <c r="I1478" s="49" t="n">
        <f aca="false">IF('Model Inputs &amp; Assumptions'!$H$30="Fixed",'Model Inputs &amp; Assumptions'!$I$30*'Model Inputs &amp; Assumptions'!$K$30,IF('Model Inputs &amp; Assumptions'!$H$30="CPM",'Model Inputs &amp; Assumptions'!$I$30*'Model Inputs &amp; Assumptions'!$K$30*C1478/1000,IF('Model Inputs &amp; Assumptions'!$H$30="CPC",'Model Inputs &amp; Assumptions'!$I$30*'Model Inputs &amp; Assumptions'!$K$30*G1478,0)))</f>
        <v>6900</v>
      </c>
      <c r="J1478" s="50" t="n">
        <f aca="false">H1478*INDEX('Model Inputs &amp; Assumptions'!$D$40:$D$42,MATCH('Model Inputs &amp; Assumptions'!$L$30,'Model Inputs &amp; Assumptions'!$A$40:$A$42,0))*INDEX('Model Inputs &amp; Assumptions'!$H$40:$H$42,MATCH('Model Inputs &amp; Assumptions'!$L$30,'Model Inputs &amp; Assumptions'!$A$40:$A$42,0))</f>
        <v>484935.222592555</v>
      </c>
      <c r="K1478" s="49" t="n">
        <f aca="false">H1478*INDEX('Model Inputs &amp; Assumptions'!$G$40:$G$42,MATCH('Model Inputs &amp; Assumptions'!$L$30,'Model Inputs &amp; Assumptions'!$A$40:$A$42,0))*INDEX('Model Inputs &amp; Assumptions'!$H$40:$H$42,MATCH('Model Inputs &amp; Assumptions'!$L$30,'Model Inputs &amp; Assumptions'!$A$40:$A$42,0))</f>
        <v>10692.8216581658</v>
      </c>
      <c r="L1478" s="51" t="n">
        <f aca="false">IFERROR(K1478/I1478,0)</f>
        <v>1.5496842982849</v>
      </c>
      <c r="M1478" s="49" t="n">
        <f aca="false">IFERROR(I1478/H1478,0)</f>
        <v>102.446672638876</v>
      </c>
      <c r="N1478" s="52" t="str">
        <f aca="false">'Model Inputs &amp; Assumptions'!$L$30</f>
        <v>PRD-USIQ</v>
      </c>
      <c r="P1478" s="53" t="n">
        <v>0.481977</v>
      </c>
      <c r="Q1478" s="53" t="n">
        <v>0.118446</v>
      </c>
      <c r="R1478" s="53" t="n">
        <v>1.3956</v>
      </c>
      <c r="S1478" s="53" t="n">
        <v>0.675319</v>
      </c>
    </row>
    <row r="1479" customFormat="false" ht="15" hidden="false" customHeight="false" outlineLevel="0" collapsed="false">
      <c r="A1479" s="43" t="n">
        <v>476</v>
      </c>
      <c r="B1479" s="44" t="str">
        <f aca="false">'Model Inputs &amp; Assumptions'!$B$30</f>
        <v>extraETF — Newsletter Takeover</v>
      </c>
      <c r="C1479" s="45" t="n">
        <f aca="false">ROUND(MAX(0,'Model Inputs &amp; Assumptions'!$S$30*EXP('Model Inputs &amp; Assumptions'!$T$30*P1479-'Model Inputs &amp; Assumptions'!$T$30^2/2)),0)</f>
        <v>92840</v>
      </c>
      <c r="D1479" s="46" t="n">
        <f aca="false">MIN(1,'Model Inputs &amp; Assumptions'!$U$30*EXP('Model Inputs &amp; Assumptions'!$V$30*Q1479-'Model Inputs &amp; Assumptions'!$V$30^2/2))</f>
        <v>0</v>
      </c>
      <c r="E1479" s="45" t="n">
        <f aca="false">ROUND(C1479*D1479,0)</f>
        <v>0</v>
      </c>
      <c r="F1479" s="47" t="n">
        <f aca="false">MIN(1,'Model Inputs &amp; Assumptions'!$W$30*EXP('Model Inputs &amp; Assumptions'!$X$30*R1479-'Model Inputs &amp; Assumptions'!$X$30^2/2))</f>
        <v>0.00910124931697899</v>
      </c>
      <c r="G1479" s="45" t="n">
        <f aca="false">ROUND(C1479*F1479,0)</f>
        <v>845</v>
      </c>
      <c r="H1479" s="48" t="n">
        <f aca="false">MAX(0,(C1479*'Model Inputs &amp; Assumptions'!$N$30+E1479*'Model Inputs &amp; Assumptions'!$O$30+G1479*'Model Inputs &amp; Assumptions'!$P$30)*EXP('Model Inputs &amp; Assumptions'!$Q$30*S1479-'Model Inputs &amp; Assumptions'!$Q$30^2/2))</f>
        <v>34.4429598563931</v>
      </c>
      <c r="I1479" s="49" t="n">
        <f aca="false">IF('Model Inputs &amp; Assumptions'!$H$30="Fixed",'Model Inputs &amp; Assumptions'!$I$30*'Model Inputs &amp; Assumptions'!$K$30,IF('Model Inputs &amp; Assumptions'!$H$30="CPM",'Model Inputs &amp; Assumptions'!$I$30*'Model Inputs &amp; Assumptions'!$K$30*C1479/1000,IF('Model Inputs &amp; Assumptions'!$H$30="CPC",'Model Inputs &amp; Assumptions'!$I$30*'Model Inputs &amp; Assumptions'!$K$30*G1479,0)))</f>
        <v>6900</v>
      </c>
      <c r="J1479" s="50" t="n">
        <f aca="false">H1479*INDEX('Model Inputs &amp; Assumptions'!$D$40:$D$42,MATCH('Model Inputs &amp; Assumptions'!$L$30,'Model Inputs &amp; Assumptions'!$A$40:$A$42,0))*INDEX('Model Inputs &amp; Assumptions'!$H$40:$H$42,MATCH('Model Inputs &amp; Assumptions'!$L$30,'Model Inputs &amp; Assumptions'!$A$40:$A$42,0))</f>
        <v>247989.31096603</v>
      </c>
      <c r="K1479" s="49" t="n">
        <f aca="false">H1479*INDEX('Model Inputs &amp; Assumptions'!$G$40:$G$42,MATCH('Model Inputs &amp; Assumptions'!$L$30,'Model Inputs &amp; Assumptions'!$A$40:$A$42,0))*INDEX('Model Inputs &amp; Assumptions'!$H$40:$H$42,MATCH('Model Inputs &amp; Assumptions'!$L$30,'Model Inputs &amp; Assumptions'!$A$40:$A$42,0))</f>
        <v>5468.16430680097</v>
      </c>
      <c r="L1479" s="51" t="n">
        <f aca="false">IFERROR(K1479/I1479,0)</f>
        <v>0.792487580695792</v>
      </c>
      <c r="M1479" s="49" t="n">
        <f aca="false">IFERROR(I1479/H1479,0)</f>
        <v>200.33121510953</v>
      </c>
      <c r="N1479" s="52" t="str">
        <f aca="false">'Model Inputs &amp; Assumptions'!$L$30</f>
        <v>PRD-USIQ</v>
      </c>
      <c r="P1479" s="53" t="n">
        <v>0.506173</v>
      </c>
      <c r="Q1479" s="53" t="n">
        <v>-1.140095</v>
      </c>
      <c r="R1479" s="53" t="n">
        <v>0.934801</v>
      </c>
      <c r="S1479" s="53" t="n">
        <v>-1.741656</v>
      </c>
    </row>
    <row r="1480" customFormat="false" ht="15" hidden="false" customHeight="false" outlineLevel="0" collapsed="false">
      <c r="A1480" s="43" t="n">
        <v>477</v>
      </c>
      <c r="B1480" s="44" t="str">
        <f aca="false">'Model Inputs &amp; Assumptions'!$B$30</f>
        <v>extraETF — Newsletter Takeover</v>
      </c>
      <c r="C1480" s="45" t="n">
        <f aca="false">ROUND(MAX(0,'Model Inputs &amp; Assumptions'!$S$30*EXP('Model Inputs &amp; Assumptions'!$T$30*P1480-'Model Inputs &amp; Assumptions'!$T$30^2/2)),0)</f>
        <v>79594</v>
      </c>
      <c r="D1480" s="46" t="n">
        <f aca="false">MIN(1,'Model Inputs &amp; Assumptions'!$U$30*EXP('Model Inputs &amp; Assumptions'!$V$30*Q1480-'Model Inputs &amp; Assumptions'!$V$30^2/2))</f>
        <v>0</v>
      </c>
      <c r="E1480" s="45" t="n">
        <f aca="false">ROUND(C1480*D1480,0)</f>
        <v>0</v>
      </c>
      <c r="F1480" s="47" t="n">
        <f aca="false">MIN(1,'Model Inputs &amp; Assumptions'!$W$30*EXP('Model Inputs &amp; Assumptions'!$X$30*R1480-'Model Inputs &amp; Assumptions'!$X$30^2/2))</f>
        <v>0.00743986788786415</v>
      </c>
      <c r="G1480" s="45" t="n">
        <f aca="false">ROUND(C1480*F1480,0)</f>
        <v>592</v>
      </c>
      <c r="H1480" s="48" t="n">
        <f aca="false">MAX(0,(C1480*'Model Inputs &amp; Assumptions'!$N$30+E1480*'Model Inputs &amp; Assumptions'!$O$30+G1480*'Model Inputs &amp; Assumptions'!$P$30)*EXP('Model Inputs &amp; Assumptions'!$Q$30*S1480-'Model Inputs &amp; Assumptions'!$Q$30^2/2))</f>
        <v>32.9281322439167</v>
      </c>
      <c r="I1480" s="49" t="n">
        <f aca="false">IF('Model Inputs &amp; Assumptions'!$H$30="Fixed",'Model Inputs &amp; Assumptions'!$I$30*'Model Inputs &amp; Assumptions'!$K$30,IF('Model Inputs &amp; Assumptions'!$H$30="CPM",'Model Inputs &amp; Assumptions'!$I$30*'Model Inputs &amp; Assumptions'!$K$30*C1480/1000,IF('Model Inputs &amp; Assumptions'!$H$30="CPC",'Model Inputs &amp; Assumptions'!$I$30*'Model Inputs &amp; Assumptions'!$K$30*G1480,0)))</f>
        <v>6900</v>
      </c>
      <c r="J1480" s="50" t="n">
        <f aca="false">H1480*INDEX('Model Inputs &amp; Assumptions'!$D$40:$D$42,MATCH('Model Inputs &amp; Assumptions'!$L$30,'Model Inputs &amp; Assumptions'!$A$40:$A$42,0))*INDEX('Model Inputs &amp; Assumptions'!$H$40:$H$42,MATCH('Model Inputs &amp; Assumptions'!$L$30,'Model Inputs &amp; Assumptions'!$A$40:$A$42,0))</f>
        <v>237082.5521562</v>
      </c>
      <c r="K1480" s="49" t="n">
        <f aca="false">H1480*INDEX('Model Inputs &amp; Assumptions'!$G$40:$G$42,MATCH('Model Inputs &amp; Assumptions'!$L$30,'Model Inputs &amp; Assumptions'!$A$40:$A$42,0))*INDEX('Model Inputs &amp; Assumptions'!$H$40:$H$42,MATCH('Model Inputs &amp; Assumptions'!$L$30,'Model Inputs &amp; Assumptions'!$A$40:$A$42,0))</f>
        <v>5227.67027504421</v>
      </c>
      <c r="L1480" s="51" t="n">
        <f aca="false">IFERROR(K1480/I1480,0)</f>
        <v>0.757633373194813</v>
      </c>
      <c r="M1480" s="49" t="n">
        <f aca="false">IFERROR(I1480/H1480,0)</f>
        <v>209.547263382203</v>
      </c>
      <c r="N1480" s="52" t="str">
        <f aca="false">'Model Inputs &amp; Assumptions'!$L$30</f>
        <v>PRD-USIQ</v>
      </c>
      <c r="P1480" s="53" t="n">
        <v>-0.77664</v>
      </c>
      <c r="Q1480" s="53" t="n">
        <v>0.388158</v>
      </c>
      <c r="R1480" s="53" t="n">
        <v>-0.408923</v>
      </c>
      <c r="S1480" s="53" t="n">
        <v>-0.498245</v>
      </c>
    </row>
    <row r="1481" customFormat="false" ht="15" hidden="false" customHeight="false" outlineLevel="0" collapsed="false">
      <c r="A1481" s="43" t="n">
        <v>478</v>
      </c>
      <c r="B1481" s="44" t="str">
        <f aca="false">'Model Inputs &amp; Assumptions'!$B$30</f>
        <v>extraETF — Newsletter Takeover</v>
      </c>
      <c r="C1481" s="45" t="n">
        <f aca="false">ROUND(MAX(0,'Model Inputs &amp; Assumptions'!$S$30*EXP('Model Inputs &amp; Assumptions'!$T$30*P1481-'Model Inputs &amp; Assumptions'!$T$30^2/2)),0)</f>
        <v>81590</v>
      </c>
      <c r="D1481" s="46" t="n">
        <f aca="false">MIN(1,'Model Inputs &amp; Assumptions'!$U$30*EXP('Model Inputs &amp; Assumptions'!$V$30*Q1481-'Model Inputs &amp; Assumptions'!$V$30^2/2))</f>
        <v>0</v>
      </c>
      <c r="E1481" s="45" t="n">
        <f aca="false">ROUND(C1481*D1481,0)</f>
        <v>0</v>
      </c>
      <c r="F1481" s="47" t="n">
        <f aca="false">MIN(1,'Model Inputs &amp; Assumptions'!$W$30*EXP('Model Inputs &amp; Assumptions'!$X$30*R1481-'Model Inputs &amp; Assumptions'!$X$30^2/2))</f>
        <v>0.00973550382708711</v>
      </c>
      <c r="G1481" s="45" t="n">
        <f aca="false">ROUND(C1481*F1481,0)</f>
        <v>794</v>
      </c>
      <c r="H1481" s="48" t="n">
        <f aca="false">MAX(0,(C1481*'Model Inputs &amp; Assumptions'!$N$30+E1481*'Model Inputs &amp; Assumptions'!$O$30+G1481*'Model Inputs &amp; Assumptions'!$P$30)*EXP('Model Inputs &amp; Assumptions'!$Q$30*S1481-'Model Inputs &amp; Assumptions'!$Q$30^2/2))</f>
        <v>46.2406694581569</v>
      </c>
      <c r="I1481" s="49" t="n">
        <f aca="false">IF('Model Inputs &amp; Assumptions'!$H$30="Fixed",'Model Inputs &amp; Assumptions'!$I$30*'Model Inputs &amp; Assumptions'!$K$30,IF('Model Inputs &amp; Assumptions'!$H$30="CPM",'Model Inputs &amp; Assumptions'!$I$30*'Model Inputs &amp; Assumptions'!$K$30*C1481/1000,IF('Model Inputs &amp; Assumptions'!$H$30="CPC",'Model Inputs &amp; Assumptions'!$I$30*'Model Inputs &amp; Assumptions'!$K$30*G1481,0)))</f>
        <v>6900</v>
      </c>
      <c r="J1481" s="50" t="n">
        <f aca="false">H1481*INDEX('Model Inputs &amp; Assumptions'!$D$40:$D$42,MATCH('Model Inputs &amp; Assumptions'!$L$30,'Model Inputs &amp; Assumptions'!$A$40:$A$42,0))*INDEX('Model Inputs &amp; Assumptions'!$H$40:$H$42,MATCH('Model Inputs &amp; Assumptions'!$L$30,'Model Inputs &amp; Assumptions'!$A$40:$A$42,0))</f>
        <v>332932.82009873</v>
      </c>
      <c r="K1481" s="49" t="n">
        <f aca="false">H1481*INDEX('Model Inputs &amp; Assumptions'!$G$40:$G$42,MATCH('Model Inputs &amp; Assumptions'!$L$30,'Model Inputs &amp; Assumptions'!$A$40:$A$42,0))*INDEX('Model Inputs &amp; Assumptions'!$H$40:$H$42,MATCH('Model Inputs &amp; Assumptions'!$L$30,'Model Inputs &amp; Assumptions'!$A$40:$A$42,0))</f>
        <v>7341.16868317699</v>
      </c>
      <c r="L1481" s="51" t="n">
        <f aca="false">IFERROR(K1481/I1481,0)</f>
        <v>1.06393749031551</v>
      </c>
      <c r="M1481" s="49" t="n">
        <f aca="false">IFERROR(I1481/H1481,0)</f>
        <v>149.219292905</v>
      </c>
      <c r="N1481" s="52" t="str">
        <f aca="false">'Model Inputs &amp; Assumptions'!$L$30</f>
        <v>PRD-USIQ</v>
      </c>
      <c r="P1481" s="53" t="n">
        <v>-0.570267</v>
      </c>
      <c r="Q1481" s="53" t="n">
        <v>0.884671</v>
      </c>
      <c r="R1481" s="53" t="n">
        <v>1.383919</v>
      </c>
      <c r="S1481" s="53" t="n">
        <v>-0.314423</v>
      </c>
    </row>
    <row r="1482" customFormat="false" ht="15" hidden="false" customHeight="false" outlineLevel="0" collapsed="false">
      <c r="A1482" s="43" t="n">
        <v>479</v>
      </c>
      <c r="B1482" s="44" t="str">
        <f aca="false">'Model Inputs &amp; Assumptions'!$B$30</f>
        <v>extraETF — Newsletter Takeover</v>
      </c>
      <c r="C1482" s="45" t="n">
        <f aca="false">ROUND(MAX(0,'Model Inputs &amp; Assumptions'!$S$30*EXP('Model Inputs &amp; Assumptions'!$T$30*P1482-'Model Inputs &amp; Assumptions'!$T$30^2/2)),0)</f>
        <v>94034</v>
      </c>
      <c r="D1482" s="46" t="n">
        <f aca="false">MIN(1,'Model Inputs &amp; Assumptions'!$U$30*EXP('Model Inputs &amp; Assumptions'!$V$30*Q1482-'Model Inputs &amp; Assumptions'!$V$30^2/2))</f>
        <v>0</v>
      </c>
      <c r="E1482" s="45" t="n">
        <f aca="false">ROUND(C1482*D1482,0)</f>
        <v>0</v>
      </c>
      <c r="F1482" s="47" t="n">
        <f aca="false">MIN(1,'Model Inputs &amp; Assumptions'!$W$30*EXP('Model Inputs &amp; Assumptions'!$X$30*R1482-'Model Inputs &amp; Assumptions'!$X$30^2/2))</f>
        <v>0.00924605053982634</v>
      </c>
      <c r="G1482" s="45" t="n">
        <f aca="false">ROUND(C1482*F1482,0)</f>
        <v>869</v>
      </c>
      <c r="H1482" s="48" t="n">
        <f aca="false">MAX(0,(C1482*'Model Inputs &amp; Assumptions'!$N$30+E1482*'Model Inputs &amp; Assumptions'!$O$30+G1482*'Model Inputs &amp; Assumptions'!$P$30)*EXP('Model Inputs &amp; Assumptions'!$Q$30*S1482-'Model Inputs &amp; Assumptions'!$Q$30^2/2))</f>
        <v>59.4280962974342</v>
      </c>
      <c r="I1482" s="49" t="n">
        <f aca="false">IF('Model Inputs &amp; Assumptions'!$H$30="Fixed",'Model Inputs &amp; Assumptions'!$I$30*'Model Inputs &amp; Assumptions'!$K$30,IF('Model Inputs &amp; Assumptions'!$H$30="CPM",'Model Inputs &amp; Assumptions'!$I$30*'Model Inputs &amp; Assumptions'!$K$30*C1482/1000,IF('Model Inputs &amp; Assumptions'!$H$30="CPC",'Model Inputs &amp; Assumptions'!$I$30*'Model Inputs &amp; Assumptions'!$K$30*G1482,0)))</f>
        <v>6900</v>
      </c>
      <c r="J1482" s="50" t="n">
        <f aca="false">H1482*INDEX('Model Inputs &amp; Assumptions'!$D$40:$D$42,MATCH('Model Inputs &amp; Assumptions'!$L$30,'Model Inputs &amp; Assumptions'!$A$40:$A$42,0))*INDEX('Model Inputs &amp; Assumptions'!$H$40:$H$42,MATCH('Model Inputs &amp; Assumptions'!$L$30,'Model Inputs &amp; Assumptions'!$A$40:$A$42,0))</f>
        <v>427882.293341526</v>
      </c>
      <c r="K1482" s="49" t="n">
        <f aca="false">H1482*INDEX('Model Inputs &amp; Assumptions'!$G$40:$G$42,MATCH('Model Inputs &amp; Assumptions'!$L$30,'Model Inputs &amp; Assumptions'!$A$40:$A$42,0))*INDEX('Model Inputs &amp; Assumptions'!$H$40:$H$42,MATCH('Model Inputs &amp; Assumptions'!$L$30,'Model Inputs &amp; Assumptions'!$A$40:$A$42,0))</f>
        <v>9434.80456818065</v>
      </c>
      <c r="L1482" s="51" t="n">
        <f aca="false">IFERROR(K1482/I1482,0)</f>
        <v>1.36736298089575</v>
      </c>
      <c r="M1482" s="49" t="n">
        <f aca="false">IFERROR(I1482/H1482,0)</f>
        <v>116.106697503247</v>
      </c>
      <c r="N1482" s="52" t="str">
        <f aca="false">'Model Inputs &amp; Assumptions'!$L$30</f>
        <v>PRD-USIQ</v>
      </c>
      <c r="P1482" s="53" t="n">
        <v>0.612637</v>
      </c>
      <c r="Q1482" s="53" t="n">
        <v>0.071222</v>
      </c>
      <c r="R1482" s="53" t="n">
        <v>1.040033</v>
      </c>
      <c r="S1482" s="53" t="n">
        <v>0.328168</v>
      </c>
    </row>
    <row r="1483" customFormat="false" ht="15" hidden="false" customHeight="false" outlineLevel="0" collapsed="false">
      <c r="A1483" s="43" t="n">
        <v>480</v>
      </c>
      <c r="B1483" s="44" t="str">
        <f aca="false">'Model Inputs &amp; Assumptions'!$B$30</f>
        <v>extraETF — Newsletter Takeover</v>
      </c>
      <c r="C1483" s="45" t="n">
        <f aca="false">ROUND(MAX(0,'Model Inputs &amp; Assumptions'!$S$30*EXP('Model Inputs &amp; Assumptions'!$T$30*P1483-'Model Inputs &amp; Assumptions'!$T$30^2/2)),0)</f>
        <v>93381</v>
      </c>
      <c r="D1483" s="46" t="n">
        <f aca="false">MIN(1,'Model Inputs &amp; Assumptions'!$U$30*EXP('Model Inputs &amp; Assumptions'!$V$30*Q1483-'Model Inputs &amp; Assumptions'!$V$30^2/2))</f>
        <v>0</v>
      </c>
      <c r="E1483" s="45" t="n">
        <f aca="false">ROUND(C1483*D1483,0)</f>
        <v>0</v>
      </c>
      <c r="F1483" s="47" t="n">
        <f aca="false">MIN(1,'Model Inputs &amp; Assumptions'!$W$30*EXP('Model Inputs &amp; Assumptions'!$X$30*R1483-'Model Inputs &amp; Assumptions'!$X$30^2/2))</f>
        <v>0.00842464544505458</v>
      </c>
      <c r="G1483" s="45" t="n">
        <f aca="false">ROUND(C1483*F1483,0)</f>
        <v>787</v>
      </c>
      <c r="H1483" s="48" t="n">
        <f aca="false">MAX(0,(C1483*'Model Inputs &amp; Assumptions'!$N$30+E1483*'Model Inputs &amp; Assumptions'!$O$30+G1483*'Model Inputs &amp; Assumptions'!$P$30)*EXP('Model Inputs &amp; Assumptions'!$Q$30*S1483-'Model Inputs &amp; Assumptions'!$Q$30^2/2))</f>
        <v>57.3552561249264</v>
      </c>
      <c r="I1483" s="49" t="n">
        <f aca="false">IF('Model Inputs &amp; Assumptions'!$H$30="Fixed",'Model Inputs &amp; Assumptions'!$I$30*'Model Inputs &amp; Assumptions'!$K$30,IF('Model Inputs &amp; Assumptions'!$H$30="CPM",'Model Inputs &amp; Assumptions'!$I$30*'Model Inputs &amp; Assumptions'!$K$30*C1483/1000,IF('Model Inputs &amp; Assumptions'!$H$30="CPC",'Model Inputs &amp; Assumptions'!$I$30*'Model Inputs &amp; Assumptions'!$K$30*G1483,0)))</f>
        <v>6900</v>
      </c>
      <c r="J1483" s="50" t="n">
        <f aca="false">H1483*INDEX('Model Inputs &amp; Assumptions'!$D$40:$D$42,MATCH('Model Inputs &amp; Assumptions'!$L$30,'Model Inputs &amp; Assumptions'!$A$40:$A$42,0))*INDEX('Model Inputs &amp; Assumptions'!$H$40:$H$42,MATCH('Model Inputs &amp; Assumptions'!$L$30,'Model Inputs &amp; Assumptions'!$A$40:$A$42,0))</f>
        <v>412957.84409947</v>
      </c>
      <c r="K1483" s="49" t="n">
        <f aca="false">H1483*INDEX('Model Inputs &amp; Assumptions'!$G$40:$G$42,MATCH('Model Inputs &amp; Assumptions'!$L$30,'Model Inputs &amp; Assumptions'!$A$40:$A$42,0))*INDEX('Model Inputs &amp; Assumptions'!$H$40:$H$42,MATCH('Model Inputs &amp; Assumptions'!$L$30,'Model Inputs &amp; Assumptions'!$A$40:$A$42,0))</f>
        <v>9105.72046239331</v>
      </c>
      <c r="L1483" s="51" t="n">
        <f aca="false">IFERROR(K1483/I1483,0)</f>
        <v>1.31966963223091</v>
      </c>
      <c r="M1483" s="49" t="n">
        <f aca="false">IFERROR(I1483/H1483,0)</f>
        <v>120.30283649978</v>
      </c>
      <c r="N1483" s="52" t="str">
        <f aca="false">'Model Inputs &amp; Assumptions'!$L$30</f>
        <v>PRD-USIQ</v>
      </c>
      <c r="P1483" s="53" t="n">
        <v>0.554595</v>
      </c>
      <c r="Q1483" s="53" t="n">
        <v>1.696507</v>
      </c>
      <c r="R1483" s="53" t="n">
        <v>0.419799</v>
      </c>
      <c r="S1483" s="53" t="n">
        <v>0.582617</v>
      </c>
    </row>
    <row r="1484" customFormat="false" ht="15" hidden="false" customHeight="false" outlineLevel="0" collapsed="false">
      <c r="A1484" s="43" t="n">
        <v>481</v>
      </c>
      <c r="B1484" s="44" t="str">
        <f aca="false">'Model Inputs &amp; Assumptions'!$B$30</f>
        <v>extraETF — Newsletter Takeover</v>
      </c>
      <c r="C1484" s="45" t="n">
        <f aca="false">ROUND(MAX(0,'Model Inputs &amp; Assumptions'!$S$30*EXP('Model Inputs &amp; Assumptions'!$T$30*P1484-'Model Inputs &amp; Assumptions'!$T$30^2/2)),0)</f>
        <v>100357</v>
      </c>
      <c r="D1484" s="46" t="n">
        <f aca="false">MIN(1,'Model Inputs &amp; Assumptions'!$U$30*EXP('Model Inputs &amp; Assumptions'!$V$30*Q1484-'Model Inputs &amp; Assumptions'!$V$30^2/2))</f>
        <v>0</v>
      </c>
      <c r="E1484" s="45" t="n">
        <f aca="false">ROUND(C1484*D1484,0)</f>
        <v>0</v>
      </c>
      <c r="F1484" s="47" t="n">
        <f aca="false">MIN(1,'Model Inputs &amp; Assumptions'!$W$30*EXP('Model Inputs &amp; Assumptions'!$X$30*R1484-'Model Inputs &amp; Assumptions'!$X$30^2/2))</f>
        <v>0.00833442511717781</v>
      </c>
      <c r="G1484" s="45" t="n">
        <f aca="false">ROUND(C1484*F1484,0)</f>
        <v>836</v>
      </c>
      <c r="H1484" s="48" t="n">
        <f aca="false">MAX(0,(C1484*'Model Inputs &amp; Assumptions'!$N$30+E1484*'Model Inputs &amp; Assumptions'!$O$30+G1484*'Model Inputs &amp; Assumptions'!$P$30)*EXP('Model Inputs &amp; Assumptions'!$Q$30*S1484-'Model Inputs &amp; Assumptions'!$Q$30^2/2))</f>
        <v>38.9636478094827</v>
      </c>
      <c r="I1484" s="49" t="n">
        <f aca="false">IF('Model Inputs &amp; Assumptions'!$H$30="Fixed",'Model Inputs &amp; Assumptions'!$I$30*'Model Inputs &amp; Assumptions'!$K$30,IF('Model Inputs &amp; Assumptions'!$H$30="CPM",'Model Inputs &amp; Assumptions'!$I$30*'Model Inputs &amp; Assumptions'!$K$30*C1484/1000,IF('Model Inputs &amp; Assumptions'!$H$30="CPC",'Model Inputs &amp; Assumptions'!$I$30*'Model Inputs &amp; Assumptions'!$K$30*G1484,0)))</f>
        <v>6900</v>
      </c>
      <c r="J1484" s="50" t="n">
        <f aca="false">H1484*INDEX('Model Inputs &amp; Assumptions'!$D$40:$D$42,MATCH('Model Inputs &amp; Assumptions'!$L$30,'Model Inputs &amp; Assumptions'!$A$40:$A$42,0))*INDEX('Model Inputs &amp; Assumptions'!$H$40:$H$42,MATCH('Model Inputs &amp; Assumptions'!$L$30,'Model Inputs &amp; Assumptions'!$A$40:$A$42,0))</f>
        <v>280538.264228275</v>
      </c>
      <c r="K1484" s="49" t="n">
        <f aca="false">H1484*INDEX('Model Inputs &amp; Assumptions'!$G$40:$G$42,MATCH('Model Inputs &amp; Assumptions'!$L$30,'Model Inputs &amp; Assumptions'!$A$40:$A$42,0))*INDEX('Model Inputs &amp; Assumptions'!$H$40:$H$42,MATCH('Model Inputs &amp; Assumptions'!$L$30,'Model Inputs &amp; Assumptions'!$A$40:$A$42,0))</f>
        <v>6185.86872623347</v>
      </c>
      <c r="L1484" s="51" t="n">
        <f aca="false">IFERROR(K1484/I1484,0)</f>
        <v>0.89650271394688</v>
      </c>
      <c r="M1484" s="49" t="n">
        <f aca="false">IFERROR(I1484/H1484,0)</f>
        <v>177.088142099486</v>
      </c>
      <c r="N1484" s="52" t="str">
        <f aca="false">'Model Inputs &amp; Assumptions'!$L$30</f>
        <v>PRD-USIQ</v>
      </c>
      <c r="P1484" s="53" t="n">
        <v>1.154962</v>
      </c>
      <c r="Q1484" s="53" t="n">
        <v>-0.228291</v>
      </c>
      <c r="R1484" s="53" t="n">
        <v>0.34802</v>
      </c>
      <c r="S1484" s="53" t="n">
        <v>-1.205526</v>
      </c>
    </row>
    <row r="1485" customFormat="false" ht="15" hidden="false" customHeight="false" outlineLevel="0" collapsed="false">
      <c r="A1485" s="43" t="n">
        <v>482</v>
      </c>
      <c r="B1485" s="44" t="str">
        <f aca="false">'Model Inputs &amp; Assumptions'!$B$30</f>
        <v>extraETF — Newsletter Takeover</v>
      </c>
      <c r="C1485" s="45" t="n">
        <f aca="false">ROUND(MAX(0,'Model Inputs &amp; Assumptions'!$S$30*EXP('Model Inputs &amp; Assumptions'!$T$30*P1485-'Model Inputs &amp; Assumptions'!$T$30^2/2)),0)</f>
        <v>96830</v>
      </c>
      <c r="D1485" s="46" t="n">
        <f aca="false">MIN(1,'Model Inputs &amp; Assumptions'!$U$30*EXP('Model Inputs &amp; Assumptions'!$V$30*Q1485-'Model Inputs &amp; Assumptions'!$V$30^2/2))</f>
        <v>0</v>
      </c>
      <c r="E1485" s="45" t="n">
        <f aca="false">ROUND(C1485*D1485,0)</f>
        <v>0</v>
      </c>
      <c r="F1485" s="47" t="n">
        <f aca="false">MIN(1,'Model Inputs &amp; Assumptions'!$W$30*EXP('Model Inputs &amp; Assumptions'!$X$30*R1485-'Model Inputs &amp; Assumptions'!$X$30^2/2))</f>
        <v>0.0071531369279964</v>
      </c>
      <c r="G1485" s="45" t="n">
        <f aca="false">ROUND(C1485*F1485,0)</f>
        <v>693</v>
      </c>
      <c r="H1485" s="48" t="n">
        <f aca="false">MAX(0,(C1485*'Model Inputs &amp; Assumptions'!$N$30+E1485*'Model Inputs &amp; Assumptions'!$O$30+G1485*'Model Inputs &amp; Assumptions'!$P$30)*EXP('Model Inputs &amp; Assumptions'!$Q$30*S1485-'Model Inputs &amp; Assumptions'!$Q$30^2/2))</f>
        <v>48.171508682075</v>
      </c>
      <c r="I1485" s="49" t="n">
        <f aca="false">IF('Model Inputs &amp; Assumptions'!$H$30="Fixed",'Model Inputs &amp; Assumptions'!$I$30*'Model Inputs &amp; Assumptions'!$K$30,IF('Model Inputs &amp; Assumptions'!$H$30="CPM",'Model Inputs &amp; Assumptions'!$I$30*'Model Inputs &amp; Assumptions'!$K$30*C1485/1000,IF('Model Inputs &amp; Assumptions'!$H$30="CPC",'Model Inputs &amp; Assumptions'!$I$30*'Model Inputs &amp; Assumptions'!$K$30*G1485,0)))</f>
        <v>6900</v>
      </c>
      <c r="J1485" s="50" t="n">
        <f aca="false">H1485*INDEX('Model Inputs &amp; Assumptions'!$D$40:$D$42,MATCH('Model Inputs &amp; Assumptions'!$L$30,'Model Inputs &amp; Assumptions'!$A$40:$A$42,0))*INDEX('Model Inputs &amp; Assumptions'!$H$40:$H$42,MATCH('Model Inputs &amp; Assumptions'!$L$30,'Model Inputs &amp; Assumptions'!$A$40:$A$42,0))</f>
        <v>346834.86251094</v>
      </c>
      <c r="K1485" s="49" t="n">
        <f aca="false">H1485*INDEX('Model Inputs &amp; Assumptions'!$G$40:$G$42,MATCH('Model Inputs &amp; Assumptions'!$L$30,'Model Inputs &amp; Assumptions'!$A$40:$A$42,0))*INDEX('Model Inputs &amp; Assumptions'!$H$40:$H$42,MATCH('Model Inputs &amp; Assumptions'!$L$30,'Model Inputs &amp; Assumptions'!$A$40:$A$42,0))</f>
        <v>7647.70871836623</v>
      </c>
      <c r="L1485" s="51" t="n">
        <f aca="false">IFERROR(K1485/I1485,0)</f>
        <v>1.10836358237192</v>
      </c>
      <c r="M1485" s="49" t="n">
        <f aca="false">IFERROR(I1485/H1485,0)</f>
        <v>143.23819595394</v>
      </c>
      <c r="N1485" s="52" t="str">
        <f aca="false">'Model Inputs &amp; Assumptions'!$L$30</f>
        <v>PRD-USIQ</v>
      </c>
      <c r="P1485" s="53" t="n">
        <v>0.856851</v>
      </c>
      <c r="Q1485" s="53" t="n">
        <v>-1.057562</v>
      </c>
      <c r="R1485" s="53" t="n">
        <v>-0.670937</v>
      </c>
      <c r="S1485" s="53" t="n">
        <v>0.393423</v>
      </c>
    </row>
    <row r="1486" customFormat="false" ht="15" hidden="false" customHeight="false" outlineLevel="0" collapsed="false">
      <c r="A1486" s="43" t="n">
        <v>483</v>
      </c>
      <c r="B1486" s="44" t="str">
        <f aca="false">'Model Inputs &amp; Assumptions'!$B$30</f>
        <v>extraETF — Newsletter Takeover</v>
      </c>
      <c r="C1486" s="45" t="n">
        <f aca="false">ROUND(MAX(0,'Model Inputs &amp; Assumptions'!$S$30*EXP('Model Inputs &amp; Assumptions'!$T$30*P1486-'Model Inputs &amp; Assumptions'!$T$30^2/2)),0)</f>
        <v>84479</v>
      </c>
      <c r="D1486" s="46" t="n">
        <f aca="false">MIN(1,'Model Inputs &amp; Assumptions'!$U$30*EXP('Model Inputs &amp; Assumptions'!$V$30*Q1486-'Model Inputs &amp; Assumptions'!$V$30^2/2))</f>
        <v>0</v>
      </c>
      <c r="E1486" s="45" t="n">
        <f aca="false">ROUND(C1486*D1486,0)</f>
        <v>0</v>
      </c>
      <c r="F1486" s="47" t="n">
        <f aca="false">MIN(1,'Model Inputs &amp; Assumptions'!$W$30*EXP('Model Inputs &amp; Assumptions'!$X$30*R1486-'Model Inputs &amp; Assumptions'!$X$30^2/2))</f>
        <v>0.00824612952419747</v>
      </c>
      <c r="G1486" s="45" t="n">
        <f aca="false">ROUND(C1486*F1486,0)</f>
        <v>697</v>
      </c>
      <c r="H1486" s="48" t="n">
        <f aca="false">MAX(0,(C1486*'Model Inputs &amp; Assumptions'!$N$30+E1486*'Model Inputs &amp; Assumptions'!$O$30+G1486*'Model Inputs &amp; Assumptions'!$P$30)*EXP('Model Inputs &amp; Assumptions'!$Q$30*S1486-'Model Inputs &amp; Assumptions'!$Q$30^2/2))</f>
        <v>60.0541047468239</v>
      </c>
      <c r="I1486" s="49" t="n">
        <f aca="false">IF('Model Inputs &amp; Assumptions'!$H$30="Fixed",'Model Inputs &amp; Assumptions'!$I$30*'Model Inputs &amp; Assumptions'!$K$30,IF('Model Inputs &amp; Assumptions'!$H$30="CPM",'Model Inputs &amp; Assumptions'!$I$30*'Model Inputs &amp; Assumptions'!$K$30*C1486/1000,IF('Model Inputs &amp; Assumptions'!$H$30="CPC",'Model Inputs &amp; Assumptions'!$I$30*'Model Inputs &amp; Assumptions'!$K$30*G1486,0)))</f>
        <v>6900</v>
      </c>
      <c r="J1486" s="50" t="n">
        <f aca="false">H1486*INDEX('Model Inputs &amp; Assumptions'!$D$40:$D$42,MATCH('Model Inputs &amp; Assumptions'!$L$30,'Model Inputs &amp; Assumptions'!$A$40:$A$42,0))*INDEX('Model Inputs &amp; Assumptions'!$H$40:$H$42,MATCH('Model Inputs &amp; Assumptions'!$L$30,'Model Inputs &amp; Assumptions'!$A$40:$A$42,0))</f>
        <v>432389.554177132</v>
      </c>
      <c r="K1486" s="49" t="n">
        <f aca="false">H1486*INDEX('Model Inputs &amp; Assumptions'!$G$40:$G$42,MATCH('Model Inputs &amp; Assumptions'!$L$30,'Model Inputs &amp; Assumptions'!$A$40:$A$42,0))*INDEX('Model Inputs &amp; Assumptions'!$H$40:$H$42,MATCH('Model Inputs &amp; Assumptions'!$L$30,'Model Inputs &amp; Assumptions'!$A$40:$A$42,0))</f>
        <v>9534.18966960576</v>
      </c>
      <c r="L1486" s="51" t="n">
        <f aca="false">IFERROR(K1486/I1486,0)</f>
        <v>1.38176661878344</v>
      </c>
      <c r="M1486" s="49" t="n">
        <f aca="false">IFERROR(I1486/H1486,0)</f>
        <v>114.896392662733</v>
      </c>
      <c r="N1486" s="52" t="str">
        <f aca="false">'Model Inputs &amp; Assumptions'!$L$30</f>
        <v>PRD-USIQ</v>
      </c>
      <c r="P1486" s="53" t="n">
        <v>-0.28026</v>
      </c>
      <c r="Q1486" s="53" t="n">
        <v>-0.868912</v>
      </c>
      <c r="R1486" s="53" t="n">
        <v>0.277016</v>
      </c>
      <c r="S1486" s="53" t="n">
        <v>1.252314</v>
      </c>
    </row>
    <row r="1487" customFormat="false" ht="15" hidden="false" customHeight="false" outlineLevel="0" collapsed="false">
      <c r="A1487" s="43" t="n">
        <v>484</v>
      </c>
      <c r="B1487" s="44" t="str">
        <f aca="false">'Model Inputs &amp; Assumptions'!$B$30</f>
        <v>extraETF — Newsletter Takeover</v>
      </c>
      <c r="C1487" s="45" t="n">
        <f aca="false">ROUND(MAX(0,'Model Inputs &amp; Assumptions'!$S$30*EXP('Model Inputs &amp; Assumptions'!$T$30*P1487-'Model Inputs &amp; Assumptions'!$T$30^2/2)),0)</f>
        <v>92606</v>
      </c>
      <c r="D1487" s="46" t="n">
        <f aca="false">MIN(1,'Model Inputs &amp; Assumptions'!$U$30*EXP('Model Inputs &amp; Assumptions'!$V$30*Q1487-'Model Inputs &amp; Assumptions'!$V$30^2/2))</f>
        <v>0</v>
      </c>
      <c r="E1487" s="45" t="n">
        <f aca="false">ROUND(C1487*D1487,0)</f>
        <v>0</v>
      </c>
      <c r="F1487" s="47" t="n">
        <f aca="false">MIN(1,'Model Inputs &amp; Assumptions'!$W$30*EXP('Model Inputs &amp; Assumptions'!$X$30*R1487-'Model Inputs &amp; Assumptions'!$X$30^2/2))</f>
        <v>0.0072667277836081</v>
      </c>
      <c r="G1487" s="45" t="n">
        <f aca="false">ROUND(C1487*F1487,0)</f>
        <v>673</v>
      </c>
      <c r="H1487" s="48" t="n">
        <f aca="false">MAX(0,(C1487*'Model Inputs &amp; Assumptions'!$N$30+E1487*'Model Inputs &amp; Assumptions'!$O$30+G1487*'Model Inputs &amp; Assumptions'!$P$30)*EXP('Model Inputs &amp; Assumptions'!$Q$30*S1487-'Model Inputs &amp; Assumptions'!$Q$30^2/2))</f>
        <v>34.8002064960801</v>
      </c>
      <c r="I1487" s="49" t="n">
        <f aca="false">IF('Model Inputs &amp; Assumptions'!$H$30="Fixed",'Model Inputs &amp; Assumptions'!$I$30*'Model Inputs &amp; Assumptions'!$K$30,IF('Model Inputs &amp; Assumptions'!$H$30="CPM",'Model Inputs &amp; Assumptions'!$I$30*'Model Inputs &amp; Assumptions'!$K$30*C1487/1000,IF('Model Inputs &amp; Assumptions'!$H$30="CPC",'Model Inputs &amp; Assumptions'!$I$30*'Model Inputs &amp; Assumptions'!$K$30*G1487,0)))</f>
        <v>6900</v>
      </c>
      <c r="J1487" s="50" t="n">
        <f aca="false">H1487*INDEX('Model Inputs &amp; Assumptions'!$D$40:$D$42,MATCH('Model Inputs &amp; Assumptions'!$L$30,'Model Inputs &amp; Assumptions'!$A$40:$A$42,0))*INDEX('Model Inputs &amp; Assumptions'!$H$40:$H$42,MATCH('Model Inputs &amp; Assumptions'!$L$30,'Model Inputs &amp; Assumptions'!$A$40:$A$42,0))</f>
        <v>250561.486771776</v>
      </c>
      <c r="K1487" s="49" t="n">
        <f aca="false">H1487*INDEX('Model Inputs &amp; Assumptions'!$G$40:$G$42,MATCH('Model Inputs &amp; Assumptions'!$L$30,'Model Inputs &amp; Assumptions'!$A$40:$A$42,0))*INDEX('Model Inputs &amp; Assumptions'!$H$40:$H$42,MATCH('Model Inputs &amp; Assumptions'!$L$30,'Model Inputs &amp; Assumptions'!$A$40:$A$42,0))</f>
        <v>5524.88078331767</v>
      </c>
      <c r="L1487" s="51" t="n">
        <f aca="false">IFERROR(K1487/I1487,0)</f>
        <v>0.800707359901112</v>
      </c>
      <c r="M1487" s="49" t="n">
        <f aca="false">IFERROR(I1487/H1487,0)</f>
        <v>198.274685547548</v>
      </c>
      <c r="N1487" s="52" t="str">
        <f aca="false">'Model Inputs &amp; Assumptions'!$L$30</f>
        <v>PRD-USIQ</v>
      </c>
      <c r="P1487" s="53" t="n">
        <v>0.485107</v>
      </c>
      <c r="Q1487" s="53" t="n">
        <v>1.681783</v>
      </c>
      <c r="R1487" s="53" t="n">
        <v>-0.565903</v>
      </c>
      <c r="S1487" s="53" t="n">
        <v>-0.790016</v>
      </c>
    </row>
    <row r="1488" customFormat="false" ht="15" hidden="false" customHeight="false" outlineLevel="0" collapsed="false">
      <c r="A1488" s="43" t="n">
        <v>485</v>
      </c>
      <c r="B1488" s="44" t="str">
        <f aca="false">'Model Inputs &amp; Assumptions'!$B$30</f>
        <v>extraETF — Newsletter Takeover</v>
      </c>
      <c r="C1488" s="45" t="n">
        <f aca="false">ROUND(MAX(0,'Model Inputs &amp; Assumptions'!$S$30*EXP('Model Inputs &amp; Assumptions'!$T$30*P1488-'Model Inputs &amp; Assumptions'!$T$30^2/2)),0)</f>
        <v>104528</v>
      </c>
      <c r="D1488" s="46" t="n">
        <f aca="false">MIN(1,'Model Inputs &amp; Assumptions'!$U$30*EXP('Model Inputs &amp; Assumptions'!$V$30*Q1488-'Model Inputs &amp; Assumptions'!$V$30^2/2))</f>
        <v>0</v>
      </c>
      <c r="E1488" s="45" t="n">
        <f aca="false">ROUND(C1488*D1488,0)</f>
        <v>0</v>
      </c>
      <c r="F1488" s="47" t="n">
        <f aca="false">MIN(1,'Model Inputs &amp; Assumptions'!$W$30*EXP('Model Inputs &amp; Assumptions'!$X$30*R1488-'Model Inputs &amp; Assumptions'!$X$30^2/2))</f>
        <v>0.00999097156494465</v>
      </c>
      <c r="G1488" s="45" t="n">
        <f aca="false">ROUND(C1488*F1488,0)</f>
        <v>1044</v>
      </c>
      <c r="H1488" s="48" t="n">
        <f aca="false">MAX(0,(C1488*'Model Inputs &amp; Assumptions'!$N$30+E1488*'Model Inputs &amp; Assumptions'!$O$30+G1488*'Model Inputs &amp; Assumptions'!$P$30)*EXP('Model Inputs &amp; Assumptions'!$Q$30*S1488-'Model Inputs &amp; Assumptions'!$Q$30^2/2))</f>
        <v>59.0166442088393</v>
      </c>
      <c r="I1488" s="49" t="n">
        <f aca="false">IF('Model Inputs &amp; Assumptions'!$H$30="Fixed",'Model Inputs &amp; Assumptions'!$I$30*'Model Inputs &amp; Assumptions'!$K$30,IF('Model Inputs &amp; Assumptions'!$H$30="CPM",'Model Inputs &amp; Assumptions'!$I$30*'Model Inputs &amp; Assumptions'!$K$30*C1488/1000,IF('Model Inputs &amp; Assumptions'!$H$30="CPC",'Model Inputs &amp; Assumptions'!$I$30*'Model Inputs &amp; Assumptions'!$K$30*G1488,0)))</f>
        <v>6900</v>
      </c>
      <c r="J1488" s="50" t="n">
        <f aca="false">H1488*INDEX('Model Inputs &amp; Assumptions'!$D$40:$D$42,MATCH('Model Inputs &amp; Assumptions'!$L$30,'Model Inputs &amp; Assumptions'!$A$40:$A$42,0))*INDEX('Model Inputs &amp; Assumptions'!$H$40:$H$42,MATCH('Model Inputs &amp; Assumptions'!$L$30,'Model Inputs &amp; Assumptions'!$A$40:$A$42,0))</f>
        <v>424919.838303643</v>
      </c>
      <c r="K1488" s="49" t="n">
        <f aca="false">H1488*INDEX('Model Inputs &amp; Assumptions'!$G$40:$G$42,MATCH('Model Inputs &amp; Assumptions'!$L$30,'Model Inputs &amp; Assumptions'!$A$40:$A$42,0))*INDEX('Model Inputs &amp; Assumptions'!$H$40:$H$42,MATCH('Model Inputs &amp; Assumptions'!$L$30,'Model Inputs &amp; Assumptions'!$A$40:$A$42,0))</f>
        <v>9369.48243459533</v>
      </c>
      <c r="L1488" s="51" t="n">
        <f aca="false">IFERROR(K1488/I1488,0)</f>
        <v>1.35789600501382</v>
      </c>
      <c r="M1488" s="49" t="n">
        <f aca="false">IFERROR(I1488/H1488,0)</f>
        <v>116.916169878845</v>
      </c>
      <c r="N1488" s="52" t="str">
        <f aca="false">'Model Inputs &amp; Assumptions'!$L$30</f>
        <v>PRD-USIQ</v>
      </c>
      <c r="P1488" s="53" t="n">
        <v>1.494352</v>
      </c>
      <c r="Q1488" s="53" t="n">
        <v>-0.266055</v>
      </c>
      <c r="R1488" s="53" t="n">
        <v>1.556602</v>
      </c>
      <c r="S1488" s="53" t="n">
        <v>-0.433509</v>
      </c>
    </row>
    <row r="1489" customFormat="false" ht="15" hidden="false" customHeight="false" outlineLevel="0" collapsed="false">
      <c r="A1489" s="43" t="n">
        <v>486</v>
      </c>
      <c r="B1489" s="44" t="str">
        <f aca="false">'Model Inputs &amp; Assumptions'!$B$30</f>
        <v>extraETF — Newsletter Takeover</v>
      </c>
      <c r="C1489" s="45" t="n">
        <f aca="false">ROUND(MAX(0,'Model Inputs &amp; Assumptions'!$S$30*EXP('Model Inputs &amp; Assumptions'!$T$30*P1489-'Model Inputs &amp; Assumptions'!$T$30^2/2)),0)</f>
        <v>94267</v>
      </c>
      <c r="D1489" s="46" t="n">
        <f aca="false">MIN(1,'Model Inputs &amp; Assumptions'!$U$30*EXP('Model Inputs &amp; Assumptions'!$V$30*Q1489-'Model Inputs &amp; Assumptions'!$V$30^2/2))</f>
        <v>0</v>
      </c>
      <c r="E1489" s="45" t="n">
        <f aca="false">ROUND(C1489*D1489,0)</f>
        <v>0</v>
      </c>
      <c r="F1489" s="47" t="n">
        <f aca="false">MIN(1,'Model Inputs &amp; Assumptions'!$W$30*EXP('Model Inputs &amp; Assumptions'!$X$30*R1489-'Model Inputs &amp; Assumptions'!$X$30^2/2))</f>
        <v>0.00714147574293157</v>
      </c>
      <c r="G1489" s="45" t="n">
        <f aca="false">ROUND(C1489*F1489,0)</f>
        <v>673</v>
      </c>
      <c r="H1489" s="48" t="n">
        <f aca="false">MAX(0,(C1489*'Model Inputs &amp; Assumptions'!$N$30+E1489*'Model Inputs &amp; Assumptions'!$O$30+G1489*'Model Inputs &amp; Assumptions'!$P$30)*EXP('Model Inputs &amp; Assumptions'!$Q$30*S1489-'Model Inputs &amp; Assumptions'!$Q$30^2/2))</f>
        <v>38.2976225772241</v>
      </c>
      <c r="I1489" s="49" t="n">
        <f aca="false">IF('Model Inputs &amp; Assumptions'!$H$30="Fixed",'Model Inputs &amp; Assumptions'!$I$30*'Model Inputs &amp; Assumptions'!$K$30,IF('Model Inputs &amp; Assumptions'!$H$30="CPM",'Model Inputs &amp; Assumptions'!$I$30*'Model Inputs &amp; Assumptions'!$K$30*C1489/1000,IF('Model Inputs &amp; Assumptions'!$H$30="CPC",'Model Inputs &amp; Assumptions'!$I$30*'Model Inputs &amp; Assumptions'!$K$30*G1489,0)))</f>
        <v>6900</v>
      </c>
      <c r="J1489" s="50" t="n">
        <f aca="false">H1489*INDEX('Model Inputs &amp; Assumptions'!$D$40:$D$42,MATCH('Model Inputs &amp; Assumptions'!$L$30,'Model Inputs &amp; Assumptions'!$A$40:$A$42,0))*INDEX('Model Inputs &amp; Assumptions'!$H$40:$H$42,MATCH('Model Inputs &amp; Assumptions'!$L$30,'Model Inputs &amp; Assumptions'!$A$40:$A$42,0))</f>
        <v>275742.882556014</v>
      </c>
      <c r="K1489" s="49" t="n">
        <f aca="false">H1489*INDEX('Model Inputs &amp; Assumptions'!$G$40:$G$42,MATCH('Model Inputs &amp; Assumptions'!$L$30,'Model Inputs &amp; Assumptions'!$A$40:$A$42,0))*INDEX('Model Inputs &amp; Assumptions'!$H$40:$H$42,MATCH('Model Inputs &amp; Assumptions'!$L$30,'Model Inputs &amp; Assumptions'!$A$40:$A$42,0))</f>
        <v>6080.1305603601</v>
      </c>
      <c r="L1489" s="51" t="n">
        <f aca="false">IFERROR(K1489/I1489,0)</f>
        <v>0.881178342081174</v>
      </c>
      <c r="M1489" s="49" t="n">
        <f aca="false">IFERROR(I1489/H1489,0)</f>
        <v>180.167841648309</v>
      </c>
      <c r="N1489" s="52" t="str">
        <f aca="false">'Model Inputs &amp; Assumptions'!$L$30</f>
        <v>PRD-USIQ</v>
      </c>
      <c r="P1489" s="53" t="n">
        <v>0.633251</v>
      </c>
      <c r="Q1489" s="53" t="n">
        <v>1.556909</v>
      </c>
      <c r="R1489" s="53" t="n">
        <v>-0.681814</v>
      </c>
      <c r="S1489" s="53" t="n">
        <v>-0.406958</v>
      </c>
    </row>
    <row r="1490" customFormat="false" ht="15" hidden="false" customHeight="false" outlineLevel="0" collapsed="false">
      <c r="A1490" s="43" t="n">
        <v>487</v>
      </c>
      <c r="B1490" s="44" t="str">
        <f aca="false">'Model Inputs &amp; Assumptions'!$B$30</f>
        <v>extraETF — Newsletter Takeover</v>
      </c>
      <c r="C1490" s="45" t="n">
        <f aca="false">ROUND(MAX(0,'Model Inputs &amp; Assumptions'!$S$30*EXP('Model Inputs &amp; Assumptions'!$T$30*P1490-'Model Inputs &amp; Assumptions'!$T$30^2/2)),0)</f>
        <v>75188</v>
      </c>
      <c r="D1490" s="46" t="n">
        <f aca="false">MIN(1,'Model Inputs &amp; Assumptions'!$U$30*EXP('Model Inputs &amp; Assumptions'!$V$30*Q1490-'Model Inputs &amp; Assumptions'!$V$30^2/2))</f>
        <v>0</v>
      </c>
      <c r="E1490" s="45" t="n">
        <f aca="false">ROUND(C1490*D1490,0)</f>
        <v>0</v>
      </c>
      <c r="F1490" s="47" t="n">
        <f aca="false">MIN(1,'Model Inputs &amp; Assumptions'!$W$30*EXP('Model Inputs &amp; Assumptions'!$X$30*R1490-'Model Inputs &amp; Assumptions'!$X$30^2/2))</f>
        <v>0.00742332182033625</v>
      </c>
      <c r="G1490" s="45" t="n">
        <f aca="false">ROUND(C1490*F1490,0)</f>
        <v>558</v>
      </c>
      <c r="H1490" s="48" t="n">
        <f aca="false">MAX(0,(C1490*'Model Inputs &amp; Assumptions'!$N$30+E1490*'Model Inputs &amp; Assumptions'!$O$30+G1490*'Model Inputs &amp; Assumptions'!$P$30)*EXP('Model Inputs &amp; Assumptions'!$Q$30*S1490-'Model Inputs &amp; Assumptions'!$Q$30^2/2))</f>
        <v>36.8369881550029</v>
      </c>
      <c r="I1490" s="49" t="n">
        <f aca="false">IF('Model Inputs &amp; Assumptions'!$H$30="Fixed",'Model Inputs &amp; Assumptions'!$I$30*'Model Inputs &amp; Assumptions'!$K$30,IF('Model Inputs &amp; Assumptions'!$H$30="CPM",'Model Inputs &amp; Assumptions'!$I$30*'Model Inputs &amp; Assumptions'!$K$30*C1490/1000,IF('Model Inputs &amp; Assumptions'!$H$30="CPC",'Model Inputs &amp; Assumptions'!$I$30*'Model Inputs &amp; Assumptions'!$K$30*G1490,0)))</f>
        <v>6900</v>
      </c>
      <c r="J1490" s="50" t="n">
        <f aca="false">H1490*INDEX('Model Inputs &amp; Assumptions'!$D$40:$D$42,MATCH('Model Inputs &amp; Assumptions'!$L$30,'Model Inputs &amp; Assumptions'!$A$40:$A$42,0))*INDEX('Model Inputs &amp; Assumptions'!$H$40:$H$42,MATCH('Model Inputs &amp; Assumptions'!$L$30,'Model Inputs &amp; Assumptions'!$A$40:$A$42,0))</f>
        <v>265226.314716021</v>
      </c>
      <c r="K1490" s="49" t="n">
        <f aca="false">H1490*INDEX('Model Inputs &amp; Assumptions'!$G$40:$G$42,MATCH('Model Inputs &amp; Assumptions'!$L$30,'Model Inputs &amp; Assumptions'!$A$40:$A$42,0))*INDEX('Model Inputs &amp; Assumptions'!$H$40:$H$42,MATCH('Model Inputs &amp; Assumptions'!$L$30,'Model Inputs &amp; Assumptions'!$A$40:$A$42,0))</f>
        <v>5848.24023948826</v>
      </c>
      <c r="L1490" s="51" t="n">
        <f aca="false">IFERROR(K1490/I1490,0)</f>
        <v>0.847571049201197</v>
      </c>
      <c r="M1490" s="49" t="n">
        <f aca="false">IFERROR(I1490/H1490,0)</f>
        <v>187.311730561851</v>
      </c>
      <c r="N1490" s="52" t="str">
        <f aca="false">'Model Inputs &amp; Assumptions'!$L$30</f>
        <v>PRD-USIQ</v>
      </c>
      <c r="P1490" s="53" t="n">
        <v>-1.251164</v>
      </c>
      <c r="Q1490" s="53" t="n">
        <v>-0.365362</v>
      </c>
      <c r="R1490" s="53" t="n">
        <v>-0.423766</v>
      </c>
      <c r="S1490" s="53" t="n">
        <v>0.187046</v>
      </c>
    </row>
    <row r="1491" customFormat="false" ht="15" hidden="false" customHeight="false" outlineLevel="0" collapsed="false">
      <c r="A1491" s="43" t="n">
        <v>488</v>
      </c>
      <c r="B1491" s="44" t="str">
        <f aca="false">'Model Inputs &amp; Assumptions'!$B$30</f>
        <v>extraETF — Newsletter Takeover</v>
      </c>
      <c r="C1491" s="45" t="n">
        <f aca="false">ROUND(MAX(0,'Model Inputs &amp; Assumptions'!$S$30*EXP('Model Inputs &amp; Assumptions'!$T$30*P1491-'Model Inputs &amp; Assumptions'!$T$30^2/2)),0)</f>
        <v>85049</v>
      </c>
      <c r="D1491" s="46" t="n">
        <f aca="false">MIN(1,'Model Inputs &amp; Assumptions'!$U$30*EXP('Model Inputs &amp; Assumptions'!$V$30*Q1491-'Model Inputs &amp; Assumptions'!$V$30^2/2))</f>
        <v>0</v>
      </c>
      <c r="E1491" s="45" t="n">
        <f aca="false">ROUND(C1491*D1491,0)</f>
        <v>0</v>
      </c>
      <c r="F1491" s="47" t="n">
        <f aca="false">MIN(1,'Model Inputs &amp; Assumptions'!$W$30*EXP('Model Inputs &amp; Assumptions'!$X$30*R1491-'Model Inputs &amp; Assumptions'!$X$30^2/2))</f>
        <v>0.00785610386193754</v>
      </c>
      <c r="G1491" s="45" t="n">
        <f aca="false">ROUND(C1491*F1491,0)</f>
        <v>668</v>
      </c>
      <c r="H1491" s="48" t="n">
        <f aca="false">MAX(0,(C1491*'Model Inputs &amp; Assumptions'!$N$30+E1491*'Model Inputs &amp; Assumptions'!$O$30+G1491*'Model Inputs &amp; Assumptions'!$P$30)*EXP('Model Inputs &amp; Assumptions'!$Q$30*S1491-'Model Inputs &amp; Assumptions'!$Q$30^2/2))</f>
        <v>55.3748995545395</v>
      </c>
      <c r="I1491" s="49" t="n">
        <f aca="false">IF('Model Inputs &amp; Assumptions'!$H$30="Fixed",'Model Inputs &amp; Assumptions'!$I$30*'Model Inputs &amp; Assumptions'!$K$30,IF('Model Inputs &amp; Assumptions'!$H$30="CPM",'Model Inputs &amp; Assumptions'!$I$30*'Model Inputs &amp; Assumptions'!$K$30*C1491/1000,IF('Model Inputs &amp; Assumptions'!$H$30="CPC",'Model Inputs &amp; Assumptions'!$I$30*'Model Inputs &amp; Assumptions'!$K$30*G1491,0)))</f>
        <v>6900</v>
      </c>
      <c r="J1491" s="50" t="n">
        <f aca="false">H1491*INDEX('Model Inputs &amp; Assumptions'!$D$40:$D$42,MATCH('Model Inputs &amp; Assumptions'!$L$30,'Model Inputs &amp; Assumptions'!$A$40:$A$42,0))*INDEX('Model Inputs &amp; Assumptions'!$H$40:$H$42,MATCH('Model Inputs &amp; Assumptions'!$L$30,'Model Inputs &amp; Assumptions'!$A$40:$A$42,0))</f>
        <v>398699.276792684</v>
      </c>
      <c r="K1491" s="49" t="n">
        <f aca="false">H1491*INDEX('Model Inputs &amp; Assumptions'!$G$40:$G$42,MATCH('Model Inputs &amp; Assumptions'!$L$30,'Model Inputs &amp; Assumptions'!$A$40:$A$42,0))*INDEX('Model Inputs &amp; Assumptions'!$H$40:$H$42,MATCH('Model Inputs &amp; Assumptions'!$L$30,'Model Inputs &amp; Assumptions'!$A$40:$A$42,0))</f>
        <v>8791.31905327868</v>
      </c>
      <c r="L1491" s="51" t="n">
        <f aca="false">IFERROR(K1491/I1491,0)</f>
        <v>1.2741042106201</v>
      </c>
      <c r="M1491" s="49" t="n">
        <f aca="false">IFERROR(I1491/H1491,0)</f>
        <v>124.605192162996</v>
      </c>
      <c r="N1491" s="52" t="str">
        <f aca="false">'Model Inputs &amp; Assumptions'!$L$30</f>
        <v>PRD-USIQ</v>
      </c>
      <c r="P1491" s="53" t="n">
        <v>-0.224215</v>
      </c>
      <c r="Q1491" s="53" t="n">
        <v>-1.222882</v>
      </c>
      <c r="R1491" s="53" t="n">
        <v>-0.046005</v>
      </c>
      <c r="S1491" s="53" t="n">
        <v>1.097825</v>
      </c>
    </row>
    <row r="1492" customFormat="false" ht="15" hidden="false" customHeight="false" outlineLevel="0" collapsed="false">
      <c r="A1492" s="43" t="n">
        <v>489</v>
      </c>
      <c r="B1492" s="44" t="str">
        <f aca="false">'Model Inputs &amp; Assumptions'!$B$30</f>
        <v>extraETF — Newsletter Takeover</v>
      </c>
      <c r="C1492" s="45" t="n">
        <f aca="false">ROUND(MAX(0,'Model Inputs &amp; Assumptions'!$S$30*EXP('Model Inputs &amp; Assumptions'!$T$30*P1492-'Model Inputs &amp; Assumptions'!$T$30^2/2)),0)</f>
        <v>98126</v>
      </c>
      <c r="D1492" s="46" t="n">
        <f aca="false">MIN(1,'Model Inputs &amp; Assumptions'!$U$30*EXP('Model Inputs &amp; Assumptions'!$V$30*Q1492-'Model Inputs &amp; Assumptions'!$V$30^2/2))</f>
        <v>0</v>
      </c>
      <c r="E1492" s="45" t="n">
        <f aca="false">ROUND(C1492*D1492,0)</f>
        <v>0</v>
      </c>
      <c r="F1492" s="47" t="n">
        <f aca="false">MIN(1,'Model Inputs &amp; Assumptions'!$W$30*EXP('Model Inputs &amp; Assumptions'!$X$30*R1492-'Model Inputs &amp; Assumptions'!$X$30^2/2))</f>
        <v>0.00756814840940734</v>
      </c>
      <c r="G1492" s="45" t="n">
        <f aca="false">ROUND(C1492*F1492,0)</f>
        <v>743</v>
      </c>
      <c r="H1492" s="48" t="n">
        <f aca="false">MAX(0,(C1492*'Model Inputs &amp; Assumptions'!$N$30+E1492*'Model Inputs &amp; Assumptions'!$O$30+G1492*'Model Inputs &amp; Assumptions'!$P$30)*EXP('Model Inputs &amp; Assumptions'!$Q$30*S1492-'Model Inputs &amp; Assumptions'!$Q$30^2/2))</f>
        <v>52.3169827132014</v>
      </c>
      <c r="I1492" s="49" t="n">
        <f aca="false">IF('Model Inputs &amp; Assumptions'!$H$30="Fixed",'Model Inputs &amp; Assumptions'!$I$30*'Model Inputs &amp; Assumptions'!$K$30,IF('Model Inputs &amp; Assumptions'!$H$30="CPM",'Model Inputs &amp; Assumptions'!$I$30*'Model Inputs &amp; Assumptions'!$K$30*C1492/1000,IF('Model Inputs &amp; Assumptions'!$H$30="CPC",'Model Inputs &amp; Assumptions'!$I$30*'Model Inputs &amp; Assumptions'!$K$30*G1492,0)))</f>
        <v>6900</v>
      </c>
      <c r="J1492" s="50" t="n">
        <f aca="false">H1492*INDEX('Model Inputs &amp; Assumptions'!$D$40:$D$42,MATCH('Model Inputs &amp; Assumptions'!$L$30,'Model Inputs &amp; Assumptions'!$A$40:$A$42,0))*INDEX('Model Inputs &amp; Assumptions'!$H$40:$H$42,MATCH('Model Inputs &amp; Assumptions'!$L$30,'Model Inputs &amp; Assumptions'!$A$40:$A$42,0))</f>
        <v>376682.27553505</v>
      </c>
      <c r="K1492" s="49" t="n">
        <f aca="false">H1492*INDEX('Model Inputs &amp; Assumptions'!$G$40:$G$42,MATCH('Model Inputs &amp; Assumptions'!$L$30,'Model Inputs &amp; Assumptions'!$A$40:$A$42,0))*INDEX('Model Inputs &amp; Assumptions'!$H$40:$H$42,MATCH('Model Inputs &amp; Assumptions'!$L$30,'Model Inputs &amp; Assumptions'!$A$40:$A$42,0))</f>
        <v>8305.84417554785</v>
      </c>
      <c r="L1492" s="51" t="n">
        <f aca="false">IFERROR(K1492/I1492,0)</f>
        <v>1.20374553268809</v>
      </c>
      <c r="M1492" s="49" t="n">
        <f aca="false">IFERROR(I1492/H1492,0)</f>
        <v>131.888339926356</v>
      </c>
      <c r="N1492" s="52" t="str">
        <f aca="false">'Model Inputs &amp; Assumptions'!$L$30</f>
        <v>PRD-USIQ</v>
      </c>
      <c r="P1492" s="53" t="n">
        <v>0.967588</v>
      </c>
      <c r="Q1492" s="53" t="n">
        <v>-0.327453</v>
      </c>
      <c r="R1492" s="53" t="n">
        <v>-0.294954</v>
      </c>
      <c r="S1492" s="53" t="n">
        <v>0.444972</v>
      </c>
    </row>
    <row r="1493" customFormat="false" ht="15" hidden="false" customHeight="false" outlineLevel="0" collapsed="false">
      <c r="A1493" s="43" t="n">
        <v>490</v>
      </c>
      <c r="B1493" s="44" t="str">
        <f aca="false">'Model Inputs &amp; Assumptions'!$B$30</f>
        <v>extraETF — Newsletter Takeover</v>
      </c>
      <c r="C1493" s="45" t="n">
        <f aca="false">ROUND(MAX(0,'Model Inputs &amp; Assumptions'!$S$30*EXP('Model Inputs &amp; Assumptions'!$T$30*P1493-'Model Inputs &amp; Assumptions'!$T$30^2/2)),0)</f>
        <v>95632</v>
      </c>
      <c r="D1493" s="46" t="n">
        <f aca="false">MIN(1,'Model Inputs &amp; Assumptions'!$U$30*EXP('Model Inputs &amp; Assumptions'!$V$30*Q1493-'Model Inputs &amp; Assumptions'!$V$30^2/2))</f>
        <v>0</v>
      </c>
      <c r="E1493" s="45" t="n">
        <f aca="false">ROUND(C1493*D1493,0)</f>
        <v>0</v>
      </c>
      <c r="F1493" s="47" t="n">
        <f aca="false">MIN(1,'Model Inputs &amp; Assumptions'!$W$30*EXP('Model Inputs &amp; Assumptions'!$X$30*R1493-'Model Inputs &amp; Assumptions'!$X$30^2/2))</f>
        <v>0.00669214627905051</v>
      </c>
      <c r="G1493" s="45" t="n">
        <f aca="false">ROUND(C1493*F1493,0)</f>
        <v>640</v>
      </c>
      <c r="H1493" s="48" t="n">
        <f aca="false">MAX(0,(C1493*'Model Inputs &amp; Assumptions'!$N$30+E1493*'Model Inputs &amp; Assumptions'!$O$30+G1493*'Model Inputs &amp; Assumptions'!$P$30)*EXP('Model Inputs &amp; Assumptions'!$Q$30*S1493-'Model Inputs &amp; Assumptions'!$Q$30^2/2))</f>
        <v>39.8769780947805</v>
      </c>
      <c r="I1493" s="49" t="n">
        <f aca="false">IF('Model Inputs &amp; Assumptions'!$H$30="Fixed",'Model Inputs &amp; Assumptions'!$I$30*'Model Inputs &amp; Assumptions'!$K$30,IF('Model Inputs &amp; Assumptions'!$H$30="CPM",'Model Inputs &amp; Assumptions'!$I$30*'Model Inputs &amp; Assumptions'!$K$30*C1493/1000,IF('Model Inputs &amp; Assumptions'!$H$30="CPC",'Model Inputs &amp; Assumptions'!$I$30*'Model Inputs &amp; Assumptions'!$K$30*G1493,0)))</f>
        <v>6900</v>
      </c>
      <c r="J1493" s="50" t="n">
        <f aca="false">H1493*INDEX('Model Inputs &amp; Assumptions'!$D$40:$D$42,MATCH('Model Inputs &amp; Assumptions'!$L$30,'Model Inputs &amp; Assumptions'!$A$40:$A$42,0))*INDEX('Model Inputs &amp; Assumptions'!$H$40:$H$42,MATCH('Model Inputs &amp; Assumptions'!$L$30,'Model Inputs &amp; Assumptions'!$A$40:$A$42,0))</f>
        <v>287114.24228242</v>
      </c>
      <c r="K1493" s="49" t="n">
        <f aca="false">H1493*INDEX('Model Inputs &amp; Assumptions'!$G$40:$G$42,MATCH('Model Inputs &amp; Assumptions'!$L$30,'Model Inputs &amp; Assumptions'!$A$40:$A$42,0))*INDEX('Model Inputs &amp; Assumptions'!$H$40:$H$42,MATCH('Model Inputs &amp; Assumptions'!$L$30,'Model Inputs &amp; Assumptions'!$A$40:$A$42,0))</f>
        <v>6330.86904232736</v>
      </c>
      <c r="L1493" s="51" t="n">
        <f aca="false">IFERROR(K1493/I1493,0)</f>
        <v>0.917517252511211</v>
      </c>
      <c r="M1493" s="49" t="n">
        <f aca="false">IFERROR(I1493/H1493,0)</f>
        <v>173.032168676371</v>
      </c>
      <c r="N1493" s="52" t="str">
        <f aca="false">'Model Inputs &amp; Assumptions'!$L$30</f>
        <v>PRD-USIQ</v>
      </c>
      <c r="P1493" s="53" t="n">
        <v>0.753071</v>
      </c>
      <c r="Q1493" s="53" t="n">
        <v>-0.01978</v>
      </c>
      <c r="R1493" s="53" t="n">
        <v>-1.115046</v>
      </c>
      <c r="S1493" s="53" t="n">
        <v>-0.044204</v>
      </c>
    </row>
    <row r="1494" customFormat="false" ht="15" hidden="false" customHeight="false" outlineLevel="0" collapsed="false">
      <c r="A1494" s="43" t="n">
        <v>491</v>
      </c>
      <c r="B1494" s="44" t="str">
        <f aca="false">'Model Inputs &amp; Assumptions'!$B$30</f>
        <v>extraETF — Newsletter Takeover</v>
      </c>
      <c r="C1494" s="45" t="n">
        <f aca="false">ROUND(MAX(0,'Model Inputs &amp; Assumptions'!$S$30*EXP('Model Inputs &amp; Assumptions'!$T$30*P1494-'Model Inputs &amp; Assumptions'!$T$30^2/2)),0)</f>
        <v>107136</v>
      </c>
      <c r="D1494" s="46" t="n">
        <f aca="false">MIN(1,'Model Inputs &amp; Assumptions'!$U$30*EXP('Model Inputs &amp; Assumptions'!$V$30*Q1494-'Model Inputs &amp; Assumptions'!$V$30^2/2))</f>
        <v>0</v>
      </c>
      <c r="E1494" s="45" t="n">
        <f aca="false">ROUND(C1494*D1494,0)</f>
        <v>0</v>
      </c>
      <c r="F1494" s="47" t="n">
        <f aca="false">MIN(1,'Model Inputs &amp; Assumptions'!$W$30*EXP('Model Inputs &amp; Assumptions'!$X$30*R1494-'Model Inputs &amp; Assumptions'!$X$30^2/2))</f>
        <v>0.00859661603635793</v>
      </c>
      <c r="G1494" s="45" t="n">
        <f aca="false">ROUND(C1494*F1494,0)</f>
        <v>921</v>
      </c>
      <c r="H1494" s="48" t="n">
        <f aca="false">MAX(0,(C1494*'Model Inputs &amp; Assumptions'!$N$30+E1494*'Model Inputs &amp; Assumptions'!$O$30+G1494*'Model Inputs &amp; Assumptions'!$P$30)*EXP('Model Inputs &amp; Assumptions'!$Q$30*S1494-'Model Inputs &amp; Assumptions'!$Q$30^2/2))</f>
        <v>67.5131758878852</v>
      </c>
      <c r="I1494" s="49" t="n">
        <f aca="false">IF('Model Inputs &amp; Assumptions'!$H$30="Fixed",'Model Inputs &amp; Assumptions'!$I$30*'Model Inputs &amp; Assumptions'!$K$30,IF('Model Inputs &amp; Assumptions'!$H$30="CPM",'Model Inputs &amp; Assumptions'!$I$30*'Model Inputs &amp; Assumptions'!$K$30*C1494/1000,IF('Model Inputs &amp; Assumptions'!$H$30="CPC",'Model Inputs &amp; Assumptions'!$I$30*'Model Inputs &amp; Assumptions'!$K$30*G1494,0)))</f>
        <v>6900</v>
      </c>
      <c r="J1494" s="50" t="n">
        <f aca="false">H1494*INDEX('Model Inputs &amp; Assumptions'!$D$40:$D$42,MATCH('Model Inputs &amp; Assumptions'!$L$30,'Model Inputs &amp; Assumptions'!$A$40:$A$42,0))*INDEX('Model Inputs &amp; Assumptions'!$H$40:$H$42,MATCH('Model Inputs &amp; Assumptions'!$L$30,'Model Inputs &amp; Assumptions'!$A$40:$A$42,0))</f>
        <v>486094.866392773</v>
      </c>
      <c r="K1494" s="49" t="n">
        <f aca="false">H1494*INDEX('Model Inputs &amp; Assumptions'!$G$40:$G$42,MATCH('Model Inputs &amp; Assumptions'!$L$30,'Model Inputs &amp; Assumptions'!$A$40:$A$42,0))*INDEX('Model Inputs &amp; Assumptions'!$H$40:$H$42,MATCH('Model Inputs &amp; Assumptions'!$L$30,'Model Inputs &amp; Assumptions'!$A$40:$A$42,0))</f>
        <v>10718.3918039607</v>
      </c>
      <c r="L1494" s="51" t="n">
        <f aca="false">IFERROR(K1494/I1494,0)</f>
        <v>1.55339011651604</v>
      </c>
      <c r="M1494" s="49" t="n">
        <f aca="false">IFERROR(I1494/H1494,0)</f>
        <v>102.202272508382</v>
      </c>
      <c r="N1494" s="52" t="str">
        <f aca="false">'Model Inputs &amp; Assumptions'!$L$30</f>
        <v>PRD-USIQ</v>
      </c>
      <c r="P1494" s="53" t="n">
        <v>1.699694</v>
      </c>
      <c r="Q1494" s="53" t="n">
        <v>0.249317</v>
      </c>
      <c r="R1494" s="53" t="n">
        <v>0.554514</v>
      </c>
      <c r="S1494" s="53" t="n">
        <v>0.605923</v>
      </c>
    </row>
    <row r="1495" customFormat="false" ht="15" hidden="false" customHeight="false" outlineLevel="0" collapsed="false">
      <c r="A1495" s="43" t="n">
        <v>492</v>
      </c>
      <c r="B1495" s="44" t="str">
        <f aca="false">'Model Inputs &amp; Assumptions'!$B$30</f>
        <v>extraETF — Newsletter Takeover</v>
      </c>
      <c r="C1495" s="45" t="n">
        <f aca="false">ROUND(MAX(0,'Model Inputs &amp; Assumptions'!$S$30*EXP('Model Inputs &amp; Assumptions'!$T$30*P1495-'Model Inputs &amp; Assumptions'!$T$30^2/2)),0)</f>
        <v>84818</v>
      </c>
      <c r="D1495" s="46" t="n">
        <f aca="false">MIN(1,'Model Inputs &amp; Assumptions'!$U$30*EXP('Model Inputs &amp; Assumptions'!$V$30*Q1495-'Model Inputs &amp; Assumptions'!$V$30^2/2))</f>
        <v>0</v>
      </c>
      <c r="E1495" s="45" t="n">
        <f aca="false">ROUND(C1495*D1495,0)</f>
        <v>0</v>
      </c>
      <c r="F1495" s="47" t="n">
        <f aca="false">MIN(1,'Model Inputs &amp; Assumptions'!$W$30*EXP('Model Inputs &amp; Assumptions'!$X$30*R1495-'Model Inputs &amp; Assumptions'!$X$30^2/2))</f>
        <v>0.00986003424448325</v>
      </c>
      <c r="G1495" s="45" t="n">
        <f aca="false">ROUND(C1495*F1495,0)</f>
        <v>836</v>
      </c>
      <c r="H1495" s="48" t="n">
        <f aca="false">MAX(0,(C1495*'Model Inputs &amp; Assumptions'!$N$30+E1495*'Model Inputs &amp; Assumptions'!$O$30+G1495*'Model Inputs &amp; Assumptions'!$P$30)*EXP('Model Inputs &amp; Assumptions'!$Q$30*S1495-'Model Inputs &amp; Assumptions'!$Q$30^2/2))</f>
        <v>37.7198734961188</v>
      </c>
      <c r="I1495" s="49" t="n">
        <f aca="false">IF('Model Inputs &amp; Assumptions'!$H$30="Fixed",'Model Inputs &amp; Assumptions'!$I$30*'Model Inputs &amp; Assumptions'!$K$30,IF('Model Inputs &amp; Assumptions'!$H$30="CPM",'Model Inputs &amp; Assumptions'!$I$30*'Model Inputs &amp; Assumptions'!$K$30*C1495/1000,IF('Model Inputs &amp; Assumptions'!$H$30="CPC",'Model Inputs &amp; Assumptions'!$I$30*'Model Inputs &amp; Assumptions'!$K$30*G1495,0)))</f>
        <v>6900</v>
      </c>
      <c r="J1495" s="50" t="n">
        <f aca="false">H1495*INDEX('Model Inputs &amp; Assumptions'!$D$40:$D$42,MATCH('Model Inputs &amp; Assumptions'!$L$30,'Model Inputs &amp; Assumptions'!$A$40:$A$42,0))*INDEX('Model Inputs &amp; Assumptions'!$H$40:$H$42,MATCH('Model Inputs &amp; Assumptions'!$L$30,'Model Inputs &amp; Assumptions'!$A$40:$A$42,0))</f>
        <v>271583.089172056</v>
      </c>
      <c r="K1495" s="49" t="n">
        <f aca="false">H1495*INDEX('Model Inputs &amp; Assumptions'!$G$40:$G$42,MATCH('Model Inputs &amp; Assumptions'!$L$30,'Model Inputs &amp; Assumptions'!$A$40:$A$42,0))*INDEX('Model Inputs &amp; Assumptions'!$H$40:$H$42,MATCH('Model Inputs &amp; Assumptions'!$L$30,'Model Inputs &amp; Assumptions'!$A$40:$A$42,0))</f>
        <v>5988.40711624382</v>
      </c>
      <c r="L1495" s="51" t="n">
        <f aca="false">IFERROR(K1495/I1495,0)</f>
        <v>0.867885089310699</v>
      </c>
      <c r="M1495" s="49" t="n">
        <f aca="false">IFERROR(I1495/H1495,0)</f>
        <v>182.927442763295</v>
      </c>
      <c r="N1495" s="52" t="str">
        <f aca="false">'Model Inputs &amp; Assumptions'!$L$30</f>
        <v>PRD-USIQ</v>
      </c>
      <c r="P1495" s="53" t="n">
        <v>-0.246894</v>
      </c>
      <c r="Q1495" s="53" t="n">
        <v>0.436405</v>
      </c>
      <c r="R1495" s="53" t="n">
        <v>1.468654</v>
      </c>
      <c r="S1495" s="53" t="n">
        <v>-1.335294</v>
      </c>
    </row>
    <row r="1496" customFormat="false" ht="15" hidden="false" customHeight="false" outlineLevel="0" collapsed="false">
      <c r="A1496" s="43" t="n">
        <v>493</v>
      </c>
      <c r="B1496" s="44" t="str">
        <f aca="false">'Model Inputs &amp; Assumptions'!$B$30</f>
        <v>extraETF — Newsletter Takeover</v>
      </c>
      <c r="C1496" s="45" t="n">
        <f aca="false">ROUND(MAX(0,'Model Inputs &amp; Assumptions'!$S$30*EXP('Model Inputs &amp; Assumptions'!$T$30*P1496-'Model Inputs &amp; Assumptions'!$T$30^2/2)),0)</f>
        <v>78722</v>
      </c>
      <c r="D1496" s="46" t="n">
        <f aca="false">MIN(1,'Model Inputs &amp; Assumptions'!$U$30*EXP('Model Inputs &amp; Assumptions'!$V$30*Q1496-'Model Inputs &amp; Assumptions'!$V$30^2/2))</f>
        <v>0</v>
      </c>
      <c r="E1496" s="45" t="n">
        <f aca="false">ROUND(C1496*D1496,0)</f>
        <v>0</v>
      </c>
      <c r="F1496" s="47" t="n">
        <f aca="false">MIN(1,'Model Inputs &amp; Assumptions'!$W$30*EXP('Model Inputs &amp; Assumptions'!$X$30*R1496-'Model Inputs &amp; Assumptions'!$X$30^2/2))</f>
        <v>0.00866860121604294</v>
      </c>
      <c r="G1496" s="45" t="n">
        <f aca="false">ROUND(C1496*F1496,0)</f>
        <v>682</v>
      </c>
      <c r="H1496" s="48" t="n">
        <f aca="false">MAX(0,(C1496*'Model Inputs &amp; Assumptions'!$N$30+E1496*'Model Inputs &amp; Assumptions'!$O$30+G1496*'Model Inputs &amp; Assumptions'!$P$30)*EXP('Model Inputs &amp; Assumptions'!$Q$30*S1496-'Model Inputs &amp; Assumptions'!$Q$30^2/2))</f>
        <v>32.2152244158308</v>
      </c>
      <c r="I1496" s="49" t="n">
        <f aca="false">IF('Model Inputs &amp; Assumptions'!$H$30="Fixed",'Model Inputs &amp; Assumptions'!$I$30*'Model Inputs &amp; Assumptions'!$K$30,IF('Model Inputs &amp; Assumptions'!$H$30="CPM",'Model Inputs &amp; Assumptions'!$I$30*'Model Inputs &amp; Assumptions'!$K$30*C1496/1000,IF('Model Inputs &amp; Assumptions'!$H$30="CPC",'Model Inputs &amp; Assumptions'!$I$30*'Model Inputs &amp; Assumptions'!$K$30*G1496,0)))</f>
        <v>6900</v>
      </c>
      <c r="J1496" s="50" t="n">
        <f aca="false">H1496*INDEX('Model Inputs &amp; Assumptions'!$D$40:$D$42,MATCH('Model Inputs &amp; Assumptions'!$L$30,'Model Inputs &amp; Assumptions'!$A$40:$A$42,0))*INDEX('Model Inputs &amp; Assumptions'!$H$40:$H$42,MATCH('Model Inputs &amp; Assumptions'!$L$30,'Model Inputs &amp; Assumptions'!$A$40:$A$42,0))</f>
        <v>231949.615793982</v>
      </c>
      <c r="K1496" s="49" t="n">
        <f aca="false">H1496*INDEX('Model Inputs &amp; Assumptions'!$G$40:$G$42,MATCH('Model Inputs &amp; Assumptions'!$L$30,'Model Inputs &amp; Assumptions'!$A$40:$A$42,0))*INDEX('Model Inputs &amp; Assumptions'!$H$40:$H$42,MATCH('Model Inputs &amp; Assumptions'!$L$30,'Model Inputs &amp; Assumptions'!$A$40:$A$42,0))</f>
        <v>5114.4890282573</v>
      </c>
      <c r="L1496" s="51" t="n">
        <f aca="false">IFERROR(K1496/I1496,0)</f>
        <v>0.741230293950334</v>
      </c>
      <c r="M1496" s="49" t="n">
        <f aca="false">IFERROR(I1496/H1496,0)</f>
        <v>214.184446177854</v>
      </c>
      <c r="N1496" s="52" t="str">
        <f aca="false">'Model Inputs &amp; Assumptions'!$L$30</f>
        <v>PRD-USIQ</v>
      </c>
      <c r="P1496" s="53" t="n">
        <v>-0.868495</v>
      </c>
      <c r="Q1496" s="53" t="n">
        <v>-0.250829</v>
      </c>
      <c r="R1496" s="53" t="n">
        <v>0.610106</v>
      </c>
      <c r="S1496" s="53" t="n">
        <v>-1.15189</v>
      </c>
    </row>
    <row r="1497" customFormat="false" ht="15" hidden="false" customHeight="false" outlineLevel="0" collapsed="false">
      <c r="A1497" s="43" t="n">
        <v>494</v>
      </c>
      <c r="B1497" s="44" t="str">
        <f aca="false">'Model Inputs &amp; Assumptions'!$B$30</f>
        <v>extraETF — Newsletter Takeover</v>
      </c>
      <c r="C1497" s="45" t="n">
        <f aca="false">ROUND(MAX(0,'Model Inputs &amp; Assumptions'!$S$30*EXP('Model Inputs &amp; Assumptions'!$T$30*P1497-'Model Inputs &amp; Assumptions'!$T$30^2/2)),0)</f>
        <v>95454</v>
      </c>
      <c r="D1497" s="46" t="n">
        <f aca="false">MIN(1,'Model Inputs &amp; Assumptions'!$U$30*EXP('Model Inputs &amp; Assumptions'!$V$30*Q1497-'Model Inputs &amp; Assumptions'!$V$30^2/2))</f>
        <v>0</v>
      </c>
      <c r="E1497" s="45" t="n">
        <f aca="false">ROUND(C1497*D1497,0)</f>
        <v>0</v>
      </c>
      <c r="F1497" s="47" t="n">
        <f aca="false">MIN(1,'Model Inputs &amp; Assumptions'!$W$30*EXP('Model Inputs &amp; Assumptions'!$X$30*R1497-'Model Inputs &amp; Assumptions'!$X$30^2/2))</f>
        <v>0.00939959113148891</v>
      </c>
      <c r="G1497" s="45" t="n">
        <f aca="false">ROUND(C1497*F1497,0)</f>
        <v>897</v>
      </c>
      <c r="H1497" s="48" t="n">
        <f aca="false">MAX(0,(C1497*'Model Inputs &amp; Assumptions'!$N$30+E1497*'Model Inputs &amp; Assumptions'!$O$30+G1497*'Model Inputs &amp; Assumptions'!$P$30)*EXP('Model Inputs &amp; Assumptions'!$Q$30*S1497-'Model Inputs &amp; Assumptions'!$Q$30^2/2))</f>
        <v>37.3807682022132</v>
      </c>
      <c r="I1497" s="49" t="n">
        <f aca="false">IF('Model Inputs &amp; Assumptions'!$H$30="Fixed",'Model Inputs &amp; Assumptions'!$I$30*'Model Inputs &amp; Assumptions'!$K$30,IF('Model Inputs &amp; Assumptions'!$H$30="CPM",'Model Inputs &amp; Assumptions'!$I$30*'Model Inputs &amp; Assumptions'!$K$30*C1497/1000,IF('Model Inputs &amp; Assumptions'!$H$30="CPC",'Model Inputs &amp; Assumptions'!$I$30*'Model Inputs &amp; Assumptions'!$K$30*G1497,0)))</f>
        <v>6900</v>
      </c>
      <c r="J1497" s="50" t="n">
        <f aca="false">H1497*INDEX('Model Inputs &amp; Assumptions'!$D$40:$D$42,MATCH('Model Inputs &amp; Assumptions'!$L$30,'Model Inputs &amp; Assumptions'!$A$40:$A$42,0))*INDEX('Model Inputs &amp; Assumptions'!$H$40:$H$42,MATCH('Model Inputs &amp; Assumptions'!$L$30,'Model Inputs &amp; Assumptions'!$A$40:$A$42,0))</f>
        <v>269141.531055935</v>
      </c>
      <c r="K1497" s="49" t="n">
        <f aca="false">H1497*INDEX('Model Inputs &amp; Assumptions'!$G$40:$G$42,MATCH('Model Inputs &amp; Assumptions'!$L$30,'Model Inputs &amp; Assumptions'!$A$40:$A$42,0))*INDEX('Model Inputs &amp; Assumptions'!$H$40:$H$42,MATCH('Model Inputs &amp; Assumptions'!$L$30,'Model Inputs &amp; Assumptions'!$A$40:$A$42,0))</f>
        <v>5934.57075978337</v>
      </c>
      <c r="L1497" s="51" t="n">
        <f aca="false">IFERROR(K1497/I1497,0)</f>
        <v>0.860082718809184</v>
      </c>
      <c r="M1497" s="49" t="n">
        <f aca="false">IFERROR(I1497/H1497,0)</f>
        <v>184.586896734548</v>
      </c>
      <c r="N1497" s="52" t="str">
        <f aca="false">'Model Inputs &amp; Assumptions'!$L$30</f>
        <v>PRD-USIQ</v>
      </c>
      <c r="P1497" s="53" t="n">
        <v>0.73754</v>
      </c>
      <c r="Q1497" s="53" t="n">
        <v>-1.200865</v>
      </c>
      <c r="R1497" s="53" t="n">
        <v>1.149831</v>
      </c>
      <c r="S1497" s="53" t="n">
        <v>-1.653126</v>
      </c>
    </row>
    <row r="1498" customFormat="false" ht="15" hidden="false" customHeight="false" outlineLevel="0" collapsed="false">
      <c r="A1498" s="43" t="n">
        <v>495</v>
      </c>
      <c r="B1498" s="44" t="str">
        <f aca="false">'Model Inputs &amp; Assumptions'!$B$30</f>
        <v>extraETF — Newsletter Takeover</v>
      </c>
      <c r="C1498" s="45" t="n">
        <f aca="false">ROUND(MAX(0,'Model Inputs &amp; Assumptions'!$S$30*EXP('Model Inputs &amp; Assumptions'!$T$30*P1498-'Model Inputs &amp; Assumptions'!$T$30^2/2)),0)</f>
        <v>96092</v>
      </c>
      <c r="D1498" s="46" t="n">
        <f aca="false">MIN(1,'Model Inputs &amp; Assumptions'!$U$30*EXP('Model Inputs &amp; Assumptions'!$V$30*Q1498-'Model Inputs &amp; Assumptions'!$V$30^2/2))</f>
        <v>0</v>
      </c>
      <c r="E1498" s="45" t="n">
        <f aca="false">ROUND(C1498*D1498,0)</f>
        <v>0</v>
      </c>
      <c r="F1498" s="47" t="n">
        <f aca="false">MIN(1,'Model Inputs &amp; Assumptions'!$W$30*EXP('Model Inputs &amp; Assumptions'!$X$30*R1498-'Model Inputs &amp; Assumptions'!$X$30^2/2))</f>
        <v>0.00634189609075611</v>
      </c>
      <c r="G1498" s="45" t="n">
        <f aca="false">ROUND(C1498*F1498,0)</f>
        <v>609</v>
      </c>
      <c r="H1498" s="48" t="n">
        <f aca="false">MAX(0,(C1498*'Model Inputs &amp; Assumptions'!$N$30+E1498*'Model Inputs &amp; Assumptions'!$O$30+G1498*'Model Inputs &amp; Assumptions'!$P$30)*EXP('Model Inputs &amp; Assumptions'!$Q$30*S1498-'Model Inputs &amp; Assumptions'!$Q$30^2/2))</f>
        <v>36.5081038277594</v>
      </c>
      <c r="I1498" s="49" t="n">
        <f aca="false">IF('Model Inputs &amp; Assumptions'!$H$30="Fixed",'Model Inputs &amp; Assumptions'!$I$30*'Model Inputs &amp; Assumptions'!$K$30,IF('Model Inputs &amp; Assumptions'!$H$30="CPM",'Model Inputs &amp; Assumptions'!$I$30*'Model Inputs &amp; Assumptions'!$K$30*C1498/1000,IF('Model Inputs &amp; Assumptions'!$H$30="CPC",'Model Inputs &amp; Assumptions'!$I$30*'Model Inputs &amp; Assumptions'!$K$30*G1498,0)))</f>
        <v>6900</v>
      </c>
      <c r="J1498" s="50" t="n">
        <f aca="false">H1498*INDEX('Model Inputs &amp; Assumptions'!$D$40:$D$42,MATCH('Model Inputs &amp; Assumptions'!$L$30,'Model Inputs &amp; Assumptions'!$A$40:$A$42,0))*INDEX('Model Inputs &amp; Assumptions'!$H$40:$H$42,MATCH('Model Inputs &amp; Assumptions'!$L$30,'Model Inputs &amp; Assumptions'!$A$40:$A$42,0))</f>
        <v>262858.347559867</v>
      </c>
      <c r="K1498" s="49" t="n">
        <f aca="false">H1498*INDEX('Model Inputs &amp; Assumptions'!$G$40:$G$42,MATCH('Model Inputs &amp; Assumptions'!$L$30,'Model Inputs &amp; Assumptions'!$A$40:$A$42,0))*INDEX('Model Inputs &amp; Assumptions'!$H$40:$H$42,MATCH('Model Inputs &amp; Assumptions'!$L$30,'Model Inputs &amp; Assumptions'!$A$40:$A$42,0))</f>
        <v>5796.02656369508</v>
      </c>
      <c r="L1498" s="51" t="n">
        <f aca="false">IFERROR(K1498/I1498,0)</f>
        <v>0.840003849810881</v>
      </c>
      <c r="M1498" s="49" t="n">
        <f aca="false">IFERROR(I1498/H1498,0)</f>
        <v>188.999133796522</v>
      </c>
      <c r="N1498" s="52" t="str">
        <f aca="false">'Model Inputs &amp; Assumptions'!$L$30</f>
        <v>PRD-USIQ</v>
      </c>
      <c r="P1498" s="53" t="n">
        <v>0.793076</v>
      </c>
      <c r="Q1498" s="53" t="n">
        <v>-0.961791</v>
      </c>
      <c r="R1498" s="53" t="n">
        <v>-1.473425</v>
      </c>
      <c r="S1498" s="53" t="n">
        <v>-0.198664</v>
      </c>
    </row>
    <row r="1499" customFormat="false" ht="15" hidden="false" customHeight="false" outlineLevel="0" collapsed="false">
      <c r="A1499" s="43" t="n">
        <v>496</v>
      </c>
      <c r="B1499" s="44" t="str">
        <f aca="false">'Model Inputs &amp; Assumptions'!$B$30</f>
        <v>extraETF — Newsletter Takeover</v>
      </c>
      <c r="C1499" s="45" t="n">
        <f aca="false">ROUND(MAX(0,'Model Inputs &amp; Assumptions'!$S$30*EXP('Model Inputs &amp; Assumptions'!$T$30*P1499-'Model Inputs &amp; Assumptions'!$T$30^2/2)),0)</f>
        <v>96467</v>
      </c>
      <c r="D1499" s="46" t="n">
        <f aca="false">MIN(1,'Model Inputs &amp; Assumptions'!$U$30*EXP('Model Inputs &amp; Assumptions'!$V$30*Q1499-'Model Inputs &amp; Assumptions'!$V$30^2/2))</f>
        <v>0</v>
      </c>
      <c r="E1499" s="45" t="n">
        <f aca="false">ROUND(C1499*D1499,0)</f>
        <v>0</v>
      </c>
      <c r="F1499" s="47" t="n">
        <f aca="false">MIN(1,'Model Inputs &amp; Assumptions'!$W$30*EXP('Model Inputs &amp; Assumptions'!$X$30*R1499-'Model Inputs &amp; Assumptions'!$X$30^2/2))</f>
        <v>0.00749774449775249</v>
      </c>
      <c r="G1499" s="45" t="n">
        <f aca="false">ROUND(C1499*F1499,0)</f>
        <v>723</v>
      </c>
      <c r="H1499" s="48" t="n">
        <f aca="false">MAX(0,(C1499*'Model Inputs &amp; Assumptions'!$N$30+E1499*'Model Inputs &amp; Assumptions'!$O$30+G1499*'Model Inputs &amp; Assumptions'!$P$30)*EXP('Model Inputs &amp; Assumptions'!$Q$30*S1499-'Model Inputs &amp; Assumptions'!$Q$30^2/2))</f>
        <v>37.2259914825479</v>
      </c>
      <c r="I1499" s="49" t="n">
        <f aca="false">IF('Model Inputs &amp; Assumptions'!$H$30="Fixed",'Model Inputs &amp; Assumptions'!$I$30*'Model Inputs &amp; Assumptions'!$K$30,IF('Model Inputs &amp; Assumptions'!$H$30="CPM",'Model Inputs &amp; Assumptions'!$I$30*'Model Inputs &amp; Assumptions'!$K$30*C1499/1000,IF('Model Inputs &amp; Assumptions'!$H$30="CPC",'Model Inputs &amp; Assumptions'!$I$30*'Model Inputs &amp; Assumptions'!$K$30*G1499,0)))</f>
        <v>6900</v>
      </c>
      <c r="J1499" s="50" t="n">
        <f aca="false">H1499*INDEX('Model Inputs &amp; Assumptions'!$D$40:$D$42,MATCH('Model Inputs &amp; Assumptions'!$L$30,'Model Inputs &amp; Assumptions'!$A$40:$A$42,0))*INDEX('Model Inputs &amp; Assumptions'!$H$40:$H$42,MATCH('Model Inputs &amp; Assumptions'!$L$30,'Model Inputs &amp; Assumptions'!$A$40:$A$42,0))</f>
        <v>268027.138674345</v>
      </c>
      <c r="K1499" s="49" t="n">
        <f aca="false">H1499*INDEX('Model Inputs &amp; Assumptions'!$G$40:$G$42,MATCH('Model Inputs &amp; Assumptions'!$L$30,'Model Inputs &amp; Assumptions'!$A$40:$A$42,0))*INDEX('Model Inputs &amp; Assumptions'!$H$40:$H$42,MATCH('Model Inputs &amp; Assumptions'!$L$30,'Model Inputs &amp; Assumptions'!$A$40:$A$42,0))</f>
        <v>5909.9984077693</v>
      </c>
      <c r="L1499" s="51" t="n">
        <f aca="false">IFERROR(K1499/I1499,0)</f>
        <v>0.856521508372362</v>
      </c>
      <c r="M1499" s="49" t="n">
        <f aca="false">IFERROR(I1499/H1499,0)</f>
        <v>185.354364657684</v>
      </c>
      <c r="N1499" s="52" t="str">
        <f aca="false">'Model Inputs &amp; Assumptions'!$L$30</f>
        <v>PRD-USIQ</v>
      </c>
      <c r="P1499" s="53" t="n">
        <v>0.825524</v>
      </c>
      <c r="Q1499" s="53" t="n">
        <v>-0.983828</v>
      </c>
      <c r="R1499" s="53" t="n">
        <v>-0.357262</v>
      </c>
      <c r="S1499" s="53" t="n">
        <v>-0.807136</v>
      </c>
    </row>
    <row r="1500" customFormat="false" ht="15" hidden="false" customHeight="false" outlineLevel="0" collapsed="false">
      <c r="A1500" s="43" t="n">
        <v>497</v>
      </c>
      <c r="B1500" s="44" t="str">
        <f aca="false">'Model Inputs &amp; Assumptions'!$B$30</f>
        <v>extraETF — Newsletter Takeover</v>
      </c>
      <c r="C1500" s="45" t="n">
        <f aca="false">ROUND(MAX(0,'Model Inputs &amp; Assumptions'!$S$30*EXP('Model Inputs &amp; Assumptions'!$T$30*P1500-'Model Inputs &amp; Assumptions'!$T$30^2/2)),0)</f>
        <v>110815</v>
      </c>
      <c r="D1500" s="46" t="n">
        <f aca="false">MIN(1,'Model Inputs &amp; Assumptions'!$U$30*EXP('Model Inputs &amp; Assumptions'!$V$30*Q1500-'Model Inputs &amp; Assumptions'!$V$30^2/2))</f>
        <v>0</v>
      </c>
      <c r="E1500" s="45" t="n">
        <f aca="false">ROUND(C1500*D1500,0)</f>
        <v>0</v>
      </c>
      <c r="F1500" s="47" t="n">
        <f aca="false">MIN(1,'Model Inputs &amp; Assumptions'!$W$30*EXP('Model Inputs &amp; Assumptions'!$X$30*R1500-'Model Inputs &amp; Assumptions'!$X$30^2/2))</f>
        <v>0.00816901910992828</v>
      </c>
      <c r="G1500" s="45" t="n">
        <f aca="false">ROUND(C1500*F1500,0)</f>
        <v>905</v>
      </c>
      <c r="H1500" s="48" t="n">
        <f aca="false">MAX(0,(C1500*'Model Inputs &amp; Assumptions'!$N$30+E1500*'Model Inputs &amp; Assumptions'!$O$30+G1500*'Model Inputs &amp; Assumptions'!$P$30)*EXP('Model Inputs &amp; Assumptions'!$Q$30*S1500-'Model Inputs &amp; Assumptions'!$Q$30^2/2))</f>
        <v>43.611731471681</v>
      </c>
      <c r="I1500" s="49" t="n">
        <f aca="false">IF('Model Inputs &amp; Assumptions'!$H$30="Fixed",'Model Inputs &amp; Assumptions'!$I$30*'Model Inputs &amp; Assumptions'!$K$30,IF('Model Inputs &amp; Assumptions'!$H$30="CPM",'Model Inputs &amp; Assumptions'!$I$30*'Model Inputs &amp; Assumptions'!$K$30*C1500/1000,IF('Model Inputs &amp; Assumptions'!$H$30="CPC",'Model Inputs &amp; Assumptions'!$I$30*'Model Inputs &amp; Assumptions'!$K$30*G1500,0)))</f>
        <v>6900</v>
      </c>
      <c r="J1500" s="50" t="n">
        <f aca="false">H1500*INDEX('Model Inputs &amp; Assumptions'!$D$40:$D$42,MATCH('Model Inputs &amp; Assumptions'!$L$30,'Model Inputs &amp; Assumptions'!$A$40:$A$42,0))*INDEX('Model Inputs &amp; Assumptions'!$H$40:$H$42,MATCH('Model Inputs &amp; Assumptions'!$L$30,'Model Inputs &amp; Assumptions'!$A$40:$A$42,0))</f>
        <v>314004.466596103</v>
      </c>
      <c r="K1500" s="49" t="n">
        <f aca="false">H1500*INDEX('Model Inputs &amp; Assumptions'!$G$40:$G$42,MATCH('Model Inputs &amp; Assumptions'!$L$30,'Model Inputs &amp; Assumptions'!$A$40:$A$42,0))*INDEX('Model Inputs &amp; Assumptions'!$H$40:$H$42,MATCH('Model Inputs &amp; Assumptions'!$L$30,'Model Inputs &amp; Assumptions'!$A$40:$A$42,0))</f>
        <v>6923.79848844408</v>
      </c>
      <c r="L1500" s="51" t="n">
        <f aca="false">IFERROR(K1500/I1500,0)</f>
        <v>1.00344905629624</v>
      </c>
      <c r="M1500" s="49" t="n">
        <f aca="false">IFERROR(I1500/H1500,0)</f>
        <v>158.214309938152</v>
      </c>
      <c r="N1500" s="52" t="str">
        <f aca="false">'Model Inputs &amp; Assumptions'!$L$30</f>
        <v>PRD-USIQ</v>
      </c>
      <c r="P1500" s="53" t="n">
        <v>1.981049</v>
      </c>
      <c r="Q1500" s="53" t="n">
        <v>1.017985</v>
      </c>
      <c r="R1500" s="53" t="n">
        <v>0.214382</v>
      </c>
      <c r="S1500" s="53" t="n">
        <v>-1.071963</v>
      </c>
    </row>
    <row r="1501" customFormat="false" ht="15" hidden="false" customHeight="false" outlineLevel="0" collapsed="false">
      <c r="A1501" s="43" t="n">
        <v>498</v>
      </c>
      <c r="B1501" s="44" t="str">
        <f aca="false">'Model Inputs &amp; Assumptions'!$B$30</f>
        <v>extraETF — Newsletter Takeover</v>
      </c>
      <c r="C1501" s="45" t="n">
        <f aca="false">ROUND(MAX(0,'Model Inputs &amp; Assumptions'!$S$30*EXP('Model Inputs &amp; Assumptions'!$T$30*P1501-'Model Inputs &amp; Assumptions'!$T$30^2/2)),0)</f>
        <v>100155</v>
      </c>
      <c r="D1501" s="46" t="n">
        <f aca="false">MIN(1,'Model Inputs &amp; Assumptions'!$U$30*EXP('Model Inputs &amp; Assumptions'!$V$30*Q1501-'Model Inputs &amp; Assumptions'!$V$30^2/2))</f>
        <v>0</v>
      </c>
      <c r="E1501" s="45" t="n">
        <f aca="false">ROUND(C1501*D1501,0)</f>
        <v>0</v>
      </c>
      <c r="F1501" s="47" t="n">
        <f aca="false">MIN(1,'Model Inputs &amp; Assumptions'!$W$30*EXP('Model Inputs &amp; Assumptions'!$X$30*R1501-'Model Inputs &amp; Assumptions'!$X$30^2/2))</f>
        <v>0.0093359178127117</v>
      </c>
      <c r="G1501" s="45" t="n">
        <f aca="false">ROUND(C1501*F1501,0)</f>
        <v>935</v>
      </c>
      <c r="H1501" s="48" t="n">
        <f aca="false">MAX(0,(C1501*'Model Inputs &amp; Assumptions'!$N$30+E1501*'Model Inputs &amp; Assumptions'!$O$30+G1501*'Model Inputs &amp; Assumptions'!$P$30)*EXP('Model Inputs &amp; Assumptions'!$Q$30*S1501-'Model Inputs &amp; Assumptions'!$Q$30^2/2))</f>
        <v>61.0072689508225</v>
      </c>
      <c r="I1501" s="49" t="n">
        <f aca="false">IF('Model Inputs &amp; Assumptions'!$H$30="Fixed",'Model Inputs &amp; Assumptions'!$I$30*'Model Inputs &amp; Assumptions'!$K$30,IF('Model Inputs &amp; Assumptions'!$H$30="CPM",'Model Inputs &amp; Assumptions'!$I$30*'Model Inputs &amp; Assumptions'!$K$30*C1501/1000,IF('Model Inputs &amp; Assumptions'!$H$30="CPC",'Model Inputs &amp; Assumptions'!$I$30*'Model Inputs &amp; Assumptions'!$K$30*G1501,0)))</f>
        <v>6900</v>
      </c>
      <c r="J1501" s="50" t="n">
        <f aca="false">H1501*INDEX('Model Inputs &amp; Assumptions'!$D$40:$D$42,MATCH('Model Inputs &amp; Assumptions'!$L$30,'Model Inputs &amp; Assumptions'!$A$40:$A$42,0))*INDEX('Model Inputs &amp; Assumptions'!$H$40:$H$42,MATCH('Model Inputs &amp; Assumptions'!$L$30,'Model Inputs &amp; Assumptions'!$A$40:$A$42,0))</f>
        <v>439252.336445922</v>
      </c>
      <c r="K1501" s="49" t="n">
        <f aca="false">H1501*INDEX('Model Inputs &amp; Assumptions'!$G$40:$G$42,MATCH('Model Inputs &amp; Assumptions'!$L$30,'Model Inputs &amp; Assumptions'!$A$40:$A$42,0))*INDEX('Model Inputs &amp; Assumptions'!$H$40:$H$42,MATCH('Model Inputs &amp; Assumptions'!$L$30,'Model Inputs &amp; Assumptions'!$A$40:$A$42,0))</f>
        <v>9685.51401863258</v>
      </c>
      <c r="L1501" s="51" t="n">
        <f aca="false">IFERROR(K1501/I1501,0)</f>
        <v>1.40369768385979</v>
      </c>
      <c r="M1501" s="49" t="n">
        <f aca="false">IFERROR(I1501/H1501,0)</f>
        <v>113.101276596434</v>
      </c>
      <c r="N1501" s="52" t="str">
        <f aca="false">'Model Inputs &amp; Assumptions'!$L$30</f>
        <v>PRD-USIQ</v>
      </c>
      <c r="P1501" s="53" t="n">
        <v>1.138177</v>
      </c>
      <c r="Q1501" s="53" t="n">
        <v>0.970142</v>
      </c>
      <c r="R1501" s="53" t="n">
        <v>1.104517</v>
      </c>
      <c r="S1501" s="53" t="n">
        <v>0.140258</v>
      </c>
    </row>
    <row r="1502" customFormat="false" ht="15" hidden="false" customHeight="false" outlineLevel="0" collapsed="false">
      <c r="A1502" s="43" t="n">
        <v>499</v>
      </c>
      <c r="B1502" s="44" t="str">
        <f aca="false">'Model Inputs &amp; Assumptions'!$B$30</f>
        <v>extraETF — Newsletter Takeover</v>
      </c>
      <c r="C1502" s="45" t="n">
        <f aca="false">ROUND(MAX(0,'Model Inputs &amp; Assumptions'!$S$30*EXP('Model Inputs &amp; Assumptions'!$T$30*P1502-'Model Inputs &amp; Assumptions'!$T$30^2/2)),0)</f>
        <v>79967</v>
      </c>
      <c r="D1502" s="46" t="n">
        <f aca="false">MIN(1,'Model Inputs &amp; Assumptions'!$U$30*EXP('Model Inputs &amp; Assumptions'!$V$30*Q1502-'Model Inputs &amp; Assumptions'!$V$30^2/2))</f>
        <v>0</v>
      </c>
      <c r="E1502" s="45" t="n">
        <f aca="false">ROUND(C1502*D1502,0)</f>
        <v>0</v>
      </c>
      <c r="F1502" s="47" t="n">
        <f aca="false">MIN(1,'Model Inputs &amp; Assumptions'!$W$30*EXP('Model Inputs &amp; Assumptions'!$X$30*R1502-'Model Inputs &amp; Assumptions'!$X$30^2/2))</f>
        <v>0.00795684123782615</v>
      </c>
      <c r="G1502" s="45" t="n">
        <f aca="false">ROUND(C1502*F1502,0)</f>
        <v>636</v>
      </c>
      <c r="H1502" s="48" t="n">
        <f aca="false">MAX(0,(C1502*'Model Inputs &amp; Assumptions'!$N$30+E1502*'Model Inputs &amp; Assumptions'!$O$30+G1502*'Model Inputs &amp; Assumptions'!$P$30)*EXP('Model Inputs &amp; Assumptions'!$Q$30*S1502-'Model Inputs &amp; Assumptions'!$Q$30^2/2))</f>
        <v>36.9481952900295</v>
      </c>
      <c r="I1502" s="49" t="n">
        <f aca="false">IF('Model Inputs &amp; Assumptions'!$H$30="Fixed",'Model Inputs &amp; Assumptions'!$I$30*'Model Inputs &amp; Assumptions'!$K$30,IF('Model Inputs &amp; Assumptions'!$H$30="CPM",'Model Inputs &amp; Assumptions'!$I$30*'Model Inputs &amp; Assumptions'!$K$30*C1502/1000,IF('Model Inputs &amp; Assumptions'!$H$30="CPC",'Model Inputs &amp; Assumptions'!$I$30*'Model Inputs &amp; Assumptions'!$K$30*G1502,0)))</f>
        <v>6900</v>
      </c>
      <c r="J1502" s="50" t="n">
        <f aca="false">H1502*INDEX('Model Inputs &amp; Assumptions'!$D$40:$D$42,MATCH('Model Inputs &amp; Assumptions'!$L$30,'Model Inputs &amp; Assumptions'!$A$40:$A$42,0))*INDEX('Model Inputs &amp; Assumptions'!$H$40:$H$42,MATCH('Model Inputs &amp; Assumptions'!$L$30,'Model Inputs &amp; Assumptions'!$A$40:$A$42,0))</f>
        <v>266027.006088212</v>
      </c>
      <c r="K1502" s="49" t="n">
        <f aca="false">H1502*INDEX('Model Inputs &amp; Assumptions'!$G$40:$G$42,MATCH('Model Inputs &amp; Assumptions'!$L$30,'Model Inputs &amp; Assumptions'!$A$40:$A$42,0))*INDEX('Model Inputs &amp; Assumptions'!$H$40:$H$42,MATCH('Model Inputs &amp; Assumptions'!$L$30,'Model Inputs &amp; Assumptions'!$A$40:$A$42,0))</f>
        <v>5865.89548424508</v>
      </c>
      <c r="L1502" s="51" t="n">
        <f aca="false">IFERROR(K1502/I1502,0)</f>
        <v>0.850129780325374</v>
      </c>
      <c r="M1502" s="49" t="n">
        <f aca="false">IFERROR(I1502/H1502,0)</f>
        <v>186.747957399207</v>
      </c>
      <c r="N1502" s="52" t="str">
        <f aca="false">'Model Inputs &amp; Assumptions'!$L$30</f>
        <v>PRD-USIQ</v>
      </c>
      <c r="P1502" s="53" t="n">
        <v>-0.737653</v>
      </c>
      <c r="Q1502" s="53" t="n">
        <v>1.544493</v>
      </c>
      <c r="R1502" s="53" t="n">
        <v>0.038937</v>
      </c>
      <c r="S1502" s="53" t="n">
        <v>-0.324255</v>
      </c>
    </row>
    <row r="1503" customFormat="false" ht="15" hidden="false" customHeight="false" outlineLevel="0" collapsed="false">
      <c r="A1503" s="43" t="n">
        <v>500</v>
      </c>
      <c r="B1503" s="44" t="str">
        <f aca="false">'Model Inputs &amp; Assumptions'!$B$30</f>
        <v>extraETF — Newsletter Takeover</v>
      </c>
      <c r="C1503" s="45" t="n">
        <f aca="false">ROUND(MAX(0,'Model Inputs &amp; Assumptions'!$S$30*EXP('Model Inputs &amp; Assumptions'!$T$30*P1503-'Model Inputs &amp; Assumptions'!$T$30^2/2)),0)</f>
        <v>74178</v>
      </c>
      <c r="D1503" s="46" t="n">
        <f aca="false">MIN(1,'Model Inputs &amp; Assumptions'!$U$30*EXP('Model Inputs &amp; Assumptions'!$V$30*Q1503-'Model Inputs &amp; Assumptions'!$V$30^2/2))</f>
        <v>0</v>
      </c>
      <c r="E1503" s="45" t="n">
        <f aca="false">ROUND(C1503*D1503,0)</f>
        <v>0</v>
      </c>
      <c r="F1503" s="47" t="n">
        <f aca="false">MIN(1,'Model Inputs &amp; Assumptions'!$W$30*EXP('Model Inputs &amp; Assumptions'!$X$30*R1503-'Model Inputs &amp; Assumptions'!$X$30^2/2))</f>
        <v>0.00713726601301534</v>
      </c>
      <c r="G1503" s="45" t="n">
        <f aca="false">ROUND(C1503*F1503,0)</f>
        <v>529</v>
      </c>
      <c r="H1503" s="48" t="n">
        <f aca="false">MAX(0,(C1503*'Model Inputs &amp; Assumptions'!$N$30+E1503*'Model Inputs &amp; Assumptions'!$O$30+G1503*'Model Inputs &amp; Assumptions'!$P$30)*EXP('Model Inputs &amp; Assumptions'!$Q$30*S1503-'Model Inputs &amp; Assumptions'!$Q$30^2/2))</f>
        <v>45.3449549213004</v>
      </c>
      <c r="I1503" s="49" t="n">
        <f aca="false">IF('Model Inputs &amp; Assumptions'!$H$30="Fixed",'Model Inputs &amp; Assumptions'!$I$30*'Model Inputs &amp; Assumptions'!$K$30,IF('Model Inputs &amp; Assumptions'!$H$30="CPM",'Model Inputs &amp; Assumptions'!$I$30*'Model Inputs &amp; Assumptions'!$K$30*C1503/1000,IF('Model Inputs &amp; Assumptions'!$H$30="CPC",'Model Inputs &amp; Assumptions'!$I$30*'Model Inputs &amp; Assumptions'!$K$30*G1503,0)))</f>
        <v>6900</v>
      </c>
      <c r="J1503" s="50" t="n">
        <f aca="false">H1503*INDEX('Model Inputs &amp; Assumptions'!$D$40:$D$42,MATCH('Model Inputs &amp; Assumptions'!$L$30,'Model Inputs &amp; Assumptions'!$A$40:$A$42,0))*INDEX('Model Inputs &amp; Assumptions'!$H$40:$H$42,MATCH('Model Inputs &amp; Assumptions'!$L$30,'Model Inputs &amp; Assumptions'!$A$40:$A$42,0))</f>
        <v>326483.675433363</v>
      </c>
      <c r="K1503" s="49" t="n">
        <f aca="false">H1503*INDEX('Model Inputs &amp; Assumptions'!$G$40:$G$42,MATCH('Model Inputs &amp; Assumptions'!$L$30,'Model Inputs &amp; Assumptions'!$A$40:$A$42,0))*INDEX('Model Inputs &amp; Assumptions'!$H$40:$H$42,MATCH('Model Inputs &amp; Assumptions'!$L$30,'Model Inputs &amp; Assumptions'!$A$40:$A$42,0))</f>
        <v>7198.96504330565</v>
      </c>
      <c r="L1503" s="51" t="n">
        <f aca="false">IFERROR(K1503/I1503,0)</f>
        <v>1.04332826714575</v>
      </c>
      <c r="M1503" s="49" t="n">
        <f aca="false">IFERROR(I1503/H1503,0)</f>
        <v>152.16687307277</v>
      </c>
      <c r="N1503" s="52" t="str">
        <f aca="false">'Model Inputs &amp; Assumptions'!$L$30</f>
        <v>PRD-USIQ</v>
      </c>
      <c r="P1503" s="53" t="n">
        <v>-1.36395</v>
      </c>
      <c r="Q1503" s="53" t="n">
        <v>0.867331</v>
      </c>
      <c r="R1503" s="53" t="n">
        <v>-0.685745</v>
      </c>
      <c r="S1503" s="53" t="n">
        <v>1.231714</v>
      </c>
    </row>
    <row r="1504" customFormat="false" ht="15" hidden="false" customHeight="false" outlineLevel="0" collapsed="false">
      <c r="A1504" s="43" t="n">
        <v>1</v>
      </c>
      <c r="B1504" s="44" t="str">
        <f aca="false">'Model Inputs &amp; Assumptions'!$B$31</f>
        <v>YouTube — Finfluencer Pre-roll</v>
      </c>
      <c r="C1504" s="45" t="n">
        <f aca="false">ROUND(MAX(0,'Model Inputs &amp; Assumptions'!$S$31*EXP('Model Inputs &amp; Assumptions'!$T$31*P1504-'Model Inputs &amp; Assumptions'!$T$31^2/2)),0)</f>
        <v>513421</v>
      </c>
      <c r="D1504" s="46" t="n">
        <f aca="false">MIN(1,'Model Inputs &amp; Assumptions'!$U$31*EXP('Model Inputs &amp; Assumptions'!$V$31*Q1504-'Model Inputs &amp; Assumptions'!$V$31^2/2))</f>
        <v>0.741903749352683</v>
      </c>
      <c r="E1504" s="45" t="n">
        <f aca="false">ROUND(C1504*D1504,0)</f>
        <v>380909</v>
      </c>
      <c r="F1504" s="47" t="n">
        <f aca="false">MIN(1,'Model Inputs &amp; Assumptions'!$W$31*EXP('Model Inputs &amp; Assumptions'!$X$31*R1504-'Model Inputs &amp; Assumptions'!$X$31^2/2))</f>
        <v>0.00525600310762033</v>
      </c>
      <c r="G1504" s="45" t="n">
        <f aca="false">ROUND(C1504*F1504,0)</f>
        <v>2699</v>
      </c>
      <c r="H1504" s="48" t="n">
        <f aca="false">MAX(0,(C1504*'Model Inputs &amp; Assumptions'!$N$31+E1504*'Model Inputs &amp; Assumptions'!$O$31+G1504*'Model Inputs &amp; Assumptions'!$P$31)*EXP('Model Inputs &amp; Assumptions'!$Q$31*S1504-'Model Inputs &amp; Assumptions'!$Q$31^2/2))</f>
        <v>57.5304778365002</v>
      </c>
      <c r="I1504" s="49" t="n">
        <f aca="false">IF('Model Inputs &amp; Assumptions'!$H$31="Fixed",'Model Inputs &amp; Assumptions'!$I$31*'Model Inputs &amp; Assumptions'!$K$31,IF('Model Inputs &amp; Assumptions'!$H$31="CPM",'Model Inputs &amp; Assumptions'!$I$31*'Model Inputs &amp; Assumptions'!$K$31*C1504/1000,IF('Model Inputs &amp; Assumptions'!$H$31="CPC",'Model Inputs &amp; Assumptions'!$I$31*'Model Inputs &amp; Assumptions'!$K$31*G1504,0)))</f>
        <v>5825.274666</v>
      </c>
      <c r="J1504" s="50" t="n">
        <f aca="false">H1504*INDEX('Model Inputs &amp; Assumptions'!$D$40:$D$42,MATCH('Model Inputs &amp; Assumptions'!$L$31,'Model Inputs &amp; Assumptions'!$A$40:$A$42,0))*INDEX('Model Inputs &amp; Assumptions'!$H$40:$H$42,MATCH('Model Inputs &amp; Assumptions'!$L$31,'Model Inputs &amp; Assumptions'!$A$40:$A$42,0))</f>
        <v>414219.440422801</v>
      </c>
      <c r="K1504" s="49" t="n">
        <f aca="false">H1504*INDEX('Model Inputs &amp; Assumptions'!$G$40:$G$42,MATCH('Model Inputs &amp; Assumptions'!$L$31,'Model Inputs &amp; Assumptions'!$A$40:$A$42,0))*INDEX('Model Inputs &amp; Assumptions'!$H$40:$H$42,MATCH('Model Inputs &amp; Assumptions'!$L$31,'Model Inputs &amp; Assumptions'!$A$40:$A$42,0))</f>
        <v>9133.53866132277</v>
      </c>
      <c r="L1504" s="51" t="n">
        <f aca="false">IFERROR(K1504/I1504,0)</f>
        <v>1.56791553789419</v>
      </c>
      <c r="M1504" s="49" t="n">
        <f aca="false">IFERROR(I1504/H1504,0)</f>
        <v>101.255454240364</v>
      </c>
      <c r="N1504" s="52" t="str">
        <f aca="false">'Model Inputs &amp; Assumptions'!$L$31</f>
        <v>PRD-USIQ</v>
      </c>
      <c r="P1504" s="53" t="n">
        <v>0.38039</v>
      </c>
      <c r="Q1504" s="53" t="n">
        <v>1.706407</v>
      </c>
      <c r="R1504" s="53" t="n">
        <v>0.328054</v>
      </c>
      <c r="S1504" s="53" t="n">
        <v>-0.424341</v>
      </c>
    </row>
    <row r="1505" customFormat="false" ht="15" hidden="false" customHeight="false" outlineLevel="0" collapsed="false">
      <c r="A1505" s="43" t="n">
        <v>2</v>
      </c>
      <c r="B1505" s="44" t="str">
        <f aca="false">'Model Inputs &amp; Assumptions'!$B$31</f>
        <v>YouTube — Finfluencer Pre-roll</v>
      </c>
      <c r="C1505" s="45" t="n">
        <f aca="false">ROUND(MAX(0,'Model Inputs &amp; Assumptions'!$S$31*EXP('Model Inputs &amp; Assumptions'!$T$31*P1505-'Model Inputs &amp; Assumptions'!$T$31^2/2)),0)</f>
        <v>567070</v>
      </c>
      <c r="D1505" s="46" t="n">
        <f aca="false">MIN(1,'Model Inputs &amp; Assumptions'!$U$31*EXP('Model Inputs &amp; Assumptions'!$V$31*Q1505-'Model Inputs &amp; Assumptions'!$V$31^2/2))</f>
        <v>0.592077072769965</v>
      </c>
      <c r="E1505" s="45" t="n">
        <f aca="false">ROUND(C1505*D1505,0)</f>
        <v>335749</v>
      </c>
      <c r="F1505" s="47" t="n">
        <f aca="false">MIN(1,'Model Inputs &amp; Assumptions'!$W$31*EXP('Model Inputs &amp; Assumptions'!$X$31*R1505-'Model Inputs &amp; Assumptions'!$X$31^2/2))</f>
        <v>0.00614013342533848</v>
      </c>
      <c r="G1505" s="45" t="n">
        <f aca="false">ROUND(C1505*F1505,0)</f>
        <v>3482</v>
      </c>
      <c r="H1505" s="48" t="n">
        <f aca="false">MAX(0,(C1505*'Model Inputs &amp; Assumptions'!$N$31+E1505*'Model Inputs &amp; Assumptions'!$O$31+G1505*'Model Inputs &amp; Assumptions'!$P$31)*EXP('Model Inputs &amp; Assumptions'!$Q$31*S1505-'Model Inputs &amp; Assumptions'!$Q$31^2/2))</f>
        <v>46.7702671176623</v>
      </c>
      <c r="I1505" s="49" t="n">
        <f aca="false">IF('Model Inputs &amp; Assumptions'!$H$31="Fixed",'Model Inputs &amp; Assumptions'!$I$31*'Model Inputs &amp; Assumptions'!$K$31,IF('Model Inputs &amp; Assumptions'!$H$31="CPM",'Model Inputs &amp; Assumptions'!$I$31*'Model Inputs &amp; Assumptions'!$K$31*C1505/1000,IF('Model Inputs &amp; Assumptions'!$H$31="CPC",'Model Inputs &amp; Assumptions'!$I$31*'Model Inputs &amp; Assumptions'!$K$31*G1505,0)))</f>
        <v>6433.97622</v>
      </c>
      <c r="J1505" s="50" t="n">
        <f aca="false">H1505*INDEX('Model Inputs &amp; Assumptions'!$D$40:$D$42,MATCH('Model Inputs &amp; Assumptions'!$L$31,'Model Inputs &amp; Assumptions'!$A$40:$A$42,0))*INDEX('Model Inputs &amp; Assumptions'!$H$40:$H$42,MATCH('Model Inputs &amp; Assumptions'!$L$31,'Model Inputs &amp; Assumptions'!$A$40:$A$42,0))</f>
        <v>336745.923247169</v>
      </c>
      <c r="K1505" s="49" t="n">
        <f aca="false">H1505*INDEX('Model Inputs &amp; Assumptions'!$G$40:$G$42,MATCH('Model Inputs &amp; Assumptions'!$L$31,'Model Inputs &amp; Assumptions'!$A$40:$A$42,0))*INDEX('Model Inputs &amp; Assumptions'!$H$40:$H$42,MATCH('Model Inputs &amp; Assumptions'!$L$31,'Model Inputs &amp; Assumptions'!$A$40:$A$42,0))</f>
        <v>7425.24760760007</v>
      </c>
      <c r="L1505" s="51" t="n">
        <f aca="false">IFERROR(K1505/I1505,0)</f>
        <v>1.15406823925129</v>
      </c>
      <c r="M1505" s="49" t="n">
        <f aca="false">IFERROR(I1505/H1505,0)</f>
        <v>137.565522211231</v>
      </c>
      <c r="N1505" s="52" t="str">
        <f aca="false">'Model Inputs &amp; Assumptions'!$L$31</f>
        <v>PRD-USIQ</v>
      </c>
      <c r="P1505" s="53" t="n">
        <v>0.735344</v>
      </c>
      <c r="Q1505" s="53" t="n">
        <v>0.095102</v>
      </c>
      <c r="R1505" s="53" t="n">
        <v>0.975869</v>
      </c>
      <c r="S1505" s="53" t="n">
        <v>-1.325965</v>
      </c>
    </row>
    <row r="1506" customFormat="false" ht="15" hidden="false" customHeight="false" outlineLevel="0" collapsed="false">
      <c r="A1506" s="43" t="n">
        <v>3</v>
      </c>
      <c r="B1506" s="44" t="str">
        <f aca="false">'Model Inputs &amp; Assumptions'!$B$31</f>
        <v>YouTube — Finfluencer Pre-roll</v>
      </c>
      <c r="C1506" s="45" t="n">
        <f aca="false">ROUND(MAX(0,'Model Inputs &amp; Assumptions'!$S$31*EXP('Model Inputs &amp; Assumptions'!$T$31*P1506-'Model Inputs &amp; Assumptions'!$T$31^2/2)),0)</f>
        <v>660133</v>
      </c>
      <c r="D1506" s="46" t="n">
        <f aca="false">MIN(1,'Model Inputs &amp; Assumptions'!$U$31*EXP('Model Inputs &amp; Assumptions'!$V$31*Q1506-'Model Inputs &amp; Assumptions'!$V$31^2/2))</f>
        <v>0.72900633131311</v>
      </c>
      <c r="E1506" s="45" t="n">
        <f aca="false">ROUND(C1506*D1506,0)</f>
        <v>481241</v>
      </c>
      <c r="F1506" s="47" t="n">
        <f aca="false">MIN(1,'Model Inputs &amp; Assumptions'!$W$31*EXP('Model Inputs &amp; Assumptions'!$X$31*R1506-'Model Inputs &amp; Assumptions'!$X$31^2/2))</f>
        <v>0.00397497060231173</v>
      </c>
      <c r="G1506" s="45" t="n">
        <f aca="false">ROUND(C1506*F1506,0)</f>
        <v>2624</v>
      </c>
      <c r="H1506" s="48" t="n">
        <f aca="false">MAX(0,(C1506*'Model Inputs &amp; Assumptions'!$N$31+E1506*'Model Inputs &amp; Assumptions'!$O$31+G1506*'Model Inputs &amp; Assumptions'!$P$31)*EXP('Model Inputs &amp; Assumptions'!$Q$31*S1506-'Model Inputs &amp; Assumptions'!$Q$31^2/2))</f>
        <v>99.5260426180255</v>
      </c>
      <c r="I1506" s="49" t="n">
        <f aca="false">IF('Model Inputs &amp; Assumptions'!$H$31="Fixed",'Model Inputs &amp; Assumptions'!$I$31*'Model Inputs &amp; Assumptions'!$K$31,IF('Model Inputs &amp; Assumptions'!$H$31="CPM",'Model Inputs &amp; Assumptions'!$I$31*'Model Inputs &amp; Assumptions'!$K$31*C1506/1000,IF('Model Inputs &amp; Assumptions'!$H$31="CPC",'Model Inputs &amp; Assumptions'!$I$31*'Model Inputs &amp; Assumptions'!$K$31*G1506,0)))</f>
        <v>7489.869018</v>
      </c>
      <c r="J1506" s="50" t="n">
        <f aca="false">H1506*INDEX('Model Inputs &amp; Assumptions'!$D$40:$D$42,MATCH('Model Inputs &amp; Assumptions'!$L$31,'Model Inputs &amp; Assumptions'!$A$40:$A$42,0))*INDEX('Model Inputs &amp; Assumptions'!$H$40:$H$42,MATCH('Model Inputs &amp; Assumptions'!$L$31,'Model Inputs &amp; Assumptions'!$A$40:$A$42,0))</f>
        <v>716587.506849784</v>
      </c>
      <c r="K1506" s="49" t="n">
        <f aca="false">H1506*INDEX('Model Inputs &amp; Assumptions'!$G$40:$G$42,MATCH('Model Inputs &amp; Assumptions'!$L$31,'Model Inputs &amp; Assumptions'!$A$40:$A$42,0))*INDEX('Model Inputs &amp; Assumptions'!$H$40:$H$42,MATCH('Model Inputs &amp; Assumptions'!$L$31,'Model Inputs &amp; Assumptions'!$A$40:$A$42,0))</f>
        <v>15800.7545260377</v>
      </c>
      <c r="L1506" s="51" t="n">
        <f aca="false">IFERROR(K1506/I1506,0)</f>
        <v>2.10961693563194</v>
      </c>
      <c r="M1506" s="49" t="n">
        <f aca="false">IFERROR(I1506/H1506,0)</f>
        <v>75.2553685545966</v>
      </c>
      <c r="N1506" s="52" t="str">
        <f aca="false">'Model Inputs &amp; Assumptions'!$L$31</f>
        <v>PRD-USIQ</v>
      </c>
      <c r="P1506" s="53" t="n">
        <v>1.278053</v>
      </c>
      <c r="Q1506" s="53" t="n">
        <v>1.581142</v>
      </c>
      <c r="R1506" s="53" t="n">
        <v>-0.835919</v>
      </c>
      <c r="S1506" s="53" t="n">
        <v>0.876475</v>
      </c>
    </row>
    <row r="1507" customFormat="false" ht="15" hidden="false" customHeight="false" outlineLevel="0" collapsed="false">
      <c r="A1507" s="43" t="n">
        <v>4</v>
      </c>
      <c r="B1507" s="44" t="str">
        <f aca="false">'Model Inputs &amp; Assumptions'!$B$31</f>
        <v>YouTube — Finfluencer Pre-roll</v>
      </c>
      <c r="C1507" s="45" t="n">
        <f aca="false">ROUND(MAX(0,'Model Inputs &amp; Assumptions'!$S$31*EXP('Model Inputs &amp; Assumptions'!$T$31*P1507-'Model Inputs &amp; Assumptions'!$T$31^2/2)),0)</f>
        <v>722841</v>
      </c>
      <c r="D1507" s="46" t="n">
        <f aca="false">MIN(1,'Model Inputs &amp; Assumptions'!$U$31*EXP('Model Inputs &amp; Assumptions'!$V$31*Q1507-'Model Inputs &amp; Assumptions'!$V$31^2/2))</f>
        <v>0.512298291971393</v>
      </c>
      <c r="E1507" s="45" t="n">
        <f aca="false">ROUND(C1507*D1507,0)</f>
        <v>370310</v>
      </c>
      <c r="F1507" s="47" t="n">
        <f aca="false">MIN(1,'Model Inputs &amp; Assumptions'!$W$31*EXP('Model Inputs &amp; Assumptions'!$X$31*R1507-'Model Inputs &amp; Assumptions'!$X$31^2/2))</f>
        <v>0.0055904404269924</v>
      </c>
      <c r="G1507" s="45" t="n">
        <f aca="false">ROUND(C1507*F1507,0)</f>
        <v>4041</v>
      </c>
      <c r="H1507" s="48" t="n">
        <f aca="false">MAX(0,(C1507*'Model Inputs &amp; Assumptions'!$N$31+E1507*'Model Inputs &amp; Assumptions'!$O$31+G1507*'Model Inputs &amp; Assumptions'!$P$31)*EXP('Model Inputs &amp; Assumptions'!$Q$31*S1507-'Model Inputs &amp; Assumptions'!$Q$31^2/2))</f>
        <v>67.3418591283364</v>
      </c>
      <c r="I1507" s="49" t="n">
        <f aca="false">IF('Model Inputs &amp; Assumptions'!$H$31="Fixed",'Model Inputs &amp; Assumptions'!$I$31*'Model Inputs &amp; Assumptions'!$K$31,IF('Model Inputs &amp; Assumptions'!$H$31="CPM",'Model Inputs &amp; Assumptions'!$I$31*'Model Inputs &amp; Assumptions'!$K$31*C1507/1000,IF('Model Inputs &amp; Assumptions'!$H$31="CPC",'Model Inputs &amp; Assumptions'!$I$31*'Model Inputs &amp; Assumptions'!$K$31*G1507,0)))</f>
        <v>8201.353986</v>
      </c>
      <c r="J1507" s="50" t="n">
        <f aca="false">H1507*INDEX('Model Inputs &amp; Assumptions'!$D$40:$D$42,MATCH('Model Inputs &amp; Assumptions'!$L$31,'Model Inputs &amp; Assumptions'!$A$40:$A$42,0))*INDEX('Model Inputs &amp; Assumptions'!$H$40:$H$42,MATCH('Model Inputs &amp; Assumptions'!$L$31,'Model Inputs &amp; Assumptions'!$A$40:$A$42,0))</f>
        <v>484861.385724022</v>
      </c>
      <c r="K1507" s="49" t="n">
        <f aca="false">H1507*INDEX('Model Inputs &amp; Assumptions'!$G$40:$G$42,MATCH('Model Inputs &amp; Assumptions'!$L$31,'Model Inputs &amp; Assumptions'!$A$40:$A$42,0))*INDEX('Model Inputs &amp; Assumptions'!$H$40:$H$42,MATCH('Model Inputs &amp; Assumptions'!$L$31,'Model Inputs &amp; Assumptions'!$A$40:$A$42,0))</f>
        <v>10691.1935552147</v>
      </c>
      <c r="L1507" s="51" t="n">
        <f aca="false">IFERROR(K1507/I1507,0)</f>
        <v>1.30358884319162</v>
      </c>
      <c r="M1507" s="49" t="n">
        <f aca="false">IFERROR(I1507/H1507,0)</f>
        <v>121.786866180369</v>
      </c>
      <c r="N1507" s="52" t="str">
        <f aca="false">'Model Inputs &amp; Assumptions'!$L$31</f>
        <v>PRD-USIQ</v>
      </c>
      <c r="P1507" s="53" t="n">
        <v>1.602153</v>
      </c>
      <c r="Q1507" s="53" t="n">
        <v>-0.938682</v>
      </c>
      <c r="R1507" s="53" t="n">
        <v>0.585084</v>
      </c>
      <c r="S1507" s="53" t="n">
        <v>-0.661253</v>
      </c>
    </row>
    <row r="1508" customFormat="false" ht="15" hidden="false" customHeight="false" outlineLevel="0" collapsed="false">
      <c r="A1508" s="43" t="n">
        <v>5</v>
      </c>
      <c r="B1508" s="44" t="str">
        <f aca="false">'Model Inputs &amp; Assumptions'!$B$31</f>
        <v>YouTube — Finfluencer Pre-roll</v>
      </c>
      <c r="C1508" s="45" t="n">
        <f aca="false">ROUND(MAX(0,'Model Inputs &amp; Assumptions'!$S$31*EXP('Model Inputs &amp; Assumptions'!$T$31*P1508-'Model Inputs &amp; Assumptions'!$T$31^2/2)),0)</f>
        <v>502465</v>
      </c>
      <c r="D1508" s="46" t="n">
        <f aca="false">MIN(1,'Model Inputs &amp; Assumptions'!$U$31*EXP('Model Inputs &amp; Assumptions'!$V$31*Q1508-'Model Inputs &amp; Assumptions'!$V$31^2/2))</f>
        <v>0.61581697254978</v>
      </c>
      <c r="E1508" s="45" t="n">
        <f aca="false">ROUND(C1508*D1508,0)</f>
        <v>309426</v>
      </c>
      <c r="F1508" s="47" t="n">
        <f aca="false">MIN(1,'Model Inputs &amp; Assumptions'!$W$31*EXP('Model Inputs &amp; Assumptions'!$X$31*R1508-'Model Inputs &amp; Assumptions'!$X$31^2/2))</f>
        <v>0.00541430081692094</v>
      </c>
      <c r="G1508" s="45" t="n">
        <f aca="false">ROUND(C1508*F1508,0)</f>
        <v>2720</v>
      </c>
      <c r="H1508" s="48" t="n">
        <f aca="false">MAX(0,(C1508*'Model Inputs &amp; Assumptions'!$N$31+E1508*'Model Inputs &amp; Assumptions'!$O$31+G1508*'Model Inputs &amp; Assumptions'!$P$31)*EXP('Model Inputs &amp; Assumptions'!$Q$31*S1508-'Model Inputs &amp; Assumptions'!$Q$31^2/2))</f>
        <v>51.3722246957034</v>
      </c>
      <c r="I1508" s="49" t="n">
        <f aca="false">IF('Model Inputs &amp; Assumptions'!$H$31="Fixed",'Model Inputs &amp; Assumptions'!$I$31*'Model Inputs &amp; Assumptions'!$K$31,IF('Model Inputs &amp; Assumptions'!$H$31="CPM",'Model Inputs &amp; Assumptions'!$I$31*'Model Inputs &amp; Assumptions'!$K$31*C1508/1000,IF('Model Inputs &amp; Assumptions'!$H$31="CPC",'Model Inputs &amp; Assumptions'!$I$31*'Model Inputs &amp; Assumptions'!$K$31*G1508,0)))</f>
        <v>5700.96789</v>
      </c>
      <c r="J1508" s="50" t="n">
        <f aca="false">H1508*INDEX('Model Inputs &amp; Assumptions'!$D$40:$D$42,MATCH('Model Inputs &amp; Assumptions'!$L$31,'Model Inputs &amp; Assumptions'!$A$40:$A$42,0))*INDEX('Model Inputs &amp; Assumptions'!$H$40:$H$42,MATCH('Model Inputs &amp; Assumptions'!$L$31,'Model Inputs &amp; Assumptions'!$A$40:$A$42,0))</f>
        <v>369880.017809065</v>
      </c>
      <c r="K1508" s="49" t="n">
        <f aca="false">H1508*INDEX('Model Inputs &amp; Assumptions'!$G$40:$G$42,MATCH('Model Inputs &amp; Assumptions'!$L$31,'Model Inputs &amp; Assumptions'!$A$40:$A$42,0))*INDEX('Model Inputs &amp; Assumptions'!$H$40:$H$42,MATCH('Model Inputs &amp; Assumptions'!$L$31,'Model Inputs &amp; Assumptions'!$A$40:$A$42,0))</f>
        <v>8155.85439268988</v>
      </c>
      <c r="L1508" s="51" t="n">
        <f aca="false">IFERROR(K1508/I1508,0)</f>
        <v>1.43060872294965</v>
      </c>
      <c r="M1508" s="49" t="n">
        <f aca="false">IFERROR(I1508/H1508,0)</f>
        <v>110.973739676818</v>
      </c>
      <c r="N1508" s="52" t="str">
        <f aca="false">'Model Inputs &amp; Assumptions'!$L$31</f>
        <v>PRD-USIQ</v>
      </c>
      <c r="P1508" s="53" t="n">
        <v>0.303357</v>
      </c>
      <c r="Q1508" s="53" t="n">
        <v>0.375909</v>
      </c>
      <c r="R1508" s="53" t="n">
        <v>0.451691</v>
      </c>
      <c r="S1508" s="53" t="n">
        <v>-0.521508</v>
      </c>
    </row>
    <row r="1509" customFormat="false" ht="15" hidden="false" customHeight="false" outlineLevel="0" collapsed="false">
      <c r="A1509" s="43" t="n">
        <v>6</v>
      </c>
      <c r="B1509" s="44" t="str">
        <f aca="false">'Model Inputs &amp; Assumptions'!$B$31</f>
        <v>YouTube — Finfluencer Pre-roll</v>
      </c>
      <c r="C1509" s="45" t="n">
        <f aca="false">ROUND(MAX(0,'Model Inputs &amp; Assumptions'!$S$31*EXP('Model Inputs &amp; Assumptions'!$T$31*P1509-'Model Inputs &amp; Assumptions'!$T$31^2/2)),0)</f>
        <v>437420</v>
      </c>
      <c r="D1509" s="46" t="n">
        <f aca="false">MIN(1,'Model Inputs &amp; Assumptions'!$U$31*EXP('Model Inputs &amp; Assumptions'!$V$31*Q1509-'Model Inputs &amp; Assumptions'!$V$31^2/2))</f>
        <v>0.457900465792929</v>
      </c>
      <c r="E1509" s="45" t="n">
        <f aca="false">ROUND(C1509*D1509,0)</f>
        <v>200295</v>
      </c>
      <c r="F1509" s="47" t="n">
        <f aca="false">MIN(1,'Model Inputs &amp; Assumptions'!$W$31*EXP('Model Inputs &amp; Assumptions'!$X$31*R1509-'Model Inputs &amp; Assumptions'!$X$31^2/2))</f>
        <v>0.00435791927277077</v>
      </c>
      <c r="G1509" s="45" t="n">
        <f aca="false">ROUND(C1509*F1509,0)</f>
        <v>1906</v>
      </c>
      <c r="H1509" s="48" t="n">
        <f aca="false">MAX(0,(C1509*'Model Inputs &amp; Assumptions'!$N$31+E1509*'Model Inputs &amp; Assumptions'!$O$31+G1509*'Model Inputs &amp; Assumptions'!$P$31)*EXP('Model Inputs &amp; Assumptions'!$Q$31*S1509-'Model Inputs &amp; Assumptions'!$Q$31^2/2))</f>
        <v>36.2575503554168</v>
      </c>
      <c r="I1509" s="49" t="n">
        <f aca="false">IF('Model Inputs &amp; Assumptions'!$H$31="Fixed",'Model Inputs &amp; Assumptions'!$I$31*'Model Inputs &amp; Assumptions'!$K$31,IF('Model Inputs &amp; Assumptions'!$H$31="CPM",'Model Inputs &amp; Assumptions'!$I$31*'Model Inputs &amp; Assumptions'!$K$31*C1509/1000,IF('Model Inputs &amp; Assumptions'!$H$31="CPC",'Model Inputs &amp; Assumptions'!$I$31*'Model Inputs &amp; Assumptions'!$K$31*G1509,0)))</f>
        <v>4962.96732</v>
      </c>
      <c r="J1509" s="50" t="n">
        <f aca="false">H1509*INDEX('Model Inputs &amp; Assumptions'!$D$40:$D$42,MATCH('Model Inputs &amp; Assumptions'!$L$31,'Model Inputs &amp; Assumptions'!$A$40:$A$42,0))*INDEX('Model Inputs &amp; Assumptions'!$H$40:$H$42,MATCH('Model Inputs &amp; Assumptions'!$L$31,'Model Inputs &amp; Assumptions'!$A$40:$A$42,0))</f>
        <v>261054.362559001</v>
      </c>
      <c r="K1509" s="49" t="n">
        <f aca="false">H1509*INDEX('Model Inputs &amp; Assumptions'!$G$40:$G$42,MATCH('Model Inputs &amp; Assumptions'!$L$31,'Model Inputs &amp; Assumptions'!$A$40:$A$42,0))*INDEX('Model Inputs &amp; Assumptions'!$H$40:$H$42,MATCH('Model Inputs &amp; Assumptions'!$L$31,'Model Inputs &amp; Assumptions'!$A$40:$A$42,0))</f>
        <v>5756.24869442598</v>
      </c>
      <c r="L1509" s="51" t="n">
        <f aca="false">IFERROR(K1509/I1509,0)</f>
        <v>1.15984013661125</v>
      </c>
      <c r="M1509" s="49" t="n">
        <f aca="false">IFERROR(I1509/H1509,0)</f>
        <v>136.880932973966</v>
      </c>
      <c r="N1509" s="52" t="str">
        <f aca="false">'Model Inputs &amp; Assumptions'!$L$31</f>
        <v>PRD-USIQ</v>
      </c>
      <c r="P1509" s="53" t="n">
        <v>-0.191761</v>
      </c>
      <c r="Q1509" s="53" t="n">
        <v>-1.740505</v>
      </c>
      <c r="R1509" s="53" t="n">
        <v>-0.45268</v>
      </c>
      <c r="S1509" s="53" t="n">
        <v>-0.417546</v>
      </c>
    </row>
    <row r="1510" customFormat="false" ht="15" hidden="false" customHeight="false" outlineLevel="0" collapsed="false">
      <c r="A1510" s="43" t="n">
        <v>7</v>
      </c>
      <c r="B1510" s="44" t="str">
        <f aca="false">'Model Inputs &amp; Assumptions'!$B$31</f>
        <v>YouTube — Finfluencer Pre-roll</v>
      </c>
      <c r="C1510" s="45" t="n">
        <f aca="false">ROUND(MAX(0,'Model Inputs &amp; Assumptions'!$S$31*EXP('Model Inputs &amp; Assumptions'!$T$31*P1510-'Model Inputs &amp; Assumptions'!$T$31^2/2)),0)</f>
        <v>284341</v>
      </c>
      <c r="D1510" s="46" t="n">
        <f aca="false">MIN(1,'Model Inputs &amp; Assumptions'!$U$31*EXP('Model Inputs &amp; Assumptions'!$V$31*Q1510-'Model Inputs &amp; Assumptions'!$V$31^2/2))</f>
        <v>0.663336761348918</v>
      </c>
      <c r="E1510" s="45" t="n">
        <f aca="false">ROUND(C1510*D1510,0)</f>
        <v>188614</v>
      </c>
      <c r="F1510" s="47" t="n">
        <f aca="false">MIN(1,'Model Inputs &amp; Assumptions'!$W$31*EXP('Model Inputs &amp; Assumptions'!$X$31*R1510-'Model Inputs &amp; Assumptions'!$X$31^2/2))</f>
        <v>0.00650016312300813</v>
      </c>
      <c r="G1510" s="45" t="n">
        <f aca="false">ROUND(C1510*F1510,0)</f>
        <v>1848</v>
      </c>
      <c r="H1510" s="48" t="n">
        <f aca="false">MAX(0,(C1510*'Model Inputs &amp; Assumptions'!$N$31+E1510*'Model Inputs &amp; Assumptions'!$O$31+G1510*'Model Inputs &amp; Assumptions'!$P$31)*EXP('Model Inputs &amp; Assumptions'!$Q$31*S1510-'Model Inputs &amp; Assumptions'!$Q$31^2/2))</f>
        <v>54.5950606296743</v>
      </c>
      <c r="I1510" s="49" t="n">
        <f aca="false">IF('Model Inputs &amp; Assumptions'!$H$31="Fixed",'Model Inputs &amp; Assumptions'!$I$31*'Model Inputs &amp; Assumptions'!$K$31,IF('Model Inputs &amp; Assumptions'!$H$31="CPM",'Model Inputs &amp; Assumptions'!$I$31*'Model Inputs &amp; Assumptions'!$K$31*C1510/1000,IF('Model Inputs &amp; Assumptions'!$H$31="CPC",'Model Inputs &amp; Assumptions'!$I$31*'Model Inputs &amp; Assumptions'!$K$31*G1510,0)))</f>
        <v>3226.132986</v>
      </c>
      <c r="J1510" s="50" t="n">
        <f aca="false">H1510*INDEX('Model Inputs &amp; Assumptions'!$D$40:$D$42,MATCH('Model Inputs &amp; Assumptions'!$L$31,'Model Inputs &amp; Assumptions'!$A$40:$A$42,0))*INDEX('Model Inputs &amp; Assumptions'!$H$40:$H$42,MATCH('Model Inputs &amp; Assumptions'!$L$31,'Model Inputs &amp; Assumptions'!$A$40:$A$42,0))</f>
        <v>393084.436533655</v>
      </c>
      <c r="K1510" s="49" t="n">
        <f aca="false">H1510*INDEX('Model Inputs &amp; Assumptions'!$G$40:$G$42,MATCH('Model Inputs &amp; Assumptions'!$L$31,'Model Inputs &amp; Assumptions'!$A$40:$A$42,0))*INDEX('Model Inputs &amp; Assumptions'!$H$40:$H$42,MATCH('Model Inputs &amp; Assumptions'!$L$31,'Model Inputs &amp; Assumptions'!$A$40:$A$42,0))</f>
        <v>8667.51182556709</v>
      </c>
      <c r="L1510" s="51" t="n">
        <f aca="false">IFERROR(K1510/I1510,0)</f>
        <v>2.68665670732741</v>
      </c>
      <c r="M1510" s="49" t="n">
        <f aca="false">IFERROR(I1510/H1510,0)</f>
        <v>59.0920304656001</v>
      </c>
      <c r="N1510" s="52" t="str">
        <f aca="false">'Model Inputs &amp; Assumptions'!$L$31</f>
        <v>PRD-USIQ</v>
      </c>
      <c r="P1510" s="53" t="n">
        <v>-1.730048</v>
      </c>
      <c r="Q1510" s="53" t="n">
        <v>0.906859</v>
      </c>
      <c r="R1510" s="53" t="n">
        <v>1.213289</v>
      </c>
      <c r="S1510" s="53" t="n">
        <v>0.869835</v>
      </c>
    </row>
    <row r="1511" customFormat="false" ht="15" hidden="false" customHeight="false" outlineLevel="0" collapsed="false">
      <c r="A1511" s="43" t="n">
        <v>8</v>
      </c>
      <c r="B1511" s="44" t="str">
        <f aca="false">'Model Inputs &amp; Assumptions'!$B$31</f>
        <v>YouTube — Finfluencer Pre-roll</v>
      </c>
      <c r="C1511" s="45" t="n">
        <f aca="false">ROUND(MAX(0,'Model Inputs &amp; Assumptions'!$S$31*EXP('Model Inputs &amp; Assumptions'!$T$31*P1511-'Model Inputs &amp; Assumptions'!$T$31^2/2)),0)</f>
        <v>414475</v>
      </c>
      <c r="D1511" s="46" t="n">
        <f aca="false">MIN(1,'Model Inputs &amp; Assumptions'!$U$31*EXP('Model Inputs &amp; Assumptions'!$V$31*Q1511-'Model Inputs &amp; Assumptions'!$V$31^2/2))</f>
        <v>0.766495645209993</v>
      </c>
      <c r="E1511" s="45" t="n">
        <f aca="false">ROUND(C1511*D1511,0)</f>
        <v>317693</v>
      </c>
      <c r="F1511" s="47" t="n">
        <f aca="false">MIN(1,'Model Inputs &amp; Assumptions'!$W$31*EXP('Model Inputs &amp; Assumptions'!$X$31*R1511-'Model Inputs &amp; Assumptions'!$X$31^2/2))</f>
        <v>0.00667545276824152</v>
      </c>
      <c r="G1511" s="45" t="n">
        <f aca="false">ROUND(C1511*F1511,0)</f>
        <v>2767</v>
      </c>
      <c r="H1511" s="48" t="n">
        <f aca="false">MAX(0,(C1511*'Model Inputs &amp; Assumptions'!$N$31+E1511*'Model Inputs &amp; Assumptions'!$O$31+G1511*'Model Inputs &amp; Assumptions'!$P$31)*EXP('Model Inputs &amp; Assumptions'!$Q$31*S1511-'Model Inputs &amp; Assumptions'!$Q$31^2/2))</f>
        <v>72.2867068389826</v>
      </c>
      <c r="I1511" s="49" t="n">
        <f aca="false">IF('Model Inputs &amp; Assumptions'!$H$31="Fixed",'Model Inputs &amp; Assumptions'!$I$31*'Model Inputs &amp; Assumptions'!$K$31,IF('Model Inputs &amp; Assumptions'!$H$31="CPM",'Model Inputs &amp; Assumptions'!$I$31*'Model Inputs &amp; Assumptions'!$K$31*C1511/1000,IF('Model Inputs &amp; Assumptions'!$H$31="CPC",'Model Inputs &amp; Assumptions'!$I$31*'Model Inputs &amp; Assumptions'!$K$31*G1511,0)))</f>
        <v>4702.63335</v>
      </c>
      <c r="J1511" s="50" t="n">
        <f aca="false">H1511*INDEX('Model Inputs &amp; Assumptions'!$D$40:$D$42,MATCH('Model Inputs &amp; Assumptions'!$L$31,'Model Inputs &amp; Assumptions'!$A$40:$A$42,0))*INDEX('Model Inputs &amp; Assumptions'!$H$40:$H$42,MATCH('Model Inputs &amp; Assumptions'!$L$31,'Model Inputs &amp; Assumptions'!$A$40:$A$42,0))</f>
        <v>520464.289240675</v>
      </c>
      <c r="K1511" s="49" t="n">
        <f aca="false">H1511*INDEX('Model Inputs &amp; Assumptions'!$G$40:$G$42,MATCH('Model Inputs &amp; Assumptions'!$L$31,'Model Inputs &amp; Assumptions'!$A$40:$A$42,0))*INDEX('Model Inputs &amp; Assumptions'!$H$40:$H$42,MATCH('Model Inputs &amp; Assumptions'!$L$31,'Model Inputs &amp; Assumptions'!$A$40:$A$42,0))</f>
        <v>11476.2375777569</v>
      </c>
      <c r="L1511" s="51" t="n">
        <f aca="false">IFERROR(K1511/I1511,0)</f>
        <v>2.44038535935549</v>
      </c>
      <c r="M1511" s="49" t="n">
        <f aca="false">IFERROR(I1511/H1511,0)</f>
        <v>65.0552993163049</v>
      </c>
      <c r="N1511" s="52" t="str">
        <f aca="false">'Model Inputs &amp; Assumptions'!$L$31</f>
        <v>PRD-USIQ</v>
      </c>
      <c r="P1511" s="53" t="n">
        <v>-0.384189</v>
      </c>
      <c r="Q1511" s="53" t="n">
        <v>1.939332</v>
      </c>
      <c r="R1511" s="53" t="n">
        <v>1.324163</v>
      </c>
      <c r="S1511" s="53" t="n">
        <v>0.395388</v>
      </c>
    </row>
    <row r="1512" customFormat="false" ht="15" hidden="false" customHeight="false" outlineLevel="0" collapsed="false">
      <c r="A1512" s="43" t="n">
        <v>9</v>
      </c>
      <c r="B1512" s="44" t="str">
        <f aca="false">'Model Inputs &amp; Assumptions'!$B$31</f>
        <v>YouTube — Finfluencer Pre-roll</v>
      </c>
      <c r="C1512" s="45" t="n">
        <f aca="false">ROUND(MAX(0,'Model Inputs &amp; Assumptions'!$S$31*EXP('Model Inputs &amp; Assumptions'!$T$31*P1512-'Model Inputs &amp; Assumptions'!$T$31^2/2)),0)</f>
        <v>385847</v>
      </c>
      <c r="D1512" s="46" t="n">
        <f aca="false">MIN(1,'Model Inputs &amp; Assumptions'!$U$31*EXP('Model Inputs &amp; Assumptions'!$V$31*Q1512-'Model Inputs &amp; Assumptions'!$V$31^2/2))</f>
        <v>0.707115625873207</v>
      </c>
      <c r="E1512" s="45" t="n">
        <f aca="false">ROUND(C1512*D1512,0)</f>
        <v>272838</v>
      </c>
      <c r="F1512" s="47" t="n">
        <f aca="false">MIN(1,'Model Inputs &amp; Assumptions'!$W$31*EXP('Model Inputs &amp; Assumptions'!$X$31*R1512-'Model Inputs &amp; Assumptions'!$X$31^2/2))</f>
        <v>0.00382520229106922</v>
      </c>
      <c r="G1512" s="45" t="n">
        <f aca="false">ROUND(C1512*F1512,0)</f>
        <v>1476</v>
      </c>
      <c r="H1512" s="48" t="n">
        <f aca="false">MAX(0,(C1512*'Model Inputs &amp; Assumptions'!$N$31+E1512*'Model Inputs &amp; Assumptions'!$O$31+G1512*'Model Inputs &amp; Assumptions'!$P$31)*EXP('Model Inputs &amp; Assumptions'!$Q$31*S1512-'Model Inputs &amp; Assumptions'!$Q$31^2/2))</f>
        <v>45.9955550420901</v>
      </c>
      <c r="I1512" s="49" t="n">
        <f aca="false">IF('Model Inputs &amp; Assumptions'!$H$31="Fixed",'Model Inputs &amp; Assumptions'!$I$31*'Model Inputs &amp; Assumptions'!$K$31,IF('Model Inputs &amp; Assumptions'!$H$31="CPM",'Model Inputs &amp; Assumptions'!$I$31*'Model Inputs &amp; Assumptions'!$K$31*C1512/1000,IF('Model Inputs &amp; Assumptions'!$H$31="CPC",'Model Inputs &amp; Assumptions'!$I$31*'Model Inputs &amp; Assumptions'!$K$31*G1512,0)))</f>
        <v>4377.820062</v>
      </c>
      <c r="J1512" s="50" t="n">
        <f aca="false">H1512*INDEX('Model Inputs &amp; Assumptions'!$D$40:$D$42,MATCH('Model Inputs &amp; Assumptions'!$L$31,'Model Inputs &amp; Assumptions'!$A$40:$A$42,0))*INDEX('Model Inputs &amp; Assumptions'!$H$40:$H$42,MATCH('Model Inputs &amp; Assumptions'!$L$31,'Model Inputs &amp; Assumptions'!$A$40:$A$42,0))</f>
        <v>331167.996303049</v>
      </c>
      <c r="K1512" s="49" t="n">
        <f aca="false">H1512*INDEX('Model Inputs &amp; Assumptions'!$G$40:$G$42,MATCH('Model Inputs &amp; Assumptions'!$L$31,'Model Inputs &amp; Assumptions'!$A$40:$A$42,0))*INDEX('Model Inputs &amp; Assumptions'!$H$40:$H$42,MATCH('Model Inputs &amp; Assumptions'!$L$31,'Model Inputs &amp; Assumptions'!$A$40:$A$42,0))</f>
        <v>7302.25431848223</v>
      </c>
      <c r="L1512" s="51" t="n">
        <f aca="false">IFERROR(K1512/I1512,0)</f>
        <v>1.66801152515762</v>
      </c>
      <c r="M1512" s="49" t="n">
        <f aca="false">IFERROR(I1512/H1512,0)</f>
        <v>95.1791984680671</v>
      </c>
      <c r="N1512" s="52" t="str">
        <f aca="false">'Model Inputs &amp; Assumptions'!$L$31</f>
        <v>PRD-USIQ</v>
      </c>
      <c r="P1512" s="53" t="n">
        <v>-0.639803</v>
      </c>
      <c r="Q1512" s="53" t="n">
        <v>1.363369</v>
      </c>
      <c r="R1512" s="53" t="n">
        <v>-0.995944</v>
      </c>
      <c r="S1512" s="53" t="n">
        <v>0.30387</v>
      </c>
    </row>
    <row r="1513" customFormat="false" ht="15" hidden="false" customHeight="false" outlineLevel="0" collapsed="false">
      <c r="A1513" s="43" t="n">
        <v>10</v>
      </c>
      <c r="B1513" s="44" t="str">
        <f aca="false">'Model Inputs &amp; Assumptions'!$B$31</f>
        <v>YouTube — Finfluencer Pre-roll</v>
      </c>
      <c r="C1513" s="45" t="n">
        <f aca="false">ROUND(MAX(0,'Model Inputs &amp; Assumptions'!$S$31*EXP('Model Inputs &amp; Assumptions'!$T$31*P1513-'Model Inputs &amp; Assumptions'!$T$31^2/2)),0)</f>
        <v>456977</v>
      </c>
      <c r="D1513" s="46" t="n">
        <f aca="false">MIN(1,'Model Inputs &amp; Assumptions'!$U$31*EXP('Model Inputs &amp; Assumptions'!$V$31*Q1513-'Model Inputs &amp; Assumptions'!$V$31^2/2))</f>
        <v>0.460131646645923</v>
      </c>
      <c r="E1513" s="45" t="n">
        <f aca="false">ROUND(C1513*D1513,0)</f>
        <v>210270</v>
      </c>
      <c r="F1513" s="47" t="n">
        <f aca="false">MIN(1,'Model Inputs &amp; Assumptions'!$W$31*EXP('Model Inputs &amp; Assumptions'!$X$31*R1513-'Model Inputs &amp; Assumptions'!$X$31^2/2))</f>
        <v>0.00523882895996208</v>
      </c>
      <c r="G1513" s="45" t="n">
        <f aca="false">ROUND(C1513*F1513,0)</f>
        <v>2394</v>
      </c>
      <c r="H1513" s="48" t="n">
        <f aca="false">MAX(0,(C1513*'Model Inputs &amp; Assumptions'!$N$31+E1513*'Model Inputs &amp; Assumptions'!$O$31+G1513*'Model Inputs &amp; Assumptions'!$P$31)*EXP('Model Inputs &amp; Assumptions'!$Q$31*S1513-'Model Inputs &amp; Assumptions'!$Q$31^2/2))</f>
        <v>36.0814360539155</v>
      </c>
      <c r="I1513" s="49" t="n">
        <f aca="false">IF('Model Inputs &amp; Assumptions'!$H$31="Fixed",'Model Inputs &amp; Assumptions'!$I$31*'Model Inputs &amp; Assumptions'!$K$31,IF('Model Inputs &amp; Assumptions'!$H$31="CPM",'Model Inputs &amp; Assumptions'!$I$31*'Model Inputs &amp; Assumptions'!$K$31*C1513/1000,IF('Model Inputs &amp; Assumptions'!$H$31="CPC",'Model Inputs &amp; Assumptions'!$I$31*'Model Inputs &amp; Assumptions'!$K$31*G1513,0)))</f>
        <v>5184.861042</v>
      </c>
      <c r="J1513" s="50" t="n">
        <f aca="false">H1513*INDEX('Model Inputs &amp; Assumptions'!$D$40:$D$42,MATCH('Model Inputs &amp; Assumptions'!$L$31,'Model Inputs &amp; Assumptions'!$A$40:$A$42,0))*INDEX('Model Inputs &amp; Assumptions'!$H$40:$H$42,MATCH('Model Inputs &amp; Assumptions'!$L$31,'Model Inputs &amp; Assumptions'!$A$40:$A$42,0))</f>
        <v>259786.339588192</v>
      </c>
      <c r="K1513" s="49" t="n">
        <f aca="false">H1513*INDEX('Model Inputs &amp; Assumptions'!$G$40:$G$42,MATCH('Model Inputs &amp; Assumptions'!$L$31,'Model Inputs &amp; Assumptions'!$A$40:$A$42,0))*INDEX('Model Inputs &amp; Assumptions'!$H$40:$H$42,MATCH('Model Inputs &amp; Assumptions'!$L$31,'Model Inputs &amp; Assumptions'!$A$40:$A$42,0))</f>
        <v>5728.28878791963</v>
      </c>
      <c r="L1513" s="51" t="n">
        <f aca="false">IFERROR(K1513/I1513,0)</f>
        <v>1.10481047447899</v>
      </c>
      <c r="M1513" s="49" t="n">
        <f aca="false">IFERROR(I1513/H1513,0)</f>
        <v>143.69885484193</v>
      </c>
      <c r="N1513" s="52" t="str">
        <f aca="false">'Model Inputs &amp; Assumptions'!$L$31</f>
        <v>PRD-USIQ</v>
      </c>
      <c r="P1513" s="53" t="n">
        <v>-0.035546</v>
      </c>
      <c r="Q1513" s="53" t="n">
        <v>-1.705785</v>
      </c>
      <c r="R1513" s="53" t="n">
        <v>0.314417</v>
      </c>
      <c r="S1513" s="53" t="n">
        <v>-0.909104</v>
      </c>
    </row>
    <row r="1514" customFormat="false" ht="15" hidden="false" customHeight="false" outlineLevel="0" collapsed="false">
      <c r="A1514" s="43" t="n">
        <v>11</v>
      </c>
      <c r="B1514" s="44" t="str">
        <f aca="false">'Model Inputs &amp; Assumptions'!$B$31</f>
        <v>YouTube — Finfluencer Pre-roll</v>
      </c>
      <c r="C1514" s="45" t="n">
        <f aca="false">ROUND(MAX(0,'Model Inputs &amp; Assumptions'!$S$31*EXP('Model Inputs &amp; Assumptions'!$T$31*P1514-'Model Inputs &amp; Assumptions'!$T$31^2/2)),0)</f>
        <v>452917</v>
      </c>
      <c r="D1514" s="46" t="n">
        <f aca="false">MIN(1,'Model Inputs &amp; Assumptions'!$U$31*EXP('Model Inputs &amp; Assumptions'!$V$31*Q1514-'Model Inputs &amp; Assumptions'!$V$31^2/2))</f>
        <v>0.570535616056151</v>
      </c>
      <c r="E1514" s="45" t="n">
        <f aca="false">ROUND(C1514*D1514,0)</f>
        <v>258405</v>
      </c>
      <c r="F1514" s="47" t="n">
        <f aca="false">MIN(1,'Model Inputs &amp; Assumptions'!$W$31*EXP('Model Inputs &amp; Assumptions'!$X$31*R1514-'Model Inputs &amp; Assumptions'!$X$31^2/2))</f>
        <v>0.00371390510666861</v>
      </c>
      <c r="G1514" s="45" t="n">
        <f aca="false">ROUND(C1514*F1514,0)</f>
        <v>1682</v>
      </c>
      <c r="H1514" s="48" t="n">
        <f aca="false">MAX(0,(C1514*'Model Inputs &amp; Assumptions'!$N$31+E1514*'Model Inputs &amp; Assumptions'!$O$31+G1514*'Model Inputs &amp; Assumptions'!$P$31)*EXP('Model Inputs &amp; Assumptions'!$Q$31*S1514-'Model Inputs &amp; Assumptions'!$Q$31^2/2))</f>
        <v>44.8863708120909</v>
      </c>
      <c r="I1514" s="49" t="n">
        <f aca="false">IF('Model Inputs &amp; Assumptions'!$H$31="Fixed",'Model Inputs &amp; Assumptions'!$I$31*'Model Inputs &amp; Assumptions'!$K$31,IF('Model Inputs &amp; Assumptions'!$H$31="CPM",'Model Inputs &amp; Assumptions'!$I$31*'Model Inputs &amp; Assumptions'!$K$31*C1514/1000,IF('Model Inputs &amp; Assumptions'!$H$31="CPC",'Model Inputs &amp; Assumptions'!$I$31*'Model Inputs &amp; Assumptions'!$K$31*G1514,0)))</f>
        <v>5138.796282</v>
      </c>
      <c r="J1514" s="50" t="n">
        <f aca="false">H1514*INDEX('Model Inputs &amp; Assumptions'!$D$40:$D$42,MATCH('Model Inputs &amp; Assumptions'!$L$31,'Model Inputs &amp; Assumptions'!$A$40:$A$42,0))*INDEX('Model Inputs &amp; Assumptions'!$H$40:$H$42,MATCH('Model Inputs &amp; Assumptions'!$L$31,'Model Inputs &amp; Assumptions'!$A$40:$A$42,0))</f>
        <v>323181.869847054</v>
      </c>
      <c r="K1514" s="49" t="n">
        <f aca="false">H1514*INDEX('Model Inputs &amp; Assumptions'!$G$40:$G$42,MATCH('Model Inputs &amp; Assumptions'!$L$31,'Model Inputs &amp; Assumptions'!$A$40:$A$42,0))*INDEX('Model Inputs &amp; Assumptions'!$H$40:$H$42,MATCH('Model Inputs &amp; Assumptions'!$L$31,'Model Inputs &amp; Assumptions'!$A$40:$A$42,0))</f>
        <v>7126.16023012754</v>
      </c>
      <c r="L1514" s="51" t="n">
        <f aca="false">IFERROR(K1514/I1514,0)</f>
        <v>1.38673725111245</v>
      </c>
      <c r="M1514" s="49" t="n">
        <f aca="false">IFERROR(I1514/H1514,0)</f>
        <v>114.484557094462</v>
      </c>
      <c r="N1514" s="52" t="str">
        <f aca="false">'Model Inputs &amp; Assumptions'!$L$31</f>
        <v>PRD-USIQ</v>
      </c>
      <c r="P1514" s="53" t="n">
        <v>-0.06742</v>
      </c>
      <c r="Q1514" s="53" t="n">
        <v>-0.169621</v>
      </c>
      <c r="R1514" s="53" t="n">
        <v>-1.118975</v>
      </c>
      <c r="S1514" s="53" t="n">
        <v>0.111048</v>
      </c>
    </row>
    <row r="1515" customFormat="false" ht="15" hidden="false" customHeight="false" outlineLevel="0" collapsed="false">
      <c r="A1515" s="43" t="n">
        <v>12</v>
      </c>
      <c r="B1515" s="44" t="str">
        <f aca="false">'Model Inputs &amp; Assumptions'!$B$31</f>
        <v>YouTube — Finfluencer Pre-roll</v>
      </c>
      <c r="C1515" s="45" t="n">
        <f aca="false">ROUND(MAX(0,'Model Inputs &amp; Assumptions'!$S$31*EXP('Model Inputs &amp; Assumptions'!$T$31*P1515-'Model Inputs &amp; Assumptions'!$T$31^2/2)),0)</f>
        <v>452778</v>
      </c>
      <c r="D1515" s="46" t="n">
        <f aca="false">MIN(1,'Model Inputs &amp; Assumptions'!$U$31*EXP('Model Inputs &amp; Assumptions'!$V$31*Q1515-'Model Inputs &amp; Assumptions'!$V$31^2/2))</f>
        <v>0.692883487188574</v>
      </c>
      <c r="E1515" s="45" t="n">
        <f aca="false">ROUND(C1515*D1515,0)</f>
        <v>313722</v>
      </c>
      <c r="F1515" s="47" t="n">
        <f aca="false">MIN(1,'Model Inputs &amp; Assumptions'!$W$31*EXP('Model Inputs &amp; Assumptions'!$X$31*R1515-'Model Inputs &amp; Assumptions'!$X$31^2/2))</f>
        <v>0.00363936753501211</v>
      </c>
      <c r="G1515" s="45" t="n">
        <f aca="false">ROUND(C1515*F1515,0)</f>
        <v>1648</v>
      </c>
      <c r="H1515" s="48" t="n">
        <f aca="false">MAX(0,(C1515*'Model Inputs &amp; Assumptions'!$N$31+E1515*'Model Inputs &amp; Assumptions'!$O$31+G1515*'Model Inputs &amp; Assumptions'!$P$31)*EXP('Model Inputs &amp; Assumptions'!$Q$31*S1515-'Model Inputs &amp; Assumptions'!$Q$31^2/2))</f>
        <v>32.164020336487</v>
      </c>
      <c r="I1515" s="49" t="n">
        <f aca="false">IF('Model Inputs &amp; Assumptions'!$H$31="Fixed",'Model Inputs &amp; Assumptions'!$I$31*'Model Inputs &amp; Assumptions'!$K$31,IF('Model Inputs &amp; Assumptions'!$H$31="CPM",'Model Inputs &amp; Assumptions'!$I$31*'Model Inputs &amp; Assumptions'!$K$31*C1515/1000,IF('Model Inputs &amp; Assumptions'!$H$31="CPC",'Model Inputs &amp; Assumptions'!$I$31*'Model Inputs &amp; Assumptions'!$K$31*G1515,0)))</f>
        <v>5137.219188</v>
      </c>
      <c r="J1515" s="50" t="n">
        <f aca="false">H1515*INDEX('Model Inputs &amp; Assumptions'!$D$40:$D$42,MATCH('Model Inputs &amp; Assumptions'!$L$31,'Model Inputs &amp; Assumptions'!$A$40:$A$42,0))*INDEX('Model Inputs &amp; Assumptions'!$H$40:$H$42,MATCH('Model Inputs &amp; Assumptions'!$L$31,'Model Inputs &amp; Assumptions'!$A$40:$A$42,0))</f>
        <v>231580.946422707</v>
      </c>
      <c r="K1515" s="49" t="n">
        <f aca="false">H1515*INDEX('Model Inputs &amp; Assumptions'!$G$40:$G$42,MATCH('Model Inputs &amp; Assumptions'!$L$31,'Model Inputs &amp; Assumptions'!$A$40:$A$42,0))*INDEX('Model Inputs &amp; Assumptions'!$H$40:$H$42,MATCH('Model Inputs &amp; Assumptions'!$L$31,'Model Inputs &amp; Assumptions'!$A$40:$A$42,0))</f>
        <v>5106.35986862068</v>
      </c>
      <c r="L1515" s="51" t="n">
        <f aca="false">IFERROR(K1515/I1515,0)</f>
        <v>0.993992991490142</v>
      </c>
      <c r="M1515" s="49" t="n">
        <f aca="false">IFERROR(I1515/H1515,0)</f>
        <v>159.71943601131</v>
      </c>
      <c r="N1515" s="52" t="str">
        <f aca="false">'Model Inputs &amp; Assumptions'!$L$31</f>
        <v>PRD-USIQ</v>
      </c>
      <c r="P1515" s="53" t="n">
        <v>-0.068516</v>
      </c>
      <c r="Q1515" s="53" t="n">
        <v>1.218138</v>
      </c>
      <c r="R1515" s="53" t="n">
        <v>-1.20345</v>
      </c>
      <c r="S1515" s="53" t="n">
        <v>-1.075066</v>
      </c>
    </row>
    <row r="1516" customFormat="false" ht="15" hidden="false" customHeight="false" outlineLevel="0" collapsed="false">
      <c r="A1516" s="43" t="n">
        <v>13</v>
      </c>
      <c r="B1516" s="44" t="str">
        <f aca="false">'Model Inputs &amp; Assumptions'!$B$31</f>
        <v>YouTube — Finfluencer Pre-roll</v>
      </c>
      <c r="C1516" s="45" t="n">
        <f aca="false">ROUND(MAX(0,'Model Inputs &amp; Assumptions'!$S$31*EXP('Model Inputs &amp; Assumptions'!$T$31*P1516-'Model Inputs &amp; Assumptions'!$T$31^2/2)),0)</f>
        <v>617749</v>
      </c>
      <c r="D1516" s="46" t="n">
        <f aca="false">MIN(1,'Model Inputs &amp; Assumptions'!$U$31*EXP('Model Inputs &amp; Assumptions'!$V$31*Q1516-'Model Inputs &amp; Assumptions'!$V$31^2/2))</f>
        <v>0.673971090055583</v>
      </c>
      <c r="E1516" s="45" t="n">
        <f aca="false">ROUND(C1516*D1516,0)</f>
        <v>416345</v>
      </c>
      <c r="F1516" s="47" t="n">
        <f aca="false">MIN(1,'Model Inputs &amp; Assumptions'!$W$31*EXP('Model Inputs &amp; Assumptions'!$X$31*R1516-'Model Inputs &amp; Assumptions'!$X$31^2/2))</f>
        <v>0.00472634261750016</v>
      </c>
      <c r="G1516" s="45" t="n">
        <f aca="false">ROUND(C1516*F1516,0)</f>
        <v>2920</v>
      </c>
      <c r="H1516" s="48" t="n">
        <f aca="false">MAX(0,(C1516*'Model Inputs &amp; Assumptions'!$N$31+E1516*'Model Inputs &amp; Assumptions'!$O$31+G1516*'Model Inputs &amp; Assumptions'!$P$31)*EXP('Model Inputs &amp; Assumptions'!$Q$31*S1516-'Model Inputs &amp; Assumptions'!$Q$31^2/2))</f>
        <v>60.8242981032038</v>
      </c>
      <c r="I1516" s="49" t="n">
        <f aca="false">IF('Model Inputs &amp; Assumptions'!$H$31="Fixed",'Model Inputs &amp; Assumptions'!$I$31*'Model Inputs &amp; Assumptions'!$K$31,IF('Model Inputs &amp; Assumptions'!$H$31="CPM",'Model Inputs &amp; Assumptions'!$I$31*'Model Inputs &amp; Assumptions'!$K$31*C1516/1000,IF('Model Inputs &amp; Assumptions'!$H$31="CPC",'Model Inputs &amp; Assumptions'!$I$31*'Model Inputs &amp; Assumptions'!$K$31*G1516,0)))</f>
        <v>7008.980154</v>
      </c>
      <c r="J1516" s="50" t="n">
        <f aca="false">H1516*INDEX('Model Inputs &amp; Assumptions'!$D$40:$D$42,MATCH('Model Inputs &amp; Assumptions'!$L$31,'Model Inputs &amp; Assumptions'!$A$40:$A$42,0))*INDEX('Model Inputs &amp; Assumptions'!$H$40:$H$42,MATCH('Model Inputs &amp; Assumptions'!$L$31,'Model Inputs &amp; Assumptions'!$A$40:$A$42,0))</f>
        <v>437934.946343067</v>
      </c>
      <c r="K1516" s="49" t="n">
        <f aca="false">H1516*INDEX('Model Inputs &amp; Assumptions'!$G$40:$G$42,MATCH('Model Inputs &amp; Assumptions'!$L$31,'Model Inputs &amp; Assumptions'!$A$40:$A$42,0))*INDEX('Model Inputs &amp; Assumptions'!$H$40:$H$42,MATCH('Model Inputs &amp; Assumptions'!$L$31,'Model Inputs &amp; Assumptions'!$A$40:$A$42,0))</f>
        <v>9656.46556686464</v>
      </c>
      <c r="L1516" s="51" t="n">
        <f aca="false">IFERROR(K1516/I1516,0)</f>
        <v>1.37772762294864</v>
      </c>
      <c r="M1516" s="49" t="n">
        <f aca="false">IFERROR(I1516/H1516,0)</f>
        <v>115.233227058494</v>
      </c>
      <c r="N1516" s="52" t="str">
        <f aca="false">'Model Inputs &amp; Assumptions'!$L$31</f>
        <v>PRD-USIQ</v>
      </c>
      <c r="P1516" s="53" t="n">
        <v>1.041058</v>
      </c>
      <c r="Q1516" s="53" t="n">
        <v>1.020462</v>
      </c>
      <c r="R1516" s="53" t="n">
        <v>-0.114526</v>
      </c>
      <c r="S1516" s="53" t="n">
        <v>-0.50275</v>
      </c>
    </row>
    <row r="1517" customFormat="false" ht="15" hidden="false" customHeight="false" outlineLevel="0" collapsed="false">
      <c r="A1517" s="43" t="n">
        <v>14</v>
      </c>
      <c r="B1517" s="44" t="str">
        <f aca="false">'Model Inputs &amp; Assumptions'!$B$31</f>
        <v>YouTube — Finfluencer Pre-roll</v>
      </c>
      <c r="C1517" s="45" t="n">
        <f aca="false">ROUND(MAX(0,'Model Inputs &amp; Assumptions'!$S$31*EXP('Model Inputs &amp; Assumptions'!$T$31*P1517-'Model Inputs &amp; Assumptions'!$T$31^2/2)),0)</f>
        <v>542026</v>
      </c>
      <c r="D1517" s="46" t="n">
        <f aca="false">MIN(1,'Model Inputs &amp; Assumptions'!$U$31*EXP('Model Inputs &amp; Assumptions'!$V$31*Q1517-'Model Inputs &amp; Assumptions'!$V$31^2/2))</f>
        <v>0.547868928570985</v>
      </c>
      <c r="E1517" s="45" t="n">
        <f aca="false">ROUND(C1517*D1517,0)</f>
        <v>296959</v>
      </c>
      <c r="F1517" s="47" t="n">
        <f aca="false">MIN(1,'Model Inputs &amp; Assumptions'!$W$31*EXP('Model Inputs &amp; Assumptions'!$X$31*R1517-'Model Inputs &amp; Assumptions'!$X$31^2/2))</f>
        <v>0.00420847215145699</v>
      </c>
      <c r="G1517" s="45" t="n">
        <f aca="false">ROUND(C1517*F1517,0)</f>
        <v>2281</v>
      </c>
      <c r="H1517" s="48" t="n">
        <f aca="false">MAX(0,(C1517*'Model Inputs &amp; Assumptions'!$N$31+E1517*'Model Inputs &amp; Assumptions'!$O$31+G1517*'Model Inputs &amp; Assumptions'!$P$31)*EXP('Model Inputs &amp; Assumptions'!$Q$31*S1517-'Model Inputs &amp; Assumptions'!$Q$31^2/2))</f>
        <v>58.955997197008</v>
      </c>
      <c r="I1517" s="49" t="n">
        <f aca="false">IF('Model Inputs &amp; Assumptions'!$H$31="Fixed",'Model Inputs &amp; Assumptions'!$I$31*'Model Inputs &amp; Assumptions'!$K$31,IF('Model Inputs &amp; Assumptions'!$H$31="CPM",'Model Inputs &amp; Assumptions'!$I$31*'Model Inputs &amp; Assumptions'!$K$31*C1517/1000,IF('Model Inputs &amp; Assumptions'!$H$31="CPC",'Model Inputs &amp; Assumptions'!$I$31*'Model Inputs &amp; Assumptions'!$K$31*G1517,0)))</f>
        <v>6149.826996</v>
      </c>
      <c r="J1517" s="50" t="n">
        <f aca="false">H1517*INDEX('Model Inputs &amp; Assumptions'!$D$40:$D$42,MATCH('Model Inputs &amp; Assumptions'!$L$31,'Model Inputs &amp; Assumptions'!$A$40:$A$42,0))*INDEX('Model Inputs &amp; Assumptions'!$H$40:$H$42,MATCH('Model Inputs &amp; Assumptions'!$L$31,'Model Inputs &amp; Assumptions'!$A$40:$A$42,0))</f>
        <v>424483.179818457</v>
      </c>
      <c r="K1517" s="49" t="n">
        <f aca="false">H1517*INDEX('Model Inputs &amp; Assumptions'!$G$40:$G$42,MATCH('Model Inputs &amp; Assumptions'!$L$31,'Model Inputs &amp; Assumptions'!$A$40:$A$42,0))*INDEX('Model Inputs &amp; Assumptions'!$H$40:$H$42,MATCH('Model Inputs &amp; Assumptions'!$L$31,'Model Inputs &amp; Assumptions'!$A$40:$A$42,0))</f>
        <v>9359.85411499698</v>
      </c>
      <c r="L1517" s="51" t="n">
        <f aca="false">IFERROR(K1517/I1517,0)</f>
        <v>1.52197031251202</v>
      </c>
      <c r="M1517" s="49" t="n">
        <f aca="false">IFERROR(I1517/H1517,0)</f>
        <v>104.312152934157</v>
      </c>
      <c r="N1517" s="52" t="str">
        <f aca="false">'Model Inputs &amp; Assumptions'!$L$31</f>
        <v>PRD-USIQ</v>
      </c>
      <c r="P1517" s="53" t="n">
        <v>0.574027</v>
      </c>
      <c r="Q1517" s="53" t="n">
        <v>-0.459189</v>
      </c>
      <c r="R1517" s="53" t="n">
        <v>-0.598076</v>
      </c>
      <c r="S1517" s="53" t="n">
        <v>0.223103</v>
      </c>
    </row>
    <row r="1518" customFormat="false" ht="15" hidden="false" customHeight="false" outlineLevel="0" collapsed="false">
      <c r="A1518" s="43" t="n">
        <v>15</v>
      </c>
      <c r="B1518" s="44" t="str">
        <f aca="false">'Model Inputs &amp; Assumptions'!$B$31</f>
        <v>YouTube — Finfluencer Pre-roll</v>
      </c>
      <c r="C1518" s="45" t="n">
        <f aca="false">ROUND(MAX(0,'Model Inputs &amp; Assumptions'!$S$31*EXP('Model Inputs &amp; Assumptions'!$T$31*P1518-'Model Inputs &amp; Assumptions'!$T$31^2/2)),0)</f>
        <v>348469</v>
      </c>
      <c r="D1518" s="46" t="n">
        <f aca="false">MIN(1,'Model Inputs &amp; Assumptions'!$U$31*EXP('Model Inputs &amp; Assumptions'!$V$31*Q1518-'Model Inputs &amp; Assumptions'!$V$31^2/2))</f>
        <v>0.549790676113569</v>
      </c>
      <c r="E1518" s="45" t="n">
        <f aca="false">ROUND(C1518*D1518,0)</f>
        <v>191585</v>
      </c>
      <c r="F1518" s="47" t="n">
        <f aca="false">MIN(1,'Model Inputs &amp; Assumptions'!$W$31*EXP('Model Inputs &amp; Assumptions'!$X$31*R1518-'Model Inputs &amp; Assumptions'!$X$31^2/2))</f>
        <v>0.00481145951919137</v>
      </c>
      <c r="G1518" s="45" t="n">
        <f aca="false">ROUND(C1518*F1518,0)</f>
        <v>1677</v>
      </c>
      <c r="H1518" s="48" t="n">
        <f aca="false">MAX(0,(C1518*'Model Inputs &amp; Assumptions'!$N$31+E1518*'Model Inputs &amp; Assumptions'!$O$31+G1518*'Model Inputs &amp; Assumptions'!$P$31)*EXP('Model Inputs &amp; Assumptions'!$Q$31*S1518-'Model Inputs &amp; Assumptions'!$Q$31^2/2))</f>
        <v>55.6861933172059</v>
      </c>
      <c r="I1518" s="49" t="n">
        <f aca="false">IF('Model Inputs &amp; Assumptions'!$H$31="Fixed",'Model Inputs &amp; Assumptions'!$I$31*'Model Inputs &amp; Assumptions'!$K$31,IF('Model Inputs &amp; Assumptions'!$H$31="CPM",'Model Inputs &amp; Assumptions'!$I$31*'Model Inputs &amp; Assumptions'!$K$31*C1518/1000,IF('Model Inputs &amp; Assumptions'!$H$31="CPC",'Model Inputs &amp; Assumptions'!$I$31*'Model Inputs &amp; Assumptions'!$K$31*G1518,0)))</f>
        <v>3953.729274</v>
      </c>
      <c r="J1518" s="50" t="n">
        <f aca="false">H1518*INDEX('Model Inputs &amp; Assumptions'!$D$40:$D$42,MATCH('Model Inputs &amp; Assumptions'!$L$31,'Model Inputs &amp; Assumptions'!$A$40:$A$42,0))*INDEX('Model Inputs &amp; Assumptions'!$H$40:$H$42,MATCH('Model Inputs &amp; Assumptions'!$L$31,'Model Inputs &amp; Assumptions'!$A$40:$A$42,0))</f>
        <v>400940.591883882</v>
      </c>
      <c r="K1518" s="49" t="n">
        <f aca="false">H1518*INDEX('Model Inputs &amp; Assumptions'!$G$40:$G$42,MATCH('Model Inputs &amp; Assumptions'!$L$31,'Model Inputs &amp; Assumptions'!$A$40:$A$42,0))*INDEX('Model Inputs &amp; Assumptions'!$H$40:$H$42,MATCH('Model Inputs &amp; Assumptions'!$L$31,'Model Inputs &amp; Assumptions'!$A$40:$A$42,0))</f>
        <v>8840.7400510396</v>
      </c>
      <c r="L1518" s="51" t="n">
        <f aca="false">IFERROR(K1518/I1518,0)</f>
        <v>2.23605093782645</v>
      </c>
      <c r="M1518" s="49" t="n">
        <f aca="false">IFERROR(I1518/H1518,0)</f>
        <v>71.0001714694041</v>
      </c>
      <c r="N1518" s="52" t="str">
        <f aca="false">'Model Inputs &amp; Assumptions'!$L$31</f>
        <v>PRD-USIQ</v>
      </c>
      <c r="P1518" s="53" t="n">
        <v>-1.003707</v>
      </c>
      <c r="Q1518" s="53" t="n">
        <v>-0.434178</v>
      </c>
      <c r="R1518" s="53" t="n">
        <v>-0.040156</v>
      </c>
      <c r="S1518" s="53" t="n">
        <v>1.086085</v>
      </c>
    </row>
    <row r="1519" customFormat="false" ht="15" hidden="false" customHeight="false" outlineLevel="0" collapsed="false">
      <c r="A1519" s="43" t="n">
        <v>16</v>
      </c>
      <c r="B1519" s="44" t="str">
        <f aca="false">'Model Inputs &amp; Assumptions'!$B$31</f>
        <v>YouTube — Finfluencer Pre-roll</v>
      </c>
      <c r="C1519" s="45" t="n">
        <f aca="false">ROUND(MAX(0,'Model Inputs &amp; Assumptions'!$S$31*EXP('Model Inputs &amp; Assumptions'!$T$31*P1519-'Model Inputs &amp; Assumptions'!$T$31^2/2)),0)</f>
        <v>644046</v>
      </c>
      <c r="D1519" s="46" t="n">
        <f aca="false">MIN(1,'Model Inputs &amp; Assumptions'!$U$31*EXP('Model Inputs &amp; Assumptions'!$V$31*Q1519-'Model Inputs &amp; Assumptions'!$V$31^2/2))</f>
        <v>0.593511491962758</v>
      </c>
      <c r="E1519" s="45" t="n">
        <f aca="false">ROUND(C1519*D1519,0)</f>
        <v>382249</v>
      </c>
      <c r="F1519" s="47" t="n">
        <f aca="false">MIN(1,'Model Inputs &amp; Assumptions'!$W$31*EXP('Model Inputs &amp; Assumptions'!$X$31*R1519-'Model Inputs &amp; Assumptions'!$X$31^2/2))</f>
        <v>0.00559311642842569</v>
      </c>
      <c r="G1519" s="45" t="n">
        <f aca="false">ROUND(C1519*F1519,0)</f>
        <v>3602</v>
      </c>
      <c r="H1519" s="48" t="n">
        <f aca="false">MAX(0,(C1519*'Model Inputs &amp; Assumptions'!$N$31+E1519*'Model Inputs &amp; Assumptions'!$O$31+G1519*'Model Inputs &amp; Assumptions'!$P$31)*EXP('Model Inputs &amp; Assumptions'!$Q$31*S1519-'Model Inputs &amp; Assumptions'!$Q$31^2/2))</f>
        <v>63.730271368975</v>
      </c>
      <c r="I1519" s="49" t="n">
        <f aca="false">IF('Model Inputs &amp; Assumptions'!$H$31="Fixed",'Model Inputs &amp; Assumptions'!$I$31*'Model Inputs &amp; Assumptions'!$K$31,IF('Model Inputs &amp; Assumptions'!$H$31="CPM",'Model Inputs &amp; Assumptions'!$I$31*'Model Inputs &amp; Assumptions'!$K$31*C1519/1000,IF('Model Inputs &amp; Assumptions'!$H$31="CPC",'Model Inputs &amp; Assumptions'!$I$31*'Model Inputs &amp; Assumptions'!$K$31*G1519,0)))</f>
        <v>7307.345916</v>
      </c>
      <c r="J1519" s="50" t="n">
        <f aca="false">H1519*INDEX('Model Inputs &amp; Assumptions'!$D$40:$D$42,MATCH('Model Inputs &amp; Assumptions'!$L$31,'Model Inputs &amp; Assumptions'!$A$40:$A$42,0))*INDEX('Model Inputs &amp; Assumptions'!$H$40:$H$42,MATCH('Model Inputs &amp; Assumptions'!$L$31,'Model Inputs &amp; Assumptions'!$A$40:$A$42,0))</f>
        <v>458857.95385662</v>
      </c>
      <c r="K1519" s="49" t="n">
        <f aca="false">H1519*INDEX('Model Inputs &amp; Assumptions'!$G$40:$G$42,MATCH('Model Inputs &amp; Assumptions'!$L$31,'Model Inputs &amp; Assumptions'!$A$40:$A$42,0))*INDEX('Model Inputs &amp; Assumptions'!$H$40:$H$42,MATCH('Model Inputs &amp; Assumptions'!$L$31,'Model Inputs &amp; Assumptions'!$A$40:$A$42,0))</f>
        <v>10117.8178825385</v>
      </c>
      <c r="L1519" s="51" t="n">
        <f aca="false">IFERROR(K1519/I1519,0)</f>
        <v>1.38460913152951</v>
      </c>
      <c r="M1519" s="49" t="n">
        <f aca="false">IFERROR(I1519/H1519,0)</f>
        <v>114.66051782038</v>
      </c>
      <c r="N1519" s="52" t="str">
        <f aca="false">'Model Inputs &amp; Assumptions'!$L$31</f>
        <v>PRD-USIQ</v>
      </c>
      <c r="P1519" s="53" t="n">
        <v>1.189944</v>
      </c>
      <c r="Q1519" s="53" t="n">
        <v>0.112386</v>
      </c>
      <c r="R1519" s="53" t="n">
        <v>0.587078</v>
      </c>
      <c r="S1519" s="53" t="n">
        <v>-0.634691</v>
      </c>
    </row>
    <row r="1520" customFormat="false" ht="15" hidden="false" customHeight="false" outlineLevel="0" collapsed="false">
      <c r="A1520" s="43" t="n">
        <v>17</v>
      </c>
      <c r="B1520" s="44" t="str">
        <f aca="false">'Model Inputs &amp; Assumptions'!$B$31</f>
        <v>YouTube — Finfluencer Pre-roll</v>
      </c>
      <c r="C1520" s="45" t="n">
        <f aca="false">ROUND(MAX(0,'Model Inputs &amp; Assumptions'!$S$31*EXP('Model Inputs &amp; Assumptions'!$T$31*P1520-'Model Inputs &amp; Assumptions'!$T$31^2/2)),0)</f>
        <v>385531</v>
      </c>
      <c r="D1520" s="46" t="n">
        <f aca="false">MIN(1,'Model Inputs &amp; Assumptions'!$U$31*EXP('Model Inputs &amp; Assumptions'!$V$31*Q1520-'Model Inputs &amp; Assumptions'!$V$31^2/2))</f>
        <v>0.455952654785764</v>
      </c>
      <c r="E1520" s="45" t="n">
        <f aca="false">ROUND(C1520*D1520,0)</f>
        <v>175784</v>
      </c>
      <c r="F1520" s="47" t="n">
        <f aca="false">MIN(1,'Model Inputs &amp; Assumptions'!$W$31*EXP('Model Inputs &amp; Assumptions'!$X$31*R1520-'Model Inputs &amp; Assumptions'!$X$31^2/2))</f>
        <v>0.00575071981639435</v>
      </c>
      <c r="G1520" s="45" t="n">
        <f aca="false">ROUND(C1520*F1520,0)</f>
        <v>2217</v>
      </c>
      <c r="H1520" s="48" t="n">
        <f aca="false">MAX(0,(C1520*'Model Inputs &amp; Assumptions'!$N$31+E1520*'Model Inputs &amp; Assumptions'!$O$31+G1520*'Model Inputs &amp; Assumptions'!$P$31)*EXP('Model Inputs &amp; Assumptions'!$Q$31*S1520-'Model Inputs &amp; Assumptions'!$Q$31^2/2))</f>
        <v>64.6706492838654</v>
      </c>
      <c r="I1520" s="49" t="n">
        <f aca="false">IF('Model Inputs &amp; Assumptions'!$H$31="Fixed",'Model Inputs &amp; Assumptions'!$I$31*'Model Inputs &amp; Assumptions'!$K$31,IF('Model Inputs &amp; Assumptions'!$H$31="CPM",'Model Inputs &amp; Assumptions'!$I$31*'Model Inputs &amp; Assumptions'!$K$31*C1520/1000,IF('Model Inputs &amp; Assumptions'!$H$31="CPC",'Model Inputs &amp; Assumptions'!$I$31*'Model Inputs &amp; Assumptions'!$K$31*G1520,0)))</f>
        <v>4374.234726</v>
      </c>
      <c r="J1520" s="50" t="n">
        <f aca="false">H1520*INDEX('Model Inputs &amp; Assumptions'!$D$40:$D$42,MATCH('Model Inputs &amp; Assumptions'!$L$31,'Model Inputs &amp; Assumptions'!$A$40:$A$42,0))*INDEX('Model Inputs &amp; Assumptions'!$H$40:$H$42,MATCH('Model Inputs &amp; Assumptions'!$L$31,'Model Inputs &amp; Assumptions'!$A$40:$A$42,0))</f>
        <v>465628.674843831</v>
      </c>
      <c r="K1520" s="49" t="n">
        <f aca="false">H1520*INDEX('Model Inputs &amp; Assumptions'!$G$40:$G$42,MATCH('Model Inputs &amp; Assumptions'!$L$31,'Model Inputs &amp; Assumptions'!$A$40:$A$42,0))*INDEX('Model Inputs &amp; Assumptions'!$H$40:$H$42,MATCH('Model Inputs &amp; Assumptions'!$L$31,'Model Inputs &amp; Assumptions'!$A$40:$A$42,0))</f>
        <v>10267.1122803065</v>
      </c>
      <c r="L1520" s="51" t="n">
        <f aca="false">IFERROR(K1520/I1520,0)</f>
        <v>2.3471790892427</v>
      </c>
      <c r="M1520" s="49" t="n">
        <f aca="false">IFERROR(I1520/H1520,0)</f>
        <v>67.6386393895588</v>
      </c>
      <c r="N1520" s="52" t="str">
        <f aca="false">'Model Inputs &amp; Assumptions'!$L$31</f>
        <v>PRD-USIQ</v>
      </c>
      <c r="P1520" s="53" t="n">
        <v>-0.642732</v>
      </c>
      <c r="Q1520" s="53" t="n">
        <v>-1.770954</v>
      </c>
      <c r="R1520" s="53" t="n">
        <v>0.702863</v>
      </c>
      <c r="S1520" s="53" t="n">
        <v>1.067636</v>
      </c>
    </row>
    <row r="1521" customFormat="false" ht="15" hidden="false" customHeight="false" outlineLevel="0" collapsed="false">
      <c r="A1521" s="43" t="n">
        <v>18</v>
      </c>
      <c r="B1521" s="44" t="str">
        <f aca="false">'Model Inputs &amp; Assumptions'!$B$31</f>
        <v>YouTube — Finfluencer Pre-roll</v>
      </c>
      <c r="C1521" s="45" t="n">
        <f aca="false">ROUND(MAX(0,'Model Inputs &amp; Assumptions'!$S$31*EXP('Model Inputs &amp; Assumptions'!$T$31*P1521-'Model Inputs &amp; Assumptions'!$T$31^2/2)),0)</f>
        <v>512181</v>
      </c>
      <c r="D1521" s="46" t="n">
        <f aca="false">MIN(1,'Model Inputs &amp; Assumptions'!$U$31*EXP('Model Inputs &amp; Assumptions'!$V$31*Q1521-'Model Inputs &amp; Assumptions'!$V$31^2/2))</f>
        <v>0.658537005919046</v>
      </c>
      <c r="E1521" s="45" t="n">
        <f aca="false">ROUND(C1521*D1521,0)</f>
        <v>337290</v>
      </c>
      <c r="F1521" s="47" t="n">
        <f aca="false">MIN(1,'Model Inputs &amp; Assumptions'!$W$31*EXP('Model Inputs &amp; Assumptions'!$X$31*R1521-'Model Inputs &amp; Assumptions'!$X$31^2/2))</f>
        <v>0.00418374171154218</v>
      </c>
      <c r="G1521" s="45" t="n">
        <f aca="false">ROUND(C1521*F1521,0)</f>
        <v>2143</v>
      </c>
      <c r="H1521" s="48" t="n">
        <f aca="false">MAX(0,(C1521*'Model Inputs &amp; Assumptions'!$N$31+E1521*'Model Inputs &amp; Assumptions'!$O$31+G1521*'Model Inputs &amp; Assumptions'!$P$31)*EXP('Model Inputs &amp; Assumptions'!$Q$31*S1521-'Model Inputs &amp; Assumptions'!$Q$31^2/2))</f>
        <v>70.0318485574026</v>
      </c>
      <c r="I1521" s="49" t="n">
        <f aca="false">IF('Model Inputs &amp; Assumptions'!$H$31="Fixed",'Model Inputs &amp; Assumptions'!$I$31*'Model Inputs &amp; Assumptions'!$K$31,IF('Model Inputs &amp; Assumptions'!$H$31="CPM",'Model Inputs &amp; Assumptions'!$I$31*'Model Inputs &amp; Assumptions'!$K$31*C1521/1000,IF('Model Inputs &amp; Assumptions'!$H$31="CPC",'Model Inputs &amp; Assumptions'!$I$31*'Model Inputs &amp; Assumptions'!$K$31*G1521,0)))</f>
        <v>5811.205626</v>
      </c>
      <c r="J1521" s="50" t="n">
        <f aca="false">H1521*INDEX('Model Inputs &amp; Assumptions'!$D$40:$D$42,MATCH('Model Inputs &amp; Assumptions'!$L$31,'Model Inputs &amp; Assumptions'!$A$40:$A$42,0))*INDEX('Model Inputs &amp; Assumptions'!$H$40:$H$42,MATCH('Model Inputs &amp; Assumptions'!$L$31,'Model Inputs &amp; Assumptions'!$A$40:$A$42,0))</f>
        <v>504229.309613299</v>
      </c>
      <c r="K1521" s="49" t="n">
        <f aca="false">H1521*INDEX('Model Inputs &amp; Assumptions'!$G$40:$G$42,MATCH('Model Inputs &amp; Assumptions'!$L$31,'Model Inputs &amp; Assumptions'!$A$40:$A$42,0))*INDEX('Model Inputs &amp; Assumptions'!$H$40:$H$42,MATCH('Model Inputs &amp; Assumptions'!$L$31,'Model Inputs &amp; Assumptions'!$A$40:$A$42,0))</f>
        <v>11118.2562769732</v>
      </c>
      <c r="L1521" s="51" t="n">
        <f aca="false">IFERROR(K1521/I1521,0)</f>
        <v>1.91324434076621</v>
      </c>
      <c r="M1521" s="49" t="n">
        <f aca="false">IFERROR(I1521/H1521,0)</f>
        <v>82.9794692801342</v>
      </c>
      <c r="N1521" s="52" t="str">
        <f aca="false">'Model Inputs &amp; Assumptions'!$L$31</f>
        <v>PRD-USIQ</v>
      </c>
      <c r="P1521" s="53" t="n">
        <v>0.371756</v>
      </c>
      <c r="Q1521" s="53" t="n">
        <v>0.854987</v>
      </c>
      <c r="R1521" s="53" t="n">
        <v>-0.622633</v>
      </c>
      <c r="S1521" s="53" t="n">
        <v>0.658549</v>
      </c>
    </row>
    <row r="1522" customFormat="false" ht="15" hidden="false" customHeight="false" outlineLevel="0" collapsed="false">
      <c r="A1522" s="43" t="n">
        <v>19</v>
      </c>
      <c r="B1522" s="44" t="str">
        <f aca="false">'Model Inputs &amp; Assumptions'!$B$31</f>
        <v>YouTube — Finfluencer Pre-roll</v>
      </c>
      <c r="C1522" s="45" t="n">
        <f aca="false">ROUND(MAX(0,'Model Inputs &amp; Assumptions'!$S$31*EXP('Model Inputs &amp; Assumptions'!$T$31*P1522-'Model Inputs &amp; Assumptions'!$T$31^2/2)),0)</f>
        <v>341465</v>
      </c>
      <c r="D1522" s="46" t="n">
        <f aca="false">MIN(1,'Model Inputs &amp; Assumptions'!$U$31*EXP('Model Inputs &amp; Assumptions'!$V$31*Q1522-'Model Inputs &amp; Assumptions'!$V$31^2/2))</f>
        <v>0.554815672466463</v>
      </c>
      <c r="E1522" s="45" t="n">
        <f aca="false">ROUND(C1522*D1522,0)</f>
        <v>189450</v>
      </c>
      <c r="F1522" s="47" t="n">
        <f aca="false">MIN(1,'Model Inputs &amp; Assumptions'!$W$31*EXP('Model Inputs &amp; Assumptions'!$X$31*R1522-'Model Inputs &amp; Assumptions'!$X$31^2/2))</f>
        <v>0.00377496802487792</v>
      </c>
      <c r="G1522" s="45" t="n">
        <f aca="false">ROUND(C1522*F1522,0)</f>
        <v>1289</v>
      </c>
      <c r="H1522" s="48" t="n">
        <f aca="false">MAX(0,(C1522*'Model Inputs &amp; Assumptions'!$N$31+E1522*'Model Inputs &amp; Assumptions'!$O$31+G1522*'Model Inputs &amp; Assumptions'!$P$31)*EXP('Model Inputs &amp; Assumptions'!$Q$31*S1522-'Model Inputs &amp; Assumptions'!$Q$31^2/2))</f>
        <v>37.8157098370082</v>
      </c>
      <c r="I1522" s="49" t="n">
        <f aca="false">IF('Model Inputs &amp; Assumptions'!$H$31="Fixed",'Model Inputs &amp; Assumptions'!$I$31*'Model Inputs &amp; Assumptions'!$K$31,IF('Model Inputs &amp; Assumptions'!$H$31="CPM",'Model Inputs &amp; Assumptions'!$I$31*'Model Inputs &amp; Assumptions'!$K$31*C1522/1000,IF('Model Inputs &amp; Assumptions'!$H$31="CPC",'Model Inputs &amp; Assumptions'!$I$31*'Model Inputs &amp; Assumptions'!$K$31*G1522,0)))</f>
        <v>3874.26189</v>
      </c>
      <c r="J1522" s="50" t="n">
        <f aca="false">H1522*INDEX('Model Inputs &amp; Assumptions'!$D$40:$D$42,MATCH('Model Inputs &amp; Assumptions'!$L$31,'Model Inputs &amp; Assumptions'!$A$40:$A$42,0))*INDEX('Model Inputs &amp; Assumptions'!$H$40:$H$42,MATCH('Model Inputs &amp; Assumptions'!$L$31,'Model Inputs &amp; Assumptions'!$A$40:$A$42,0))</f>
        <v>272273.110826459</v>
      </c>
      <c r="K1522" s="49" t="n">
        <f aca="false">H1522*INDEX('Model Inputs &amp; Assumptions'!$G$40:$G$42,MATCH('Model Inputs &amp; Assumptions'!$L$31,'Model Inputs &amp; Assumptions'!$A$40:$A$42,0))*INDEX('Model Inputs &amp; Assumptions'!$H$40:$H$42,MATCH('Model Inputs &amp; Assumptions'!$L$31,'Model Inputs &amp; Assumptions'!$A$40:$A$42,0))</f>
        <v>6003.62209372342</v>
      </c>
      <c r="L1522" s="51" t="n">
        <f aca="false">IFERROR(K1522/I1522,0)</f>
        <v>1.54961700168478</v>
      </c>
      <c r="M1522" s="49" t="n">
        <f aca="false">IFERROR(I1522/H1522,0)</f>
        <v>102.451121681933</v>
      </c>
      <c r="N1522" s="52" t="str">
        <f aca="false">'Model Inputs &amp; Assumptions'!$L$31</f>
        <v>PRD-USIQ</v>
      </c>
      <c r="P1522" s="53" t="n">
        <v>-1.07622</v>
      </c>
      <c r="Q1522" s="53" t="n">
        <v>-0.36919</v>
      </c>
      <c r="R1522" s="53" t="n">
        <v>-1.051025</v>
      </c>
      <c r="S1522" s="53" t="n">
        <v>0.437932</v>
      </c>
    </row>
    <row r="1523" customFormat="false" ht="15" hidden="false" customHeight="false" outlineLevel="0" collapsed="false">
      <c r="A1523" s="43" t="n">
        <v>20</v>
      </c>
      <c r="B1523" s="44" t="str">
        <f aca="false">'Model Inputs &amp; Assumptions'!$B$31</f>
        <v>YouTube — Finfluencer Pre-roll</v>
      </c>
      <c r="C1523" s="45" t="n">
        <f aca="false">ROUND(MAX(0,'Model Inputs &amp; Assumptions'!$S$31*EXP('Model Inputs &amp; Assumptions'!$T$31*P1523-'Model Inputs &amp; Assumptions'!$T$31^2/2)),0)</f>
        <v>514802</v>
      </c>
      <c r="D1523" s="46" t="n">
        <f aca="false">MIN(1,'Model Inputs &amp; Assumptions'!$U$31*EXP('Model Inputs &amp; Assumptions'!$V$31*Q1523-'Model Inputs &amp; Assumptions'!$V$31^2/2))</f>
        <v>0.505482418226798</v>
      </c>
      <c r="E1523" s="45" t="n">
        <f aca="false">ROUND(C1523*D1523,0)</f>
        <v>260223</v>
      </c>
      <c r="F1523" s="47" t="n">
        <f aca="false">MIN(1,'Model Inputs &amp; Assumptions'!$W$31*EXP('Model Inputs &amp; Assumptions'!$X$31*R1523-'Model Inputs &amp; Assumptions'!$X$31^2/2))</f>
        <v>0.00567776955954481</v>
      </c>
      <c r="G1523" s="45" t="n">
        <f aca="false">ROUND(C1523*F1523,0)</f>
        <v>2923</v>
      </c>
      <c r="H1523" s="48" t="n">
        <f aca="false">MAX(0,(C1523*'Model Inputs &amp; Assumptions'!$N$31+E1523*'Model Inputs &amp; Assumptions'!$O$31+G1523*'Model Inputs &amp; Assumptions'!$P$31)*EXP('Model Inputs &amp; Assumptions'!$Q$31*S1523-'Model Inputs &amp; Assumptions'!$Q$31^2/2))</f>
        <v>117.536267247702</v>
      </c>
      <c r="I1523" s="49" t="n">
        <f aca="false">IF('Model Inputs &amp; Assumptions'!$H$31="Fixed",'Model Inputs &amp; Assumptions'!$I$31*'Model Inputs &amp; Assumptions'!$K$31,IF('Model Inputs &amp; Assumptions'!$H$31="CPM",'Model Inputs &amp; Assumptions'!$I$31*'Model Inputs &amp; Assumptions'!$K$31*C1523/1000,IF('Model Inputs &amp; Assumptions'!$H$31="CPC",'Model Inputs &amp; Assumptions'!$I$31*'Model Inputs &amp; Assumptions'!$K$31*G1523,0)))</f>
        <v>5840.943492</v>
      </c>
      <c r="J1523" s="50" t="n">
        <f aca="false">H1523*INDEX('Model Inputs &amp; Assumptions'!$D$40:$D$42,MATCH('Model Inputs &amp; Assumptions'!$L$31,'Model Inputs &amp; Assumptions'!$A$40:$A$42,0))*INDEX('Model Inputs &amp; Assumptions'!$H$40:$H$42,MATCH('Model Inputs &amp; Assumptions'!$L$31,'Model Inputs &amp; Assumptions'!$A$40:$A$42,0))</f>
        <v>846261.124183455</v>
      </c>
      <c r="K1523" s="49" t="n">
        <f aca="false">H1523*INDEX('Model Inputs &amp; Assumptions'!$G$40:$G$42,MATCH('Model Inputs &amp; Assumptions'!$L$31,'Model Inputs &amp; Assumptions'!$A$40:$A$42,0))*INDEX('Model Inputs &amp; Assumptions'!$H$40:$H$42,MATCH('Model Inputs &amp; Assumptions'!$L$31,'Model Inputs &amp; Assumptions'!$A$40:$A$42,0))</f>
        <v>18660.0577882452</v>
      </c>
      <c r="L1523" s="51" t="n">
        <f aca="false">IFERROR(K1523/I1523,0)</f>
        <v>3.19469924915432</v>
      </c>
      <c r="M1523" s="49" t="n">
        <f aca="false">IFERROR(I1523/H1523,0)</f>
        <v>49.6948187038345</v>
      </c>
      <c r="N1523" s="52" t="str">
        <f aca="false">'Model Inputs &amp; Assumptions'!$L$31</f>
        <v>PRD-USIQ</v>
      </c>
      <c r="P1523" s="53" t="n">
        <v>0.389986</v>
      </c>
      <c r="Q1523" s="53" t="n">
        <v>-1.034352</v>
      </c>
      <c r="R1523" s="53" t="n">
        <v>0.649669</v>
      </c>
      <c r="S1523" s="53" t="n">
        <v>1.882315</v>
      </c>
    </row>
    <row r="1524" customFormat="false" ht="15" hidden="false" customHeight="false" outlineLevel="0" collapsed="false">
      <c r="A1524" s="43" t="n">
        <v>21</v>
      </c>
      <c r="B1524" s="44" t="str">
        <f aca="false">'Model Inputs &amp; Assumptions'!$B$31</f>
        <v>YouTube — Finfluencer Pre-roll</v>
      </c>
      <c r="C1524" s="45" t="n">
        <f aca="false">ROUND(MAX(0,'Model Inputs &amp; Assumptions'!$S$31*EXP('Model Inputs &amp; Assumptions'!$T$31*P1524-'Model Inputs &amp; Assumptions'!$T$31^2/2)),0)</f>
        <v>380277</v>
      </c>
      <c r="D1524" s="46" t="n">
        <f aca="false">MIN(1,'Model Inputs &amp; Assumptions'!$U$31*EXP('Model Inputs &amp; Assumptions'!$V$31*Q1524-'Model Inputs &amp; Assumptions'!$V$31^2/2))</f>
        <v>0.499519610161106</v>
      </c>
      <c r="E1524" s="45" t="n">
        <f aca="false">ROUND(C1524*D1524,0)</f>
        <v>189956</v>
      </c>
      <c r="F1524" s="47" t="n">
        <f aca="false">MIN(1,'Model Inputs &amp; Assumptions'!$W$31*EXP('Model Inputs &amp; Assumptions'!$X$31*R1524-'Model Inputs &amp; Assumptions'!$X$31^2/2))</f>
        <v>0.00424373285574818</v>
      </c>
      <c r="G1524" s="45" t="n">
        <f aca="false">ROUND(C1524*F1524,0)</f>
        <v>1614</v>
      </c>
      <c r="H1524" s="48" t="n">
        <f aca="false">MAX(0,(C1524*'Model Inputs &amp; Assumptions'!$N$31+E1524*'Model Inputs &amp; Assumptions'!$O$31+G1524*'Model Inputs &amp; Assumptions'!$P$31)*EXP('Model Inputs &amp; Assumptions'!$Q$31*S1524-'Model Inputs &amp; Assumptions'!$Q$31^2/2))</f>
        <v>32.116479221291</v>
      </c>
      <c r="I1524" s="49" t="n">
        <f aca="false">IF('Model Inputs &amp; Assumptions'!$H$31="Fixed",'Model Inputs &amp; Assumptions'!$I$31*'Model Inputs &amp; Assumptions'!$K$31,IF('Model Inputs &amp; Assumptions'!$H$31="CPM",'Model Inputs &amp; Assumptions'!$I$31*'Model Inputs &amp; Assumptions'!$K$31*C1524/1000,IF('Model Inputs &amp; Assumptions'!$H$31="CPC",'Model Inputs &amp; Assumptions'!$I$31*'Model Inputs &amp; Assumptions'!$K$31*G1524,0)))</f>
        <v>4314.622842</v>
      </c>
      <c r="J1524" s="50" t="n">
        <f aca="false">H1524*INDEX('Model Inputs &amp; Assumptions'!$D$40:$D$42,MATCH('Model Inputs &amp; Assumptions'!$L$31,'Model Inputs &amp; Assumptions'!$A$40:$A$42,0))*INDEX('Model Inputs &amp; Assumptions'!$H$40:$H$42,MATCH('Model Inputs &amp; Assumptions'!$L$31,'Model Inputs &amp; Assumptions'!$A$40:$A$42,0))</f>
        <v>231238.650393296</v>
      </c>
      <c r="K1524" s="49" t="n">
        <f aca="false">H1524*INDEX('Model Inputs &amp; Assumptions'!$G$40:$G$42,MATCH('Model Inputs &amp; Assumptions'!$L$31,'Model Inputs &amp; Assumptions'!$A$40:$A$42,0))*INDEX('Model Inputs &amp; Assumptions'!$H$40:$H$42,MATCH('Model Inputs &amp; Assumptions'!$L$31,'Model Inputs &amp; Assumptions'!$A$40:$A$42,0))</f>
        <v>5098.81224117217</v>
      </c>
      <c r="L1524" s="51" t="n">
        <f aca="false">IFERROR(K1524/I1524,0)</f>
        <v>1.1817515523115</v>
      </c>
      <c r="M1524" s="49" t="n">
        <f aca="false">IFERROR(I1524/H1524,0)</f>
        <v>134.342958711978</v>
      </c>
      <c r="N1524" s="52" t="str">
        <f aca="false">'Model Inputs &amp; Assumptions'!$L$31</f>
        <v>PRD-USIQ</v>
      </c>
      <c r="P1524" s="53" t="n">
        <v>-0.691739</v>
      </c>
      <c r="Q1524" s="53" t="n">
        <v>-1.119112</v>
      </c>
      <c r="R1524" s="53" t="n">
        <v>-0.563311</v>
      </c>
      <c r="S1524" s="53" t="n">
        <v>-0.40946</v>
      </c>
    </row>
    <row r="1525" customFormat="false" ht="15" hidden="false" customHeight="false" outlineLevel="0" collapsed="false">
      <c r="A1525" s="43" t="n">
        <v>22</v>
      </c>
      <c r="B1525" s="44" t="str">
        <f aca="false">'Model Inputs &amp; Assumptions'!$B$31</f>
        <v>YouTube — Finfluencer Pre-roll</v>
      </c>
      <c r="C1525" s="45" t="n">
        <f aca="false">ROUND(MAX(0,'Model Inputs &amp; Assumptions'!$S$31*EXP('Model Inputs &amp; Assumptions'!$T$31*P1525-'Model Inputs &amp; Assumptions'!$T$31^2/2)),0)</f>
        <v>446591</v>
      </c>
      <c r="D1525" s="46" t="n">
        <f aca="false">MIN(1,'Model Inputs &amp; Assumptions'!$U$31*EXP('Model Inputs &amp; Assumptions'!$V$31*Q1525-'Model Inputs &amp; Assumptions'!$V$31^2/2))</f>
        <v>0.856842307914629</v>
      </c>
      <c r="E1525" s="45" t="n">
        <f aca="false">ROUND(C1525*D1525,0)</f>
        <v>382658</v>
      </c>
      <c r="F1525" s="47" t="n">
        <f aca="false">MIN(1,'Model Inputs &amp; Assumptions'!$W$31*EXP('Model Inputs &amp; Assumptions'!$X$31*R1525-'Model Inputs &amp; Assumptions'!$X$31^2/2))</f>
        <v>0.00454537572706666</v>
      </c>
      <c r="G1525" s="45" t="n">
        <f aca="false">ROUND(C1525*F1525,0)</f>
        <v>2030</v>
      </c>
      <c r="H1525" s="48" t="n">
        <f aca="false">MAX(0,(C1525*'Model Inputs &amp; Assumptions'!$N$31+E1525*'Model Inputs &amp; Assumptions'!$O$31+G1525*'Model Inputs &amp; Assumptions'!$P$31)*EXP('Model Inputs &amp; Assumptions'!$Q$31*S1525-'Model Inputs &amp; Assumptions'!$Q$31^2/2))</f>
        <v>54.6097300289875</v>
      </c>
      <c r="I1525" s="49" t="n">
        <f aca="false">IF('Model Inputs &amp; Assumptions'!$H$31="Fixed",'Model Inputs &amp; Assumptions'!$I$31*'Model Inputs &amp; Assumptions'!$K$31,IF('Model Inputs &amp; Assumptions'!$H$31="CPM",'Model Inputs &amp; Assumptions'!$I$31*'Model Inputs &amp; Assumptions'!$K$31*C1525/1000,IF('Model Inputs &amp; Assumptions'!$H$31="CPC",'Model Inputs &amp; Assumptions'!$I$31*'Model Inputs &amp; Assumptions'!$K$31*G1525,0)))</f>
        <v>5067.021486</v>
      </c>
      <c r="J1525" s="50" t="n">
        <f aca="false">H1525*INDEX('Model Inputs &amp; Assumptions'!$D$40:$D$42,MATCH('Model Inputs &amp; Assumptions'!$L$31,'Model Inputs &amp; Assumptions'!$A$40:$A$42,0))*INDEX('Model Inputs &amp; Assumptions'!$H$40:$H$42,MATCH('Model Inputs &amp; Assumptions'!$L$31,'Model Inputs &amp; Assumptions'!$A$40:$A$42,0))</f>
        <v>393190.05620871</v>
      </c>
      <c r="K1525" s="49" t="n">
        <f aca="false">H1525*INDEX('Model Inputs &amp; Assumptions'!$G$40:$G$42,MATCH('Model Inputs &amp; Assumptions'!$L$31,'Model Inputs &amp; Assumptions'!$A$40:$A$42,0))*INDEX('Model Inputs &amp; Assumptions'!$H$40:$H$42,MATCH('Model Inputs &amp; Assumptions'!$L$31,'Model Inputs &amp; Assumptions'!$A$40:$A$42,0))</f>
        <v>8669.84073940206</v>
      </c>
      <c r="L1525" s="51" t="n">
        <f aca="false">IFERROR(K1525/I1525,0)</f>
        <v>1.71103295365068</v>
      </c>
      <c r="M1525" s="49" t="n">
        <f aca="false">IFERROR(I1525/H1525,0)</f>
        <v>92.7860563183587</v>
      </c>
      <c r="N1525" s="52" t="str">
        <f aca="false">'Model Inputs &amp; Assumptions'!$L$31</f>
        <v>PRD-USIQ</v>
      </c>
      <c r="P1525" s="53" t="n">
        <v>-0.117653</v>
      </c>
      <c r="Q1525" s="53" t="n">
        <v>2.735224</v>
      </c>
      <c r="R1525" s="53" t="n">
        <v>-0.277198</v>
      </c>
      <c r="S1525" s="53" t="n">
        <v>-0.144109</v>
      </c>
    </row>
    <row r="1526" customFormat="false" ht="15" hidden="false" customHeight="false" outlineLevel="0" collapsed="false">
      <c r="A1526" s="43" t="n">
        <v>23</v>
      </c>
      <c r="B1526" s="44" t="str">
        <f aca="false">'Model Inputs &amp; Assumptions'!$B$31</f>
        <v>YouTube — Finfluencer Pre-roll</v>
      </c>
      <c r="C1526" s="45" t="n">
        <f aca="false">ROUND(MAX(0,'Model Inputs &amp; Assumptions'!$S$31*EXP('Model Inputs &amp; Assumptions'!$T$31*P1526-'Model Inputs &amp; Assumptions'!$T$31^2/2)),0)</f>
        <v>267757</v>
      </c>
      <c r="D1526" s="46" t="n">
        <f aca="false">MIN(1,'Model Inputs &amp; Assumptions'!$U$31*EXP('Model Inputs &amp; Assumptions'!$V$31*Q1526-'Model Inputs &amp; Assumptions'!$V$31^2/2))</f>
        <v>0.496251272832446</v>
      </c>
      <c r="E1526" s="45" t="n">
        <f aca="false">ROUND(C1526*D1526,0)</f>
        <v>132875</v>
      </c>
      <c r="F1526" s="47" t="n">
        <f aca="false">MIN(1,'Model Inputs &amp; Assumptions'!$W$31*EXP('Model Inputs &amp; Assumptions'!$X$31*R1526-'Model Inputs &amp; Assumptions'!$X$31^2/2))</f>
        <v>0.00571565620646608</v>
      </c>
      <c r="G1526" s="45" t="n">
        <f aca="false">ROUND(C1526*F1526,0)</f>
        <v>1530</v>
      </c>
      <c r="H1526" s="48" t="n">
        <f aca="false">MAX(0,(C1526*'Model Inputs &amp; Assumptions'!$N$31+E1526*'Model Inputs &amp; Assumptions'!$O$31+G1526*'Model Inputs &amp; Assumptions'!$P$31)*EXP('Model Inputs &amp; Assumptions'!$Q$31*S1526-'Model Inputs &amp; Assumptions'!$Q$31^2/2))</f>
        <v>51.0179841853247</v>
      </c>
      <c r="I1526" s="49" t="n">
        <f aca="false">IF('Model Inputs &amp; Assumptions'!$H$31="Fixed",'Model Inputs &amp; Assumptions'!$I$31*'Model Inputs &amp; Assumptions'!$K$31,IF('Model Inputs &amp; Assumptions'!$H$31="CPM",'Model Inputs &amp; Assumptions'!$I$31*'Model Inputs &amp; Assumptions'!$K$31*C1526/1000,IF('Model Inputs &amp; Assumptions'!$H$31="CPC",'Model Inputs &amp; Assumptions'!$I$31*'Model Inputs &amp; Assumptions'!$K$31*G1526,0)))</f>
        <v>3037.970922</v>
      </c>
      <c r="J1526" s="50" t="n">
        <f aca="false">H1526*INDEX('Model Inputs &amp; Assumptions'!$D$40:$D$42,MATCH('Model Inputs &amp; Assumptions'!$L$31,'Model Inputs &amp; Assumptions'!$A$40:$A$42,0))*INDEX('Model Inputs &amp; Assumptions'!$H$40:$H$42,MATCH('Model Inputs &amp; Assumptions'!$L$31,'Model Inputs &amp; Assumptions'!$A$40:$A$42,0))</f>
        <v>367329.486134338</v>
      </c>
      <c r="K1526" s="49" t="n">
        <f aca="false">H1526*INDEX('Model Inputs &amp; Assumptions'!$G$40:$G$42,MATCH('Model Inputs &amp; Assumptions'!$L$31,'Model Inputs &amp; Assumptions'!$A$40:$A$42,0))*INDEX('Model Inputs &amp; Assumptions'!$H$40:$H$42,MATCH('Model Inputs &amp; Assumptions'!$L$31,'Model Inputs &amp; Assumptions'!$A$40:$A$42,0))</f>
        <v>8099.61516926214</v>
      </c>
      <c r="L1526" s="51" t="n">
        <f aca="false">IFERROR(K1526/I1526,0)</f>
        <v>2.66612662768013</v>
      </c>
      <c r="M1526" s="49" t="n">
        <f aca="false">IFERROR(I1526/H1526,0)</f>
        <v>59.5470591500531</v>
      </c>
      <c r="N1526" s="52" t="str">
        <f aca="false">'Model Inputs &amp; Assumptions'!$L$31</f>
        <v>PRD-USIQ</v>
      </c>
      <c r="P1526" s="53" t="n">
        <v>-1.944671</v>
      </c>
      <c r="Q1526" s="53" t="n">
        <v>-1.166001</v>
      </c>
      <c r="R1526" s="53" t="n">
        <v>0.67738</v>
      </c>
      <c r="S1526" s="53" t="n">
        <v>1.369993</v>
      </c>
    </row>
    <row r="1527" customFormat="false" ht="15" hidden="false" customHeight="false" outlineLevel="0" collapsed="false">
      <c r="A1527" s="43" t="n">
        <v>24</v>
      </c>
      <c r="B1527" s="44" t="str">
        <f aca="false">'Model Inputs &amp; Assumptions'!$B$31</f>
        <v>YouTube — Finfluencer Pre-roll</v>
      </c>
      <c r="C1527" s="45" t="n">
        <f aca="false">ROUND(MAX(0,'Model Inputs &amp; Assumptions'!$S$31*EXP('Model Inputs &amp; Assumptions'!$T$31*P1527-'Model Inputs &amp; Assumptions'!$T$31^2/2)),0)</f>
        <v>520797</v>
      </c>
      <c r="D1527" s="46" t="n">
        <f aca="false">MIN(1,'Model Inputs &amp; Assumptions'!$U$31*EXP('Model Inputs &amp; Assumptions'!$V$31*Q1527-'Model Inputs &amp; Assumptions'!$V$31^2/2))</f>
        <v>0.559688241387591</v>
      </c>
      <c r="E1527" s="45" t="n">
        <f aca="false">ROUND(C1527*D1527,0)</f>
        <v>291484</v>
      </c>
      <c r="F1527" s="47" t="n">
        <f aca="false">MIN(1,'Model Inputs &amp; Assumptions'!$W$31*EXP('Model Inputs &amp; Assumptions'!$X$31*R1527-'Model Inputs &amp; Assumptions'!$X$31^2/2))</f>
        <v>0.00793734465047911</v>
      </c>
      <c r="G1527" s="45" t="n">
        <f aca="false">ROUND(C1527*F1527,0)</f>
        <v>4134</v>
      </c>
      <c r="H1527" s="48" t="n">
        <f aca="false">MAX(0,(C1527*'Model Inputs &amp; Assumptions'!$N$31+E1527*'Model Inputs &amp; Assumptions'!$O$31+G1527*'Model Inputs &amp; Assumptions'!$P$31)*EXP('Model Inputs &amp; Assumptions'!$Q$31*S1527-'Model Inputs &amp; Assumptions'!$Q$31^2/2))</f>
        <v>111.362939415383</v>
      </c>
      <c r="I1527" s="49" t="n">
        <f aca="false">IF('Model Inputs &amp; Assumptions'!$H$31="Fixed",'Model Inputs &amp; Assumptions'!$I$31*'Model Inputs &amp; Assumptions'!$K$31,IF('Model Inputs &amp; Assumptions'!$H$31="CPM",'Model Inputs &amp; Assumptions'!$I$31*'Model Inputs &amp; Assumptions'!$K$31*C1527/1000,IF('Model Inputs &amp; Assumptions'!$H$31="CPC",'Model Inputs &amp; Assumptions'!$I$31*'Model Inputs &amp; Assumptions'!$K$31*G1527,0)))</f>
        <v>5908.962762</v>
      </c>
      <c r="J1527" s="50" t="n">
        <f aca="false">H1527*INDEX('Model Inputs &amp; Assumptions'!$D$40:$D$42,MATCH('Model Inputs &amp; Assumptions'!$L$31,'Model Inputs &amp; Assumptions'!$A$40:$A$42,0))*INDEX('Model Inputs &amp; Assumptions'!$H$40:$H$42,MATCH('Model Inputs &amp; Assumptions'!$L$31,'Model Inputs &amp; Assumptions'!$A$40:$A$42,0))</f>
        <v>801813.163790755</v>
      </c>
      <c r="K1527" s="49" t="n">
        <f aca="false">H1527*INDEX('Model Inputs &amp; Assumptions'!$G$40:$G$42,MATCH('Model Inputs &amp; Assumptions'!$L$31,'Model Inputs &amp; Assumptions'!$A$40:$A$42,0))*INDEX('Model Inputs &amp; Assumptions'!$H$40:$H$42,MATCH('Model Inputs &amp; Assumptions'!$L$31,'Model Inputs &amp; Assumptions'!$A$40:$A$42,0))</f>
        <v>17679.9802615861</v>
      </c>
      <c r="L1527" s="51" t="n">
        <f aca="false">IFERROR(K1527/I1527,0)</f>
        <v>2.99206154678863</v>
      </c>
      <c r="M1527" s="49" t="n">
        <f aca="false">IFERROR(I1527/H1527,0)</f>
        <v>53.0604058497381</v>
      </c>
      <c r="N1527" s="52" t="str">
        <f aca="false">'Model Inputs &amp; Assumptions'!$L$31</f>
        <v>PRD-USIQ</v>
      </c>
      <c r="P1527" s="53" t="n">
        <v>0.431339</v>
      </c>
      <c r="Q1527" s="53" t="n">
        <v>-0.306733</v>
      </c>
      <c r="R1527" s="53" t="n">
        <v>2.045587</v>
      </c>
      <c r="S1527" s="53" t="n">
        <v>0.93581</v>
      </c>
    </row>
    <row r="1528" customFormat="false" ht="15" hidden="false" customHeight="false" outlineLevel="0" collapsed="false">
      <c r="A1528" s="43" t="n">
        <v>25</v>
      </c>
      <c r="B1528" s="44" t="str">
        <f aca="false">'Model Inputs &amp; Assumptions'!$B$31</f>
        <v>YouTube — Finfluencer Pre-roll</v>
      </c>
      <c r="C1528" s="45" t="n">
        <f aca="false">ROUND(MAX(0,'Model Inputs &amp; Assumptions'!$S$31*EXP('Model Inputs &amp; Assumptions'!$T$31*P1528-'Model Inputs &amp; Assumptions'!$T$31^2/2)),0)</f>
        <v>568055</v>
      </c>
      <c r="D1528" s="46" t="n">
        <f aca="false">MIN(1,'Model Inputs &amp; Assumptions'!$U$31*EXP('Model Inputs &amp; Assumptions'!$V$31*Q1528-'Model Inputs &amp; Assumptions'!$V$31^2/2))</f>
        <v>0.604338092364076</v>
      </c>
      <c r="E1528" s="45" t="n">
        <f aca="false">ROUND(C1528*D1528,0)</f>
        <v>343297</v>
      </c>
      <c r="F1528" s="47" t="n">
        <f aca="false">MIN(1,'Model Inputs &amp; Assumptions'!$W$31*EXP('Model Inputs &amp; Assumptions'!$X$31*R1528-'Model Inputs &amp; Assumptions'!$X$31^2/2))</f>
        <v>0.00669184159761408</v>
      </c>
      <c r="G1528" s="45" t="n">
        <f aca="false">ROUND(C1528*F1528,0)</f>
        <v>3801</v>
      </c>
      <c r="H1528" s="48" t="n">
        <f aca="false">MAX(0,(C1528*'Model Inputs &amp; Assumptions'!$N$31+E1528*'Model Inputs &amp; Assumptions'!$O$31+G1528*'Model Inputs &amp; Assumptions'!$P$31)*EXP('Model Inputs &amp; Assumptions'!$Q$31*S1528-'Model Inputs &amp; Assumptions'!$Q$31^2/2))</f>
        <v>72.3342864721543</v>
      </c>
      <c r="I1528" s="49" t="n">
        <f aca="false">IF('Model Inputs &amp; Assumptions'!$H$31="Fixed",'Model Inputs &amp; Assumptions'!$I$31*'Model Inputs &amp; Assumptions'!$K$31,IF('Model Inputs &amp; Assumptions'!$H$31="CPM",'Model Inputs &amp; Assumptions'!$I$31*'Model Inputs &amp; Assumptions'!$K$31*C1528/1000,IF('Model Inputs &amp; Assumptions'!$H$31="CPC",'Model Inputs &amp; Assumptions'!$I$31*'Model Inputs &amp; Assumptions'!$K$31*G1528,0)))</f>
        <v>6445.15203</v>
      </c>
      <c r="J1528" s="50" t="n">
        <f aca="false">H1528*INDEX('Model Inputs &amp; Assumptions'!$D$40:$D$42,MATCH('Model Inputs &amp; Assumptions'!$L$31,'Model Inputs &amp; Assumptions'!$A$40:$A$42,0))*INDEX('Model Inputs &amp; Assumptions'!$H$40:$H$42,MATCH('Model Inputs &amp; Assumptions'!$L$31,'Model Inputs &amp; Assumptions'!$A$40:$A$42,0))</f>
        <v>520806.862599511</v>
      </c>
      <c r="K1528" s="49" t="n">
        <f aca="false">H1528*INDEX('Model Inputs &amp; Assumptions'!$G$40:$G$42,MATCH('Model Inputs &amp; Assumptions'!$L$31,'Model Inputs &amp; Assumptions'!$A$40:$A$42,0))*INDEX('Model Inputs &amp; Assumptions'!$H$40:$H$42,MATCH('Model Inputs &amp; Assumptions'!$L$31,'Model Inputs &amp; Assumptions'!$A$40:$A$42,0))</f>
        <v>11483.7913203192</v>
      </c>
      <c r="L1528" s="51" t="n">
        <f aca="false">IFERROR(K1528/I1528,0)</f>
        <v>1.7817719841</v>
      </c>
      <c r="M1528" s="49" t="n">
        <f aca="false">IFERROR(I1528/H1528,0)</f>
        <v>89.1023101815087</v>
      </c>
      <c r="N1528" s="52" t="str">
        <f aca="false">'Model Inputs &amp; Assumptions'!$L$31</f>
        <v>PRD-USIQ</v>
      </c>
      <c r="P1528" s="53" t="n">
        <v>0.741543</v>
      </c>
      <c r="Q1528" s="53" t="n">
        <v>0.241509</v>
      </c>
      <c r="R1528" s="53" t="n">
        <v>1.33438</v>
      </c>
      <c r="S1528" s="53" t="n">
        <v>-0.268434</v>
      </c>
    </row>
    <row r="1529" customFormat="false" ht="15" hidden="false" customHeight="false" outlineLevel="0" collapsed="false">
      <c r="A1529" s="43" t="n">
        <v>26</v>
      </c>
      <c r="B1529" s="44" t="str">
        <f aca="false">'Model Inputs &amp; Assumptions'!$B$31</f>
        <v>YouTube — Finfluencer Pre-roll</v>
      </c>
      <c r="C1529" s="45" t="n">
        <f aca="false">ROUND(MAX(0,'Model Inputs &amp; Assumptions'!$S$31*EXP('Model Inputs &amp; Assumptions'!$T$31*P1529-'Model Inputs &amp; Assumptions'!$T$31^2/2)),0)</f>
        <v>678116</v>
      </c>
      <c r="D1529" s="46" t="n">
        <f aca="false">MIN(1,'Model Inputs &amp; Assumptions'!$U$31*EXP('Model Inputs &amp; Assumptions'!$V$31*Q1529-'Model Inputs &amp; Assumptions'!$V$31^2/2))</f>
        <v>0.605651862641255</v>
      </c>
      <c r="E1529" s="45" t="n">
        <f aca="false">ROUND(C1529*D1529,0)</f>
        <v>410702</v>
      </c>
      <c r="F1529" s="47" t="n">
        <f aca="false">MIN(1,'Model Inputs &amp; Assumptions'!$W$31*EXP('Model Inputs &amp; Assumptions'!$X$31*R1529-'Model Inputs &amp; Assumptions'!$X$31^2/2))</f>
        <v>0.00596290675308303</v>
      </c>
      <c r="G1529" s="45" t="n">
        <f aca="false">ROUND(C1529*F1529,0)</f>
        <v>4044</v>
      </c>
      <c r="H1529" s="48" t="n">
        <f aca="false">MAX(0,(C1529*'Model Inputs &amp; Assumptions'!$N$31+E1529*'Model Inputs &amp; Assumptions'!$O$31+G1529*'Model Inputs &amp; Assumptions'!$P$31)*EXP('Model Inputs &amp; Assumptions'!$Q$31*S1529-'Model Inputs &amp; Assumptions'!$Q$31^2/2))</f>
        <v>49.445102097265</v>
      </c>
      <c r="I1529" s="49" t="n">
        <f aca="false">IF('Model Inputs &amp; Assumptions'!$H$31="Fixed",'Model Inputs &amp; Assumptions'!$I$31*'Model Inputs &amp; Assumptions'!$K$31,IF('Model Inputs &amp; Assumptions'!$H$31="CPM",'Model Inputs &amp; Assumptions'!$I$31*'Model Inputs &amp; Assumptions'!$K$31*C1529/1000,IF('Model Inputs &amp; Assumptions'!$H$31="CPC",'Model Inputs &amp; Assumptions'!$I$31*'Model Inputs &amp; Assumptions'!$K$31*G1529,0)))</f>
        <v>7693.904136</v>
      </c>
      <c r="J1529" s="50" t="n">
        <f aca="false">H1529*INDEX('Model Inputs &amp; Assumptions'!$D$40:$D$42,MATCH('Model Inputs &amp; Assumptions'!$L$31,'Model Inputs &amp; Assumptions'!$A$40:$A$42,0))*INDEX('Model Inputs &amp; Assumptions'!$H$40:$H$42,MATCH('Model Inputs &amp; Assumptions'!$L$31,'Model Inputs &amp; Assumptions'!$A$40:$A$42,0))</f>
        <v>356004.735100308</v>
      </c>
      <c r="K1529" s="49" t="n">
        <f aca="false">H1529*INDEX('Model Inputs &amp; Assumptions'!$G$40:$G$42,MATCH('Model Inputs &amp; Assumptions'!$L$31,'Model Inputs &amp; Assumptions'!$A$40:$A$42,0))*INDEX('Model Inputs &amp; Assumptions'!$H$40:$H$42,MATCH('Model Inputs &amp; Assumptions'!$L$31,'Model Inputs &amp; Assumptions'!$A$40:$A$42,0))</f>
        <v>7849.90440896179</v>
      </c>
      <c r="L1529" s="51" t="n">
        <f aca="false">IFERROR(K1529/I1529,0)</f>
        <v>1.02027582748684</v>
      </c>
      <c r="M1529" s="49" t="n">
        <f aca="false">IFERROR(I1529/H1529,0)</f>
        <v>155.604980264073</v>
      </c>
      <c r="N1529" s="52" t="str">
        <f aca="false">'Model Inputs &amp; Assumptions'!$L$31</f>
        <v>PRD-USIQ</v>
      </c>
      <c r="P1529" s="53" t="n">
        <v>1.374043</v>
      </c>
      <c r="Q1529" s="53" t="n">
        <v>0.25702</v>
      </c>
      <c r="R1529" s="53" t="n">
        <v>0.853834</v>
      </c>
      <c r="S1529" s="53" t="n">
        <v>-1.645775</v>
      </c>
    </row>
    <row r="1530" customFormat="false" ht="15" hidden="false" customHeight="false" outlineLevel="0" collapsed="false">
      <c r="A1530" s="43" t="n">
        <v>27</v>
      </c>
      <c r="B1530" s="44" t="str">
        <f aca="false">'Model Inputs &amp; Assumptions'!$B$31</f>
        <v>YouTube — Finfluencer Pre-roll</v>
      </c>
      <c r="C1530" s="45" t="n">
        <f aca="false">ROUND(MAX(0,'Model Inputs &amp; Assumptions'!$S$31*EXP('Model Inputs &amp; Assumptions'!$T$31*P1530-'Model Inputs &amp; Assumptions'!$T$31^2/2)),0)</f>
        <v>465716</v>
      </c>
      <c r="D1530" s="46" t="n">
        <f aca="false">MIN(1,'Model Inputs &amp; Assumptions'!$U$31*EXP('Model Inputs &amp; Assumptions'!$V$31*Q1530-'Model Inputs &amp; Assumptions'!$V$31^2/2))</f>
        <v>0.635158387484432</v>
      </c>
      <c r="E1530" s="45" t="n">
        <f aca="false">ROUND(C1530*D1530,0)</f>
        <v>295803</v>
      </c>
      <c r="F1530" s="47" t="n">
        <f aca="false">MIN(1,'Model Inputs &amp; Assumptions'!$W$31*EXP('Model Inputs &amp; Assumptions'!$X$31*R1530-'Model Inputs &amp; Assumptions'!$X$31^2/2))</f>
        <v>0.00498346260898326</v>
      </c>
      <c r="G1530" s="45" t="n">
        <f aca="false">ROUND(C1530*F1530,0)</f>
        <v>2321</v>
      </c>
      <c r="H1530" s="48" t="n">
        <f aca="false">MAX(0,(C1530*'Model Inputs &amp; Assumptions'!$N$31+E1530*'Model Inputs &amp; Assumptions'!$O$31+G1530*'Model Inputs &amp; Assumptions'!$P$31)*EXP('Model Inputs &amp; Assumptions'!$Q$31*S1530-'Model Inputs &amp; Assumptions'!$Q$31^2/2))</f>
        <v>34.8455301557442</v>
      </c>
      <c r="I1530" s="49" t="n">
        <f aca="false">IF('Model Inputs &amp; Assumptions'!$H$31="Fixed",'Model Inputs &amp; Assumptions'!$I$31*'Model Inputs &amp; Assumptions'!$K$31,IF('Model Inputs &amp; Assumptions'!$H$31="CPM",'Model Inputs &amp; Assumptions'!$I$31*'Model Inputs &amp; Assumptions'!$K$31*C1530/1000,IF('Model Inputs &amp; Assumptions'!$H$31="CPC",'Model Inputs &amp; Assumptions'!$I$31*'Model Inputs &amp; Assumptions'!$K$31*G1530,0)))</f>
        <v>5284.013736</v>
      </c>
      <c r="J1530" s="50" t="n">
        <f aca="false">H1530*INDEX('Model Inputs &amp; Assumptions'!$D$40:$D$42,MATCH('Model Inputs &amp; Assumptions'!$L$31,'Model Inputs &amp; Assumptions'!$A$40:$A$42,0))*INDEX('Model Inputs &amp; Assumptions'!$H$40:$H$42,MATCH('Model Inputs &amp; Assumptions'!$L$31,'Model Inputs &amp; Assumptions'!$A$40:$A$42,0))</f>
        <v>250887.817121358</v>
      </c>
      <c r="K1530" s="49" t="n">
        <f aca="false">H1530*INDEX('Model Inputs &amp; Assumptions'!$G$40:$G$42,MATCH('Model Inputs &amp; Assumptions'!$L$31,'Model Inputs &amp; Assumptions'!$A$40:$A$42,0))*INDEX('Model Inputs &amp; Assumptions'!$H$40:$H$42,MATCH('Model Inputs &amp; Assumptions'!$L$31,'Model Inputs &amp; Assumptions'!$A$40:$A$42,0))</f>
        <v>5532.07636752595</v>
      </c>
      <c r="L1530" s="51" t="n">
        <f aca="false">IFERROR(K1530/I1530,0)</f>
        <v>1.04694587181632</v>
      </c>
      <c r="M1530" s="49" t="n">
        <f aca="false">IFERROR(I1530/H1530,0)</f>
        <v>151.64107741747</v>
      </c>
      <c r="N1530" s="52" t="str">
        <f aca="false">'Model Inputs &amp; Assumptions'!$L$31</f>
        <v>PRD-USIQ</v>
      </c>
      <c r="P1530" s="53" t="n">
        <v>0.032105</v>
      </c>
      <c r="Q1530" s="53" t="n">
        <v>0.596799</v>
      </c>
      <c r="R1530" s="53" t="n">
        <v>0.106196</v>
      </c>
      <c r="S1530" s="53" t="n">
        <v>-1.304277</v>
      </c>
    </row>
    <row r="1531" customFormat="false" ht="15" hidden="false" customHeight="false" outlineLevel="0" collapsed="false">
      <c r="A1531" s="43" t="n">
        <v>28</v>
      </c>
      <c r="B1531" s="44" t="str">
        <f aca="false">'Model Inputs &amp; Assumptions'!$B$31</f>
        <v>YouTube — Finfluencer Pre-roll</v>
      </c>
      <c r="C1531" s="45" t="n">
        <f aca="false">ROUND(MAX(0,'Model Inputs &amp; Assumptions'!$S$31*EXP('Model Inputs &amp; Assumptions'!$T$31*P1531-'Model Inputs &amp; Assumptions'!$T$31^2/2)),0)</f>
        <v>534287</v>
      </c>
      <c r="D1531" s="46" t="n">
        <f aca="false">MIN(1,'Model Inputs &amp; Assumptions'!$U$31*EXP('Model Inputs &amp; Assumptions'!$V$31*Q1531-'Model Inputs &amp; Assumptions'!$V$31^2/2))</f>
        <v>0.602362447803949</v>
      </c>
      <c r="E1531" s="45" t="n">
        <f aca="false">ROUND(C1531*D1531,0)</f>
        <v>321834</v>
      </c>
      <c r="F1531" s="47" t="n">
        <f aca="false">MIN(1,'Model Inputs &amp; Assumptions'!$W$31*EXP('Model Inputs &amp; Assumptions'!$X$31*R1531-'Model Inputs &amp; Assumptions'!$X$31^2/2))</f>
        <v>0.00611329551804468</v>
      </c>
      <c r="G1531" s="45" t="n">
        <f aca="false">ROUND(C1531*F1531,0)</f>
        <v>3266</v>
      </c>
      <c r="H1531" s="48" t="n">
        <f aca="false">MAX(0,(C1531*'Model Inputs &amp; Assumptions'!$N$31+E1531*'Model Inputs &amp; Assumptions'!$O$31+G1531*'Model Inputs &amp; Assumptions'!$P$31)*EXP('Model Inputs &amp; Assumptions'!$Q$31*S1531-'Model Inputs &amp; Assumptions'!$Q$31^2/2))</f>
        <v>75.1866499266461</v>
      </c>
      <c r="I1531" s="49" t="n">
        <f aca="false">IF('Model Inputs &amp; Assumptions'!$H$31="Fixed",'Model Inputs &amp; Assumptions'!$I$31*'Model Inputs &amp; Assumptions'!$K$31,IF('Model Inputs &amp; Assumptions'!$H$31="CPM",'Model Inputs &amp; Assumptions'!$I$31*'Model Inputs &amp; Assumptions'!$K$31*C1531/1000,IF('Model Inputs &amp; Assumptions'!$H$31="CPC",'Model Inputs &amp; Assumptions'!$I$31*'Model Inputs &amp; Assumptions'!$K$31*G1531,0)))</f>
        <v>6062.020302</v>
      </c>
      <c r="J1531" s="50" t="n">
        <f aca="false">H1531*INDEX('Model Inputs &amp; Assumptions'!$D$40:$D$42,MATCH('Model Inputs &amp; Assumptions'!$L$31,'Model Inputs &amp; Assumptions'!$A$40:$A$42,0))*INDEX('Model Inputs &amp; Assumptions'!$H$40:$H$42,MATCH('Model Inputs &amp; Assumptions'!$L$31,'Model Inputs &amp; Assumptions'!$A$40:$A$42,0))</f>
        <v>541343.879471852</v>
      </c>
      <c r="K1531" s="49" t="n">
        <f aca="false">H1531*INDEX('Model Inputs &amp; Assumptions'!$G$40:$G$42,MATCH('Model Inputs &amp; Assumptions'!$L$31,'Model Inputs &amp; Assumptions'!$A$40:$A$42,0))*INDEX('Model Inputs &amp; Assumptions'!$H$40:$H$42,MATCH('Model Inputs &amp; Assumptions'!$L$31,'Model Inputs &amp; Assumptions'!$A$40:$A$42,0))</f>
        <v>11936.6325423543</v>
      </c>
      <c r="L1531" s="51" t="n">
        <f aca="false">IFERROR(K1531/I1531,0)</f>
        <v>1.96908488386556</v>
      </c>
      <c r="M1531" s="49" t="n">
        <f aca="false">IFERROR(I1531/H1531,0)</f>
        <v>80.6262854897013</v>
      </c>
      <c r="N1531" s="52" t="str">
        <f aca="false">'Model Inputs &amp; Assumptions'!$L$31</f>
        <v>PRD-USIQ</v>
      </c>
      <c r="P1531" s="53" t="n">
        <v>0.52267</v>
      </c>
      <c r="Q1531" s="53" t="n">
        <v>0.21812</v>
      </c>
      <c r="R1531" s="53" t="n">
        <v>0.957617</v>
      </c>
      <c r="S1531" s="53" t="n">
        <v>0.192149</v>
      </c>
    </row>
    <row r="1532" customFormat="false" ht="15" hidden="false" customHeight="false" outlineLevel="0" collapsed="false">
      <c r="A1532" s="43" t="n">
        <v>29</v>
      </c>
      <c r="B1532" s="44" t="str">
        <f aca="false">'Model Inputs &amp; Assumptions'!$B$31</f>
        <v>YouTube — Finfluencer Pre-roll</v>
      </c>
      <c r="C1532" s="45" t="n">
        <f aca="false">ROUND(MAX(0,'Model Inputs &amp; Assumptions'!$S$31*EXP('Model Inputs &amp; Assumptions'!$T$31*P1532-'Model Inputs &amp; Assumptions'!$T$31^2/2)),0)</f>
        <v>563482</v>
      </c>
      <c r="D1532" s="46" t="n">
        <f aca="false">MIN(1,'Model Inputs &amp; Assumptions'!$U$31*EXP('Model Inputs &amp; Assumptions'!$V$31*Q1532-'Model Inputs &amp; Assumptions'!$V$31^2/2))</f>
        <v>0.494529545198988</v>
      </c>
      <c r="E1532" s="45" t="n">
        <f aca="false">ROUND(C1532*D1532,0)</f>
        <v>278658</v>
      </c>
      <c r="F1532" s="47" t="n">
        <f aca="false">MIN(1,'Model Inputs &amp; Assumptions'!$W$31*EXP('Model Inputs &amp; Assumptions'!$X$31*R1532-'Model Inputs &amp; Assumptions'!$X$31^2/2))</f>
        <v>0.00427215708764406</v>
      </c>
      <c r="G1532" s="45" t="n">
        <f aca="false">ROUND(C1532*F1532,0)</f>
        <v>2407</v>
      </c>
      <c r="H1532" s="48" t="n">
        <f aca="false">MAX(0,(C1532*'Model Inputs &amp; Assumptions'!$N$31+E1532*'Model Inputs &amp; Assumptions'!$O$31+G1532*'Model Inputs &amp; Assumptions'!$P$31)*EXP('Model Inputs &amp; Assumptions'!$Q$31*S1532-'Model Inputs &amp; Assumptions'!$Q$31^2/2))</f>
        <v>33.6043165698594</v>
      </c>
      <c r="I1532" s="49" t="n">
        <f aca="false">IF('Model Inputs &amp; Assumptions'!$H$31="Fixed",'Model Inputs &amp; Assumptions'!$I$31*'Model Inputs &amp; Assumptions'!$K$31,IF('Model Inputs &amp; Assumptions'!$H$31="CPM",'Model Inputs &amp; Assumptions'!$I$31*'Model Inputs &amp; Assumptions'!$K$31*C1532/1000,IF('Model Inputs &amp; Assumptions'!$H$31="CPC",'Model Inputs &amp; Assumptions'!$I$31*'Model Inputs &amp; Assumptions'!$K$31*G1532,0)))</f>
        <v>6393.266772</v>
      </c>
      <c r="J1532" s="50" t="n">
        <f aca="false">H1532*INDEX('Model Inputs &amp; Assumptions'!$D$40:$D$42,MATCH('Model Inputs &amp; Assumptions'!$L$31,'Model Inputs &amp; Assumptions'!$A$40:$A$42,0))*INDEX('Model Inputs &amp; Assumptions'!$H$40:$H$42,MATCH('Model Inputs &amp; Assumptions'!$L$31,'Model Inputs &amp; Assumptions'!$A$40:$A$42,0))</f>
        <v>241951.079302988</v>
      </c>
      <c r="K1532" s="49" t="n">
        <f aca="false">H1532*INDEX('Model Inputs &amp; Assumptions'!$G$40:$G$42,MATCH('Model Inputs &amp; Assumptions'!$L$31,'Model Inputs &amp; Assumptions'!$A$40:$A$42,0))*INDEX('Model Inputs &amp; Assumptions'!$H$40:$H$42,MATCH('Model Inputs &amp; Assumptions'!$L$31,'Model Inputs &amp; Assumptions'!$A$40:$A$42,0))</f>
        <v>5335.02129863087</v>
      </c>
      <c r="L1532" s="51" t="n">
        <f aca="false">IFERROR(K1532/I1532,0)</f>
        <v>0.834475001418082</v>
      </c>
      <c r="M1532" s="49" t="n">
        <f aca="false">IFERROR(I1532/H1532,0)</f>
        <v>190.251355319462</v>
      </c>
      <c r="N1532" s="52" t="str">
        <f aca="false">'Model Inputs &amp; Assumptions'!$L$31</f>
        <v>PRD-USIQ</v>
      </c>
      <c r="P1532" s="53" t="n">
        <v>0.712675</v>
      </c>
      <c r="Q1532" s="53" t="n">
        <v>-1.190826</v>
      </c>
      <c r="R1532" s="53" t="n">
        <v>-0.535496</v>
      </c>
      <c r="S1532" s="53" t="n">
        <v>-1.403917</v>
      </c>
    </row>
    <row r="1533" customFormat="false" ht="15" hidden="false" customHeight="false" outlineLevel="0" collapsed="false">
      <c r="A1533" s="43" t="n">
        <v>30</v>
      </c>
      <c r="B1533" s="44" t="str">
        <f aca="false">'Model Inputs &amp; Assumptions'!$B$31</f>
        <v>YouTube — Finfluencer Pre-roll</v>
      </c>
      <c r="C1533" s="45" t="n">
        <f aca="false">ROUND(MAX(0,'Model Inputs &amp; Assumptions'!$S$31*EXP('Model Inputs &amp; Assumptions'!$T$31*P1533-'Model Inputs &amp; Assumptions'!$T$31^2/2)),0)</f>
        <v>317961</v>
      </c>
      <c r="D1533" s="46" t="n">
        <f aca="false">MIN(1,'Model Inputs &amp; Assumptions'!$U$31*EXP('Model Inputs &amp; Assumptions'!$V$31*Q1533-'Model Inputs &amp; Assumptions'!$V$31^2/2))</f>
        <v>0.588054680074953</v>
      </c>
      <c r="E1533" s="45" t="n">
        <f aca="false">ROUND(C1533*D1533,0)</f>
        <v>186978</v>
      </c>
      <c r="F1533" s="47" t="n">
        <f aca="false">MIN(1,'Model Inputs &amp; Assumptions'!$W$31*EXP('Model Inputs &amp; Assumptions'!$X$31*R1533-'Model Inputs &amp; Assumptions'!$X$31^2/2))</f>
        <v>0.0027307727627874</v>
      </c>
      <c r="G1533" s="45" t="n">
        <f aca="false">ROUND(C1533*F1533,0)</f>
        <v>868</v>
      </c>
      <c r="H1533" s="48" t="n">
        <f aca="false">MAX(0,(C1533*'Model Inputs &amp; Assumptions'!$N$31+E1533*'Model Inputs &amp; Assumptions'!$O$31+G1533*'Model Inputs &amp; Assumptions'!$P$31)*EXP('Model Inputs &amp; Assumptions'!$Q$31*S1533-'Model Inputs &amp; Assumptions'!$Q$31^2/2))</f>
        <v>36.5633552139674</v>
      </c>
      <c r="I1533" s="49" t="n">
        <f aca="false">IF('Model Inputs &amp; Assumptions'!$H$31="Fixed",'Model Inputs &amp; Assumptions'!$I$31*'Model Inputs &amp; Assumptions'!$K$31,IF('Model Inputs &amp; Assumptions'!$H$31="CPM",'Model Inputs &amp; Assumptions'!$I$31*'Model Inputs &amp; Assumptions'!$K$31*C1533/1000,IF('Model Inputs &amp; Assumptions'!$H$31="CPC",'Model Inputs &amp; Assumptions'!$I$31*'Model Inputs &amp; Assumptions'!$K$31*G1533,0)))</f>
        <v>3607.585506</v>
      </c>
      <c r="J1533" s="50" t="n">
        <f aca="false">H1533*INDEX('Model Inputs &amp; Assumptions'!$D$40:$D$42,MATCH('Model Inputs &amp; Assumptions'!$L$31,'Model Inputs &amp; Assumptions'!$A$40:$A$42,0))*INDEX('Model Inputs &amp; Assumptions'!$H$40:$H$42,MATCH('Model Inputs &amp; Assumptions'!$L$31,'Model Inputs &amp; Assumptions'!$A$40:$A$42,0))</f>
        <v>263256.157540565</v>
      </c>
      <c r="K1533" s="49" t="n">
        <f aca="false">H1533*INDEX('Model Inputs &amp; Assumptions'!$G$40:$G$42,MATCH('Model Inputs &amp; Assumptions'!$L$31,'Model Inputs &amp; Assumptions'!$A$40:$A$42,0))*INDEX('Model Inputs &amp; Assumptions'!$H$40:$H$42,MATCH('Model Inputs &amp; Assumptions'!$L$31,'Model Inputs &amp; Assumptions'!$A$40:$A$42,0))</f>
        <v>5804.79827376947</v>
      </c>
      <c r="L1533" s="51" t="n">
        <f aca="false">IFERROR(K1533/I1533,0)</f>
        <v>1.60905355233165</v>
      </c>
      <c r="M1533" s="49" t="n">
        <f aca="false">IFERROR(I1533/H1533,0)</f>
        <v>98.6666974321296</v>
      </c>
      <c r="N1533" s="52" t="str">
        <f aca="false">'Model Inputs &amp; Assumptions'!$L$31</f>
        <v>PRD-USIQ</v>
      </c>
      <c r="P1533" s="53" t="n">
        <v>-1.330919</v>
      </c>
      <c r="Q1533" s="53" t="n">
        <v>0.04641</v>
      </c>
      <c r="R1533" s="53" t="n">
        <v>-2.400222</v>
      </c>
      <c r="S1533" s="53" t="n">
        <v>0.939627</v>
      </c>
    </row>
    <row r="1534" customFormat="false" ht="15" hidden="false" customHeight="false" outlineLevel="0" collapsed="false">
      <c r="A1534" s="43" t="n">
        <v>31</v>
      </c>
      <c r="B1534" s="44" t="str">
        <f aca="false">'Model Inputs &amp; Assumptions'!$B$31</f>
        <v>YouTube — Finfluencer Pre-roll</v>
      </c>
      <c r="C1534" s="45" t="n">
        <f aca="false">ROUND(MAX(0,'Model Inputs &amp; Assumptions'!$S$31*EXP('Model Inputs &amp; Assumptions'!$T$31*P1534-'Model Inputs &amp; Assumptions'!$T$31^2/2)),0)</f>
        <v>404576</v>
      </c>
      <c r="D1534" s="46" t="n">
        <f aca="false">MIN(1,'Model Inputs &amp; Assumptions'!$U$31*EXP('Model Inputs &amp; Assumptions'!$V$31*Q1534-'Model Inputs &amp; Assumptions'!$V$31^2/2))</f>
        <v>0.448785810376166</v>
      </c>
      <c r="E1534" s="45" t="n">
        <f aca="false">ROUND(C1534*D1534,0)</f>
        <v>181568</v>
      </c>
      <c r="F1534" s="47" t="n">
        <f aca="false">MIN(1,'Model Inputs &amp; Assumptions'!$W$31*EXP('Model Inputs &amp; Assumptions'!$X$31*R1534-'Model Inputs &amp; Assumptions'!$X$31^2/2))</f>
        <v>0.00460352130821607</v>
      </c>
      <c r="G1534" s="45" t="n">
        <f aca="false">ROUND(C1534*F1534,0)</f>
        <v>1862</v>
      </c>
      <c r="H1534" s="48" t="n">
        <f aca="false">MAX(0,(C1534*'Model Inputs &amp; Assumptions'!$N$31+E1534*'Model Inputs &amp; Assumptions'!$O$31+G1534*'Model Inputs &amp; Assumptions'!$P$31)*EXP('Model Inputs &amp; Assumptions'!$Q$31*S1534-'Model Inputs &amp; Assumptions'!$Q$31^2/2))</f>
        <v>22.7108470805135</v>
      </c>
      <c r="I1534" s="49" t="n">
        <f aca="false">IF('Model Inputs &amp; Assumptions'!$H$31="Fixed",'Model Inputs &amp; Assumptions'!$I$31*'Model Inputs &amp; Assumptions'!$K$31,IF('Model Inputs &amp; Assumptions'!$H$31="CPM",'Model Inputs &amp; Assumptions'!$I$31*'Model Inputs &amp; Assumptions'!$K$31*C1534/1000,IF('Model Inputs &amp; Assumptions'!$H$31="CPC",'Model Inputs &amp; Assumptions'!$I$31*'Model Inputs &amp; Assumptions'!$K$31*G1534,0)))</f>
        <v>4590.319296</v>
      </c>
      <c r="J1534" s="50" t="n">
        <f aca="false">H1534*INDEX('Model Inputs &amp; Assumptions'!$D$40:$D$42,MATCH('Model Inputs &amp; Assumptions'!$L$31,'Model Inputs &amp; Assumptions'!$A$40:$A$42,0))*INDEX('Model Inputs &amp; Assumptions'!$H$40:$H$42,MATCH('Model Inputs &amp; Assumptions'!$L$31,'Model Inputs &amp; Assumptions'!$A$40:$A$42,0))</f>
        <v>163518.098979697</v>
      </c>
      <c r="K1534" s="49" t="n">
        <f aca="false">H1534*INDEX('Model Inputs &amp; Assumptions'!$G$40:$G$42,MATCH('Model Inputs &amp; Assumptions'!$L$31,'Model Inputs &amp; Assumptions'!$A$40:$A$42,0))*INDEX('Model Inputs &amp; Assumptions'!$H$40:$H$42,MATCH('Model Inputs &amp; Assumptions'!$L$31,'Model Inputs &amp; Assumptions'!$A$40:$A$42,0))</f>
        <v>3605.57408250233</v>
      </c>
      <c r="L1534" s="51" t="n">
        <f aca="false">IFERROR(K1534/I1534,0)</f>
        <v>0.785473482344511</v>
      </c>
      <c r="M1534" s="49" t="n">
        <f aca="false">IFERROR(I1534/H1534,0)</f>
        <v>202.120126991591</v>
      </c>
      <c r="N1534" s="52" t="str">
        <f aca="false">'Model Inputs &amp; Assumptions'!$L$31</f>
        <v>PRD-USIQ</v>
      </c>
      <c r="P1534" s="53" t="n">
        <v>-0.470519</v>
      </c>
      <c r="Q1534" s="53" t="n">
        <v>-1.88412</v>
      </c>
      <c r="R1534" s="53" t="n">
        <v>-0.224235</v>
      </c>
      <c r="S1534" s="53" t="n">
        <v>-1.612464</v>
      </c>
    </row>
    <row r="1535" customFormat="false" ht="15" hidden="false" customHeight="false" outlineLevel="0" collapsed="false">
      <c r="A1535" s="43" t="n">
        <v>32</v>
      </c>
      <c r="B1535" s="44" t="str">
        <f aca="false">'Model Inputs &amp; Assumptions'!$B$31</f>
        <v>YouTube — Finfluencer Pre-roll</v>
      </c>
      <c r="C1535" s="45" t="n">
        <f aca="false">ROUND(MAX(0,'Model Inputs &amp; Assumptions'!$S$31*EXP('Model Inputs &amp; Assumptions'!$T$31*P1535-'Model Inputs &amp; Assumptions'!$T$31^2/2)),0)</f>
        <v>516967</v>
      </c>
      <c r="D1535" s="46" t="n">
        <f aca="false">MIN(1,'Model Inputs &amp; Assumptions'!$U$31*EXP('Model Inputs &amp; Assumptions'!$V$31*Q1535-'Model Inputs &amp; Assumptions'!$V$31^2/2))</f>
        <v>0.664640781758015</v>
      </c>
      <c r="E1535" s="45" t="n">
        <f aca="false">ROUND(C1535*D1535,0)</f>
        <v>343597</v>
      </c>
      <c r="F1535" s="47" t="n">
        <f aca="false">MIN(1,'Model Inputs &amp; Assumptions'!$W$31*EXP('Model Inputs &amp; Assumptions'!$X$31*R1535-'Model Inputs &amp; Assumptions'!$X$31^2/2))</f>
        <v>0.00520207004752216</v>
      </c>
      <c r="G1535" s="45" t="n">
        <f aca="false">ROUND(C1535*F1535,0)</f>
        <v>2689</v>
      </c>
      <c r="H1535" s="48" t="n">
        <f aca="false">MAX(0,(C1535*'Model Inputs &amp; Assumptions'!$N$31+E1535*'Model Inputs &amp; Assumptions'!$O$31+G1535*'Model Inputs &amp; Assumptions'!$P$31)*EXP('Model Inputs &amp; Assumptions'!$Q$31*S1535-'Model Inputs &amp; Assumptions'!$Q$31^2/2))</f>
        <v>33.1229926037747</v>
      </c>
      <c r="I1535" s="49" t="n">
        <f aca="false">IF('Model Inputs &amp; Assumptions'!$H$31="Fixed",'Model Inputs &amp; Assumptions'!$I$31*'Model Inputs &amp; Assumptions'!$K$31,IF('Model Inputs &amp; Assumptions'!$H$31="CPM",'Model Inputs &amp; Assumptions'!$I$31*'Model Inputs &amp; Assumptions'!$K$31*C1535/1000,IF('Model Inputs &amp; Assumptions'!$H$31="CPC",'Model Inputs &amp; Assumptions'!$I$31*'Model Inputs &amp; Assumptions'!$K$31*G1535,0)))</f>
        <v>5865.507582</v>
      </c>
      <c r="J1535" s="50" t="n">
        <f aca="false">H1535*INDEX('Model Inputs &amp; Assumptions'!$D$40:$D$42,MATCH('Model Inputs &amp; Assumptions'!$L$31,'Model Inputs &amp; Assumptions'!$A$40:$A$42,0))*INDEX('Model Inputs &amp; Assumptions'!$H$40:$H$42,MATCH('Model Inputs &amp; Assumptions'!$L$31,'Model Inputs &amp; Assumptions'!$A$40:$A$42,0))</f>
        <v>238485.546747178</v>
      </c>
      <c r="K1535" s="49" t="n">
        <f aca="false">H1535*INDEX('Model Inputs &amp; Assumptions'!$G$40:$G$42,MATCH('Model Inputs &amp; Assumptions'!$L$31,'Model Inputs &amp; Assumptions'!$A$40:$A$42,0))*INDEX('Model Inputs &amp; Assumptions'!$H$40:$H$42,MATCH('Model Inputs &amp; Assumptions'!$L$31,'Model Inputs &amp; Assumptions'!$A$40:$A$42,0))</f>
        <v>5258.60630577527</v>
      </c>
      <c r="L1535" s="51" t="n">
        <f aca="false">IFERROR(K1535/I1535,0)</f>
        <v>0.89653047622218</v>
      </c>
      <c r="M1535" s="49" t="n">
        <f aca="false">IFERROR(I1535/H1535,0)</f>
        <v>177.082658326337</v>
      </c>
      <c r="N1535" s="52" t="str">
        <f aca="false">'Model Inputs &amp; Assumptions'!$L$31</f>
        <v>PRD-USIQ</v>
      </c>
      <c r="P1535" s="53" t="n">
        <v>0.404973</v>
      </c>
      <c r="Q1535" s="53" t="n">
        <v>0.920887</v>
      </c>
      <c r="R1535" s="53" t="n">
        <v>0.285078</v>
      </c>
      <c r="S1535" s="53" t="n">
        <v>-1.872629</v>
      </c>
    </row>
    <row r="1536" customFormat="false" ht="15" hidden="false" customHeight="false" outlineLevel="0" collapsed="false">
      <c r="A1536" s="43" t="n">
        <v>33</v>
      </c>
      <c r="B1536" s="44" t="str">
        <f aca="false">'Model Inputs &amp; Assumptions'!$B$31</f>
        <v>YouTube — Finfluencer Pre-roll</v>
      </c>
      <c r="C1536" s="45" t="n">
        <f aca="false">ROUND(MAX(0,'Model Inputs &amp; Assumptions'!$S$31*EXP('Model Inputs &amp; Assumptions'!$T$31*P1536-'Model Inputs &amp; Assumptions'!$T$31^2/2)),0)</f>
        <v>478023</v>
      </c>
      <c r="D1536" s="46" t="n">
        <f aca="false">MIN(1,'Model Inputs &amp; Assumptions'!$U$31*EXP('Model Inputs &amp; Assumptions'!$V$31*Q1536-'Model Inputs &amp; Assumptions'!$V$31^2/2))</f>
        <v>0.534698232790054</v>
      </c>
      <c r="E1536" s="45" t="n">
        <f aca="false">ROUND(C1536*D1536,0)</f>
        <v>255598</v>
      </c>
      <c r="F1536" s="47" t="n">
        <f aca="false">MIN(1,'Model Inputs &amp; Assumptions'!$W$31*EXP('Model Inputs &amp; Assumptions'!$X$31*R1536-'Model Inputs &amp; Assumptions'!$X$31^2/2))</f>
        <v>0.00597050929274896</v>
      </c>
      <c r="G1536" s="45" t="n">
        <f aca="false">ROUND(C1536*F1536,0)</f>
        <v>2854</v>
      </c>
      <c r="H1536" s="48" t="n">
        <f aca="false">MAX(0,(C1536*'Model Inputs &amp; Assumptions'!$N$31+E1536*'Model Inputs &amp; Assumptions'!$O$31+G1536*'Model Inputs &amp; Assumptions'!$P$31)*EXP('Model Inputs &amp; Assumptions'!$Q$31*S1536-'Model Inputs &amp; Assumptions'!$Q$31^2/2))</f>
        <v>32.1200621014062</v>
      </c>
      <c r="I1536" s="49" t="n">
        <f aca="false">IF('Model Inputs &amp; Assumptions'!$H$31="Fixed",'Model Inputs &amp; Assumptions'!$I$31*'Model Inputs &amp; Assumptions'!$K$31,IF('Model Inputs &amp; Assumptions'!$H$31="CPM",'Model Inputs &amp; Assumptions'!$I$31*'Model Inputs &amp; Assumptions'!$K$31*C1536/1000,IF('Model Inputs &amp; Assumptions'!$H$31="CPC",'Model Inputs &amp; Assumptions'!$I$31*'Model Inputs &amp; Assumptions'!$K$31*G1536,0)))</f>
        <v>5423.648958</v>
      </c>
      <c r="J1536" s="50" t="n">
        <f aca="false">H1536*INDEX('Model Inputs &amp; Assumptions'!$D$40:$D$42,MATCH('Model Inputs &amp; Assumptions'!$L$31,'Model Inputs &amp; Assumptions'!$A$40:$A$42,0))*INDEX('Model Inputs &amp; Assumptions'!$H$40:$H$42,MATCH('Model Inputs &amp; Assumptions'!$L$31,'Model Inputs &amp; Assumptions'!$A$40:$A$42,0))</f>
        <v>231264.447130124</v>
      </c>
      <c r="K1536" s="49" t="n">
        <f aca="false">H1536*INDEX('Model Inputs &amp; Assumptions'!$G$40:$G$42,MATCH('Model Inputs &amp; Assumptions'!$L$31,'Model Inputs &amp; Assumptions'!$A$40:$A$42,0))*INDEX('Model Inputs &amp; Assumptions'!$H$40:$H$42,MATCH('Model Inputs &amp; Assumptions'!$L$31,'Model Inputs &amp; Assumptions'!$A$40:$A$42,0))</f>
        <v>5099.38105921924</v>
      </c>
      <c r="L1536" s="51" t="n">
        <f aca="false">IFERROR(K1536/I1536,0)</f>
        <v>0.940212225884853</v>
      </c>
      <c r="M1536" s="49" t="n">
        <f aca="false">IFERROR(I1536/H1536,0)</f>
        <v>168.855494141855</v>
      </c>
      <c r="N1536" s="52" t="str">
        <f aca="false">'Model Inputs &amp; Assumptions'!$L$31</f>
        <v>PRD-USIQ</v>
      </c>
      <c r="P1536" s="53" t="n">
        <v>0.125258</v>
      </c>
      <c r="Q1536" s="53" t="n">
        <v>-0.633</v>
      </c>
      <c r="R1536" s="53" t="n">
        <v>0.859143</v>
      </c>
      <c r="S1536" s="53" t="n">
        <v>-1.761395</v>
      </c>
    </row>
    <row r="1537" customFormat="false" ht="15" hidden="false" customHeight="false" outlineLevel="0" collapsed="false">
      <c r="A1537" s="43" t="n">
        <v>34</v>
      </c>
      <c r="B1537" s="44" t="str">
        <f aca="false">'Model Inputs &amp; Assumptions'!$B$31</f>
        <v>YouTube — Finfluencer Pre-roll</v>
      </c>
      <c r="C1537" s="45" t="n">
        <f aca="false">ROUND(MAX(0,'Model Inputs &amp; Assumptions'!$S$31*EXP('Model Inputs &amp; Assumptions'!$T$31*P1537-'Model Inputs &amp; Assumptions'!$T$31^2/2)),0)</f>
        <v>512626</v>
      </c>
      <c r="D1537" s="46" t="n">
        <f aca="false">MIN(1,'Model Inputs &amp; Assumptions'!$U$31*EXP('Model Inputs &amp; Assumptions'!$V$31*Q1537-'Model Inputs &amp; Assumptions'!$V$31^2/2))</f>
        <v>0.551782969020159</v>
      </c>
      <c r="E1537" s="45" t="n">
        <f aca="false">ROUND(C1537*D1537,0)</f>
        <v>282858</v>
      </c>
      <c r="F1537" s="47" t="n">
        <f aca="false">MIN(1,'Model Inputs &amp; Assumptions'!$W$31*EXP('Model Inputs &amp; Assumptions'!$X$31*R1537-'Model Inputs &amp; Assumptions'!$X$31^2/2))</f>
        <v>0.00428349777263258</v>
      </c>
      <c r="G1537" s="45" t="n">
        <f aca="false">ROUND(C1537*F1537,0)</f>
        <v>2196</v>
      </c>
      <c r="H1537" s="48" t="n">
        <f aca="false">MAX(0,(C1537*'Model Inputs &amp; Assumptions'!$N$31+E1537*'Model Inputs &amp; Assumptions'!$O$31+G1537*'Model Inputs &amp; Assumptions'!$P$31)*EXP('Model Inputs &amp; Assumptions'!$Q$31*S1537-'Model Inputs &amp; Assumptions'!$Q$31^2/2))</f>
        <v>27.7644455013353</v>
      </c>
      <c r="I1537" s="49" t="n">
        <f aca="false">IF('Model Inputs &amp; Assumptions'!$H$31="Fixed",'Model Inputs &amp; Assumptions'!$I$31*'Model Inputs &amp; Assumptions'!$K$31,IF('Model Inputs &amp; Assumptions'!$H$31="CPM",'Model Inputs &amp; Assumptions'!$I$31*'Model Inputs &amp; Assumptions'!$K$31*C1537/1000,IF('Model Inputs &amp; Assumptions'!$H$31="CPC",'Model Inputs &amp; Assumptions'!$I$31*'Model Inputs &amp; Assumptions'!$K$31*G1537,0)))</f>
        <v>5816.254596</v>
      </c>
      <c r="J1537" s="50" t="n">
        <f aca="false">H1537*INDEX('Model Inputs &amp; Assumptions'!$D$40:$D$42,MATCH('Model Inputs &amp; Assumptions'!$L$31,'Model Inputs &amp; Assumptions'!$A$40:$A$42,0))*INDEX('Model Inputs &amp; Assumptions'!$H$40:$H$42,MATCH('Model Inputs &amp; Assumptions'!$L$31,'Model Inputs &amp; Assumptions'!$A$40:$A$42,0))</f>
        <v>199904.007609614</v>
      </c>
      <c r="K1537" s="49" t="n">
        <f aca="false">H1537*INDEX('Model Inputs &amp; Assumptions'!$G$40:$G$42,MATCH('Model Inputs &amp; Assumptions'!$L$31,'Model Inputs &amp; Assumptions'!$A$40:$A$42,0))*INDEX('Model Inputs &amp; Assumptions'!$H$40:$H$42,MATCH('Model Inputs &amp; Assumptions'!$L$31,'Model Inputs &amp; Assumptions'!$A$40:$A$42,0))</f>
        <v>4407.88336779199</v>
      </c>
      <c r="L1537" s="51" t="n">
        <f aca="false">IFERROR(K1537/I1537,0)</f>
        <v>0.757855987051085</v>
      </c>
      <c r="M1537" s="49" t="n">
        <f aca="false">IFERROR(I1537/H1537,0)</f>
        <v>209.485710626574</v>
      </c>
      <c r="N1537" s="52" t="str">
        <f aca="false">'Model Inputs &amp; Assumptions'!$L$31</f>
        <v>PRD-USIQ</v>
      </c>
      <c r="P1537" s="53" t="n">
        <v>0.374856</v>
      </c>
      <c r="Q1537" s="53" t="n">
        <v>-0.408341</v>
      </c>
      <c r="R1537" s="53" t="n">
        <v>-0.52445</v>
      </c>
      <c r="S1537" s="53" t="n">
        <v>-1.807465</v>
      </c>
    </row>
    <row r="1538" customFormat="false" ht="15" hidden="false" customHeight="false" outlineLevel="0" collapsed="false">
      <c r="A1538" s="43" t="n">
        <v>35</v>
      </c>
      <c r="B1538" s="44" t="str">
        <f aca="false">'Model Inputs &amp; Assumptions'!$B$31</f>
        <v>YouTube — Finfluencer Pre-roll</v>
      </c>
      <c r="C1538" s="45" t="n">
        <f aca="false">ROUND(MAX(0,'Model Inputs &amp; Assumptions'!$S$31*EXP('Model Inputs &amp; Assumptions'!$T$31*P1538-'Model Inputs &amp; Assumptions'!$T$31^2/2)),0)</f>
        <v>630008</v>
      </c>
      <c r="D1538" s="46" t="n">
        <f aca="false">MIN(1,'Model Inputs &amp; Assumptions'!$U$31*EXP('Model Inputs &amp; Assumptions'!$V$31*Q1538-'Model Inputs &amp; Assumptions'!$V$31^2/2))</f>
        <v>0.701813175541883</v>
      </c>
      <c r="E1538" s="45" t="n">
        <f aca="false">ROUND(C1538*D1538,0)</f>
        <v>442148</v>
      </c>
      <c r="F1538" s="47" t="n">
        <f aca="false">MIN(1,'Model Inputs &amp; Assumptions'!$W$31*EXP('Model Inputs &amp; Assumptions'!$X$31*R1538-'Model Inputs &amp; Assumptions'!$X$31^2/2))</f>
        <v>0.003551417971875</v>
      </c>
      <c r="G1538" s="45" t="n">
        <f aca="false">ROUND(C1538*F1538,0)</f>
        <v>2237</v>
      </c>
      <c r="H1538" s="48" t="n">
        <f aca="false">MAX(0,(C1538*'Model Inputs &amp; Assumptions'!$N$31+E1538*'Model Inputs &amp; Assumptions'!$O$31+G1538*'Model Inputs &amp; Assumptions'!$P$31)*EXP('Model Inputs &amp; Assumptions'!$Q$31*S1538-'Model Inputs &amp; Assumptions'!$Q$31^2/2))</f>
        <v>52.1578398184521</v>
      </c>
      <c r="I1538" s="49" t="n">
        <f aca="false">IF('Model Inputs &amp; Assumptions'!$H$31="Fixed",'Model Inputs &amp; Assumptions'!$I$31*'Model Inputs &amp; Assumptions'!$K$31,IF('Model Inputs &amp; Assumptions'!$H$31="CPM",'Model Inputs &amp; Assumptions'!$I$31*'Model Inputs &amp; Assumptions'!$K$31*C1538/1000,IF('Model Inputs &amp; Assumptions'!$H$31="CPC",'Model Inputs &amp; Assumptions'!$I$31*'Model Inputs &amp; Assumptions'!$K$31*G1538,0)))</f>
        <v>7148.070768</v>
      </c>
      <c r="J1538" s="50" t="n">
        <f aca="false">H1538*INDEX('Model Inputs &amp; Assumptions'!$D$40:$D$42,MATCH('Model Inputs &amp; Assumptions'!$L$31,'Model Inputs &amp; Assumptions'!$A$40:$A$42,0))*INDEX('Model Inputs &amp; Assumptions'!$H$40:$H$42,MATCH('Model Inputs &amp; Assumptions'!$L$31,'Model Inputs &amp; Assumptions'!$A$40:$A$42,0))</f>
        <v>375536.446692855</v>
      </c>
      <c r="K1538" s="49" t="n">
        <f aca="false">H1538*INDEX('Model Inputs &amp; Assumptions'!$G$40:$G$42,MATCH('Model Inputs &amp; Assumptions'!$L$31,'Model Inputs &amp; Assumptions'!$A$40:$A$42,0))*INDEX('Model Inputs &amp; Assumptions'!$H$40:$H$42,MATCH('Model Inputs &amp; Assumptions'!$L$31,'Model Inputs &amp; Assumptions'!$A$40:$A$42,0))</f>
        <v>8280.57864957745</v>
      </c>
      <c r="L1538" s="51" t="n">
        <f aca="false">IFERROR(K1538/I1538,0)</f>
        <v>1.15843546018702</v>
      </c>
      <c r="M1538" s="49" t="n">
        <f aca="false">IFERROR(I1538/H1538,0)</f>
        <v>137.046909781551</v>
      </c>
      <c r="N1538" s="52" t="str">
        <f aca="false">'Model Inputs &amp; Assumptions'!$L$31</f>
        <v>PRD-USIQ</v>
      </c>
      <c r="P1538" s="53" t="n">
        <v>1.111236</v>
      </c>
      <c r="Q1538" s="53" t="n">
        <v>1.309605</v>
      </c>
      <c r="R1538" s="53" t="n">
        <v>-1.305379</v>
      </c>
      <c r="S1538" s="53" t="n">
        <v>-0.621489</v>
      </c>
    </row>
    <row r="1539" customFormat="false" ht="15" hidden="false" customHeight="false" outlineLevel="0" collapsed="false">
      <c r="A1539" s="43" t="n">
        <v>36</v>
      </c>
      <c r="B1539" s="44" t="str">
        <f aca="false">'Model Inputs &amp; Assumptions'!$B$31</f>
        <v>YouTube — Finfluencer Pre-roll</v>
      </c>
      <c r="C1539" s="45" t="n">
        <f aca="false">ROUND(MAX(0,'Model Inputs &amp; Assumptions'!$S$31*EXP('Model Inputs &amp; Assumptions'!$T$31*P1539-'Model Inputs &amp; Assumptions'!$T$31^2/2)),0)</f>
        <v>341332</v>
      </c>
      <c r="D1539" s="46" t="n">
        <f aca="false">MIN(1,'Model Inputs &amp; Assumptions'!$U$31*EXP('Model Inputs &amp; Assumptions'!$V$31*Q1539-'Model Inputs &amp; Assumptions'!$V$31^2/2))</f>
        <v>0.511486973032274</v>
      </c>
      <c r="E1539" s="45" t="n">
        <f aca="false">ROUND(C1539*D1539,0)</f>
        <v>174587</v>
      </c>
      <c r="F1539" s="47" t="n">
        <f aca="false">MIN(1,'Model Inputs &amp; Assumptions'!$W$31*EXP('Model Inputs &amp; Assumptions'!$X$31*R1539-'Model Inputs &amp; Assumptions'!$X$31^2/2))</f>
        <v>0.00436564905016738</v>
      </c>
      <c r="G1539" s="45" t="n">
        <f aca="false">ROUND(C1539*F1539,0)</f>
        <v>1490</v>
      </c>
      <c r="H1539" s="48" t="n">
        <f aca="false">MAX(0,(C1539*'Model Inputs &amp; Assumptions'!$N$31+E1539*'Model Inputs &amp; Assumptions'!$O$31+G1539*'Model Inputs &amp; Assumptions'!$P$31)*EXP('Model Inputs &amp; Assumptions'!$Q$31*S1539-'Model Inputs &amp; Assumptions'!$Q$31^2/2))</f>
        <v>33.1320767687045</v>
      </c>
      <c r="I1539" s="49" t="n">
        <f aca="false">IF('Model Inputs &amp; Assumptions'!$H$31="Fixed",'Model Inputs &amp; Assumptions'!$I$31*'Model Inputs &amp; Assumptions'!$K$31,IF('Model Inputs &amp; Assumptions'!$H$31="CPM",'Model Inputs &amp; Assumptions'!$I$31*'Model Inputs &amp; Assumptions'!$K$31*C1539/1000,IF('Model Inputs &amp; Assumptions'!$H$31="CPC",'Model Inputs &amp; Assumptions'!$I$31*'Model Inputs &amp; Assumptions'!$K$31*G1539,0)))</f>
        <v>3872.752872</v>
      </c>
      <c r="J1539" s="50" t="n">
        <f aca="false">H1539*INDEX('Model Inputs &amp; Assumptions'!$D$40:$D$42,MATCH('Model Inputs &amp; Assumptions'!$L$31,'Model Inputs &amp; Assumptions'!$A$40:$A$42,0))*INDEX('Model Inputs &amp; Assumptions'!$H$40:$H$42,MATCH('Model Inputs &amp; Assumptions'!$L$31,'Model Inputs &amp; Assumptions'!$A$40:$A$42,0))</f>
        <v>238550.952734672</v>
      </c>
      <c r="K1539" s="49" t="n">
        <f aca="false">H1539*INDEX('Model Inputs &amp; Assumptions'!$G$40:$G$42,MATCH('Model Inputs &amp; Assumptions'!$L$31,'Model Inputs &amp; Assumptions'!$A$40:$A$42,0))*INDEX('Model Inputs &amp; Assumptions'!$H$40:$H$42,MATCH('Model Inputs &amp; Assumptions'!$L$31,'Model Inputs &amp; Assumptions'!$A$40:$A$42,0))</f>
        <v>5260.04850779952</v>
      </c>
      <c r="L1539" s="51" t="n">
        <f aca="false">IFERROR(K1539/I1539,0)</f>
        <v>1.35821950990719</v>
      </c>
      <c r="M1539" s="49" t="n">
        <f aca="false">IFERROR(I1539/H1539,0)</f>
        <v>116.888322426504</v>
      </c>
      <c r="N1539" s="52" t="str">
        <f aca="false">'Model Inputs &amp; Assumptions'!$L$31</f>
        <v>PRD-USIQ</v>
      </c>
      <c r="P1539" s="53" t="n">
        <v>-1.077606</v>
      </c>
      <c r="Q1539" s="53" t="n">
        <v>-0.950003</v>
      </c>
      <c r="R1539" s="53" t="n">
        <v>-0.445296</v>
      </c>
      <c r="S1539" s="53" t="n">
        <v>-0.087237</v>
      </c>
    </row>
    <row r="1540" customFormat="false" ht="15" hidden="false" customHeight="false" outlineLevel="0" collapsed="false">
      <c r="A1540" s="43" t="n">
        <v>37</v>
      </c>
      <c r="B1540" s="44" t="str">
        <f aca="false">'Model Inputs &amp; Assumptions'!$B$31</f>
        <v>YouTube — Finfluencer Pre-roll</v>
      </c>
      <c r="C1540" s="45" t="n">
        <f aca="false">ROUND(MAX(0,'Model Inputs &amp; Assumptions'!$S$31*EXP('Model Inputs &amp; Assumptions'!$T$31*P1540-'Model Inputs &amp; Assumptions'!$T$31^2/2)),0)</f>
        <v>562924</v>
      </c>
      <c r="D1540" s="46" t="n">
        <f aca="false">MIN(1,'Model Inputs &amp; Assumptions'!$U$31*EXP('Model Inputs &amp; Assumptions'!$V$31*Q1540-'Model Inputs &amp; Assumptions'!$V$31^2/2))</f>
        <v>0.577058712962974</v>
      </c>
      <c r="E1540" s="45" t="n">
        <f aca="false">ROUND(C1540*D1540,0)</f>
        <v>324840</v>
      </c>
      <c r="F1540" s="47" t="n">
        <f aca="false">MIN(1,'Model Inputs &amp; Assumptions'!$W$31*EXP('Model Inputs &amp; Assumptions'!$X$31*R1540-'Model Inputs &amp; Assumptions'!$X$31^2/2))</f>
        <v>0.00656991117379038</v>
      </c>
      <c r="G1540" s="45" t="n">
        <f aca="false">ROUND(C1540*F1540,0)</f>
        <v>3698</v>
      </c>
      <c r="H1540" s="48" t="n">
        <f aca="false">MAX(0,(C1540*'Model Inputs &amp; Assumptions'!$N$31+E1540*'Model Inputs &amp; Assumptions'!$O$31+G1540*'Model Inputs &amp; Assumptions'!$P$31)*EXP('Model Inputs &amp; Assumptions'!$Q$31*S1540-'Model Inputs &amp; Assumptions'!$Q$31^2/2))</f>
        <v>43.9488289590644</v>
      </c>
      <c r="I1540" s="49" t="n">
        <f aca="false">IF('Model Inputs &amp; Assumptions'!$H$31="Fixed",'Model Inputs &amp; Assumptions'!$I$31*'Model Inputs &amp; Assumptions'!$K$31,IF('Model Inputs &amp; Assumptions'!$H$31="CPM",'Model Inputs &amp; Assumptions'!$I$31*'Model Inputs &amp; Assumptions'!$K$31*C1540/1000,IF('Model Inputs &amp; Assumptions'!$H$31="CPC",'Model Inputs &amp; Assumptions'!$I$31*'Model Inputs &amp; Assumptions'!$K$31*G1540,0)))</f>
        <v>6386.935704</v>
      </c>
      <c r="J1540" s="50" t="n">
        <f aca="false">H1540*INDEX('Model Inputs &amp; Assumptions'!$D$40:$D$42,MATCH('Model Inputs &amp; Assumptions'!$L$31,'Model Inputs &amp; Assumptions'!$A$40:$A$42,0))*INDEX('Model Inputs &amp; Assumptions'!$H$40:$H$42,MATCH('Model Inputs &amp; Assumptions'!$L$31,'Model Inputs &amp; Assumptions'!$A$40:$A$42,0))</f>
        <v>316431.568505264</v>
      </c>
      <c r="K1540" s="49" t="n">
        <f aca="false">H1540*INDEX('Model Inputs &amp; Assumptions'!$G$40:$G$42,MATCH('Model Inputs &amp; Assumptions'!$L$31,'Model Inputs &amp; Assumptions'!$A$40:$A$42,0))*INDEX('Model Inputs &amp; Assumptions'!$H$40:$H$42,MATCH('Model Inputs &amp; Assumptions'!$L$31,'Model Inputs &amp; Assumptions'!$A$40:$A$42,0))</f>
        <v>6977.31608554107</v>
      </c>
      <c r="L1540" s="51" t="n">
        <f aca="false">IFERROR(K1540/I1540,0)</f>
        <v>1.09243562310661</v>
      </c>
      <c r="M1540" s="49" t="n">
        <f aca="false">IFERROR(I1540/H1540,0)</f>
        <v>145.326641352584</v>
      </c>
      <c r="N1540" s="52" t="str">
        <f aca="false">'Model Inputs &amp; Assumptions'!$L$31</f>
        <v>PRD-USIQ</v>
      </c>
      <c r="P1540" s="53" t="n">
        <v>0.709136</v>
      </c>
      <c r="Q1540" s="53" t="n">
        <v>-0.088418</v>
      </c>
      <c r="R1540" s="53" t="n">
        <v>1.25776</v>
      </c>
      <c r="S1540" s="53" t="n">
        <v>-1.588005</v>
      </c>
    </row>
    <row r="1541" customFormat="false" ht="15" hidden="false" customHeight="false" outlineLevel="0" collapsed="false">
      <c r="A1541" s="43" t="n">
        <v>38</v>
      </c>
      <c r="B1541" s="44" t="str">
        <f aca="false">'Model Inputs &amp; Assumptions'!$B$31</f>
        <v>YouTube — Finfluencer Pre-roll</v>
      </c>
      <c r="C1541" s="45" t="n">
        <f aca="false">ROUND(MAX(0,'Model Inputs &amp; Assumptions'!$S$31*EXP('Model Inputs &amp; Assumptions'!$T$31*P1541-'Model Inputs &amp; Assumptions'!$T$31^2/2)),0)</f>
        <v>386476</v>
      </c>
      <c r="D1541" s="46" t="n">
        <f aca="false">MIN(1,'Model Inputs &amp; Assumptions'!$U$31*EXP('Model Inputs &amp; Assumptions'!$V$31*Q1541-'Model Inputs &amp; Assumptions'!$V$31^2/2))</f>
        <v>0.616293750091216</v>
      </c>
      <c r="E1541" s="45" t="n">
        <f aca="false">ROUND(C1541*D1541,0)</f>
        <v>238183</v>
      </c>
      <c r="F1541" s="47" t="n">
        <f aca="false">MIN(1,'Model Inputs &amp; Assumptions'!$W$31*EXP('Model Inputs &amp; Assumptions'!$X$31*R1541-'Model Inputs &amp; Assumptions'!$X$31^2/2))</f>
        <v>0.00536397911806733</v>
      </c>
      <c r="G1541" s="45" t="n">
        <f aca="false">ROUND(C1541*F1541,0)</f>
        <v>2073</v>
      </c>
      <c r="H1541" s="48" t="n">
        <f aca="false">MAX(0,(C1541*'Model Inputs &amp; Assumptions'!$N$31+E1541*'Model Inputs &amp; Assumptions'!$O$31+G1541*'Model Inputs &amp; Assumptions'!$P$31)*EXP('Model Inputs &amp; Assumptions'!$Q$31*S1541-'Model Inputs &amp; Assumptions'!$Q$31^2/2))</f>
        <v>33.1030835256122</v>
      </c>
      <c r="I1541" s="49" t="n">
        <f aca="false">IF('Model Inputs &amp; Assumptions'!$H$31="Fixed",'Model Inputs &amp; Assumptions'!$I$31*'Model Inputs &amp; Assumptions'!$K$31,IF('Model Inputs &amp; Assumptions'!$H$31="CPM",'Model Inputs &amp; Assumptions'!$I$31*'Model Inputs &amp; Assumptions'!$K$31*C1541/1000,IF('Model Inputs &amp; Assumptions'!$H$31="CPC",'Model Inputs &amp; Assumptions'!$I$31*'Model Inputs &amp; Assumptions'!$K$31*G1541,0)))</f>
        <v>4384.956696</v>
      </c>
      <c r="J1541" s="50" t="n">
        <f aca="false">H1541*INDEX('Model Inputs &amp; Assumptions'!$D$40:$D$42,MATCH('Model Inputs &amp; Assumptions'!$L$31,'Model Inputs &amp; Assumptions'!$A$40:$A$42,0))*INDEX('Model Inputs &amp; Assumptions'!$H$40:$H$42,MATCH('Model Inputs &amp; Assumptions'!$L$31,'Model Inputs &amp; Assumptions'!$A$40:$A$42,0))</f>
        <v>238342.201384408</v>
      </c>
      <c r="K1541" s="49" t="n">
        <f aca="false">H1541*INDEX('Model Inputs &amp; Assumptions'!$G$40:$G$42,MATCH('Model Inputs &amp; Assumptions'!$L$31,'Model Inputs &amp; Assumptions'!$A$40:$A$42,0))*INDEX('Model Inputs &amp; Assumptions'!$H$40:$H$42,MATCH('Model Inputs &amp; Assumptions'!$L$31,'Model Inputs &amp; Assumptions'!$A$40:$A$42,0))</f>
        <v>5255.4455405262</v>
      </c>
      <c r="L1541" s="51" t="n">
        <f aca="false">IFERROR(K1541/I1541,0)</f>
        <v>1.19851709033302</v>
      </c>
      <c r="M1541" s="49" t="n">
        <f aca="false">IFERROR(I1541/H1541,0)</f>
        <v>132.463693075822</v>
      </c>
      <c r="N1541" s="52" t="str">
        <f aca="false">'Model Inputs &amp; Assumptions'!$L$31</f>
        <v>PRD-USIQ</v>
      </c>
      <c r="P1541" s="53" t="n">
        <v>-0.633991</v>
      </c>
      <c r="Q1541" s="53" t="n">
        <v>0.381437</v>
      </c>
      <c r="R1541" s="53" t="n">
        <v>0.412784</v>
      </c>
      <c r="S1541" s="53" t="n">
        <v>-1.011814</v>
      </c>
    </row>
    <row r="1542" customFormat="false" ht="15" hidden="false" customHeight="false" outlineLevel="0" collapsed="false">
      <c r="A1542" s="43" t="n">
        <v>39</v>
      </c>
      <c r="B1542" s="44" t="str">
        <f aca="false">'Model Inputs &amp; Assumptions'!$B$31</f>
        <v>YouTube — Finfluencer Pre-roll</v>
      </c>
      <c r="C1542" s="45" t="n">
        <f aca="false">ROUND(MAX(0,'Model Inputs &amp; Assumptions'!$S$31*EXP('Model Inputs &amp; Assumptions'!$T$31*P1542-'Model Inputs &amp; Assumptions'!$T$31^2/2)),0)</f>
        <v>422522</v>
      </c>
      <c r="D1542" s="46" t="n">
        <f aca="false">MIN(1,'Model Inputs &amp; Assumptions'!$U$31*EXP('Model Inputs &amp; Assumptions'!$V$31*Q1542-'Model Inputs &amp; Assumptions'!$V$31^2/2))</f>
        <v>0.582121737546176</v>
      </c>
      <c r="E1542" s="45" t="n">
        <f aca="false">ROUND(C1542*D1542,0)</f>
        <v>245959</v>
      </c>
      <c r="F1542" s="47" t="n">
        <f aca="false">MIN(1,'Model Inputs &amp; Assumptions'!$W$31*EXP('Model Inputs &amp; Assumptions'!$X$31*R1542-'Model Inputs &amp; Assumptions'!$X$31^2/2))</f>
        <v>0.00554605282723549</v>
      </c>
      <c r="G1542" s="45" t="n">
        <f aca="false">ROUND(C1542*F1542,0)</f>
        <v>2343</v>
      </c>
      <c r="H1542" s="48" t="n">
        <f aca="false">MAX(0,(C1542*'Model Inputs &amp; Assumptions'!$N$31+E1542*'Model Inputs &amp; Assumptions'!$O$31+G1542*'Model Inputs &amp; Assumptions'!$P$31)*EXP('Model Inputs &amp; Assumptions'!$Q$31*S1542-'Model Inputs &amp; Assumptions'!$Q$31^2/2))</f>
        <v>26.7449498748264</v>
      </c>
      <c r="I1542" s="49" t="n">
        <f aca="false">IF('Model Inputs &amp; Assumptions'!$H$31="Fixed",'Model Inputs &amp; Assumptions'!$I$31*'Model Inputs &amp; Assumptions'!$K$31,IF('Model Inputs &amp; Assumptions'!$H$31="CPM",'Model Inputs &amp; Assumptions'!$I$31*'Model Inputs &amp; Assumptions'!$K$31*C1542/1000,IF('Model Inputs &amp; Assumptions'!$H$31="CPC",'Model Inputs &amp; Assumptions'!$I$31*'Model Inputs &amp; Assumptions'!$K$31*G1542,0)))</f>
        <v>4793.934612</v>
      </c>
      <c r="J1542" s="50" t="n">
        <f aca="false">H1542*INDEX('Model Inputs &amp; Assumptions'!$D$40:$D$42,MATCH('Model Inputs &amp; Assumptions'!$L$31,'Model Inputs &amp; Assumptions'!$A$40:$A$42,0))*INDEX('Model Inputs &amp; Assumptions'!$H$40:$H$42,MATCH('Model Inputs &amp; Assumptions'!$L$31,'Model Inputs &amp; Assumptions'!$A$40:$A$42,0))</f>
        <v>192563.63909875</v>
      </c>
      <c r="K1542" s="49" t="n">
        <f aca="false">H1542*INDEX('Model Inputs &amp; Assumptions'!$G$40:$G$42,MATCH('Model Inputs &amp; Assumptions'!$L$31,'Model Inputs &amp; Assumptions'!$A$40:$A$42,0))*INDEX('Model Inputs &amp; Assumptions'!$H$40:$H$42,MATCH('Model Inputs &amp; Assumptions'!$L$31,'Model Inputs &amp; Assumptions'!$A$40:$A$42,0))</f>
        <v>4246.02824212744</v>
      </c>
      <c r="L1542" s="51" t="n">
        <f aca="false">IFERROR(K1542/I1542,0)</f>
        <v>0.885708418195554</v>
      </c>
      <c r="M1542" s="49" t="n">
        <f aca="false">IFERROR(I1542/H1542,0)</f>
        <v>179.246348728897</v>
      </c>
      <c r="N1542" s="52" t="str">
        <f aca="false">'Model Inputs &amp; Assumptions'!$L$31</f>
        <v>PRD-USIQ</v>
      </c>
      <c r="P1542" s="53" t="n">
        <v>-0.31552</v>
      </c>
      <c r="Q1542" s="53" t="n">
        <v>-0.026021</v>
      </c>
      <c r="R1542" s="53" t="n">
        <v>0.551869</v>
      </c>
      <c r="S1542" s="53" t="n">
        <v>-1.875688</v>
      </c>
    </row>
    <row r="1543" customFormat="false" ht="15" hidden="false" customHeight="false" outlineLevel="0" collapsed="false">
      <c r="A1543" s="43" t="n">
        <v>40</v>
      </c>
      <c r="B1543" s="44" t="str">
        <f aca="false">'Model Inputs &amp; Assumptions'!$B$31</f>
        <v>YouTube — Finfluencer Pre-roll</v>
      </c>
      <c r="C1543" s="45" t="n">
        <f aca="false">ROUND(MAX(0,'Model Inputs &amp; Assumptions'!$S$31*EXP('Model Inputs &amp; Assumptions'!$T$31*P1543-'Model Inputs &amp; Assumptions'!$T$31^2/2)),0)</f>
        <v>438048</v>
      </c>
      <c r="D1543" s="46" t="n">
        <f aca="false">MIN(1,'Model Inputs &amp; Assumptions'!$U$31*EXP('Model Inputs &amp; Assumptions'!$V$31*Q1543-'Model Inputs &amp; Assumptions'!$V$31^2/2))</f>
        <v>0.514576492091981</v>
      </c>
      <c r="E1543" s="45" t="n">
        <f aca="false">ROUND(C1543*D1543,0)</f>
        <v>225409</v>
      </c>
      <c r="F1543" s="47" t="n">
        <f aca="false">MIN(1,'Model Inputs &amp; Assumptions'!$W$31*EXP('Model Inputs &amp; Assumptions'!$X$31*R1543-'Model Inputs &amp; Assumptions'!$X$31^2/2))</f>
        <v>0.00658716008432775</v>
      </c>
      <c r="G1543" s="45" t="n">
        <f aca="false">ROUND(C1543*F1543,0)</f>
        <v>2885</v>
      </c>
      <c r="H1543" s="48" t="n">
        <f aca="false">MAX(0,(C1543*'Model Inputs &amp; Assumptions'!$N$31+E1543*'Model Inputs &amp; Assumptions'!$O$31+G1543*'Model Inputs &amp; Assumptions'!$P$31)*EXP('Model Inputs &amp; Assumptions'!$Q$31*S1543-'Model Inputs &amp; Assumptions'!$Q$31^2/2))</f>
        <v>72.7227287348961</v>
      </c>
      <c r="I1543" s="49" t="n">
        <f aca="false">IF('Model Inputs &amp; Assumptions'!$H$31="Fixed",'Model Inputs &amp; Assumptions'!$I$31*'Model Inputs &amp; Assumptions'!$K$31,IF('Model Inputs &amp; Assumptions'!$H$31="CPM",'Model Inputs &amp; Assumptions'!$I$31*'Model Inputs &amp; Assumptions'!$K$31*C1543/1000,IF('Model Inputs &amp; Assumptions'!$H$31="CPC",'Model Inputs &amp; Assumptions'!$I$31*'Model Inputs &amp; Assumptions'!$K$31*G1543,0)))</f>
        <v>4970.092608</v>
      </c>
      <c r="J1543" s="50" t="n">
        <f aca="false">H1543*INDEX('Model Inputs &amp; Assumptions'!$D$40:$D$42,MATCH('Model Inputs &amp; Assumptions'!$L$31,'Model Inputs &amp; Assumptions'!$A$40:$A$42,0))*INDEX('Model Inputs &amp; Assumptions'!$H$40:$H$42,MATCH('Model Inputs &amp; Assumptions'!$L$31,'Model Inputs &amp; Assumptions'!$A$40:$A$42,0))</f>
        <v>523603.646891252</v>
      </c>
      <c r="K1543" s="49" t="n">
        <f aca="false">H1543*INDEX('Model Inputs &amp; Assumptions'!$G$40:$G$42,MATCH('Model Inputs &amp; Assumptions'!$L$31,'Model Inputs &amp; Assumptions'!$A$40:$A$42,0))*INDEX('Model Inputs &amp; Assumptions'!$H$40:$H$42,MATCH('Model Inputs &amp; Assumptions'!$L$31,'Model Inputs &amp; Assumptions'!$A$40:$A$42,0))</f>
        <v>11545.4604139521</v>
      </c>
      <c r="L1543" s="51" t="n">
        <f aca="false">IFERROR(K1543/I1543,0)</f>
        <v>2.32298697923017</v>
      </c>
      <c r="M1543" s="49" t="n">
        <f aca="false">IFERROR(I1543/H1543,0)</f>
        <v>68.3430434261895</v>
      </c>
      <c r="N1543" s="52" t="str">
        <f aca="false">'Model Inputs &amp; Assumptions'!$L$31</f>
        <v>PRD-USIQ</v>
      </c>
      <c r="P1543" s="53" t="n">
        <v>-0.186638</v>
      </c>
      <c r="Q1543" s="53" t="n">
        <v>-0.906988</v>
      </c>
      <c r="R1543" s="53" t="n">
        <v>1.268685</v>
      </c>
      <c r="S1543" s="53" t="n">
        <v>0.662852</v>
      </c>
    </row>
    <row r="1544" customFormat="false" ht="15" hidden="false" customHeight="false" outlineLevel="0" collapsed="false">
      <c r="A1544" s="43" t="n">
        <v>41</v>
      </c>
      <c r="B1544" s="44" t="str">
        <f aca="false">'Model Inputs &amp; Assumptions'!$B$31</f>
        <v>YouTube — Finfluencer Pre-roll</v>
      </c>
      <c r="C1544" s="45" t="n">
        <f aca="false">ROUND(MAX(0,'Model Inputs &amp; Assumptions'!$S$31*EXP('Model Inputs &amp; Assumptions'!$T$31*P1544-'Model Inputs &amp; Assumptions'!$T$31^2/2)),0)</f>
        <v>612308</v>
      </c>
      <c r="D1544" s="46" t="n">
        <f aca="false">MIN(1,'Model Inputs &amp; Assumptions'!$U$31*EXP('Model Inputs &amp; Assumptions'!$V$31*Q1544-'Model Inputs &amp; Assumptions'!$V$31^2/2))</f>
        <v>0.722737508099347</v>
      </c>
      <c r="E1544" s="45" t="n">
        <f aca="false">ROUND(C1544*D1544,0)</f>
        <v>442538</v>
      </c>
      <c r="F1544" s="47" t="n">
        <f aca="false">MIN(1,'Model Inputs &amp; Assumptions'!$W$31*EXP('Model Inputs &amp; Assumptions'!$X$31*R1544-'Model Inputs &amp; Assumptions'!$X$31^2/2))</f>
        <v>0.00912730574957557</v>
      </c>
      <c r="G1544" s="45" t="n">
        <f aca="false">ROUND(C1544*F1544,0)</f>
        <v>5589</v>
      </c>
      <c r="H1544" s="48" t="n">
        <f aca="false">MAX(0,(C1544*'Model Inputs &amp; Assumptions'!$N$31+E1544*'Model Inputs &amp; Assumptions'!$O$31+G1544*'Model Inputs &amp; Assumptions'!$P$31)*EXP('Model Inputs &amp; Assumptions'!$Q$31*S1544-'Model Inputs &amp; Assumptions'!$Q$31^2/2))</f>
        <v>139.062049282079</v>
      </c>
      <c r="I1544" s="49" t="n">
        <f aca="false">IF('Model Inputs &amp; Assumptions'!$H$31="Fixed",'Model Inputs &amp; Assumptions'!$I$31*'Model Inputs &amp; Assumptions'!$K$31,IF('Model Inputs &amp; Assumptions'!$H$31="CPM",'Model Inputs &amp; Assumptions'!$I$31*'Model Inputs &amp; Assumptions'!$K$31*C1544/1000,IF('Model Inputs &amp; Assumptions'!$H$31="CPC",'Model Inputs &amp; Assumptions'!$I$31*'Model Inputs &amp; Assumptions'!$K$31*G1544,0)))</f>
        <v>6947.246568</v>
      </c>
      <c r="J1544" s="50" t="n">
        <f aca="false">H1544*INDEX('Model Inputs &amp; Assumptions'!$D$40:$D$42,MATCH('Model Inputs &amp; Assumptions'!$L$31,'Model Inputs &amp; Assumptions'!$A$40:$A$42,0))*INDEX('Model Inputs &amp; Assumptions'!$H$40:$H$42,MATCH('Model Inputs &amp; Assumptions'!$L$31,'Model Inputs &amp; Assumptions'!$A$40:$A$42,0))</f>
        <v>1001246.75483097</v>
      </c>
      <c r="K1544" s="49" t="n">
        <f aca="false">H1544*INDEX('Model Inputs &amp; Assumptions'!$G$40:$G$42,MATCH('Model Inputs &amp; Assumptions'!$L$31,'Model Inputs &amp; Assumptions'!$A$40:$A$42,0))*INDEX('Model Inputs &amp; Assumptions'!$H$40:$H$42,MATCH('Model Inputs &amp; Assumptions'!$L$31,'Model Inputs &amp; Assumptions'!$A$40:$A$42,0))</f>
        <v>22077.4909440229</v>
      </c>
      <c r="L1544" s="51" t="n">
        <f aca="false">IFERROR(K1544/I1544,0)</f>
        <v>3.17787640440386</v>
      </c>
      <c r="M1544" s="49" t="n">
        <f aca="false">IFERROR(I1544/H1544,0)</f>
        <v>49.9578900488366</v>
      </c>
      <c r="N1544" s="52" t="str">
        <f aca="false">'Model Inputs &amp; Assumptions'!$L$31</f>
        <v>PRD-USIQ</v>
      </c>
      <c r="P1544" s="53" t="n">
        <v>1.009461</v>
      </c>
      <c r="Q1544" s="53" t="n">
        <v>1.519454</v>
      </c>
      <c r="R1544" s="53" t="n">
        <v>2.627636</v>
      </c>
      <c r="S1544" s="53" t="n">
        <v>0.614424</v>
      </c>
    </row>
    <row r="1545" customFormat="false" ht="15" hidden="false" customHeight="false" outlineLevel="0" collapsed="false">
      <c r="A1545" s="43" t="n">
        <v>42</v>
      </c>
      <c r="B1545" s="44" t="str">
        <f aca="false">'Model Inputs &amp; Assumptions'!$B$31</f>
        <v>YouTube — Finfluencer Pre-roll</v>
      </c>
      <c r="C1545" s="45" t="n">
        <f aca="false">ROUND(MAX(0,'Model Inputs &amp; Assumptions'!$S$31*EXP('Model Inputs &amp; Assumptions'!$T$31*P1545-'Model Inputs &amp; Assumptions'!$T$31^2/2)),0)</f>
        <v>647093</v>
      </c>
      <c r="D1545" s="46" t="n">
        <f aca="false">MIN(1,'Model Inputs &amp; Assumptions'!$U$31*EXP('Model Inputs &amp; Assumptions'!$V$31*Q1545-'Model Inputs &amp; Assumptions'!$V$31^2/2))</f>
        <v>0.673433381381711</v>
      </c>
      <c r="E1545" s="45" t="n">
        <f aca="false">ROUND(C1545*D1545,0)</f>
        <v>435774</v>
      </c>
      <c r="F1545" s="47" t="n">
        <f aca="false">MIN(1,'Model Inputs &amp; Assumptions'!$W$31*EXP('Model Inputs &amp; Assumptions'!$X$31*R1545-'Model Inputs &amp; Assumptions'!$X$31^2/2))</f>
        <v>0.00446576866279785</v>
      </c>
      <c r="G1545" s="45" t="n">
        <f aca="false">ROUND(C1545*F1545,0)</f>
        <v>2890</v>
      </c>
      <c r="H1545" s="48" t="n">
        <f aca="false">MAX(0,(C1545*'Model Inputs &amp; Assumptions'!$N$31+E1545*'Model Inputs &amp; Assumptions'!$O$31+G1545*'Model Inputs &amp; Assumptions'!$P$31)*EXP('Model Inputs &amp; Assumptions'!$Q$31*S1545-'Model Inputs &amp; Assumptions'!$Q$31^2/2))</f>
        <v>127.062871558484</v>
      </c>
      <c r="I1545" s="49" t="n">
        <f aca="false">IF('Model Inputs &amp; Assumptions'!$H$31="Fixed",'Model Inputs &amp; Assumptions'!$I$31*'Model Inputs &amp; Assumptions'!$K$31,IF('Model Inputs &amp; Assumptions'!$H$31="CPM",'Model Inputs &amp; Assumptions'!$I$31*'Model Inputs &amp; Assumptions'!$K$31*C1545/1000,IF('Model Inputs &amp; Assumptions'!$H$31="CPC",'Model Inputs &amp; Assumptions'!$I$31*'Model Inputs &amp; Assumptions'!$K$31*G1545,0)))</f>
        <v>7341.917178</v>
      </c>
      <c r="J1545" s="50" t="n">
        <f aca="false">H1545*INDEX('Model Inputs &amp; Assumptions'!$D$40:$D$42,MATCH('Model Inputs &amp; Assumptions'!$L$31,'Model Inputs &amp; Assumptions'!$A$40:$A$42,0))*INDEX('Model Inputs &amp; Assumptions'!$H$40:$H$42,MATCH('Model Inputs &amp; Assumptions'!$L$31,'Model Inputs &amp; Assumptions'!$A$40:$A$42,0))</f>
        <v>914852.675221087</v>
      </c>
      <c r="K1545" s="49" t="n">
        <f aca="false">H1545*INDEX('Model Inputs &amp; Assumptions'!$G$40:$G$42,MATCH('Model Inputs &amp; Assumptions'!$L$31,'Model Inputs &amp; Assumptions'!$A$40:$A$42,0))*INDEX('Model Inputs &amp; Assumptions'!$H$40:$H$42,MATCH('Model Inputs &amp; Assumptions'!$L$31,'Model Inputs &amp; Assumptions'!$A$40:$A$42,0))</f>
        <v>20172.501488625</v>
      </c>
      <c r="L1545" s="51" t="n">
        <f aca="false">IFERROR(K1545/I1545,0)</f>
        <v>2.74757954898643</v>
      </c>
      <c r="M1545" s="49" t="n">
        <f aca="false">IFERROR(I1545/H1545,0)</f>
        <v>57.7817665219432</v>
      </c>
      <c r="N1545" s="52" t="str">
        <f aca="false">'Model Inputs &amp; Assumptions'!$L$31</f>
        <v>PRD-USIQ</v>
      </c>
      <c r="P1545" s="53" t="n">
        <v>1.2068</v>
      </c>
      <c r="Q1545" s="53" t="n">
        <v>1.014761</v>
      </c>
      <c r="R1545" s="53" t="n">
        <v>-0.350819</v>
      </c>
      <c r="S1545" s="53" t="n">
        <v>1.561457</v>
      </c>
    </row>
    <row r="1546" customFormat="false" ht="15" hidden="false" customHeight="false" outlineLevel="0" collapsed="false">
      <c r="A1546" s="43" t="n">
        <v>43</v>
      </c>
      <c r="B1546" s="44" t="str">
        <f aca="false">'Model Inputs &amp; Assumptions'!$B$31</f>
        <v>YouTube — Finfluencer Pre-roll</v>
      </c>
      <c r="C1546" s="45" t="n">
        <f aca="false">ROUND(MAX(0,'Model Inputs &amp; Assumptions'!$S$31*EXP('Model Inputs &amp; Assumptions'!$T$31*P1546-'Model Inputs &amp; Assumptions'!$T$31^2/2)),0)</f>
        <v>472671</v>
      </c>
      <c r="D1546" s="46" t="n">
        <f aca="false">MIN(1,'Model Inputs &amp; Assumptions'!$U$31*EXP('Model Inputs &amp; Assumptions'!$V$31*Q1546-'Model Inputs &amp; Assumptions'!$V$31^2/2))</f>
        <v>0.554831595904763</v>
      </c>
      <c r="E1546" s="45" t="n">
        <f aca="false">ROUND(C1546*D1546,0)</f>
        <v>262253</v>
      </c>
      <c r="F1546" s="47" t="n">
        <f aca="false">MIN(1,'Model Inputs &amp; Assumptions'!$W$31*EXP('Model Inputs &amp; Assumptions'!$X$31*R1546-'Model Inputs &amp; Assumptions'!$X$31^2/2))</f>
        <v>0.00476188801988387</v>
      </c>
      <c r="G1546" s="45" t="n">
        <f aca="false">ROUND(C1546*F1546,0)</f>
        <v>2251</v>
      </c>
      <c r="H1546" s="48" t="n">
        <f aca="false">MAX(0,(C1546*'Model Inputs &amp; Assumptions'!$N$31+E1546*'Model Inputs &amp; Assumptions'!$O$31+G1546*'Model Inputs &amp; Assumptions'!$P$31)*EXP('Model Inputs &amp; Assumptions'!$Q$31*S1546-'Model Inputs &amp; Assumptions'!$Q$31^2/2))</f>
        <v>39.7006545228056</v>
      </c>
      <c r="I1546" s="49" t="n">
        <f aca="false">IF('Model Inputs &amp; Assumptions'!$H$31="Fixed",'Model Inputs &amp; Assumptions'!$I$31*'Model Inputs &amp; Assumptions'!$K$31,IF('Model Inputs &amp; Assumptions'!$H$31="CPM",'Model Inputs &amp; Assumptions'!$I$31*'Model Inputs &amp; Assumptions'!$K$31*C1546/1000,IF('Model Inputs &amp; Assumptions'!$H$31="CPC",'Model Inputs &amp; Assumptions'!$I$31*'Model Inputs &amp; Assumptions'!$K$31*G1546,0)))</f>
        <v>5362.925166</v>
      </c>
      <c r="J1546" s="50" t="n">
        <f aca="false">H1546*INDEX('Model Inputs &amp; Assumptions'!$D$40:$D$42,MATCH('Model Inputs &amp; Assumptions'!$L$31,'Model Inputs &amp; Assumptions'!$A$40:$A$42,0))*INDEX('Model Inputs &amp; Assumptions'!$H$40:$H$42,MATCH('Model Inputs &amp; Assumptions'!$L$31,'Model Inputs &amp; Assumptions'!$A$40:$A$42,0))</f>
        <v>285844.7125642</v>
      </c>
      <c r="K1546" s="49" t="n">
        <f aca="false">H1546*INDEX('Model Inputs &amp; Assumptions'!$G$40:$G$42,MATCH('Model Inputs &amp; Assumptions'!$L$31,'Model Inputs &amp; Assumptions'!$A$40:$A$42,0))*INDEX('Model Inputs &amp; Assumptions'!$H$40:$H$42,MATCH('Model Inputs &amp; Assumptions'!$L$31,'Model Inputs &amp; Assumptions'!$A$40:$A$42,0))</f>
        <v>6302.87591204062</v>
      </c>
      <c r="L1546" s="51" t="n">
        <f aca="false">IFERROR(K1546/I1546,0)</f>
        <v>1.17526829425101</v>
      </c>
      <c r="M1546" s="49" t="n">
        <f aca="false">IFERROR(I1546/H1546,0)</f>
        <v>135.084049128695</v>
      </c>
      <c r="N1546" s="52" t="str">
        <f aca="false">'Model Inputs &amp; Assumptions'!$L$31</f>
        <v>PRD-USIQ</v>
      </c>
      <c r="P1546" s="53" t="n">
        <v>0.085047</v>
      </c>
      <c r="Q1546" s="53" t="n">
        <v>-0.368985</v>
      </c>
      <c r="R1546" s="53" t="n">
        <v>-0.083307</v>
      </c>
      <c r="S1546" s="53" t="n">
        <v>-0.743065</v>
      </c>
    </row>
    <row r="1547" customFormat="false" ht="15" hidden="false" customHeight="false" outlineLevel="0" collapsed="false">
      <c r="A1547" s="43" t="n">
        <v>44</v>
      </c>
      <c r="B1547" s="44" t="str">
        <f aca="false">'Model Inputs &amp; Assumptions'!$B$31</f>
        <v>YouTube — Finfluencer Pre-roll</v>
      </c>
      <c r="C1547" s="45" t="n">
        <f aca="false">ROUND(MAX(0,'Model Inputs &amp; Assumptions'!$S$31*EXP('Model Inputs &amp; Assumptions'!$T$31*P1547-'Model Inputs &amp; Assumptions'!$T$31^2/2)),0)</f>
        <v>784039</v>
      </c>
      <c r="D1547" s="46" t="n">
        <f aca="false">MIN(1,'Model Inputs &amp; Assumptions'!$U$31*EXP('Model Inputs &amp; Assumptions'!$V$31*Q1547-'Model Inputs &amp; Assumptions'!$V$31^2/2))</f>
        <v>0.596659844856399</v>
      </c>
      <c r="E1547" s="45" t="n">
        <f aca="false">ROUND(C1547*D1547,0)</f>
        <v>467805</v>
      </c>
      <c r="F1547" s="47" t="n">
        <f aca="false">MIN(1,'Model Inputs &amp; Assumptions'!$W$31*EXP('Model Inputs &amp; Assumptions'!$X$31*R1547-'Model Inputs &amp; Assumptions'!$X$31^2/2))</f>
        <v>0.00346177738560206</v>
      </c>
      <c r="G1547" s="45" t="n">
        <f aca="false">ROUND(C1547*F1547,0)</f>
        <v>2714</v>
      </c>
      <c r="H1547" s="48" t="n">
        <f aca="false">MAX(0,(C1547*'Model Inputs &amp; Assumptions'!$N$31+E1547*'Model Inputs &amp; Assumptions'!$O$31+G1547*'Model Inputs &amp; Assumptions'!$P$31)*EXP('Model Inputs &amp; Assumptions'!$Q$31*S1547-'Model Inputs &amp; Assumptions'!$Q$31^2/2))</f>
        <v>53.1768563574223</v>
      </c>
      <c r="I1547" s="49" t="n">
        <f aca="false">IF('Model Inputs &amp; Assumptions'!$H$31="Fixed",'Model Inputs &amp; Assumptions'!$I$31*'Model Inputs &amp; Assumptions'!$K$31,IF('Model Inputs &amp; Assumptions'!$H$31="CPM",'Model Inputs &amp; Assumptions'!$I$31*'Model Inputs &amp; Assumptions'!$K$31*C1547/1000,IF('Model Inputs &amp; Assumptions'!$H$31="CPC",'Model Inputs &amp; Assumptions'!$I$31*'Model Inputs &amp; Assumptions'!$K$31*G1547,0)))</f>
        <v>8895.706494</v>
      </c>
      <c r="J1547" s="50" t="n">
        <f aca="false">H1547*INDEX('Model Inputs &amp; Assumptions'!$D$40:$D$42,MATCH('Model Inputs &amp; Assumptions'!$L$31,'Model Inputs &amp; Assumptions'!$A$40:$A$42,0))*INDEX('Model Inputs &amp; Assumptions'!$H$40:$H$42,MATCH('Model Inputs &amp; Assumptions'!$L$31,'Model Inputs &amp; Assumptions'!$A$40:$A$42,0))</f>
        <v>382873.365773441</v>
      </c>
      <c r="K1547" s="49" t="n">
        <f aca="false">H1547*INDEX('Model Inputs &amp; Assumptions'!$G$40:$G$42,MATCH('Model Inputs &amp; Assumptions'!$L$31,'Model Inputs &amp; Assumptions'!$A$40:$A$42,0))*INDEX('Model Inputs &amp; Assumptions'!$H$40:$H$42,MATCH('Model Inputs &amp; Assumptions'!$L$31,'Model Inputs &amp; Assumptions'!$A$40:$A$42,0))</f>
        <v>8442.35771530437</v>
      </c>
      <c r="L1547" s="51" t="n">
        <f aca="false">IFERROR(K1547/I1547,0)</f>
        <v>0.949037349759527</v>
      </c>
      <c r="M1547" s="49" t="n">
        <f aca="false">IFERROR(I1547/H1547,0)</f>
        <v>167.285302354252</v>
      </c>
      <c r="N1547" s="52" t="str">
        <f aca="false">'Model Inputs &amp; Assumptions'!$L$31</f>
        <v>PRD-USIQ</v>
      </c>
      <c r="P1547" s="53" t="n">
        <v>1.892404</v>
      </c>
      <c r="Q1547" s="53" t="n">
        <v>0.150176</v>
      </c>
      <c r="R1547" s="53" t="n">
        <v>-1.411899</v>
      </c>
      <c r="S1547" s="53" t="n">
        <v>-0.924449</v>
      </c>
    </row>
    <row r="1548" customFormat="false" ht="15" hidden="false" customHeight="false" outlineLevel="0" collapsed="false">
      <c r="A1548" s="43" t="n">
        <v>45</v>
      </c>
      <c r="B1548" s="44" t="str">
        <f aca="false">'Model Inputs &amp; Assumptions'!$B$31</f>
        <v>YouTube — Finfluencer Pre-roll</v>
      </c>
      <c r="C1548" s="45" t="n">
        <f aca="false">ROUND(MAX(0,'Model Inputs &amp; Assumptions'!$S$31*EXP('Model Inputs &amp; Assumptions'!$T$31*P1548-'Model Inputs &amp; Assumptions'!$T$31^2/2)),0)</f>
        <v>405169</v>
      </c>
      <c r="D1548" s="46" t="n">
        <f aca="false">MIN(1,'Model Inputs &amp; Assumptions'!$U$31*EXP('Model Inputs &amp; Assumptions'!$V$31*Q1548-'Model Inputs &amp; Assumptions'!$V$31^2/2))</f>
        <v>0.557332882965394</v>
      </c>
      <c r="E1548" s="45" t="n">
        <f aca="false">ROUND(C1548*D1548,0)</f>
        <v>225814</v>
      </c>
      <c r="F1548" s="47" t="n">
        <f aca="false">MIN(1,'Model Inputs &amp; Assumptions'!$W$31*EXP('Model Inputs &amp; Assumptions'!$X$31*R1548-'Model Inputs &amp; Assumptions'!$X$31^2/2))</f>
        <v>0.00658856567074597</v>
      </c>
      <c r="G1548" s="45" t="n">
        <f aca="false">ROUND(C1548*F1548,0)</f>
        <v>2669</v>
      </c>
      <c r="H1548" s="48" t="n">
        <f aca="false">MAX(0,(C1548*'Model Inputs &amp; Assumptions'!$N$31+E1548*'Model Inputs &amp; Assumptions'!$O$31+G1548*'Model Inputs &amp; Assumptions'!$P$31)*EXP('Model Inputs &amp; Assumptions'!$Q$31*S1548-'Model Inputs &amp; Assumptions'!$Q$31^2/2))</f>
        <v>52.2895780768384</v>
      </c>
      <c r="I1548" s="49" t="n">
        <f aca="false">IF('Model Inputs &amp; Assumptions'!$H$31="Fixed",'Model Inputs &amp; Assumptions'!$I$31*'Model Inputs &amp; Assumptions'!$K$31,IF('Model Inputs &amp; Assumptions'!$H$31="CPM",'Model Inputs &amp; Assumptions'!$I$31*'Model Inputs &amp; Assumptions'!$K$31*C1548/1000,IF('Model Inputs &amp; Assumptions'!$H$31="CPC",'Model Inputs &amp; Assumptions'!$I$31*'Model Inputs &amp; Assumptions'!$K$31*G1548,0)))</f>
        <v>4597.047474</v>
      </c>
      <c r="J1548" s="50" t="n">
        <f aca="false">H1548*INDEX('Model Inputs &amp; Assumptions'!$D$40:$D$42,MATCH('Model Inputs &amp; Assumptions'!$L$31,'Model Inputs &amp; Assumptions'!$A$40:$A$42,0))*INDEX('Model Inputs &amp; Assumptions'!$H$40:$H$42,MATCH('Model Inputs &amp; Assumptions'!$L$31,'Model Inputs &amp; Assumptions'!$A$40:$A$42,0))</f>
        <v>376484.962153237</v>
      </c>
      <c r="K1548" s="49" t="n">
        <f aca="false">H1548*INDEX('Model Inputs &amp; Assumptions'!$G$40:$G$42,MATCH('Model Inputs &amp; Assumptions'!$L$31,'Model Inputs &amp; Assumptions'!$A$40:$A$42,0))*INDEX('Model Inputs &amp; Assumptions'!$H$40:$H$42,MATCH('Model Inputs &amp; Assumptions'!$L$31,'Model Inputs &amp; Assumptions'!$A$40:$A$42,0))</f>
        <v>8301.49341547887</v>
      </c>
      <c r="L1548" s="51" t="n">
        <f aca="false">IFERROR(K1548/I1548,0)</f>
        <v>1.80583156089435</v>
      </c>
      <c r="M1548" s="49" t="n">
        <f aca="false">IFERROR(I1548/H1548,0)</f>
        <v>87.9151762755617</v>
      </c>
      <c r="N1548" s="52" t="str">
        <f aca="false">'Model Inputs &amp; Assumptions'!$L$31</f>
        <v>PRD-USIQ</v>
      </c>
      <c r="P1548" s="53" t="n">
        <v>-0.465294</v>
      </c>
      <c r="Q1548" s="53" t="n">
        <v>-0.336856</v>
      </c>
      <c r="R1548" s="53" t="n">
        <v>1.269574</v>
      </c>
      <c r="S1548" s="53" t="n">
        <v>-0.126059</v>
      </c>
    </row>
    <row r="1549" customFormat="false" ht="15" hidden="false" customHeight="false" outlineLevel="0" collapsed="false">
      <c r="A1549" s="43" t="n">
        <v>46</v>
      </c>
      <c r="B1549" s="44" t="str">
        <f aca="false">'Model Inputs &amp; Assumptions'!$B$31</f>
        <v>YouTube — Finfluencer Pre-roll</v>
      </c>
      <c r="C1549" s="45" t="n">
        <f aca="false">ROUND(MAX(0,'Model Inputs &amp; Assumptions'!$S$31*EXP('Model Inputs &amp; Assumptions'!$T$31*P1549-'Model Inputs &amp; Assumptions'!$T$31^2/2)),0)</f>
        <v>538616</v>
      </c>
      <c r="D1549" s="46" t="n">
        <f aca="false">MIN(1,'Model Inputs &amp; Assumptions'!$U$31*EXP('Model Inputs &amp; Assumptions'!$V$31*Q1549-'Model Inputs &amp; Assumptions'!$V$31^2/2))</f>
        <v>0.672321599614644</v>
      </c>
      <c r="E1549" s="45" t="n">
        <f aca="false">ROUND(C1549*D1549,0)</f>
        <v>362123</v>
      </c>
      <c r="F1549" s="47" t="n">
        <f aca="false">MIN(1,'Model Inputs &amp; Assumptions'!$W$31*EXP('Model Inputs &amp; Assumptions'!$X$31*R1549-'Model Inputs &amp; Assumptions'!$X$31^2/2))</f>
        <v>0.00488992258676516</v>
      </c>
      <c r="G1549" s="45" t="n">
        <f aca="false">ROUND(C1549*F1549,0)</f>
        <v>2634</v>
      </c>
      <c r="H1549" s="48" t="n">
        <f aca="false">MAX(0,(C1549*'Model Inputs &amp; Assumptions'!$N$31+E1549*'Model Inputs &amp; Assumptions'!$O$31+G1549*'Model Inputs &amp; Assumptions'!$P$31)*EXP('Model Inputs &amp; Assumptions'!$Q$31*S1549-'Model Inputs &amp; Assumptions'!$Q$31^2/2))</f>
        <v>114.293093583317</v>
      </c>
      <c r="I1549" s="49" t="n">
        <f aca="false">IF('Model Inputs &amp; Assumptions'!$H$31="Fixed",'Model Inputs &amp; Assumptions'!$I$31*'Model Inputs &amp; Assumptions'!$K$31,IF('Model Inputs &amp; Assumptions'!$H$31="CPM",'Model Inputs &amp; Assumptions'!$I$31*'Model Inputs &amp; Assumptions'!$K$31*C1549/1000,IF('Model Inputs &amp; Assumptions'!$H$31="CPC",'Model Inputs &amp; Assumptions'!$I$31*'Model Inputs &amp; Assumptions'!$K$31*G1549,0)))</f>
        <v>6111.137136</v>
      </c>
      <c r="J1549" s="50" t="n">
        <f aca="false">H1549*INDEX('Model Inputs &amp; Assumptions'!$D$40:$D$42,MATCH('Model Inputs &amp; Assumptions'!$L$31,'Model Inputs &amp; Assumptions'!$A$40:$A$42,0))*INDEX('Model Inputs &amp; Assumptions'!$H$40:$H$42,MATCH('Model Inputs &amp; Assumptions'!$L$31,'Model Inputs &amp; Assumptions'!$A$40:$A$42,0))</f>
        <v>822910.273799882</v>
      </c>
      <c r="K1549" s="49" t="n">
        <f aca="false">H1549*INDEX('Model Inputs &amp; Assumptions'!$G$40:$G$42,MATCH('Model Inputs &amp; Assumptions'!$L$31,'Model Inputs &amp; Assumptions'!$A$40:$A$42,0))*INDEX('Model Inputs &amp; Assumptions'!$H$40:$H$42,MATCH('Model Inputs &amp; Assumptions'!$L$31,'Model Inputs &amp; Assumptions'!$A$40:$A$42,0))</f>
        <v>18145.1715372874</v>
      </c>
      <c r="L1549" s="51" t="n">
        <f aca="false">IFERROR(K1549/I1549,0)</f>
        <v>2.96919724324239</v>
      </c>
      <c r="M1549" s="49" t="n">
        <f aca="false">IFERROR(I1549/H1549,0)</f>
        <v>53.4689975081051</v>
      </c>
      <c r="N1549" s="52" t="str">
        <f aca="false">'Model Inputs &amp; Assumptions'!$L$31</f>
        <v>PRD-USIQ</v>
      </c>
      <c r="P1549" s="53" t="n">
        <v>0.551489</v>
      </c>
      <c r="Q1549" s="53" t="n">
        <v>1.002959</v>
      </c>
      <c r="R1549" s="53" t="n">
        <v>0.027244</v>
      </c>
      <c r="S1549" s="53" t="n">
        <v>1.638505</v>
      </c>
    </row>
    <row r="1550" customFormat="false" ht="15" hidden="false" customHeight="false" outlineLevel="0" collapsed="false">
      <c r="A1550" s="43" t="n">
        <v>47</v>
      </c>
      <c r="B1550" s="44" t="str">
        <f aca="false">'Model Inputs &amp; Assumptions'!$B$31</f>
        <v>YouTube — Finfluencer Pre-roll</v>
      </c>
      <c r="C1550" s="45" t="n">
        <f aca="false">ROUND(MAX(0,'Model Inputs &amp; Assumptions'!$S$31*EXP('Model Inputs &amp; Assumptions'!$T$31*P1550-'Model Inputs &amp; Assumptions'!$T$31^2/2)),0)</f>
        <v>667272</v>
      </c>
      <c r="D1550" s="46" t="n">
        <f aca="false">MIN(1,'Model Inputs &amp; Assumptions'!$U$31*EXP('Model Inputs &amp; Assumptions'!$V$31*Q1550-'Model Inputs &amp; Assumptions'!$V$31^2/2))</f>
        <v>0.614593256156197</v>
      </c>
      <c r="E1550" s="45" t="n">
        <f aca="false">ROUND(C1550*D1550,0)</f>
        <v>410101</v>
      </c>
      <c r="F1550" s="47" t="n">
        <f aca="false">MIN(1,'Model Inputs &amp; Assumptions'!$W$31*EXP('Model Inputs &amp; Assumptions'!$X$31*R1550-'Model Inputs &amp; Assumptions'!$X$31^2/2))</f>
        <v>0.00376964997542263</v>
      </c>
      <c r="G1550" s="45" t="n">
        <f aca="false">ROUND(C1550*F1550,0)</f>
        <v>2515</v>
      </c>
      <c r="H1550" s="48" t="n">
        <f aca="false">MAX(0,(C1550*'Model Inputs &amp; Assumptions'!$N$31+E1550*'Model Inputs &amp; Assumptions'!$O$31+G1550*'Model Inputs &amp; Assumptions'!$P$31)*EXP('Model Inputs &amp; Assumptions'!$Q$31*S1550-'Model Inputs &amp; Assumptions'!$Q$31^2/2))</f>
        <v>49.0334574215529</v>
      </c>
      <c r="I1550" s="49" t="n">
        <f aca="false">IF('Model Inputs &amp; Assumptions'!$H$31="Fixed",'Model Inputs &amp; Assumptions'!$I$31*'Model Inputs &amp; Assumptions'!$K$31,IF('Model Inputs &amp; Assumptions'!$H$31="CPM",'Model Inputs &amp; Assumptions'!$I$31*'Model Inputs &amp; Assumptions'!$K$31*C1550/1000,IF('Model Inputs &amp; Assumptions'!$H$31="CPC",'Model Inputs &amp; Assumptions'!$I$31*'Model Inputs &amp; Assumptions'!$K$31*G1550,0)))</f>
        <v>7570.868112</v>
      </c>
      <c r="J1550" s="50" t="n">
        <f aca="false">H1550*INDEX('Model Inputs &amp; Assumptions'!$D$40:$D$42,MATCH('Model Inputs &amp; Assumptions'!$L$31,'Model Inputs &amp; Assumptions'!$A$40:$A$42,0))*INDEX('Model Inputs &amp; Assumptions'!$H$40:$H$42,MATCH('Model Inputs &amp; Assumptions'!$L$31,'Model Inputs &amp; Assumptions'!$A$40:$A$42,0))</f>
        <v>353040.893435181</v>
      </c>
      <c r="K1550" s="49" t="n">
        <f aca="false">H1550*INDEX('Model Inputs &amp; Assumptions'!$G$40:$G$42,MATCH('Model Inputs &amp; Assumptions'!$L$31,'Model Inputs &amp; Assumptions'!$A$40:$A$42,0))*INDEX('Model Inputs &amp; Assumptions'!$H$40:$H$42,MATCH('Model Inputs &amp; Assumptions'!$L$31,'Model Inputs &amp; Assumptions'!$A$40:$A$42,0))</f>
        <v>7784.55170024573</v>
      </c>
      <c r="L1550" s="51" t="n">
        <f aca="false">IFERROR(K1550/I1550,0)</f>
        <v>1.02822444996856</v>
      </c>
      <c r="M1550" s="49" t="n">
        <f aca="false">IFERROR(I1550/H1550,0)</f>
        <v>154.402086047316</v>
      </c>
      <c r="N1550" s="52" t="str">
        <f aca="false">'Model Inputs &amp; Assumptions'!$L$31</f>
        <v>PRD-USIQ</v>
      </c>
      <c r="P1550" s="53" t="n">
        <v>1.316472</v>
      </c>
      <c r="Q1550" s="53" t="n">
        <v>0.361701</v>
      </c>
      <c r="R1550" s="53" t="n">
        <v>-1.056899</v>
      </c>
      <c r="S1550" s="53" t="n">
        <v>-0.863797</v>
      </c>
    </row>
    <row r="1551" customFormat="false" ht="15" hidden="false" customHeight="false" outlineLevel="0" collapsed="false">
      <c r="A1551" s="43" t="n">
        <v>48</v>
      </c>
      <c r="B1551" s="44" t="str">
        <f aca="false">'Model Inputs &amp; Assumptions'!$B$31</f>
        <v>YouTube — Finfluencer Pre-roll</v>
      </c>
      <c r="C1551" s="45" t="n">
        <f aca="false">ROUND(MAX(0,'Model Inputs &amp; Assumptions'!$S$31*EXP('Model Inputs &amp; Assumptions'!$T$31*P1551-'Model Inputs &amp; Assumptions'!$T$31^2/2)),0)</f>
        <v>373059</v>
      </c>
      <c r="D1551" s="46" t="n">
        <f aca="false">MIN(1,'Model Inputs &amp; Assumptions'!$U$31*EXP('Model Inputs &amp; Assumptions'!$V$31*Q1551-'Model Inputs &amp; Assumptions'!$V$31^2/2))</f>
        <v>0.472375781889971</v>
      </c>
      <c r="E1551" s="45" t="n">
        <f aca="false">ROUND(C1551*D1551,0)</f>
        <v>176224</v>
      </c>
      <c r="F1551" s="47" t="n">
        <f aca="false">MIN(1,'Model Inputs &amp; Assumptions'!$W$31*EXP('Model Inputs &amp; Assumptions'!$X$31*R1551-'Model Inputs &amp; Assumptions'!$X$31^2/2))</f>
        <v>0.00535138043272741</v>
      </c>
      <c r="G1551" s="45" t="n">
        <f aca="false">ROUND(C1551*F1551,0)</f>
        <v>1996</v>
      </c>
      <c r="H1551" s="48" t="n">
        <f aca="false">MAX(0,(C1551*'Model Inputs &amp; Assumptions'!$N$31+E1551*'Model Inputs &amp; Assumptions'!$O$31+G1551*'Model Inputs &amp; Assumptions'!$P$31)*EXP('Model Inputs &amp; Assumptions'!$Q$31*S1551-'Model Inputs &amp; Assumptions'!$Q$31^2/2))</f>
        <v>37.8025753383154</v>
      </c>
      <c r="I1551" s="49" t="n">
        <f aca="false">IF('Model Inputs &amp; Assumptions'!$H$31="Fixed",'Model Inputs &amp; Assumptions'!$I$31*'Model Inputs &amp; Assumptions'!$K$31,IF('Model Inputs &amp; Assumptions'!$H$31="CPM",'Model Inputs &amp; Assumptions'!$I$31*'Model Inputs &amp; Assumptions'!$K$31*C1551/1000,IF('Model Inputs &amp; Assumptions'!$H$31="CPC",'Model Inputs &amp; Assumptions'!$I$31*'Model Inputs &amp; Assumptions'!$K$31*G1551,0)))</f>
        <v>4232.727414</v>
      </c>
      <c r="J1551" s="50" t="n">
        <f aca="false">H1551*INDEX('Model Inputs &amp; Assumptions'!$D$40:$D$42,MATCH('Model Inputs &amp; Assumptions'!$L$31,'Model Inputs &amp; Assumptions'!$A$40:$A$42,0))*INDEX('Model Inputs &amp; Assumptions'!$H$40:$H$42,MATCH('Model Inputs &amp; Assumptions'!$L$31,'Model Inputs &amp; Assumptions'!$A$40:$A$42,0))</f>
        <v>272178.542435871</v>
      </c>
      <c r="K1551" s="49" t="n">
        <f aca="false">H1551*INDEX('Model Inputs &amp; Assumptions'!$G$40:$G$42,MATCH('Model Inputs &amp; Assumptions'!$L$31,'Model Inputs &amp; Assumptions'!$A$40:$A$42,0))*INDEX('Model Inputs &amp; Assumptions'!$H$40:$H$42,MATCH('Model Inputs &amp; Assumptions'!$L$31,'Model Inputs &amp; Assumptions'!$A$40:$A$42,0))</f>
        <v>6001.53686071095</v>
      </c>
      <c r="L1551" s="51" t="n">
        <f aca="false">IFERROR(K1551/I1551,0)</f>
        <v>1.41788881581661</v>
      </c>
      <c r="M1551" s="49" t="n">
        <f aca="false">IFERROR(I1551/H1551,0)</f>
        <v>111.969287174725</v>
      </c>
      <c r="N1551" s="52" t="str">
        <f aca="false">'Model Inputs &amp; Assumptions'!$L$31</f>
        <v>PRD-USIQ</v>
      </c>
      <c r="P1551" s="53" t="n">
        <v>-0.760181</v>
      </c>
      <c r="Q1551" s="53" t="n">
        <v>-1.518198</v>
      </c>
      <c r="R1551" s="53" t="n">
        <v>0.402986</v>
      </c>
      <c r="S1551" s="53" t="n">
        <v>-0.261211</v>
      </c>
    </row>
    <row r="1552" customFormat="false" ht="15" hidden="false" customHeight="false" outlineLevel="0" collapsed="false">
      <c r="A1552" s="43" t="n">
        <v>49</v>
      </c>
      <c r="B1552" s="44" t="str">
        <f aca="false">'Model Inputs &amp; Assumptions'!$B$31</f>
        <v>YouTube — Finfluencer Pre-roll</v>
      </c>
      <c r="C1552" s="45" t="n">
        <f aca="false">ROUND(MAX(0,'Model Inputs &amp; Assumptions'!$S$31*EXP('Model Inputs &amp; Assumptions'!$T$31*P1552-'Model Inputs &amp; Assumptions'!$T$31^2/2)),0)</f>
        <v>506691</v>
      </c>
      <c r="D1552" s="46" t="n">
        <f aca="false">MIN(1,'Model Inputs &amp; Assumptions'!$U$31*EXP('Model Inputs &amp; Assumptions'!$V$31*Q1552-'Model Inputs &amp; Assumptions'!$V$31^2/2))</f>
        <v>0.424207633449768</v>
      </c>
      <c r="E1552" s="45" t="n">
        <f aca="false">ROUND(C1552*D1552,0)</f>
        <v>214942</v>
      </c>
      <c r="F1552" s="47" t="n">
        <f aca="false">MIN(1,'Model Inputs &amp; Assumptions'!$W$31*EXP('Model Inputs &amp; Assumptions'!$X$31*R1552-'Model Inputs &amp; Assumptions'!$X$31^2/2))</f>
        <v>0.00433779047978757</v>
      </c>
      <c r="G1552" s="45" t="n">
        <f aca="false">ROUND(C1552*F1552,0)</f>
        <v>2198</v>
      </c>
      <c r="H1552" s="48" t="n">
        <f aca="false">MAX(0,(C1552*'Model Inputs &amp; Assumptions'!$N$31+E1552*'Model Inputs &amp; Assumptions'!$O$31+G1552*'Model Inputs &amp; Assumptions'!$P$31)*EXP('Model Inputs &amp; Assumptions'!$Q$31*S1552-'Model Inputs &amp; Assumptions'!$Q$31^2/2))</f>
        <v>32.3481796430595</v>
      </c>
      <c r="I1552" s="49" t="n">
        <f aca="false">IF('Model Inputs &amp; Assumptions'!$H$31="Fixed",'Model Inputs &amp; Assumptions'!$I$31*'Model Inputs &amp; Assumptions'!$K$31,IF('Model Inputs &amp; Assumptions'!$H$31="CPM",'Model Inputs &amp; Assumptions'!$I$31*'Model Inputs &amp; Assumptions'!$K$31*C1552/1000,IF('Model Inputs &amp; Assumptions'!$H$31="CPC",'Model Inputs &amp; Assumptions'!$I$31*'Model Inputs &amp; Assumptions'!$K$31*G1552,0)))</f>
        <v>5748.916086</v>
      </c>
      <c r="J1552" s="50" t="n">
        <f aca="false">H1552*INDEX('Model Inputs &amp; Assumptions'!$D$40:$D$42,MATCH('Model Inputs &amp; Assumptions'!$L$31,'Model Inputs &amp; Assumptions'!$A$40:$A$42,0))*INDEX('Model Inputs &amp; Assumptions'!$H$40:$H$42,MATCH('Model Inputs &amp; Assumptions'!$L$31,'Model Inputs &amp; Assumptions'!$A$40:$A$42,0))</f>
        <v>232906.893430029</v>
      </c>
      <c r="K1552" s="49" t="n">
        <f aca="false">H1552*INDEX('Model Inputs &amp; Assumptions'!$G$40:$G$42,MATCH('Model Inputs &amp; Assumptions'!$L$31,'Model Inputs &amp; Assumptions'!$A$40:$A$42,0))*INDEX('Model Inputs &amp; Assumptions'!$H$40:$H$42,MATCH('Model Inputs &amp; Assumptions'!$L$31,'Model Inputs &amp; Assumptions'!$A$40:$A$42,0))</f>
        <v>5135.59700013213</v>
      </c>
      <c r="L1552" s="51" t="n">
        <f aca="false">IFERROR(K1552/I1552,0)</f>
        <v>0.893315700439349</v>
      </c>
      <c r="M1552" s="49" t="n">
        <f aca="false">IFERROR(I1552/H1552,0)</f>
        <v>177.719925802176</v>
      </c>
      <c r="N1552" s="52" t="str">
        <f aca="false">'Model Inputs &amp; Assumptions'!$L$31</f>
        <v>PRD-USIQ</v>
      </c>
      <c r="P1552" s="53" t="n">
        <v>0.333267</v>
      </c>
      <c r="Q1552" s="53" t="n">
        <v>-2.286425</v>
      </c>
      <c r="R1552" s="53" t="n">
        <v>-0.47197</v>
      </c>
      <c r="S1552" s="53" t="n">
        <v>-1.07862</v>
      </c>
    </row>
    <row r="1553" customFormat="false" ht="15" hidden="false" customHeight="false" outlineLevel="0" collapsed="false">
      <c r="A1553" s="43" t="n">
        <v>50</v>
      </c>
      <c r="B1553" s="44" t="str">
        <f aca="false">'Model Inputs &amp; Assumptions'!$B$31</f>
        <v>YouTube — Finfluencer Pre-roll</v>
      </c>
      <c r="C1553" s="45" t="n">
        <f aca="false">ROUND(MAX(0,'Model Inputs &amp; Assumptions'!$S$31*EXP('Model Inputs &amp; Assumptions'!$T$31*P1553-'Model Inputs &amp; Assumptions'!$T$31^2/2)),0)</f>
        <v>400231</v>
      </c>
      <c r="D1553" s="46" t="n">
        <f aca="false">MIN(1,'Model Inputs &amp; Assumptions'!$U$31*EXP('Model Inputs &amp; Assumptions'!$V$31*Q1553-'Model Inputs &amp; Assumptions'!$V$31^2/2))</f>
        <v>0.730714276631033</v>
      </c>
      <c r="E1553" s="45" t="n">
        <f aca="false">ROUND(C1553*D1553,0)</f>
        <v>292455</v>
      </c>
      <c r="F1553" s="47" t="n">
        <f aca="false">MIN(1,'Model Inputs &amp; Assumptions'!$W$31*EXP('Model Inputs &amp; Assumptions'!$X$31*R1553-'Model Inputs &amp; Assumptions'!$X$31^2/2))</f>
        <v>0.00476780023772036</v>
      </c>
      <c r="G1553" s="45" t="n">
        <f aca="false">ROUND(C1553*F1553,0)</f>
        <v>1908</v>
      </c>
      <c r="H1553" s="48" t="n">
        <f aca="false">MAX(0,(C1553*'Model Inputs &amp; Assumptions'!$N$31+E1553*'Model Inputs &amp; Assumptions'!$O$31+G1553*'Model Inputs &amp; Assumptions'!$P$31)*EXP('Model Inputs &amp; Assumptions'!$Q$31*S1553-'Model Inputs &amp; Assumptions'!$Q$31^2/2))</f>
        <v>57.9958788361936</v>
      </c>
      <c r="I1553" s="49" t="n">
        <f aca="false">IF('Model Inputs &amp; Assumptions'!$H$31="Fixed",'Model Inputs &amp; Assumptions'!$I$31*'Model Inputs &amp; Assumptions'!$K$31,IF('Model Inputs &amp; Assumptions'!$H$31="CPM",'Model Inputs &amp; Assumptions'!$I$31*'Model Inputs &amp; Assumptions'!$K$31*C1553/1000,IF('Model Inputs &amp; Assumptions'!$H$31="CPC",'Model Inputs &amp; Assumptions'!$I$31*'Model Inputs &amp; Assumptions'!$K$31*G1553,0)))</f>
        <v>4541.020926</v>
      </c>
      <c r="J1553" s="50" t="n">
        <f aca="false">H1553*INDEX('Model Inputs &amp; Assumptions'!$D$40:$D$42,MATCH('Model Inputs &amp; Assumptions'!$L$31,'Model Inputs &amp; Assumptions'!$A$40:$A$42,0))*INDEX('Model Inputs &amp; Assumptions'!$H$40:$H$42,MATCH('Model Inputs &amp; Assumptions'!$L$31,'Model Inputs &amp; Assumptions'!$A$40:$A$42,0))</f>
        <v>417570.327620594</v>
      </c>
      <c r="K1553" s="49" t="n">
        <f aca="false">H1553*INDEX('Model Inputs &amp; Assumptions'!$G$40:$G$42,MATCH('Model Inputs &amp; Assumptions'!$L$31,'Model Inputs &amp; Assumptions'!$A$40:$A$42,0))*INDEX('Model Inputs &amp; Assumptions'!$H$40:$H$42,MATCH('Model Inputs &amp; Assumptions'!$L$31,'Model Inputs &amp; Assumptions'!$A$40:$A$42,0))</f>
        <v>9207.42572403409</v>
      </c>
      <c r="L1553" s="51" t="n">
        <f aca="false">IFERROR(K1553/I1553,0)</f>
        <v>2.02761138388863</v>
      </c>
      <c r="M1553" s="49" t="n">
        <f aca="false">IFERROR(I1553/H1553,0)</f>
        <v>78.2990277434348</v>
      </c>
      <c r="N1553" s="52" t="str">
        <f aca="false">'Model Inputs &amp; Assumptions'!$L$31</f>
        <v>PRD-USIQ</v>
      </c>
      <c r="P1553" s="53" t="n">
        <v>-0.509087</v>
      </c>
      <c r="Q1553" s="53" t="n">
        <v>1.597857</v>
      </c>
      <c r="R1553" s="53" t="n">
        <v>-0.078137</v>
      </c>
      <c r="S1553" s="53" t="n">
        <v>0.485894</v>
      </c>
    </row>
    <row r="1554" customFormat="false" ht="15" hidden="false" customHeight="false" outlineLevel="0" collapsed="false">
      <c r="A1554" s="43" t="n">
        <v>51</v>
      </c>
      <c r="B1554" s="44" t="str">
        <f aca="false">'Model Inputs &amp; Assumptions'!$B$31</f>
        <v>YouTube — Finfluencer Pre-roll</v>
      </c>
      <c r="C1554" s="45" t="n">
        <f aca="false">ROUND(MAX(0,'Model Inputs &amp; Assumptions'!$S$31*EXP('Model Inputs &amp; Assumptions'!$T$31*P1554-'Model Inputs &amp; Assumptions'!$T$31^2/2)),0)</f>
        <v>455030</v>
      </c>
      <c r="D1554" s="46" t="n">
        <f aca="false">MIN(1,'Model Inputs &amp; Assumptions'!$U$31*EXP('Model Inputs &amp; Assumptions'!$V$31*Q1554-'Model Inputs &amp; Assumptions'!$V$31^2/2))</f>
        <v>0.601965886584334</v>
      </c>
      <c r="E1554" s="45" t="n">
        <f aca="false">ROUND(C1554*D1554,0)</f>
        <v>273913</v>
      </c>
      <c r="F1554" s="47" t="n">
        <f aca="false">MIN(1,'Model Inputs &amp; Assumptions'!$W$31*EXP('Model Inputs &amp; Assumptions'!$X$31*R1554-'Model Inputs &amp; Assumptions'!$X$31^2/2))</f>
        <v>0.00461039747024554</v>
      </c>
      <c r="G1554" s="45" t="n">
        <f aca="false">ROUND(C1554*F1554,0)</f>
        <v>2098</v>
      </c>
      <c r="H1554" s="48" t="n">
        <f aca="false">MAX(0,(C1554*'Model Inputs &amp; Assumptions'!$N$31+E1554*'Model Inputs &amp; Assumptions'!$O$31+G1554*'Model Inputs &amp; Assumptions'!$P$31)*EXP('Model Inputs &amp; Assumptions'!$Q$31*S1554-'Model Inputs &amp; Assumptions'!$Q$31^2/2))</f>
        <v>39.7466830574649</v>
      </c>
      <c r="I1554" s="49" t="n">
        <f aca="false">IF('Model Inputs &amp; Assumptions'!$H$31="Fixed",'Model Inputs &amp; Assumptions'!$I$31*'Model Inputs &amp; Assumptions'!$K$31,IF('Model Inputs &amp; Assumptions'!$H$31="CPM",'Model Inputs &amp; Assumptions'!$I$31*'Model Inputs &amp; Assumptions'!$K$31*C1554/1000,IF('Model Inputs &amp; Assumptions'!$H$31="CPC",'Model Inputs &amp; Assumptions'!$I$31*'Model Inputs &amp; Assumptions'!$K$31*G1554,0)))</f>
        <v>5162.77038</v>
      </c>
      <c r="J1554" s="50" t="n">
        <f aca="false">H1554*INDEX('Model Inputs &amp; Assumptions'!$D$40:$D$42,MATCH('Model Inputs &amp; Assumptions'!$L$31,'Model Inputs &amp; Assumptions'!$A$40:$A$42,0))*INDEX('Model Inputs &amp; Assumptions'!$H$40:$H$42,MATCH('Model Inputs &amp; Assumptions'!$L$31,'Model Inputs &amp; Assumptions'!$A$40:$A$42,0))</f>
        <v>286176.118013747</v>
      </c>
      <c r="K1554" s="49" t="n">
        <f aca="false">H1554*INDEX('Model Inputs &amp; Assumptions'!$G$40:$G$42,MATCH('Model Inputs &amp; Assumptions'!$L$31,'Model Inputs &amp; Assumptions'!$A$40:$A$42,0))*INDEX('Model Inputs &amp; Assumptions'!$H$40:$H$42,MATCH('Model Inputs &amp; Assumptions'!$L$31,'Model Inputs &amp; Assumptions'!$A$40:$A$42,0))</f>
        <v>6310.18340220312</v>
      </c>
      <c r="L1554" s="51" t="n">
        <f aca="false">IFERROR(K1554/I1554,0)</f>
        <v>1.22224754109694</v>
      </c>
      <c r="M1554" s="49" t="n">
        <f aca="false">IFERROR(I1554/H1554,0)</f>
        <v>129.89185468724</v>
      </c>
      <c r="N1554" s="52" t="str">
        <f aca="false">'Model Inputs &amp; Assumptions'!$L$31</f>
        <v>PRD-USIQ</v>
      </c>
      <c r="P1554" s="53" t="n">
        <v>-0.050794</v>
      </c>
      <c r="Q1554" s="53" t="n">
        <v>0.213416</v>
      </c>
      <c r="R1554" s="53" t="n">
        <v>-0.218016</v>
      </c>
      <c r="S1554" s="53" t="n">
        <v>-0.667762</v>
      </c>
    </row>
    <row r="1555" customFormat="false" ht="15" hidden="false" customHeight="false" outlineLevel="0" collapsed="false">
      <c r="A1555" s="43" t="n">
        <v>52</v>
      </c>
      <c r="B1555" s="44" t="str">
        <f aca="false">'Model Inputs &amp; Assumptions'!$B$31</f>
        <v>YouTube — Finfluencer Pre-roll</v>
      </c>
      <c r="C1555" s="45" t="n">
        <f aca="false">ROUND(MAX(0,'Model Inputs &amp; Assumptions'!$S$31*EXP('Model Inputs &amp; Assumptions'!$T$31*P1555-'Model Inputs &amp; Assumptions'!$T$31^2/2)),0)</f>
        <v>421120</v>
      </c>
      <c r="D1555" s="46" t="n">
        <f aca="false">MIN(1,'Model Inputs &amp; Assumptions'!$U$31*EXP('Model Inputs &amp; Assumptions'!$V$31*Q1555-'Model Inputs &amp; Assumptions'!$V$31^2/2))</f>
        <v>0.550627367807849</v>
      </c>
      <c r="E1555" s="45" t="n">
        <f aca="false">ROUND(C1555*D1555,0)</f>
        <v>231880</v>
      </c>
      <c r="F1555" s="47" t="n">
        <f aca="false">MIN(1,'Model Inputs &amp; Assumptions'!$W$31*EXP('Model Inputs &amp; Assumptions'!$X$31*R1555-'Model Inputs &amp; Assumptions'!$X$31^2/2))</f>
        <v>0.00370340842825368</v>
      </c>
      <c r="G1555" s="45" t="n">
        <f aca="false">ROUND(C1555*F1555,0)</f>
        <v>1560</v>
      </c>
      <c r="H1555" s="48" t="n">
        <f aca="false">MAX(0,(C1555*'Model Inputs &amp; Assumptions'!$N$31+E1555*'Model Inputs &amp; Assumptions'!$O$31+G1555*'Model Inputs &amp; Assumptions'!$P$31)*EXP('Model Inputs &amp; Assumptions'!$Q$31*S1555-'Model Inputs &amp; Assumptions'!$Q$31^2/2))</f>
        <v>35.5280799394706</v>
      </c>
      <c r="I1555" s="49" t="n">
        <f aca="false">IF('Model Inputs &amp; Assumptions'!$H$31="Fixed",'Model Inputs &amp; Assumptions'!$I$31*'Model Inputs &amp; Assumptions'!$K$31,IF('Model Inputs &amp; Assumptions'!$H$31="CPM",'Model Inputs &amp; Assumptions'!$I$31*'Model Inputs &amp; Assumptions'!$K$31*C1555/1000,IF('Model Inputs &amp; Assumptions'!$H$31="CPC",'Model Inputs &amp; Assumptions'!$I$31*'Model Inputs &amp; Assumptions'!$K$31*G1555,0)))</f>
        <v>4778.02752</v>
      </c>
      <c r="J1555" s="50" t="n">
        <f aca="false">H1555*INDEX('Model Inputs &amp; Assumptions'!$D$40:$D$42,MATCH('Model Inputs &amp; Assumptions'!$L$31,'Model Inputs &amp; Assumptions'!$A$40:$A$42,0))*INDEX('Model Inputs &amp; Assumptions'!$H$40:$H$42,MATCH('Model Inputs &amp; Assumptions'!$L$31,'Model Inputs &amp; Assumptions'!$A$40:$A$42,0))</f>
        <v>255802.175564188</v>
      </c>
      <c r="K1555" s="49" t="n">
        <f aca="false">H1555*INDEX('Model Inputs &amp; Assumptions'!$G$40:$G$42,MATCH('Model Inputs &amp; Assumptions'!$L$31,'Model Inputs &amp; Assumptions'!$A$40:$A$42,0))*INDEX('Model Inputs &amp; Assumptions'!$H$40:$H$42,MATCH('Model Inputs &amp; Assumptions'!$L$31,'Model Inputs &amp; Assumptions'!$A$40:$A$42,0))</f>
        <v>5640.43797119035</v>
      </c>
      <c r="L1555" s="51" t="n">
        <f aca="false">IFERROR(K1555/I1555,0)</f>
        <v>1.18049507826827</v>
      </c>
      <c r="M1555" s="49" t="n">
        <f aca="false">IFERROR(I1555/H1555,0)</f>
        <v>134.485948245454</v>
      </c>
      <c r="N1555" s="52" t="str">
        <f aca="false">'Model Inputs &amp; Assumptions'!$L$31</f>
        <v>PRD-USIQ</v>
      </c>
      <c r="P1555" s="53" t="n">
        <v>-0.327383</v>
      </c>
      <c r="Q1555" s="53" t="n">
        <v>-0.423316</v>
      </c>
      <c r="R1555" s="53" t="n">
        <v>-1.130768</v>
      </c>
      <c r="S1555" s="53" t="n">
        <v>-0.299756</v>
      </c>
    </row>
    <row r="1556" customFormat="false" ht="15" hidden="false" customHeight="false" outlineLevel="0" collapsed="false">
      <c r="A1556" s="43" t="n">
        <v>53</v>
      </c>
      <c r="B1556" s="44" t="str">
        <f aca="false">'Model Inputs &amp; Assumptions'!$B$31</f>
        <v>YouTube — Finfluencer Pre-roll</v>
      </c>
      <c r="C1556" s="45" t="n">
        <f aca="false">ROUND(MAX(0,'Model Inputs &amp; Assumptions'!$S$31*EXP('Model Inputs &amp; Assumptions'!$T$31*P1556-'Model Inputs &amp; Assumptions'!$T$31^2/2)),0)</f>
        <v>442243</v>
      </c>
      <c r="D1556" s="46" t="n">
        <f aca="false">MIN(1,'Model Inputs &amp; Assumptions'!$U$31*EXP('Model Inputs &amp; Assumptions'!$V$31*Q1556-'Model Inputs &amp; Assumptions'!$V$31^2/2))</f>
        <v>0.687596880634776</v>
      </c>
      <c r="E1556" s="45" t="n">
        <f aca="false">ROUND(C1556*D1556,0)</f>
        <v>304085</v>
      </c>
      <c r="F1556" s="47" t="n">
        <f aca="false">MIN(1,'Model Inputs &amp; Assumptions'!$W$31*EXP('Model Inputs &amp; Assumptions'!$X$31*R1556-'Model Inputs &amp; Assumptions'!$X$31^2/2))</f>
        <v>0.004392765013471</v>
      </c>
      <c r="G1556" s="45" t="n">
        <f aca="false">ROUND(C1556*F1556,0)</f>
        <v>1943</v>
      </c>
      <c r="H1556" s="48" t="n">
        <f aca="false">MAX(0,(C1556*'Model Inputs &amp; Assumptions'!$N$31+E1556*'Model Inputs &amp; Assumptions'!$O$31+G1556*'Model Inputs &amp; Assumptions'!$P$31)*EXP('Model Inputs &amp; Assumptions'!$Q$31*S1556-'Model Inputs &amp; Assumptions'!$Q$31^2/2))</f>
        <v>37.9263401754636</v>
      </c>
      <c r="I1556" s="49" t="n">
        <f aca="false">IF('Model Inputs &amp; Assumptions'!$H$31="Fixed",'Model Inputs &amp; Assumptions'!$I$31*'Model Inputs &amp; Assumptions'!$K$31,IF('Model Inputs &amp; Assumptions'!$H$31="CPM",'Model Inputs &amp; Assumptions'!$I$31*'Model Inputs &amp; Assumptions'!$K$31*C1556/1000,IF('Model Inputs &amp; Assumptions'!$H$31="CPC",'Model Inputs &amp; Assumptions'!$I$31*'Model Inputs &amp; Assumptions'!$K$31*G1556,0)))</f>
        <v>5017.689078</v>
      </c>
      <c r="J1556" s="50" t="n">
        <f aca="false">H1556*INDEX('Model Inputs &amp; Assumptions'!$D$40:$D$42,MATCH('Model Inputs &amp; Assumptions'!$L$31,'Model Inputs &amp; Assumptions'!$A$40:$A$42,0))*INDEX('Model Inputs &amp; Assumptions'!$H$40:$H$42,MATCH('Model Inputs &amp; Assumptions'!$L$31,'Model Inputs &amp; Assumptions'!$A$40:$A$42,0))</f>
        <v>273069.649263338</v>
      </c>
      <c r="K1556" s="49" t="n">
        <f aca="false">H1556*INDEX('Model Inputs &amp; Assumptions'!$G$40:$G$42,MATCH('Model Inputs &amp; Assumptions'!$L$31,'Model Inputs &amp; Assumptions'!$A$40:$A$42,0))*INDEX('Model Inputs &amp; Assumptions'!$H$40:$H$42,MATCH('Model Inputs &amp; Assumptions'!$L$31,'Model Inputs &amp; Assumptions'!$A$40:$A$42,0))</f>
        <v>6021.1857662566</v>
      </c>
      <c r="L1556" s="51" t="n">
        <f aca="false">IFERROR(K1556/I1556,0)</f>
        <v>1.19999180352892</v>
      </c>
      <c r="M1556" s="49" t="n">
        <f aca="false">IFERROR(I1556/H1556,0)</f>
        <v>132.300903667109</v>
      </c>
      <c r="N1556" s="52" t="str">
        <f aca="false">'Model Inputs &amp; Assumptions'!$L$31</f>
        <v>PRD-USIQ</v>
      </c>
      <c r="P1556" s="53" t="n">
        <v>-0.152596</v>
      </c>
      <c r="Q1556" s="53" t="n">
        <v>1.16343</v>
      </c>
      <c r="R1556" s="53" t="n">
        <v>-0.419496</v>
      </c>
      <c r="S1556" s="53" t="n">
        <v>-0.806453</v>
      </c>
    </row>
    <row r="1557" customFormat="false" ht="15" hidden="false" customHeight="false" outlineLevel="0" collapsed="false">
      <c r="A1557" s="43" t="n">
        <v>54</v>
      </c>
      <c r="B1557" s="44" t="str">
        <f aca="false">'Model Inputs &amp; Assumptions'!$B$31</f>
        <v>YouTube — Finfluencer Pre-roll</v>
      </c>
      <c r="C1557" s="45" t="n">
        <f aca="false">ROUND(MAX(0,'Model Inputs &amp; Assumptions'!$S$31*EXP('Model Inputs &amp; Assumptions'!$T$31*P1557-'Model Inputs &amp; Assumptions'!$T$31^2/2)),0)</f>
        <v>312603</v>
      </c>
      <c r="D1557" s="46" t="n">
        <f aca="false">MIN(1,'Model Inputs &amp; Assumptions'!$U$31*EXP('Model Inputs &amp; Assumptions'!$V$31*Q1557-'Model Inputs &amp; Assumptions'!$V$31^2/2))</f>
        <v>0.550652653197126</v>
      </c>
      <c r="E1557" s="45" t="n">
        <f aca="false">ROUND(C1557*D1557,0)</f>
        <v>172136</v>
      </c>
      <c r="F1557" s="47" t="n">
        <f aca="false">MIN(1,'Model Inputs &amp; Assumptions'!$W$31*EXP('Model Inputs &amp; Assumptions'!$X$31*R1557-'Model Inputs &amp; Assumptions'!$X$31^2/2))</f>
        <v>0.00437812781027935</v>
      </c>
      <c r="G1557" s="45" t="n">
        <f aca="false">ROUND(C1557*F1557,0)</f>
        <v>1369</v>
      </c>
      <c r="H1557" s="48" t="n">
        <f aca="false">MAX(0,(C1557*'Model Inputs &amp; Assumptions'!$N$31+E1557*'Model Inputs &amp; Assumptions'!$O$31+G1557*'Model Inputs &amp; Assumptions'!$P$31)*EXP('Model Inputs &amp; Assumptions'!$Q$31*S1557-'Model Inputs &amp; Assumptions'!$Q$31^2/2))</f>
        <v>45.1586690988497</v>
      </c>
      <c r="I1557" s="49" t="n">
        <f aca="false">IF('Model Inputs &amp; Assumptions'!$H$31="Fixed",'Model Inputs &amp; Assumptions'!$I$31*'Model Inputs &amp; Assumptions'!$K$31,IF('Model Inputs &amp; Assumptions'!$H$31="CPM",'Model Inputs &amp; Assumptions'!$I$31*'Model Inputs &amp; Assumptions'!$K$31*C1557/1000,IF('Model Inputs &amp; Assumptions'!$H$31="CPC",'Model Inputs &amp; Assumptions'!$I$31*'Model Inputs &amp; Assumptions'!$K$31*G1557,0)))</f>
        <v>3546.793638</v>
      </c>
      <c r="J1557" s="50" t="n">
        <f aca="false">H1557*INDEX('Model Inputs &amp; Assumptions'!$D$40:$D$42,MATCH('Model Inputs &amp; Assumptions'!$L$31,'Model Inputs &amp; Assumptions'!$A$40:$A$42,0))*INDEX('Model Inputs &amp; Assumptions'!$H$40:$H$42,MATCH('Model Inputs &amp; Assumptions'!$L$31,'Model Inputs &amp; Assumptions'!$A$40:$A$42,0))</f>
        <v>325142.417511718</v>
      </c>
      <c r="K1557" s="49" t="n">
        <f aca="false">H1557*INDEX('Model Inputs &amp; Assumptions'!$G$40:$G$42,MATCH('Model Inputs &amp; Assumptions'!$L$31,'Model Inputs &amp; Assumptions'!$A$40:$A$42,0))*INDEX('Model Inputs &amp; Assumptions'!$H$40:$H$42,MATCH('Model Inputs &amp; Assumptions'!$L$31,'Model Inputs &amp; Assumptions'!$A$40:$A$42,0))</f>
        <v>7169.39030613338</v>
      </c>
      <c r="L1557" s="51" t="n">
        <f aca="false">IFERROR(K1557/I1557,0)</f>
        <v>2.02137226968077</v>
      </c>
      <c r="M1557" s="49" t="n">
        <f aca="false">IFERROR(I1557/H1557,0)</f>
        <v>78.5407034524483</v>
      </c>
      <c r="N1557" s="52" t="str">
        <f aca="false">'Model Inputs &amp; Assumptions'!$L$31</f>
        <v>PRD-USIQ</v>
      </c>
      <c r="P1557" s="53" t="n">
        <v>-1.391612</v>
      </c>
      <c r="Q1557" s="53" t="n">
        <v>-0.422988</v>
      </c>
      <c r="R1557" s="53" t="n">
        <v>-0.433403</v>
      </c>
      <c r="S1557" s="53" t="n">
        <v>0.96033</v>
      </c>
    </row>
    <row r="1558" customFormat="false" ht="15" hidden="false" customHeight="false" outlineLevel="0" collapsed="false">
      <c r="A1558" s="43" t="n">
        <v>55</v>
      </c>
      <c r="B1558" s="44" t="str">
        <f aca="false">'Model Inputs &amp; Assumptions'!$B$31</f>
        <v>YouTube — Finfluencer Pre-roll</v>
      </c>
      <c r="C1558" s="45" t="n">
        <f aca="false">ROUND(MAX(0,'Model Inputs &amp; Assumptions'!$S$31*EXP('Model Inputs &amp; Assumptions'!$T$31*P1558-'Model Inputs &amp; Assumptions'!$T$31^2/2)),0)</f>
        <v>495881</v>
      </c>
      <c r="D1558" s="46" t="n">
        <f aca="false">MIN(1,'Model Inputs &amp; Assumptions'!$U$31*EXP('Model Inputs &amp; Assumptions'!$V$31*Q1558-'Model Inputs &amp; Assumptions'!$V$31^2/2))</f>
        <v>0.744464521530884</v>
      </c>
      <c r="E1558" s="45" t="n">
        <f aca="false">ROUND(C1558*D1558,0)</f>
        <v>369166</v>
      </c>
      <c r="F1558" s="47" t="n">
        <f aca="false">MIN(1,'Model Inputs &amp; Assumptions'!$W$31*EXP('Model Inputs &amp; Assumptions'!$X$31*R1558-'Model Inputs &amp; Assumptions'!$X$31^2/2))</f>
        <v>0.00319594875104901</v>
      </c>
      <c r="G1558" s="45" t="n">
        <f aca="false">ROUND(C1558*F1558,0)</f>
        <v>1585</v>
      </c>
      <c r="H1558" s="48" t="n">
        <f aca="false">MAX(0,(C1558*'Model Inputs &amp; Assumptions'!$N$31+E1558*'Model Inputs &amp; Assumptions'!$O$31+G1558*'Model Inputs &amp; Assumptions'!$P$31)*EXP('Model Inputs &amp; Assumptions'!$Q$31*S1558-'Model Inputs &amp; Assumptions'!$Q$31^2/2))</f>
        <v>31.8652497407609</v>
      </c>
      <c r="I1558" s="49" t="n">
        <f aca="false">IF('Model Inputs &amp; Assumptions'!$H$31="Fixed",'Model Inputs &amp; Assumptions'!$I$31*'Model Inputs &amp; Assumptions'!$K$31,IF('Model Inputs &amp; Assumptions'!$H$31="CPM",'Model Inputs &amp; Assumptions'!$I$31*'Model Inputs &amp; Assumptions'!$K$31*C1558/1000,IF('Model Inputs &amp; Assumptions'!$H$31="CPC",'Model Inputs &amp; Assumptions'!$I$31*'Model Inputs &amp; Assumptions'!$K$31*G1558,0)))</f>
        <v>5626.265826</v>
      </c>
      <c r="J1558" s="50" t="n">
        <f aca="false">H1558*INDEX('Model Inputs &amp; Assumptions'!$D$40:$D$42,MATCH('Model Inputs &amp; Assumptions'!$L$31,'Model Inputs &amp; Assumptions'!$A$40:$A$42,0))*INDEX('Model Inputs &amp; Assumptions'!$H$40:$H$42,MATCH('Model Inputs &amp; Assumptions'!$L$31,'Model Inputs &amp; Assumptions'!$A$40:$A$42,0))</f>
        <v>229429.798133479</v>
      </c>
      <c r="K1558" s="49" t="n">
        <f aca="false">H1558*INDEX('Model Inputs &amp; Assumptions'!$G$40:$G$42,MATCH('Model Inputs &amp; Assumptions'!$L$31,'Model Inputs &amp; Assumptions'!$A$40:$A$42,0))*INDEX('Model Inputs &amp; Assumptions'!$H$40:$H$42,MATCH('Model Inputs &amp; Assumptions'!$L$31,'Model Inputs &amp; Assumptions'!$A$40:$A$42,0))</f>
        <v>5058.92704884321</v>
      </c>
      <c r="L1558" s="51" t="n">
        <f aca="false">IFERROR(K1558/I1558,0)</f>
        <v>0.89916246499854</v>
      </c>
      <c r="M1558" s="49" t="n">
        <f aca="false">IFERROR(I1558/H1558,0)</f>
        <v>176.564309766042</v>
      </c>
      <c r="N1558" s="52" t="str">
        <f aca="false">'Model Inputs &amp; Assumptions'!$L$31</f>
        <v>PRD-USIQ</v>
      </c>
      <c r="P1558" s="53" t="n">
        <v>0.256253</v>
      </c>
      <c r="Q1558" s="53" t="n">
        <v>1.731019</v>
      </c>
      <c r="R1558" s="53" t="n">
        <v>-1.744808</v>
      </c>
      <c r="S1558" s="53" t="n">
        <v>-1.295216</v>
      </c>
    </row>
    <row r="1559" customFormat="false" ht="15" hidden="false" customHeight="false" outlineLevel="0" collapsed="false">
      <c r="A1559" s="43" t="n">
        <v>56</v>
      </c>
      <c r="B1559" s="44" t="str">
        <f aca="false">'Model Inputs &amp; Assumptions'!$B$31</f>
        <v>YouTube — Finfluencer Pre-roll</v>
      </c>
      <c r="C1559" s="45" t="n">
        <f aca="false">ROUND(MAX(0,'Model Inputs &amp; Assumptions'!$S$31*EXP('Model Inputs &amp; Assumptions'!$T$31*P1559-'Model Inputs &amp; Assumptions'!$T$31^2/2)),0)</f>
        <v>366512</v>
      </c>
      <c r="D1559" s="46" t="n">
        <f aca="false">MIN(1,'Model Inputs &amp; Assumptions'!$U$31*EXP('Model Inputs &amp; Assumptions'!$V$31*Q1559-'Model Inputs &amp; Assumptions'!$V$31^2/2))</f>
        <v>0.693893448917043</v>
      </c>
      <c r="E1559" s="45" t="n">
        <f aca="false">ROUND(C1559*D1559,0)</f>
        <v>254320</v>
      </c>
      <c r="F1559" s="47" t="n">
        <f aca="false">MIN(1,'Model Inputs &amp; Assumptions'!$W$31*EXP('Model Inputs &amp; Assumptions'!$X$31*R1559-'Model Inputs &amp; Assumptions'!$X$31^2/2))</f>
        <v>0.00426218829402448</v>
      </c>
      <c r="G1559" s="45" t="n">
        <f aca="false">ROUND(C1559*F1559,0)</f>
        <v>1562</v>
      </c>
      <c r="H1559" s="48" t="n">
        <f aca="false">MAX(0,(C1559*'Model Inputs &amp; Assumptions'!$N$31+E1559*'Model Inputs &amp; Assumptions'!$O$31+G1559*'Model Inputs &amp; Assumptions'!$P$31)*EXP('Model Inputs &amp; Assumptions'!$Q$31*S1559-'Model Inputs &amp; Assumptions'!$Q$31^2/2))</f>
        <v>35.4485459258867</v>
      </c>
      <c r="I1559" s="49" t="n">
        <f aca="false">IF('Model Inputs &amp; Assumptions'!$H$31="Fixed",'Model Inputs &amp; Assumptions'!$I$31*'Model Inputs &amp; Assumptions'!$K$31,IF('Model Inputs &amp; Assumptions'!$H$31="CPM",'Model Inputs &amp; Assumptions'!$I$31*'Model Inputs &amp; Assumptions'!$K$31*C1559/1000,IF('Model Inputs &amp; Assumptions'!$H$31="CPC",'Model Inputs &amp; Assumptions'!$I$31*'Model Inputs &amp; Assumptions'!$K$31*G1559,0)))</f>
        <v>4158.445152</v>
      </c>
      <c r="J1559" s="50" t="n">
        <f aca="false">H1559*INDEX('Model Inputs &amp; Assumptions'!$D$40:$D$42,MATCH('Model Inputs &amp; Assumptions'!$L$31,'Model Inputs &amp; Assumptions'!$A$40:$A$42,0))*INDEX('Model Inputs &amp; Assumptions'!$H$40:$H$42,MATCH('Model Inputs &amp; Assumptions'!$L$31,'Model Inputs &amp; Assumptions'!$A$40:$A$42,0))</f>
        <v>255229.530666384</v>
      </c>
      <c r="K1559" s="49" t="n">
        <f aca="false">H1559*INDEX('Model Inputs &amp; Assumptions'!$G$40:$G$42,MATCH('Model Inputs &amp; Assumptions'!$L$31,'Model Inputs &amp; Assumptions'!$A$40:$A$42,0))*INDEX('Model Inputs &amp; Assumptions'!$H$40:$H$42,MATCH('Model Inputs &amp; Assumptions'!$L$31,'Model Inputs &amp; Assumptions'!$A$40:$A$42,0))</f>
        <v>5627.81115119377</v>
      </c>
      <c r="L1559" s="51" t="n">
        <f aca="false">IFERROR(K1559/I1559,0)</f>
        <v>1.35334504736394</v>
      </c>
      <c r="M1559" s="49" t="n">
        <f aca="false">IFERROR(I1559/H1559,0)</f>
        <v>117.309329434674</v>
      </c>
      <c r="N1559" s="52" t="str">
        <f aca="false">'Model Inputs &amp; Assumptions'!$L$31</f>
        <v>PRD-USIQ</v>
      </c>
      <c r="P1559" s="53" t="n">
        <v>-0.823408</v>
      </c>
      <c r="Q1559" s="53" t="n">
        <v>1.228542</v>
      </c>
      <c r="R1559" s="53" t="n">
        <v>-0.54523</v>
      </c>
      <c r="S1559" s="53" t="n">
        <v>-0.427841</v>
      </c>
    </row>
    <row r="1560" customFormat="false" ht="15" hidden="false" customHeight="false" outlineLevel="0" collapsed="false">
      <c r="A1560" s="43" t="n">
        <v>57</v>
      </c>
      <c r="B1560" s="44" t="str">
        <f aca="false">'Model Inputs &amp; Assumptions'!$B$31</f>
        <v>YouTube — Finfluencer Pre-roll</v>
      </c>
      <c r="C1560" s="45" t="n">
        <f aca="false">ROUND(MAX(0,'Model Inputs &amp; Assumptions'!$S$31*EXP('Model Inputs &amp; Assumptions'!$T$31*P1560-'Model Inputs &amp; Assumptions'!$T$31^2/2)),0)</f>
        <v>433523</v>
      </c>
      <c r="D1560" s="46" t="n">
        <f aca="false">MIN(1,'Model Inputs &amp; Assumptions'!$U$31*EXP('Model Inputs &amp; Assumptions'!$V$31*Q1560-'Model Inputs &amp; Assumptions'!$V$31^2/2))</f>
        <v>0.459434652307443</v>
      </c>
      <c r="E1560" s="45" t="n">
        <f aca="false">ROUND(C1560*D1560,0)</f>
        <v>199175</v>
      </c>
      <c r="F1560" s="47" t="n">
        <f aca="false">MIN(1,'Model Inputs &amp; Assumptions'!$W$31*EXP('Model Inputs &amp; Assumptions'!$X$31*R1560-'Model Inputs &amp; Assumptions'!$X$31^2/2))</f>
        <v>0.0042359891757416</v>
      </c>
      <c r="G1560" s="45" t="n">
        <f aca="false">ROUND(C1560*F1560,0)</f>
        <v>1836</v>
      </c>
      <c r="H1560" s="48" t="n">
        <f aca="false">MAX(0,(C1560*'Model Inputs &amp; Assumptions'!$N$31+E1560*'Model Inputs &amp; Assumptions'!$O$31+G1560*'Model Inputs &amp; Assumptions'!$P$31)*EXP('Model Inputs &amp; Assumptions'!$Q$31*S1560-'Model Inputs &amp; Assumptions'!$Q$31^2/2))</f>
        <v>77.1787267057612</v>
      </c>
      <c r="I1560" s="49" t="n">
        <f aca="false">IF('Model Inputs &amp; Assumptions'!$H$31="Fixed",'Model Inputs &amp; Assumptions'!$I$31*'Model Inputs &amp; Assumptions'!$K$31,IF('Model Inputs &amp; Assumptions'!$H$31="CPM",'Model Inputs &amp; Assumptions'!$I$31*'Model Inputs &amp; Assumptions'!$K$31*C1560/1000,IF('Model Inputs &amp; Assumptions'!$H$31="CPC",'Model Inputs &amp; Assumptions'!$I$31*'Model Inputs &amp; Assumptions'!$K$31*G1560,0)))</f>
        <v>4918.751958</v>
      </c>
      <c r="J1560" s="50" t="n">
        <f aca="false">H1560*INDEX('Model Inputs &amp; Assumptions'!$D$40:$D$42,MATCH('Model Inputs &amp; Assumptions'!$L$31,'Model Inputs &amp; Assumptions'!$A$40:$A$42,0))*INDEX('Model Inputs &amp; Assumptions'!$H$40:$H$42,MATCH('Model Inputs &amp; Assumptions'!$L$31,'Model Inputs &amp; Assumptions'!$A$40:$A$42,0))</f>
        <v>555686.832281481</v>
      </c>
      <c r="K1560" s="49" t="n">
        <f aca="false">H1560*INDEX('Model Inputs &amp; Assumptions'!$G$40:$G$42,MATCH('Model Inputs &amp; Assumptions'!$L$31,'Model Inputs &amp; Assumptions'!$A$40:$A$42,0))*INDEX('Model Inputs &amp; Assumptions'!$H$40:$H$42,MATCH('Model Inputs &amp; Assumptions'!$L$31,'Model Inputs &amp; Assumptions'!$A$40:$A$42,0))</f>
        <v>12252.8946518067</v>
      </c>
      <c r="L1560" s="51" t="n">
        <f aca="false">IFERROR(K1560/I1560,0)</f>
        <v>2.49105764153815</v>
      </c>
      <c r="M1560" s="49" t="n">
        <f aca="false">IFERROR(I1560/H1560,0)</f>
        <v>63.7319656328669</v>
      </c>
      <c r="N1560" s="52" t="str">
        <f aca="false">'Model Inputs &amp; Assumptions'!$L$31</f>
        <v>PRD-USIQ</v>
      </c>
      <c r="P1560" s="53" t="n">
        <v>-0.223717</v>
      </c>
      <c r="Q1560" s="53" t="n">
        <v>-1.716613</v>
      </c>
      <c r="R1560" s="53" t="n">
        <v>-0.570921</v>
      </c>
      <c r="S1560" s="53" t="n">
        <v>1.814888</v>
      </c>
    </row>
    <row r="1561" customFormat="false" ht="15" hidden="false" customHeight="false" outlineLevel="0" collapsed="false">
      <c r="A1561" s="43" t="n">
        <v>58</v>
      </c>
      <c r="B1561" s="44" t="str">
        <f aca="false">'Model Inputs &amp; Assumptions'!$B$31</f>
        <v>YouTube — Finfluencer Pre-roll</v>
      </c>
      <c r="C1561" s="45" t="n">
        <f aca="false">ROUND(MAX(0,'Model Inputs &amp; Assumptions'!$S$31*EXP('Model Inputs &amp; Assumptions'!$T$31*P1561-'Model Inputs &amp; Assumptions'!$T$31^2/2)),0)</f>
        <v>428843</v>
      </c>
      <c r="D1561" s="46" t="n">
        <f aca="false">MIN(1,'Model Inputs &amp; Assumptions'!$U$31*EXP('Model Inputs &amp; Assumptions'!$V$31*Q1561-'Model Inputs &amp; Assumptions'!$V$31^2/2))</f>
        <v>0.579388001656714</v>
      </c>
      <c r="E1561" s="45" t="n">
        <f aca="false">ROUND(C1561*D1561,0)</f>
        <v>248466</v>
      </c>
      <c r="F1561" s="47" t="n">
        <f aca="false">MIN(1,'Model Inputs &amp; Assumptions'!$W$31*EXP('Model Inputs &amp; Assumptions'!$X$31*R1561-'Model Inputs &amp; Assumptions'!$X$31^2/2))</f>
        <v>0.0050206212068598</v>
      </c>
      <c r="G1561" s="45" t="n">
        <f aca="false">ROUND(C1561*F1561,0)</f>
        <v>2153</v>
      </c>
      <c r="H1561" s="48" t="n">
        <f aca="false">MAX(0,(C1561*'Model Inputs &amp; Assumptions'!$N$31+E1561*'Model Inputs &amp; Assumptions'!$O$31+G1561*'Model Inputs &amp; Assumptions'!$P$31)*EXP('Model Inputs &amp; Assumptions'!$Q$31*S1561-'Model Inputs &amp; Assumptions'!$Q$31^2/2))</f>
        <v>45.0046860753798</v>
      </c>
      <c r="I1561" s="49" t="n">
        <f aca="false">IF('Model Inputs &amp; Assumptions'!$H$31="Fixed",'Model Inputs &amp; Assumptions'!$I$31*'Model Inputs &amp; Assumptions'!$K$31,IF('Model Inputs &amp; Assumptions'!$H$31="CPM",'Model Inputs &amp; Assumptions'!$I$31*'Model Inputs &amp; Assumptions'!$K$31*C1561/1000,IF('Model Inputs &amp; Assumptions'!$H$31="CPC",'Model Inputs &amp; Assumptions'!$I$31*'Model Inputs &amp; Assumptions'!$K$31*G1561,0)))</f>
        <v>4865.652678</v>
      </c>
      <c r="J1561" s="50" t="n">
        <f aca="false">H1561*INDEX('Model Inputs &amp; Assumptions'!$D$40:$D$42,MATCH('Model Inputs &amp; Assumptions'!$L$31,'Model Inputs &amp; Assumptions'!$A$40:$A$42,0))*INDEX('Model Inputs &amp; Assumptions'!$H$40:$H$42,MATCH('Model Inputs &amp; Assumptions'!$L$31,'Model Inputs &amp; Assumptions'!$A$40:$A$42,0))</f>
        <v>324033.739742735</v>
      </c>
      <c r="K1561" s="49" t="n">
        <f aca="false">H1561*INDEX('Model Inputs &amp; Assumptions'!$G$40:$G$42,MATCH('Model Inputs &amp; Assumptions'!$L$31,'Model Inputs &amp; Assumptions'!$A$40:$A$42,0))*INDEX('Model Inputs &amp; Assumptions'!$H$40:$H$42,MATCH('Model Inputs &amp; Assumptions'!$L$31,'Model Inputs &amp; Assumptions'!$A$40:$A$42,0))</f>
        <v>7144.9439613273</v>
      </c>
      <c r="L1561" s="51" t="n">
        <f aca="false">IFERROR(K1561/I1561,0)</f>
        <v>1.46844512631021</v>
      </c>
      <c r="M1561" s="49" t="n">
        <f aca="false">IFERROR(I1561/H1561,0)</f>
        <v>108.114356577232</v>
      </c>
      <c r="N1561" s="52" t="str">
        <f aca="false">'Model Inputs &amp; Assumptions'!$L$31</f>
        <v>PRD-USIQ</v>
      </c>
      <c r="P1561" s="53" t="n">
        <v>-0.262487</v>
      </c>
      <c r="Q1561" s="53" t="n">
        <v>-0.059644</v>
      </c>
      <c r="R1561" s="53" t="n">
        <v>0.137149</v>
      </c>
      <c r="S1561" s="53" t="n">
        <v>-0.247242</v>
      </c>
    </row>
    <row r="1562" customFormat="false" ht="15" hidden="false" customHeight="false" outlineLevel="0" collapsed="false">
      <c r="A1562" s="43" t="n">
        <v>59</v>
      </c>
      <c r="B1562" s="44" t="str">
        <f aca="false">'Model Inputs &amp; Assumptions'!$B$31</f>
        <v>YouTube — Finfluencer Pre-roll</v>
      </c>
      <c r="C1562" s="45" t="n">
        <f aca="false">ROUND(MAX(0,'Model Inputs &amp; Assumptions'!$S$31*EXP('Model Inputs &amp; Assumptions'!$T$31*P1562-'Model Inputs &amp; Assumptions'!$T$31^2/2)),0)</f>
        <v>278352</v>
      </c>
      <c r="D1562" s="46" t="n">
        <f aca="false">MIN(1,'Model Inputs &amp; Assumptions'!$U$31*EXP('Model Inputs &amp; Assumptions'!$V$31*Q1562-'Model Inputs &amp; Assumptions'!$V$31^2/2))</f>
        <v>0.523842243463275</v>
      </c>
      <c r="E1562" s="45" t="n">
        <f aca="false">ROUND(C1562*D1562,0)</f>
        <v>145813</v>
      </c>
      <c r="F1562" s="47" t="n">
        <f aca="false">MIN(1,'Model Inputs &amp; Assumptions'!$W$31*EXP('Model Inputs &amp; Assumptions'!$X$31*R1562-'Model Inputs &amp; Assumptions'!$X$31^2/2))</f>
        <v>0.00539006105564192</v>
      </c>
      <c r="G1562" s="45" t="n">
        <f aca="false">ROUND(C1562*F1562,0)</f>
        <v>1500</v>
      </c>
      <c r="H1562" s="48" t="n">
        <f aca="false">MAX(0,(C1562*'Model Inputs &amp; Assumptions'!$N$31+E1562*'Model Inputs &amp; Assumptions'!$O$31+G1562*'Model Inputs &amp; Assumptions'!$P$31)*EXP('Model Inputs &amp; Assumptions'!$Q$31*S1562-'Model Inputs &amp; Assumptions'!$Q$31^2/2))</f>
        <v>28.9749901425635</v>
      </c>
      <c r="I1562" s="49" t="n">
        <f aca="false">IF('Model Inputs &amp; Assumptions'!$H$31="Fixed",'Model Inputs &amp; Assumptions'!$I$31*'Model Inputs &amp; Assumptions'!$K$31,IF('Model Inputs &amp; Assumptions'!$H$31="CPM",'Model Inputs &amp; Assumptions'!$I$31*'Model Inputs &amp; Assumptions'!$K$31*C1562/1000,IF('Model Inputs &amp; Assumptions'!$H$31="CPC",'Model Inputs &amp; Assumptions'!$I$31*'Model Inputs &amp; Assumptions'!$K$31*G1562,0)))</f>
        <v>3158.181792</v>
      </c>
      <c r="J1562" s="50" t="n">
        <f aca="false">H1562*INDEX('Model Inputs &amp; Assumptions'!$D$40:$D$42,MATCH('Model Inputs &amp; Assumptions'!$L$31,'Model Inputs &amp; Assumptions'!$A$40:$A$42,0))*INDEX('Model Inputs &amp; Assumptions'!$H$40:$H$42,MATCH('Model Inputs &amp; Assumptions'!$L$31,'Model Inputs &amp; Assumptions'!$A$40:$A$42,0))</f>
        <v>208619.929026457</v>
      </c>
      <c r="K1562" s="49" t="n">
        <f aca="false">H1562*INDEX('Model Inputs &amp; Assumptions'!$G$40:$G$42,MATCH('Model Inputs &amp; Assumptions'!$L$31,'Model Inputs &amp; Assumptions'!$A$40:$A$42,0))*INDEX('Model Inputs &amp; Assumptions'!$H$40:$H$42,MATCH('Model Inputs &amp; Assumptions'!$L$31,'Model Inputs &amp; Assumptions'!$A$40:$A$42,0))</f>
        <v>4600.06943503339</v>
      </c>
      <c r="L1562" s="51" t="n">
        <f aca="false">IFERROR(K1562/I1562,0)</f>
        <v>1.45655625229866</v>
      </c>
      <c r="M1562" s="49" t="n">
        <f aca="false">IFERROR(I1562/H1562,0)</f>
        <v>108.996820239145</v>
      </c>
      <c r="N1562" s="52" t="str">
        <f aca="false">'Model Inputs &amp; Assumptions'!$L$31</f>
        <v>PRD-USIQ</v>
      </c>
      <c r="P1562" s="53" t="n">
        <v>-1.806074</v>
      </c>
      <c r="Q1562" s="53" t="n">
        <v>-0.779514</v>
      </c>
      <c r="R1562" s="53" t="n">
        <v>0.432995</v>
      </c>
      <c r="S1562" s="53" t="n">
        <v>-0.295771</v>
      </c>
    </row>
    <row r="1563" customFormat="false" ht="15" hidden="false" customHeight="false" outlineLevel="0" collapsed="false">
      <c r="A1563" s="43" t="n">
        <v>60</v>
      </c>
      <c r="B1563" s="44" t="str">
        <f aca="false">'Model Inputs &amp; Assumptions'!$B$31</f>
        <v>YouTube — Finfluencer Pre-roll</v>
      </c>
      <c r="C1563" s="45" t="n">
        <f aca="false">ROUND(MAX(0,'Model Inputs &amp; Assumptions'!$S$31*EXP('Model Inputs &amp; Assumptions'!$T$31*P1563-'Model Inputs &amp; Assumptions'!$T$31^2/2)),0)</f>
        <v>420972</v>
      </c>
      <c r="D1563" s="46" t="n">
        <f aca="false">MIN(1,'Model Inputs &amp; Assumptions'!$U$31*EXP('Model Inputs &amp; Assumptions'!$V$31*Q1563-'Model Inputs &amp; Assumptions'!$V$31^2/2))</f>
        <v>0.479394417371316</v>
      </c>
      <c r="E1563" s="45" t="n">
        <f aca="false">ROUND(C1563*D1563,0)</f>
        <v>201812</v>
      </c>
      <c r="F1563" s="47" t="n">
        <f aca="false">MIN(1,'Model Inputs &amp; Assumptions'!$W$31*EXP('Model Inputs &amp; Assumptions'!$X$31*R1563-'Model Inputs &amp; Assumptions'!$X$31^2/2))</f>
        <v>0.00539571193731135</v>
      </c>
      <c r="G1563" s="45" t="n">
        <f aca="false">ROUND(C1563*F1563,0)</f>
        <v>2271</v>
      </c>
      <c r="H1563" s="48" t="n">
        <f aca="false">MAX(0,(C1563*'Model Inputs &amp; Assumptions'!$N$31+E1563*'Model Inputs &amp; Assumptions'!$O$31+G1563*'Model Inputs &amp; Assumptions'!$P$31)*EXP('Model Inputs &amp; Assumptions'!$Q$31*S1563-'Model Inputs &amp; Assumptions'!$Q$31^2/2))</f>
        <v>52.1164356942682</v>
      </c>
      <c r="I1563" s="49" t="n">
        <f aca="false">IF('Model Inputs &amp; Assumptions'!$H$31="Fixed",'Model Inputs &amp; Assumptions'!$I$31*'Model Inputs &amp; Assumptions'!$K$31,IF('Model Inputs &amp; Assumptions'!$H$31="CPM",'Model Inputs &amp; Assumptions'!$I$31*'Model Inputs &amp; Assumptions'!$K$31*C1563/1000,IF('Model Inputs &amp; Assumptions'!$H$31="CPC",'Model Inputs &amp; Assumptions'!$I$31*'Model Inputs &amp; Assumptions'!$K$31*G1563,0)))</f>
        <v>4776.348312</v>
      </c>
      <c r="J1563" s="50" t="n">
        <f aca="false">H1563*INDEX('Model Inputs &amp; Assumptions'!$D$40:$D$42,MATCH('Model Inputs &amp; Assumptions'!$L$31,'Model Inputs &amp; Assumptions'!$A$40:$A$42,0))*INDEX('Model Inputs &amp; Assumptions'!$H$40:$H$42,MATCH('Model Inputs &amp; Assumptions'!$L$31,'Model Inputs &amp; Assumptions'!$A$40:$A$42,0))</f>
        <v>375238.336998731</v>
      </c>
      <c r="K1563" s="49" t="n">
        <f aca="false">H1563*INDEX('Model Inputs &amp; Assumptions'!$G$40:$G$42,MATCH('Model Inputs &amp; Assumptions'!$L$31,'Model Inputs &amp; Assumptions'!$A$40:$A$42,0))*INDEX('Model Inputs &amp; Assumptions'!$H$40:$H$42,MATCH('Model Inputs &amp; Assumptions'!$L$31,'Model Inputs &amp; Assumptions'!$A$40:$A$42,0))</f>
        <v>8274.00533082203</v>
      </c>
      <c r="L1563" s="51" t="n">
        <f aca="false">IFERROR(K1563/I1563,0)</f>
        <v>1.73228684140028</v>
      </c>
      <c r="M1563" s="49" t="n">
        <f aca="false">IFERROR(I1563/H1563,0)</f>
        <v>91.6476395281441</v>
      </c>
      <c r="N1563" s="52" t="str">
        <f aca="false">'Model Inputs &amp; Assumptions'!$L$31</f>
        <v>PRD-USIQ</v>
      </c>
      <c r="P1563" s="53" t="n">
        <v>-0.328641</v>
      </c>
      <c r="Q1563" s="53" t="n">
        <v>-1.412849</v>
      </c>
      <c r="R1563" s="53" t="n">
        <v>0.437361</v>
      </c>
      <c r="S1563" s="53" t="n">
        <v>0.281477</v>
      </c>
    </row>
    <row r="1564" customFormat="false" ht="15" hidden="false" customHeight="false" outlineLevel="0" collapsed="false">
      <c r="A1564" s="43" t="n">
        <v>61</v>
      </c>
      <c r="B1564" s="44" t="str">
        <f aca="false">'Model Inputs &amp; Assumptions'!$B$31</f>
        <v>YouTube — Finfluencer Pre-roll</v>
      </c>
      <c r="C1564" s="45" t="n">
        <f aca="false">ROUND(MAX(0,'Model Inputs &amp; Assumptions'!$S$31*EXP('Model Inputs &amp; Assumptions'!$T$31*P1564-'Model Inputs &amp; Assumptions'!$T$31^2/2)),0)</f>
        <v>423461</v>
      </c>
      <c r="D1564" s="46" t="n">
        <f aca="false">MIN(1,'Model Inputs &amp; Assumptions'!$U$31*EXP('Model Inputs &amp; Assumptions'!$V$31*Q1564-'Model Inputs &amp; Assumptions'!$V$31^2/2))</f>
        <v>0.577384866354325</v>
      </c>
      <c r="E1564" s="45" t="n">
        <f aca="false">ROUND(C1564*D1564,0)</f>
        <v>244500</v>
      </c>
      <c r="F1564" s="47" t="n">
        <f aca="false">MIN(1,'Model Inputs &amp; Assumptions'!$W$31*EXP('Model Inputs &amp; Assumptions'!$X$31*R1564-'Model Inputs &amp; Assumptions'!$X$31^2/2))</f>
        <v>0.0051666328621918</v>
      </c>
      <c r="G1564" s="45" t="n">
        <f aca="false">ROUND(C1564*F1564,0)</f>
        <v>2188</v>
      </c>
      <c r="H1564" s="48" t="n">
        <f aca="false">MAX(0,(C1564*'Model Inputs &amp; Assumptions'!$N$31+E1564*'Model Inputs &amp; Assumptions'!$O$31+G1564*'Model Inputs &amp; Assumptions'!$P$31)*EXP('Model Inputs &amp; Assumptions'!$Q$31*S1564-'Model Inputs &amp; Assumptions'!$Q$31^2/2))</f>
        <v>25.2560401021116</v>
      </c>
      <c r="I1564" s="49" t="n">
        <f aca="false">IF('Model Inputs &amp; Assumptions'!$H$31="Fixed",'Model Inputs &amp; Assumptions'!$I$31*'Model Inputs &amp; Assumptions'!$K$31,IF('Model Inputs &amp; Assumptions'!$H$31="CPM",'Model Inputs &amp; Assumptions'!$I$31*'Model Inputs &amp; Assumptions'!$K$31*C1564/1000,IF('Model Inputs &amp; Assumptions'!$H$31="CPC",'Model Inputs &amp; Assumptions'!$I$31*'Model Inputs &amp; Assumptions'!$K$31*G1564,0)))</f>
        <v>4804.588506</v>
      </c>
      <c r="J1564" s="50" t="n">
        <f aca="false">H1564*INDEX('Model Inputs &amp; Assumptions'!$D$40:$D$42,MATCH('Model Inputs &amp; Assumptions'!$L$31,'Model Inputs &amp; Assumptions'!$A$40:$A$42,0))*INDEX('Model Inputs &amp; Assumptions'!$H$40:$H$42,MATCH('Model Inputs &amp; Assumptions'!$L$31,'Model Inputs &amp; Assumptions'!$A$40:$A$42,0))</f>
        <v>181843.488735204</v>
      </c>
      <c r="K1564" s="49" t="n">
        <f aca="false">H1564*INDEX('Model Inputs &amp; Assumptions'!$G$40:$G$42,MATCH('Model Inputs &amp; Assumptions'!$L$31,'Model Inputs &amp; Assumptions'!$A$40:$A$42,0))*INDEX('Model Inputs &amp; Assumptions'!$H$40:$H$42,MATCH('Model Inputs &amp; Assumptions'!$L$31,'Model Inputs &amp; Assumptions'!$A$40:$A$42,0))</f>
        <v>4009.64892661124</v>
      </c>
      <c r="L1564" s="51" t="n">
        <f aca="false">IFERROR(K1564/I1564,0)</f>
        <v>0.834545751754592</v>
      </c>
      <c r="M1564" s="49" t="n">
        <f aca="false">IFERROR(I1564/H1564,0)</f>
        <v>190.235226368614</v>
      </c>
      <c r="N1564" s="52" t="str">
        <f aca="false">'Model Inputs &amp; Assumptions'!$L$31</f>
        <v>PRD-USIQ</v>
      </c>
      <c r="P1564" s="53" t="n">
        <v>-0.307591</v>
      </c>
      <c r="Q1564" s="53" t="n">
        <v>-0.084382</v>
      </c>
      <c r="R1564" s="53" t="n">
        <v>0.256597</v>
      </c>
      <c r="S1564" s="53" t="n">
        <v>-1.90917</v>
      </c>
    </row>
    <row r="1565" customFormat="false" ht="15" hidden="false" customHeight="false" outlineLevel="0" collapsed="false">
      <c r="A1565" s="43" t="n">
        <v>62</v>
      </c>
      <c r="B1565" s="44" t="str">
        <f aca="false">'Model Inputs &amp; Assumptions'!$B$31</f>
        <v>YouTube — Finfluencer Pre-roll</v>
      </c>
      <c r="C1565" s="45" t="n">
        <f aca="false">ROUND(MAX(0,'Model Inputs &amp; Assumptions'!$S$31*EXP('Model Inputs &amp; Assumptions'!$T$31*P1565-'Model Inputs &amp; Assumptions'!$T$31^2/2)),0)</f>
        <v>483934</v>
      </c>
      <c r="D1565" s="46" t="n">
        <f aca="false">MIN(1,'Model Inputs &amp; Assumptions'!$U$31*EXP('Model Inputs &amp; Assumptions'!$V$31*Q1565-'Model Inputs &amp; Assumptions'!$V$31^2/2))</f>
        <v>0.531033388023942</v>
      </c>
      <c r="E1565" s="45" t="n">
        <f aca="false">ROUND(C1565*D1565,0)</f>
        <v>256985</v>
      </c>
      <c r="F1565" s="47" t="n">
        <f aca="false">MIN(1,'Model Inputs &amp; Assumptions'!$W$31*EXP('Model Inputs &amp; Assumptions'!$X$31*R1565-'Model Inputs &amp; Assumptions'!$X$31^2/2))</f>
        <v>0.00374036377385887</v>
      </c>
      <c r="G1565" s="45" t="n">
        <f aca="false">ROUND(C1565*F1565,0)</f>
        <v>1810</v>
      </c>
      <c r="H1565" s="48" t="n">
        <f aca="false">MAX(0,(C1565*'Model Inputs &amp; Assumptions'!$N$31+E1565*'Model Inputs &amp; Assumptions'!$O$31+G1565*'Model Inputs &amp; Assumptions'!$P$31)*EXP('Model Inputs &amp; Assumptions'!$Q$31*S1565-'Model Inputs &amp; Assumptions'!$Q$31^2/2))</f>
        <v>73.7112451235768</v>
      </c>
      <c r="I1565" s="49" t="n">
        <f aca="false">IF('Model Inputs &amp; Assumptions'!$H$31="Fixed",'Model Inputs &amp; Assumptions'!$I$31*'Model Inputs &amp; Assumptions'!$K$31,IF('Model Inputs &amp; Assumptions'!$H$31="CPM",'Model Inputs &amp; Assumptions'!$I$31*'Model Inputs &amp; Assumptions'!$K$31*C1565/1000,IF('Model Inputs &amp; Assumptions'!$H$31="CPC",'Model Inputs &amp; Assumptions'!$I$31*'Model Inputs &amp; Assumptions'!$K$31*G1565,0)))</f>
        <v>5490.715164</v>
      </c>
      <c r="J1565" s="50" t="n">
        <f aca="false">H1565*INDEX('Model Inputs &amp; Assumptions'!$D$40:$D$42,MATCH('Model Inputs &amp; Assumptions'!$L$31,'Model Inputs &amp; Assumptions'!$A$40:$A$42,0))*INDEX('Model Inputs &amp; Assumptions'!$H$40:$H$42,MATCH('Model Inputs &amp; Assumptions'!$L$31,'Model Inputs &amp; Assumptions'!$A$40:$A$42,0))</f>
        <v>530720.964889753</v>
      </c>
      <c r="K1565" s="49" t="n">
        <f aca="false">H1565*INDEX('Model Inputs &amp; Assumptions'!$G$40:$G$42,MATCH('Model Inputs &amp; Assumptions'!$L$31,'Model Inputs &amp; Assumptions'!$A$40:$A$42,0))*INDEX('Model Inputs &amp; Assumptions'!$H$40:$H$42,MATCH('Model Inputs &amp; Assumptions'!$L$31,'Model Inputs &amp; Assumptions'!$A$40:$A$42,0))</f>
        <v>11702.397275819</v>
      </c>
      <c r="L1565" s="51" t="n">
        <f aca="false">IFERROR(K1565/I1565,0)</f>
        <v>2.13130656504385</v>
      </c>
      <c r="M1565" s="49" t="n">
        <f aca="false">IFERROR(I1565/H1565,0)</f>
        <v>74.4895185910213</v>
      </c>
      <c r="N1565" s="52" t="str">
        <f aca="false">'Model Inputs &amp; Assumptions'!$L$31</f>
        <v>PRD-USIQ</v>
      </c>
      <c r="P1565" s="53" t="n">
        <v>0.169152</v>
      </c>
      <c r="Q1565" s="53" t="n">
        <v>-0.682126</v>
      </c>
      <c r="R1565" s="53" t="n">
        <v>-1.089396</v>
      </c>
      <c r="S1565" s="53" t="n">
        <v>1.41797</v>
      </c>
    </row>
    <row r="1566" customFormat="false" ht="15" hidden="false" customHeight="false" outlineLevel="0" collapsed="false">
      <c r="A1566" s="43" t="n">
        <v>63</v>
      </c>
      <c r="B1566" s="44" t="str">
        <f aca="false">'Model Inputs &amp; Assumptions'!$B$31</f>
        <v>YouTube — Finfluencer Pre-roll</v>
      </c>
      <c r="C1566" s="45" t="n">
        <f aca="false">ROUND(MAX(0,'Model Inputs &amp; Assumptions'!$S$31*EXP('Model Inputs &amp; Assumptions'!$T$31*P1566-'Model Inputs &amp; Assumptions'!$T$31^2/2)),0)</f>
        <v>712443</v>
      </c>
      <c r="D1566" s="46" t="n">
        <f aca="false">MIN(1,'Model Inputs &amp; Assumptions'!$U$31*EXP('Model Inputs &amp; Assumptions'!$V$31*Q1566-'Model Inputs &amp; Assumptions'!$V$31^2/2))</f>
        <v>0.49448191440713</v>
      </c>
      <c r="E1566" s="45" t="n">
        <f aca="false">ROUND(C1566*D1566,0)</f>
        <v>352290</v>
      </c>
      <c r="F1566" s="47" t="n">
        <f aca="false">MIN(1,'Model Inputs &amp; Assumptions'!$W$31*EXP('Model Inputs &amp; Assumptions'!$X$31*R1566-'Model Inputs &amp; Assumptions'!$X$31^2/2))</f>
        <v>0.00436568676953812</v>
      </c>
      <c r="G1566" s="45" t="n">
        <f aca="false">ROUND(C1566*F1566,0)</f>
        <v>3110</v>
      </c>
      <c r="H1566" s="48" t="n">
        <f aca="false">MAX(0,(C1566*'Model Inputs &amp; Assumptions'!$N$31+E1566*'Model Inputs &amp; Assumptions'!$O$31+G1566*'Model Inputs &amp; Assumptions'!$P$31)*EXP('Model Inputs &amp; Assumptions'!$Q$31*S1566-'Model Inputs &amp; Assumptions'!$Q$31^2/2))</f>
        <v>70.1560703580514</v>
      </c>
      <c r="I1566" s="49" t="n">
        <f aca="false">IF('Model Inputs &amp; Assumptions'!$H$31="Fixed",'Model Inputs &amp; Assumptions'!$I$31*'Model Inputs &amp; Assumptions'!$K$31,IF('Model Inputs &amp; Assumptions'!$H$31="CPM",'Model Inputs &amp; Assumptions'!$I$31*'Model Inputs &amp; Assumptions'!$K$31*C1566/1000,IF('Model Inputs &amp; Assumptions'!$H$31="CPC",'Model Inputs &amp; Assumptions'!$I$31*'Model Inputs &amp; Assumptions'!$K$31*G1566,0)))</f>
        <v>8083.378278</v>
      </c>
      <c r="J1566" s="50" t="n">
        <f aca="false">H1566*INDEX('Model Inputs &amp; Assumptions'!$D$40:$D$42,MATCH('Model Inputs &amp; Assumptions'!$L$31,'Model Inputs &amp; Assumptions'!$A$40:$A$42,0))*INDEX('Model Inputs &amp; Assumptions'!$H$40:$H$42,MATCH('Model Inputs &amp; Assumptions'!$L$31,'Model Inputs &amp; Assumptions'!$A$40:$A$42,0))</f>
        <v>505123.70657797</v>
      </c>
      <c r="K1566" s="49" t="n">
        <f aca="false">H1566*INDEX('Model Inputs &amp; Assumptions'!$G$40:$G$42,MATCH('Model Inputs &amp; Assumptions'!$L$31,'Model Inputs &amp; Assumptions'!$A$40:$A$42,0))*INDEX('Model Inputs &amp; Assumptions'!$H$40:$H$42,MATCH('Model Inputs &amp; Assumptions'!$L$31,'Model Inputs &amp; Assumptions'!$A$40:$A$42,0))</f>
        <v>11137.9777300442</v>
      </c>
      <c r="L1566" s="51" t="n">
        <f aca="false">IFERROR(K1566/I1566,0)</f>
        <v>1.37788649089425</v>
      </c>
      <c r="M1566" s="49" t="n">
        <f aca="false">IFERROR(I1566/H1566,0)</f>
        <v>115.21994086535</v>
      </c>
      <c r="N1566" s="52" t="str">
        <f aca="false">'Model Inputs &amp; Assumptions'!$L$31</f>
        <v>PRD-USIQ</v>
      </c>
      <c r="P1566" s="53" t="n">
        <v>1.550405</v>
      </c>
      <c r="Q1566" s="53" t="n">
        <v>-1.191514</v>
      </c>
      <c r="R1566" s="53" t="n">
        <v>-0.44526</v>
      </c>
      <c r="S1566" s="53" t="n">
        <v>-0.009398</v>
      </c>
    </row>
    <row r="1567" customFormat="false" ht="15" hidden="false" customHeight="false" outlineLevel="0" collapsed="false">
      <c r="A1567" s="43" t="n">
        <v>64</v>
      </c>
      <c r="B1567" s="44" t="str">
        <f aca="false">'Model Inputs &amp; Assumptions'!$B$31</f>
        <v>YouTube — Finfluencer Pre-roll</v>
      </c>
      <c r="C1567" s="45" t="n">
        <f aca="false">ROUND(MAX(0,'Model Inputs &amp; Assumptions'!$S$31*EXP('Model Inputs &amp; Assumptions'!$T$31*P1567-'Model Inputs &amp; Assumptions'!$T$31^2/2)),0)</f>
        <v>591011</v>
      </c>
      <c r="D1567" s="46" t="n">
        <f aca="false">MIN(1,'Model Inputs &amp; Assumptions'!$U$31*EXP('Model Inputs &amp; Assumptions'!$V$31*Q1567-'Model Inputs &amp; Assumptions'!$V$31^2/2))</f>
        <v>0.560463173214099</v>
      </c>
      <c r="E1567" s="45" t="n">
        <f aca="false">ROUND(C1567*D1567,0)</f>
        <v>331240</v>
      </c>
      <c r="F1567" s="47" t="n">
        <f aca="false">MIN(1,'Model Inputs &amp; Assumptions'!$W$31*EXP('Model Inputs &amp; Assumptions'!$X$31*R1567-'Model Inputs &amp; Assumptions'!$X$31^2/2))</f>
        <v>0.00651184582198009</v>
      </c>
      <c r="G1567" s="45" t="n">
        <f aca="false">ROUND(C1567*F1567,0)</f>
        <v>3849</v>
      </c>
      <c r="H1567" s="48" t="n">
        <f aca="false">MAX(0,(C1567*'Model Inputs &amp; Assumptions'!$N$31+E1567*'Model Inputs &amp; Assumptions'!$O$31+G1567*'Model Inputs &amp; Assumptions'!$P$31)*EXP('Model Inputs &amp; Assumptions'!$Q$31*S1567-'Model Inputs &amp; Assumptions'!$Q$31^2/2))</f>
        <v>71.9978685102256</v>
      </c>
      <c r="I1567" s="49" t="n">
        <f aca="false">IF('Model Inputs &amp; Assumptions'!$H$31="Fixed",'Model Inputs &amp; Assumptions'!$I$31*'Model Inputs &amp; Assumptions'!$K$31,IF('Model Inputs &amp; Assumptions'!$H$31="CPM",'Model Inputs &amp; Assumptions'!$I$31*'Model Inputs &amp; Assumptions'!$K$31*C1567/1000,IF('Model Inputs &amp; Assumptions'!$H$31="CPC",'Model Inputs &amp; Assumptions'!$I$31*'Model Inputs &amp; Assumptions'!$K$31*G1567,0)))</f>
        <v>6705.610806</v>
      </c>
      <c r="J1567" s="50" t="n">
        <f aca="false">H1567*INDEX('Model Inputs &amp; Assumptions'!$D$40:$D$42,MATCH('Model Inputs &amp; Assumptions'!$L$31,'Model Inputs &amp; Assumptions'!$A$40:$A$42,0))*INDEX('Model Inputs &amp; Assumptions'!$H$40:$H$42,MATCH('Model Inputs &amp; Assumptions'!$L$31,'Model Inputs &amp; Assumptions'!$A$40:$A$42,0))</f>
        <v>518384.653273625</v>
      </c>
      <c r="K1567" s="49" t="n">
        <f aca="false">H1567*INDEX('Model Inputs &amp; Assumptions'!$G$40:$G$42,MATCH('Model Inputs &amp; Assumptions'!$L$31,'Model Inputs &amp; Assumptions'!$A$40:$A$42,0))*INDEX('Model Inputs &amp; Assumptions'!$H$40:$H$42,MATCH('Model Inputs &amp; Assumptions'!$L$31,'Model Inputs &amp; Assumptions'!$A$40:$A$42,0))</f>
        <v>11430.3816046834</v>
      </c>
      <c r="L1567" s="51" t="n">
        <f aca="false">IFERROR(K1567/I1567,0)</f>
        <v>1.70459961595979</v>
      </c>
      <c r="M1567" s="49" t="n">
        <f aca="false">IFERROR(I1567/H1567,0)</f>
        <v>93.1362406242293</v>
      </c>
      <c r="N1567" s="52" t="str">
        <f aca="false">'Model Inputs &amp; Assumptions'!$L$31</f>
        <v>PRD-USIQ</v>
      </c>
      <c r="P1567" s="53" t="n">
        <v>0.88303</v>
      </c>
      <c r="Q1567" s="53" t="n">
        <v>-0.29685</v>
      </c>
      <c r="R1567" s="53" t="n">
        <v>1.220771</v>
      </c>
      <c r="S1567" s="53" t="n">
        <v>-0.27347</v>
      </c>
    </row>
    <row r="1568" customFormat="false" ht="15" hidden="false" customHeight="false" outlineLevel="0" collapsed="false">
      <c r="A1568" s="43" t="n">
        <v>65</v>
      </c>
      <c r="B1568" s="44" t="str">
        <f aca="false">'Model Inputs &amp; Assumptions'!$B$31</f>
        <v>YouTube — Finfluencer Pre-roll</v>
      </c>
      <c r="C1568" s="45" t="n">
        <f aca="false">ROUND(MAX(0,'Model Inputs &amp; Assumptions'!$S$31*EXP('Model Inputs &amp; Assumptions'!$T$31*P1568-'Model Inputs &amp; Assumptions'!$T$31^2/2)),0)</f>
        <v>196662</v>
      </c>
      <c r="D1568" s="46" t="n">
        <f aca="false">MIN(1,'Model Inputs &amp; Assumptions'!$U$31*EXP('Model Inputs &amp; Assumptions'!$V$31*Q1568-'Model Inputs &amp; Assumptions'!$V$31^2/2))</f>
        <v>0.582713625288152</v>
      </c>
      <c r="E1568" s="45" t="n">
        <f aca="false">ROUND(C1568*D1568,0)</f>
        <v>114598</v>
      </c>
      <c r="F1568" s="47" t="n">
        <f aca="false">MIN(1,'Model Inputs &amp; Assumptions'!$W$31*EXP('Model Inputs &amp; Assumptions'!$X$31*R1568-'Model Inputs &amp; Assumptions'!$X$31^2/2))</f>
        <v>0.00478300319378207</v>
      </c>
      <c r="G1568" s="45" t="n">
        <f aca="false">ROUND(C1568*F1568,0)</f>
        <v>941</v>
      </c>
      <c r="H1568" s="48" t="n">
        <f aca="false">MAX(0,(C1568*'Model Inputs &amp; Assumptions'!$N$31+E1568*'Model Inputs &amp; Assumptions'!$O$31+G1568*'Model Inputs &amp; Assumptions'!$P$31)*EXP('Model Inputs &amp; Assumptions'!$Q$31*S1568-'Model Inputs &amp; Assumptions'!$Q$31^2/2))</f>
        <v>36.6159123120528</v>
      </c>
      <c r="I1568" s="49" t="n">
        <f aca="false">IF('Model Inputs &amp; Assumptions'!$H$31="Fixed",'Model Inputs &amp; Assumptions'!$I$31*'Model Inputs &amp; Assumptions'!$K$31,IF('Model Inputs &amp; Assumptions'!$H$31="CPM",'Model Inputs &amp; Assumptions'!$I$31*'Model Inputs &amp; Assumptions'!$K$31*C1568/1000,IF('Model Inputs &amp; Assumptions'!$H$31="CPC",'Model Inputs &amp; Assumptions'!$I$31*'Model Inputs &amp; Assumptions'!$K$31*G1568,0)))</f>
        <v>2231.327052</v>
      </c>
      <c r="J1568" s="50" t="n">
        <f aca="false">H1568*INDEX('Model Inputs &amp; Assumptions'!$D$40:$D$42,MATCH('Model Inputs &amp; Assumptions'!$L$31,'Model Inputs &amp; Assumptions'!$A$40:$A$42,0))*INDEX('Model Inputs &amp; Assumptions'!$H$40:$H$42,MATCH('Model Inputs &amp; Assumptions'!$L$31,'Model Inputs &amp; Assumptions'!$A$40:$A$42,0))</f>
        <v>263634.56864678</v>
      </c>
      <c r="K1568" s="49" t="n">
        <f aca="false">H1568*INDEX('Model Inputs &amp; Assumptions'!$G$40:$G$42,MATCH('Model Inputs &amp; Assumptions'!$L$31,'Model Inputs &amp; Assumptions'!$A$40:$A$42,0))*INDEX('Model Inputs &amp; Assumptions'!$H$40:$H$42,MATCH('Model Inputs &amp; Assumptions'!$L$31,'Model Inputs &amp; Assumptions'!$A$40:$A$42,0))</f>
        <v>5813.1422386615</v>
      </c>
      <c r="L1568" s="51" t="n">
        <f aca="false">IFERROR(K1568/I1568,0)</f>
        <v>2.60523988782865</v>
      </c>
      <c r="M1568" s="49" t="n">
        <f aca="false">IFERROR(I1568/H1568,0)</f>
        <v>60.9387261195051</v>
      </c>
      <c r="N1568" s="52" t="str">
        <f aca="false">'Model Inputs &amp; Assumptions'!$L$31</f>
        <v>PRD-USIQ</v>
      </c>
      <c r="P1568" s="53" t="n">
        <v>-3.046789</v>
      </c>
      <c r="Q1568" s="53" t="n">
        <v>-0.018762</v>
      </c>
      <c r="R1568" s="53" t="n">
        <v>-0.064872</v>
      </c>
      <c r="S1568" s="53" t="n">
        <v>1.468618</v>
      </c>
    </row>
    <row r="1569" customFormat="false" ht="15" hidden="false" customHeight="false" outlineLevel="0" collapsed="false">
      <c r="A1569" s="43" t="n">
        <v>66</v>
      </c>
      <c r="B1569" s="44" t="str">
        <f aca="false">'Model Inputs &amp; Assumptions'!$B$31</f>
        <v>YouTube — Finfluencer Pre-roll</v>
      </c>
      <c r="C1569" s="45" t="n">
        <f aca="false">ROUND(MAX(0,'Model Inputs &amp; Assumptions'!$S$31*EXP('Model Inputs &amp; Assumptions'!$T$31*P1569-'Model Inputs &amp; Assumptions'!$T$31^2/2)),0)</f>
        <v>339709</v>
      </c>
      <c r="D1569" s="46" t="n">
        <f aca="false">MIN(1,'Model Inputs &amp; Assumptions'!$U$31*EXP('Model Inputs &amp; Assumptions'!$V$31*Q1569-'Model Inputs &amp; Assumptions'!$V$31^2/2))</f>
        <v>0.577367406499961</v>
      </c>
      <c r="E1569" s="45" t="n">
        <f aca="false">ROUND(C1569*D1569,0)</f>
        <v>196137</v>
      </c>
      <c r="F1569" s="47" t="n">
        <f aca="false">MIN(1,'Model Inputs &amp; Assumptions'!$W$31*EXP('Model Inputs &amp; Assumptions'!$X$31*R1569-'Model Inputs &amp; Assumptions'!$X$31^2/2))</f>
        <v>0.00390934465461453</v>
      </c>
      <c r="G1569" s="45" t="n">
        <f aca="false">ROUND(C1569*F1569,0)</f>
        <v>1328</v>
      </c>
      <c r="H1569" s="48" t="n">
        <f aca="false">MAX(0,(C1569*'Model Inputs &amp; Assumptions'!$N$31+E1569*'Model Inputs &amp; Assumptions'!$O$31+G1569*'Model Inputs &amp; Assumptions'!$P$31)*EXP('Model Inputs &amp; Assumptions'!$Q$31*S1569-'Model Inputs &amp; Assumptions'!$Q$31^2/2))</f>
        <v>27.4856089185915</v>
      </c>
      <c r="I1569" s="49" t="n">
        <f aca="false">IF('Model Inputs &amp; Assumptions'!$H$31="Fixed",'Model Inputs &amp; Assumptions'!$I$31*'Model Inputs &amp; Assumptions'!$K$31,IF('Model Inputs &amp; Assumptions'!$H$31="CPM",'Model Inputs &amp; Assumptions'!$I$31*'Model Inputs &amp; Assumptions'!$K$31*C1569/1000,IF('Model Inputs &amp; Assumptions'!$H$31="CPC",'Model Inputs &amp; Assumptions'!$I$31*'Model Inputs &amp; Assumptions'!$K$31*G1569,0)))</f>
        <v>3854.338314</v>
      </c>
      <c r="J1569" s="50" t="n">
        <f aca="false">H1569*INDEX('Model Inputs &amp; Assumptions'!$D$40:$D$42,MATCH('Model Inputs &amp; Assumptions'!$L$31,'Model Inputs &amp; Assumptions'!$A$40:$A$42,0))*INDEX('Model Inputs &amp; Assumptions'!$H$40:$H$42,MATCH('Model Inputs &amp; Assumptions'!$L$31,'Model Inputs &amp; Assumptions'!$A$40:$A$42,0))</f>
        <v>197896.384213859</v>
      </c>
      <c r="K1569" s="49" t="n">
        <f aca="false">H1569*INDEX('Model Inputs &amp; Assumptions'!$G$40:$G$42,MATCH('Model Inputs &amp; Assumptions'!$L$31,'Model Inputs &amp; Assumptions'!$A$40:$A$42,0))*INDEX('Model Inputs &amp; Assumptions'!$H$40:$H$42,MATCH('Model Inputs &amp; Assumptions'!$L$31,'Model Inputs &amp; Assumptions'!$A$40:$A$42,0))</f>
        <v>4363.61527191559</v>
      </c>
      <c r="L1569" s="51" t="n">
        <f aca="false">IFERROR(K1569/I1569,0)</f>
        <v>1.13213083969971</v>
      </c>
      <c r="M1569" s="49" t="n">
        <f aca="false">IFERROR(I1569/H1569,0)</f>
        <v>140.23114151904</v>
      </c>
      <c r="N1569" s="52" t="str">
        <f aca="false">'Model Inputs &amp; Assumptions'!$L$31</f>
        <v>PRD-USIQ</v>
      </c>
      <c r="P1569" s="53" t="n">
        <v>-1.094632</v>
      </c>
      <c r="Q1569" s="53" t="n">
        <v>-0.084598</v>
      </c>
      <c r="R1569" s="53" t="n">
        <v>-0.905284</v>
      </c>
      <c r="S1569" s="53" t="n">
        <v>-0.564974</v>
      </c>
    </row>
    <row r="1570" customFormat="false" ht="15" hidden="false" customHeight="false" outlineLevel="0" collapsed="false">
      <c r="A1570" s="43" t="n">
        <v>67</v>
      </c>
      <c r="B1570" s="44" t="str">
        <f aca="false">'Model Inputs &amp; Assumptions'!$B$31</f>
        <v>YouTube — Finfluencer Pre-roll</v>
      </c>
      <c r="C1570" s="45" t="n">
        <f aca="false">ROUND(MAX(0,'Model Inputs &amp; Assumptions'!$S$31*EXP('Model Inputs &amp; Assumptions'!$T$31*P1570-'Model Inputs &amp; Assumptions'!$T$31^2/2)),0)</f>
        <v>373658</v>
      </c>
      <c r="D1570" s="46" t="n">
        <f aca="false">MIN(1,'Model Inputs &amp; Assumptions'!$U$31*EXP('Model Inputs &amp; Assumptions'!$V$31*Q1570-'Model Inputs &amp; Assumptions'!$V$31^2/2))</f>
        <v>0.587133826053788</v>
      </c>
      <c r="E1570" s="45" t="n">
        <f aca="false">ROUND(C1570*D1570,0)</f>
        <v>219387</v>
      </c>
      <c r="F1570" s="47" t="n">
        <f aca="false">MIN(1,'Model Inputs &amp; Assumptions'!$W$31*EXP('Model Inputs &amp; Assumptions'!$X$31*R1570-'Model Inputs &amp; Assumptions'!$X$31^2/2))</f>
        <v>0.00352479906722581</v>
      </c>
      <c r="G1570" s="45" t="n">
        <f aca="false">ROUND(C1570*F1570,0)</f>
        <v>1317</v>
      </c>
      <c r="H1570" s="48" t="n">
        <f aca="false">MAX(0,(C1570*'Model Inputs &amp; Assumptions'!$N$31+E1570*'Model Inputs &amp; Assumptions'!$O$31+G1570*'Model Inputs &amp; Assumptions'!$P$31)*EXP('Model Inputs &amp; Assumptions'!$Q$31*S1570-'Model Inputs &amp; Assumptions'!$Q$31^2/2))</f>
        <v>26.0343403541817</v>
      </c>
      <c r="I1570" s="49" t="n">
        <f aca="false">IF('Model Inputs &amp; Assumptions'!$H$31="Fixed",'Model Inputs &amp; Assumptions'!$I$31*'Model Inputs &amp; Assumptions'!$K$31,IF('Model Inputs &amp; Assumptions'!$H$31="CPM",'Model Inputs &amp; Assumptions'!$I$31*'Model Inputs &amp; Assumptions'!$K$31*C1570/1000,IF('Model Inputs &amp; Assumptions'!$H$31="CPC",'Model Inputs &amp; Assumptions'!$I$31*'Model Inputs &amp; Assumptions'!$K$31*G1570,0)))</f>
        <v>4239.523668</v>
      </c>
      <c r="J1570" s="50" t="n">
        <f aca="false">H1570*INDEX('Model Inputs &amp; Assumptions'!$D$40:$D$42,MATCH('Model Inputs &amp; Assumptions'!$L$31,'Model Inputs &amp; Assumptions'!$A$40:$A$42,0))*INDEX('Model Inputs &amp; Assumptions'!$H$40:$H$42,MATCH('Model Inputs &amp; Assumptions'!$L$31,'Model Inputs &amp; Assumptions'!$A$40:$A$42,0))</f>
        <v>187447.250550108</v>
      </c>
      <c r="K1570" s="49" t="n">
        <f aca="false">H1570*INDEX('Model Inputs &amp; Assumptions'!$G$40:$G$42,MATCH('Model Inputs &amp; Assumptions'!$L$31,'Model Inputs &amp; Assumptions'!$A$40:$A$42,0))*INDEX('Model Inputs &amp; Assumptions'!$H$40:$H$42,MATCH('Model Inputs &amp; Assumptions'!$L$31,'Model Inputs &amp; Assumptions'!$A$40:$A$42,0))</f>
        <v>4133.21187462988</v>
      </c>
      <c r="L1570" s="51" t="n">
        <f aca="false">IFERROR(K1570/I1570,0)</f>
        <v>0.974923646688763</v>
      </c>
      <c r="M1570" s="49" t="n">
        <f aca="false">IFERROR(I1570/H1570,0)</f>
        <v>162.843521684199</v>
      </c>
      <c r="N1570" s="52" t="str">
        <f aca="false">'Model Inputs &amp; Assumptions'!$L$31</f>
        <v>PRD-USIQ</v>
      </c>
      <c r="P1570" s="53" t="n">
        <v>-0.75445</v>
      </c>
      <c r="Q1570" s="53" t="n">
        <v>0.035216</v>
      </c>
      <c r="R1570" s="53" t="n">
        <v>-1.336727</v>
      </c>
      <c r="S1570" s="53" t="n">
        <v>-0.852819</v>
      </c>
    </row>
    <row r="1571" customFormat="false" ht="15" hidden="false" customHeight="false" outlineLevel="0" collapsed="false">
      <c r="A1571" s="43" t="n">
        <v>68</v>
      </c>
      <c r="B1571" s="44" t="str">
        <f aca="false">'Model Inputs &amp; Assumptions'!$B$31</f>
        <v>YouTube — Finfluencer Pre-roll</v>
      </c>
      <c r="C1571" s="45" t="n">
        <f aca="false">ROUND(MAX(0,'Model Inputs &amp; Assumptions'!$S$31*EXP('Model Inputs &amp; Assumptions'!$T$31*P1571-'Model Inputs &amp; Assumptions'!$T$31^2/2)),0)</f>
        <v>480958</v>
      </c>
      <c r="D1571" s="46" t="n">
        <f aca="false">MIN(1,'Model Inputs &amp; Assumptions'!$U$31*EXP('Model Inputs &amp; Assumptions'!$V$31*Q1571-'Model Inputs &amp; Assumptions'!$V$31^2/2))</f>
        <v>0.785345522426696</v>
      </c>
      <c r="E1571" s="45" t="n">
        <f aca="false">ROUND(C1571*D1571,0)</f>
        <v>377718</v>
      </c>
      <c r="F1571" s="47" t="n">
        <f aca="false">MIN(1,'Model Inputs &amp; Assumptions'!$W$31*EXP('Model Inputs &amp; Assumptions'!$X$31*R1571-'Model Inputs &amp; Assumptions'!$X$31^2/2))</f>
        <v>0.00413658592752176</v>
      </c>
      <c r="G1571" s="45" t="n">
        <f aca="false">ROUND(C1571*F1571,0)</f>
        <v>1990</v>
      </c>
      <c r="H1571" s="48" t="n">
        <f aca="false">MAX(0,(C1571*'Model Inputs &amp; Assumptions'!$N$31+E1571*'Model Inputs &amp; Assumptions'!$O$31+G1571*'Model Inputs &amp; Assumptions'!$P$31)*EXP('Model Inputs &amp; Assumptions'!$Q$31*S1571-'Model Inputs &amp; Assumptions'!$Q$31^2/2))</f>
        <v>51.5222591608789</v>
      </c>
      <c r="I1571" s="49" t="n">
        <f aca="false">IF('Model Inputs &amp; Assumptions'!$H$31="Fixed",'Model Inputs &amp; Assumptions'!$I$31*'Model Inputs &amp; Assumptions'!$K$31,IF('Model Inputs &amp; Assumptions'!$H$31="CPM",'Model Inputs &amp; Assumptions'!$I$31*'Model Inputs &amp; Assumptions'!$K$31*C1571/1000,IF('Model Inputs &amp; Assumptions'!$H$31="CPC",'Model Inputs &amp; Assumptions'!$I$31*'Model Inputs &amp; Assumptions'!$K$31*G1571,0)))</f>
        <v>5456.949468</v>
      </c>
      <c r="J1571" s="50" t="n">
        <f aca="false">H1571*INDEX('Model Inputs &amp; Assumptions'!$D$40:$D$42,MATCH('Model Inputs &amp; Assumptions'!$L$31,'Model Inputs &amp; Assumptions'!$A$40:$A$42,0))*INDEX('Model Inputs &amp; Assumptions'!$H$40:$H$42,MATCH('Model Inputs &amp; Assumptions'!$L$31,'Model Inputs &amp; Assumptions'!$A$40:$A$42,0))</f>
        <v>370960.265958328</v>
      </c>
      <c r="K1571" s="49" t="n">
        <f aca="false">H1571*INDEX('Model Inputs &amp; Assumptions'!$G$40:$G$42,MATCH('Model Inputs &amp; Assumptions'!$L$31,'Model Inputs &amp; Assumptions'!$A$40:$A$42,0))*INDEX('Model Inputs &amp; Assumptions'!$H$40:$H$42,MATCH('Model Inputs &amp; Assumptions'!$L$31,'Model Inputs &amp; Assumptions'!$A$40:$A$42,0))</f>
        <v>8179.67386438114</v>
      </c>
      <c r="L1571" s="51" t="n">
        <f aca="false">IFERROR(K1571/I1571,0)</f>
        <v>1.49894623586812</v>
      </c>
      <c r="M1571" s="49" t="n">
        <f aca="false">IFERROR(I1571/H1571,0)</f>
        <v>105.914405867969</v>
      </c>
      <c r="N1571" s="52" t="str">
        <f aca="false">'Model Inputs &amp; Assumptions'!$L$31</f>
        <v>PRD-USIQ</v>
      </c>
      <c r="P1571" s="53" t="n">
        <v>0.147118</v>
      </c>
      <c r="Q1571" s="53" t="n">
        <v>2.112866</v>
      </c>
      <c r="R1571" s="53" t="n">
        <v>-0.669863</v>
      </c>
      <c r="S1571" s="53" t="n">
        <v>-0.26344</v>
      </c>
    </row>
    <row r="1572" customFormat="false" ht="15" hidden="false" customHeight="false" outlineLevel="0" collapsed="false">
      <c r="A1572" s="43" t="n">
        <v>69</v>
      </c>
      <c r="B1572" s="44" t="str">
        <f aca="false">'Model Inputs &amp; Assumptions'!$B$31</f>
        <v>YouTube — Finfluencer Pre-roll</v>
      </c>
      <c r="C1572" s="45" t="n">
        <f aca="false">ROUND(MAX(0,'Model Inputs &amp; Assumptions'!$S$31*EXP('Model Inputs &amp; Assumptions'!$T$31*P1572-'Model Inputs &amp; Assumptions'!$T$31^2/2)),0)</f>
        <v>351414</v>
      </c>
      <c r="D1572" s="46" t="n">
        <f aca="false">MIN(1,'Model Inputs &amp; Assumptions'!$U$31*EXP('Model Inputs &amp; Assumptions'!$V$31*Q1572-'Model Inputs &amp; Assumptions'!$V$31^2/2))</f>
        <v>0.558764086808168</v>
      </c>
      <c r="E1572" s="45" t="n">
        <f aca="false">ROUND(C1572*D1572,0)</f>
        <v>196358</v>
      </c>
      <c r="F1572" s="47" t="n">
        <f aca="false">MIN(1,'Model Inputs &amp; Assumptions'!$W$31*EXP('Model Inputs &amp; Assumptions'!$X$31*R1572-'Model Inputs &amp; Assumptions'!$X$31^2/2))</f>
        <v>0.00489218107881934</v>
      </c>
      <c r="G1572" s="45" t="n">
        <f aca="false">ROUND(C1572*F1572,0)</f>
        <v>1719</v>
      </c>
      <c r="H1572" s="48" t="n">
        <f aca="false">MAX(0,(C1572*'Model Inputs &amp; Assumptions'!$N$31+E1572*'Model Inputs &amp; Assumptions'!$O$31+G1572*'Model Inputs &amp; Assumptions'!$P$31)*EXP('Model Inputs &amp; Assumptions'!$Q$31*S1572-'Model Inputs &amp; Assumptions'!$Q$31^2/2))</f>
        <v>57.6476661311004</v>
      </c>
      <c r="I1572" s="49" t="n">
        <f aca="false">IF('Model Inputs &amp; Assumptions'!$H$31="Fixed",'Model Inputs &amp; Assumptions'!$I$31*'Model Inputs &amp; Assumptions'!$K$31,IF('Model Inputs &amp; Assumptions'!$H$31="CPM",'Model Inputs &amp; Assumptions'!$I$31*'Model Inputs &amp; Assumptions'!$K$31*C1572/1000,IF('Model Inputs &amp; Assumptions'!$H$31="CPC",'Model Inputs &amp; Assumptions'!$I$31*'Model Inputs &amp; Assumptions'!$K$31*G1572,0)))</f>
        <v>3987.143244</v>
      </c>
      <c r="J1572" s="50" t="n">
        <f aca="false">H1572*INDEX('Model Inputs &amp; Assumptions'!$D$40:$D$42,MATCH('Model Inputs &amp; Assumptions'!$L$31,'Model Inputs &amp; Assumptions'!$A$40:$A$42,0))*INDEX('Model Inputs &amp; Assumptions'!$H$40:$H$42,MATCH('Model Inputs &amp; Assumptions'!$L$31,'Model Inputs &amp; Assumptions'!$A$40:$A$42,0))</f>
        <v>415063.196143923</v>
      </c>
      <c r="K1572" s="49" t="n">
        <f aca="false">H1572*INDEX('Model Inputs &amp; Assumptions'!$G$40:$G$42,MATCH('Model Inputs &amp; Assumptions'!$L$31,'Model Inputs &amp; Assumptions'!$A$40:$A$42,0))*INDEX('Model Inputs &amp; Assumptions'!$H$40:$H$42,MATCH('Model Inputs &amp; Assumptions'!$L$31,'Model Inputs &amp; Assumptions'!$A$40:$A$42,0))</f>
        <v>9152.1434749735</v>
      </c>
      <c r="L1572" s="51" t="n">
        <f aca="false">IFERROR(K1572/I1572,0)</f>
        <v>2.29541376240896</v>
      </c>
      <c r="M1572" s="49" t="n">
        <f aca="false">IFERROR(I1572/H1572,0)</f>
        <v>69.1640011051371</v>
      </c>
      <c r="N1572" s="52" t="str">
        <f aca="false">'Model Inputs &amp; Assumptions'!$L$31</f>
        <v>PRD-USIQ</v>
      </c>
      <c r="P1572" s="53" t="n">
        <v>-0.973644</v>
      </c>
      <c r="Q1572" s="53" t="n">
        <v>-0.318537</v>
      </c>
      <c r="R1572" s="53" t="n">
        <v>0.029168</v>
      </c>
      <c r="S1572" s="53" t="n">
        <v>1.114456</v>
      </c>
    </row>
    <row r="1573" customFormat="false" ht="15" hidden="false" customHeight="false" outlineLevel="0" collapsed="false">
      <c r="A1573" s="43" t="n">
        <v>70</v>
      </c>
      <c r="B1573" s="44" t="str">
        <f aca="false">'Model Inputs &amp; Assumptions'!$B$31</f>
        <v>YouTube — Finfluencer Pre-roll</v>
      </c>
      <c r="C1573" s="45" t="n">
        <f aca="false">ROUND(MAX(0,'Model Inputs &amp; Assumptions'!$S$31*EXP('Model Inputs &amp; Assumptions'!$T$31*P1573-'Model Inputs &amp; Assumptions'!$T$31^2/2)),0)</f>
        <v>356046</v>
      </c>
      <c r="D1573" s="46" t="n">
        <f aca="false">MIN(1,'Model Inputs &amp; Assumptions'!$U$31*EXP('Model Inputs &amp; Assumptions'!$V$31*Q1573-'Model Inputs &amp; Assumptions'!$V$31^2/2))</f>
        <v>0.637303336006257</v>
      </c>
      <c r="E1573" s="45" t="n">
        <f aca="false">ROUND(C1573*D1573,0)</f>
        <v>226909</v>
      </c>
      <c r="F1573" s="47" t="n">
        <f aca="false">MIN(1,'Model Inputs &amp; Assumptions'!$W$31*EXP('Model Inputs &amp; Assumptions'!$X$31*R1573-'Model Inputs &amp; Assumptions'!$X$31^2/2))</f>
        <v>0.00488935577979167</v>
      </c>
      <c r="G1573" s="45" t="n">
        <f aca="false">ROUND(C1573*F1573,0)</f>
        <v>1741</v>
      </c>
      <c r="H1573" s="48" t="n">
        <f aca="false">MAX(0,(C1573*'Model Inputs &amp; Assumptions'!$N$31+E1573*'Model Inputs &amp; Assumptions'!$O$31+G1573*'Model Inputs &amp; Assumptions'!$P$31)*EXP('Model Inputs &amp; Assumptions'!$Q$31*S1573-'Model Inputs &amp; Assumptions'!$Q$31^2/2))</f>
        <v>53.6196949279493</v>
      </c>
      <c r="I1573" s="49" t="n">
        <f aca="false">IF('Model Inputs &amp; Assumptions'!$H$31="Fixed",'Model Inputs &amp; Assumptions'!$I$31*'Model Inputs &amp; Assumptions'!$K$31,IF('Model Inputs &amp; Assumptions'!$H$31="CPM",'Model Inputs &amp; Assumptions'!$I$31*'Model Inputs &amp; Assumptions'!$K$31*C1573/1000,IF('Model Inputs &amp; Assumptions'!$H$31="CPC",'Model Inputs &amp; Assumptions'!$I$31*'Model Inputs &amp; Assumptions'!$K$31*G1573,0)))</f>
        <v>4039.697916</v>
      </c>
      <c r="J1573" s="50" t="n">
        <f aca="false">H1573*INDEX('Model Inputs &amp; Assumptions'!$D$40:$D$42,MATCH('Model Inputs &amp; Assumptions'!$L$31,'Model Inputs &amp; Assumptions'!$A$40:$A$42,0))*INDEX('Model Inputs &amp; Assumptions'!$H$40:$H$42,MATCH('Model Inputs &amp; Assumptions'!$L$31,'Model Inputs &amp; Assumptions'!$A$40:$A$42,0))</f>
        <v>386061.803481235</v>
      </c>
      <c r="K1573" s="49" t="n">
        <f aca="false">H1573*INDEX('Model Inputs &amp; Assumptions'!$G$40:$G$42,MATCH('Model Inputs &amp; Assumptions'!$L$31,'Model Inputs &amp; Assumptions'!$A$40:$A$42,0))*INDEX('Model Inputs &amp; Assumptions'!$H$40:$H$42,MATCH('Model Inputs &amp; Assumptions'!$L$31,'Model Inputs &amp; Assumptions'!$A$40:$A$42,0))</f>
        <v>8512.66276676123</v>
      </c>
      <c r="L1573" s="51" t="n">
        <f aca="false">IFERROR(K1573/I1573,0)</f>
        <v>2.10725231038816</v>
      </c>
      <c r="M1573" s="49" t="n">
        <f aca="false">IFERROR(I1573/H1573,0)</f>
        <v>75.3398153687426</v>
      </c>
      <c r="N1573" s="52" t="str">
        <f aca="false">'Model Inputs &amp; Assumptions'!$L$31</f>
        <v>PRD-USIQ</v>
      </c>
      <c r="P1573" s="53" t="n">
        <v>-0.926883</v>
      </c>
      <c r="Q1573" s="53" t="n">
        <v>0.62088</v>
      </c>
      <c r="R1573" s="53" t="n">
        <v>0.026761</v>
      </c>
      <c r="S1573" s="53" t="n">
        <v>0.722602</v>
      </c>
    </row>
    <row r="1574" customFormat="false" ht="15" hidden="false" customHeight="false" outlineLevel="0" collapsed="false">
      <c r="A1574" s="43" t="n">
        <v>71</v>
      </c>
      <c r="B1574" s="44" t="str">
        <f aca="false">'Model Inputs &amp; Assumptions'!$B$31</f>
        <v>YouTube — Finfluencer Pre-roll</v>
      </c>
      <c r="C1574" s="45" t="n">
        <f aca="false">ROUND(MAX(0,'Model Inputs &amp; Assumptions'!$S$31*EXP('Model Inputs &amp; Assumptions'!$T$31*P1574-'Model Inputs &amp; Assumptions'!$T$31^2/2)),0)</f>
        <v>480532</v>
      </c>
      <c r="D1574" s="46" t="n">
        <f aca="false">MIN(1,'Model Inputs &amp; Assumptions'!$U$31*EXP('Model Inputs &amp; Assumptions'!$V$31*Q1574-'Model Inputs &amp; Assumptions'!$V$31^2/2))</f>
        <v>0.532573212768374</v>
      </c>
      <c r="E1574" s="45" t="n">
        <f aca="false">ROUND(C1574*D1574,0)</f>
        <v>255918</v>
      </c>
      <c r="F1574" s="47" t="n">
        <f aca="false">MIN(1,'Model Inputs &amp; Assumptions'!$W$31*EXP('Model Inputs &amp; Assumptions'!$X$31*R1574-'Model Inputs &amp; Assumptions'!$X$31^2/2))</f>
        <v>0.00576317139405088</v>
      </c>
      <c r="G1574" s="45" t="n">
        <f aca="false">ROUND(C1574*F1574,0)</f>
        <v>2769</v>
      </c>
      <c r="H1574" s="48" t="n">
        <f aca="false">MAX(0,(C1574*'Model Inputs &amp; Assumptions'!$N$31+E1574*'Model Inputs &amp; Assumptions'!$O$31+G1574*'Model Inputs &amp; Assumptions'!$P$31)*EXP('Model Inputs &amp; Assumptions'!$Q$31*S1574-'Model Inputs &amp; Assumptions'!$Q$31^2/2))</f>
        <v>43.501149142411</v>
      </c>
      <c r="I1574" s="49" t="n">
        <f aca="false">IF('Model Inputs &amp; Assumptions'!$H$31="Fixed",'Model Inputs &amp; Assumptions'!$I$31*'Model Inputs &amp; Assumptions'!$K$31,IF('Model Inputs &amp; Assumptions'!$H$31="CPM",'Model Inputs &amp; Assumptions'!$I$31*'Model Inputs &amp; Assumptions'!$K$31*C1574/1000,IF('Model Inputs &amp; Assumptions'!$H$31="CPC",'Model Inputs &amp; Assumptions'!$I$31*'Model Inputs &amp; Assumptions'!$K$31*G1574,0)))</f>
        <v>5452.116072</v>
      </c>
      <c r="J1574" s="50" t="n">
        <f aca="false">H1574*INDEX('Model Inputs &amp; Assumptions'!$D$40:$D$42,MATCH('Model Inputs &amp; Assumptions'!$L$31,'Model Inputs &amp; Assumptions'!$A$40:$A$42,0))*INDEX('Model Inputs &amp; Assumptions'!$H$40:$H$42,MATCH('Model Inputs &amp; Assumptions'!$L$31,'Model Inputs &amp; Assumptions'!$A$40:$A$42,0))</f>
        <v>313208.273825359</v>
      </c>
      <c r="K1574" s="49" t="n">
        <f aca="false">H1574*INDEX('Model Inputs &amp; Assumptions'!$G$40:$G$42,MATCH('Model Inputs &amp; Assumptions'!$L$31,'Model Inputs &amp; Assumptions'!$A$40:$A$42,0))*INDEX('Model Inputs &amp; Assumptions'!$H$40:$H$42,MATCH('Model Inputs &amp; Assumptions'!$L$31,'Model Inputs &amp; Assumptions'!$A$40:$A$42,0))</f>
        <v>6906.24243784917</v>
      </c>
      <c r="L1574" s="51" t="n">
        <f aca="false">IFERROR(K1574/I1574,0)</f>
        <v>1.26670862223881</v>
      </c>
      <c r="M1574" s="49" t="n">
        <f aca="false">IFERROR(I1574/H1574,0)</f>
        <v>125.332690733094</v>
      </c>
      <c r="N1574" s="52" t="str">
        <f aca="false">'Model Inputs &amp; Assumptions'!$L$31</f>
        <v>PRD-USIQ</v>
      </c>
      <c r="P1574" s="53" t="n">
        <v>0.143957</v>
      </c>
      <c r="Q1574" s="53" t="n">
        <v>-0.661444</v>
      </c>
      <c r="R1574" s="53" t="n">
        <v>0.711875</v>
      </c>
      <c r="S1574" s="53" t="n">
        <v>-0.837809</v>
      </c>
    </row>
    <row r="1575" customFormat="false" ht="15" hidden="false" customHeight="false" outlineLevel="0" collapsed="false">
      <c r="A1575" s="43" t="n">
        <v>72</v>
      </c>
      <c r="B1575" s="44" t="str">
        <f aca="false">'Model Inputs &amp; Assumptions'!$B$31</f>
        <v>YouTube — Finfluencer Pre-roll</v>
      </c>
      <c r="C1575" s="45" t="n">
        <f aca="false">ROUND(MAX(0,'Model Inputs &amp; Assumptions'!$S$31*EXP('Model Inputs &amp; Assumptions'!$T$31*P1575-'Model Inputs &amp; Assumptions'!$T$31^2/2)),0)</f>
        <v>647930</v>
      </c>
      <c r="D1575" s="46" t="n">
        <f aca="false">MIN(1,'Model Inputs &amp; Assumptions'!$U$31*EXP('Model Inputs &amp; Assumptions'!$V$31*Q1575-'Model Inputs &amp; Assumptions'!$V$31^2/2))</f>
        <v>0.551550805530745</v>
      </c>
      <c r="E1575" s="45" t="n">
        <f aca="false">ROUND(C1575*D1575,0)</f>
        <v>357366</v>
      </c>
      <c r="F1575" s="47" t="n">
        <f aca="false">MIN(1,'Model Inputs &amp; Assumptions'!$W$31*EXP('Model Inputs &amp; Assumptions'!$X$31*R1575-'Model Inputs &amp; Assumptions'!$X$31^2/2))</f>
        <v>0.00625155749831804</v>
      </c>
      <c r="G1575" s="45" t="n">
        <f aca="false">ROUND(C1575*F1575,0)</f>
        <v>4051</v>
      </c>
      <c r="H1575" s="48" t="n">
        <f aca="false">MAX(0,(C1575*'Model Inputs &amp; Assumptions'!$N$31+E1575*'Model Inputs &amp; Assumptions'!$O$31+G1575*'Model Inputs &amp; Assumptions'!$P$31)*EXP('Model Inputs &amp; Assumptions'!$Q$31*S1575-'Model Inputs &amp; Assumptions'!$Q$31^2/2))</f>
        <v>134.069435614168</v>
      </c>
      <c r="I1575" s="49" t="n">
        <f aca="false">IF('Model Inputs &amp; Assumptions'!$H$31="Fixed",'Model Inputs &amp; Assumptions'!$I$31*'Model Inputs &amp; Assumptions'!$K$31,IF('Model Inputs &amp; Assumptions'!$H$31="CPM",'Model Inputs &amp; Assumptions'!$I$31*'Model Inputs &amp; Assumptions'!$K$31*C1575/1000,IF('Model Inputs &amp; Assumptions'!$H$31="CPC",'Model Inputs &amp; Assumptions'!$I$31*'Model Inputs &amp; Assumptions'!$K$31*G1575,0)))</f>
        <v>7351.41378</v>
      </c>
      <c r="J1575" s="50" t="n">
        <f aca="false">H1575*INDEX('Model Inputs &amp; Assumptions'!$D$40:$D$42,MATCH('Model Inputs &amp; Assumptions'!$L$31,'Model Inputs &amp; Assumptions'!$A$40:$A$42,0))*INDEX('Model Inputs &amp; Assumptions'!$H$40:$H$42,MATCH('Model Inputs &amp; Assumptions'!$L$31,'Model Inputs &amp; Assumptions'!$A$40:$A$42,0))</f>
        <v>965299.936422013</v>
      </c>
      <c r="K1575" s="49" t="n">
        <f aca="false">H1575*INDEX('Model Inputs &amp; Assumptions'!$G$40:$G$42,MATCH('Model Inputs &amp; Assumptions'!$L$31,'Model Inputs &amp; Assumptions'!$A$40:$A$42,0))*INDEX('Model Inputs &amp; Assumptions'!$H$40:$H$42,MATCH('Model Inputs &amp; Assumptions'!$L$31,'Model Inputs &amp; Assumptions'!$A$40:$A$42,0))</f>
        <v>21284.8635981054</v>
      </c>
      <c r="L1575" s="51" t="n">
        <f aca="false">IFERROR(K1575/I1575,0)</f>
        <v>2.89534288710727</v>
      </c>
      <c r="M1575" s="49" t="n">
        <f aca="false">IFERROR(I1575/H1575,0)</f>
        <v>54.8328837689469</v>
      </c>
      <c r="N1575" s="52" t="str">
        <f aca="false">'Model Inputs &amp; Assumptions'!$L$31</f>
        <v>PRD-USIQ</v>
      </c>
      <c r="P1575" s="53" t="n">
        <v>1.211415</v>
      </c>
      <c r="Q1575" s="53" t="n">
        <v>-0.411347</v>
      </c>
      <c r="R1575" s="53" t="n">
        <v>1.050803</v>
      </c>
      <c r="S1575" s="53" t="n">
        <v>1.334282</v>
      </c>
    </row>
    <row r="1576" customFormat="false" ht="15" hidden="false" customHeight="false" outlineLevel="0" collapsed="false">
      <c r="A1576" s="43" t="n">
        <v>73</v>
      </c>
      <c r="B1576" s="44" t="str">
        <f aca="false">'Model Inputs &amp; Assumptions'!$B$31</f>
        <v>YouTube — Finfluencer Pre-roll</v>
      </c>
      <c r="C1576" s="45" t="n">
        <f aca="false">ROUND(MAX(0,'Model Inputs &amp; Assumptions'!$S$31*EXP('Model Inputs &amp; Assumptions'!$T$31*P1576-'Model Inputs &amp; Assumptions'!$T$31^2/2)),0)</f>
        <v>475540</v>
      </c>
      <c r="D1576" s="46" t="n">
        <f aca="false">MIN(1,'Model Inputs &amp; Assumptions'!$U$31*EXP('Model Inputs &amp; Assumptions'!$V$31*Q1576-'Model Inputs &amp; Assumptions'!$V$31^2/2))</f>
        <v>0.703464502528536</v>
      </c>
      <c r="E1576" s="45" t="n">
        <f aca="false">ROUND(C1576*D1576,0)</f>
        <v>334526</v>
      </c>
      <c r="F1576" s="47" t="n">
        <f aca="false">MIN(1,'Model Inputs &amp; Assumptions'!$W$31*EXP('Model Inputs &amp; Assumptions'!$X$31*R1576-'Model Inputs &amp; Assumptions'!$X$31^2/2))</f>
        <v>0.00368415176197301</v>
      </c>
      <c r="G1576" s="45" t="n">
        <f aca="false">ROUND(C1576*F1576,0)</f>
        <v>1752</v>
      </c>
      <c r="H1576" s="48" t="n">
        <f aca="false">MAX(0,(C1576*'Model Inputs &amp; Assumptions'!$N$31+E1576*'Model Inputs &amp; Assumptions'!$O$31+G1576*'Model Inputs &amp; Assumptions'!$P$31)*EXP('Model Inputs &amp; Assumptions'!$Q$31*S1576-'Model Inputs &amp; Assumptions'!$Q$31^2/2))</f>
        <v>31.6854603236412</v>
      </c>
      <c r="I1576" s="49" t="n">
        <f aca="false">IF('Model Inputs &amp; Assumptions'!$H$31="Fixed",'Model Inputs &amp; Assumptions'!$I$31*'Model Inputs &amp; Assumptions'!$K$31,IF('Model Inputs &amp; Assumptions'!$H$31="CPM",'Model Inputs &amp; Assumptions'!$I$31*'Model Inputs &amp; Assumptions'!$K$31*C1576/1000,IF('Model Inputs &amp; Assumptions'!$H$31="CPC",'Model Inputs &amp; Assumptions'!$I$31*'Model Inputs &amp; Assumptions'!$K$31*G1576,0)))</f>
        <v>5395.47684</v>
      </c>
      <c r="J1576" s="50" t="n">
        <f aca="false">H1576*INDEX('Model Inputs &amp; Assumptions'!$D$40:$D$42,MATCH('Model Inputs &amp; Assumptions'!$L$31,'Model Inputs &amp; Assumptions'!$A$40:$A$42,0))*INDEX('Model Inputs &amp; Assumptions'!$H$40:$H$42,MATCH('Model Inputs &amp; Assumptions'!$L$31,'Model Inputs &amp; Assumptions'!$A$40:$A$42,0))</f>
        <v>228135.314330217</v>
      </c>
      <c r="K1576" s="49" t="n">
        <f aca="false">H1576*INDEX('Model Inputs &amp; Assumptions'!$G$40:$G$42,MATCH('Model Inputs &amp; Assumptions'!$L$31,'Model Inputs &amp; Assumptions'!$A$40:$A$42,0))*INDEX('Model Inputs &amp; Assumptions'!$H$40:$H$42,MATCH('Model Inputs &amp; Assumptions'!$L$31,'Model Inputs &amp; Assumptions'!$A$40:$A$42,0))</f>
        <v>5030.38368098128</v>
      </c>
      <c r="L1576" s="51" t="n">
        <f aca="false">IFERROR(K1576/I1576,0)</f>
        <v>0.932333476753702</v>
      </c>
      <c r="M1576" s="49" t="n">
        <f aca="false">IFERROR(I1576/H1576,0)</f>
        <v>170.282419282838</v>
      </c>
      <c r="N1576" s="52" t="str">
        <f aca="false">'Model Inputs &amp; Assumptions'!$L$31</f>
        <v>PRD-USIQ</v>
      </c>
      <c r="P1576" s="53" t="n">
        <v>0.106662</v>
      </c>
      <c r="Q1576" s="53" t="n">
        <v>1.326392</v>
      </c>
      <c r="R1576" s="53" t="n">
        <v>-1.15249</v>
      </c>
      <c r="S1576" s="53" t="n">
        <v>-1.297079</v>
      </c>
    </row>
    <row r="1577" customFormat="false" ht="15" hidden="false" customHeight="false" outlineLevel="0" collapsed="false">
      <c r="A1577" s="43" t="n">
        <v>74</v>
      </c>
      <c r="B1577" s="44" t="str">
        <f aca="false">'Model Inputs &amp; Assumptions'!$B$31</f>
        <v>YouTube — Finfluencer Pre-roll</v>
      </c>
      <c r="C1577" s="45" t="n">
        <f aca="false">ROUND(MAX(0,'Model Inputs &amp; Assumptions'!$S$31*EXP('Model Inputs &amp; Assumptions'!$T$31*P1577-'Model Inputs &amp; Assumptions'!$T$31^2/2)),0)</f>
        <v>544632</v>
      </c>
      <c r="D1577" s="46" t="n">
        <f aca="false">MIN(1,'Model Inputs &amp; Assumptions'!$U$31*EXP('Model Inputs &amp; Assumptions'!$V$31*Q1577-'Model Inputs &amp; Assumptions'!$V$31^2/2))</f>
        <v>0.641578070709701</v>
      </c>
      <c r="E1577" s="45" t="n">
        <f aca="false">ROUND(C1577*D1577,0)</f>
        <v>349424</v>
      </c>
      <c r="F1577" s="47" t="n">
        <f aca="false">MIN(1,'Model Inputs &amp; Assumptions'!$W$31*EXP('Model Inputs &amp; Assumptions'!$X$31*R1577-'Model Inputs &amp; Assumptions'!$X$31^2/2))</f>
        <v>0.003521134618365</v>
      </c>
      <c r="G1577" s="45" t="n">
        <f aca="false">ROUND(C1577*F1577,0)</f>
        <v>1918</v>
      </c>
      <c r="H1577" s="48" t="n">
        <f aca="false">MAX(0,(C1577*'Model Inputs &amp; Assumptions'!$N$31+E1577*'Model Inputs &amp; Assumptions'!$O$31+G1577*'Model Inputs &amp; Assumptions'!$P$31)*EXP('Model Inputs &amp; Assumptions'!$Q$31*S1577-'Model Inputs &amp; Assumptions'!$Q$31^2/2))</f>
        <v>39.9839906904357</v>
      </c>
      <c r="I1577" s="49" t="n">
        <f aca="false">IF('Model Inputs &amp; Assumptions'!$H$31="Fixed",'Model Inputs &amp; Assumptions'!$I$31*'Model Inputs &amp; Assumptions'!$K$31,IF('Model Inputs &amp; Assumptions'!$H$31="CPM",'Model Inputs &amp; Assumptions'!$I$31*'Model Inputs &amp; Assumptions'!$K$31*C1577/1000,IF('Model Inputs &amp; Assumptions'!$H$31="CPC",'Model Inputs &amp; Assumptions'!$I$31*'Model Inputs &amp; Assumptions'!$K$31*G1577,0)))</f>
        <v>6179.394672</v>
      </c>
      <c r="J1577" s="50" t="n">
        <f aca="false">H1577*INDEX('Model Inputs &amp; Assumptions'!$D$40:$D$42,MATCH('Model Inputs &amp; Assumptions'!$L$31,'Model Inputs &amp; Assumptions'!$A$40:$A$42,0))*INDEX('Model Inputs &amp; Assumptions'!$H$40:$H$42,MATCH('Model Inputs &amp; Assumptions'!$L$31,'Model Inputs &amp; Assumptions'!$A$40:$A$42,0))</f>
        <v>287884.732971137</v>
      </c>
      <c r="K1577" s="49" t="n">
        <f aca="false">H1577*INDEX('Model Inputs &amp; Assumptions'!$G$40:$G$42,MATCH('Model Inputs &amp; Assumptions'!$L$31,'Model Inputs &amp; Assumptions'!$A$40:$A$42,0))*INDEX('Model Inputs &amp; Assumptions'!$H$40:$H$42,MATCH('Model Inputs &amp; Assumptions'!$L$31,'Model Inputs &amp; Assumptions'!$A$40:$A$42,0))</f>
        <v>6347.85836201357</v>
      </c>
      <c r="L1577" s="51" t="n">
        <f aca="false">IFERROR(K1577/I1577,0)</f>
        <v>1.02726216708198</v>
      </c>
      <c r="M1577" s="49" t="n">
        <f aca="false">IFERROR(I1577/H1577,0)</f>
        <v>154.546721457649</v>
      </c>
      <c r="N1577" s="52" t="str">
        <f aca="false">'Model Inputs &amp; Assumptions'!$L$31</f>
        <v>PRD-USIQ</v>
      </c>
      <c r="P1577" s="53" t="n">
        <v>0.591157</v>
      </c>
      <c r="Q1577" s="53" t="n">
        <v>0.668631</v>
      </c>
      <c r="R1577" s="53" t="n">
        <v>-1.341061</v>
      </c>
      <c r="S1577" s="53" t="n">
        <v>-0.824191</v>
      </c>
    </row>
    <row r="1578" customFormat="false" ht="15" hidden="false" customHeight="false" outlineLevel="0" collapsed="false">
      <c r="A1578" s="43" t="n">
        <v>75</v>
      </c>
      <c r="B1578" s="44" t="str">
        <f aca="false">'Model Inputs &amp; Assumptions'!$B$31</f>
        <v>YouTube — Finfluencer Pre-roll</v>
      </c>
      <c r="C1578" s="45" t="n">
        <f aca="false">ROUND(MAX(0,'Model Inputs &amp; Assumptions'!$S$31*EXP('Model Inputs &amp; Assumptions'!$T$31*P1578-'Model Inputs &amp; Assumptions'!$T$31^2/2)),0)</f>
        <v>781033</v>
      </c>
      <c r="D1578" s="46" t="n">
        <f aca="false">MIN(1,'Model Inputs &amp; Assumptions'!$U$31*EXP('Model Inputs &amp; Assumptions'!$V$31*Q1578-'Model Inputs &amp; Assumptions'!$V$31^2/2))</f>
        <v>0.732388284696106</v>
      </c>
      <c r="E1578" s="45" t="n">
        <f aca="false">ROUND(C1578*D1578,0)</f>
        <v>572019</v>
      </c>
      <c r="F1578" s="47" t="n">
        <f aca="false">MIN(1,'Model Inputs &amp; Assumptions'!$W$31*EXP('Model Inputs &amp; Assumptions'!$X$31*R1578-'Model Inputs &amp; Assumptions'!$X$31^2/2))</f>
        <v>0.00397772382501248</v>
      </c>
      <c r="G1578" s="45" t="n">
        <f aca="false">ROUND(C1578*F1578,0)</f>
        <v>3107</v>
      </c>
      <c r="H1578" s="48" t="n">
        <f aca="false">MAX(0,(C1578*'Model Inputs &amp; Assumptions'!$N$31+E1578*'Model Inputs &amp; Assumptions'!$O$31+G1578*'Model Inputs &amp; Assumptions'!$P$31)*EXP('Model Inputs &amp; Assumptions'!$Q$31*S1578-'Model Inputs &amp; Assumptions'!$Q$31^2/2))</f>
        <v>87.1529155090137</v>
      </c>
      <c r="I1578" s="49" t="n">
        <f aca="false">IF('Model Inputs &amp; Assumptions'!$H$31="Fixed",'Model Inputs &amp; Assumptions'!$I$31*'Model Inputs &amp; Assumptions'!$K$31,IF('Model Inputs &amp; Assumptions'!$H$31="CPM",'Model Inputs &amp; Assumptions'!$I$31*'Model Inputs &amp; Assumptions'!$K$31*C1578/1000,IF('Model Inputs &amp; Assumptions'!$H$31="CPC",'Model Inputs &amp; Assumptions'!$I$31*'Model Inputs &amp; Assumptions'!$K$31*G1578,0)))</f>
        <v>8861.600418</v>
      </c>
      <c r="J1578" s="50" t="n">
        <f aca="false">H1578*INDEX('Model Inputs &amp; Assumptions'!$D$40:$D$42,MATCH('Model Inputs &amp; Assumptions'!$L$31,'Model Inputs &amp; Assumptions'!$A$40:$A$42,0))*INDEX('Model Inputs &amp; Assumptions'!$H$40:$H$42,MATCH('Model Inputs &amp; Assumptions'!$L$31,'Model Inputs &amp; Assumptions'!$A$40:$A$42,0))</f>
        <v>627500.991664899</v>
      </c>
      <c r="K1578" s="49" t="n">
        <f aca="false">H1578*INDEX('Model Inputs &amp; Assumptions'!$G$40:$G$42,MATCH('Model Inputs &amp; Assumptions'!$L$31,'Model Inputs &amp; Assumptions'!$A$40:$A$42,0))*INDEX('Model Inputs &amp; Assumptions'!$H$40:$H$42,MATCH('Model Inputs &amp; Assumptions'!$L$31,'Model Inputs &amp; Assumptions'!$A$40:$A$42,0))</f>
        <v>13836.396866211</v>
      </c>
      <c r="L1578" s="51" t="n">
        <f aca="false">IFERROR(K1578/I1578,0)</f>
        <v>1.56138803529282</v>
      </c>
      <c r="M1578" s="49" t="n">
        <f aca="false">IFERROR(I1578/H1578,0)</f>
        <v>101.678760443573</v>
      </c>
      <c r="N1578" s="52" t="str">
        <f aca="false">'Model Inputs &amp; Assumptions'!$L$31</f>
        <v>PRD-USIQ</v>
      </c>
      <c r="P1578" s="53" t="n">
        <v>1.878682</v>
      </c>
      <c r="Q1578" s="53" t="n">
        <v>1.614202</v>
      </c>
      <c r="R1578" s="53" t="n">
        <v>-0.833034</v>
      </c>
      <c r="S1578" s="53" t="n">
        <v>0.008999</v>
      </c>
    </row>
    <row r="1579" customFormat="false" ht="15" hidden="false" customHeight="false" outlineLevel="0" collapsed="false">
      <c r="A1579" s="43" t="n">
        <v>76</v>
      </c>
      <c r="B1579" s="44" t="str">
        <f aca="false">'Model Inputs &amp; Assumptions'!$B$31</f>
        <v>YouTube — Finfluencer Pre-roll</v>
      </c>
      <c r="C1579" s="45" t="n">
        <f aca="false">ROUND(MAX(0,'Model Inputs &amp; Assumptions'!$S$31*EXP('Model Inputs &amp; Assumptions'!$T$31*P1579-'Model Inputs &amp; Assumptions'!$T$31^2/2)),0)</f>
        <v>431940</v>
      </c>
      <c r="D1579" s="46" t="n">
        <f aca="false">MIN(1,'Model Inputs &amp; Assumptions'!$U$31*EXP('Model Inputs &amp; Assumptions'!$V$31*Q1579-'Model Inputs &amp; Assumptions'!$V$31^2/2))</f>
        <v>0.666978103405846</v>
      </c>
      <c r="E1579" s="45" t="n">
        <f aca="false">ROUND(C1579*D1579,0)</f>
        <v>288095</v>
      </c>
      <c r="F1579" s="47" t="n">
        <f aca="false">MIN(1,'Model Inputs &amp; Assumptions'!$W$31*EXP('Model Inputs &amp; Assumptions'!$X$31*R1579-'Model Inputs &amp; Assumptions'!$X$31^2/2))</f>
        <v>0.00661776164335419</v>
      </c>
      <c r="G1579" s="45" t="n">
        <f aca="false">ROUND(C1579*F1579,0)</f>
        <v>2858</v>
      </c>
      <c r="H1579" s="48" t="n">
        <f aca="false">MAX(0,(C1579*'Model Inputs &amp; Assumptions'!$N$31+E1579*'Model Inputs &amp; Assumptions'!$O$31+G1579*'Model Inputs &amp; Assumptions'!$P$31)*EXP('Model Inputs &amp; Assumptions'!$Q$31*S1579-'Model Inputs &amp; Assumptions'!$Q$31^2/2))</f>
        <v>76.1857339888818</v>
      </c>
      <c r="I1579" s="49" t="n">
        <f aca="false">IF('Model Inputs &amp; Assumptions'!$H$31="Fixed",'Model Inputs &amp; Assumptions'!$I$31*'Model Inputs &amp; Assumptions'!$K$31,IF('Model Inputs &amp; Assumptions'!$H$31="CPM",'Model Inputs &amp; Assumptions'!$I$31*'Model Inputs &amp; Assumptions'!$K$31*C1579/1000,IF('Model Inputs &amp; Assumptions'!$H$31="CPC",'Model Inputs &amp; Assumptions'!$I$31*'Model Inputs &amp; Assumptions'!$K$31*G1579,0)))</f>
        <v>4900.79124</v>
      </c>
      <c r="J1579" s="50" t="n">
        <f aca="false">H1579*INDEX('Model Inputs &amp; Assumptions'!$D$40:$D$42,MATCH('Model Inputs &amp; Assumptions'!$L$31,'Model Inputs &amp; Assumptions'!$A$40:$A$42,0))*INDEX('Model Inputs &amp; Assumptions'!$H$40:$H$42,MATCH('Model Inputs &amp; Assumptions'!$L$31,'Model Inputs &amp; Assumptions'!$A$40:$A$42,0))</f>
        <v>548537.284719949</v>
      </c>
      <c r="K1579" s="49" t="n">
        <f aca="false">H1579*INDEX('Model Inputs &amp; Assumptions'!$G$40:$G$42,MATCH('Model Inputs &amp; Assumptions'!$L$31,'Model Inputs &amp; Assumptions'!$A$40:$A$42,0))*INDEX('Model Inputs &amp; Assumptions'!$H$40:$H$42,MATCH('Model Inputs &amp; Assumptions'!$L$31,'Model Inputs &amp; Assumptions'!$A$40:$A$42,0))</f>
        <v>12095.2471280749</v>
      </c>
      <c r="L1579" s="51" t="n">
        <f aca="false">IFERROR(K1579/I1579,0)</f>
        <v>2.46801925153516</v>
      </c>
      <c r="M1579" s="49" t="n">
        <f aca="false">IFERROR(I1579/H1579,0)</f>
        <v>64.3268888203558</v>
      </c>
      <c r="N1579" s="52" t="str">
        <f aca="false">'Model Inputs &amp; Assumptions'!$L$31</f>
        <v>PRD-USIQ</v>
      </c>
      <c r="P1579" s="53" t="n">
        <v>-0.236785</v>
      </c>
      <c r="Q1579" s="53" t="n">
        <v>0.945962</v>
      </c>
      <c r="R1579" s="53" t="n">
        <v>1.287997</v>
      </c>
      <c r="S1579" s="53" t="n">
        <v>0.588625</v>
      </c>
    </row>
    <row r="1580" customFormat="false" ht="15" hidden="false" customHeight="false" outlineLevel="0" collapsed="false">
      <c r="A1580" s="43" t="n">
        <v>77</v>
      </c>
      <c r="B1580" s="44" t="str">
        <f aca="false">'Model Inputs &amp; Assumptions'!$B$31</f>
        <v>YouTube — Finfluencer Pre-roll</v>
      </c>
      <c r="C1580" s="45" t="n">
        <f aca="false">ROUND(MAX(0,'Model Inputs &amp; Assumptions'!$S$31*EXP('Model Inputs &amp; Assumptions'!$T$31*P1580-'Model Inputs &amp; Assumptions'!$T$31^2/2)),0)</f>
        <v>436653</v>
      </c>
      <c r="D1580" s="46" t="n">
        <f aca="false">MIN(1,'Model Inputs &amp; Assumptions'!$U$31*EXP('Model Inputs &amp; Assumptions'!$V$31*Q1580-'Model Inputs &amp; Assumptions'!$V$31^2/2))</f>
        <v>0.610193778809127</v>
      </c>
      <c r="E1580" s="45" t="n">
        <f aca="false">ROUND(C1580*D1580,0)</f>
        <v>266443</v>
      </c>
      <c r="F1580" s="47" t="n">
        <f aca="false">MIN(1,'Model Inputs &amp; Assumptions'!$W$31*EXP('Model Inputs &amp; Assumptions'!$X$31*R1580-'Model Inputs &amp; Assumptions'!$X$31^2/2))</f>
        <v>0.00290694782231062</v>
      </c>
      <c r="G1580" s="45" t="n">
        <f aca="false">ROUND(C1580*F1580,0)</f>
        <v>1269</v>
      </c>
      <c r="H1580" s="48" t="n">
        <f aca="false">MAX(0,(C1580*'Model Inputs &amp; Assumptions'!$N$31+E1580*'Model Inputs &amp; Assumptions'!$O$31+G1580*'Model Inputs &amp; Assumptions'!$P$31)*EXP('Model Inputs &amp; Assumptions'!$Q$31*S1580-'Model Inputs &amp; Assumptions'!$Q$31^2/2))</f>
        <v>51.0000977424637</v>
      </c>
      <c r="I1580" s="49" t="n">
        <f aca="false">IF('Model Inputs &amp; Assumptions'!$H$31="Fixed",'Model Inputs &amp; Assumptions'!$I$31*'Model Inputs &amp; Assumptions'!$K$31,IF('Model Inputs &amp; Assumptions'!$H$31="CPM",'Model Inputs &amp; Assumptions'!$I$31*'Model Inputs &amp; Assumptions'!$K$31*C1580/1000,IF('Model Inputs &amp; Assumptions'!$H$31="CPC",'Model Inputs &amp; Assumptions'!$I$31*'Model Inputs &amp; Assumptions'!$K$31*G1580,0)))</f>
        <v>4954.264938</v>
      </c>
      <c r="J1580" s="50" t="n">
        <f aca="false">H1580*INDEX('Model Inputs &amp; Assumptions'!$D$40:$D$42,MATCH('Model Inputs &amp; Assumptions'!$L$31,'Model Inputs &amp; Assumptions'!$A$40:$A$42,0))*INDEX('Model Inputs &amp; Assumptions'!$H$40:$H$42,MATCH('Model Inputs &amp; Assumptions'!$L$31,'Model Inputs &amp; Assumptions'!$A$40:$A$42,0))</f>
        <v>367200.703745739</v>
      </c>
      <c r="K1580" s="49" t="n">
        <f aca="false">H1580*INDEX('Model Inputs &amp; Assumptions'!$G$40:$G$42,MATCH('Model Inputs &amp; Assumptions'!$L$31,'Model Inputs &amp; Assumptions'!$A$40:$A$42,0))*INDEX('Model Inputs &amp; Assumptions'!$H$40:$H$42,MATCH('Model Inputs &amp; Assumptions'!$L$31,'Model Inputs &amp; Assumptions'!$A$40:$A$42,0))</f>
        <v>8096.77551759354</v>
      </c>
      <c r="L1580" s="51" t="n">
        <f aca="false">IFERROR(K1580/I1580,0)</f>
        <v>1.63430410341804</v>
      </c>
      <c r="M1580" s="49" t="n">
        <f aca="false">IFERROR(I1580/H1580,0)</f>
        <v>97.1422635897221</v>
      </c>
      <c r="N1580" s="52" t="str">
        <f aca="false">'Model Inputs &amp; Assumptions'!$L$31</f>
        <v>PRD-USIQ</v>
      </c>
      <c r="P1580" s="53" t="n">
        <v>-0.198028</v>
      </c>
      <c r="Q1580" s="53" t="n">
        <v>0.310386</v>
      </c>
      <c r="R1580" s="53" t="n">
        <v>-2.139726</v>
      </c>
      <c r="S1580" s="53" t="n">
        <v>0.844215</v>
      </c>
    </row>
    <row r="1581" customFormat="false" ht="15" hidden="false" customHeight="false" outlineLevel="0" collapsed="false">
      <c r="A1581" s="43" t="n">
        <v>78</v>
      </c>
      <c r="B1581" s="44" t="str">
        <f aca="false">'Model Inputs &amp; Assumptions'!$B$31</f>
        <v>YouTube — Finfluencer Pre-roll</v>
      </c>
      <c r="C1581" s="45" t="n">
        <f aca="false">ROUND(MAX(0,'Model Inputs &amp; Assumptions'!$S$31*EXP('Model Inputs &amp; Assumptions'!$T$31*P1581-'Model Inputs &amp; Assumptions'!$T$31^2/2)),0)</f>
        <v>403562</v>
      </c>
      <c r="D1581" s="46" t="n">
        <f aca="false">MIN(1,'Model Inputs &amp; Assumptions'!$U$31*EXP('Model Inputs &amp; Assumptions'!$V$31*Q1581-'Model Inputs &amp; Assumptions'!$V$31^2/2))</f>
        <v>0.665716282084837</v>
      </c>
      <c r="E1581" s="45" t="n">
        <f aca="false">ROUND(C1581*D1581,0)</f>
        <v>268658</v>
      </c>
      <c r="F1581" s="47" t="n">
        <f aca="false">MIN(1,'Model Inputs &amp; Assumptions'!$W$31*EXP('Model Inputs &amp; Assumptions'!$X$31*R1581-'Model Inputs &amp; Assumptions'!$X$31^2/2))</f>
        <v>0.00447425238262252</v>
      </c>
      <c r="G1581" s="45" t="n">
        <f aca="false">ROUND(C1581*F1581,0)</f>
        <v>1806</v>
      </c>
      <c r="H1581" s="48" t="n">
        <f aca="false">MAX(0,(C1581*'Model Inputs &amp; Assumptions'!$N$31+E1581*'Model Inputs &amp; Assumptions'!$O$31+G1581*'Model Inputs &amp; Assumptions'!$P$31)*EXP('Model Inputs &amp; Assumptions'!$Q$31*S1581-'Model Inputs &amp; Assumptions'!$Q$31^2/2))</f>
        <v>77.4513242967901</v>
      </c>
      <c r="I1581" s="49" t="n">
        <f aca="false">IF('Model Inputs &amp; Assumptions'!$H$31="Fixed",'Model Inputs &amp; Assumptions'!$I$31*'Model Inputs &amp; Assumptions'!$K$31,IF('Model Inputs &amp; Assumptions'!$H$31="CPM",'Model Inputs &amp; Assumptions'!$I$31*'Model Inputs &amp; Assumptions'!$K$31*C1581/1000,IF('Model Inputs &amp; Assumptions'!$H$31="CPC",'Model Inputs &amp; Assumptions'!$I$31*'Model Inputs &amp; Assumptions'!$K$31*G1581,0)))</f>
        <v>4578.814452</v>
      </c>
      <c r="J1581" s="50" t="n">
        <f aca="false">H1581*INDEX('Model Inputs &amp; Assumptions'!$D$40:$D$42,MATCH('Model Inputs &amp; Assumptions'!$L$31,'Model Inputs &amp; Assumptions'!$A$40:$A$42,0))*INDEX('Model Inputs &amp; Assumptions'!$H$40:$H$42,MATCH('Model Inputs &amp; Assumptions'!$L$31,'Model Inputs &amp; Assumptions'!$A$40:$A$42,0))</f>
        <v>557649.534936889</v>
      </c>
      <c r="K1581" s="49" t="n">
        <f aca="false">H1581*INDEX('Model Inputs &amp; Assumptions'!$G$40:$G$42,MATCH('Model Inputs &amp; Assumptions'!$L$31,'Model Inputs &amp; Assumptions'!$A$40:$A$42,0))*INDEX('Model Inputs &amp; Assumptions'!$H$40:$H$42,MATCH('Model Inputs &amp; Assumptions'!$L$31,'Model Inputs &amp; Assumptions'!$A$40:$A$42,0))</f>
        <v>12296.1722453584</v>
      </c>
      <c r="L1581" s="51" t="n">
        <f aca="false">IFERROR(K1581/I1581,0)</f>
        <v>2.68544890260567</v>
      </c>
      <c r="M1581" s="49" t="n">
        <f aca="false">IFERROR(I1581/H1581,0)</f>
        <v>59.1186076361223</v>
      </c>
      <c r="N1581" s="52" t="str">
        <f aca="false">'Model Inputs &amp; Assumptions'!$L$31</f>
        <v>PRD-USIQ</v>
      </c>
      <c r="P1581" s="53" t="n">
        <v>-0.479485</v>
      </c>
      <c r="Q1581" s="53" t="n">
        <v>0.932436</v>
      </c>
      <c r="R1581" s="53" t="n">
        <v>-0.342911</v>
      </c>
      <c r="S1581" s="53" t="n">
        <v>1.507524</v>
      </c>
    </row>
    <row r="1582" customFormat="false" ht="15" hidden="false" customHeight="false" outlineLevel="0" collapsed="false">
      <c r="A1582" s="43" t="n">
        <v>79</v>
      </c>
      <c r="B1582" s="44" t="str">
        <f aca="false">'Model Inputs &amp; Assumptions'!$B$31</f>
        <v>YouTube — Finfluencer Pre-roll</v>
      </c>
      <c r="C1582" s="45" t="n">
        <f aca="false">ROUND(MAX(0,'Model Inputs &amp; Assumptions'!$S$31*EXP('Model Inputs &amp; Assumptions'!$T$31*P1582-'Model Inputs &amp; Assumptions'!$T$31^2/2)),0)</f>
        <v>231005</v>
      </c>
      <c r="D1582" s="46" t="n">
        <f aca="false">MIN(1,'Model Inputs &amp; Assumptions'!$U$31*EXP('Model Inputs &amp; Assumptions'!$V$31*Q1582-'Model Inputs &amp; Assumptions'!$V$31^2/2))</f>
        <v>0.497019637257098</v>
      </c>
      <c r="E1582" s="45" t="n">
        <f aca="false">ROUND(C1582*D1582,0)</f>
        <v>114814</v>
      </c>
      <c r="F1582" s="47" t="n">
        <f aca="false">MIN(1,'Model Inputs &amp; Assumptions'!$W$31*EXP('Model Inputs &amp; Assumptions'!$X$31*R1582-'Model Inputs &amp; Assumptions'!$X$31^2/2))</f>
        <v>0.00294360503463117</v>
      </c>
      <c r="G1582" s="45" t="n">
        <f aca="false">ROUND(C1582*F1582,0)</f>
        <v>680</v>
      </c>
      <c r="H1582" s="48" t="n">
        <f aca="false">MAX(0,(C1582*'Model Inputs &amp; Assumptions'!$N$31+E1582*'Model Inputs &amp; Assumptions'!$O$31+G1582*'Model Inputs &amp; Assumptions'!$P$31)*EXP('Model Inputs &amp; Assumptions'!$Q$31*S1582-'Model Inputs &amp; Assumptions'!$Q$31^2/2))</f>
        <v>29.622200925295</v>
      </c>
      <c r="I1582" s="49" t="n">
        <f aca="false">IF('Model Inputs &amp; Assumptions'!$H$31="Fixed",'Model Inputs &amp; Assumptions'!$I$31*'Model Inputs &amp; Assumptions'!$K$31,IF('Model Inputs &amp; Assumptions'!$H$31="CPM",'Model Inputs &amp; Assumptions'!$I$31*'Model Inputs &amp; Assumptions'!$K$31*C1582/1000,IF('Model Inputs &amp; Assumptions'!$H$31="CPC",'Model Inputs &amp; Assumptions'!$I$31*'Model Inputs &amp; Assumptions'!$K$31*G1582,0)))</f>
        <v>2620.98273</v>
      </c>
      <c r="J1582" s="50" t="n">
        <f aca="false">H1582*INDEX('Model Inputs &amp; Assumptions'!$D$40:$D$42,MATCH('Model Inputs &amp; Assumptions'!$L$31,'Model Inputs &amp; Assumptions'!$A$40:$A$42,0))*INDEX('Model Inputs &amp; Assumptions'!$H$40:$H$42,MATCH('Model Inputs &amp; Assumptions'!$L$31,'Model Inputs &amp; Assumptions'!$A$40:$A$42,0))</f>
        <v>213279.846662124</v>
      </c>
      <c r="K1582" s="49" t="n">
        <f aca="false">H1582*INDEX('Model Inputs &amp; Assumptions'!$G$40:$G$42,MATCH('Model Inputs &amp; Assumptions'!$L$31,'Model Inputs &amp; Assumptions'!$A$40:$A$42,0))*INDEX('Model Inputs &amp; Assumptions'!$H$40:$H$42,MATCH('Model Inputs &amp; Assumptions'!$L$31,'Model Inputs &amp; Assumptions'!$A$40:$A$42,0))</f>
        <v>4702.82061889983</v>
      </c>
      <c r="L1582" s="51" t="n">
        <f aca="false">IFERROR(K1582/I1582,0)</f>
        <v>1.79429668309941</v>
      </c>
      <c r="M1582" s="49" t="n">
        <f aca="false">IFERROR(I1582/H1582,0)</f>
        <v>88.4803508223419</v>
      </c>
      <c r="N1582" s="52" t="str">
        <f aca="false">'Model Inputs &amp; Assumptions'!$L$31</f>
        <v>PRD-USIQ</v>
      </c>
      <c r="P1582" s="53" t="n">
        <v>-2.47196</v>
      </c>
      <c r="Q1582" s="53" t="n">
        <v>-1.15495</v>
      </c>
      <c r="R1582" s="53" t="n">
        <v>-2.087512</v>
      </c>
      <c r="S1582" s="53" t="n">
        <v>1.386481</v>
      </c>
    </row>
    <row r="1583" customFormat="false" ht="15" hidden="false" customHeight="false" outlineLevel="0" collapsed="false">
      <c r="A1583" s="43" t="n">
        <v>80</v>
      </c>
      <c r="B1583" s="44" t="str">
        <f aca="false">'Model Inputs &amp; Assumptions'!$B$31</f>
        <v>YouTube — Finfluencer Pre-roll</v>
      </c>
      <c r="C1583" s="45" t="n">
        <f aca="false">ROUND(MAX(0,'Model Inputs &amp; Assumptions'!$S$31*EXP('Model Inputs &amp; Assumptions'!$T$31*P1583-'Model Inputs &amp; Assumptions'!$T$31^2/2)),0)</f>
        <v>454898</v>
      </c>
      <c r="D1583" s="46" t="n">
        <f aca="false">MIN(1,'Model Inputs &amp; Assumptions'!$U$31*EXP('Model Inputs &amp; Assumptions'!$V$31*Q1583-'Model Inputs &amp; Assumptions'!$V$31^2/2))</f>
        <v>0.665262085734449</v>
      </c>
      <c r="E1583" s="45" t="n">
        <f aca="false">ROUND(C1583*D1583,0)</f>
        <v>302626</v>
      </c>
      <c r="F1583" s="47" t="n">
        <f aca="false">MIN(1,'Model Inputs &amp; Assumptions'!$W$31*EXP('Model Inputs &amp; Assumptions'!$X$31*R1583-'Model Inputs &amp; Assumptions'!$X$31^2/2))</f>
        <v>0.00437466800532955</v>
      </c>
      <c r="G1583" s="45" t="n">
        <f aca="false">ROUND(C1583*F1583,0)</f>
        <v>1990</v>
      </c>
      <c r="H1583" s="48" t="n">
        <f aca="false">MAX(0,(C1583*'Model Inputs &amp; Assumptions'!$N$31+E1583*'Model Inputs &amp; Assumptions'!$O$31+G1583*'Model Inputs &amp; Assumptions'!$P$31)*EXP('Model Inputs &amp; Assumptions'!$Q$31*S1583-'Model Inputs &amp; Assumptions'!$Q$31^2/2))</f>
        <v>59.4501514518997</v>
      </c>
      <c r="I1583" s="49" t="n">
        <f aca="false">IF('Model Inputs &amp; Assumptions'!$H$31="Fixed",'Model Inputs &amp; Assumptions'!$I$31*'Model Inputs &amp; Assumptions'!$K$31,IF('Model Inputs &amp; Assumptions'!$H$31="CPM",'Model Inputs &amp; Assumptions'!$I$31*'Model Inputs &amp; Assumptions'!$K$31*C1583/1000,IF('Model Inputs &amp; Assumptions'!$H$31="CPC",'Model Inputs &amp; Assumptions'!$I$31*'Model Inputs &amp; Assumptions'!$K$31*G1583,0)))</f>
        <v>5161.272708</v>
      </c>
      <c r="J1583" s="50" t="n">
        <f aca="false">H1583*INDEX('Model Inputs &amp; Assumptions'!$D$40:$D$42,MATCH('Model Inputs &amp; Assumptions'!$L$31,'Model Inputs &amp; Assumptions'!$A$40:$A$42,0))*INDEX('Model Inputs &amp; Assumptions'!$H$40:$H$42,MATCH('Model Inputs &amp; Assumptions'!$L$31,'Model Inputs &amp; Assumptions'!$A$40:$A$42,0))</f>
        <v>428041.090453678</v>
      </c>
      <c r="K1583" s="49" t="n">
        <f aca="false">H1583*INDEX('Model Inputs &amp; Assumptions'!$G$40:$G$42,MATCH('Model Inputs &amp; Assumptions'!$L$31,'Model Inputs &amp; Assumptions'!$A$40:$A$42,0))*INDEX('Model Inputs &amp; Assumptions'!$H$40:$H$42,MATCH('Model Inputs &amp; Assumptions'!$L$31,'Model Inputs &amp; Assumptions'!$A$40:$A$42,0))</f>
        <v>9438.3060445036</v>
      </c>
      <c r="L1583" s="51" t="n">
        <f aca="false">IFERROR(K1583/I1583,0)</f>
        <v>1.8286780370807</v>
      </c>
      <c r="M1583" s="49" t="n">
        <f aca="false">IFERROR(I1583/H1583,0)</f>
        <v>86.8168134470761</v>
      </c>
      <c r="N1583" s="52" t="str">
        <f aca="false">'Model Inputs &amp; Assumptions'!$L$31</f>
        <v>PRD-USIQ</v>
      </c>
      <c r="P1583" s="53" t="n">
        <v>-0.051832</v>
      </c>
      <c r="Q1583" s="53" t="n">
        <v>0.927561</v>
      </c>
      <c r="R1583" s="53" t="n">
        <v>-0.436697</v>
      </c>
      <c r="S1583" s="53" t="n">
        <v>0.446549</v>
      </c>
    </row>
    <row r="1584" customFormat="false" ht="15" hidden="false" customHeight="false" outlineLevel="0" collapsed="false">
      <c r="A1584" s="43" t="n">
        <v>81</v>
      </c>
      <c r="B1584" s="44" t="str">
        <f aca="false">'Model Inputs &amp; Assumptions'!$B$31</f>
        <v>YouTube — Finfluencer Pre-roll</v>
      </c>
      <c r="C1584" s="45" t="n">
        <f aca="false">ROUND(MAX(0,'Model Inputs &amp; Assumptions'!$S$31*EXP('Model Inputs &amp; Assumptions'!$T$31*P1584-'Model Inputs &amp; Assumptions'!$T$31^2/2)),0)</f>
        <v>335606</v>
      </c>
      <c r="D1584" s="46" t="n">
        <f aca="false">MIN(1,'Model Inputs &amp; Assumptions'!$U$31*EXP('Model Inputs &amp; Assumptions'!$V$31*Q1584-'Model Inputs &amp; Assumptions'!$V$31^2/2))</f>
        <v>0.618712370635949</v>
      </c>
      <c r="E1584" s="45" t="n">
        <f aca="false">ROUND(C1584*D1584,0)</f>
        <v>207644</v>
      </c>
      <c r="F1584" s="47" t="n">
        <f aca="false">MIN(1,'Model Inputs &amp; Assumptions'!$W$31*EXP('Model Inputs &amp; Assumptions'!$X$31*R1584-'Model Inputs &amp; Assumptions'!$X$31^2/2))</f>
        <v>0.00503797468161317</v>
      </c>
      <c r="G1584" s="45" t="n">
        <f aca="false">ROUND(C1584*F1584,0)</f>
        <v>1691</v>
      </c>
      <c r="H1584" s="48" t="n">
        <f aca="false">MAX(0,(C1584*'Model Inputs &amp; Assumptions'!$N$31+E1584*'Model Inputs &amp; Assumptions'!$O$31+G1584*'Model Inputs &amp; Assumptions'!$P$31)*EXP('Model Inputs &amp; Assumptions'!$Q$31*S1584-'Model Inputs &amp; Assumptions'!$Q$31^2/2))</f>
        <v>32.6804867508892</v>
      </c>
      <c r="I1584" s="49" t="n">
        <f aca="false">IF('Model Inputs &amp; Assumptions'!$H$31="Fixed",'Model Inputs &amp; Assumptions'!$I$31*'Model Inputs &amp; Assumptions'!$K$31,IF('Model Inputs &amp; Assumptions'!$H$31="CPM",'Model Inputs &amp; Assumptions'!$I$31*'Model Inputs &amp; Assumptions'!$K$31*C1584/1000,IF('Model Inputs &amp; Assumptions'!$H$31="CPC",'Model Inputs &amp; Assumptions'!$I$31*'Model Inputs &amp; Assumptions'!$K$31*G1584,0)))</f>
        <v>3807.785676</v>
      </c>
      <c r="J1584" s="50" t="n">
        <f aca="false">H1584*INDEX('Model Inputs &amp; Assumptions'!$D$40:$D$42,MATCH('Model Inputs &amp; Assumptions'!$L$31,'Model Inputs &amp; Assumptions'!$A$40:$A$42,0))*INDEX('Model Inputs &amp; Assumptions'!$H$40:$H$42,MATCH('Model Inputs &amp; Assumptions'!$L$31,'Model Inputs &amp; Assumptions'!$A$40:$A$42,0))</f>
        <v>235299.504606402</v>
      </c>
      <c r="K1584" s="49" t="n">
        <f aca="false">H1584*INDEX('Model Inputs &amp; Assumptions'!$G$40:$G$42,MATCH('Model Inputs &amp; Assumptions'!$L$31,'Model Inputs &amp; Assumptions'!$A$40:$A$42,0))*INDEX('Model Inputs &amp; Assumptions'!$H$40:$H$42,MATCH('Model Inputs &amp; Assumptions'!$L$31,'Model Inputs &amp; Assumptions'!$A$40:$A$42,0))</f>
        <v>5188.35407657117</v>
      </c>
      <c r="L1584" s="51" t="n">
        <f aca="false">IFERROR(K1584/I1584,0)</f>
        <v>1.36256462890565</v>
      </c>
      <c r="M1584" s="49" t="n">
        <f aca="false">IFERROR(I1584/H1584,0)</f>
        <v>116.515574110792</v>
      </c>
      <c r="N1584" s="52" t="str">
        <f aca="false">'Model Inputs &amp; Assumptions'!$L$31</f>
        <v>PRD-USIQ</v>
      </c>
      <c r="P1584" s="53" t="n">
        <v>-1.138031</v>
      </c>
      <c r="Q1584" s="53" t="n">
        <v>0.409414</v>
      </c>
      <c r="R1584" s="53" t="n">
        <v>0.151526</v>
      </c>
      <c r="S1584" s="53" t="n">
        <v>-0.540235</v>
      </c>
    </row>
    <row r="1585" customFormat="false" ht="15" hidden="false" customHeight="false" outlineLevel="0" collapsed="false">
      <c r="A1585" s="43" t="n">
        <v>82</v>
      </c>
      <c r="B1585" s="44" t="str">
        <f aca="false">'Model Inputs &amp; Assumptions'!$B$31</f>
        <v>YouTube — Finfluencer Pre-roll</v>
      </c>
      <c r="C1585" s="45" t="n">
        <f aca="false">ROUND(MAX(0,'Model Inputs &amp; Assumptions'!$S$31*EXP('Model Inputs &amp; Assumptions'!$T$31*P1585-'Model Inputs &amp; Assumptions'!$T$31^2/2)),0)</f>
        <v>471889</v>
      </c>
      <c r="D1585" s="46" t="n">
        <f aca="false">MIN(1,'Model Inputs &amp; Assumptions'!$U$31*EXP('Model Inputs &amp; Assumptions'!$V$31*Q1585-'Model Inputs &amp; Assumptions'!$V$31^2/2))</f>
        <v>0.502132534050649</v>
      </c>
      <c r="E1585" s="45" t="n">
        <f aca="false">ROUND(C1585*D1585,0)</f>
        <v>236951</v>
      </c>
      <c r="F1585" s="47" t="n">
        <f aca="false">MIN(1,'Model Inputs &amp; Assumptions'!$W$31*EXP('Model Inputs &amp; Assumptions'!$X$31*R1585-'Model Inputs &amp; Assumptions'!$X$31^2/2))</f>
        <v>0.00444353003033073</v>
      </c>
      <c r="G1585" s="45" t="n">
        <f aca="false">ROUND(C1585*F1585,0)</f>
        <v>2097</v>
      </c>
      <c r="H1585" s="48" t="n">
        <f aca="false">MAX(0,(C1585*'Model Inputs &amp; Assumptions'!$N$31+E1585*'Model Inputs &amp; Assumptions'!$O$31+G1585*'Model Inputs &amp; Assumptions'!$P$31)*EXP('Model Inputs &amp; Assumptions'!$Q$31*S1585-'Model Inputs &amp; Assumptions'!$Q$31^2/2))</f>
        <v>35.2386623543734</v>
      </c>
      <c r="I1585" s="49" t="n">
        <f aca="false">IF('Model Inputs &amp; Assumptions'!$H$31="Fixed",'Model Inputs &amp; Assumptions'!$I$31*'Model Inputs &amp; Assumptions'!$K$31,IF('Model Inputs &amp; Assumptions'!$H$31="CPM",'Model Inputs &amp; Assumptions'!$I$31*'Model Inputs &amp; Assumptions'!$K$31*C1585/1000,IF('Model Inputs &amp; Assumptions'!$H$31="CPC",'Model Inputs &amp; Assumptions'!$I$31*'Model Inputs &amp; Assumptions'!$K$31*G1585,0)))</f>
        <v>5354.052594</v>
      </c>
      <c r="J1585" s="50" t="n">
        <f aca="false">H1585*INDEX('Model Inputs &amp; Assumptions'!$D$40:$D$42,MATCH('Model Inputs &amp; Assumptions'!$L$31,'Model Inputs &amp; Assumptions'!$A$40:$A$42,0))*INDEX('Model Inputs &amp; Assumptions'!$H$40:$H$42,MATCH('Model Inputs &amp; Assumptions'!$L$31,'Model Inputs &amp; Assumptions'!$A$40:$A$42,0))</f>
        <v>253718.368951488</v>
      </c>
      <c r="K1585" s="49" t="n">
        <f aca="false">H1585*INDEX('Model Inputs &amp; Assumptions'!$G$40:$G$42,MATCH('Model Inputs &amp; Assumptions'!$L$31,'Model Inputs &amp; Assumptions'!$A$40:$A$42,0))*INDEX('Model Inputs &amp; Assumptions'!$H$40:$H$42,MATCH('Model Inputs &amp; Assumptions'!$L$31,'Model Inputs &amp; Assumptions'!$A$40:$A$42,0))</f>
        <v>5594.49003538032</v>
      </c>
      <c r="L1585" s="51" t="n">
        <f aca="false">IFERROR(K1585/I1585,0)</f>
        <v>1.04490756061115</v>
      </c>
      <c r="M1585" s="49" t="n">
        <f aca="false">IFERROR(I1585/H1585,0)</f>
        <v>151.936885122302</v>
      </c>
      <c r="N1585" s="52" t="str">
        <f aca="false">'Model Inputs &amp; Assumptions'!$L$31</f>
        <v>PRD-USIQ</v>
      </c>
      <c r="P1585" s="53" t="n">
        <v>0.079133</v>
      </c>
      <c r="Q1585" s="53" t="n">
        <v>-1.081846</v>
      </c>
      <c r="R1585" s="53" t="n">
        <v>-0.37162</v>
      </c>
      <c r="S1585" s="53" t="n">
        <v>-0.848049</v>
      </c>
    </row>
    <row r="1586" customFormat="false" ht="15" hidden="false" customHeight="false" outlineLevel="0" collapsed="false">
      <c r="A1586" s="43" t="n">
        <v>83</v>
      </c>
      <c r="B1586" s="44" t="str">
        <f aca="false">'Model Inputs &amp; Assumptions'!$B$31</f>
        <v>YouTube — Finfluencer Pre-roll</v>
      </c>
      <c r="C1586" s="45" t="n">
        <f aca="false">ROUND(MAX(0,'Model Inputs &amp; Assumptions'!$S$31*EXP('Model Inputs &amp; Assumptions'!$T$31*P1586-'Model Inputs &amp; Assumptions'!$T$31^2/2)),0)</f>
        <v>472002</v>
      </c>
      <c r="D1586" s="46" t="n">
        <f aca="false">MIN(1,'Model Inputs &amp; Assumptions'!$U$31*EXP('Model Inputs &amp; Assumptions'!$V$31*Q1586-'Model Inputs &amp; Assumptions'!$V$31^2/2))</f>
        <v>0.483873339344795</v>
      </c>
      <c r="E1586" s="45" t="n">
        <f aca="false">ROUND(C1586*D1586,0)</f>
        <v>228389</v>
      </c>
      <c r="F1586" s="47" t="n">
        <f aca="false">MIN(1,'Model Inputs &amp; Assumptions'!$W$31*EXP('Model Inputs &amp; Assumptions'!$X$31*R1586-'Model Inputs &amp; Assumptions'!$X$31^2/2))</f>
        <v>0.00370217761986382</v>
      </c>
      <c r="G1586" s="45" t="n">
        <f aca="false">ROUND(C1586*F1586,0)</f>
        <v>1747</v>
      </c>
      <c r="H1586" s="48" t="n">
        <f aca="false">MAX(0,(C1586*'Model Inputs &amp; Assumptions'!$N$31+E1586*'Model Inputs &amp; Assumptions'!$O$31+G1586*'Model Inputs &amp; Assumptions'!$P$31)*EXP('Model Inputs &amp; Assumptions'!$Q$31*S1586-'Model Inputs &amp; Assumptions'!$Q$31^2/2))</f>
        <v>64.447498520825</v>
      </c>
      <c r="I1586" s="49" t="n">
        <f aca="false">IF('Model Inputs &amp; Assumptions'!$H$31="Fixed",'Model Inputs &amp; Assumptions'!$I$31*'Model Inputs &amp; Assumptions'!$K$31,IF('Model Inputs &amp; Assumptions'!$H$31="CPM",'Model Inputs &amp; Assumptions'!$I$31*'Model Inputs &amp; Assumptions'!$K$31*C1586/1000,IF('Model Inputs &amp; Assumptions'!$H$31="CPC",'Model Inputs &amp; Assumptions'!$I$31*'Model Inputs &amp; Assumptions'!$K$31*G1586,0)))</f>
        <v>5355.334692</v>
      </c>
      <c r="J1586" s="50" t="n">
        <f aca="false">H1586*INDEX('Model Inputs &amp; Assumptions'!$D$40:$D$42,MATCH('Model Inputs &amp; Assumptions'!$L$31,'Model Inputs &amp; Assumptions'!$A$40:$A$42,0))*INDEX('Model Inputs &amp; Assumptions'!$H$40:$H$42,MATCH('Model Inputs &amp; Assumptions'!$L$31,'Model Inputs &amp; Assumptions'!$A$40:$A$42,0))</f>
        <v>464021.98934994</v>
      </c>
      <c r="K1586" s="49" t="n">
        <f aca="false">H1586*INDEX('Model Inputs &amp; Assumptions'!$G$40:$G$42,MATCH('Model Inputs &amp; Assumptions'!$L$31,'Model Inputs &amp; Assumptions'!$A$40:$A$42,0))*INDEX('Model Inputs &amp; Assumptions'!$H$40:$H$42,MATCH('Model Inputs &amp; Assumptions'!$L$31,'Model Inputs &amp; Assumptions'!$A$40:$A$42,0))</f>
        <v>10231.6848651662</v>
      </c>
      <c r="L1586" s="51" t="n">
        <f aca="false">IFERROR(K1586/I1586,0)</f>
        <v>1.9105593681102</v>
      </c>
      <c r="M1586" s="49" t="n">
        <f aca="false">IFERROR(I1586/H1586,0)</f>
        <v>83.0960830895481</v>
      </c>
      <c r="N1586" s="52" t="str">
        <f aca="false">'Model Inputs &amp; Assumptions'!$L$31</f>
        <v>PRD-USIQ</v>
      </c>
      <c r="P1586" s="53" t="n">
        <v>0.07999</v>
      </c>
      <c r="Q1586" s="53" t="n">
        <v>-1.346424</v>
      </c>
      <c r="R1586" s="53" t="n">
        <v>-1.132153</v>
      </c>
      <c r="S1586" s="53" t="n">
        <v>1.23471</v>
      </c>
    </row>
    <row r="1587" customFormat="false" ht="15" hidden="false" customHeight="false" outlineLevel="0" collapsed="false">
      <c r="A1587" s="43" t="n">
        <v>84</v>
      </c>
      <c r="B1587" s="44" t="str">
        <f aca="false">'Model Inputs &amp; Assumptions'!$B$31</f>
        <v>YouTube — Finfluencer Pre-roll</v>
      </c>
      <c r="C1587" s="45" t="n">
        <f aca="false">ROUND(MAX(0,'Model Inputs &amp; Assumptions'!$S$31*EXP('Model Inputs &amp; Assumptions'!$T$31*P1587-'Model Inputs &amp; Assumptions'!$T$31^2/2)),0)</f>
        <v>335058</v>
      </c>
      <c r="D1587" s="46" t="n">
        <f aca="false">MIN(1,'Model Inputs &amp; Assumptions'!$U$31*EXP('Model Inputs &amp; Assumptions'!$V$31*Q1587-'Model Inputs &amp; Assumptions'!$V$31^2/2))</f>
        <v>0.507942177306273</v>
      </c>
      <c r="E1587" s="45" t="n">
        <f aca="false">ROUND(C1587*D1587,0)</f>
        <v>170190</v>
      </c>
      <c r="F1587" s="47" t="n">
        <f aca="false">MIN(1,'Model Inputs &amp; Assumptions'!$W$31*EXP('Model Inputs &amp; Assumptions'!$X$31*R1587-'Model Inputs &amp; Assumptions'!$X$31^2/2))</f>
        <v>0.00631074813195582</v>
      </c>
      <c r="G1587" s="45" t="n">
        <f aca="false">ROUND(C1587*F1587,0)</f>
        <v>2114</v>
      </c>
      <c r="H1587" s="48" t="n">
        <f aca="false">MAX(0,(C1587*'Model Inputs &amp; Assumptions'!$N$31+E1587*'Model Inputs &amp; Assumptions'!$O$31+G1587*'Model Inputs &amp; Assumptions'!$P$31)*EXP('Model Inputs &amp; Assumptions'!$Q$31*S1587-'Model Inputs &amp; Assumptions'!$Q$31^2/2))</f>
        <v>55.0944931981518</v>
      </c>
      <c r="I1587" s="49" t="n">
        <f aca="false">IF('Model Inputs &amp; Assumptions'!$H$31="Fixed",'Model Inputs &amp; Assumptions'!$I$31*'Model Inputs &amp; Assumptions'!$K$31,IF('Model Inputs &amp; Assumptions'!$H$31="CPM",'Model Inputs &amp; Assumptions'!$I$31*'Model Inputs &amp; Assumptions'!$K$31*C1587/1000,IF('Model Inputs &amp; Assumptions'!$H$31="CPC",'Model Inputs &amp; Assumptions'!$I$31*'Model Inputs &amp; Assumptions'!$K$31*G1587,0)))</f>
        <v>3801.568068</v>
      </c>
      <c r="J1587" s="50" t="n">
        <f aca="false">H1587*INDEX('Model Inputs &amp; Assumptions'!$D$40:$D$42,MATCH('Model Inputs &amp; Assumptions'!$L$31,'Model Inputs &amp; Assumptions'!$A$40:$A$42,0))*INDEX('Model Inputs &amp; Assumptions'!$H$40:$H$42,MATCH('Model Inputs &amp; Assumptions'!$L$31,'Model Inputs &amp; Assumptions'!$A$40:$A$42,0))</f>
        <v>396680.351026693</v>
      </c>
      <c r="K1587" s="49" t="n">
        <f aca="false">H1587*INDEX('Model Inputs &amp; Assumptions'!$G$40:$G$42,MATCH('Model Inputs &amp; Assumptions'!$L$31,'Model Inputs &amp; Assumptions'!$A$40:$A$42,0))*INDEX('Model Inputs &amp; Assumptions'!$H$40:$H$42,MATCH('Model Inputs &amp; Assumptions'!$L$31,'Model Inputs &amp; Assumptions'!$A$40:$A$42,0))</f>
        <v>8746.80174013857</v>
      </c>
      <c r="L1587" s="51" t="n">
        <f aca="false">IFERROR(K1587/I1587,0)</f>
        <v>2.30084049099777</v>
      </c>
      <c r="M1587" s="49" t="n">
        <f aca="false">IFERROR(I1587/H1587,0)</f>
        <v>69.0008719079665</v>
      </c>
      <c r="N1587" s="52" t="str">
        <f aca="false">'Model Inputs &amp; Assumptions'!$L$31</f>
        <v>PRD-USIQ</v>
      </c>
      <c r="P1587" s="53" t="n">
        <v>-1.143861</v>
      </c>
      <c r="Q1587" s="53" t="n">
        <v>-0.999678</v>
      </c>
      <c r="R1587" s="53" t="n">
        <v>1.090068</v>
      </c>
      <c r="S1587" s="53" t="n">
        <v>0.732676</v>
      </c>
    </row>
    <row r="1588" customFormat="false" ht="15" hidden="false" customHeight="false" outlineLevel="0" collapsed="false">
      <c r="A1588" s="43" t="n">
        <v>85</v>
      </c>
      <c r="B1588" s="44" t="str">
        <f aca="false">'Model Inputs &amp; Assumptions'!$B$31</f>
        <v>YouTube — Finfluencer Pre-roll</v>
      </c>
      <c r="C1588" s="45" t="n">
        <f aca="false">ROUND(MAX(0,'Model Inputs &amp; Assumptions'!$S$31*EXP('Model Inputs &amp; Assumptions'!$T$31*P1588-'Model Inputs &amp; Assumptions'!$T$31^2/2)),0)</f>
        <v>467828</v>
      </c>
      <c r="D1588" s="46" t="n">
        <f aca="false">MIN(1,'Model Inputs &amp; Assumptions'!$U$31*EXP('Model Inputs &amp; Assumptions'!$V$31*Q1588-'Model Inputs &amp; Assumptions'!$V$31^2/2))</f>
        <v>0.609762695007481</v>
      </c>
      <c r="E1588" s="45" t="n">
        <f aca="false">ROUND(C1588*D1588,0)</f>
        <v>285264</v>
      </c>
      <c r="F1588" s="47" t="n">
        <f aca="false">MIN(1,'Model Inputs &amp; Assumptions'!$W$31*EXP('Model Inputs &amp; Assumptions'!$X$31*R1588-'Model Inputs &amp; Assumptions'!$X$31^2/2))</f>
        <v>0.00531831515196118</v>
      </c>
      <c r="G1588" s="45" t="n">
        <f aca="false">ROUND(C1588*F1588,0)</f>
        <v>2488</v>
      </c>
      <c r="H1588" s="48" t="n">
        <f aca="false">MAX(0,(C1588*'Model Inputs &amp; Assumptions'!$N$31+E1588*'Model Inputs &amp; Assumptions'!$O$31+G1588*'Model Inputs &amp; Assumptions'!$P$31)*EXP('Model Inputs &amp; Assumptions'!$Q$31*S1588-'Model Inputs &amp; Assumptions'!$Q$31^2/2))</f>
        <v>41.6399815473509</v>
      </c>
      <c r="I1588" s="49" t="n">
        <f aca="false">IF('Model Inputs &amp; Assumptions'!$H$31="Fixed",'Model Inputs &amp; Assumptions'!$I$31*'Model Inputs &amp; Assumptions'!$K$31,IF('Model Inputs &amp; Assumptions'!$H$31="CPM",'Model Inputs &amp; Assumptions'!$I$31*'Model Inputs &amp; Assumptions'!$K$31*C1588/1000,IF('Model Inputs &amp; Assumptions'!$H$31="CPC",'Model Inputs &amp; Assumptions'!$I$31*'Model Inputs &amp; Assumptions'!$K$31*G1588,0)))</f>
        <v>5307.976488</v>
      </c>
      <c r="J1588" s="50" t="n">
        <f aca="false">H1588*INDEX('Model Inputs &amp; Assumptions'!$D$40:$D$42,MATCH('Model Inputs &amp; Assumptions'!$L$31,'Model Inputs &amp; Assumptions'!$A$40:$A$42,0))*INDEX('Model Inputs &amp; Assumptions'!$H$40:$H$42,MATCH('Model Inputs &amp; Assumptions'!$L$31,'Model Inputs &amp; Assumptions'!$A$40:$A$42,0))</f>
        <v>299807.867140927</v>
      </c>
      <c r="K1588" s="49" t="n">
        <f aca="false">H1588*INDEX('Model Inputs &amp; Assumptions'!$G$40:$G$42,MATCH('Model Inputs &amp; Assumptions'!$L$31,'Model Inputs &amp; Assumptions'!$A$40:$A$42,0))*INDEX('Model Inputs &amp; Assumptions'!$H$40:$H$42,MATCH('Model Inputs &amp; Assumptions'!$L$31,'Model Inputs &amp; Assumptions'!$A$40:$A$42,0))</f>
        <v>6610.76347045743</v>
      </c>
      <c r="L1588" s="51" t="n">
        <f aca="false">IFERROR(K1588/I1588,0)</f>
        <v>1.2454394787548</v>
      </c>
      <c r="M1588" s="49" t="n">
        <f aca="false">IFERROR(I1588/H1588,0)</f>
        <v>127.473074933139</v>
      </c>
      <c r="N1588" s="52" t="str">
        <f aca="false">'Model Inputs &amp; Assumptions'!$L$31</f>
        <v>PRD-USIQ</v>
      </c>
      <c r="P1588" s="53" t="n">
        <v>0.048269</v>
      </c>
      <c r="Q1588" s="53" t="n">
        <v>0.305338</v>
      </c>
      <c r="R1588" s="53" t="n">
        <v>0.377161</v>
      </c>
      <c r="S1588" s="53" t="n">
        <v>-0.87538</v>
      </c>
    </row>
    <row r="1589" customFormat="false" ht="15" hidden="false" customHeight="false" outlineLevel="0" collapsed="false">
      <c r="A1589" s="43" t="n">
        <v>86</v>
      </c>
      <c r="B1589" s="44" t="str">
        <f aca="false">'Model Inputs &amp; Assumptions'!$B$31</f>
        <v>YouTube — Finfluencer Pre-roll</v>
      </c>
      <c r="C1589" s="45" t="n">
        <f aca="false">ROUND(MAX(0,'Model Inputs &amp; Assumptions'!$S$31*EXP('Model Inputs &amp; Assumptions'!$T$31*P1589-'Model Inputs &amp; Assumptions'!$T$31^2/2)),0)</f>
        <v>375413</v>
      </c>
      <c r="D1589" s="46" t="n">
        <f aca="false">MIN(1,'Model Inputs &amp; Assumptions'!$U$31*EXP('Model Inputs &amp; Assumptions'!$V$31*Q1589-'Model Inputs &amp; Assumptions'!$V$31^2/2))</f>
        <v>0.599540457083157</v>
      </c>
      <c r="E1589" s="45" t="n">
        <f aca="false">ROUND(C1589*D1589,0)</f>
        <v>225075</v>
      </c>
      <c r="F1589" s="47" t="n">
        <f aca="false">MIN(1,'Model Inputs &amp; Assumptions'!$W$31*EXP('Model Inputs &amp; Assumptions'!$X$31*R1589-'Model Inputs &amp; Assumptions'!$X$31^2/2))</f>
        <v>0.00515359594329023</v>
      </c>
      <c r="G1589" s="45" t="n">
        <f aca="false">ROUND(C1589*F1589,0)</f>
        <v>1935</v>
      </c>
      <c r="H1589" s="48" t="n">
        <f aca="false">MAX(0,(C1589*'Model Inputs &amp; Assumptions'!$N$31+E1589*'Model Inputs &amp; Assumptions'!$O$31+G1589*'Model Inputs &amp; Assumptions'!$P$31)*EXP('Model Inputs &amp; Assumptions'!$Q$31*S1589-'Model Inputs &amp; Assumptions'!$Q$31^2/2))</f>
        <v>37.1418051529715</v>
      </c>
      <c r="I1589" s="49" t="n">
        <f aca="false">IF('Model Inputs &amp; Assumptions'!$H$31="Fixed",'Model Inputs &amp; Assumptions'!$I$31*'Model Inputs &amp; Assumptions'!$K$31,IF('Model Inputs &amp; Assumptions'!$H$31="CPM",'Model Inputs &amp; Assumptions'!$I$31*'Model Inputs &amp; Assumptions'!$K$31*C1589/1000,IF('Model Inputs &amp; Assumptions'!$H$31="CPC",'Model Inputs &amp; Assumptions'!$I$31*'Model Inputs &amp; Assumptions'!$K$31*G1589,0)))</f>
        <v>4259.435898</v>
      </c>
      <c r="J1589" s="50" t="n">
        <f aca="false">H1589*INDEX('Model Inputs &amp; Assumptions'!$D$40:$D$42,MATCH('Model Inputs &amp; Assumptions'!$L$31,'Model Inputs &amp; Assumptions'!$A$40:$A$42,0))*INDEX('Model Inputs &amp; Assumptions'!$H$40:$H$42,MATCH('Model Inputs &amp; Assumptions'!$L$31,'Model Inputs &amp; Assumptions'!$A$40:$A$42,0))</f>
        <v>267420.997101395</v>
      </c>
      <c r="K1589" s="49" t="n">
        <f aca="false">H1589*INDEX('Model Inputs &amp; Assumptions'!$G$40:$G$42,MATCH('Model Inputs &amp; Assumptions'!$L$31,'Model Inputs &amp; Assumptions'!$A$40:$A$42,0))*INDEX('Model Inputs &amp; Assumptions'!$H$40:$H$42,MATCH('Model Inputs &amp; Assumptions'!$L$31,'Model Inputs &amp; Assumptions'!$A$40:$A$42,0))</f>
        <v>5896.63298608576</v>
      </c>
      <c r="L1589" s="51" t="n">
        <f aca="false">IFERROR(K1589/I1589,0)</f>
        <v>1.38436946283298</v>
      </c>
      <c r="M1589" s="49" t="n">
        <f aca="false">IFERROR(I1589/H1589,0)</f>
        <v>114.680368400436</v>
      </c>
      <c r="N1589" s="52" t="str">
        <f aca="false">'Model Inputs &amp; Assumptions'!$L$31</f>
        <v>PRD-USIQ</v>
      </c>
      <c r="P1589" s="53" t="n">
        <v>-0.737713</v>
      </c>
      <c r="Q1589" s="53" t="n">
        <v>0.184578</v>
      </c>
      <c r="R1589" s="53" t="n">
        <v>0.24607</v>
      </c>
      <c r="S1589" s="53" t="n">
        <v>-0.499468</v>
      </c>
    </row>
    <row r="1590" customFormat="false" ht="15" hidden="false" customHeight="false" outlineLevel="0" collapsed="false">
      <c r="A1590" s="43" t="n">
        <v>87</v>
      </c>
      <c r="B1590" s="44" t="str">
        <f aca="false">'Model Inputs &amp; Assumptions'!$B$31</f>
        <v>YouTube — Finfluencer Pre-roll</v>
      </c>
      <c r="C1590" s="45" t="n">
        <f aca="false">ROUND(MAX(0,'Model Inputs &amp; Assumptions'!$S$31*EXP('Model Inputs &amp; Assumptions'!$T$31*P1590-'Model Inputs &amp; Assumptions'!$T$31^2/2)),0)</f>
        <v>411730</v>
      </c>
      <c r="D1590" s="46" t="n">
        <f aca="false">MIN(1,'Model Inputs &amp; Assumptions'!$U$31*EXP('Model Inputs &amp; Assumptions'!$V$31*Q1590-'Model Inputs &amp; Assumptions'!$V$31^2/2))</f>
        <v>0.558281947428811</v>
      </c>
      <c r="E1590" s="45" t="n">
        <f aca="false">ROUND(C1590*D1590,0)</f>
        <v>229861</v>
      </c>
      <c r="F1590" s="47" t="n">
        <f aca="false">MIN(1,'Model Inputs &amp; Assumptions'!$W$31*EXP('Model Inputs &amp; Assumptions'!$X$31*R1590-'Model Inputs &amp; Assumptions'!$X$31^2/2))</f>
        <v>0.00469735128010842</v>
      </c>
      <c r="G1590" s="45" t="n">
        <f aca="false">ROUND(C1590*F1590,0)</f>
        <v>1934</v>
      </c>
      <c r="H1590" s="48" t="n">
        <f aca="false">MAX(0,(C1590*'Model Inputs &amp; Assumptions'!$N$31+E1590*'Model Inputs &amp; Assumptions'!$O$31+G1590*'Model Inputs &amp; Assumptions'!$P$31)*EXP('Model Inputs &amp; Assumptions'!$Q$31*S1590-'Model Inputs &amp; Assumptions'!$Q$31^2/2))</f>
        <v>75.9853341329426</v>
      </c>
      <c r="I1590" s="49" t="n">
        <f aca="false">IF('Model Inputs &amp; Assumptions'!$H$31="Fixed",'Model Inputs &amp; Assumptions'!$I$31*'Model Inputs &amp; Assumptions'!$K$31,IF('Model Inputs &amp; Assumptions'!$H$31="CPM",'Model Inputs &amp; Assumptions'!$I$31*'Model Inputs &amp; Assumptions'!$K$31*C1590/1000,IF('Model Inputs &amp; Assumptions'!$H$31="CPC",'Model Inputs &amp; Assumptions'!$I$31*'Model Inputs &amp; Assumptions'!$K$31*G1590,0)))</f>
        <v>4671.48858</v>
      </c>
      <c r="J1590" s="50" t="n">
        <f aca="false">H1590*INDEX('Model Inputs &amp; Assumptions'!$D$40:$D$42,MATCH('Model Inputs &amp; Assumptions'!$L$31,'Model Inputs &amp; Assumptions'!$A$40:$A$42,0))*INDEX('Model Inputs &amp; Assumptions'!$H$40:$H$42,MATCH('Model Inputs &amp; Assumptions'!$L$31,'Model Inputs &amp; Assumptions'!$A$40:$A$42,0))</f>
        <v>547094.405757187</v>
      </c>
      <c r="K1590" s="49" t="n">
        <f aca="false">H1590*INDEX('Model Inputs &amp; Assumptions'!$G$40:$G$42,MATCH('Model Inputs &amp; Assumptions'!$L$31,'Model Inputs &amp; Assumptions'!$A$40:$A$42,0))*INDEX('Model Inputs &amp; Assumptions'!$H$40:$H$42,MATCH('Model Inputs &amp; Assumptions'!$L$31,'Model Inputs &amp; Assumptions'!$A$40:$A$42,0))</f>
        <v>12063.431646946</v>
      </c>
      <c r="L1590" s="51" t="n">
        <f aca="false">IFERROR(K1590/I1590,0)</f>
        <v>2.58235280689608</v>
      </c>
      <c r="M1590" s="49" t="n">
        <f aca="false">IFERROR(I1590/H1590,0)</f>
        <v>61.4788186866014</v>
      </c>
      <c r="N1590" s="52" t="str">
        <f aca="false">'Model Inputs &amp; Assumptions'!$L$31</f>
        <v>PRD-USIQ</v>
      </c>
      <c r="P1590" s="53" t="n">
        <v>-0.40792</v>
      </c>
      <c r="Q1590" s="53" t="n">
        <v>-0.324703</v>
      </c>
      <c r="R1590" s="53" t="n">
        <v>-0.140163</v>
      </c>
      <c r="S1590" s="53" t="n">
        <v>1.523405</v>
      </c>
    </row>
    <row r="1591" customFormat="false" ht="15" hidden="false" customHeight="false" outlineLevel="0" collapsed="false">
      <c r="A1591" s="43" t="n">
        <v>88</v>
      </c>
      <c r="B1591" s="44" t="str">
        <f aca="false">'Model Inputs &amp; Assumptions'!$B$31</f>
        <v>YouTube — Finfluencer Pre-roll</v>
      </c>
      <c r="C1591" s="45" t="n">
        <f aca="false">ROUND(MAX(0,'Model Inputs &amp; Assumptions'!$S$31*EXP('Model Inputs &amp; Assumptions'!$T$31*P1591-'Model Inputs &amp; Assumptions'!$T$31^2/2)),0)</f>
        <v>383708</v>
      </c>
      <c r="D1591" s="46" t="n">
        <f aca="false">MIN(1,'Model Inputs &amp; Assumptions'!$U$31*EXP('Model Inputs &amp; Assumptions'!$V$31*Q1591-'Model Inputs &amp; Assumptions'!$V$31^2/2))</f>
        <v>0.461308915324942</v>
      </c>
      <c r="E1591" s="45" t="n">
        <f aca="false">ROUND(C1591*D1591,0)</f>
        <v>177008</v>
      </c>
      <c r="F1591" s="47" t="n">
        <f aca="false">MIN(1,'Model Inputs &amp; Assumptions'!$W$31*EXP('Model Inputs &amp; Assumptions'!$X$31*R1591-'Model Inputs &amp; Assumptions'!$X$31^2/2))</f>
        <v>0.0043536457277869</v>
      </c>
      <c r="G1591" s="45" t="n">
        <f aca="false">ROUND(C1591*F1591,0)</f>
        <v>1671</v>
      </c>
      <c r="H1591" s="48" t="n">
        <f aca="false">MAX(0,(C1591*'Model Inputs &amp; Assumptions'!$N$31+E1591*'Model Inputs &amp; Assumptions'!$O$31+G1591*'Model Inputs &amp; Assumptions'!$P$31)*EXP('Model Inputs &amp; Assumptions'!$Q$31*S1591-'Model Inputs &amp; Assumptions'!$Q$31^2/2))</f>
        <v>44.0457675370224</v>
      </c>
      <c r="I1591" s="49" t="n">
        <f aca="false">IF('Model Inputs &amp; Assumptions'!$H$31="Fixed",'Model Inputs &amp; Assumptions'!$I$31*'Model Inputs &amp; Assumptions'!$K$31,IF('Model Inputs &amp; Assumptions'!$H$31="CPM",'Model Inputs &amp; Assumptions'!$I$31*'Model Inputs &amp; Assumptions'!$K$31*C1591/1000,IF('Model Inputs &amp; Assumptions'!$H$31="CPC",'Model Inputs &amp; Assumptions'!$I$31*'Model Inputs &amp; Assumptions'!$K$31*G1591,0)))</f>
        <v>4353.550968</v>
      </c>
      <c r="J1591" s="50" t="n">
        <f aca="false">H1591*INDEX('Model Inputs &amp; Assumptions'!$D$40:$D$42,MATCH('Model Inputs &amp; Assumptions'!$L$31,'Model Inputs &amp; Assumptions'!$A$40:$A$42,0))*INDEX('Model Inputs &amp; Assumptions'!$H$40:$H$42,MATCH('Model Inputs &amp; Assumptions'!$L$31,'Model Inputs &amp; Assumptions'!$A$40:$A$42,0))</f>
        <v>317129.526266561</v>
      </c>
      <c r="K1591" s="49" t="n">
        <f aca="false">H1591*INDEX('Model Inputs &amp; Assumptions'!$G$40:$G$42,MATCH('Model Inputs &amp; Assumptions'!$L$31,'Model Inputs &amp; Assumptions'!$A$40:$A$42,0))*INDEX('Model Inputs &amp; Assumptions'!$H$40:$H$42,MATCH('Model Inputs &amp; Assumptions'!$L$31,'Model Inputs &amp; Assumptions'!$A$40:$A$42,0))</f>
        <v>6992.70605417768</v>
      </c>
      <c r="L1591" s="51" t="n">
        <f aca="false">IFERROR(K1591/I1591,0)</f>
        <v>1.60620746273015</v>
      </c>
      <c r="M1591" s="49" t="n">
        <f aca="false">IFERROR(I1591/H1591,0)</f>
        <v>98.8415280614794</v>
      </c>
      <c r="N1591" s="52" t="str">
        <f aca="false">'Model Inputs &amp; Assumptions'!$L$31</f>
        <v>PRD-USIQ</v>
      </c>
      <c r="P1591" s="53" t="n">
        <v>-0.659656</v>
      </c>
      <c r="Q1591" s="53" t="n">
        <v>-1.687533</v>
      </c>
      <c r="R1591" s="53" t="n">
        <v>-0.456768</v>
      </c>
      <c r="S1591" s="53" t="n">
        <v>0.506139</v>
      </c>
    </row>
    <row r="1592" customFormat="false" ht="15" hidden="false" customHeight="false" outlineLevel="0" collapsed="false">
      <c r="A1592" s="43" t="n">
        <v>89</v>
      </c>
      <c r="B1592" s="44" t="str">
        <f aca="false">'Model Inputs &amp; Assumptions'!$B$31</f>
        <v>YouTube — Finfluencer Pre-roll</v>
      </c>
      <c r="C1592" s="45" t="n">
        <f aca="false">ROUND(MAX(0,'Model Inputs &amp; Assumptions'!$S$31*EXP('Model Inputs &amp; Assumptions'!$T$31*P1592-'Model Inputs &amp; Assumptions'!$T$31^2/2)),0)</f>
        <v>522009</v>
      </c>
      <c r="D1592" s="46" t="n">
        <f aca="false">MIN(1,'Model Inputs &amp; Assumptions'!$U$31*EXP('Model Inputs &amp; Assumptions'!$V$31*Q1592-'Model Inputs &amp; Assumptions'!$V$31^2/2))</f>
        <v>0.52696780568829</v>
      </c>
      <c r="E1592" s="45" t="n">
        <f aca="false">ROUND(C1592*D1592,0)</f>
        <v>275082</v>
      </c>
      <c r="F1592" s="47" t="n">
        <f aca="false">MIN(1,'Model Inputs &amp; Assumptions'!$W$31*EXP('Model Inputs &amp; Assumptions'!$X$31*R1592-'Model Inputs &amp; Assumptions'!$X$31^2/2))</f>
        <v>0.00551920281581012</v>
      </c>
      <c r="G1592" s="45" t="n">
        <f aca="false">ROUND(C1592*F1592,0)</f>
        <v>2881</v>
      </c>
      <c r="H1592" s="48" t="n">
        <f aca="false">MAX(0,(C1592*'Model Inputs &amp; Assumptions'!$N$31+E1592*'Model Inputs &amp; Assumptions'!$O$31+G1592*'Model Inputs &amp; Assumptions'!$P$31)*EXP('Model Inputs &amp; Assumptions'!$Q$31*S1592-'Model Inputs &amp; Assumptions'!$Q$31^2/2))</f>
        <v>80.1896728494777</v>
      </c>
      <c r="I1592" s="49" t="n">
        <f aca="false">IF('Model Inputs &amp; Assumptions'!$H$31="Fixed",'Model Inputs &amp; Assumptions'!$I$31*'Model Inputs &amp; Assumptions'!$K$31,IF('Model Inputs &amp; Assumptions'!$H$31="CPM",'Model Inputs &amp; Assumptions'!$I$31*'Model Inputs &amp; Assumptions'!$K$31*C1592/1000,IF('Model Inputs &amp; Assumptions'!$H$31="CPC",'Model Inputs &amp; Assumptions'!$I$31*'Model Inputs &amp; Assumptions'!$K$31*G1592,0)))</f>
        <v>5922.714114</v>
      </c>
      <c r="J1592" s="50" t="n">
        <f aca="false">H1592*INDEX('Model Inputs &amp; Assumptions'!$D$40:$D$42,MATCH('Model Inputs &amp; Assumptions'!$L$31,'Model Inputs &amp; Assumptions'!$A$40:$A$42,0))*INDEX('Model Inputs &amp; Assumptions'!$H$40:$H$42,MATCH('Model Inputs &amp; Assumptions'!$L$31,'Model Inputs &amp; Assumptions'!$A$40:$A$42,0))</f>
        <v>577365.644516239</v>
      </c>
      <c r="K1592" s="49" t="n">
        <f aca="false">H1592*INDEX('Model Inputs &amp; Assumptions'!$G$40:$G$42,MATCH('Model Inputs &amp; Assumptions'!$L$31,'Model Inputs &amp; Assumptions'!$A$40:$A$42,0))*INDEX('Model Inputs &amp; Assumptions'!$H$40:$H$42,MATCH('Model Inputs &amp; Assumptions'!$L$31,'Model Inputs &amp; Assumptions'!$A$40:$A$42,0))</f>
        <v>12730.9124615831</v>
      </c>
      <c r="L1592" s="51" t="n">
        <f aca="false">IFERROR(K1592/I1592,0)</f>
        <v>2.14950649593064</v>
      </c>
      <c r="M1592" s="49" t="n">
        <f aca="false">IFERROR(I1592/H1592,0)</f>
        <v>73.8588137791434</v>
      </c>
      <c r="N1592" s="52" t="str">
        <f aca="false">'Model Inputs &amp; Assumptions'!$L$31</f>
        <v>PRD-USIQ</v>
      </c>
      <c r="P1592" s="53" t="n">
        <v>0.439641</v>
      </c>
      <c r="Q1592" s="53" t="n">
        <v>-0.737022</v>
      </c>
      <c r="R1592" s="53" t="n">
        <v>0.531648</v>
      </c>
      <c r="S1592" s="53" t="n">
        <v>0.765299</v>
      </c>
    </row>
    <row r="1593" customFormat="false" ht="15" hidden="false" customHeight="false" outlineLevel="0" collapsed="false">
      <c r="A1593" s="43" t="n">
        <v>90</v>
      </c>
      <c r="B1593" s="44" t="str">
        <f aca="false">'Model Inputs &amp; Assumptions'!$B$31</f>
        <v>YouTube — Finfluencer Pre-roll</v>
      </c>
      <c r="C1593" s="45" t="n">
        <f aca="false">ROUND(MAX(0,'Model Inputs &amp; Assumptions'!$S$31*EXP('Model Inputs &amp; Assumptions'!$T$31*P1593-'Model Inputs &amp; Assumptions'!$T$31^2/2)),0)</f>
        <v>734488</v>
      </c>
      <c r="D1593" s="46" t="n">
        <f aca="false">MIN(1,'Model Inputs &amp; Assumptions'!$U$31*EXP('Model Inputs &amp; Assumptions'!$V$31*Q1593-'Model Inputs &amp; Assumptions'!$V$31^2/2))</f>
        <v>0.535338424945625</v>
      </c>
      <c r="E1593" s="45" t="n">
        <f aca="false">ROUND(C1593*D1593,0)</f>
        <v>393200</v>
      </c>
      <c r="F1593" s="47" t="n">
        <f aca="false">MIN(1,'Model Inputs &amp; Assumptions'!$W$31*EXP('Model Inputs &amp; Assumptions'!$X$31*R1593-'Model Inputs &amp; Assumptions'!$X$31^2/2))</f>
        <v>0.00551109951596288</v>
      </c>
      <c r="G1593" s="45" t="n">
        <f aca="false">ROUND(C1593*F1593,0)</f>
        <v>4048</v>
      </c>
      <c r="H1593" s="48" t="n">
        <f aca="false">MAX(0,(C1593*'Model Inputs &amp; Assumptions'!$N$31+E1593*'Model Inputs &amp; Assumptions'!$O$31+G1593*'Model Inputs &amp; Assumptions'!$P$31)*EXP('Model Inputs &amp; Assumptions'!$Q$31*S1593-'Model Inputs &amp; Assumptions'!$Q$31^2/2))</f>
        <v>85.9205724206631</v>
      </c>
      <c r="I1593" s="49" t="n">
        <f aca="false">IF('Model Inputs &amp; Assumptions'!$H$31="Fixed",'Model Inputs &amp; Assumptions'!$I$31*'Model Inputs &amp; Assumptions'!$K$31,IF('Model Inputs &amp; Assumptions'!$H$31="CPM",'Model Inputs &amp; Assumptions'!$I$31*'Model Inputs &amp; Assumptions'!$K$31*C1593/1000,IF('Model Inputs &amp; Assumptions'!$H$31="CPC",'Model Inputs &amp; Assumptions'!$I$31*'Model Inputs &amp; Assumptions'!$K$31*G1593,0)))</f>
        <v>8333.500848</v>
      </c>
      <c r="J1593" s="50" t="n">
        <f aca="false">H1593*INDEX('Model Inputs &amp; Assumptions'!$D$40:$D$42,MATCH('Model Inputs &amp; Assumptions'!$L$31,'Model Inputs &amp; Assumptions'!$A$40:$A$42,0))*INDEX('Model Inputs &amp; Assumptions'!$H$40:$H$42,MATCH('Model Inputs &amp; Assumptions'!$L$31,'Model Inputs &amp; Assumptions'!$A$40:$A$42,0))</f>
        <v>618628.121428774</v>
      </c>
      <c r="K1593" s="49" t="n">
        <f aca="false">H1593*INDEX('Model Inputs &amp; Assumptions'!$G$40:$G$42,MATCH('Model Inputs &amp; Assumptions'!$L$31,'Model Inputs &amp; Assumptions'!$A$40:$A$42,0))*INDEX('Model Inputs &amp; Assumptions'!$H$40:$H$42,MATCH('Model Inputs &amp; Assumptions'!$L$31,'Model Inputs &amp; Assumptions'!$A$40:$A$42,0))</f>
        <v>13640.7500775045</v>
      </c>
      <c r="L1593" s="51" t="n">
        <f aca="false">IFERROR(K1593/I1593,0)</f>
        <v>1.63685710559185</v>
      </c>
      <c r="M1593" s="49" t="n">
        <f aca="false">IFERROR(I1593/H1593,0)</f>
        <v>96.9907510299113</v>
      </c>
      <c r="N1593" s="52" t="str">
        <f aca="false">'Model Inputs &amp; Assumptions'!$L$31</f>
        <v>PRD-USIQ</v>
      </c>
      <c r="P1593" s="53" t="n">
        <v>1.659243</v>
      </c>
      <c r="Q1593" s="53" t="n">
        <v>-0.624453</v>
      </c>
      <c r="R1593" s="53" t="n">
        <v>0.525526</v>
      </c>
      <c r="S1593" s="53" t="n">
        <v>-0.02579</v>
      </c>
    </row>
    <row r="1594" customFormat="false" ht="15" hidden="false" customHeight="false" outlineLevel="0" collapsed="false">
      <c r="A1594" s="43" t="n">
        <v>91</v>
      </c>
      <c r="B1594" s="44" t="str">
        <f aca="false">'Model Inputs &amp; Assumptions'!$B$31</f>
        <v>YouTube — Finfluencer Pre-roll</v>
      </c>
      <c r="C1594" s="45" t="n">
        <f aca="false">ROUND(MAX(0,'Model Inputs &amp; Assumptions'!$S$31*EXP('Model Inputs &amp; Assumptions'!$T$31*P1594-'Model Inputs &amp; Assumptions'!$T$31^2/2)),0)</f>
        <v>749786</v>
      </c>
      <c r="D1594" s="46" t="n">
        <f aca="false">MIN(1,'Model Inputs &amp; Assumptions'!$U$31*EXP('Model Inputs &amp; Assumptions'!$V$31*Q1594-'Model Inputs &amp; Assumptions'!$V$31^2/2))</f>
        <v>0.444464691187361</v>
      </c>
      <c r="E1594" s="45" t="n">
        <f aca="false">ROUND(C1594*D1594,0)</f>
        <v>333253</v>
      </c>
      <c r="F1594" s="47" t="n">
        <f aca="false">MIN(1,'Model Inputs &amp; Assumptions'!$W$31*EXP('Model Inputs &amp; Assumptions'!$X$31*R1594-'Model Inputs &amp; Assumptions'!$X$31^2/2))</f>
        <v>0.00443105308465839</v>
      </c>
      <c r="G1594" s="45" t="n">
        <f aca="false">ROUND(C1594*F1594,0)</f>
        <v>3322</v>
      </c>
      <c r="H1594" s="48" t="n">
        <f aca="false">MAX(0,(C1594*'Model Inputs &amp; Assumptions'!$N$31+E1594*'Model Inputs &amp; Assumptions'!$O$31+G1594*'Model Inputs &amp; Assumptions'!$P$31)*EXP('Model Inputs &amp; Assumptions'!$Q$31*S1594-'Model Inputs &amp; Assumptions'!$Q$31^2/2))</f>
        <v>47.381452326492</v>
      </c>
      <c r="I1594" s="49" t="n">
        <f aca="false">IF('Model Inputs &amp; Assumptions'!$H$31="Fixed",'Model Inputs &amp; Assumptions'!$I$31*'Model Inputs &amp; Assumptions'!$K$31,IF('Model Inputs &amp; Assumptions'!$H$31="CPM",'Model Inputs &amp; Assumptions'!$I$31*'Model Inputs &amp; Assumptions'!$K$31*C1594/1000,IF('Model Inputs &amp; Assumptions'!$H$31="CPC",'Model Inputs &amp; Assumptions'!$I$31*'Model Inputs &amp; Assumptions'!$K$31*G1594,0)))</f>
        <v>8507.071956</v>
      </c>
      <c r="J1594" s="50" t="n">
        <f aca="false">H1594*INDEX('Model Inputs &amp; Assumptions'!$D$40:$D$42,MATCH('Model Inputs &amp; Assumptions'!$L$31,'Model Inputs &amp; Assumptions'!$A$40:$A$42,0))*INDEX('Model Inputs &amp; Assumptions'!$H$40:$H$42,MATCH('Model Inputs &amp; Assumptions'!$L$31,'Model Inputs &amp; Assumptions'!$A$40:$A$42,0))</f>
        <v>341146.456750743</v>
      </c>
      <c r="K1594" s="49" t="n">
        <f aca="false">H1594*INDEX('Model Inputs &amp; Assumptions'!$G$40:$G$42,MATCH('Model Inputs &amp; Assumptions'!$L$31,'Model Inputs &amp; Assumptions'!$A$40:$A$42,0))*INDEX('Model Inputs &amp; Assumptions'!$H$40:$H$42,MATCH('Model Inputs &amp; Assumptions'!$L$31,'Model Inputs &amp; Assumptions'!$A$40:$A$42,0))</f>
        <v>7522.27937135387</v>
      </c>
      <c r="L1594" s="51" t="n">
        <f aca="false">IFERROR(K1594/I1594,0)</f>
        <v>0.884238361948784</v>
      </c>
      <c r="M1594" s="49" t="n">
        <f aca="false">IFERROR(I1594/H1594,0)</f>
        <v>179.544347804711</v>
      </c>
      <c r="N1594" s="52" t="str">
        <f aca="false">'Model Inputs &amp; Assumptions'!$L$31</f>
        <v>PRD-USIQ</v>
      </c>
      <c r="P1594" s="53" t="n">
        <v>1.732864</v>
      </c>
      <c r="Q1594" s="53" t="n">
        <v>-1.953228</v>
      </c>
      <c r="R1594" s="53" t="n">
        <v>-0.383336</v>
      </c>
      <c r="S1594" s="53" t="n">
        <v>-1.193378</v>
      </c>
    </row>
    <row r="1595" customFormat="false" ht="15" hidden="false" customHeight="false" outlineLevel="0" collapsed="false">
      <c r="A1595" s="43" t="n">
        <v>92</v>
      </c>
      <c r="B1595" s="44" t="str">
        <f aca="false">'Model Inputs &amp; Assumptions'!$B$31</f>
        <v>YouTube — Finfluencer Pre-roll</v>
      </c>
      <c r="C1595" s="45" t="n">
        <f aca="false">ROUND(MAX(0,'Model Inputs &amp; Assumptions'!$S$31*EXP('Model Inputs &amp; Assumptions'!$T$31*P1595-'Model Inputs &amp; Assumptions'!$T$31^2/2)),0)</f>
        <v>382420</v>
      </c>
      <c r="D1595" s="46" t="n">
        <f aca="false">MIN(1,'Model Inputs &amp; Assumptions'!$U$31*EXP('Model Inputs &amp; Assumptions'!$V$31*Q1595-'Model Inputs &amp; Assumptions'!$V$31^2/2))</f>
        <v>0.651406151888191</v>
      </c>
      <c r="E1595" s="45" t="n">
        <f aca="false">ROUND(C1595*D1595,0)</f>
        <v>249111</v>
      </c>
      <c r="F1595" s="47" t="n">
        <f aca="false">MIN(1,'Model Inputs &amp; Assumptions'!$W$31*EXP('Model Inputs &amp; Assumptions'!$X$31*R1595-'Model Inputs &amp; Assumptions'!$X$31^2/2))</f>
        <v>0.00728598261451529</v>
      </c>
      <c r="G1595" s="45" t="n">
        <f aca="false">ROUND(C1595*F1595,0)</f>
        <v>2786</v>
      </c>
      <c r="H1595" s="48" t="n">
        <f aca="false">MAX(0,(C1595*'Model Inputs &amp; Assumptions'!$N$31+E1595*'Model Inputs &amp; Assumptions'!$O$31+G1595*'Model Inputs &amp; Assumptions'!$P$31)*EXP('Model Inputs &amp; Assumptions'!$Q$31*S1595-'Model Inputs &amp; Assumptions'!$Q$31^2/2))</f>
        <v>65.4579355412861</v>
      </c>
      <c r="I1595" s="49" t="n">
        <f aca="false">IF('Model Inputs &amp; Assumptions'!$H$31="Fixed",'Model Inputs &amp; Assumptions'!$I$31*'Model Inputs &amp; Assumptions'!$K$31,IF('Model Inputs &amp; Assumptions'!$H$31="CPM",'Model Inputs &amp; Assumptions'!$I$31*'Model Inputs &amp; Assumptions'!$K$31*C1595/1000,IF('Model Inputs &amp; Assumptions'!$H$31="CPC",'Model Inputs &amp; Assumptions'!$I$31*'Model Inputs &amp; Assumptions'!$K$31*G1595,0)))</f>
        <v>4338.93732</v>
      </c>
      <c r="J1595" s="50" t="n">
        <f aca="false">H1595*INDEX('Model Inputs &amp; Assumptions'!$D$40:$D$42,MATCH('Model Inputs &amp; Assumptions'!$L$31,'Model Inputs &amp; Assumptions'!$A$40:$A$42,0))*INDEX('Model Inputs &amp; Assumptions'!$H$40:$H$42,MATCH('Model Inputs &amp; Assumptions'!$L$31,'Model Inputs &amp; Assumptions'!$A$40:$A$42,0))</f>
        <v>471297.13589726</v>
      </c>
      <c r="K1595" s="49" t="n">
        <f aca="false">H1595*INDEX('Model Inputs &amp; Assumptions'!$G$40:$G$42,MATCH('Model Inputs &amp; Assumptions'!$L$31,'Model Inputs &amp; Assumptions'!$A$40:$A$42,0))*INDEX('Model Inputs &amp; Assumptions'!$H$40:$H$42,MATCH('Model Inputs &amp; Assumptions'!$L$31,'Model Inputs &amp; Assumptions'!$A$40:$A$42,0))</f>
        <v>10392.1018465346</v>
      </c>
      <c r="L1595" s="51" t="n">
        <f aca="false">IFERROR(K1595/I1595,0)</f>
        <v>2.39507996546366</v>
      </c>
      <c r="M1595" s="49" t="n">
        <f aca="false">IFERROR(I1595/H1595,0)</f>
        <v>66.2858870222589</v>
      </c>
      <c r="N1595" s="52" t="str">
        <f aca="false">'Model Inputs &amp; Assumptions'!$L$31</f>
        <v>PRD-USIQ</v>
      </c>
      <c r="P1595" s="53" t="n">
        <v>-0.671667</v>
      </c>
      <c r="Q1595" s="53" t="n">
        <v>0.77722</v>
      </c>
      <c r="R1595" s="53" t="n">
        <v>1.68881</v>
      </c>
      <c r="S1595" s="53" t="n">
        <v>0.343051</v>
      </c>
    </row>
    <row r="1596" customFormat="false" ht="15" hidden="false" customHeight="false" outlineLevel="0" collapsed="false">
      <c r="A1596" s="43" t="n">
        <v>93</v>
      </c>
      <c r="B1596" s="44" t="str">
        <f aca="false">'Model Inputs &amp; Assumptions'!$B$31</f>
        <v>YouTube — Finfluencer Pre-roll</v>
      </c>
      <c r="C1596" s="45" t="n">
        <f aca="false">ROUND(MAX(0,'Model Inputs &amp; Assumptions'!$S$31*EXP('Model Inputs &amp; Assumptions'!$T$31*P1596-'Model Inputs &amp; Assumptions'!$T$31^2/2)),0)</f>
        <v>451676</v>
      </c>
      <c r="D1596" s="46" t="n">
        <f aca="false">MIN(1,'Model Inputs &amp; Assumptions'!$U$31*EXP('Model Inputs &amp; Assumptions'!$V$31*Q1596-'Model Inputs &amp; Assumptions'!$V$31^2/2))</f>
        <v>0.575789070683675</v>
      </c>
      <c r="E1596" s="45" t="n">
        <f aca="false">ROUND(C1596*D1596,0)</f>
        <v>260070</v>
      </c>
      <c r="F1596" s="47" t="n">
        <f aca="false">MIN(1,'Model Inputs &amp; Assumptions'!$W$31*EXP('Model Inputs &amp; Assumptions'!$X$31*R1596-'Model Inputs &amp; Assumptions'!$X$31^2/2))</f>
        <v>0.00473700705099415</v>
      </c>
      <c r="G1596" s="45" t="n">
        <f aca="false">ROUND(C1596*F1596,0)</f>
        <v>2140</v>
      </c>
      <c r="H1596" s="48" t="n">
        <f aca="false">MAX(0,(C1596*'Model Inputs &amp; Assumptions'!$N$31+E1596*'Model Inputs &amp; Assumptions'!$O$31+G1596*'Model Inputs &amp; Assumptions'!$P$31)*EXP('Model Inputs &amp; Assumptions'!$Q$31*S1596-'Model Inputs &amp; Assumptions'!$Q$31^2/2))</f>
        <v>43.3965434261102</v>
      </c>
      <c r="I1596" s="49" t="n">
        <f aca="false">IF('Model Inputs &amp; Assumptions'!$H$31="Fixed",'Model Inputs &amp; Assumptions'!$I$31*'Model Inputs &amp; Assumptions'!$K$31,IF('Model Inputs &amp; Assumptions'!$H$31="CPM",'Model Inputs &amp; Assumptions'!$I$31*'Model Inputs &amp; Assumptions'!$K$31*C1596/1000,IF('Model Inputs &amp; Assumptions'!$H$31="CPC",'Model Inputs &amp; Assumptions'!$I$31*'Model Inputs &amp; Assumptions'!$K$31*G1596,0)))</f>
        <v>5124.715896</v>
      </c>
      <c r="J1596" s="50" t="n">
        <f aca="false">H1596*INDEX('Model Inputs &amp; Assumptions'!$D$40:$D$42,MATCH('Model Inputs &amp; Assumptions'!$L$31,'Model Inputs &amp; Assumptions'!$A$40:$A$42,0))*INDEX('Model Inputs &amp; Assumptions'!$H$40:$H$42,MATCH('Model Inputs &amp; Assumptions'!$L$31,'Model Inputs &amp; Assumptions'!$A$40:$A$42,0))</f>
        <v>312455.112667993</v>
      </c>
      <c r="K1596" s="49" t="n">
        <f aca="false">H1596*INDEX('Model Inputs &amp; Assumptions'!$G$40:$G$42,MATCH('Model Inputs &amp; Assumptions'!$L$31,'Model Inputs &amp; Assumptions'!$A$40:$A$42,0))*INDEX('Model Inputs &amp; Assumptions'!$H$40:$H$42,MATCH('Model Inputs &amp; Assumptions'!$L$31,'Model Inputs &amp; Assumptions'!$A$40:$A$42,0))</f>
        <v>6889.63523432925</v>
      </c>
      <c r="L1596" s="51" t="n">
        <f aca="false">IFERROR(K1596/I1596,0)</f>
        <v>1.34439359647367</v>
      </c>
      <c r="M1596" s="49" t="n">
        <f aca="false">IFERROR(I1596/H1596,0)</f>
        <v>118.09041668781</v>
      </c>
      <c r="N1596" s="52" t="str">
        <f aca="false">'Model Inputs &amp; Assumptions'!$L$31</f>
        <v>PRD-USIQ</v>
      </c>
      <c r="P1596" s="53" t="n">
        <v>-0.077215</v>
      </c>
      <c r="Q1596" s="53" t="n">
        <v>-0.104151</v>
      </c>
      <c r="R1596" s="53" t="n">
        <v>-0.105135</v>
      </c>
      <c r="S1596" s="53" t="n">
        <v>-0.391084</v>
      </c>
    </row>
    <row r="1597" customFormat="false" ht="15" hidden="false" customHeight="false" outlineLevel="0" collapsed="false">
      <c r="A1597" s="43" t="n">
        <v>94</v>
      </c>
      <c r="B1597" s="44" t="str">
        <f aca="false">'Model Inputs &amp; Assumptions'!$B$31</f>
        <v>YouTube — Finfluencer Pre-roll</v>
      </c>
      <c r="C1597" s="45" t="n">
        <f aca="false">ROUND(MAX(0,'Model Inputs &amp; Assumptions'!$S$31*EXP('Model Inputs &amp; Assumptions'!$T$31*P1597-'Model Inputs &amp; Assumptions'!$T$31^2/2)),0)</f>
        <v>362440</v>
      </c>
      <c r="D1597" s="46" t="n">
        <f aca="false">MIN(1,'Model Inputs &amp; Assumptions'!$U$31*EXP('Model Inputs &amp; Assumptions'!$V$31*Q1597-'Model Inputs &amp; Assumptions'!$V$31^2/2))</f>
        <v>0.62057115821415</v>
      </c>
      <c r="E1597" s="45" t="n">
        <f aca="false">ROUND(C1597*D1597,0)</f>
        <v>224920</v>
      </c>
      <c r="F1597" s="47" t="n">
        <f aca="false">MIN(1,'Model Inputs &amp; Assumptions'!$W$31*EXP('Model Inputs &amp; Assumptions'!$X$31*R1597-'Model Inputs &amp; Assumptions'!$X$31^2/2))</f>
        <v>0.00469097473006284</v>
      </c>
      <c r="G1597" s="45" t="n">
        <f aca="false">ROUND(C1597*F1597,0)</f>
        <v>1700</v>
      </c>
      <c r="H1597" s="48" t="n">
        <f aca="false">MAX(0,(C1597*'Model Inputs &amp; Assumptions'!$N$31+E1597*'Model Inputs &amp; Assumptions'!$O$31+G1597*'Model Inputs &amp; Assumptions'!$P$31)*EXP('Model Inputs &amp; Assumptions'!$Q$31*S1597-'Model Inputs &amp; Assumptions'!$Q$31^2/2))</f>
        <v>44.924243836135</v>
      </c>
      <c r="I1597" s="49" t="n">
        <f aca="false">IF('Model Inputs &amp; Assumptions'!$H$31="Fixed",'Model Inputs &amp; Assumptions'!$I$31*'Model Inputs &amp; Assumptions'!$K$31,IF('Model Inputs &amp; Assumptions'!$H$31="CPM",'Model Inputs &amp; Assumptions'!$I$31*'Model Inputs &amp; Assumptions'!$K$31*C1597/1000,IF('Model Inputs &amp; Assumptions'!$H$31="CPC",'Model Inputs &amp; Assumptions'!$I$31*'Model Inputs &amp; Assumptions'!$K$31*G1597,0)))</f>
        <v>4112.24424</v>
      </c>
      <c r="J1597" s="50" t="n">
        <f aca="false">H1597*INDEX('Model Inputs &amp; Assumptions'!$D$40:$D$42,MATCH('Model Inputs &amp; Assumptions'!$L$31,'Model Inputs &amp; Assumptions'!$A$40:$A$42,0))*INDEX('Model Inputs &amp; Assumptions'!$H$40:$H$42,MATCH('Model Inputs &amp; Assumptions'!$L$31,'Model Inputs &amp; Assumptions'!$A$40:$A$42,0))</f>
        <v>323454.555620172</v>
      </c>
      <c r="K1597" s="49" t="n">
        <f aca="false">H1597*INDEX('Model Inputs &amp; Assumptions'!$G$40:$G$42,MATCH('Model Inputs &amp; Assumptions'!$L$31,'Model Inputs &amp; Assumptions'!$A$40:$A$42,0))*INDEX('Model Inputs &amp; Assumptions'!$H$40:$H$42,MATCH('Model Inputs &amp; Assumptions'!$L$31,'Model Inputs &amp; Assumptions'!$A$40:$A$42,0))</f>
        <v>7132.1729514248</v>
      </c>
      <c r="L1597" s="51" t="n">
        <f aca="false">IFERROR(K1597/I1597,0)</f>
        <v>1.73437484137003</v>
      </c>
      <c r="M1597" s="49" t="n">
        <f aca="false">IFERROR(I1597/H1597,0)</f>
        <v>91.5373056695124</v>
      </c>
      <c r="N1597" s="52" t="str">
        <f aca="false">'Model Inputs &amp; Assumptions'!$L$31</f>
        <v>PRD-USIQ</v>
      </c>
      <c r="P1597" s="53" t="n">
        <v>-0.863308</v>
      </c>
      <c r="Q1597" s="53" t="n">
        <v>0.430841</v>
      </c>
      <c r="R1597" s="53" t="n">
        <v>-0.145823</v>
      </c>
      <c r="S1597" s="53" t="n">
        <v>0.267468</v>
      </c>
    </row>
    <row r="1598" customFormat="false" ht="15" hidden="false" customHeight="false" outlineLevel="0" collapsed="false">
      <c r="A1598" s="43" t="n">
        <v>95</v>
      </c>
      <c r="B1598" s="44" t="str">
        <f aca="false">'Model Inputs &amp; Assumptions'!$B$31</f>
        <v>YouTube — Finfluencer Pre-roll</v>
      </c>
      <c r="C1598" s="45" t="n">
        <f aca="false">ROUND(MAX(0,'Model Inputs &amp; Assumptions'!$S$31*EXP('Model Inputs &amp; Assumptions'!$T$31*P1598-'Model Inputs &amp; Assumptions'!$T$31^2/2)),0)</f>
        <v>767674</v>
      </c>
      <c r="D1598" s="46" t="n">
        <f aca="false">MIN(1,'Model Inputs &amp; Assumptions'!$U$31*EXP('Model Inputs &amp; Assumptions'!$V$31*Q1598-'Model Inputs &amp; Assumptions'!$V$31^2/2))</f>
        <v>0.556975089830705</v>
      </c>
      <c r="E1598" s="45" t="n">
        <f aca="false">ROUND(C1598*D1598,0)</f>
        <v>427575</v>
      </c>
      <c r="F1598" s="47" t="n">
        <f aca="false">MIN(1,'Model Inputs &amp; Assumptions'!$W$31*EXP('Model Inputs &amp; Assumptions'!$X$31*R1598-'Model Inputs &amp; Assumptions'!$X$31^2/2))</f>
        <v>0.00655343403513821</v>
      </c>
      <c r="G1598" s="45" t="n">
        <f aca="false">ROUND(C1598*F1598,0)</f>
        <v>5031</v>
      </c>
      <c r="H1598" s="48" t="n">
        <f aca="false">MAX(0,(C1598*'Model Inputs &amp; Assumptions'!$N$31+E1598*'Model Inputs &amp; Assumptions'!$O$31+G1598*'Model Inputs &amp; Assumptions'!$P$31)*EXP('Model Inputs &amp; Assumptions'!$Q$31*S1598-'Model Inputs &amp; Assumptions'!$Q$31^2/2))</f>
        <v>134.629542259221</v>
      </c>
      <c r="I1598" s="49" t="n">
        <f aca="false">IF('Model Inputs &amp; Assumptions'!$H$31="Fixed",'Model Inputs &amp; Assumptions'!$I$31*'Model Inputs &amp; Assumptions'!$K$31,IF('Model Inputs &amp; Assumptions'!$H$31="CPM",'Model Inputs &amp; Assumptions'!$I$31*'Model Inputs &amp; Assumptions'!$K$31*C1598/1000,IF('Model Inputs &amp; Assumptions'!$H$31="CPC",'Model Inputs &amp; Assumptions'!$I$31*'Model Inputs &amp; Assumptions'!$K$31*G1598,0)))</f>
        <v>8710.029204</v>
      </c>
      <c r="J1598" s="50" t="n">
        <f aca="false">H1598*INDEX('Model Inputs &amp; Assumptions'!$D$40:$D$42,MATCH('Model Inputs &amp; Assumptions'!$L$31,'Model Inputs &amp; Assumptions'!$A$40:$A$42,0))*INDEX('Model Inputs &amp; Assumptions'!$H$40:$H$42,MATCH('Model Inputs &amp; Assumptions'!$L$31,'Model Inputs &amp; Assumptions'!$A$40:$A$42,0))</f>
        <v>969332.704266388</v>
      </c>
      <c r="K1598" s="49" t="n">
        <f aca="false">H1598*INDEX('Model Inputs &amp; Assumptions'!$G$40:$G$42,MATCH('Model Inputs &amp; Assumptions'!$L$31,'Model Inputs &amp; Assumptions'!$A$40:$A$42,0))*INDEX('Model Inputs &amp; Assumptions'!$H$40:$H$42,MATCH('Model Inputs &amp; Assumptions'!$L$31,'Model Inputs &amp; Assumptions'!$A$40:$A$42,0))</f>
        <v>21373.7861290738</v>
      </c>
      <c r="L1598" s="51" t="n">
        <f aca="false">IFERROR(K1598/I1598,0)</f>
        <v>2.45392818192368</v>
      </c>
      <c r="M1598" s="49" t="n">
        <f aca="false">IFERROR(I1598/H1598,0)</f>
        <v>64.696269911023</v>
      </c>
      <c r="N1598" s="52" t="str">
        <f aca="false">'Model Inputs &amp; Assumptions'!$L$31</f>
        <v>PRD-USIQ</v>
      </c>
      <c r="P1598" s="53" t="n">
        <v>1.817066</v>
      </c>
      <c r="Q1598" s="53" t="n">
        <v>-0.341443</v>
      </c>
      <c r="R1598" s="53" t="n">
        <v>1.247297</v>
      </c>
      <c r="S1598" s="53" t="n">
        <v>0.760834</v>
      </c>
    </row>
    <row r="1599" customFormat="false" ht="15" hidden="false" customHeight="false" outlineLevel="0" collapsed="false">
      <c r="A1599" s="43" t="n">
        <v>96</v>
      </c>
      <c r="B1599" s="44" t="str">
        <f aca="false">'Model Inputs &amp; Assumptions'!$B$31</f>
        <v>YouTube — Finfluencer Pre-roll</v>
      </c>
      <c r="C1599" s="45" t="n">
        <f aca="false">ROUND(MAX(0,'Model Inputs &amp; Assumptions'!$S$31*EXP('Model Inputs &amp; Assumptions'!$T$31*P1599-'Model Inputs &amp; Assumptions'!$T$31^2/2)),0)</f>
        <v>592875</v>
      </c>
      <c r="D1599" s="46" t="n">
        <f aca="false">MIN(1,'Model Inputs &amp; Assumptions'!$U$31*EXP('Model Inputs &amp; Assumptions'!$V$31*Q1599-'Model Inputs &amp; Assumptions'!$V$31^2/2))</f>
        <v>0.710337647534097</v>
      </c>
      <c r="E1599" s="45" t="n">
        <f aca="false">ROUND(C1599*D1599,0)</f>
        <v>421141</v>
      </c>
      <c r="F1599" s="47" t="n">
        <f aca="false">MIN(1,'Model Inputs &amp; Assumptions'!$W$31*EXP('Model Inputs &amp; Assumptions'!$X$31*R1599-'Model Inputs &amp; Assumptions'!$X$31^2/2))</f>
        <v>0.0047974739186271</v>
      </c>
      <c r="G1599" s="45" t="n">
        <f aca="false">ROUND(C1599*F1599,0)</f>
        <v>2844</v>
      </c>
      <c r="H1599" s="48" t="n">
        <f aca="false">MAX(0,(C1599*'Model Inputs &amp; Assumptions'!$N$31+E1599*'Model Inputs &amp; Assumptions'!$O$31+G1599*'Model Inputs &amp; Assumptions'!$P$31)*EXP('Model Inputs &amp; Assumptions'!$Q$31*S1599-'Model Inputs &amp; Assumptions'!$Q$31^2/2))</f>
        <v>113.657091540739</v>
      </c>
      <c r="I1599" s="49" t="n">
        <f aca="false">IF('Model Inputs &amp; Assumptions'!$H$31="Fixed",'Model Inputs &amp; Assumptions'!$I$31*'Model Inputs &amp; Assumptions'!$K$31,IF('Model Inputs &amp; Assumptions'!$H$31="CPM",'Model Inputs &amp; Assumptions'!$I$31*'Model Inputs &amp; Assumptions'!$K$31*C1599/1000,IF('Model Inputs &amp; Assumptions'!$H$31="CPC",'Model Inputs &amp; Assumptions'!$I$31*'Model Inputs &amp; Assumptions'!$K$31*G1599,0)))</f>
        <v>6726.75975</v>
      </c>
      <c r="J1599" s="50" t="n">
        <f aca="false">H1599*INDEX('Model Inputs &amp; Assumptions'!$D$40:$D$42,MATCH('Model Inputs &amp; Assumptions'!$L$31,'Model Inputs &amp; Assumptions'!$A$40:$A$42,0))*INDEX('Model Inputs &amp; Assumptions'!$H$40:$H$42,MATCH('Model Inputs &amp; Assumptions'!$L$31,'Model Inputs &amp; Assumptions'!$A$40:$A$42,0))</f>
        <v>818331.059093319</v>
      </c>
      <c r="K1599" s="49" t="n">
        <f aca="false">H1599*INDEX('Model Inputs &amp; Assumptions'!$G$40:$G$42,MATCH('Model Inputs &amp; Assumptions'!$L$31,'Model Inputs &amp; Assumptions'!$A$40:$A$42,0))*INDEX('Model Inputs &amp; Assumptions'!$H$40:$H$42,MATCH('Model Inputs &amp; Assumptions'!$L$31,'Model Inputs &amp; Assumptions'!$A$40:$A$42,0))</f>
        <v>18044.1998530077</v>
      </c>
      <c r="L1599" s="51" t="n">
        <f aca="false">IFERROR(K1599/I1599,0)</f>
        <v>2.68245047000641</v>
      </c>
      <c r="M1599" s="49" t="n">
        <f aca="false">IFERROR(I1599/H1599,0)</f>
        <v>59.1846901835324</v>
      </c>
      <c r="N1599" s="52" t="str">
        <f aca="false">'Model Inputs &amp; Assumptions'!$L$31</f>
        <v>PRD-USIQ</v>
      </c>
      <c r="P1599" s="53" t="n">
        <v>0.894279</v>
      </c>
      <c r="Q1599" s="53" t="n">
        <v>1.395842</v>
      </c>
      <c r="R1599" s="53" t="n">
        <v>-0.052285</v>
      </c>
      <c r="S1599" s="53" t="n">
        <v>1.311689</v>
      </c>
    </row>
    <row r="1600" customFormat="false" ht="15" hidden="false" customHeight="false" outlineLevel="0" collapsed="false">
      <c r="A1600" s="43" t="n">
        <v>97</v>
      </c>
      <c r="B1600" s="44" t="str">
        <f aca="false">'Model Inputs &amp; Assumptions'!$B$31</f>
        <v>YouTube — Finfluencer Pre-roll</v>
      </c>
      <c r="C1600" s="45" t="n">
        <f aca="false">ROUND(MAX(0,'Model Inputs &amp; Assumptions'!$S$31*EXP('Model Inputs &amp; Assumptions'!$T$31*P1600-'Model Inputs &amp; Assumptions'!$T$31^2/2)),0)</f>
        <v>479839</v>
      </c>
      <c r="D1600" s="46" t="n">
        <f aca="false">MIN(1,'Model Inputs &amp; Assumptions'!$U$31*EXP('Model Inputs &amp; Assumptions'!$V$31*Q1600-'Model Inputs &amp; Assumptions'!$V$31^2/2))</f>
        <v>0.556092004844418</v>
      </c>
      <c r="E1600" s="45" t="n">
        <f aca="false">ROUND(C1600*D1600,0)</f>
        <v>266835</v>
      </c>
      <c r="F1600" s="47" t="n">
        <f aca="false">MIN(1,'Model Inputs &amp; Assumptions'!$W$31*EXP('Model Inputs &amp; Assumptions'!$X$31*R1600-'Model Inputs &amp; Assumptions'!$X$31^2/2))</f>
        <v>0.00874376218007362</v>
      </c>
      <c r="G1600" s="45" t="n">
        <f aca="false">ROUND(C1600*F1600,0)</f>
        <v>4196</v>
      </c>
      <c r="H1600" s="48" t="n">
        <f aca="false">MAX(0,(C1600*'Model Inputs &amp; Assumptions'!$N$31+E1600*'Model Inputs &amp; Assumptions'!$O$31+G1600*'Model Inputs &amp; Assumptions'!$P$31)*EXP('Model Inputs &amp; Assumptions'!$Q$31*S1600-'Model Inputs &amp; Assumptions'!$Q$31^2/2))</f>
        <v>93.7926241492824</v>
      </c>
      <c r="I1600" s="49" t="n">
        <f aca="false">IF('Model Inputs &amp; Assumptions'!$H$31="Fixed",'Model Inputs &amp; Assumptions'!$I$31*'Model Inputs &amp; Assumptions'!$K$31,IF('Model Inputs &amp; Assumptions'!$H$31="CPM",'Model Inputs &amp; Assumptions'!$I$31*'Model Inputs &amp; Assumptions'!$K$31*C1600/1000,IF('Model Inputs &amp; Assumptions'!$H$31="CPC",'Model Inputs &amp; Assumptions'!$I$31*'Model Inputs &amp; Assumptions'!$K$31*G1600,0)))</f>
        <v>5444.253294</v>
      </c>
      <c r="J1600" s="50" t="n">
        <f aca="false">H1600*INDEX('Model Inputs &amp; Assumptions'!$D$40:$D$42,MATCH('Model Inputs &amp; Assumptions'!$L$31,'Model Inputs &amp; Assumptions'!$A$40:$A$42,0))*INDEX('Model Inputs &amp; Assumptions'!$H$40:$H$42,MATCH('Model Inputs &amp; Assumptions'!$L$31,'Model Inputs &amp; Assumptions'!$A$40:$A$42,0))</f>
        <v>675306.893874833</v>
      </c>
      <c r="K1600" s="49" t="n">
        <f aca="false">H1600*INDEX('Model Inputs &amp; Assumptions'!$G$40:$G$42,MATCH('Model Inputs &amp; Assumptions'!$L$31,'Model Inputs &amp; Assumptions'!$A$40:$A$42,0))*INDEX('Model Inputs &amp; Assumptions'!$H$40:$H$42,MATCH('Model Inputs &amp; Assumptions'!$L$31,'Model Inputs &amp; Assumptions'!$A$40:$A$42,0))</f>
        <v>14890.5170099401</v>
      </c>
      <c r="L1600" s="51" t="n">
        <f aca="false">IFERROR(K1600/I1600,0)</f>
        <v>2.73508894715656</v>
      </c>
      <c r="M1600" s="49" t="n">
        <f aca="false">IFERROR(I1600/H1600,0)</f>
        <v>58.0456442431423</v>
      </c>
      <c r="N1600" s="52" t="str">
        <f aca="false">'Model Inputs &amp; Assumptions'!$L$31</f>
        <v>PRD-USIQ</v>
      </c>
      <c r="P1600" s="53" t="n">
        <v>0.1388</v>
      </c>
      <c r="Q1600" s="53" t="n">
        <v>-0.352777</v>
      </c>
      <c r="R1600" s="53" t="n">
        <v>2.448761</v>
      </c>
      <c r="S1600" s="53" t="n">
        <v>0.480317</v>
      </c>
    </row>
    <row r="1601" customFormat="false" ht="15" hidden="false" customHeight="false" outlineLevel="0" collapsed="false">
      <c r="A1601" s="43" t="n">
        <v>98</v>
      </c>
      <c r="B1601" s="44" t="str">
        <f aca="false">'Model Inputs &amp; Assumptions'!$B$31</f>
        <v>YouTube — Finfluencer Pre-roll</v>
      </c>
      <c r="C1601" s="45" t="n">
        <f aca="false">ROUND(MAX(0,'Model Inputs &amp; Assumptions'!$S$31*EXP('Model Inputs &amp; Assumptions'!$T$31*P1601-'Model Inputs &amp; Assumptions'!$T$31^2/2)),0)</f>
        <v>631382</v>
      </c>
      <c r="D1601" s="46" t="n">
        <f aca="false">MIN(1,'Model Inputs &amp; Assumptions'!$U$31*EXP('Model Inputs &amp; Assumptions'!$V$31*Q1601-'Model Inputs &amp; Assumptions'!$V$31^2/2))</f>
        <v>0.61140214445443</v>
      </c>
      <c r="E1601" s="45" t="n">
        <f aca="false">ROUND(C1601*D1601,0)</f>
        <v>386028</v>
      </c>
      <c r="F1601" s="47" t="n">
        <f aca="false">MIN(1,'Model Inputs &amp; Assumptions'!$W$31*EXP('Model Inputs &amp; Assumptions'!$X$31*R1601-'Model Inputs &amp; Assumptions'!$X$31^2/2))</f>
        <v>0.00527472967938125</v>
      </c>
      <c r="G1601" s="45" t="n">
        <f aca="false">ROUND(C1601*F1601,0)</f>
        <v>3330</v>
      </c>
      <c r="H1601" s="48" t="n">
        <f aca="false">MAX(0,(C1601*'Model Inputs &amp; Assumptions'!$N$31+E1601*'Model Inputs &amp; Assumptions'!$O$31+G1601*'Model Inputs &amp; Assumptions'!$P$31)*EXP('Model Inputs &amp; Assumptions'!$Q$31*S1601-'Model Inputs &amp; Assumptions'!$Q$31^2/2))</f>
        <v>103.080841142478</v>
      </c>
      <c r="I1601" s="49" t="n">
        <f aca="false">IF('Model Inputs &amp; Assumptions'!$H$31="Fixed",'Model Inputs &amp; Assumptions'!$I$31*'Model Inputs &amp; Assumptions'!$K$31,IF('Model Inputs &amp; Assumptions'!$H$31="CPM",'Model Inputs &amp; Assumptions'!$I$31*'Model Inputs &amp; Assumptions'!$K$31*C1601/1000,IF('Model Inputs &amp; Assumptions'!$H$31="CPC",'Model Inputs &amp; Assumptions'!$I$31*'Model Inputs &amp; Assumptions'!$K$31*G1601,0)))</f>
        <v>7163.660172</v>
      </c>
      <c r="J1601" s="50" t="n">
        <f aca="false">H1601*INDEX('Model Inputs &amp; Assumptions'!$D$40:$D$42,MATCH('Model Inputs &amp; Assumptions'!$L$31,'Model Inputs &amp; Assumptions'!$A$40:$A$42,0))*INDEX('Model Inputs &amp; Assumptions'!$H$40:$H$42,MATCH('Model Inputs &amp; Assumptions'!$L$31,'Model Inputs &amp; Assumptions'!$A$40:$A$42,0))</f>
        <v>742182.056225841</v>
      </c>
      <c r="K1601" s="49" t="n">
        <f aca="false">H1601*INDEX('Model Inputs &amp; Assumptions'!$G$40:$G$42,MATCH('Model Inputs &amp; Assumptions'!$L$31,'Model Inputs &amp; Assumptions'!$A$40:$A$42,0))*INDEX('Model Inputs &amp; Assumptions'!$H$40:$H$42,MATCH('Model Inputs &amp; Assumptions'!$L$31,'Model Inputs &amp; Assumptions'!$A$40:$A$42,0))</f>
        <v>16365.1143397798</v>
      </c>
      <c r="L1601" s="51" t="n">
        <f aca="false">IFERROR(K1601/I1601,0)</f>
        <v>2.28446268344006</v>
      </c>
      <c r="M1601" s="49" t="n">
        <f aca="false">IFERROR(I1601/H1601,0)</f>
        <v>69.4955540971811</v>
      </c>
      <c r="N1601" s="52" t="str">
        <f aca="false">'Model Inputs &amp; Assumptions'!$L$31</f>
        <v>PRD-USIQ</v>
      </c>
      <c r="P1601" s="53" t="n">
        <v>1.119015</v>
      </c>
      <c r="Q1601" s="53" t="n">
        <v>0.324517</v>
      </c>
      <c r="R1601" s="53" t="n">
        <v>0.342873</v>
      </c>
      <c r="S1601" s="53" t="n">
        <v>0.869679</v>
      </c>
    </row>
    <row r="1602" customFormat="false" ht="15" hidden="false" customHeight="false" outlineLevel="0" collapsed="false">
      <c r="A1602" s="43" t="n">
        <v>99</v>
      </c>
      <c r="B1602" s="44" t="str">
        <f aca="false">'Model Inputs &amp; Assumptions'!$B$31</f>
        <v>YouTube — Finfluencer Pre-roll</v>
      </c>
      <c r="C1602" s="45" t="n">
        <f aca="false">ROUND(MAX(0,'Model Inputs &amp; Assumptions'!$S$31*EXP('Model Inputs &amp; Assumptions'!$T$31*P1602-'Model Inputs &amp; Assumptions'!$T$31^2/2)),0)</f>
        <v>594466</v>
      </c>
      <c r="D1602" s="46" t="n">
        <f aca="false">MIN(1,'Model Inputs &amp; Assumptions'!$U$31*EXP('Model Inputs &amp; Assumptions'!$V$31*Q1602-'Model Inputs &amp; Assumptions'!$V$31^2/2))</f>
        <v>0.609654886299399</v>
      </c>
      <c r="E1602" s="45" t="n">
        <f aca="false">ROUND(C1602*D1602,0)</f>
        <v>362419</v>
      </c>
      <c r="F1602" s="47" t="n">
        <f aca="false">MIN(1,'Model Inputs &amp; Assumptions'!$W$31*EXP('Model Inputs &amp; Assumptions'!$X$31*R1602-'Model Inputs &amp; Assumptions'!$X$31^2/2))</f>
        <v>0.00727611824889924</v>
      </c>
      <c r="G1602" s="45" t="n">
        <f aca="false">ROUND(C1602*F1602,0)</f>
        <v>4325</v>
      </c>
      <c r="H1602" s="48" t="n">
        <f aca="false">MAX(0,(C1602*'Model Inputs &amp; Assumptions'!$N$31+E1602*'Model Inputs &amp; Assumptions'!$O$31+G1602*'Model Inputs &amp; Assumptions'!$P$31)*EXP('Model Inputs &amp; Assumptions'!$Q$31*S1602-'Model Inputs &amp; Assumptions'!$Q$31^2/2))</f>
        <v>75.6912510462948</v>
      </c>
      <c r="I1602" s="49" t="n">
        <f aca="false">IF('Model Inputs &amp; Assumptions'!$H$31="Fixed",'Model Inputs &amp; Assumptions'!$I$31*'Model Inputs &amp; Assumptions'!$K$31,IF('Model Inputs &amp; Assumptions'!$H$31="CPM",'Model Inputs &amp; Assumptions'!$I$31*'Model Inputs &amp; Assumptions'!$K$31*C1602/1000,IF('Model Inputs &amp; Assumptions'!$H$31="CPC",'Model Inputs &amp; Assumptions'!$I$31*'Model Inputs &amp; Assumptions'!$K$31*G1602,0)))</f>
        <v>6744.811236</v>
      </c>
      <c r="J1602" s="50" t="n">
        <f aca="false">H1602*INDEX('Model Inputs &amp; Assumptions'!$D$40:$D$42,MATCH('Model Inputs &amp; Assumptions'!$L$31,'Model Inputs &amp; Assumptions'!$A$40:$A$42,0))*INDEX('Model Inputs &amp; Assumptions'!$H$40:$H$42,MATCH('Model Inputs &amp; Assumptions'!$L$31,'Model Inputs &amp; Assumptions'!$A$40:$A$42,0))</f>
        <v>544977.007533323</v>
      </c>
      <c r="K1602" s="49" t="n">
        <f aca="false">H1602*INDEX('Model Inputs &amp; Assumptions'!$G$40:$G$42,MATCH('Model Inputs &amp; Assumptions'!$L$31,'Model Inputs &amp; Assumptions'!$A$40:$A$42,0))*INDEX('Model Inputs &amp; Assumptions'!$H$40:$H$42,MATCH('Model Inputs &amp; Assumptions'!$L$31,'Model Inputs &amp; Assumptions'!$A$40:$A$42,0))</f>
        <v>12016.7430161098</v>
      </c>
      <c r="L1602" s="51" t="n">
        <f aca="false">IFERROR(K1602/I1602,0)</f>
        <v>1.78162777217117</v>
      </c>
      <c r="M1602" s="49" t="n">
        <f aca="false">IFERROR(I1602/H1602,0)</f>
        <v>89.109522471424</v>
      </c>
      <c r="N1602" s="52" t="str">
        <f aca="false">'Model Inputs &amp; Assumptions'!$L$31</f>
        <v>PRD-USIQ</v>
      </c>
      <c r="P1602" s="53" t="n">
        <v>0.903845</v>
      </c>
      <c r="Q1602" s="53" t="n">
        <v>0.304075</v>
      </c>
      <c r="R1602" s="53" t="n">
        <v>1.683165</v>
      </c>
      <c r="S1602" s="53" t="n">
        <v>-0.43995</v>
      </c>
    </row>
    <row r="1603" customFormat="false" ht="15" hidden="false" customHeight="false" outlineLevel="0" collapsed="false">
      <c r="A1603" s="43" t="n">
        <v>100</v>
      </c>
      <c r="B1603" s="44" t="str">
        <f aca="false">'Model Inputs &amp; Assumptions'!$B$31</f>
        <v>YouTube — Finfluencer Pre-roll</v>
      </c>
      <c r="C1603" s="45" t="n">
        <f aca="false">ROUND(MAX(0,'Model Inputs &amp; Assumptions'!$S$31*EXP('Model Inputs &amp; Assumptions'!$T$31*P1603-'Model Inputs &amp; Assumptions'!$T$31^2/2)),0)</f>
        <v>710771</v>
      </c>
      <c r="D1603" s="46" t="n">
        <f aca="false">MIN(1,'Model Inputs &amp; Assumptions'!$U$31*EXP('Model Inputs &amp; Assumptions'!$V$31*Q1603-'Model Inputs &amp; Assumptions'!$V$31^2/2))</f>
        <v>0.602897342063575</v>
      </c>
      <c r="E1603" s="45" t="n">
        <f aca="false">ROUND(C1603*D1603,0)</f>
        <v>428522</v>
      </c>
      <c r="F1603" s="47" t="n">
        <f aca="false">MIN(1,'Model Inputs &amp; Assumptions'!$W$31*EXP('Model Inputs &amp; Assumptions'!$X$31*R1603-'Model Inputs &amp; Assumptions'!$X$31^2/2))</f>
        <v>0.00577182263795278</v>
      </c>
      <c r="G1603" s="45" t="n">
        <f aca="false">ROUND(C1603*F1603,0)</f>
        <v>4102</v>
      </c>
      <c r="H1603" s="48" t="n">
        <f aca="false">MAX(0,(C1603*'Model Inputs &amp; Assumptions'!$N$31+E1603*'Model Inputs &amp; Assumptions'!$O$31+G1603*'Model Inputs &amp; Assumptions'!$P$31)*EXP('Model Inputs &amp; Assumptions'!$Q$31*S1603-'Model Inputs &amp; Assumptions'!$Q$31^2/2))</f>
        <v>46.1692241965492</v>
      </c>
      <c r="I1603" s="49" t="n">
        <f aca="false">IF('Model Inputs &amp; Assumptions'!$H$31="Fixed",'Model Inputs &amp; Assumptions'!$I$31*'Model Inputs &amp; Assumptions'!$K$31,IF('Model Inputs &amp; Assumptions'!$H$31="CPM",'Model Inputs &amp; Assumptions'!$I$31*'Model Inputs &amp; Assumptions'!$K$31*C1603/1000,IF('Model Inputs &amp; Assumptions'!$H$31="CPC",'Model Inputs &amp; Assumptions'!$I$31*'Model Inputs &amp; Assumptions'!$K$31*G1603,0)))</f>
        <v>8064.407766</v>
      </c>
      <c r="J1603" s="50" t="n">
        <f aca="false">H1603*INDEX('Model Inputs &amp; Assumptions'!$D$40:$D$42,MATCH('Model Inputs &amp; Assumptions'!$L$31,'Model Inputs &amp; Assumptions'!$A$40:$A$42,0))*INDEX('Model Inputs &amp; Assumptions'!$H$40:$H$42,MATCH('Model Inputs &amp; Assumptions'!$L$31,'Model Inputs &amp; Assumptions'!$A$40:$A$42,0))</f>
        <v>332418.414215154</v>
      </c>
      <c r="K1603" s="49" t="n">
        <f aca="false">H1603*INDEX('Model Inputs &amp; Assumptions'!$G$40:$G$42,MATCH('Model Inputs &amp; Assumptions'!$L$31,'Model Inputs &amp; Assumptions'!$A$40:$A$42,0))*INDEX('Model Inputs &amp; Assumptions'!$H$40:$H$42,MATCH('Model Inputs &amp; Assumptions'!$L$31,'Model Inputs &amp; Assumptions'!$A$40:$A$42,0))</f>
        <v>7329.82603344415</v>
      </c>
      <c r="L1603" s="51" t="n">
        <f aca="false">IFERROR(K1603/I1603,0)</f>
        <v>0.908910641193903</v>
      </c>
      <c r="M1603" s="49" t="n">
        <f aca="false">IFERROR(I1603/H1603,0)</f>
        <v>174.670636259094</v>
      </c>
      <c r="N1603" s="52" t="str">
        <f aca="false">'Model Inputs &amp; Assumptions'!$L$31</f>
        <v>PRD-USIQ</v>
      </c>
      <c r="P1603" s="53" t="n">
        <v>1.542013</v>
      </c>
      <c r="Q1603" s="53" t="n">
        <v>0.22446</v>
      </c>
      <c r="R1603" s="53" t="n">
        <v>0.718125</v>
      </c>
      <c r="S1603" s="53" t="n">
        <v>-1.91092</v>
      </c>
    </row>
    <row r="1604" customFormat="false" ht="15" hidden="false" customHeight="false" outlineLevel="0" collapsed="false">
      <c r="A1604" s="43" t="n">
        <v>101</v>
      </c>
      <c r="B1604" s="44" t="str">
        <f aca="false">'Model Inputs &amp; Assumptions'!$B$31</f>
        <v>YouTube — Finfluencer Pre-roll</v>
      </c>
      <c r="C1604" s="45" t="n">
        <f aca="false">ROUND(MAX(0,'Model Inputs &amp; Assumptions'!$S$31*EXP('Model Inputs &amp; Assumptions'!$T$31*P1604-'Model Inputs &amp; Assumptions'!$T$31^2/2)),0)</f>
        <v>406905</v>
      </c>
      <c r="D1604" s="46" t="n">
        <f aca="false">MIN(1,'Model Inputs &amp; Assumptions'!$U$31*EXP('Model Inputs &amp; Assumptions'!$V$31*Q1604-'Model Inputs &amp; Assumptions'!$V$31^2/2))</f>
        <v>0.528424076699057</v>
      </c>
      <c r="E1604" s="45" t="n">
        <f aca="false">ROUND(C1604*D1604,0)</f>
        <v>215018</v>
      </c>
      <c r="F1604" s="47" t="n">
        <f aca="false">MIN(1,'Model Inputs &amp; Assumptions'!$W$31*EXP('Model Inputs &amp; Assumptions'!$X$31*R1604-'Model Inputs &amp; Assumptions'!$X$31^2/2))</f>
        <v>0.00602935664354402</v>
      </c>
      <c r="G1604" s="45" t="n">
        <f aca="false">ROUND(C1604*F1604,0)</f>
        <v>2453</v>
      </c>
      <c r="H1604" s="48" t="n">
        <f aca="false">MAX(0,(C1604*'Model Inputs &amp; Assumptions'!$N$31+E1604*'Model Inputs &amp; Assumptions'!$O$31+G1604*'Model Inputs &amp; Assumptions'!$P$31)*EXP('Model Inputs &amp; Assumptions'!$Q$31*S1604-'Model Inputs &amp; Assumptions'!$Q$31^2/2))</f>
        <v>86.1811320918261</v>
      </c>
      <c r="I1604" s="49" t="n">
        <f aca="false">IF('Model Inputs &amp; Assumptions'!$H$31="Fixed",'Model Inputs &amp; Assumptions'!$I$31*'Model Inputs &amp; Assumptions'!$K$31,IF('Model Inputs &amp; Assumptions'!$H$31="CPM",'Model Inputs &amp; Assumptions'!$I$31*'Model Inputs &amp; Assumptions'!$K$31*C1604/1000,IF('Model Inputs &amp; Assumptions'!$H$31="CPC",'Model Inputs &amp; Assumptions'!$I$31*'Model Inputs &amp; Assumptions'!$K$31*G1604,0)))</f>
        <v>4616.74413</v>
      </c>
      <c r="J1604" s="50" t="n">
        <f aca="false">H1604*INDEX('Model Inputs &amp; Assumptions'!$D$40:$D$42,MATCH('Model Inputs &amp; Assumptions'!$L$31,'Model Inputs &amp; Assumptions'!$A$40:$A$42,0))*INDEX('Model Inputs &amp; Assumptions'!$H$40:$H$42,MATCH('Model Inputs &amp; Assumptions'!$L$31,'Model Inputs &amp; Assumptions'!$A$40:$A$42,0))</f>
        <v>620504.151061148</v>
      </c>
      <c r="K1604" s="49" t="n">
        <f aca="false">H1604*INDEX('Model Inputs &amp; Assumptions'!$G$40:$G$42,MATCH('Model Inputs &amp; Assumptions'!$L$31,'Model Inputs &amp; Assumptions'!$A$40:$A$42,0))*INDEX('Model Inputs &amp; Assumptions'!$H$40:$H$42,MATCH('Model Inputs &amp; Assumptions'!$L$31,'Model Inputs &amp; Assumptions'!$A$40:$A$42,0))</f>
        <v>13682.1165308983</v>
      </c>
      <c r="L1604" s="51" t="n">
        <f aca="false">IFERROR(K1604/I1604,0)</f>
        <v>2.96358562346801</v>
      </c>
      <c r="M1604" s="49" t="n">
        <f aca="false">IFERROR(I1604/H1604,0)</f>
        <v>53.5702423249773</v>
      </c>
      <c r="N1604" s="52" t="str">
        <f aca="false">'Model Inputs &amp; Assumptions'!$L$31</f>
        <v>PRD-USIQ</v>
      </c>
      <c r="P1604" s="53" t="n">
        <v>-0.450021</v>
      </c>
      <c r="Q1604" s="53" t="n">
        <v>-0.71731</v>
      </c>
      <c r="R1604" s="53" t="n">
        <v>0.90001</v>
      </c>
      <c r="S1604" s="53" t="n">
        <v>1.510809</v>
      </c>
    </row>
    <row r="1605" customFormat="false" ht="15" hidden="false" customHeight="false" outlineLevel="0" collapsed="false">
      <c r="A1605" s="43" t="n">
        <v>102</v>
      </c>
      <c r="B1605" s="44" t="str">
        <f aca="false">'Model Inputs &amp; Assumptions'!$B$31</f>
        <v>YouTube — Finfluencer Pre-roll</v>
      </c>
      <c r="C1605" s="45" t="n">
        <f aca="false">ROUND(MAX(0,'Model Inputs &amp; Assumptions'!$S$31*EXP('Model Inputs &amp; Assumptions'!$T$31*P1605-'Model Inputs &amp; Assumptions'!$T$31^2/2)),0)</f>
        <v>662751</v>
      </c>
      <c r="D1605" s="46" t="n">
        <f aca="false">MIN(1,'Model Inputs &amp; Assumptions'!$U$31*EXP('Model Inputs &amp; Assumptions'!$V$31*Q1605-'Model Inputs &amp; Assumptions'!$V$31^2/2))</f>
        <v>0.507892259202103</v>
      </c>
      <c r="E1605" s="45" t="n">
        <f aca="false">ROUND(C1605*D1605,0)</f>
        <v>336606</v>
      </c>
      <c r="F1605" s="47" t="n">
        <f aca="false">MIN(1,'Model Inputs &amp; Assumptions'!$W$31*EXP('Model Inputs &amp; Assumptions'!$X$31*R1605-'Model Inputs &amp; Assumptions'!$X$31^2/2))</f>
        <v>0.00432997700957834</v>
      </c>
      <c r="G1605" s="45" t="n">
        <f aca="false">ROUND(C1605*F1605,0)</f>
        <v>2870</v>
      </c>
      <c r="H1605" s="48" t="n">
        <f aca="false">MAX(0,(C1605*'Model Inputs &amp; Assumptions'!$N$31+E1605*'Model Inputs &amp; Assumptions'!$O$31+G1605*'Model Inputs &amp; Assumptions'!$P$31)*EXP('Model Inputs &amp; Assumptions'!$Q$31*S1605-'Model Inputs &amp; Assumptions'!$Q$31^2/2))</f>
        <v>112.718399232</v>
      </c>
      <c r="I1605" s="49" t="n">
        <f aca="false">IF('Model Inputs &amp; Assumptions'!$H$31="Fixed",'Model Inputs &amp; Assumptions'!$I$31*'Model Inputs &amp; Assumptions'!$K$31,IF('Model Inputs &amp; Assumptions'!$H$31="CPM",'Model Inputs &amp; Assumptions'!$I$31*'Model Inputs &amp; Assumptions'!$K$31*C1605/1000,IF('Model Inputs &amp; Assumptions'!$H$31="CPC",'Model Inputs &amp; Assumptions'!$I$31*'Model Inputs &amp; Assumptions'!$K$31*G1605,0)))</f>
        <v>7519.572846</v>
      </c>
      <c r="J1605" s="50" t="n">
        <f aca="false">H1605*INDEX('Model Inputs &amp; Assumptions'!$D$40:$D$42,MATCH('Model Inputs &amp; Assumptions'!$L$31,'Model Inputs &amp; Assumptions'!$A$40:$A$42,0))*INDEX('Model Inputs &amp; Assumptions'!$H$40:$H$42,MATCH('Model Inputs &amp; Assumptions'!$L$31,'Model Inputs &amp; Assumptions'!$A$40:$A$42,0))</f>
        <v>811572.474470397</v>
      </c>
      <c r="K1605" s="49" t="n">
        <f aca="false">H1605*INDEX('Model Inputs &amp; Assumptions'!$G$40:$G$42,MATCH('Model Inputs &amp; Assumptions'!$L$31,'Model Inputs &amp; Assumptions'!$A$40:$A$42,0))*INDEX('Model Inputs &amp; Assumptions'!$H$40:$H$42,MATCH('Model Inputs &amp; Assumptions'!$L$31,'Model Inputs &amp; Assumptions'!$A$40:$A$42,0))</f>
        <v>17895.1730620722</v>
      </c>
      <c r="L1605" s="51" t="n">
        <f aca="false">IFERROR(K1605/I1605,0)</f>
        <v>2.37981244793599</v>
      </c>
      <c r="M1605" s="49" t="n">
        <f aca="false">IFERROR(I1605/H1605,0)</f>
        <v>66.7111394167606</v>
      </c>
      <c r="N1605" s="52" t="str">
        <f aca="false">'Model Inputs &amp; Assumptions'!$L$31</f>
        <v>PRD-USIQ</v>
      </c>
      <c r="P1605" s="53" t="n">
        <v>1.292189</v>
      </c>
      <c r="Q1605" s="53" t="n">
        <v>-1.00038</v>
      </c>
      <c r="R1605" s="53" t="n">
        <v>-0.479482</v>
      </c>
      <c r="S1605" s="53" t="n">
        <v>1.537014</v>
      </c>
    </row>
    <row r="1606" customFormat="false" ht="15" hidden="false" customHeight="false" outlineLevel="0" collapsed="false">
      <c r="A1606" s="43" t="n">
        <v>103</v>
      </c>
      <c r="B1606" s="44" t="str">
        <f aca="false">'Model Inputs &amp; Assumptions'!$B$31</f>
        <v>YouTube — Finfluencer Pre-roll</v>
      </c>
      <c r="C1606" s="45" t="n">
        <f aca="false">ROUND(MAX(0,'Model Inputs &amp; Assumptions'!$S$31*EXP('Model Inputs &amp; Assumptions'!$T$31*P1606-'Model Inputs &amp; Assumptions'!$T$31^2/2)),0)</f>
        <v>317557</v>
      </c>
      <c r="D1606" s="46" t="n">
        <f aca="false">MIN(1,'Model Inputs &amp; Assumptions'!$U$31*EXP('Model Inputs &amp; Assumptions'!$V$31*Q1606-'Model Inputs &amp; Assumptions'!$V$31^2/2))</f>
        <v>0.571447637948398</v>
      </c>
      <c r="E1606" s="45" t="n">
        <f aca="false">ROUND(C1606*D1606,0)</f>
        <v>181467</v>
      </c>
      <c r="F1606" s="47" t="n">
        <f aca="false">MIN(1,'Model Inputs &amp; Assumptions'!$W$31*EXP('Model Inputs &amp; Assumptions'!$X$31*R1606-'Model Inputs &amp; Assumptions'!$X$31^2/2))</f>
        <v>0.00448951479497128</v>
      </c>
      <c r="G1606" s="45" t="n">
        <f aca="false">ROUND(C1606*F1606,0)</f>
        <v>1426</v>
      </c>
      <c r="H1606" s="48" t="n">
        <f aca="false">MAX(0,(C1606*'Model Inputs &amp; Assumptions'!$N$31+E1606*'Model Inputs &amp; Assumptions'!$O$31+G1606*'Model Inputs &amp; Assumptions'!$P$31)*EXP('Model Inputs &amp; Assumptions'!$Q$31*S1606-'Model Inputs &amp; Assumptions'!$Q$31^2/2))</f>
        <v>25.134811268649</v>
      </c>
      <c r="I1606" s="49" t="n">
        <f aca="false">IF('Model Inputs &amp; Assumptions'!$H$31="Fixed",'Model Inputs &amp; Assumptions'!$I$31*'Model Inputs &amp; Assumptions'!$K$31,IF('Model Inputs &amp; Assumptions'!$H$31="CPM",'Model Inputs &amp; Assumptions'!$I$31*'Model Inputs &amp; Assumptions'!$K$31*C1606/1000,IF('Model Inputs &amp; Assumptions'!$H$31="CPC",'Model Inputs &amp; Assumptions'!$I$31*'Model Inputs &amp; Assumptions'!$K$31*G1606,0)))</f>
        <v>3603.001722</v>
      </c>
      <c r="J1606" s="50" t="n">
        <f aca="false">H1606*INDEX('Model Inputs &amp; Assumptions'!$D$40:$D$42,MATCH('Model Inputs &amp; Assumptions'!$L$31,'Model Inputs &amp; Assumptions'!$A$40:$A$42,0))*INDEX('Model Inputs &amp; Assumptions'!$H$40:$H$42,MATCH('Model Inputs &amp; Assumptions'!$L$31,'Model Inputs &amp; Assumptions'!$A$40:$A$42,0))</f>
        <v>180970.641134273</v>
      </c>
      <c r="K1606" s="49" t="n">
        <f aca="false">H1606*INDEX('Model Inputs &amp; Assumptions'!$G$40:$G$42,MATCH('Model Inputs &amp; Assumptions'!$L$31,'Model Inputs &amp; Assumptions'!$A$40:$A$42,0))*INDEX('Model Inputs &amp; Assumptions'!$H$40:$H$42,MATCH('Model Inputs &amp; Assumptions'!$L$31,'Model Inputs &amp; Assumptions'!$A$40:$A$42,0))</f>
        <v>3990.40263701072</v>
      </c>
      <c r="L1606" s="51" t="n">
        <f aca="false">IFERROR(K1606/I1606,0)</f>
        <v>1.10752171242252</v>
      </c>
      <c r="M1606" s="49" t="n">
        <f aca="false">IFERROR(I1606/H1606,0)</f>
        <v>143.347076828624</v>
      </c>
      <c r="N1606" s="52" t="str">
        <f aca="false">'Model Inputs &amp; Assumptions'!$L$31</f>
        <v>PRD-USIQ</v>
      </c>
      <c r="P1606" s="53" t="n">
        <v>-1.335456</v>
      </c>
      <c r="Q1606" s="53" t="n">
        <v>-0.158212</v>
      </c>
      <c r="R1606" s="53" t="n">
        <v>-0.328722</v>
      </c>
      <c r="S1606" s="53" t="n">
        <v>-0.84411</v>
      </c>
    </row>
    <row r="1607" customFormat="false" ht="15" hidden="false" customHeight="false" outlineLevel="0" collapsed="false">
      <c r="A1607" s="43" t="n">
        <v>104</v>
      </c>
      <c r="B1607" s="44" t="str">
        <f aca="false">'Model Inputs &amp; Assumptions'!$B$31</f>
        <v>YouTube — Finfluencer Pre-roll</v>
      </c>
      <c r="C1607" s="45" t="n">
        <f aca="false">ROUND(MAX(0,'Model Inputs &amp; Assumptions'!$S$31*EXP('Model Inputs &amp; Assumptions'!$T$31*P1607-'Model Inputs &amp; Assumptions'!$T$31^2/2)),0)</f>
        <v>546942</v>
      </c>
      <c r="D1607" s="46" t="n">
        <f aca="false">MIN(1,'Model Inputs &amp; Assumptions'!$U$31*EXP('Model Inputs &amp; Assumptions'!$V$31*Q1607-'Model Inputs &amp; Assumptions'!$V$31^2/2))</f>
        <v>0.521845181590044</v>
      </c>
      <c r="E1607" s="45" t="n">
        <f aca="false">ROUND(C1607*D1607,0)</f>
        <v>285419</v>
      </c>
      <c r="F1607" s="47" t="n">
        <f aca="false">MIN(1,'Model Inputs &amp; Assumptions'!$W$31*EXP('Model Inputs &amp; Assumptions'!$X$31*R1607-'Model Inputs &amp; Assumptions'!$X$31^2/2))</f>
        <v>0.00387861756487755</v>
      </c>
      <c r="G1607" s="45" t="n">
        <f aca="false">ROUND(C1607*F1607,0)</f>
        <v>2121</v>
      </c>
      <c r="H1607" s="48" t="n">
        <f aca="false">MAX(0,(C1607*'Model Inputs &amp; Assumptions'!$N$31+E1607*'Model Inputs &amp; Assumptions'!$O$31+G1607*'Model Inputs &amp; Assumptions'!$P$31)*EXP('Model Inputs &amp; Assumptions'!$Q$31*S1607-'Model Inputs &amp; Assumptions'!$Q$31^2/2))</f>
        <v>48.1790983506612</v>
      </c>
      <c r="I1607" s="49" t="n">
        <f aca="false">IF('Model Inputs &amp; Assumptions'!$H$31="Fixed",'Model Inputs &amp; Assumptions'!$I$31*'Model Inputs &amp; Assumptions'!$K$31,IF('Model Inputs &amp; Assumptions'!$H$31="CPM",'Model Inputs &amp; Assumptions'!$I$31*'Model Inputs &amp; Assumptions'!$K$31*C1607/1000,IF('Model Inputs &amp; Assumptions'!$H$31="CPC",'Model Inputs &amp; Assumptions'!$I$31*'Model Inputs &amp; Assumptions'!$K$31*G1607,0)))</f>
        <v>6205.603932</v>
      </c>
      <c r="J1607" s="50" t="n">
        <f aca="false">H1607*INDEX('Model Inputs &amp; Assumptions'!$D$40:$D$42,MATCH('Model Inputs &amp; Assumptions'!$L$31,'Model Inputs &amp; Assumptions'!$A$40:$A$42,0))*INDEX('Model Inputs &amp; Assumptions'!$H$40:$H$42,MATCH('Model Inputs &amp; Assumptions'!$L$31,'Model Inputs &amp; Assumptions'!$A$40:$A$42,0))</f>
        <v>346889.508124761</v>
      </c>
      <c r="K1607" s="49" t="n">
        <f aca="false">H1607*INDEX('Model Inputs &amp; Assumptions'!$G$40:$G$42,MATCH('Model Inputs &amp; Assumptions'!$L$31,'Model Inputs &amp; Assumptions'!$A$40:$A$42,0))*INDEX('Model Inputs &amp; Assumptions'!$H$40:$H$42,MATCH('Model Inputs &amp; Assumptions'!$L$31,'Model Inputs &amp; Assumptions'!$A$40:$A$42,0))</f>
        <v>7648.91365415098</v>
      </c>
      <c r="L1607" s="51" t="n">
        <f aca="false">IFERROR(K1607/I1607,0)</f>
        <v>1.23258166940181</v>
      </c>
      <c r="M1607" s="49" t="n">
        <f aca="false">IFERROR(I1607/H1607,0)</f>
        <v>128.802824138257</v>
      </c>
      <c r="N1607" s="52" t="str">
        <f aca="false">'Model Inputs &amp; Assumptions'!$L$31</f>
        <v>PRD-USIQ</v>
      </c>
      <c r="P1607" s="53" t="n">
        <v>0.606271</v>
      </c>
      <c r="Q1607" s="53" t="n">
        <v>-0.806797</v>
      </c>
      <c r="R1607" s="53" t="n">
        <v>-0.938163</v>
      </c>
      <c r="S1607" s="53" t="n">
        <v>-0.184991</v>
      </c>
    </row>
    <row r="1608" customFormat="false" ht="15" hidden="false" customHeight="false" outlineLevel="0" collapsed="false">
      <c r="A1608" s="43" t="n">
        <v>105</v>
      </c>
      <c r="B1608" s="44" t="str">
        <f aca="false">'Model Inputs &amp; Assumptions'!$B$31</f>
        <v>YouTube — Finfluencer Pre-roll</v>
      </c>
      <c r="C1608" s="45" t="n">
        <f aca="false">ROUND(MAX(0,'Model Inputs &amp; Assumptions'!$S$31*EXP('Model Inputs &amp; Assumptions'!$T$31*P1608-'Model Inputs &amp; Assumptions'!$T$31^2/2)),0)</f>
        <v>437719</v>
      </c>
      <c r="D1608" s="46" t="n">
        <f aca="false">MIN(1,'Model Inputs &amp; Assumptions'!$U$31*EXP('Model Inputs &amp; Assumptions'!$V$31*Q1608-'Model Inputs &amp; Assumptions'!$V$31^2/2))</f>
        <v>0.60678157141517</v>
      </c>
      <c r="E1608" s="45" t="n">
        <f aca="false">ROUND(C1608*D1608,0)</f>
        <v>265600</v>
      </c>
      <c r="F1608" s="47" t="n">
        <f aca="false">MIN(1,'Model Inputs &amp; Assumptions'!$W$31*EXP('Model Inputs &amp; Assumptions'!$X$31*R1608-'Model Inputs &amp; Assumptions'!$X$31^2/2))</f>
        <v>0.00432212989685011</v>
      </c>
      <c r="G1608" s="45" t="n">
        <f aca="false">ROUND(C1608*F1608,0)</f>
        <v>1892</v>
      </c>
      <c r="H1608" s="48" t="n">
        <f aca="false">MAX(0,(C1608*'Model Inputs &amp; Assumptions'!$N$31+E1608*'Model Inputs &amp; Assumptions'!$O$31+G1608*'Model Inputs &amp; Assumptions'!$P$31)*EXP('Model Inputs &amp; Assumptions'!$Q$31*S1608-'Model Inputs &amp; Assumptions'!$Q$31^2/2))</f>
        <v>31.9388213652799</v>
      </c>
      <c r="I1608" s="49" t="n">
        <f aca="false">IF('Model Inputs &amp; Assumptions'!$H$31="Fixed",'Model Inputs &amp; Assumptions'!$I$31*'Model Inputs &amp; Assumptions'!$K$31,IF('Model Inputs &amp; Assumptions'!$H$31="CPM",'Model Inputs &amp; Assumptions'!$I$31*'Model Inputs &amp; Assumptions'!$K$31*C1608/1000,IF('Model Inputs &amp; Assumptions'!$H$31="CPC",'Model Inputs &amp; Assumptions'!$I$31*'Model Inputs &amp; Assumptions'!$K$31*G1608,0)))</f>
        <v>4966.359774</v>
      </c>
      <c r="J1608" s="50" t="n">
        <f aca="false">H1608*INDEX('Model Inputs &amp; Assumptions'!$D$40:$D$42,MATCH('Model Inputs &amp; Assumptions'!$L$31,'Model Inputs &amp; Assumptions'!$A$40:$A$42,0))*INDEX('Model Inputs &amp; Assumptions'!$H$40:$H$42,MATCH('Model Inputs &amp; Assumptions'!$L$31,'Model Inputs &amp; Assumptions'!$A$40:$A$42,0))</f>
        <v>229959.513830015</v>
      </c>
      <c r="K1608" s="49" t="n">
        <f aca="false">H1608*INDEX('Model Inputs &amp; Assumptions'!$G$40:$G$42,MATCH('Model Inputs &amp; Assumptions'!$L$31,'Model Inputs &amp; Assumptions'!$A$40:$A$42,0))*INDEX('Model Inputs &amp; Assumptions'!$H$40:$H$42,MATCH('Model Inputs &amp; Assumptions'!$L$31,'Model Inputs &amp; Assumptions'!$A$40:$A$42,0))</f>
        <v>5070.60727995184</v>
      </c>
      <c r="L1608" s="51" t="n">
        <f aca="false">IFERROR(K1608/I1608,0)</f>
        <v>1.02099072775549</v>
      </c>
      <c r="M1608" s="49" t="n">
        <f aca="false">IFERROR(I1608/H1608,0)</f>
        <v>155.496025266569</v>
      </c>
      <c r="N1608" s="52" t="str">
        <f aca="false">'Model Inputs &amp; Assumptions'!$L$31</f>
        <v>PRD-USIQ</v>
      </c>
      <c r="P1608" s="53" t="n">
        <v>-0.18932</v>
      </c>
      <c r="Q1608" s="53" t="n">
        <v>0.270331</v>
      </c>
      <c r="R1608" s="53" t="n">
        <v>-0.48704</v>
      </c>
      <c r="S1608" s="53" t="n">
        <v>-1.084237</v>
      </c>
    </row>
    <row r="1609" customFormat="false" ht="15" hidden="false" customHeight="false" outlineLevel="0" collapsed="false">
      <c r="A1609" s="43" t="n">
        <v>106</v>
      </c>
      <c r="B1609" s="44" t="str">
        <f aca="false">'Model Inputs &amp; Assumptions'!$B$31</f>
        <v>YouTube — Finfluencer Pre-roll</v>
      </c>
      <c r="C1609" s="45" t="n">
        <f aca="false">ROUND(MAX(0,'Model Inputs &amp; Assumptions'!$S$31*EXP('Model Inputs &amp; Assumptions'!$T$31*P1609-'Model Inputs &amp; Assumptions'!$T$31^2/2)),0)</f>
        <v>332979</v>
      </c>
      <c r="D1609" s="46" t="n">
        <f aca="false">MIN(1,'Model Inputs &amp; Assumptions'!$U$31*EXP('Model Inputs &amp; Assumptions'!$V$31*Q1609-'Model Inputs &amp; Assumptions'!$V$31^2/2))</f>
        <v>0.670722156131634</v>
      </c>
      <c r="E1609" s="45" t="n">
        <f aca="false">ROUND(C1609*D1609,0)</f>
        <v>223336</v>
      </c>
      <c r="F1609" s="47" t="n">
        <f aca="false">MIN(1,'Model Inputs &amp; Assumptions'!$W$31*EXP('Model Inputs &amp; Assumptions'!$X$31*R1609-'Model Inputs &amp; Assumptions'!$X$31^2/2))</f>
        <v>0.00392011359788233</v>
      </c>
      <c r="G1609" s="45" t="n">
        <f aca="false">ROUND(C1609*F1609,0)</f>
        <v>1305</v>
      </c>
      <c r="H1609" s="48" t="n">
        <f aca="false">MAX(0,(C1609*'Model Inputs &amp; Assumptions'!$N$31+E1609*'Model Inputs &amp; Assumptions'!$O$31+G1609*'Model Inputs &amp; Assumptions'!$P$31)*EXP('Model Inputs &amp; Assumptions'!$Q$31*S1609-'Model Inputs &amp; Assumptions'!$Q$31^2/2))</f>
        <v>57.1557452229663</v>
      </c>
      <c r="I1609" s="49" t="n">
        <f aca="false">IF('Model Inputs &amp; Assumptions'!$H$31="Fixed",'Model Inputs &amp; Assumptions'!$I$31*'Model Inputs &amp; Assumptions'!$K$31,IF('Model Inputs &amp; Assumptions'!$H$31="CPM",'Model Inputs &amp; Assumptions'!$I$31*'Model Inputs &amp; Assumptions'!$K$31*C1609/1000,IF('Model Inputs &amp; Assumptions'!$H$31="CPC",'Model Inputs &amp; Assumptions'!$I$31*'Model Inputs &amp; Assumptions'!$K$31*G1609,0)))</f>
        <v>3777.979734</v>
      </c>
      <c r="J1609" s="50" t="n">
        <f aca="false">H1609*INDEX('Model Inputs &amp; Assumptions'!$D$40:$D$42,MATCH('Model Inputs &amp; Assumptions'!$L$31,'Model Inputs &amp; Assumptions'!$A$40:$A$42,0))*INDEX('Model Inputs &amp; Assumptions'!$H$40:$H$42,MATCH('Model Inputs &amp; Assumptions'!$L$31,'Model Inputs &amp; Assumptions'!$A$40:$A$42,0))</f>
        <v>411521.365605357</v>
      </c>
      <c r="K1609" s="49" t="n">
        <f aca="false">H1609*INDEX('Model Inputs &amp; Assumptions'!$G$40:$G$42,MATCH('Model Inputs &amp; Assumptions'!$L$31,'Model Inputs &amp; Assumptions'!$A$40:$A$42,0))*INDEX('Model Inputs &amp; Assumptions'!$H$40:$H$42,MATCH('Model Inputs &amp; Assumptions'!$L$31,'Model Inputs &amp; Assumptions'!$A$40:$A$42,0))</f>
        <v>9074.04611159813</v>
      </c>
      <c r="L1609" s="51" t="n">
        <f aca="false">IFERROR(K1609/I1609,0)</f>
        <v>2.40182498332007</v>
      </c>
      <c r="M1609" s="49" t="n">
        <f aca="false">IFERROR(I1609/H1609,0)</f>
        <v>66.0997371176246</v>
      </c>
      <c r="N1609" s="52" t="str">
        <f aca="false">'Model Inputs &amp; Assumptions'!$L$31</f>
        <v>PRD-USIQ</v>
      </c>
      <c r="P1609" s="53" t="n">
        <v>-1.166093</v>
      </c>
      <c r="Q1609" s="53" t="n">
        <v>0.985946</v>
      </c>
      <c r="R1609" s="53" t="n">
        <v>-0.893822</v>
      </c>
      <c r="S1609" s="53" t="n">
        <v>1.383543</v>
      </c>
    </row>
    <row r="1610" customFormat="false" ht="15" hidden="false" customHeight="false" outlineLevel="0" collapsed="false">
      <c r="A1610" s="43" t="n">
        <v>107</v>
      </c>
      <c r="B1610" s="44" t="str">
        <f aca="false">'Model Inputs &amp; Assumptions'!$B$31</f>
        <v>YouTube — Finfluencer Pre-roll</v>
      </c>
      <c r="C1610" s="45" t="n">
        <f aca="false">ROUND(MAX(0,'Model Inputs &amp; Assumptions'!$S$31*EXP('Model Inputs &amp; Assumptions'!$T$31*P1610-'Model Inputs &amp; Assumptions'!$T$31^2/2)),0)</f>
        <v>440593</v>
      </c>
      <c r="D1610" s="46" t="n">
        <f aca="false">MIN(1,'Model Inputs &amp; Assumptions'!$U$31*EXP('Model Inputs &amp; Assumptions'!$V$31*Q1610-'Model Inputs &amp; Assumptions'!$V$31^2/2))</f>
        <v>0.714277696144176</v>
      </c>
      <c r="E1610" s="45" t="n">
        <f aca="false">ROUND(C1610*D1610,0)</f>
        <v>314706</v>
      </c>
      <c r="F1610" s="47" t="n">
        <f aca="false">MIN(1,'Model Inputs &amp; Assumptions'!$W$31*EXP('Model Inputs &amp; Assumptions'!$X$31*R1610-'Model Inputs &amp; Assumptions'!$X$31^2/2))</f>
        <v>0.00460437874786682</v>
      </c>
      <c r="G1610" s="45" t="n">
        <f aca="false">ROUND(C1610*F1610,0)</f>
        <v>2029</v>
      </c>
      <c r="H1610" s="48" t="n">
        <f aca="false">MAX(0,(C1610*'Model Inputs &amp; Assumptions'!$N$31+E1610*'Model Inputs &amp; Assumptions'!$O$31+G1610*'Model Inputs &amp; Assumptions'!$P$31)*EXP('Model Inputs &amp; Assumptions'!$Q$31*S1610-'Model Inputs &amp; Assumptions'!$Q$31^2/2))</f>
        <v>35.9653762478148</v>
      </c>
      <c r="I1610" s="49" t="n">
        <f aca="false">IF('Model Inputs &amp; Assumptions'!$H$31="Fixed",'Model Inputs &amp; Assumptions'!$I$31*'Model Inputs &amp; Assumptions'!$K$31,IF('Model Inputs &amp; Assumptions'!$H$31="CPM",'Model Inputs &amp; Assumptions'!$I$31*'Model Inputs &amp; Assumptions'!$K$31*C1610/1000,IF('Model Inputs &amp; Assumptions'!$H$31="CPC",'Model Inputs &amp; Assumptions'!$I$31*'Model Inputs &amp; Assumptions'!$K$31*G1610,0)))</f>
        <v>4998.968178</v>
      </c>
      <c r="J1610" s="50" t="n">
        <f aca="false">H1610*INDEX('Model Inputs &amp; Assumptions'!$D$40:$D$42,MATCH('Model Inputs &amp; Assumptions'!$L$31,'Model Inputs &amp; Assumptions'!$A$40:$A$42,0))*INDEX('Model Inputs &amp; Assumptions'!$H$40:$H$42,MATCH('Model Inputs &amp; Assumptions'!$L$31,'Model Inputs &amp; Assumptions'!$A$40:$A$42,0))</f>
        <v>258950.708984266</v>
      </c>
      <c r="K1610" s="49" t="n">
        <f aca="false">H1610*INDEX('Model Inputs &amp; Assumptions'!$G$40:$G$42,MATCH('Model Inputs &amp; Assumptions'!$L$31,'Model Inputs &amp; Assumptions'!$A$40:$A$42,0))*INDEX('Model Inputs &amp; Assumptions'!$H$40:$H$42,MATCH('Model Inputs &amp; Assumptions'!$L$31,'Model Inputs &amp; Assumptions'!$A$40:$A$42,0))</f>
        <v>5709.86313310307</v>
      </c>
      <c r="L1610" s="51" t="n">
        <f aca="false">IFERROR(K1610/I1610,0)</f>
        <v>1.14220833775891</v>
      </c>
      <c r="M1610" s="49" t="n">
        <f aca="false">IFERROR(I1610/H1610,0)</f>
        <v>138.993907461311</v>
      </c>
      <c r="N1610" s="52" t="str">
        <f aca="false">'Model Inputs &amp; Assumptions'!$L$31</f>
        <v>PRD-USIQ</v>
      </c>
      <c r="P1610" s="53" t="n">
        <v>-0.165945</v>
      </c>
      <c r="Q1610" s="53" t="n">
        <v>1.435352</v>
      </c>
      <c r="R1610" s="53" t="n">
        <v>-0.223459</v>
      </c>
      <c r="S1610" s="53" t="n">
        <v>-1.070237</v>
      </c>
    </row>
    <row r="1611" customFormat="false" ht="15" hidden="false" customHeight="false" outlineLevel="0" collapsed="false">
      <c r="A1611" s="43" t="n">
        <v>108</v>
      </c>
      <c r="B1611" s="44" t="str">
        <f aca="false">'Model Inputs &amp; Assumptions'!$B$31</f>
        <v>YouTube — Finfluencer Pre-roll</v>
      </c>
      <c r="C1611" s="45" t="n">
        <f aca="false">ROUND(MAX(0,'Model Inputs &amp; Assumptions'!$S$31*EXP('Model Inputs &amp; Assumptions'!$T$31*P1611-'Model Inputs &amp; Assumptions'!$T$31^2/2)),0)</f>
        <v>459353</v>
      </c>
      <c r="D1611" s="46" t="n">
        <f aca="false">MIN(1,'Model Inputs &amp; Assumptions'!$U$31*EXP('Model Inputs &amp; Assumptions'!$V$31*Q1611-'Model Inputs &amp; Assumptions'!$V$31^2/2))</f>
        <v>0.527147848640299</v>
      </c>
      <c r="E1611" s="45" t="n">
        <f aca="false">ROUND(C1611*D1611,0)</f>
        <v>242147</v>
      </c>
      <c r="F1611" s="47" t="n">
        <f aca="false">MIN(1,'Model Inputs &amp; Assumptions'!$W$31*EXP('Model Inputs &amp; Assumptions'!$X$31*R1611-'Model Inputs &amp; Assumptions'!$X$31^2/2))</f>
        <v>0.00630742601914208</v>
      </c>
      <c r="G1611" s="45" t="n">
        <f aca="false">ROUND(C1611*F1611,0)</f>
        <v>2897</v>
      </c>
      <c r="H1611" s="48" t="n">
        <f aca="false">MAX(0,(C1611*'Model Inputs &amp; Assumptions'!$N$31+E1611*'Model Inputs &amp; Assumptions'!$O$31+G1611*'Model Inputs &amp; Assumptions'!$P$31)*EXP('Model Inputs &amp; Assumptions'!$Q$31*S1611-'Model Inputs &amp; Assumptions'!$Q$31^2/2))</f>
        <v>63.2865608246926</v>
      </c>
      <c r="I1611" s="49" t="n">
        <f aca="false">IF('Model Inputs &amp; Assumptions'!$H$31="Fixed",'Model Inputs &amp; Assumptions'!$I$31*'Model Inputs &amp; Assumptions'!$K$31,IF('Model Inputs &amp; Assumptions'!$H$31="CPM",'Model Inputs &amp; Assumptions'!$I$31*'Model Inputs &amp; Assumptions'!$K$31*C1611/1000,IF('Model Inputs &amp; Assumptions'!$H$31="CPC",'Model Inputs &amp; Assumptions'!$I$31*'Model Inputs &amp; Assumptions'!$K$31*G1611,0)))</f>
        <v>5211.819138</v>
      </c>
      <c r="J1611" s="50" t="n">
        <f aca="false">H1611*INDEX('Model Inputs &amp; Assumptions'!$D$40:$D$42,MATCH('Model Inputs &amp; Assumptions'!$L$31,'Model Inputs &amp; Assumptions'!$A$40:$A$42,0))*INDEX('Model Inputs &amp; Assumptions'!$H$40:$H$42,MATCH('Model Inputs &amp; Assumptions'!$L$31,'Model Inputs &amp; Assumptions'!$A$40:$A$42,0))</f>
        <v>455663.237937787</v>
      </c>
      <c r="K1611" s="49" t="n">
        <f aca="false">H1611*INDEX('Model Inputs &amp; Assumptions'!$G$40:$G$42,MATCH('Model Inputs &amp; Assumptions'!$L$31,'Model Inputs &amp; Assumptions'!$A$40:$A$42,0))*INDEX('Model Inputs &amp; Assumptions'!$H$40:$H$42,MATCH('Model Inputs &amp; Assumptions'!$L$31,'Model Inputs &amp; Assumptions'!$A$40:$A$42,0))</f>
        <v>10047.3743965282</v>
      </c>
      <c r="L1611" s="51" t="n">
        <f aca="false">IFERROR(K1611/I1611,0)</f>
        <v>1.92780565297663</v>
      </c>
      <c r="M1611" s="49" t="n">
        <f aca="false">IFERROR(I1611/H1611,0)</f>
        <v>82.3526996898605</v>
      </c>
      <c r="N1611" s="52" t="str">
        <f aca="false">'Model Inputs &amp; Assumptions'!$L$31</f>
        <v>PRD-USIQ</v>
      </c>
      <c r="P1611" s="53" t="n">
        <v>-0.017023</v>
      </c>
      <c r="Q1611" s="53" t="n">
        <v>-0.734582</v>
      </c>
      <c r="R1611" s="53" t="n">
        <v>1.087874</v>
      </c>
      <c r="S1611" s="53" t="n">
        <v>0.195834</v>
      </c>
    </row>
    <row r="1612" customFormat="false" ht="15" hidden="false" customHeight="false" outlineLevel="0" collapsed="false">
      <c r="A1612" s="43" t="n">
        <v>109</v>
      </c>
      <c r="B1612" s="44" t="str">
        <f aca="false">'Model Inputs &amp; Assumptions'!$B$31</f>
        <v>YouTube — Finfluencer Pre-roll</v>
      </c>
      <c r="C1612" s="45" t="n">
        <f aca="false">ROUND(MAX(0,'Model Inputs &amp; Assumptions'!$S$31*EXP('Model Inputs &amp; Assumptions'!$T$31*P1612-'Model Inputs &amp; Assumptions'!$T$31^2/2)),0)</f>
        <v>344865</v>
      </c>
      <c r="D1612" s="46" t="n">
        <f aca="false">MIN(1,'Model Inputs &amp; Assumptions'!$U$31*EXP('Model Inputs &amp; Assumptions'!$V$31*Q1612-'Model Inputs &amp; Assumptions'!$V$31^2/2))</f>
        <v>0.541209309046476</v>
      </c>
      <c r="E1612" s="45" t="n">
        <f aca="false">ROUND(C1612*D1612,0)</f>
        <v>186644</v>
      </c>
      <c r="F1612" s="47" t="n">
        <f aca="false">MIN(1,'Model Inputs &amp; Assumptions'!$W$31*EXP('Model Inputs &amp; Assumptions'!$X$31*R1612-'Model Inputs &amp; Assumptions'!$X$31^2/2))</f>
        <v>0.0058233913162972</v>
      </c>
      <c r="G1612" s="45" t="n">
        <f aca="false">ROUND(C1612*F1612,0)</f>
        <v>2008</v>
      </c>
      <c r="H1612" s="48" t="n">
        <f aca="false">MAX(0,(C1612*'Model Inputs &amp; Assumptions'!$N$31+E1612*'Model Inputs &amp; Assumptions'!$O$31+G1612*'Model Inputs &amp; Assumptions'!$P$31)*EXP('Model Inputs &amp; Assumptions'!$Q$31*S1612-'Model Inputs &amp; Assumptions'!$Q$31^2/2))</f>
        <v>47.0520282629935</v>
      </c>
      <c r="I1612" s="49" t="n">
        <f aca="false">IF('Model Inputs &amp; Assumptions'!$H$31="Fixed",'Model Inputs &amp; Assumptions'!$I$31*'Model Inputs &amp; Assumptions'!$K$31,IF('Model Inputs &amp; Assumptions'!$H$31="CPM",'Model Inputs &amp; Assumptions'!$I$31*'Model Inputs &amp; Assumptions'!$K$31*C1612/1000,IF('Model Inputs &amp; Assumptions'!$H$31="CPC",'Model Inputs &amp; Assumptions'!$I$31*'Model Inputs &amp; Assumptions'!$K$31*G1612,0)))</f>
        <v>3912.83829</v>
      </c>
      <c r="J1612" s="50" t="n">
        <f aca="false">H1612*INDEX('Model Inputs &amp; Assumptions'!$D$40:$D$42,MATCH('Model Inputs &amp; Assumptions'!$L$31,'Model Inputs &amp; Assumptions'!$A$40:$A$42,0))*INDEX('Model Inputs &amp; Assumptions'!$H$40:$H$42,MATCH('Model Inputs &amp; Assumptions'!$L$31,'Model Inputs &amp; Assumptions'!$A$40:$A$42,0))</f>
        <v>338774.603493553</v>
      </c>
      <c r="K1612" s="49" t="n">
        <f aca="false">H1612*INDEX('Model Inputs &amp; Assumptions'!$G$40:$G$42,MATCH('Model Inputs &amp; Assumptions'!$L$31,'Model Inputs &amp; Assumptions'!$A$40:$A$42,0))*INDEX('Model Inputs &amp; Assumptions'!$H$40:$H$42,MATCH('Model Inputs &amp; Assumptions'!$L$31,'Model Inputs &amp; Assumptions'!$A$40:$A$42,0))</f>
        <v>7469.98000703285</v>
      </c>
      <c r="L1612" s="51" t="n">
        <f aca="false">IFERROR(K1612/I1612,0)</f>
        <v>1.90909499790058</v>
      </c>
      <c r="M1612" s="49" t="n">
        <f aca="false">IFERROR(I1612/H1612,0)</f>
        <v>83.1598218918323</v>
      </c>
      <c r="N1612" s="52" t="str">
        <f aca="false">'Model Inputs &amp; Assumptions'!$L$31</f>
        <v>PRD-USIQ</v>
      </c>
      <c r="P1612" s="53" t="n">
        <v>-1.040834</v>
      </c>
      <c r="Q1612" s="53" t="n">
        <v>-0.546546</v>
      </c>
      <c r="R1612" s="53" t="n">
        <v>0.755187</v>
      </c>
      <c r="S1612" s="53" t="n">
        <v>0.299135</v>
      </c>
    </row>
    <row r="1613" customFormat="false" ht="15" hidden="false" customHeight="false" outlineLevel="0" collapsed="false">
      <c r="A1613" s="43" t="n">
        <v>110</v>
      </c>
      <c r="B1613" s="44" t="str">
        <f aca="false">'Model Inputs &amp; Assumptions'!$B$31</f>
        <v>YouTube — Finfluencer Pre-roll</v>
      </c>
      <c r="C1613" s="45" t="n">
        <f aca="false">ROUND(MAX(0,'Model Inputs &amp; Assumptions'!$S$31*EXP('Model Inputs &amp; Assumptions'!$T$31*P1613-'Model Inputs &amp; Assumptions'!$T$31^2/2)),0)</f>
        <v>385259</v>
      </c>
      <c r="D1613" s="46" t="n">
        <f aca="false">MIN(1,'Model Inputs &amp; Assumptions'!$U$31*EXP('Model Inputs &amp; Assumptions'!$V$31*Q1613-'Model Inputs &amp; Assumptions'!$V$31^2/2))</f>
        <v>0.624059338064071</v>
      </c>
      <c r="E1613" s="45" t="n">
        <f aca="false">ROUND(C1613*D1613,0)</f>
        <v>240424</v>
      </c>
      <c r="F1613" s="47" t="n">
        <f aca="false">MIN(1,'Model Inputs &amp; Assumptions'!$W$31*EXP('Model Inputs &amp; Assumptions'!$X$31*R1613-'Model Inputs &amp; Assumptions'!$X$31^2/2))</f>
        <v>0.00398526509178169</v>
      </c>
      <c r="G1613" s="45" t="n">
        <f aca="false">ROUND(C1613*F1613,0)</f>
        <v>1535</v>
      </c>
      <c r="H1613" s="48" t="n">
        <f aca="false">MAX(0,(C1613*'Model Inputs &amp; Assumptions'!$N$31+E1613*'Model Inputs &amp; Assumptions'!$O$31+G1613*'Model Inputs &amp; Assumptions'!$P$31)*EXP('Model Inputs &amp; Assumptions'!$Q$31*S1613-'Model Inputs &amp; Assumptions'!$Q$31^2/2))</f>
        <v>33.8786917828056</v>
      </c>
      <c r="I1613" s="49" t="n">
        <f aca="false">IF('Model Inputs &amp; Assumptions'!$H$31="Fixed",'Model Inputs &amp; Assumptions'!$I$31*'Model Inputs &amp; Assumptions'!$K$31,IF('Model Inputs &amp; Assumptions'!$H$31="CPM",'Model Inputs &amp; Assumptions'!$I$31*'Model Inputs &amp; Assumptions'!$K$31*C1613/1000,IF('Model Inputs &amp; Assumptions'!$H$31="CPC",'Model Inputs &amp; Assumptions'!$I$31*'Model Inputs &amp; Assumptions'!$K$31*G1613,0)))</f>
        <v>4371.148614</v>
      </c>
      <c r="J1613" s="50" t="n">
        <f aca="false">H1613*INDEX('Model Inputs &amp; Assumptions'!$D$40:$D$42,MATCH('Model Inputs &amp; Assumptions'!$L$31,'Model Inputs &amp; Assumptions'!$A$40:$A$42,0))*INDEX('Model Inputs &amp; Assumptions'!$H$40:$H$42,MATCH('Model Inputs &amp; Assumptions'!$L$31,'Model Inputs &amp; Assumptions'!$A$40:$A$42,0))</f>
        <v>243926.5808362</v>
      </c>
      <c r="K1613" s="49" t="n">
        <f aca="false">H1613*INDEX('Model Inputs &amp; Assumptions'!$G$40:$G$42,MATCH('Model Inputs &amp; Assumptions'!$L$31,'Model Inputs &amp; Assumptions'!$A$40:$A$42,0))*INDEX('Model Inputs &amp; Assumptions'!$H$40:$H$42,MATCH('Model Inputs &amp; Assumptions'!$L$31,'Model Inputs &amp; Assumptions'!$A$40:$A$42,0))</f>
        <v>5378.58110743821</v>
      </c>
      <c r="L1613" s="51" t="n">
        <f aca="false">IFERROR(K1613/I1613,0)</f>
        <v>1.23047317362114</v>
      </c>
      <c r="M1613" s="49" t="n">
        <f aca="false">IFERROR(I1613/H1613,0)</f>
        <v>129.023536151372</v>
      </c>
      <c r="N1613" s="52" t="str">
        <f aca="false">'Model Inputs &amp; Assumptions'!$L$31</f>
        <v>PRD-USIQ</v>
      </c>
      <c r="P1613" s="53" t="n">
        <v>-0.645252</v>
      </c>
      <c r="Q1613" s="53" t="n">
        <v>0.470878</v>
      </c>
      <c r="R1613" s="53" t="n">
        <v>-0.825142</v>
      </c>
      <c r="S1613" s="53" t="n">
        <v>-0.456512</v>
      </c>
    </row>
    <row r="1614" customFormat="false" ht="15" hidden="false" customHeight="false" outlineLevel="0" collapsed="false">
      <c r="A1614" s="43" t="n">
        <v>111</v>
      </c>
      <c r="B1614" s="44" t="str">
        <f aca="false">'Model Inputs &amp; Assumptions'!$B$31</f>
        <v>YouTube — Finfluencer Pre-roll</v>
      </c>
      <c r="C1614" s="45" t="n">
        <f aca="false">ROUND(MAX(0,'Model Inputs &amp; Assumptions'!$S$31*EXP('Model Inputs &amp; Assumptions'!$T$31*P1614-'Model Inputs &amp; Assumptions'!$T$31^2/2)),0)</f>
        <v>519609</v>
      </c>
      <c r="D1614" s="46" t="n">
        <f aca="false">MIN(1,'Model Inputs &amp; Assumptions'!$U$31*EXP('Model Inputs &amp; Assumptions'!$V$31*Q1614-'Model Inputs &amp; Assumptions'!$V$31^2/2))</f>
        <v>0.720744623499842</v>
      </c>
      <c r="E1614" s="45" t="n">
        <f aca="false">ROUND(C1614*D1614,0)</f>
        <v>374505</v>
      </c>
      <c r="F1614" s="47" t="n">
        <f aca="false">MIN(1,'Model Inputs &amp; Assumptions'!$W$31*EXP('Model Inputs &amp; Assumptions'!$X$31*R1614-'Model Inputs &amp; Assumptions'!$X$31^2/2))</f>
        <v>0.00390283492312269</v>
      </c>
      <c r="G1614" s="45" t="n">
        <f aca="false">ROUND(C1614*F1614,0)</f>
        <v>2028</v>
      </c>
      <c r="H1614" s="48" t="n">
        <f aca="false">MAX(0,(C1614*'Model Inputs &amp; Assumptions'!$N$31+E1614*'Model Inputs &amp; Assumptions'!$O$31+G1614*'Model Inputs &amp; Assumptions'!$P$31)*EXP('Model Inputs &amp; Assumptions'!$Q$31*S1614-'Model Inputs &amp; Assumptions'!$Q$31^2/2))</f>
        <v>59.1954954703395</v>
      </c>
      <c r="I1614" s="49" t="n">
        <f aca="false">IF('Model Inputs &amp; Assumptions'!$H$31="Fixed",'Model Inputs &amp; Assumptions'!$I$31*'Model Inputs &amp; Assumptions'!$K$31,IF('Model Inputs &amp; Assumptions'!$H$31="CPM",'Model Inputs &amp; Assumptions'!$I$31*'Model Inputs &amp; Assumptions'!$K$31*C1614/1000,IF('Model Inputs &amp; Assumptions'!$H$31="CPC",'Model Inputs &amp; Assumptions'!$I$31*'Model Inputs &amp; Assumptions'!$K$31*G1614,0)))</f>
        <v>5895.483714</v>
      </c>
      <c r="J1614" s="50" t="n">
        <f aca="false">H1614*INDEX('Model Inputs &amp; Assumptions'!$D$40:$D$42,MATCH('Model Inputs &amp; Assumptions'!$L$31,'Model Inputs &amp; Assumptions'!$A$40:$A$42,0))*INDEX('Model Inputs &amp; Assumptions'!$H$40:$H$42,MATCH('Model Inputs &amp; Assumptions'!$L$31,'Model Inputs &amp; Assumptions'!$A$40:$A$42,0))</f>
        <v>426207.567386445</v>
      </c>
      <c r="K1614" s="49" t="n">
        <f aca="false">H1614*INDEX('Model Inputs &amp; Assumptions'!$G$40:$G$42,MATCH('Model Inputs &amp; Assumptions'!$L$31,'Model Inputs &amp; Assumptions'!$A$40:$A$42,0))*INDEX('Model Inputs &amp; Assumptions'!$H$40:$H$42,MATCH('Model Inputs &amp; Assumptions'!$L$31,'Model Inputs &amp; Assumptions'!$A$40:$A$42,0))</f>
        <v>9397.8768608711</v>
      </c>
      <c r="L1614" s="51" t="n">
        <f aca="false">IFERROR(K1614/I1614,0)</f>
        <v>1.59408070936639</v>
      </c>
      <c r="M1614" s="49" t="n">
        <f aca="false">IFERROR(I1614/H1614,0)</f>
        <v>99.5934516158242</v>
      </c>
      <c r="N1614" s="52" t="str">
        <f aca="false">'Model Inputs &amp; Assumptions'!$L$31</f>
        <v>PRD-USIQ</v>
      </c>
      <c r="P1614" s="53" t="n">
        <v>0.423177</v>
      </c>
      <c r="Q1614" s="53" t="n">
        <v>1.499731</v>
      </c>
      <c r="R1614" s="53" t="n">
        <v>-0.912228</v>
      </c>
      <c r="S1614" s="53" t="n">
        <v>0.118374</v>
      </c>
    </row>
    <row r="1615" customFormat="false" ht="15" hidden="false" customHeight="false" outlineLevel="0" collapsed="false">
      <c r="A1615" s="43" t="n">
        <v>112</v>
      </c>
      <c r="B1615" s="44" t="str">
        <f aca="false">'Model Inputs &amp; Assumptions'!$B$31</f>
        <v>YouTube — Finfluencer Pre-roll</v>
      </c>
      <c r="C1615" s="45" t="n">
        <f aca="false">ROUND(MAX(0,'Model Inputs &amp; Assumptions'!$S$31*EXP('Model Inputs &amp; Assumptions'!$T$31*P1615-'Model Inputs &amp; Assumptions'!$T$31^2/2)),0)</f>
        <v>669832</v>
      </c>
      <c r="D1615" s="46" t="n">
        <f aca="false">MIN(1,'Model Inputs &amp; Assumptions'!$U$31*EXP('Model Inputs &amp; Assumptions'!$V$31*Q1615-'Model Inputs &amp; Assumptions'!$V$31^2/2))</f>
        <v>0.561502618124095</v>
      </c>
      <c r="E1615" s="45" t="n">
        <f aca="false">ROUND(C1615*D1615,0)</f>
        <v>376112</v>
      </c>
      <c r="F1615" s="47" t="n">
        <f aca="false">MIN(1,'Model Inputs &amp; Assumptions'!$W$31*EXP('Model Inputs &amp; Assumptions'!$X$31*R1615-'Model Inputs &amp; Assumptions'!$X$31^2/2))</f>
        <v>0.0057189727061429</v>
      </c>
      <c r="G1615" s="45" t="n">
        <f aca="false">ROUND(C1615*F1615,0)</f>
        <v>3831</v>
      </c>
      <c r="H1615" s="48" t="n">
        <f aca="false">MAX(0,(C1615*'Model Inputs &amp; Assumptions'!$N$31+E1615*'Model Inputs &amp; Assumptions'!$O$31+G1615*'Model Inputs &amp; Assumptions'!$P$31)*EXP('Model Inputs &amp; Assumptions'!$Q$31*S1615-'Model Inputs &amp; Assumptions'!$Q$31^2/2))</f>
        <v>80.8661354685012</v>
      </c>
      <c r="I1615" s="49" t="n">
        <f aca="false">IF('Model Inputs &amp; Assumptions'!$H$31="Fixed",'Model Inputs &amp; Assumptions'!$I$31*'Model Inputs &amp; Assumptions'!$K$31,IF('Model Inputs &amp; Assumptions'!$H$31="CPM",'Model Inputs &amp; Assumptions'!$I$31*'Model Inputs &amp; Assumptions'!$K$31*C1615/1000,IF('Model Inputs &amp; Assumptions'!$H$31="CPC",'Model Inputs &amp; Assumptions'!$I$31*'Model Inputs &amp; Assumptions'!$K$31*G1615,0)))</f>
        <v>7599.913872</v>
      </c>
      <c r="J1615" s="50" t="n">
        <f aca="false">H1615*INDEX('Model Inputs &amp; Assumptions'!$D$40:$D$42,MATCH('Model Inputs &amp; Assumptions'!$L$31,'Model Inputs &amp; Assumptions'!$A$40:$A$42,0))*INDEX('Model Inputs &amp; Assumptions'!$H$40:$H$42,MATCH('Model Inputs &amp; Assumptions'!$L$31,'Model Inputs &amp; Assumptions'!$A$40:$A$42,0))</f>
        <v>582236.175373209</v>
      </c>
      <c r="K1615" s="49" t="n">
        <f aca="false">H1615*INDEX('Model Inputs &amp; Assumptions'!$G$40:$G$42,MATCH('Model Inputs &amp; Assumptions'!$L$31,'Model Inputs &amp; Assumptions'!$A$40:$A$42,0))*INDEX('Model Inputs &amp; Assumptions'!$H$40:$H$42,MATCH('Model Inputs &amp; Assumptions'!$L$31,'Model Inputs &amp; Assumptions'!$A$40:$A$42,0))</f>
        <v>12838.3076669793</v>
      </c>
      <c r="L1615" s="51" t="n">
        <f aca="false">IFERROR(K1615/I1615,0)</f>
        <v>1.68927015268934</v>
      </c>
      <c r="M1615" s="49" t="n">
        <f aca="false">IFERROR(I1615/H1615,0)</f>
        <v>93.9814154339093</v>
      </c>
      <c r="N1615" s="52" t="str">
        <f aca="false">'Model Inputs &amp; Assumptions'!$L$31</f>
        <v>PRD-USIQ</v>
      </c>
      <c r="P1615" s="53" t="n">
        <v>1.330145</v>
      </c>
      <c r="Q1615" s="53" t="n">
        <v>-0.283615</v>
      </c>
      <c r="R1615" s="53" t="n">
        <v>0.679797</v>
      </c>
      <c r="S1615" s="53" t="n">
        <v>-0.052029</v>
      </c>
    </row>
    <row r="1616" customFormat="false" ht="15" hidden="false" customHeight="false" outlineLevel="0" collapsed="false">
      <c r="A1616" s="43" t="n">
        <v>113</v>
      </c>
      <c r="B1616" s="44" t="str">
        <f aca="false">'Model Inputs &amp; Assumptions'!$B$31</f>
        <v>YouTube — Finfluencer Pre-roll</v>
      </c>
      <c r="C1616" s="45" t="n">
        <f aca="false">ROUND(MAX(0,'Model Inputs &amp; Assumptions'!$S$31*EXP('Model Inputs &amp; Assumptions'!$T$31*P1616-'Model Inputs &amp; Assumptions'!$T$31^2/2)),0)</f>
        <v>448900</v>
      </c>
      <c r="D1616" s="46" t="n">
        <f aca="false">MIN(1,'Model Inputs &amp; Assumptions'!$U$31*EXP('Model Inputs &amp; Assumptions'!$V$31*Q1616-'Model Inputs &amp; Assumptions'!$V$31^2/2))</f>
        <v>0.571418997710515</v>
      </c>
      <c r="E1616" s="45" t="n">
        <f aca="false">ROUND(C1616*D1616,0)</f>
        <v>256510</v>
      </c>
      <c r="F1616" s="47" t="n">
        <f aca="false">MIN(1,'Model Inputs &amp; Assumptions'!$W$31*EXP('Model Inputs &amp; Assumptions'!$X$31*R1616-'Model Inputs &amp; Assumptions'!$X$31^2/2))</f>
        <v>0.00362766036319605</v>
      </c>
      <c r="G1616" s="45" t="n">
        <f aca="false">ROUND(C1616*F1616,0)</f>
        <v>1628</v>
      </c>
      <c r="H1616" s="48" t="n">
        <f aca="false">MAX(0,(C1616*'Model Inputs &amp; Assumptions'!$N$31+E1616*'Model Inputs &amp; Assumptions'!$O$31+G1616*'Model Inputs &amp; Assumptions'!$P$31)*EXP('Model Inputs &amp; Assumptions'!$Q$31*S1616-'Model Inputs &amp; Assumptions'!$Q$31^2/2))</f>
        <v>37.2863913946354</v>
      </c>
      <c r="I1616" s="49" t="n">
        <f aca="false">IF('Model Inputs &amp; Assumptions'!$H$31="Fixed",'Model Inputs &amp; Assumptions'!$I$31*'Model Inputs &amp; Assumptions'!$K$31,IF('Model Inputs &amp; Assumptions'!$H$31="CPM",'Model Inputs &amp; Assumptions'!$I$31*'Model Inputs &amp; Assumptions'!$K$31*C1616/1000,IF('Model Inputs &amp; Assumptions'!$H$31="CPC",'Model Inputs &amp; Assumptions'!$I$31*'Model Inputs &amp; Assumptions'!$K$31*G1616,0)))</f>
        <v>5093.2194</v>
      </c>
      <c r="J1616" s="50" t="n">
        <f aca="false">H1616*INDEX('Model Inputs &amp; Assumptions'!$D$40:$D$42,MATCH('Model Inputs &amp; Assumptions'!$L$31,'Model Inputs &amp; Assumptions'!$A$40:$A$42,0))*INDEX('Model Inputs &amp; Assumptions'!$H$40:$H$42,MATCH('Model Inputs &amp; Assumptions'!$L$31,'Model Inputs &amp; Assumptions'!$A$40:$A$42,0))</f>
        <v>268462.018041375</v>
      </c>
      <c r="K1616" s="49" t="n">
        <f aca="false">H1616*INDEX('Model Inputs &amp; Assumptions'!$G$40:$G$42,MATCH('Model Inputs &amp; Assumptions'!$L$31,'Model Inputs &amp; Assumptions'!$A$40:$A$42,0))*INDEX('Model Inputs &amp; Assumptions'!$H$40:$H$42,MATCH('Model Inputs &amp; Assumptions'!$L$31,'Model Inputs &amp; Assumptions'!$A$40:$A$42,0))</f>
        <v>5919.58749781231</v>
      </c>
      <c r="L1616" s="51" t="n">
        <f aca="false">IFERROR(K1616/I1616,0)</f>
        <v>1.16224867474044</v>
      </c>
      <c r="M1616" s="49" t="n">
        <f aca="false">IFERROR(I1616/H1616,0)</f>
        <v>136.597273415222</v>
      </c>
      <c r="N1616" s="52" t="str">
        <f aca="false">'Model Inputs &amp; Assumptions'!$L$31</f>
        <v>PRD-USIQ</v>
      </c>
      <c r="P1616" s="53" t="n">
        <v>-0.099236</v>
      </c>
      <c r="Q1616" s="53" t="n">
        <v>-0.15857</v>
      </c>
      <c r="R1616" s="53" t="n">
        <v>-1.216875</v>
      </c>
      <c r="S1616" s="53" t="n">
        <v>-0.358479</v>
      </c>
    </row>
    <row r="1617" customFormat="false" ht="15" hidden="false" customHeight="false" outlineLevel="0" collapsed="false">
      <c r="A1617" s="43" t="n">
        <v>114</v>
      </c>
      <c r="B1617" s="44" t="str">
        <f aca="false">'Model Inputs &amp; Assumptions'!$B$31</f>
        <v>YouTube — Finfluencer Pre-roll</v>
      </c>
      <c r="C1617" s="45" t="n">
        <f aca="false">ROUND(MAX(0,'Model Inputs &amp; Assumptions'!$S$31*EXP('Model Inputs &amp; Assumptions'!$T$31*P1617-'Model Inputs &amp; Assumptions'!$T$31^2/2)),0)</f>
        <v>402179</v>
      </c>
      <c r="D1617" s="46" t="n">
        <f aca="false">MIN(1,'Model Inputs &amp; Assumptions'!$U$31*EXP('Model Inputs &amp; Assumptions'!$V$31*Q1617-'Model Inputs &amp; Assumptions'!$V$31^2/2))</f>
        <v>0.514332044006574</v>
      </c>
      <c r="E1617" s="45" t="n">
        <f aca="false">ROUND(C1617*D1617,0)</f>
        <v>206854</v>
      </c>
      <c r="F1617" s="47" t="n">
        <f aca="false">MIN(1,'Model Inputs &amp; Assumptions'!$W$31*EXP('Model Inputs &amp; Assumptions'!$X$31*R1617-'Model Inputs &amp; Assumptions'!$X$31^2/2))</f>
        <v>0.00356188647220155</v>
      </c>
      <c r="G1617" s="45" t="n">
        <f aca="false">ROUND(C1617*F1617,0)</f>
        <v>1433</v>
      </c>
      <c r="H1617" s="48" t="n">
        <f aca="false">MAX(0,(C1617*'Model Inputs &amp; Assumptions'!$N$31+E1617*'Model Inputs &amp; Assumptions'!$O$31+G1617*'Model Inputs &amp; Assumptions'!$P$31)*EXP('Model Inputs &amp; Assumptions'!$Q$31*S1617-'Model Inputs &amp; Assumptions'!$Q$31^2/2))</f>
        <v>37.2626770500452</v>
      </c>
      <c r="I1617" s="49" t="n">
        <f aca="false">IF('Model Inputs &amp; Assumptions'!$H$31="Fixed",'Model Inputs &amp; Assumptions'!$I$31*'Model Inputs &amp; Assumptions'!$K$31,IF('Model Inputs &amp; Assumptions'!$H$31="CPM",'Model Inputs &amp; Assumptions'!$I$31*'Model Inputs &amp; Assumptions'!$K$31*C1617/1000,IF('Model Inputs &amp; Assumptions'!$H$31="CPC",'Model Inputs &amp; Assumptions'!$I$31*'Model Inputs &amp; Assumptions'!$K$31*G1617,0)))</f>
        <v>4563.122934</v>
      </c>
      <c r="J1617" s="50" t="n">
        <f aca="false">H1617*INDEX('Model Inputs &amp; Assumptions'!$D$40:$D$42,MATCH('Model Inputs &amp; Assumptions'!$L$31,'Model Inputs &amp; Assumptions'!$A$40:$A$42,0))*INDEX('Model Inputs &amp; Assumptions'!$H$40:$H$42,MATCH('Model Inputs &amp; Assumptions'!$L$31,'Model Inputs &amp; Assumptions'!$A$40:$A$42,0))</f>
        <v>268291.274760326</v>
      </c>
      <c r="K1617" s="49" t="n">
        <f aca="false">H1617*INDEX('Model Inputs &amp; Assumptions'!$G$40:$G$42,MATCH('Model Inputs &amp; Assumptions'!$L$31,'Model Inputs &amp; Assumptions'!$A$40:$A$42,0))*INDEX('Model Inputs &amp; Assumptions'!$H$40:$H$42,MATCH('Model Inputs &amp; Assumptions'!$L$31,'Model Inputs &amp; Assumptions'!$A$40:$A$42,0))</f>
        <v>5915.82260846518</v>
      </c>
      <c r="L1617" s="51" t="n">
        <f aca="false">IFERROR(K1617/I1617,0)</f>
        <v>1.29644164622131</v>
      </c>
      <c r="M1617" s="49" t="n">
        <f aca="false">IFERROR(I1617/H1617,0)</f>
        <v>122.458269111249</v>
      </c>
      <c r="N1617" s="52" t="str">
        <f aca="false">'Model Inputs &amp; Assumptions'!$L$31</f>
        <v>PRD-USIQ</v>
      </c>
      <c r="P1617" s="53" t="n">
        <v>-0.49175</v>
      </c>
      <c r="Q1617" s="53" t="n">
        <v>-0.910382</v>
      </c>
      <c r="R1617" s="53" t="n">
        <v>-1.293115</v>
      </c>
      <c r="S1617" s="53" t="n">
        <v>0.115762</v>
      </c>
    </row>
    <row r="1618" customFormat="false" ht="15" hidden="false" customHeight="false" outlineLevel="0" collapsed="false">
      <c r="A1618" s="43" t="n">
        <v>115</v>
      </c>
      <c r="B1618" s="44" t="str">
        <f aca="false">'Model Inputs &amp; Assumptions'!$B$31</f>
        <v>YouTube — Finfluencer Pre-roll</v>
      </c>
      <c r="C1618" s="45" t="n">
        <f aca="false">ROUND(MAX(0,'Model Inputs &amp; Assumptions'!$S$31*EXP('Model Inputs &amp; Assumptions'!$T$31*P1618-'Model Inputs &amp; Assumptions'!$T$31^2/2)),0)</f>
        <v>382583</v>
      </c>
      <c r="D1618" s="46" t="n">
        <f aca="false">MIN(1,'Model Inputs &amp; Assumptions'!$U$31*EXP('Model Inputs &amp; Assumptions'!$V$31*Q1618-'Model Inputs &amp; Assumptions'!$V$31^2/2))</f>
        <v>0.614867622641355</v>
      </c>
      <c r="E1618" s="45" t="n">
        <f aca="false">ROUND(C1618*D1618,0)</f>
        <v>235238</v>
      </c>
      <c r="F1618" s="47" t="n">
        <f aca="false">MIN(1,'Model Inputs &amp; Assumptions'!$W$31*EXP('Model Inputs &amp; Assumptions'!$X$31*R1618-'Model Inputs &amp; Assumptions'!$X$31^2/2))</f>
        <v>0.00672141456034319</v>
      </c>
      <c r="G1618" s="45" t="n">
        <f aca="false">ROUND(C1618*F1618,0)</f>
        <v>2571</v>
      </c>
      <c r="H1618" s="48" t="n">
        <f aca="false">MAX(0,(C1618*'Model Inputs &amp; Assumptions'!$N$31+E1618*'Model Inputs &amp; Assumptions'!$O$31+G1618*'Model Inputs &amp; Assumptions'!$P$31)*EXP('Model Inputs &amp; Assumptions'!$Q$31*S1618-'Model Inputs &amp; Assumptions'!$Q$31^2/2))</f>
        <v>24.781931420569</v>
      </c>
      <c r="I1618" s="49" t="n">
        <f aca="false">IF('Model Inputs &amp; Assumptions'!$H$31="Fixed",'Model Inputs &amp; Assumptions'!$I$31*'Model Inputs &amp; Assumptions'!$K$31,IF('Model Inputs &amp; Assumptions'!$H$31="CPM",'Model Inputs &amp; Assumptions'!$I$31*'Model Inputs &amp; Assumptions'!$K$31*C1618/1000,IF('Model Inputs &amp; Assumptions'!$H$31="CPC",'Model Inputs &amp; Assumptions'!$I$31*'Model Inputs &amp; Assumptions'!$K$31*G1618,0)))</f>
        <v>4340.786718</v>
      </c>
      <c r="J1618" s="50" t="n">
        <f aca="false">H1618*INDEX('Model Inputs &amp; Assumptions'!$D$40:$D$42,MATCH('Model Inputs &amp; Assumptions'!$L$31,'Model Inputs &amp; Assumptions'!$A$40:$A$42,0))*INDEX('Model Inputs &amp; Assumptions'!$H$40:$H$42,MATCH('Model Inputs &amp; Assumptions'!$L$31,'Model Inputs &amp; Assumptions'!$A$40:$A$42,0))</f>
        <v>178429.906228097</v>
      </c>
      <c r="K1618" s="49" t="n">
        <f aca="false">H1618*INDEX('Model Inputs &amp; Assumptions'!$G$40:$G$42,MATCH('Model Inputs &amp; Assumptions'!$L$31,'Model Inputs &amp; Assumptions'!$A$40:$A$42,0))*INDEX('Model Inputs &amp; Assumptions'!$H$40:$H$42,MATCH('Model Inputs &amp; Assumptions'!$L$31,'Model Inputs &amp; Assumptions'!$A$40:$A$42,0))</f>
        <v>3934.37943232953</v>
      </c>
      <c r="L1618" s="51" t="n">
        <f aca="false">IFERROR(K1618/I1618,0)</f>
        <v>0.906374739863349</v>
      </c>
      <c r="M1618" s="49" t="n">
        <f aca="false">IFERROR(I1618/H1618,0)</f>
        <v>175.159338646105</v>
      </c>
      <c r="N1618" s="52" t="str">
        <f aca="false">'Model Inputs &amp; Assumptions'!$L$31</f>
        <v>PRD-USIQ</v>
      </c>
      <c r="P1618" s="53" t="n">
        <v>-0.670149</v>
      </c>
      <c r="Q1618" s="53" t="n">
        <v>0.364889</v>
      </c>
      <c r="R1618" s="53" t="n">
        <v>1.352753</v>
      </c>
      <c r="S1618" s="53" t="n">
        <v>-2.224004</v>
      </c>
    </row>
    <row r="1619" customFormat="false" ht="15" hidden="false" customHeight="false" outlineLevel="0" collapsed="false">
      <c r="A1619" s="43" t="n">
        <v>116</v>
      </c>
      <c r="B1619" s="44" t="str">
        <f aca="false">'Model Inputs &amp; Assumptions'!$B$31</f>
        <v>YouTube — Finfluencer Pre-roll</v>
      </c>
      <c r="C1619" s="45" t="n">
        <f aca="false">ROUND(MAX(0,'Model Inputs &amp; Assumptions'!$S$31*EXP('Model Inputs &amp; Assumptions'!$T$31*P1619-'Model Inputs &amp; Assumptions'!$T$31^2/2)),0)</f>
        <v>440804</v>
      </c>
      <c r="D1619" s="46" t="n">
        <f aca="false">MIN(1,'Model Inputs &amp; Assumptions'!$U$31*EXP('Model Inputs &amp; Assumptions'!$V$31*Q1619-'Model Inputs &amp; Assumptions'!$V$31^2/2))</f>
        <v>0.532852364917596</v>
      </c>
      <c r="E1619" s="45" t="n">
        <f aca="false">ROUND(C1619*D1619,0)</f>
        <v>234883</v>
      </c>
      <c r="F1619" s="47" t="n">
        <f aca="false">MIN(1,'Model Inputs &amp; Assumptions'!$W$31*EXP('Model Inputs &amp; Assumptions'!$X$31*R1619-'Model Inputs &amp; Assumptions'!$X$31^2/2))</f>
        <v>0.00362741049855567</v>
      </c>
      <c r="G1619" s="45" t="n">
        <f aca="false">ROUND(C1619*F1619,0)</f>
        <v>1599</v>
      </c>
      <c r="H1619" s="48" t="n">
        <f aca="false">MAX(0,(C1619*'Model Inputs &amp; Assumptions'!$N$31+E1619*'Model Inputs &amp; Assumptions'!$O$31+G1619*'Model Inputs &amp; Assumptions'!$P$31)*EXP('Model Inputs &amp; Assumptions'!$Q$31*S1619-'Model Inputs &amp; Assumptions'!$Q$31^2/2))</f>
        <v>33.7892711896823</v>
      </c>
      <c r="I1619" s="49" t="n">
        <f aca="false">IF('Model Inputs &amp; Assumptions'!$H$31="Fixed",'Model Inputs &amp; Assumptions'!$I$31*'Model Inputs &amp; Assumptions'!$K$31,IF('Model Inputs &amp; Assumptions'!$H$31="CPM",'Model Inputs &amp; Assumptions'!$I$31*'Model Inputs &amp; Assumptions'!$K$31*C1619/1000,IF('Model Inputs &amp; Assumptions'!$H$31="CPC",'Model Inputs &amp; Assumptions'!$I$31*'Model Inputs &amp; Assumptions'!$K$31*G1619,0)))</f>
        <v>5001.362184</v>
      </c>
      <c r="J1619" s="50" t="n">
        <f aca="false">H1619*INDEX('Model Inputs &amp; Assumptions'!$D$40:$D$42,MATCH('Model Inputs &amp; Assumptions'!$L$31,'Model Inputs &amp; Assumptions'!$A$40:$A$42,0))*INDEX('Model Inputs &amp; Assumptions'!$H$40:$H$42,MATCH('Model Inputs &amp; Assumptions'!$L$31,'Model Inputs &amp; Assumptions'!$A$40:$A$42,0))</f>
        <v>243282.752565713</v>
      </c>
      <c r="K1619" s="49" t="n">
        <f aca="false">H1619*INDEX('Model Inputs &amp; Assumptions'!$G$40:$G$42,MATCH('Model Inputs &amp; Assumptions'!$L$31,'Model Inputs &amp; Assumptions'!$A$40:$A$42,0))*INDEX('Model Inputs &amp; Assumptions'!$H$40:$H$42,MATCH('Model Inputs &amp; Assumptions'!$L$31,'Model Inputs &amp; Assumptions'!$A$40:$A$42,0))</f>
        <v>5364.38469407397</v>
      </c>
      <c r="L1619" s="51" t="n">
        <f aca="false">IFERROR(K1619/I1619,0)</f>
        <v>1.07258472726397</v>
      </c>
      <c r="M1619" s="49" t="n">
        <f aca="false">IFERROR(I1619/H1619,0)</f>
        <v>148.016278774524</v>
      </c>
      <c r="N1619" s="52" t="str">
        <f aca="false">'Model Inputs &amp; Assumptions'!$L$31</f>
        <v>PRD-USIQ</v>
      </c>
      <c r="P1619" s="53" t="n">
        <v>-0.164232</v>
      </c>
      <c r="Q1619" s="53" t="n">
        <v>-0.657701</v>
      </c>
      <c r="R1619" s="53" t="n">
        <v>-1.217162</v>
      </c>
      <c r="S1619" s="53" t="n">
        <v>-0.498787</v>
      </c>
    </row>
    <row r="1620" customFormat="false" ht="15" hidden="false" customHeight="false" outlineLevel="0" collapsed="false">
      <c r="A1620" s="43" t="n">
        <v>117</v>
      </c>
      <c r="B1620" s="44" t="str">
        <f aca="false">'Model Inputs &amp; Assumptions'!$B$31</f>
        <v>YouTube — Finfluencer Pre-roll</v>
      </c>
      <c r="C1620" s="45" t="n">
        <f aca="false">ROUND(MAX(0,'Model Inputs &amp; Assumptions'!$S$31*EXP('Model Inputs &amp; Assumptions'!$T$31*P1620-'Model Inputs &amp; Assumptions'!$T$31^2/2)),0)</f>
        <v>252436</v>
      </c>
      <c r="D1620" s="46" t="n">
        <f aca="false">MIN(1,'Model Inputs &amp; Assumptions'!$U$31*EXP('Model Inputs &amp; Assumptions'!$V$31*Q1620-'Model Inputs &amp; Assumptions'!$V$31^2/2))</f>
        <v>0.647836401009971</v>
      </c>
      <c r="E1620" s="45" t="n">
        <f aca="false">ROUND(C1620*D1620,0)</f>
        <v>163537</v>
      </c>
      <c r="F1620" s="47" t="n">
        <f aca="false">MIN(1,'Model Inputs &amp; Assumptions'!$W$31*EXP('Model Inputs &amp; Assumptions'!$X$31*R1620-'Model Inputs &amp; Assumptions'!$X$31^2/2))</f>
        <v>0.00575027265780718</v>
      </c>
      <c r="G1620" s="45" t="n">
        <f aca="false">ROUND(C1620*F1620,0)</f>
        <v>1452</v>
      </c>
      <c r="H1620" s="48" t="n">
        <f aca="false">MAX(0,(C1620*'Model Inputs &amp; Assumptions'!$N$31+E1620*'Model Inputs &amp; Assumptions'!$O$31+G1620*'Model Inputs &amp; Assumptions'!$P$31)*EXP('Model Inputs &amp; Assumptions'!$Q$31*S1620-'Model Inputs &amp; Assumptions'!$Q$31^2/2))</f>
        <v>34.7300896314391</v>
      </c>
      <c r="I1620" s="49" t="n">
        <f aca="false">IF('Model Inputs &amp; Assumptions'!$H$31="Fixed",'Model Inputs &amp; Assumptions'!$I$31*'Model Inputs &amp; Assumptions'!$K$31,IF('Model Inputs &amp; Assumptions'!$H$31="CPM",'Model Inputs &amp; Assumptions'!$I$31*'Model Inputs &amp; Assumptions'!$K$31*C1620/1000,IF('Model Inputs &amp; Assumptions'!$H$31="CPC",'Model Inputs &amp; Assumptions'!$I$31*'Model Inputs &amp; Assumptions'!$K$31*G1620,0)))</f>
        <v>2864.138856</v>
      </c>
      <c r="J1620" s="50" t="n">
        <f aca="false">H1620*INDEX('Model Inputs &amp; Assumptions'!$D$40:$D$42,MATCH('Model Inputs &amp; Assumptions'!$L$31,'Model Inputs &amp; Assumptions'!$A$40:$A$42,0))*INDEX('Model Inputs &amp; Assumptions'!$H$40:$H$42,MATCH('Model Inputs &amp; Assumptions'!$L$31,'Model Inputs &amp; Assumptions'!$A$40:$A$42,0))</f>
        <v>250056.645346361</v>
      </c>
      <c r="K1620" s="49" t="n">
        <f aca="false">H1620*INDEX('Model Inputs &amp; Assumptions'!$G$40:$G$42,MATCH('Model Inputs &amp; Assumptions'!$L$31,'Model Inputs &amp; Assumptions'!$A$40:$A$42,0))*INDEX('Model Inputs &amp; Assumptions'!$H$40:$H$42,MATCH('Model Inputs &amp; Assumptions'!$L$31,'Model Inputs &amp; Assumptions'!$A$40:$A$42,0))</f>
        <v>5513.74902988727</v>
      </c>
      <c r="L1620" s="51" t="n">
        <f aca="false">IFERROR(K1620/I1620,0)</f>
        <v>1.92509836537313</v>
      </c>
      <c r="M1620" s="49" t="n">
        <f aca="false">IFERROR(I1620/H1620,0)</f>
        <v>82.4685132228184</v>
      </c>
      <c r="N1620" s="52" t="str">
        <f aca="false">'Model Inputs &amp; Assumptions'!$L$31</f>
        <v>PRD-USIQ</v>
      </c>
      <c r="P1620" s="53" t="n">
        <v>-2.155099</v>
      </c>
      <c r="Q1620" s="53" t="n">
        <v>0.737969</v>
      </c>
      <c r="R1620" s="53" t="n">
        <v>0.702539</v>
      </c>
      <c r="S1620" s="53" t="n">
        <v>0.16409</v>
      </c>
    </row>
    <row r="1621" customFormat="false" ht="15" hidden="false" customHeight="false" outlineLevel="0" collapsed="false">
      <c r="A1621" s="43" t="n">
        <v>118</v>
      </c>
      <c r="B1621" s="44" t="str">
        <f aca="false">'Model Inputs &amp; Assumptions'!$B$31</f>
        <v>YouTube — Finfluencer Pre-roll</v>
      </c>
      <c r="C1621" s="45" t="n">
        <f aca="false">ROUND(MAX(0,'Model Inputs &amp; Assumptions'!$S$31*EXP('Model Inputs &amp; Assumptions'!$T$31*P1621-'Model Inputs &amp; Assumptions'!$T$31^2/2)),0)</f>
        <v>589161</v>
      </c>
      <c r="D1621" s="46" t="n">
        <f aca="false">MIN(1,'Model Inputs &amp; Assumptions'!$U$31*EXP('Model Inputs &amp; Assumptions'!$V$31*Q1621-'Model Inputs &amp; Assumptions'!$V$31^2/2))</f>
        <v>0.448031793217263</v>
      </c>
      <c r="E1621" s="45" t="n">
        <f aca="false">ROUND(C1621*D1621,0)</f>
        <v>263963</v>
      </c>
      <c r="F1621" s="47" t="n">
        <f aca="false">MIN(1,'Model Inputs &amp; Assumptions'!$W$31*EXP('Model Inputs &amp; Assumptions'!$X$31*R1621-'Model Inputs &amp; Assumptions'!$X$31^2/2))</f>
        <v>0.00419570453605574</v>
      </c>
      <c r="G1621" s="45" t="n">
        <f aca="false">ROUND(C1621*F1621,0)</f>
        <v>2472</v>
      </c>
      <c r="H1621" s="48" t="n">
        <f aca="false">MAX(0,(C1621*'Model Inputs &amp; Assumptions'!$N$31+E1621*'Model Inputs &amp; Assumptions'!$O$31+G1621*'Model Inputs &amp; Assumptions'!$P$31)*EXP('Model Inputs &amp; Assumptions'!$Q$31*S1621-'Model Inputs &amp; Assumptions'!$Q$31^2/2))</f>
        <v>54.8853379388644</v>
      </c>
      <c r="I1621" s="49" t="n">
        <f aca="false">IF('Model Inputs &amp; Assumptions'!$H$31="Fixed",'Model Inputs &amp; Assumptions'!$I$31*'Model Inputs &amp; Assumptions'!$K$31,IF('Model Inputs &amp; Assumptions'!$H$31="CPM",'Model Inputs &amp; Assumptions'!$I$31*'Model Inputs &amp; Assumptions'!$K$31*C1621/1000,IF('Model Inputs &amp; Assumptions'!$H$31="CPC",'Model Inputs &amp; Assumptions'!$I$31*'Model Inputs &amp; Assumptions'!$K$31*G1621,0)))</f>
        <v>6684.620706</v>
      </c>
      <c r="J1621" s="50" t="n">
        <f aca="false">H1621*INDEX('Model Inputs &amp; Assumptions'!$D$40:$D$42,MATCH('Model Inputs &amp; Assumptions'!$L$31,'Model Inputs &amp; Assumptions'!$A$40:$A$42,0))*INDEX('Model Inputs &amp; Assumptions'!$H$40:$H$42,MATCH('Model Inputs &amp; Assumptions'!$L$31,'Model Inputs &amp; Assumptions'!$A$40:$A$42,0))</f>
        <v>395174.433159824</v>
      </c>
      <c r="K1621" s="49" t="n">
        <f aca="false">H1621*INDEX('Model Inputs &amp; Assumptions'!$G$40:$G$42,MATCH('Model Inputs &amp; Assumptions'!$L$31,'Model Inputs &amp; Assumptions'!$A$40:$A$42,0))*INDEX('Model Inputs &amp; Assumptions'!$H$40:$H$42,MATCH('Model Inputs &amp; Assumptions'!$L$31,'Model Inputs &amp; Assumptions'!$A$40:$A$42,0))</f>
        <v>8713.59625117411</v>
      </c>
      <c r="L1621" s="51" t="n">
        <f aca="false">IFERROR(K1621/I1621,0)</f>
        <v>1.30352889631463</v>
      </c>
      <c r="M1621" s="49" t="n">
        <f aca="false">IFERROR(I1621/H1621,0)</f>
        <v>121.792466932532</v>
      </c>
      <c r="N1621" s="52" t="str">
        <f aca="false">'Model Inputs &amp; Assumptions'!$L$31</f>
        <v>PRD-USIQ</v>
      </c>
      <c r="P1621" s="53" t="n">
        <v>0.871836</v>
      </c>
      <c r="Q1621" s="53" t="n">
        <v>-1.896131</v>
      </c>
      <c r="R1621" s="53" t="n">
        <v>-0.610736</v>
      </c>
      <c r="S1621" s="53" t="n">
        <v>0.007605</v>
      </c>
    </row>
    <row r="1622" customFormat="false" ht="15" hidden="false" customHeight="false" outlineLevel="0" collapsed="false">
      <c r="A1622" s="43" t="n">
        <v>119</v>
      </c>
      <c r="B1622" s="44" t="str">
        <f aca="false">'Model Inputs &amp; Assumptions'!$B$31</f>
        <v>YouTube — Finfluencer Pre-roll</v>
      </c>
      <c r="C1622" s="45" t="n">
        <f aca="false">ROUND(MAX(0,'Model Inputs &amp; Assumptions'!$S$31*EXP('Model Inputs &amp; Assumptions'!$T$31*P1622-'Model Inputs &amp; Assumptions'!$T$31^2/2)),0)</f>
        <v>449765</v>
      </c>
      <c r="D1622" s="46" t="n">
        <f aca="false">MIN(1,'Model Inputs &amp; Assumptions'!$U$31*EXP('Model Inputs &amp; Assumptions'!$V$31*Q1622-'Model Inputs &amp; Assumptions'!$V$31^2/2))</f>
        <v>0.695425366795157</v>
      </c>
      <c r="E1622" s="45" t="n">
        <f aca="false">ROUND(C1622*D1622,0)</f>
        <v>312778</v>
      </c>
      <c r="F1622" s="47" t="n">
        <f aca="false">MIN(1,'Model Inputs &amp; Assumptions'!$W$31*EXP('Model Inputs &amp; Assumptions'!$X$31*R1622-'Model Inputs &amp; Assumptions'!$X$31^2/2))</f>
        <v>0.00476601665127757</v>
      </c>
      <c r="G1622" s="45" t="n">
        <f aca="false">ROUND(C1622*F1622,0)</f>
        <v>2144</v>
      </c>
      <c r="H1622" s="48" t="n">
        <f aca="false">MAX(0,(C1622*'Model Inputs &amp; Assumptions'!$N$31+E1622*'Model Inputs &amp; Assumptions'!$O$31+G1622*'Model Inputs &amp; Assumptions'!$P$31)*EXP('Model Inputs &amp; Assumptions'!$Q$31*S1622-'Model Inputs &amp; Assumptions'!$Q$31^2/2))</f>
        <v>48.3906861682026</v>
      </c>
      <c r="I1622" s="49" t="n">
        <f aca="false">IF('Model Inputs &amp; Assumptions'!$H$31="Fixed",'Model Inputs &amp; Assumptions'!$I$31*'Model Inputs &amp; Assumptions'!$K$31,IF('Model Inputs &amp; Assumptions'!$H$31="CPM",'Model Inputs &amp; Assumptions'!$I$31*'Model Inputs &amp; Assumptions'!$K$31*C1622/1000,IF('Model Inputs &amp; Assumptions'!$H$31="CPC",'Model Inputs &amp; Assumptions'!$I$31*'Model Inputs &amp; Assumptions'!$K$31*G1622,0)))</f>
        <v>5103.03369</v>
      </c>
      <c r="J1622" s="50" t="n">
        <f aca="false">H1622*INDEX('Model Inputs &amp; Assumptions'!$D$40:$D$42,MATCH('Model Inputs &amp; Assumptions'!$L$31,'Model Inputs &amp; Assumptions'!$A$40:$A$42,0))*INDEX('Model Inputs &amp; Assumptions'!$H$40:$H$42,MATCH('Model Inputs &amp; Assumptions'!$L$31,'Model Inputs &amp; Assumptions'!$A$40:$A$42,0))</f>
        <v>348412.940411059</v>
      </c>
      <c r="K1622" s="49" t="n">
        <f aca="false">H1622*INDEX('Model Inputs &amp; Assumptions'!$G$40:$G$42,MATCH('Model Inputs &amp; Assumptions'!$L$31,'Model Inputs &amp; Assumptions'!$A$40:$A$42,0))*INDEX('Model Inputs &amp; Assumptions'!$H$40:$H$42,MATCH('Model Inputs &amp; Assumptions'!$L$31,'Model Inputs &amp; Assumptions'!$A$40:$A$42,0))</f>
        <v>7682.50533606384</v>
      </c>
      <c r="L1622" s="51" t="n">
        <f aca="false">IFERROR(K1622/I1622,0)</f>
        <v>1.50547807495738</v>
      </c>
      <c r="M1622" s="49" t="n">
        <f aca="false">IFERROR(I1622/H1622,0)</f>
        <v>105.454873532114</v>
      </c>
      <c r="N1622" s="52" t="str">
        <f aca="false">'Model Inputs &amp; Assumptions'!$L$31</f>
        <v>PRD-USIQ</v>
      </c>
      <c r="P1622" s="53" t="n">
        <v>-0.092362</v>
      </c>
      <c r="Q1622" s="53" t="n">
        <v>1.244294</v>
      </c>
      <c r="R1622" s="53" t="n">
        <v>-0.079696</v>
      </c>
      <c r="S1622" s="53" t="n">
        <v>-0.30196</v>
      </c>
    </row>
    <row r="1623" customFormat="false" ht="15" hidden="false" customHeight="false" outlineLevel="0" collapsed="false">
      <c r="A1623" s="43" t="n">
        <v>120</v>
      </c>
      <c r="B1623" s="44" t="str">
        <f aca="false">'Model Inputs &amp; Assumptions'!$B$31</f>
        <v>YouTube — Finfluencer Pre-roll</v>
      </c>
      <c r="C1623" s="45" t="n">
        <f aca="false">ROUND(MAX(0,'Model Inputs &amp; Assumptions'!$S$31*EXP('Model Inputs &amp; Assumptions'!$T$31*P1623-'Model Inputs &amp; Assumptions'!$T$31^2/2)),0)</f>
        <v>422691</v>
      </c>
      <c r="D1623" s="46" t="n">
        <f aca="false">MIN(1,'Model Inputs &amp; Assumptions'!$U$31*EXP('Model Inputs &amp; Assumptions'!$V$31*Q1623-'Model Inputs &amp; Assumptions'!$V$31^2/2))</f>
        <v>0.572662487946803</v>
      </c>
      <c r="E1623" s="45" t="n">
        <f aca="false">ROUND(C1623*D1623,0)</f>
        <v>242059</v>
      </c>
      <c r="F1623" s="47" t="n">
        <f aca="false">MIN(1,'Model Inputs &amp; Assumptions'!$W$31*EXP('Model Inputs &amp; Assumptions'!$X$31*R1623-'Model Inputs &amp; Assumptions'!$X$31^2/2))</f>
        <v>0.00430079544342292</v>
      </c>
      <c r="G1623" s="45" t="n">
        <f aca="false">ROUND(C1623*F1623,0)</f>
        <v>1818</v>
      </c>
      <c r="H1623" s="48" t="n">
        <f aca="false">MAX(0,(C1623*'Model Inputs &amp; Assumptions'!$N$31+E1623*'Model Inputs &amp; Assumptions'!$O$31+G1623*'Model Inputs &amp; Assumptions'!$P$31)*EXP('Model Inputs &amp; Assumptions'!$Q$31*S1623-'Model Inputs &amp; Assumptions'!$Q$31^2/2))</f>
        <v>29.8423247086407</v>
      </c>
      <c r="I1623" s="49" t="n">
        <f aca="false">IF('Model Inputs &amp; Assumptions'!$H$31="Fixed",'Model Inputs &amp; Assumptions'!$I$31*'Model Inputs &amp; Assumptions'!$K$31,IF('Model Inputs &amp; Assumptions'!$H$31="CPM",'Model Inputs &amp; Assumptions'!$I$31*'Model Inputs &amp; Assumptions'!$K$31*C1623/1000,IF('Model Inputs &amp; Assumptions'!$H$31="CPC",'Model Inputs &amp; Assumptions'!$I$31*'Model Inputs &amp; Assumptions'!$K$31*G1623,0)))</f>
        <v>4795.852086</v>
      </c>
      <c r="J1623" s="50" t="n">
        <f aca="false">H1623*INDEX('Model Inputs &amp; Assumptions'!$D$40:$D$42,MATCH('Model Inputs &amp; Assumptions'!$L$31,'Model Inputs &amp; Assumptions'!$A$40:$A$42,0))*INDEX('Model Inputs &amp; Assumptions'!$H$40:$H$42,MATCH('Model Inputs &amp; Assumptions'!$L$31,'Model Inputs &amp; Assumptions'!$A$40:$A$42,0))</f>
        <v>214864.737902213</v>
      </c>
      <c r="K1623" s="49" t="n">
        <f aca="false">H1623*INDEX('Model Inputs &amp; Assumptions'!$G$40:$G$42,MATCH('Model Inputs &amp; Assumptions'!$L$31,'Model Inputs &amp; Assumptions'!$A$40:$A$42,0))*INDEX('Model Inputs &amp; Assumptions'!$H$40:$H$42,MATCH('Model Inputs &amp; Assumptions'!$L$31,'Model Inputs &amp; Assumptions'!$A$40:$A$42,0))</f>
        <v>4737.7674707438</v>
      </c>
      <c r="L1623" s="51" t="n">
        <f aca="false">IFERROR(K1623/I1623,0)</f>
        <v>0.987888572413282</v>
      </c>
      <c r="M1623" s="49" t="n">
        <f aca="false">IFERROR(I1623/H1623,0)</f>
        <v>160.70638372926</v>
      </c>
      <c r="N1623" s="52" t="str">
        <f aca="false">'Model Inputs &amp; Assumptions'!$L$31</f>
        <v>PRD-USIQ</v>
      </c>
      <c r="P1623" s="53" t="n">
        <v>-0.314084</v>
      </c>
      <c r="Q1623" s="53" t="n">
        <v>-0.143043</v>
      </c>
      <c r="R1623" s="53" t="n">
        <v>-0.507658</v>
      </c>
      <c r="S1623" s="53" t="n">
        <v>-1.100479</v>
      </c>
    </row>
    <row r="1624" customFormat="false" ht="15" hidden="false" customHeight="false" outlineLevel="0" collapsed="false">
      <c r="A1624" s="43" t="n">
        <v>121</v>
      </c>
      <c r="B1624" s="44" t="str">
        <f aca="false">'Model Inputs &amp; Assumptions'!$B$31</f>
        <v>YouTube — Finfluencer Pre-roll</v>
      </c>
      <c r="C1624" s="45" t="n">
        <f aca="false">ROUND(MAX(0,'Model Inputs &amp; Assumptions'!$S$31*EXP('Model Inputs &amp; Assumptions'!$T$31*P1624-'Model Inputs &amp; Assumptions'!$T$31^2/2)),0)</f>
        <v>772463</v>
      </c>
      <c r="D1624" s="46" t="n">
        <f aca="false">MIN(1,'Model Inputs &amp; Assumptions'!$U$31*EXP('Model Inputs &amp; Assumptions'!$V$31*Q1624-'Model Inputs &amp; Assumptions'!$V$31^2/2))</f>
        <v>0.744755366171254</v>
      </c>
      <c r="E1624" s="45" t="n">
        <f aca="false">ROUND(C1624*D1624,0)</f>
        <v>575296</v>
      </c>
      <c r="F1624" s="47" t="n">
        <f aca="false">MIN(1,'Model Inputs &amp; Assumptions'!$W$31*EXP('Model Inputs &amp; Assumptions'!$X$31*R1624-'Model Inputs &amp; Assumptions'!$X$31^2/2))</f>
        <v>0.00402728733897516</v>
      </c>
      <c r="G1624" s="45" t="n">
        <f aca="false">ROUND(C1624*F1624,0)</f>
        <v>3111</v>
      </c>
      <c r="H1624" s="48" t="n">
        <f aca="false">MAX(0,(C1624*'Model Inputs &amp; Assumptions'!$N$31+E1624*'Model Inputs &amp; Assumptions'!$O$31+G1624*'Model Inputs &amp; Assumptions'!$P$31)*EXP('Model Inputs &amp; Assumptions'!$Q$31*S1624-'Model Inputs &amp; Assumptions'!$Q$31^2/2))</f>
        <v>73.0280928563751</v>
      </c>
      <c r="I1624" s="49" t="n">
        <f aca="false">IF('Model Inputs &amp; Assumptions'!$H$31="Fixed",'Model Inputs &amp; Assumptions'!$I$31*'Model Inputs &amp; Assumptions'!$K$31,IF('Model Inputs &amp; Assumptions'!$H$31="CPM",'Model Inputs &amp; Assumptions'!$I$31*'Model Inputs &amp; Assumptions'!$K$31*C1624/1000,IF('Model Inputs &amp; Assumptions'!$H$31="CPC",'Model Inputs &amp; Assumptions'!$I$31*'Model Inputs &amp; Assumptions'!$K$31*G1624,0)))</f>
        <v>8764.365198</v>
      </c>
      <c r="J1624" s="50" t="n">
        <f aca="false">H1624*INDEX('Model Inputs &amp; Assumptions'!$D$40:$D$42,MATCH('Model Inputs &amp; Assumptions'!$L$31,'Model Inputs &amp; Assumptions'!$A$40:$A$42,0))*INDEX('Model Inputs &amp; Assumptions'!$H$40:$H$42,MATCH('Model Inputs &amp; Assumptions'!$L$31,'Model Inputs &amp; Assumptions'!$A$40:$A$42,0))</f>
        <v>525802.268565901</v>
      </c>
      <c r="K1624" s="49" t="n">
        <f aca="false">H1624*INDEX('Model Inputs &amp; Assumptions'!$G$40:$G$42,MATCH('Model Inputs &amp; Assumptions'!$L$31,'Model Inputs &amp; Assumptions'!$A$40:$A$42,0))*INDEX('Model Inputs &amp; Assumptions'!$H$40:$H$42,MATCH('Model Inputs &amp; Assumptions'!$L$31,'Model Inputs &amp; Assumptions'!$A$40:$A$42,0))</f>
        <v>11593.9400218781</v>
      </c>
      <c r="L1624" s="51" t="n">
        <f aca="false">IFERROR(K1624/I1624,0)</f>
        <v>1.32284994519898</v>
      </c>
      <c r="M1624" s="49" t="n">
        <f aca="false">IFERROR(I1624/H1624,0)</f>
        <v>120.013611956661</v>
      </c>
      <c r="N1624" s="52" t="str">
        <f aca="false">'Model Inputs &amp; Assumptions'!$L$31</f>
        <v>PRD-USIQ</v>
      </c>
      <c r="P1624" s="53" t="n">
        <v>1.839278</v>
      </c>
      <c r="Q1624" s="53" t="n">
        <v>1.733809</v>
      </c>
      <c r="R1624" s="53" t="n">
        <v>-0.781437</v>
      </c>
      <c r="S1624" s="53" t="n">
        <v>-0.506149</v>
      </c>
    </row>
    <row r="1625" customFormat="false" ht="15" hidden="false" customHeight="false" outlineLevel="0" collapsed="false">
      <c r="A1625" s="43" t="n">
        <v>122</v>
      </c>
      <c r="B1625" s="44" t="str">
        <f aca="false">'Model Inputs &amp; Assumptions'!$B$31</f>
        <v>YouTube — Finfluencer Pre-roll</v>
      </c>
      <c r="C1625" s="45" t="n">
        <f aca="false">ROUND(MAX(0,'Model Inputs &amp; Assumptions'!$S$31*EXP('Model Inputs &amp; Assumptions'!$T$31*P1625-'Model Inputs &amp; Assumptions'!$T$31^2/2)),0)</f>
        <v>489204</v>
      </c>
      <c r="D1625" s="46" t="n">
        <f aca="false">MIN(1,'Model Inputs &amp; Assumptions'!$U$31*EXP('Model Inputs &amp; Assumptions'!$V$31*Q1625-'Model Inputs &amp; Assumptions'!$V$31^2/2))</f>
        <v>0.68612562439442</v>
      </c>
      <c r="E1625" s="45" t="n">
        <f aca="false">ROUND(C1625*D1625,0)</f>
        <v>335655</v>
      </c>
      <c r="F1625" s="47" t="n">
        <f aca="false">MIN(1,'Model Inputs &amp; Assumptions'!$W$31*EXP('Model Inputs &amp; Assumptions'!$X$31*R1625-'Model Inputs &amp; Assumptions'!$X$31^2/2))</f>
        <v>0.0085339642227162</v>
      </c>
      <c r="G1625" s="45" t="n">
        <f aca="false">ROUND(C1625*F1625,0)</f>
        <v>4175</v>
      </c>
      <c r="H1625" s="48" t="n">
        <f aca="false">MAX(0,(C1625*'Model Inputs &amp; Assumptions'!$N$31+E1625*'Model Inputs &amp; Assumptions'!$O$31+G1625*'Model Inputs &amp; Assumptions'!$P$31)*EXP('Model Inputs &amp; Assumptions'!$Q$31*S1625-'Model Inputs &amp; Assumptions'!$Q$31^2/2))</f>
        <v>75.1648708927616</v>
      </c>
      <c r="I1625" s="49" t="n">
        <f aca="false">IF('Model Inputs &amp; Assumptions'!$H$31="Fixed",'Model Inputs &amp; Assumptions'!$I$31*'Model Inputs &amp; Assumptions'!$K$31,IF('Model Inputs &amp; Assumptions'!$H$31="CPM",'Model Inputs &amp; Assumptions'!$I$31*'Model Inputs &amp; Assumptions'!$K$31*C1625/1000,IF('Model Inputs &amp; Assumptions'!$H$31="CPC",'Model Inputs &amp; Assumptions'!$I$31*'Model Inputs &amp; Assumptions'!$K$31*G1625,0)))</f>
        <v>5550.508584</v>
      </c>
      <c r="J1625" s="50" t="n">
        <f aca="false">H1625*INDEX('Model Inputs &amp; Assumptions'!$D$40:$D$42,MATCH('Model Inputs &amp; Assumptions'!$L$31,'Model Inputs &amp; Assumptions'!$A$40:$A$42,0))*INDEX('Model Inputs &amp; Assumptions'!$H$40:$H$42,MATCH('Model Inputs &amp; Assumptions'!$L$31,'Model Inputs &amp; Assumptions'!$A$40:$A$42,0))</f>
        <v>541187.070427884</v>
      </c>
      <c r="K1625" s="49" t="n">
        <f aca="false">H1625*INDEX('Model Inputs &amp; Assumptions'!$G$40:$G$42,MATCH('Model Inputs &amp; Assumptions'!$L$31,'Model Inputs &amp; Assumptions'!$A$40:$A$42,0))*INDEX('Model Inputs &amp; Assumptions'!$H$40:$H$42,MATCH('Model Inputs &amp; Assumptions'!$L$31,'Model Inputs &amp; Assumptions'!$A$40:$A$42,0))</f>
        <v>11933.1749029348</v>
      </c>
      <c r="L1625" s="51" t="n">
        <f aca="false">IFERROR(K1625/I1625,0)</f>
        <v>2.14992459201552</v>
      </c>
      <c r="M1625" s="49" t="n">
        <f aca="false">IFERROR(I1625/H1625,0)</f>
        <v>73.8444504470574</v>
      </c>
      <c r="N1625" s="52" t="str">
        <f aca="false">'Model Inputs &amp; Assumptions'!$L$31</f>
        <v>PRD-USIQ</v>
      </c>
      <c r="P1625" s="53" t="n">
        <v>0.207833</v>
      </c>
      <c r="Q1625" s="53" t="n">
        <v>1.14813</v>
      </c>
      <c r="R1625" s="53" t="n">
        <v>2.347567</v>
      </c>
      <c r="S1625" s="53" t="n">
        <v>-0.323006</v>
      </c>
    </row>
    <row r="1626" customFormat="false" ht="15" hidden="false" customHeight="false" outlineLevel="0" collapsed="false">
      <c r="A1626" s="43" t="n">
        <v>123</v>
      </c>
      <c r="B1626" s="44" t="str">
        <f aca="false">'Model Inputs &amp; Assumptions'!$B$31</f>
        <v>YouTube — Finfluencer Pre-roll</v>
      </c>
      <c r="C1626" s="45" t="n">
        <f aca="false">ROUND(MAX(0,'Model Inputs &amp; Assumptions'!$S$31*EXP('Model Inputs &amp; Assumptions'!$T$31*P1626-'Model Inputs &amp; Assumptions'!$T$31^2/2)),0)</f>
        <v>366950</v>
      </c>
      <c r="D1626" s="46" t="n">
        <f aca="false">MIN(1,'Model Inputs &amp; Assumptions'!$U$31*EXP('Model Inputs &amp; Assumptions'!$V$31*Q1626-'Model Inputs &amp; Assumptions'!$V$31^2/2))</f>
        <v>0.686368116586053</v>
      </c>
      <c r="E1626" s="45" t="n">
        <f aca="false">ROUND(C1626*D1626,0)</f>
        <v>251863</v>
      </c>
      <c r="F1626" s="47" t="n">
        <f aca="false">MIN(1,'Model Inputs &amp; Assumptions'!$W$31*EXP('Model Inputs &amp; Assumptions'!$X$31*R1626-'Model Inputs &amp; Assumptions'!$X$31^2/2))</f>
        <v>0.00500871959430453</v>
      </c>
      <c r="G1626" s="45" t="n">
        <f aca="false">ROUND(C1626*F1626,0)</f>
        <v>1838</v>
      </c>
      <c r="H1626" s="48" t="n">
        <f aca="false">MAX(0,(C1626*'Model Inputs &amp; Assumptions'!$N$31+E1626*'Model Inputs &amp; Assumptions'!$O$31+G1626*'Model Inputs &amp; Assumptions'!$P$31)*EXP('Model Inputs &amp; Assumptions'!$Q$31*S1626-'Model Inputs &amp; Assumptions'!$Q$31^2/2))</f>
        <v>33.1044587806886</v>
      </c>
      <c r="I1626" s="49" t="n">
        <f aca="false">IF('Model Inputs &amp; Assumptions'!$H$31="Fixed",'Model Inputs &amp; Assumptions'!$I$31*'Model Inputs &amp; Assumptions'!$K$31,IF('Model Inputs &amp; Assumptions'!$H$31="CPM",'Model Inputs &amp; Assumptions'!$I$31*'Model Inputs &amp; Assumptions'!$K$31*C1626/1000,IF('Model Inputs &amp; Assumptions'!$H$31="CPC",'Model Inputs &amp; Assumptions'!$I$31*'Model Inputs &amp; Assumptions'!$K$31*G1626,0)))</f>
        <v>4163.4147</v>
      </c>
      <c r="J1626" s="50" t="n">
        <f aca="false">H1626*INDEX('Model Inputs &amp; Assumptions'!$D$40:$D$42,MATCH('Model Inputs &amp; Assumptions'!$L$31,'Model Inputs &amp; Assumptions'!$A$40:$A$42,0))*INDEX('Model Inputs &amp; Assumptions'!$H$40:$H$42,MATCH('Model Inputs &amp; Assumptions'!$L$31,'Model Inputs &amp; Assumptions'!$A$40:$A$42,0))</f>
        <v>238352.103220958</v>
      </c>
      <c r="K1626" s="49" t="n">
        <f aca="false">H1626*INDEX('Model Inputs &amp; Assumptions'!$G$40:$G$42,MATCH('Model Inputs &amp; Assumptions'!$L$31,'Model Inputs &amp; Assumptions'!$A$40:$A$42,0))*INDEX('Model Inputs &amp; Assumptions'!$H$40:$H$42,MATCH('Model Inputs &amp; Assumptions'!$L$31,'Model Inputs &amp; Assumptions'!$A$40:$A$42,0))</f>
        <v>5255.66387602212</v>
      </c>
      <c r="L1626" s="51" t="n">
        <f aca="false">IFERROR(K1626/I1626,0)</f>
        <v>1.2623445548247</v>
      </c>
      <c r="M1626" s="49" t="n">
        <f aca="false">IFERROR(I1626/H1626,0)</f>
        <v>125.765979972121</v>
      </c>
      <c r="N1626" s="52" t="str">
        <f aca="false">'Model Inputs &amp; Assumptions'!$L$31</f>
        <v>PRD-USIQ</v>
      </c>
      <c r="P1626" s="53" t="n">
        <v>-0.819145</v>
      </c>
      <c r="Q1626" s="53" t="n">
        <v>1.150654</v>
      </c>
      <c r="R1626" s="53" t="n">
        <v>0.12726</v>
      </c>
      <c r="S1626" s="53" t="n">
        <v>-0.86975</v>
      </c>
    </row>
    <row r="1627" customFormat="false" ht="15" hidden="false" customHeight="false" outlineLevel="0" collapsed="false">
      <c r="A1627" s="43" t="n">
        <v>124</v>
      </c>
      <c r="B1627" s="44" t="str">
        <f aca="false">'Model Inputs &amp; Assumptions'!$B$31</f>
        <v>YouTube — Finfluencer Pre-roll</v>
      </c>
      <c r="C1627" s="45" t="n">
        <f aca="false">ROUND(MAX(0,'Model Inputs &amp; Assumptions'!$S$31*EXP('Model Inputs &amp; Assumptions'!$T$31*P1627-'Model Inputs &amp; Assumptions'!$T$31^2/2)),0)</f>
        <v>466246</v>
      </c>
      <c r="D1627" s="46" t="n">
        <f aca="false">MIN(1,'Model Inputs &amp; Assumptions'!$U$31*EXP('Model Inputs &amp; Assumptions'!$V$31*Q1627-'Model Inputs &amp; Assumptions'!$V$31^2/2))</f>
        <v>0.553094679147804</v>
      </c>
      <c r="E1627" s="45" t="n">
        <f aca="false">ROUND(C1627*D1627,0)</f>
        <v>257878</v>
      </c>
      <c r="F1627" s="47" t="n">
        <f aca="false">MIN(1,'Model Inputs &amp; Assumptions'!$W$31*EXP('Model Inputs &amp; Assumptions'!$X$31*R1627-'Model Inputs &amp; Assumptions'!$X$31^2/2))</f>
        <v>0.00393756610441664</v>
      </c>
      <c r="G1627" s="45" t="n">
        <f aca="false">ROUND(C1627*F1627,0)</f>
        <v>1836</v>
      </c>
      <c r="H1627" s="48" t="n">
        <f aca="false">MAX(0,(C1627*'Model Inputs &amp; Assumptions'!$N$31+E1627*'Model Inputs &amp; Assumptions'!$O$31+G1627*'Model Inputs &amp; Assumptions'!$P$31)*EXP('Model Inputs &amp; Assumptions'!$Q$31*S1627-'Model Inputs &amp; Assumptions'!$Q$31^2/2))</f>
        <v>59.9470068617679</v>
      </c>
      <c r="I1627" s="49" t="n">
        <f aca="false">IF('Model Inputs &amp; Assumptions'!$H$31="Fixed",'Model Inputs &amp; Assumptions'!$I$31*'Model Inputs &amp; Assumptions'!$K$31,IF('Model Inputs &amp; Assumptions'!$H$31="CPM",'Model Inputs &amp; Assumptions'!$I$31*'Model Inputs &amp; Assumptions'!$K$31*C1627/1000,IF('Model Inputs &amp; Assumptions'!$H$31="CPC",'Model Inputs &amp; Assumptions'!$I$31*'Model Inputs &amp; Assumptions'!$K$31*G1627,0)))</f>
        <v>5290.027116</v>
      </c>
      <c r="J1627" s="50" t="n">
        <f aca="false">H1627*INDEX('Model Inputs &amp; Assumptions'!$D$40:$D$42,MATCH('Model Inputs &amp; Assumptions'!$L$31,'Model Inputs &amp; Assumptions'!$A$40:$A$42,0))*INDEX('Model Inputs &amp; Assumptions'!$H$40:$H$42,MATCH('Model Inputs &amp; Assumptions'!$L$31,'Model Inputs &amp; Assumptions'!$A$40:$A$42,0))</f>
        <v>431618.449404729</v>
      </c>
      <c r="K1627" s="49" t="n">
        <f aca="false">H1627*INDEX('Model Inputs &amp; Assumptions'!$G$40:$G$42,MATCH('Model Inputs &amp; Assumptions'!$L$31,'Model Inputs &amp; Assumptions'!$A$40:$A$42,0))*INDEX('Model Inputs &amp; Assumptions'!$H$40:$H$42,MATCH('Model Inputs &amp; Assumptions'!$L$31,'Model Inputs &amp; Assumptions'!$A$40:$A$42,0))</f>
        <v>9517.18680937428</v>
      </c>
      <c r="L1627" s="51" t="n">
        <f aca="false">IFERROR(K1627/I1627,0)</f>
        <v>1.79908091219211</v>
      </c>
      <c r="M1627" s="49" t="n">
        <f aca="false">IFERROR(I1627/H1627,0)</f>
        <v>88.2450583095549</v>
      </c>
      <c r="N1627" s="52" t="str">
        <f aca="false">'Model Inputs &amp; Assumptions'!$L$31</f>
        <v>PRD-USIQ</v>
      </c>
      <c r="P1627" s="53" t="n">
        <v>0.036171</v>
      </c>
      <c r="Q1627" s="53" t="n">
        <v>-0.391381</v>
      </c>
      <c r="R1627" s="53" t="n">
        <v>-0.875313</v>
      </c>
      <c r="S1627" s="53" t="n">
        <v>0.799913</v>
      </c>
    </row>
    <row r="1628" customFormat="false" ht="15" hidden="false" customHeight="false" outlineLevel="0" collapsed="false">
      <c r="A1628" s="43" t="n">
        <v>125</v>
      </c>
      <c r="B1628" s="44" t="str">
        <f aca="false">'Model Inputs &amp; Assumptions'!$B$31</f>
        <v>YouTube — Finfluencer Pre-roll</v>
      </c>
      <c r="C1628" s="45" t="n">
        <f aca="false">ROUND(MAX(0,'Model Inputs &amp; Assumptions'!$S$31*EXP('Model Inputs &amp; Assumptions'!$T$31*P1628-'Model Inputs &amp; Assumptions'!$T$31^2/2)),0)</f>
        <v>416583</v>
      </c>
      <c r="D1628" s="46" t="n">
        <f aca="false">MIN(1,'Model Inputs &amp; Assumptions'!$U$31*EXP('Model Inputs &amp; Assumptions'!$V$31*Q1628-'Model Inputs &amp; Assumptions'!$V$31^2/2))</f>
        <v>0.603425614979153</v>
      </c>
      <c r="E1628" s="45" t="n">
        <f aca="false">ROUND(C1628*D1628,0)</f>
        <v>251377</v>
      </c>
      <c r="F1628" s="47" t="n">
        <f aca="false">MIN(1,'Model Inputs &amp; Assumptions'!$W$31*EXP('Model Inputs &amp; Assumptions'!$X$31*R1628-'Model Inputs &amp; Assumptions'!$X$31^2/2))</f>
        <v>0.00424732865025979</v>
      </c>
      <c r="G1628" s="45" t="n">
        <f aca="false">ROUND(C1628*F1628,0)</f>
        <v>1769</v>
      </c>
      <c r="H1628" s="48" t="n">
        <f aca="false">MAX(0,(C1628*'Model Inputs &amp; Assumptions'!$N$31+E1628*'Model Inputs &amp; Assumptions'!$O$31+G1628*'Model Inputs &amp; Assumptions'!$P$31)*EXP('Model Inputs &amp; Assumptions'!$Q$31*S1628-'Model Inputs &amp; Assumptions'!$Q$31^2/2))</f>
        <v>36.5551149592867</v>
      </c>
      <c r="I1628" s="49" t="n">
        <f aca="false">IF('Model Inputs &amp; Assumptions'!$H$31="Fixed",'Model Inputs &amp; Assumptions'!$I$31*'Model Inputs &amp; Assumptions'!$K$31,IF('Model Inputs &amp; Assumptions'!$H$31="CPM",'Model Inputs &amp; Assumptions'!$I$31*'Model Inputs &amp; Assumptions'!$K$31*C1628/1000,IF('Model Inputs &amp; Assumptions'!$H$31="CPC",'Model Inputs &amp; Assumptions'!$I$31*'Model Inputs &amp; Assumptions'!$K$31*G1628,0)))</f>
        <v>4726.550718</v>
      </c>
      <c r="J1628" s="50" t="n">
        <f aca="false">H1628*INDEX('Model Inputs &amp; Assumptions'!$D$40:$D$42,MATCH('Model Inputs &amp; Assumptions'!$L$31,'Model Inputs &amp; Assumptions'!$A$40:$A$42,0))*INDEX('Model Inputs &amp; Assumptions'!$H$40:$H$42,MATCH('Model Inputs &amp; Assumptions'!$L$31,'Model Inputs &amp; Assumptions'!$A$40:$A$42,0))</f>
        <v>263196.827706864</v>
      </c>
      <c r="K1628" s="49" t="n">
        <f aca="false">H1628*INDEX('Model Inputs &amp; Assumptions'!$G$40:$G$42,MATCH('Model Inputs &amp; Assumptions'!$L$31,'Model Inputs &amp; Assumptions'!$A$40:$A$42,0))*INDEX('Model Inputs &amp; Assumptions'!$H$40:$H$42,MATCH('Model Inputs &amp; Assumptions'!$L$31,'Model Inputs &amp; Assumptions'!$A$40:$A$42,0))</f>
        <v>5803.49005093635</v>
      </c>
      <c r="L1628" s="51" t="n">
        <f aca="false">IFERROR(K1628/I1628,0)</f>
        <v>1.22784888964273</v>
      </c>
      <c r="M1628" s="49" t="n">
        <f aca="false">IFERROR(I1628/H1628,0)</f>
        <v>129.299298422784</v>
      </c>
      <c r="N1628" s="52" t="str">
        <f aca="false">'Model Inputs &amp; Assumptions'!$L$31</f>
        <v>PRD-USIQ</v>
      </c>
      <c r="P1628" s="53" t="n">
        <v>-0.366069</v>
      </c>
      <c r="Q1628" s="53" t="n">
        <v>0.230716</v>
      </c>
      <c r="R1628" s="53" t="n">
        <v>-0.559782</v>
      </c>
      <c r="S1628" s="53" t="n">
        <v>-0.521423</v>
      </c>
    </row>
    <row r="1629" customFormat="false" ht="15" hidden="false" customHeight="false" outlineLevel="0" collapsed="false">
      <c r="A1629" s="43" t="n">
        <v>126</v>
      </c>
      <c r="B1629" s="44" t="str">
        <f aca="false">'Model Inputs &amp; Assumptions'!$B$31</f>
        <v>YouTube — Finfluencer Pre-roll</v>
      </c>
      <c r="C1629" s="45" t="n">
        <f aca="false">ROUND(MAX(0,'Model Inputs &amp; Assumptions'!$S$31*EXP('Model Inputs &amp; Assumptions'!$T$31*P1629-'Model Inputs &amp; Assumptions'!$T$31^2/2)),0)</f>
        <v>331528</v>
      </c>
      <c r="D1629" s="46" t="n">
        <f aca="false">MIN(1,'Model Inputs &amp; Assumptions'!$U$31*EXP('Model Inputs &amp; Assumptions'!$V$31*Q1629-'Model Inputs &amp; Assumptions'!$V$31^2/2))</f>
        <v>0.576945943628291</v>
      </c>
      <c r="E1629" s="45" t="n">
        <f aca="false">ROUND(C1629*D1629,0)</f>
        <v>191274</v>
      </c>
      <c r="F1629" s="47" t="n">
        <f aca="false">MIN(1,'Model Inputs &amp; Assumptions'!$W$31*EXP('Model Inputs &amp; Assumptions'!$X$31*R1629-'Model Inputs &amp; Assumptions'!$X$31^2/2))</f>
        <v>0.00730893982478181</v>
      </c>
      <c r="G1629" s="45" t="n">
        <f aca="false">ROUND(C1629*F1629,0)</f>
        <v>2423</v>
      </c>
      <c r="H1629" s="48" t="n">
        <f aca="false">MAX(0,(C1629*'Model Inputs &amp; Assumptions'!$N$31+E1629*'Model Inputs &amp; Assumptions'!$O$31+G1629*'Model Inputs &amp; Assumptions'!$P$31)*EXP('Model Inputs &amp; Assumptions'!$Q$31*S1629-'Model Inputs &amp; Assumptions'!$Q$31^2/2))</f>
        <v>27.6262197206848</v>
      </c>
      <c r="I1629" s="49" t="n">
        <f aca="false">IF('Model Inputs &amp; Assumptions'!$H$31="Fixed",'Model Inputs &amp; Assumptions'!$I$31*'Model Inputs &amp; Assumptions'!$K$31,IF('Model Inputs &amp; Assumptions'!$H$31="CPM",'Model Inputs &amp; Assumptions'!$I$31*'Model Inputs &amp; Assumptions'!$K$31*C1629/1000,IF('Model Inputs &amp; Assumptions'!$H$31="CPC",'Model Inputs &amp; Assumptions'!$I$31*'Model Inputs &amp; Assumptions'!$K$31*G1629,0)))</f>
        <v>3761.516688</v>
      </c>
      <c r="J1629" s="50" t="n">
        <f aca="false">H1629*INDEX('Model Inputs &amp; Assumptions'!$D$40:$D$42,MATCH('Model Inputs &amp; Assumptions'!$L$31,'Model Inputs &amp; Assumptions'!$A$40:$A$42,0))*INDEX('Model Inputs &amp; Assumptions'!$H$40:$H$42,MATCH('Model Inputs &amp; Assumptions'!$L$31,'Model Inputs &amp; Assumptions'!$A$40:$A$42,0))</f>
        <v>198908.78198893</v>
      </c>
      <c r="K1629" s="49" t="n">
        <f aca="false">H1629*INDEX('Model Inputs &amp; Assumptions'!$G$40:$G$42,MATCH('Model Inputs &amp; Assumptions'!$L$31,'Model Inputs &amp; Assumptions'!$A$40:$A$42,0))*INDEX('Model Inputs &amp; Assumptions'!$H$40:$H$42,MATCH('Model Inputs &amp; Assumptions'!$L$31,'Model Inputs &amp; Assumptions'!$A$40:$A$42,0))</f>
        <v>4385.93864285592</v>
      </c>
      <c r="L1629" s="51" t="n">
        <f aca="false">IFERROR(K1629/I1629,0)</f>
        <v>1.16600270759078</v>
      </c>
      <c r="M1629" s="49" t="n">
        <f aca="false">IFERROR(I1629/H1629,0)</f>
        <v>136.157488285797</v>
      </c>
      <c r="N1629" s="52" t="str">
        <f aca="false">'Model Inputs &amp; Assumptions'!$L$31</f>
        <v>PRD-USIQ</v>
      </c>
      <c r="P1629" s="53" t="n">
        <v>-1.181696</v>
      </c>
      <c r="Q1629" s="53" t="n">
        <v>-0.089814</v>
      </c>
      <c r="R1629" s="53" t="n">
        <v>1.701918</v>
      </c>
      <c r="S1629" s="53" t="n">
        <v>-1.612615</v>
      </c>
    </row>
    <row r="1630" customFormat="false" ht="15" hidden="false" customHeight="false" outlineLevel="0" collapsed="false">
      <c r="A1630" s="43" t="n">
        <v>127</v>
      </c>
      <c r="B1630" s="44" t="str">
        <f aca="false">'Model Inputs &amp; Assumptions'!$B$31</f>
        <v>YouTube — Finfluencer Pre-roll</v>
      </c>
      <c r="C1630" s="45" t="n">
        <f aca="false">ROUND(MAX(0,'Model Inputs &amp; Assumptions'!$S$31*EXP('Model Inputs &amp; Assumptions'!$T$31*P1630-'Model Inputs &amp; Assumptions'!$T$31^2/2)),0)</f>
        <v>754717</v>
      </c>
      <c r="D1630" s="46" t="n">
        <f aca="false">MIN(1,'Model Inputs &amp; Assumptions'!$U$31*EXP('Model Inputs &amp; Assumptions'!$V$31*Q1630-'Model Inputs &amp; Assumptions'!$V$31^2/2))</f>
        <v>0.539493813158225</v>
      </c>
      <c r="E1630" s="45" t="n">
        <f aca="false">ROUND(C1630*D1630,0)</f>
        <v>407165</v>
      </c>
      <c r="F1630" s="47" t="n">
        <f aca="false">MIN(1,'Model Inputs &amp; Assumptions'!$W$31*EXP('Model Inputs &amp; Assumptions'!$X$31*R1630-'Model Inputs &amp; Assumptions'!$X$31^2/2))</f>
        <v>0.00403839377484915</v>
      </c>
      <c r="G1630" s="45" t="n">
        <f aca="false">ROUND(C1630*F1630,0)</f>
        <v>3048</v>
      </c>
      <c r="H1630" s="48" t="n">
        <f aca="false">MAX(0,(C1630*'Model Inputs &amp; Assumptions'!$N$31+E1630*'Model Inputs &amp; Assumptions'!$O$31+G1630*'Model Inputs &amp; Assumptions'!$P$31)*EXP('Model Inputs &amp; Assumptions'!$Q$31*S1630-'Model Inputs &amp; Assumptions'!$Q$31^2/2))</f>
        <v>58.3609267702707</v>
      </c>
      <c r="I1630" s="49" t="n">
        <f aca="false">IF('Model Inputs &amp; Assumptions'!$H$31="Fixed",'Model Inputs &amp; Assumptions'!$I$31*'Model Inputs &amp; Assumptions'!$K$31,IF('Model Inputs &amp; Assumptions'!$H$31="CPM",'Model Inputs &amp; Assumptions'!$I$31*'Model Inputs &amp; Assumptions'!$K$31*C1630/1000,IF('Model Inputs &amp; Assumptions'!$H$31="CPC",'Model Inputs &amp; Assumptions'!$I$31*'Model Inputs &amp; Assumptions'!$K$31*G1630,0)))</f>
        <v>8563.019082</v>
      </c>
      <c r="J1630" s="50" t="n">
        <f aca="false">H1630*INDEX('Model Inputs &amp; Assumptions'!$D$40:$D$42,MATCH('Model Inputs &amp; Assumptions'!$L$31,'Model Inputs &amp; Assumptions'!$A$40:$A$42,0))*INDEX('Model Inputs &amp; Assumptions'!$H$40:$H$42,MATCH('Model Inputs &amp; Assumptions'!$L$31,'Model Inputs &amp; Assumptions'!$A$40:$A$42,0))</f>
        <v>420198.672745949</v>
      </c>
      <c r="K1630" s="49" t="n">
        <f aca="false">H1630*INDEX('Model Inputs &amp; Assumptions'!$G$40:$G$42,MATCH('Model Inputs &amp; Assumptions'!$L$31,'Model Inputs &amp; Assumptions'!$A$40:$A$42,0))*INDEX('Model Inputs &amp; Assumptions'!$H$40:$H$42,MATCH('Model Inputs &amp; Assumptions'!$L$31,'Model Inputs &amp; Assumptions'!$A$40:$A$42,0))</f>
        <v>9265.38073404817</v>
      </c>
      <c r="L1630" s="51" t="n">
        <f aca="false">IFERROR(K1630/I1630,0)</f>
        <v>1.08202266575869</v>
      </c>
      <c r="M1630" s="49" t="n">
        <f aca="false">IFERROR(I1630/H1630,0)</f>
        <v>146.725207358462</v>
      </c>
      <c r="N1630" s="52" t="str">
        <f aca="false">'Model Inputs &amp; Assumptions'!$L$31</f>
        <v>PRD-USIQ</v>
      </c>
      <c r="P1630" s="53" t="n">
        <v>1.756273</v>
      </c>
      <c r="Q1630" s="53" t="n">
        <v>-0.569223</v>
      </c>
      <c r="R1630" s="53" t="n">
        <v>-0.769962</v>
      </c>
      <c r="S1630" s="53" t="n">
        <v>-0.664469</v>
      </c>
    </row>
    <row r="1631" customFormat="false" ht="15" hidden="false" customHeight="false" outlineLevel="0" collapsed="false">
      <c r="A1631" s="43" t="n">
        <v>128</v>
      </c>
      <c r="B1631" s="44" t="str">
        <f aca="false">'Model Inputs &amp; Assumptions'!$B$31</f>
        <v>YouTube — Finfluencer Pre-roll</v>
      </c>
      <c r="C1631" s="45" t="n">
        <f aca="false">ROUND(MAX(0,'Model Inputs &amp; Assumptions'!$S$31*EXP('Model Inputs &amp; Assumptions'!$T$31*P1631-'Model Inputs &amp; Assumptions'!$T$31^2/2)),0)</f>
        <v>343243</v>
      </c>
      <c r="D1631" s="46" t="n">
        <f aca="false">MIN(1,'Model Inputs &amp; Assumptions'!$U$31*EXP('Model Inputs &amp; Assumptions'!$V$31*Q1631-'Model Inputs &amp; Assumptions'!$V$31^2/2))</f>
        <v>0.458159527552141</v>
      </c>
      <c r="E1631" s="45" t="n">
        <f aca="false">ROUND(C1631*D1631,0)</f>
        <v>157260</v>
      </c>
      <c r="F1631" s="47" t="n">
        <f aca="false">MIN(1,'Model Inputs &amp; Assumptions'!$W$31*EXP('Model Inputs &amp; Assumptions'!$X$31*R1631-'Model Inputs &amp; Assumptions'!$X$31^2/2))</f>
        <v>0.00356253536454065</v>
      </c>
      <c r="G1631" s="45" t="n">
        <f aca="false">ROUND(C1631*F1631,0)</f>
        <v>1223</v>
      </c>
      <c r="H1631" s="48" t="n">
        <f aca="false">MAX(0,(C1631*'Model Inputs &amp; Assumptions'!$N$31+E1631*'Model Inputs &amp; Assumptions'!$O$31+G1631*'Model Inputs &amp; Assumptions'!$P$31)*EXP('Model Inputs &amp; Assumptions'!$Q$31*S1631-'Model Inputs &amp; Assumptions'!$Q$31^2/2))</f>
        <v>28.7241630589667</v>
      </c>
      <c r="I1631" s="49" t="n">
        <f aca="false">IF('Model Inputs &amp; Assumptions'!$H$31="Fixed",'Model Inputs &amp; Assumptions'!$I$31*'Model Inputs &amp; Assumptions'!$K$31,IF('Model Inputs &amp; Assumptions'!$H$31="CPM",'Model Inputs &amp; Assumptions'!$I$31*'Model Inputs &amp; Assumptions'!$K$31*C1631/1000,IF('Model Inputs &amp; Assumptions'!$H$31="CPC",'Model Inputs &amp; Assumptions'!$I$31*'Model Inputs &amp; Assumptions'!$K$31*G1631,0)))</f>
        <v>3894.435078</v>
      </c>
      <c r="J1631" s="50" t="n">
        <f aca="false">H1631*INDEX('Model Inputs &amp; Assumptions'!$D$40:$D$42,MATCH('Model Inputs &amp; Assumptions'!$L$31,'Model Inputs &amp; Assumptions'!$A$40:$A$42,0))*INDEX('Model Inputs &amp; Assumptions'!$H$40:$H$42,MATCH('Model Inputs &amp; Assumptions'!$L$31,'Model Inputs &amp; Assumptions'!$A$40:$A$42,0))</f>
        <v>206813.97402456</v>
      </c>
      <c r="K1631" s="49" t="n">
        <f aca="false">H1631*INDEX('Model Inputs &amp; Assumptions'!$G$40:$G$42,MATCH('Model Inputs &amp; Assumptions'!$L$31,'Model Inputs &amp; Assumptions'!$A$40:$A$42,0))*INDEX('Model Inputs &amp; Assumptions'!$H$40:$H$42,MATCH('Model Inputs &amp; Assumptions'!$L$31,'Model Inputs &amp; Assumptions'!$A$40:$A$42,0))</f>
        <v>4560.24812724156</v>
      </c>
      <c r="L1631" s="51" t="n">
        <f aca="false">IFERROR(K1631/I1631,0)</f>
        <v>1.17096524551219</v>
      </c>
      <c r="M1631" s="49" t="n">
        <f aca="false">IFERROR(I1631/H1631,0)</f>
        <v>135.58045433753</v>
      </c>
      <c r="N1631" s="52" t="str">
        <f aca="false">'Model Inputs &amp; Assumptions'!$L$31</f>
        <v>PRD-USIQ</v>
      </c>
      <c r="P1631" s="53" t="n">
        <v>-1.05767</v>
      </c>
      <c r="Q1631" s="53" t="n">
        <v>-1.736465</v>
      </c>
      <c r="R1631" s="53" t="n">
        <v>-1.292356</v>
      </c>
      <c r="S1631" s="53" t="n">
        <v>-0.036006</v>
      </c>
    </row>
    <row r="1632" customFormat="false" ht="15" hidden="false" customHeight="false" outlineLevel="0" collapsed="false">
      <c r="A1632" s="43" t="n">
        <v>129</v>
      </c>
      <c r="B1632" s="44" t="str">
        <f aca="false">'Model Inputs &amp; Assumptions'!$B$31</f>
        <v>YouTube — Finfluencer Pre-roll</v>
      </c>
      <c r="C1632" s="45" t="n">
        <f aca="false">ROUND(MAX(0,'Model Inputs &amp; Assumptions'!$S$31*EXP('Model Inputs &amp; Assumptions'!$T$31*P1632-'Model Inputs &amp; Assumptions'!$T$31^2/2)),0)</f>
        <v>380356</v>
      </c>
      <c r="D1632" s="46" t="n">
        <f aca="false">MIN(1,'Model Inputs &amp; Assumptions'!$U$31*EXP('Model Inputs &amp; Assumptions'!$V$31*Q1632-'Model Inputs &amp; Assumptions'!$V$31^2/2))</f>
        <v>0.556813234112609</v>
      </c>
      <c r="E1632" s="45" t="n">
        <f aca="false">ROUND(C1632*D1632,0)</f>
        <v>211787</v>
      </c>
      <c r="F1632" s="47" t="n">
        <f aca="false">MIN(1,'Model Inputs &amp; Assumptions'!$W$31*EXP('Model Inputs &amp; Assumptions'!$X$31*R1632-'Model Inputs &amp; Assumptions'!$X$31^2/2))</f>
        <v>0.0031715199498833</v>
      </c>
      <c r="G1632" s="45" t="n">
        <f aca="false">ROUND(C1632*F1632,0)</f>
        <v>1206</v>
      </c>
      <c r="H1632" s="48" t="n">
        <f aca="false">MAX(0,(C1632*'Model Inputs &amp; Assumptions'!$N$31+E1632*'Model Inputs &amp; Assumptions'!$O$31+G1632*'Model Inputs &amp; Assumptions'!$P$31)*EXP('Model Inputs &amp; Assumptions'!$Q$31*S1632-'Model Inputs &amp; Assumptions'!$Q$31^2/2))</f>
        <v>22.1672668072928</v>
      </c>
      <c r="I1632" s="49" t="n">
        <f aca="false">IF('Model Inputs &amp; Assumptions'!$H$31="Fixed",'Model Inputs &amp; Assumptions'!$I$31*'Model Inputs &amp; Assumptions'!$K$31,IF('Model Inputs &amp; Assumptions'!$H$31="CPM",'Model Inputs &amp; Assumptions'!$I$31*'Model Inputs &amp; Assumptions'!$K$31*C1632/1000,IF('Model Inputs &amp; Assumptions'!$H$31="CPC",'Model Inputs &amp; Assumptions'!$I$31*'Model Inputs &amp; Assumptions'!$K$31*G1632,0)))</f>
        <v>4315.519176</v>
      </c>
      <c r="J1632" s="50" t="n">
        <f aca="false">H1632*INDEX('Model Inputs &amp; Assumptions'!$D$40:$D$42,MATCH('Model Inputs &amp; Assumptions'!$L$31,'Model Inputs &amp; Assumptions'!$A$40:$A$42,0))*INDEX('Model Inputs &amp; Assumptions'!$H$40:$H$42,MATCH('Model Inputs &amp; Assumptions'!$L$31,'Model Inputs &amp; Assumptions'!$A$40:$A$42,0))</f>
        <v>159604.321012508</v>
      </c>
      <c r="K1632" s="49" t="n">
        <f aca="false">H1632*INDEX('Model Inputs &amp; Assumptions'!$G$40:$G$42,MATCH('Model Inputs &amp; Assumptions'!$L$31,'Model Inputs &amp; Assumptions'!$A$40:$A$42,0))*INDEX('Model Inputs &amp; Assumptions'!$H$40:$H$42,MATCH('Model Inputs &amp; Assumptions'!$L$31,'Model Inputs &amp; Assumptions'!$A$40:$A$42,0))</f>
        <v>3519.2752783258</v>
      </c>
      <c r="L1632" s="51" t="n">
        <f aca="false">IFERROR(K1632/I1632,0)</f>
        <v>0.815492907063797</v>
      </c>
      <c r="M1632" s="49" t="n">
        <f aca="false">IFERROR(I1632/H1632,0)</f>
        <v>194.679804845415</v>
      </c>
      <c r="N1632" s="52" t="str">
        <f aca="false">'Model Inputs &amp; Assumptions'!$L$31</f>
        <v>PRD-USIQ</v>
      </c>
      <c r="P1632" s="53" t="n">
        <v>-0.690991</v>
      </c>
      <c r="Q1632" s="53" t="n">
        <v>-0.343519</v>
      </c>
      <c r="R1632" s="53" t="n">
        <v>-1.776779</v>
      </c>
      <c r="S1632" s="53" t="n">
        <v>-1.132636</v>
      </c>
    </row>
    <row r="1633" customFormat="false" ht="15" hidden="false" customHeight="false" outlineLevel="0" collapsed="false">
      <c r="A1633" s="43" t="n">
        <v>130</v>
      </c>
      <c r="B1633" s="44" t="str">
        <f aca="false">'Model Inputs &amp; Assumptions'!$B$31</f>
        <v>YouTube — Finfluencer Pre-roll</v>
      </c>
      <c r="C1633" s="45" t="n">
        <f aca="false">ROUND(MAX(0,'Model Inputs &amp; Assumptions'!$S$31*EXP('Model Inputs &amp; Assumptions'!$T$31*P1633-'Model Inputs &amp; Assumptions'!$T$31^2/2)),0)</f>
        <v>355911</v>
      </c>
      <c r="D1633" s="46" t="n">
        <f aca="false">MIN(1,'Model Inputs &amp; Assumptions'!$U$31*EXP('Model Inputs &amp; Assumptions'!$V$31*Q1633-'Model Inputs &amp; Assumptions'!$V$31^2/2))</f>
        <v>0.672293550942607</v>
      </c>
      <c r="E1633" s="45" t="n">
        <f aca="false">ROUND(C1633*D1633,0)</f>
        <v>239277</v>
      </c>
      <c r="F1633" s="47" t="n">
        <f aca="false">MIN(1,'Model Inputs &amp; Assumptions'!$W$31*EXP('Model Inputs &amp; Assumptions'!$X$31*R1633-'Model Inputs &amp; Assumptions'!$X$31^2/2))</f>
        <v>0.00443203369657587</v>
      </c>
      <c r="G1633" s="45" t="n">
        <f aca="false">ROUND(C1633*F1633,0)</f>
        <v>1577</v>
      </c>
      <c r="H1633" s="48" t="n">
        <f aca="false">MAX(0,(C1633*'Model Inputs &amp; Assumptions'!$N$31+E1633*'Model Inputs &amp; Assumptions'!$O$31+G1633*'Model Inputs &amp; Assumptions'!$P$31)*EXP('Model Inputs &amp; Assumptions'!$Q$31*S1633-'Model Inputs &amp; Assumptions'!$Q$31^2/2))</f>
        <v>62.7734614163056</v>
      </c>
      <c r="I1633" s="49" t="n">
        <f aca="false">IF('Model Inputs &amp; Assumptions'!$H$31="Fixed",'Model Inputs &amp; Assumptions'!$I$31*'Model Inputs &amp; Assumptions'!$K$31,IF('Model Inputs &amp; Assumptions'!$H$31="CPM",'Model Inputs &amp; Assumptions'!$I$31*'Model Inputs &amp; Assumptions'!$K$31*C1633/1000,IF('Model Inputs &amp; Assumptions'!$H$31="CPC",'Model Inputs &amp; Assumptions'!$I$31*'Model Inputs &amp; Assumptions'!$K$31*G1633,0)))</f>
        <v>4038.166206</v>
      </c>
      <c r="J1633" s="50" t="n">
        <f aca="false">H1633*INDEX('Model Inputs &amp; Assumptions'!$D$40:$D$42,MATCH('Model Inputs &amp; Assumptions'!$L$31,'Model Inputs &amp; Assumptions'!$A$40:$A$42,0))*INDEX('Model Inputs &amp; Assumptions'!$H$40:$H$42,MATCH('Model Inputs &amp; Assumptions'!$L$31,'Model Inputs &amp; Assumptions'!$A$40:$A$42,0))</f>
        <v>451968.922197401</v>
      </c>
      <c r="K1633" s="49" t="n">
        <f aca="false">H1633*INDEX('Model Inputs &amp; Assumptions'!$G$40:$G$42,MATCH('Model Inputs &amp; Assumptions'!$L$31,'Model Inputs &amp; Assumptions'!$A$40:$A$42,0))*INDEX('Model Inputs &amp; Assumptions'!$H$40:$H$42,MATCH('Model Inputs &amp; Assumptions'!$L$31,'Model Inputs &amp; Assumptions'!$A$40:$A$42,0))</f>
        <v>9965.91473445268</v>
      </c>
      <c r="L1633" s="51" t="n">
        <f aca="false">IFERROR(K1633/I1633,0)</f>
        <v>2.46793079483581</v>
      </c>
      <c r="M1633" s="49" t="n">
        <f aca="false">IFERROR(I1633/H1633,0)</f>
        <v>64.329194453997</v>
      </c>
      <c r="N1633" s="52" t="str">
        <f aca="false">'Model Inputs &amp; Assumptions'!$L$31</f>
        <v>PRD-USIQ</v>
      </c>
      <c r="P1633" s="53" t="n">
        <v>-0.92823</v>
      </c>
      <c r="Q1633" s="53" t="n">
        <v>1.002661</v>
      </c>
      <c r="R1633" s="53" t="n">
        <v>-0.382414</v>
      </c>
      <c r="S1633" s="53" t="n">
        <v>1.269459</v>
      </c>
    </row>
    <row r="1634" customFormat="false" ht="15" hidden="false" customHeight="false" outlineLevel="0" collapsed="false">
      <c r="A1634" s="43" t="n">
        <v>131</v>
      </c>
      <c r="B1634" s="44" t="str">
        <f aca="false">'Model Inputs &amp; Assumptions'!$B$31</f>
        <v>YouTube — Finfluencer Pre-roll</v>
      </c>
      <c r="C1634" s="45" t="n">
        <f aca="false">ROUND(MAX(0,'Model Inputs &amp; Assumptions'!$S$31*EXP('Model Inputs &amp; Assumptions'!$T$31*P1634-'Model Inputs &amp; Assumptions'!$T$31^2/2)),0)</f>
        <v>362307</v>
      </c>
      <c r="D1634" s="46" t="n">
        <f aca="false">MIN(1,'Model Inputs &amp; Assumptions'!$U$31*EXP('Model Inputs &amp; Assumptions'!$V$31*Q1634-'Model Inputs &amp; Assumptions'!$V$31^2/2))</f>
        <v>0.499047577500986</v>
      </c>
      <c r="E1634" s="45" t="n">
        <f aca="false">ROUND(C1634*D1634,0)</f>
        <v>180808</v>
      </c>
      <c r="F1634" s="47" t="n">
        <f aca="false">MIN(1,'Model Inputs &amp; Assumptions'!$W$31*EXP('Model Inputs &amp; Assumptions'!$X$31*R1634-'Model Inputs &amp; Assumptions'!$X$31^2/2))</f>
        <v>0.00507487346917159</v>
      </c>
      <c r="G1634" s="45" t="n">
        <f aca="false">ROUND(C1634*F1634,0)</f>
        <v>1839</v>
      </c>
      <c r="H1634" s="48" t="n">
        <f aca="false">MAX(0,(C1634*'Model Inputs &amp; Assumptions'!$N$31+E1634*'Model Inputs &amp; Assumptions'!$O$31+G1634*'Model Inputs &amp; Assumptions'!$P$31)*EXP('Model Inputs &amp; Assumptions'!$Q$31*S1634-'Model Inputs &amp; Assumptions'!$Q$31^2/2))</f>
        <v>39.6064258939646</v>
      </c>
      <c r="I1634" s="49" t="n">
        <f aca="false">IF('Model Inputs &amp; Assumptions'!$H$31="Fixed",'Model Inputs &amp; Assumptions'!$I$31*'Model Inputs &amp; Assumptions'!$K$31,IF('Model Inputs &amp; Assumptions'!$H$31="CPM",'Model Inputs &amp; Assumptions'!$I$31*'Model Inputs &amp; Assumptions'!$K$31*C1634/1000,IF('Model Inputs &amp; Assumptions'!$H$31="CPC",'Model Inputs &amp; Assumptions'!$I$31*'Model Inputs &amp; Assumptions'!$K$31*G1634,0)))</f>
        <v>4110.735222</v>
      </c>
      <c r="J1634" s="50" t="n">
        <f aca="false">H1634*INDEX('Model Inputs &amp; Assumptions'!$D$40:$D$42,MATCH('Model Inputs &amp; Assumptions'!$L$31,'Model Inputs &amp; Assumptions'!$A$40:$A$42,0))*INDEX('Model Inputs &amp; Assumptions'!$H$40:$H$42,MATCH('Model Inputs &amp; Assumptions'!$L$31,'Model Inputs &amp; Assumptions'!$A$40:$A$42,0))</f>
        <v>285166.266436545</v>
      </c>
      <c r="K1634" s="49" t="n">
        <f aca="false">H1634*INDEX('Model Inputs &amp; Assumptions'!$G$40:$G$42,MATCH('Model Inputs &amp; Assumptions'!$L$31,'Model Inputs &amp; Assumptions'!$A$40:$A$42,0))*INDEX('Model Inputs &amp; Assumptions'!$H$40:$H$42,MATCH('Model Inputs &amp; Assumptions'!$L$31,'Model Inputs &amp; Assumptions'!$A$40:$A$42,0))</f>
        <v>6287.91617492583</v>
      </c>
      <c r="L1634" s="51" t="n">
        <f aca="false">IFERROR(K1634/I1634,0)</f>
        <v>1.52963298177754</v>
      </c>
      <c r="M1634" s="49" t="n">
        <f aca="false">IFERROR(I1634/H1634,0)</f>
        <v>103.789603055963</v>
      </c>
      <c r="N1634" s="52" t="str">
        <f aca="false">'Model Inputs &amp; Assumptions'!$L$31</f>
        <v>PRD-USIQ</v>
      </c>
      <c r="P1634" s="53" t="n">
        <v>-0.864619</v>
      </c>
      <c r="Q1634" s="53" t="n">
        <v>-1.125865</v>
      </c>
      <c r="R1634" s="53" t="n">
        <v>0.181932</v>
      </c>
      <c r="S1634" s="53" t="n">
        <v>0.003973</v>
      </c>
    </row>
    <row r="1635" customFormat="false" ht="15" hidden="false" customHeight="false" outlineLevel="0" collapsed="false">
      <c r="A1635" s="43" t="n">
        <v>132</v>
      </c>
      <c r="B1635" s="44" t="str">
        <f aca="false">'Model Inputs &amp; Assumptions'!$B$31</f>
        <v>YouTube — Finfluencer Pre-roll</v>
      </c>
      <c r="C1635" s="45" t="n">
        <f aca="false">ROUND(MAX(0,'Model Inputs &amp; Assumptions'!$S$31*EXP('Model Inputs &amp; Assumptions'!$T$31*P1635-'Model Inputs &amp; Assumptions'!$T$31^2/2)),0)</f>
        <v>440887</v>
      </c>
      <c r="D1635" s="46" t="n">
        <f aca="false">MIN(1,'Model Inputs &amp; Assumptions'!$U$31*EXP('Model Inputs &amp; Assumptions'!$V$31*Q1635-'Model Inputs &amp; Assumptions'!$V$31^2/2))</f>
        <v>0.633953657855019</v>
      </c>
      <c r="E1635" s="45" t="n">
        <f aca="false">ROUND(C1635*D1635,0)</f>
        <v>279502</v>
      </c>
      <c r="F1635" s="47" t="n">
        <f aca="false">MIN(1,'Model Inputs &amp; Assumptions'!$W$31*EXP('Model Inputs &amp; Assumptions'!$X$31*R1635-'Model Inputs &amp; Assumptions'!$X$31^2/2))</f>
        <v>0.00878123758244387</v>
      </c>
      <c r="G1635" s="45" t="n">
        <f aca="false">ROUND(C1635*F1635,0)</f>
        <v>3872</v>
      </c>
      <c r="H1635" s="48" t="n">
        <f aca="false">MAX(0,(C1635*'Model Inputs &amp; Assumptions'!$N$31+E1635*'Model Inputs &amp; Assumptions'!$O$31+G1635*'Model Inputs &amp; Assumptions'!$P$31)*EXP('Model Inputs &amp; Assumptions'!$Q$31*S1635-'Model Inputs &amp; Assumptions'!$Q$31^2/2))</f>
        <v>33.0233555133243</v>
      </c>
      <c r="I1635" s="49" t="n">
        <f aca="false">IF('Model Inputs &amp; Assumptions'!$H$31="Fixed",'Model Inputs &amp; Assumptions'!$I$31*'Model Inputs &amp; Assumptions'!$K$31,IF('Model Inputs &amp; Assumptions'!$H$31="CPM",'Model Inputs &amp; Assumptions'!$I$31*'Model Inputs &amp; Assumptions'!$K$31*C1635/1000,IF('Model Inputs &amp; Assumptions'!$H$31="CPC",'Model Inputs &amp; Assumptions'!$I$31*'Model Inputs &amp; Assumptions'!$K$31*G1635,0)))</f>
        <v>5002.303902</v>
      </c>
      <c r="J1635" s="50" t="n">
        <f aca="false">H1635*INDEX('Model Inputs &amp; Assumptions'!$D$40:$D$42,MATCH('Model Inputs &amp; Assumptions'!$L$31,'Model Inputs &amp; Assumptions'!$A$40:$A$42,0))*INDEX('Model Inputs &amp; Assumptions'!$H$40:$H$42,MATCH('Model Inputs &amp; Assumptions'!$L$31,'Model Inputs &amp; Assumptions'!$A$40:$A$42,0))</f>
        <v>237768.159695935</v>
      </c>
      <c r="K1635" s="49" t="n">
        <f aca="false">H1635*INDEX('Model Inputs &amp; Assumptions'!$G$40:$G$42,MATCH('Model Inputs &amp; Assumptions'!$L$31,'Model Inputs &amp; Assumptions'!$A$40:$A$42,0))*INDEX('Model Inputs &amp; Assumptions'!$H$40:$H$42,MATCH('Model Inputs &amp; Assumptions'!$L$31,'Model Inputs &amp; Assumptions'!$A$40:$A$42,0))</f>
        <v>5242.78792129537</v>
      </c>
      <c r="L1635" s="51" t="n">
        <f aca="false">IFERROR(K1635/I1635,0)</f>
        <v>1.0480746520017</v>
      </c>
      <c r="M1635" s="49" t="n">
        <f aca="false">IFERROR(I1635/H1635,0)</f>
        <v>151.477759429433</v>
      </c>
      <c r="N1635" s="52" t="str">
        <f aca="false">'Model Inputs &amp; Assumptions'!$L$31</f>
        <v>PRD-USIQ</v>
      </c>
      <c r="P1635" s="53" t="n">
        <v>-0.16356</v>
      </c>
      <c r="Q1635" s="53" t="n">
        <v>0.583238</v>
      </c>
      <c r="R1635" s="53" t="n">
        <v>2.466581</v>
      </c>
      <c r="S1635" s="53" t="n">
        <v>-2.36871</v>
      </c>
    </row>
    <row r="1636" customFormat="false" ht="15" hidden="false" customHeight="false" outlineLevel="0" collapsed="false">
      <c r="A1636" s="43" t="n">
        <v>133</v>
      </c>
      <c r="B1636" s="44" t="str">
        <f aca="false">'Model Inputs &amp; Assumptions'!$B$31</f>
        <v>YouTube — Finfluencer Pre-roll</v>
      </c>
      <c r="C1636" s="45" t="n">
        <f aca="false">ROUND(MAX(0,'Model Inputs &amp; Assumptions'!$S$31*EXP('Model Inputs &amp; Assumptions'!$T$31*P1636-'Model Inputs &amp; Assumptions'!$T$31^2/2)),0)</f>
        <v>302366</v>
      </c>
      <c r="D1636" s="46" t="n">
        <f aca="false">MIN(1,'Model Inputs &amp; Assumptions'!$U$31*EXP('Model Inputs &amp; Assumptions'!$V$31*Q1636-'Model Inputs &amp; Assumptions'!$V$31^2/2))</f>
        <v>0.597504285939096</v>
      </c>
      <c r="E1636" s="45" t="n">
        <f aca="false">ROUND(C1636*D1636,0)</f>
        <v>180665</v>
      </c>
      <c r="F1636" s="47" t="n">
        <f aca="false">MIN(1,'Model Inputs &amp; Assumptions'!$W$31*EXP('Model Inputs &amp; Assumptions'!$X$31*R1636-'Model Inputs &amp; Assumptions'!$X$31^2/2))</f>
        <v>0.00466406484584267</v>
      </c>
      <c r="G1636" s="45" t="n">
        <f aca="false">ROUND(C1636*F1636,0)</f>
        <v>1410</v>
      </c>
      <c r="H1636" s="48" t="n">
        <f aca="false">MAX(0,(C1636*'Model Inputs &amp; Assumptions'!$N$31+E1636*'Model Inputs &amp; Assumptions'!$O$31+G1636*'Model Inputs &amp; Assumptions'!$P$31)*EXP('Model Inputs &amp; Assumptions'!$Q$31*S1636-'Model Inputs &amp; Assumptions'!$Q$31^2/2))</f>
        <v>18.2684699710982</v>
      </c>
      <c r="I1636" s="49" t="n">
        <f aca="false">IF('Model Inputs &amp; Assumptions'!$H$31="Fixed",'Model Inputs &amp; Assumptions'!$I$31*'Model Inputs &amp; Assumptions'!$K$31,IF('Model Inputs &amp; Assumptions'!$H$31="CPM",'Model Inputs &amp; Assumptions'!$I$31*'Model Inputs &amp; Assumptions'!$K$31*C1636/1000,IF('Model Inputs &amp; Assumptions'!$H$31="CPC",'Model Inputs &amp; Assumptions'!$I$31*'Model Inputs &amp; Assumptions'!$K$31*G1636,0)))</f>
        <v>3430.644636</v>
      </c>
      <c r="J1636" s="50" t="n">
        <f aca="false">H1636*INDEX('Model Inputs &amp; Assumptions'!$D$40:$D$42,MATCH('Model Inputs &amp; Assumptions'!$L$31,'Model Inputs &amp; Assumptions'!$A$40:$A$42,0))*INDEX('Model Inputs &amp; Assumptions'!$H$40:$H$42,MATCH('Model Inputs &amp; Assumptions'!$L$31,'Model Inputs &amp; Assumptions'!$A$40:$A$42,0))</f>
        <v>131532.983791907</v>
      </c>
      <c r="K1636" s="49" t="n">
        <f aca="false">H1636*INDEX('Model Inputs &amp; Assumptions'!$G$40:$G$42,MATCH('Model Inputs &amp; Assumptions'!$L$31,'Model Inputs &amp; Assumptions'!$A$40:$A$42,0))*INDEX('Model Inputs &amp; Assumptions'!$H$40:$H$42,MATCH('Model Inputs &amp; Assumptions'!$L$31,'Model Inputs &amp; Assumptions'!$A$40:$A$42,0))</f>
        <v>2900.30229261156</v>
      </c>
      <c r="L1636" s="51" t="n">
        <f aca="false">IFERROR(K1636/I1636,0)</f>
        <v>0.845410294664969</v>
      </c>
      <c r="M1636" s="49" t="n">
        <f aca="false">IFERROR(I1636/H1636,0)</f>
        <v>187.790474047771</v>
      </c>
      <c r="N1636" s="52" t="str">
        <f aca="false">'Model Inputs &amp; Assumptions'!$L$31</f>
        <v>PRD-USIQ</v>
      </c>
      <c r="P1636" s="53" t="n">
        <v>-1.510527</v>
      </c>
      <c r="Q1636" s="53" t="n">
        <v>0.160278</v>
      </c>
      <c r="R1636" s="53" t="n">
        <v>-0.169794</v>
      </c>
      <c r="S1636" s="53" t="n">
        <v>-1.731454</v>
      </c>
    </row>
    <row r="1637" customFormat="false" ht="15" hidden="false" customHeight="false" outlineLevel="0" collapsed="false">
      <c r="A1637" s="43" t="n">
        <v>134</v>
      </c>
      <c r="B1637" s="44" t="str">
        <f aca="false">'Model Inputs &amp; Assumptions'!$B$31</f>
        <v>YouTube — Finfluencer Pre-roll</v>
      </c>
      <c r="C1637" s="45" t="n">
        <f aca="false">ROUND(MAX(0,'Model Inputs &amp; Assumptions'!$S$31*EXP('Model Inputs &amp; Assumptions'!$T$31*P1637-'Model Inputs &amp; Assumptions'!$T$31^2/2)),0)</f>
        <v>547196</v>
      </c>
      <c r="D1637" s="46" t="n">
        <f aca="false">MIN(1,'Model Inputs &amp; Assumptions'!$U$31*EXP('Model Inputs &amp; Assumptions'!$V$31*Q1637-'Model Inputs &amp; Assumptions'!$V$31^2/2))</f>
        <v>0.636067288263203</v>
      </c>
      <c r="E1637" s="45" t="n">
        <f aca="false">ROUND(C1637*D1637,0)</f>
        <v>348053</v>
      </c>
      <c r="F1637" s="47" t="n">
        <f aca="false">MIN(1,'Model Inputs &amp; Assumptions'!$W$31*EXP('Model Inputs &amp; Assumptions'!$X$31*R1637-'Model Inputs &amp; Assumptions'!$X$31^2/2))</f>
        <v>0.00634992722642934</v>
      </c>
      <c r="G1637" s="45" t="n">
        <f aca="false">ROUND(C1637*F1637,0)</f>
        <v>3475</v>
      </c>
      <c r="H1637" s="48" t="n">
        <f aca="false">MAX(0,(C1637*'Model Inputs &amp; Assumptions'!$N$31+E1637*'Model Inputs &amp; Assumptions'!$O$31+G1637*'Model Inputs &amp; Assumptions'!$P$31)*EXP('Model Inputs &amp; Assumptions'!$Q$31*S1637-'Model Inputs &amp; Assumptions'!$Q$31^2/2))</f>
        <v>157.775866702187</v>
      </c>
      <c r="I1637" s="49" t="n">
        <f aca="false">IF('Model Inputs &amp; Assumptions'!$H$31="Fixed",'Model Inputs &amp; Assumptions'!$I$31*'Model Inputs &amp; Assumptions'!$K$31,IF('Model Inputs &amp; Assumptions'!$H$31="CPM",'Model Inputs &amp; Assumptions'!$I$31*'Model Inputs &amp; Assumptions'!$K$31*C1637/1000,IF('Model Inputs &amp; Assumptions'!$H$31="CPC",'Model Inputs &amp; Assumptions'!$I$31*'Model Inputs &amp; Assumptions'!$K$31*G1637,0)))</f>
        <v>6208.485816</v>
      </c>
      <c r="J1637" s="50" t="n">
        <f aca="false">H1637*INDEX('Model Inputs &amp; Assumptions'!$D$40:$D$42,MATCH('Model Inputs &amp; Assumptions'!$L$31,'Model Inputs &amp; Assumptions'!$A$40:$A$42,0))*INDEX('Model Inputs &amp; Assumptions'!$H$40:$H$42,MATCH('Model Inputs &amp; Assumptions'!$L$31,'Model Inputs &amp; Assumptions'!$A$40:$A$42,0))</f>
        <v>1135986.24025575</v>
      </c>
      <c r="K1637" s="49" t="n">
        <f aca="false">H1637*INDEX('Model Inputs &amp; Assumptions'!$G$40:$G$42,MATCH('Model Inputs &amp; Assumptions'!$L$31,'Model Inputs &amp; Assumptions'!$A$40:$A$42,0))*INDEX('Model Inputs &amp; Assumptions'!$H$40:$H$42,MATCH('Model Inputs &amp; Assumptions'!$L$31,'Model Inputs &amp; Assumptions'!$A$40:$A$42,0))</f>
        <v>25048.4965976392</v>
      </c>
      <c r="L1637" s="51" t="n">
        <f aca="false">IFERROR(K1637/I1637,0)</f>
        <v>4.03455807744398</v>
      </c>
      <c r="M1637" s="49" t="n">
        <f aca="false">IFERROR(I1637/H1637,0)</f>
        <v>39.3500346140957</v>
      </c>
      <c r="N1637" s="52" t="str">
        <f aca="false">'Model Inputs &amp; Assumptions'!$L$31</f>
        <v>PRD-USIQ</v>
      </c>
      <c r="P1637" s="53" t="n">
        <v>0.607931</v>
      </c>
      <c r="Q1637" s="53" t="n">
        <v>0.607013</v>
      </c>
      <c r="R1637" s="53" t="n">
        <v>1.115856</v>
      </c>
      <c r="S1637" s="53" t="n">
        <v>2.116524</v>
      </c>
    </row>
    <row r="1638" customFormat="false" ht="15" hidden="false" customHeight="false" outlineLevel="0" collapsed="false">
      <c r="A1638" s="43" t="n">
        <v>135</v>
      </c>
      <c r="B1638" s="44" t="str">
        <f aca="false">'Model Inputs &amp; Assumptions'!$B$31</f>
        <v>YouTube — Finfluencer Pre-roll</v>
      </c>
      <c r="C1638" s="45" t="n">
        <f aca="false">ROUND(MAX(0,'Model Inputs &amp; Assumptions'!$S$31*EXP('Model Inputs &amp; Assumptions'!$T$31*P1638-'Model Inputs &amp; Assumptions'!$T$31^2/2)),0)</f>
        <v>287097</v>
      </c>
      <c r="D1638" s="46" t="n">
        <f aca="false">MIN(1,'Model Inputs &amp; Assumptions'!$U$31*EXP('Model Inputs &amp; Assumptions'!$V$31*Q1638-'Model Inputs &amp; Assumptions'!$V$31^2/2))</f>
        <v>0.701978261414108</v>
      </c>
      <c r="E1638" s="45" t="n">
        <f aca="false">ROUND(C1638*D1638,0)</f>
        <v>201536</v>
      </c>
      <c r="F1638" s="47" t="n">
        <f aca="false">MIN(1,'Model Inputs &amp; Assumptions'!$W$31*EXP('Model Inputs &amp; Assumptions'!$X$31*R1638-'Model Inputs &amp; Assumptions'!$X$31^2/2))</f>
        <v>0.00656521247755824</v>
      </c>
      <c r="G1638" s="45" t="n">
        <f aca="false">ROUND(C1638*F1638,0)</f>
        <v>1885</v>
      </c>
      <c r="H1638" s="48" t="n">
        <f aca="false">MAX(0,(C1638*'Model Inputs &amp; Assumptions'!$N$31+E1638*'Model Inputs &amp; Assumptions'!$O$31+G1638*'Model Inputs &amp; Assumptions'!$P$31)*EXP('Model Inputs &amp; Assumptions'!$Q$31*S1638-'Model Inputs &amp; Assumptions'!$Q$31^2/2))</f>
        <v>42.9794855039453</v>
      </c>
      <c r="I1638" s="49" t="n">
        <f aca="false">IF('Model Inputs &amp; Assumptions'!$H$31="Fixed",'Model Inputs &amp; Assumptions'!$I$31*'Model Inputs &amp; Assumptions'!$K$31,IF('Model Inputs &amp; Assumptions'!$H$31="CPM",'Model Inputs &amp; Assumptions'!$I$31*'Model Inputs &amp; Assumptions'!$K$31*C1638/1000,IF('Model Inputs &amp; Assumptions'!$H$31="CPC",'Model Inputs &amp; Assumptions'!$I$31*'Model Inputs &amp; Assumptions'!$K$31*G1638,0)))</f>
        <v>3257.402562</v>
      </c>
      <c r="J1638" s="50" t="n">
        <f aca="false">H1638*INDEX('Model Inputs &amp; Assumptions'!$D$40:$D$42,MATCH('Model Inputs &amp; Assumptions'!$L$31,'Model Inputs &amp; Assumptions'!$A$40:$A$42,0))*INDEX('Model Inputs &amp; Assumptions'!$H$40:$H$42,MATCH('Model Inputs &amp; Assumptions'!$L$31,'Model Inputs &amp; Assumptions'!$A$40:$A$42,0))</f>
        <v>309452.295628406</v>
      </c>
      <c r="K1638" s="49" t="n">
        <f aca="false">H1638*INDEX('Model Inputs &amp; Assumptions'!$G$40:$G$42,MATCH('Model Inputs &amp; Assumptions'!$L$31,'Model Inputs &amp; Assumptions'!$A$40:$A$42,0))*INDEX('Model Inputs &amp; Assumptions'!$H$40:$H$42,MATCH('Model Inputs &amp; Assumptions'!$L$31,'Model Inputs &amp; Assumptions'!$A$40:$A$42,0))</f>
        <v>6823.42311860636</v>
      </c>
      <c r="L1638" s="51" t="n">
        <f aca="false">IFERROR(K1638/I1638,0)</f>
        <v>2.09474358441496</v>
      </c>
      <c r="M1638" s="49" t="n">
        <f aca="false">IFERROR(I1638/H1638,0)</f>
        <v>75.7897058051331</v>
      </c>
      <c r="N1638" s="52" t="str">
        <f aca="false">'Model Inputs &amp; Assumptions'!$L$31</f>
        <v>PRD-USIQ</v>
      </c>
      <c r="P1638" s="53" t="n">
        <v>-1.695589</v>
      </c>
      <c r="Q1638" s="53" t="n">
        <v>1.311285</v>
      </c>
      <c r="R1638" s="53" t="n">
        <v>1.254779</v>
      </c>
      <c r="S1638" s="53" t="n">
        <v>0.082232</v>
      </c>
    </row>
    <row r="1639" customFormat="false" ht="15" hidden="false" customHeight="false" outlineLevel="0" collapsed="false">
      <c r="A1639" s="43" t="n">
        <v>136</v>
      </c>
      <c r="B1639" s="44" t="str">
        <f aca="false">'Model Inputs &amp; Assumptions'!$B$31</f>
        <v>YouTube — Finfluencer Pre-roll</v>
      </c>
      <c r="C1639" s="45" t="n">
        <f aca="false">ROUND(MAX(0,'Model Inputs &amp; Assumptions'!$S$31*EXP('Model Inputs &amp; Assumptions'!$T$31*P1639-'Model Inputs &amp; Assumptions'!$T$31^2/2)),0)</f>
        <v>204894</v>
      </c>
      <c r="D1639" s="46" t="n">
        <f aca="false">MIN(1,'Model Inputs &amp; Assumptions'!$U$31*EXP('Model Inputs &amp; Assumptions'!$V$31*Q1639-'Model Inputs &amp; Assumptions'!$V$31^2/2))</f>
        <v>0.453377257494261</v>
      </c>
      <c r="E1639" s="45" t="n">
        <f aca="false">ROUND(C1639*D1639,0)</f>
        <v>92894</v>
      </c>
      <c r="F1639" s="47" t="n">
        <f aca="false">MIN(1,'Model Inputs &amp; Assumptions'!$W$31*EXP('Model Inputs &amp; Assumptions'!$X$31*R1639-'Model Inputs &amp; Assumptions'!$X$31^2/2))</f>
        <v>0.0055848657377276</v>
      </c>
      <c r="G1639" s="45" t="n">
        <f aca="false">ROUND(C1639*F1639,0)</f>
        <v>1144</v>
      </c>
      <c r="H1639" s="48" t="n">
        <f aca="false">MAX(0,(C1639*'Model Inputs &amp; Assumptions'!$N$31+E1639*'Model Inputs &amp; Assumptions'!$O$31+G1639*'Model Inputs &amp; Assumptions'!$P$31)*EXP('Model Inputs &amp; Assumptions'!$Q$31*S1639-'Model Inputs &amp; Assumptions'!$Q$31^2/2))</f>
        <v>11.5420237970242</v>
      </c>
      <c r="I1639" s="49" t="n">
        <f aca="false">IF('Model Inputs &amp; Assumptions'!$H$31="Fixed",'Model Inputs &amp; Assumptions'!$I$31*'Model Inputs &amp; Assumptions'!$K$31,IF('Model Inputs &amp; Assumptions'!$H$31="CPM",'Model Inputs &amp; Assumptions'!$I$31*'Model Inputs &amp; Assumptions'!$K$31*C1639/1000,IF('Model Inputs &amp; Assumptions'!$H$31="CPC",'Model Inputs &amp; Assumptions'!$I$31*'Model Inputs &amp; Assumptions'!$K$31*G1639,0)))</f>
        <v>2324.727324</v>
      </c>
      <c r="J1639" s="50" t="n">
        <f aca="false">H1639*INDEX('Model Inputs &amp; Assumptions'!$D$40:$D$42,MATCH('Model Inputs &amp; Assumptions'!$L$31,'Model Inputs &amp; Assumptions'!$A$40:$A$42,0))*INDEX('Model Inputs &amp; Assumptions'!$H$40:$H$42,MATCH('Model Inputs &amp; Assumptions'!$L$31,'Model Inputs &amp; Assumptions'!$A$40:$A$42,0))</f>
        <v>83102.5713385743</v>
      </c>
      <c r="K1639" s="49" t="n">
        <f aca="false">H1639*INDEX('Model Inputs &amp; Assumptions'!$G$40:$G$42,MATCH('Model Inputs &amp; Assumptions'!$L$31,'Model Inputs &amp; Assumptions'!$A$40:$A$42,0))*INDEX('Model Inputs &amp; Assumptions'!$H$40:$H$42,MATCH('Model Inputs &amp; Assumptions'!$L$31,'Model Inputs &amp; Assumptions'!$A$40:$A$42,0))</f>
        <v>1832.41169801556</v>
      </c>
      <c r="L1639" s="51" t="n">
        <f aca="false">IFERROR(K1639/I1639,0)</f>
        <v>0.788226506867333</v>
      </c>
      <c r="M1639" s="49" t="n">
        <f aca="false">IFERROR(I1639/H1639,0)</f>
        <v>201.414185664681</v>
      </c>
      <c r="N1639" s="52" t="str">
        <f aca="false">'Model Inputs &amp; Assumptions'!$L$31</f>
        <v>PRD-USIQ</v>
      </c>
      <c r="P1639" s="53" t="n">
        <v>-2.900341</v>
      </c>
      <c r="Q1639" s="53" t="n">
        <v>-1.811414</v>
      </c>
      <c r="R1639" s="53" t="n">
        <v>0.580927</v>
      </c>
      <c r="S1639" s="53" t="n">
        <v>-1.986163</v>
      </c>
    </row>
    <row r="1640" customFormat="false" ht="15" hidden="false" customHeight="false" outlineLevel="0" collapsed="false">
      <c r="A1640" s="43" t="n">
        <v>137</v>
      </c>
      <c r="B1640" s="44" t="str">
        <f aca="false">'Model Inputs &amp; Assumptions'!$B$31</f>
        <v>YouTube — Finfluencer Pre-roll</v>
      </c>
      <c r="C1640" s="45" t="n">
        <f aca="false">ROUND(MAX(0,'Model Inputs &amp; Assumptions'!$S$31*EXP('Model Inputs &amp; Assumptions'!$T$31*P1640-'Model Inputs &amp; Assumptions'!$T$31^2/2)),0)</f>
        <v>520656</v>
      </c>
      <c r="D1640" s="46" t="n">
        <f aca="false">MIN(1,'Model Inputs &amp; Assumptions'!$U$31*EXP('Model Inputs &amp; Assumptions'!$V$31*Q1640-'Model Inputs &amp; Assumptions'!$V$31^2/2))</f>
        <v>0.460842150159989</v>
      </c>
      <c r="E1640" s="45" t="n">
        <f aca="false">ROUND(C1640*D1640,0)</f>
        <v>239940</v>
      </c>
      <c r="F1640" s="47" t="n">
        <f aca="false">MIN(1,'Model Inputs &amp; Assumptions'!$W$31*EXP('Model Inputs &amp; Assumptions'!$X$31*R1640-'Model Inputs &amp; Assumptions'!$X$31^2/2))</f>
        <v>0.00491842595973764</v>
      </c>
      <c r="G1640" s="45" t="n">
        <f aca="false">ROUND(C1640*F1640,0)</f>
        <v>2561</v>
      </c>
      <c r="H1640" s="48" t="n">
        <f aca="false">MAX(0,(C1640*'Model Inputs &amp; Assumptions'!$N$31+E1640*'Model Inputs &amp; Assumptions'!$O$31+G1640*'Model Inputs &amp; Assumptions'!$P$31)*EXP('Model Inputs &amp; Assumptions'!$Q$31*S1640-'Model Inputs &amp; Assumptions'!$Q$31^2/2))</f>
        <v>56.7923784983996</v>
      </c>
      <c r="I1640" s="49" t="n">
        <f aca="false">IF('Model Inputs &amp; Assumptions'!$H$31="Fixed",'Model Inputs &amp; Assumptions'!$I$31*'Model Inputs &amp; Assumptions'!$K$31,IF('Model Inputs &amp; Assumptions'!$H$31="CPM",'Model Inputs &amp; Assumptions'!$I$31*'Model Inputs &amp; Assumptions'!$K$31*C1640/1000,IF('Model Inputs &amp; Assumptions'!$H$31="CPC",'Model Inputs &amp; Assumptions'!$I$31*'Model Inputs &amp; Assumptions'!$K$31*G1640,0)))</f>
        <v>5907.362976</v>
      </c>
      <c r="J1640" s="50" t="n">
        <f aca="false">H1640*INDEX('Model Inputs &amp; Assumptions'!$D$40:$D$42,MATCH('Model Inputs &amp; Assumptions'!$L$31,'Model Inputs &amp; Assumptions'!$A$40:$A$42,0))*INDEX('Model Inputs &amp; Assumptions'!$H$40:$H$42,MATCH('Model Inputs &amp; Assumptions'!$L$31,'Model Inputs &amp; Assumptions'!$A$40:$A$42,0))</f>
        <v>408905.125188477</v>
      </c>
      <c r="K1640" s="49" t="n">
        <f aca="false">H1640*INDEX('Model Inputs &amp; Assumptions'!$G$40:$G$42,MATCH('Model Inputs &amp; Assumptions'!$L$31,'Model Inputs &amp; Assumptions'!$A$40:$A$42,0))*INDEX('Model Inputs &amp; Assumptions'!$H$40:$H$42,MATCH('Model Inputs &amp; Assumptions'!$L$31,'Model Inputs &amp; Assumptions'!$A$40:$A$42,0))</f>
        <v>9016.35801040592</v>
      </c>
      <c r="L1640" s="51" t="n">
        <f aca="false">IFERROR(K1640/I1640,0)</f>
        <v>1.52629151908168</v>
      </c>
      <c r="M1640" s="49" t="n">
        <f aca="false">IFERROR(I1640/H1640,0)</f>
        <v>104.016826415651</v>
      </c>
      <c r="N1640" s="52" t="str">
        <f aca="false">'Model Inputs &amp; Assumptions'!$L$31</f>
        <v>PRD-USIQ</v>
      </c>
      <c r="P1640" s="53" t="n">
        <v>0.430367</v>
      </c>
      <c r="Q1640" s="53" t="n">
        <v>-1.694764</v>
      </c>
      <c r="R1640" s="53" t="n">
        <v>0.051461</v>
      </c>
      <c r="S1640" s="53" t="n">
        <v>0.13415</v>
      </c>
    </row>
    <row r="1641" customFormat="false" ht="15" hidden="false" customHeight="false" outlineLevel="0" collapsed="false">
      <c r="A1641" s="43" t="n">
        <v>138</v>
      </c>
      <c r="B1641" s="44" t="str">
        <f aca="false">'Model Inputs &amp; Assumptions'!$B$31</f>
        <v>YouTube — Finfluencer Pre-roll</v>
      </c>
      <c r="C1641" s="45" t="n">
        <f aca="false">ROUND(MAX(0,'Model Inputs &amp; Assumptions'!$S$31*EXP('Model Inputs &amp; Assumptions'!$T$31*P1641-'Model Inputs &amp; Assumptions'!$T$31^2/2)),0)</f>
        <v>483060</v>
      </c>
      <c r="D1641" s="46" t="n">
        <f aca="false">MIN(1,'Model Inputs &amp; Assumptions'!$U$31*EXP('Model Inputs &amp; Assumptions'!$V$31*Q1641-'Model Inputs &amp; Assumptions'!$V$31^2/2))</f>
        <v>0.624460924592705</v>
      </c>
      <c r="E1641" s="45" t="n">
        <f aca="false">ROUND(C1641*D1641,0)</f>
        <v>301652</v>
      </c>
      <c r="F1641" s="47" t="n">
        <f aca="false">MIN(1,'Model Inputs &amp; Assumptions'!$W$31*EXP('Model Inputs &amp; Assumptions'!$X$31*R1641-'Model Inputs &amp; Assumptions'!$X$31^2/2))</f>
        <v>0.00501171369968367</v>
      </c>
      <c r="G1641" s="45" t="n">
        <f aca="false">ROUND(C1641*F1641,0)</f>
        <v>2421</v>
      </c>
      <c r="H1641" s="48" t="n">
        <f aca="false">MAX(0,(C1641*'Model Inputs &amp; Assumptions'!$N$31+E1641*'Model Inputs &amp; Assumptions'!$O$31+G1641*'Model Inputs &amp; Assumptions'!$P$31)*EXP('Model Inputs &amp; Assumptions'!$Q$31*S1641-'Model Inputs &amp; Assumptions'!$Q$31^2/2))</f>
        <v>42.1611653500429</v>
      </c>
      <c r="I1641" s="49" t="n">
        <f aca="false">IF('Model Inputs &amp; Assumptions'!$H$31="Fixed",'Model Inputs &amp; Assumptions'!$I$31*'Model Inputs &amp; Assumptions'!$K$31,IF('Model Inputs &amp; Assumptions'!$H$31="CPM",'Model Inputs &amp; Assumptions'!$I$31*'Model Inputs &amp; Assumptions'!$K$31*C1641/1000,IF('Model Inputs &amp; Assumptions'!$H$31="CPC",'Model Inputs &amp; Assumptions'!$I$31*'Model Inputs &amp; Assumptions'!$K$31*G1641,0)))</f>
        <v>5480.79876</v>
      </c>
      <c r="J1641" s="50" t="n">
        <f aca="false">H1641*INDEX('Model Inputs &amp; Assumptions'!$D$40:$D$42,MATCH('Model Inputs &amp; Assumptions'!$L$31,'Model Inputs &amp; Assumptions'!$A$40:$A$42,0))*INDEX('Model Inputs &amp; Assumptions'!$H$40:$H$42,MATCH('Model Inputs &amp; Assumptions'!$L$31,'Model Inputs &amp; Assumptions'!$A$40:$A$42,0))</f>
        <v>303560.390520309</v>
      </c>
      <c r="K1641" s="49" t="n">
        <f aca="false">H1641*INDEX('Model Inputs &amp; Assumptions'!$G$40:$G$42,MATCH('Model Inputs &amp; Assumptions'!$L$31,'Model Inputs &amp; Assumptions'!$A$40:$A$42,0))*INDEX('Model Inputs &amp; Assumptions'!$H$40:$H$42,MATCH('Model Inputs &amp; Assumptions'!$L$31,'Model Inputs &amp; Assumptions'!$A$40:$A$42,0))</f>
        <v>6693.50661097281</v>
      </c>
      <c r="L1641" s="51" t="n">
        <f aca="false">IFERROR(K1641/I1641,0)</f>
        <v>1.22126480173354</v>
      </c>
      <c r="M1641" s="49" t="n">
        <f aca="false">IFERROR(I1641/H1641,0)</f>
        <v>129.996377341463</v>
      </c>
      <c r="N1641" s="52" t="str">
        <f aca="false">'Model Inputs &amp; Assumptions'!$L$31</f>
        <v>PRD-USIQ</v>
      </c>
      <c r="P1641" s="53" t="n">
        <v>0.162698</v>
      </c>
      <c r="Q1641" s="53" t="n">
        <v>0.475473</v>
      </c>
      <c r="R1641" s="53" t="n">
        <v>0.12975</v>
      </c>
      <c r="S1641" s="53" t="n">
        <v>-0.854343</v>
      </c>
    </row>
    <row r="1642" customFormat="false" ht="15" hidden="false" customHeight="false" outlineLevel="0" collapsed="false">
      <c r="A1642" s="43" t="n">
        <v>139</v>
      </c>
      <c r="B1642" s="44" t="str">
        <f aca="false">'Model Inputs &amp; Assumptions'!$B$31</f>
        <v>YouTube — Finfluencer Pre-roll</v>
      </c>
      <c r="C1642" s="45" t="n">
        <f aca="false">ROUND(MAX(0,'Model Inputs &amp; Assumptions'!$S$31*EXP('Model Inputs &amp; Assumptions'!$T$31*P1642-'Model Inputs &amp; Assumptions'!$T$31^2/2)),0)</f>
        <v>416355</v>
      </c>
      <c r="D1642" s="46" t="n">
        <f aca="false">MIN(1,'Model Inputs &amp; Assumptions'!$U$31*EXP('Model Inputs &amp; Assumptions'!$V$31*Q1642-'Model Inputs &amp; Assumptions'!$V$31^2/2))</f>
        <v>0.597659394280644</v>
      </c>
      <c r="E1642" s="45" t="n">
        <f aca="false">ROUND(C1642*D1642,0)</f>
        <v>248838</v>
      </c>
      <c r="F1642" s="47" t="n">
        <f aca="false">MIN(1,'Model Inputs &amp; Assumptions'!$W$31*EXP('Model Inputs &amp; Assumptions'!$X$31*R1642-'Model Inputs &amp; Assumptions'!$X$31^2/2))</f>
        <v>0.00417665276755437</v>
      </c>
      <c r="G1642" s="45" t="n">
        <f aca="false">ROUND(C1642*F1642,0)</f>
        <v>1739</v>
      </c>
      <c r="H1642" s="48" t="n">
        <f aca="false">MAX(0,(C1642*'Model Inputs &amp; Assumptions'!$N$31+E1642*'Model Inputs &amp; Assumptions'!$O$31+G1642*'Model Inputs &amp; Assumptions'!$P$31)*EXP('Model Inputs &amp; Assumptions'!$Q$31*S1642-'Model Inputs &amp; Assumptions'!$Q$31^2/2))</f>
        <v>56.7937502030697</v>
      </c>
      <c r="I1642" s="49" t="n">
        <f aca="false">IF('Model Inputs &amp; Assumptions'!$H$31="Fixed",'Model Inputs &amp; Assumptions'!$I$31*'Model Inputs &amp; Assumptions'!$K$31,IF('Model Inputs &amp; Assumptions'!$H$31="CPM",'Model Inputs &amp; Assumptions'!$I$31*'Model Inputs &amp; Assumptions'!$K$31*C1642/1000,IF('Model Inputs &amp; Assumptions'!$H$31="CPC",'Model Inputs &amp; Assumptions'!$I$31*'Model Inputs &amp; Assumptions'!$K$31*G1642,0)))</f>
        <v>4723.96383</v>
      </c>
      <c r="J1642" s="50" t="n">
        <f aca="false">H1642*INDEX('Model Inputs &amp; Assumptions'!$D$40:$D$42,MATCH('Model Inputs &amp; Assumptions'!$L$31,'Model Inputs &amp; Assumptions'!$A$40:$A$42,0))*INDEX('Model Inputs &amp; Assumptions'!$H$40:$H$42,MATCH('Model Inputs &amp; Assumptions'!$L$31,'Model Inputs &amp; Assumptions'!$A$40:$A$42,0))</f>
        <v>408915.001462102</v>
      </c>
      <c r="K1642" s="49" t="n">
        <f aca="false">H1642*INDEX('Model Inputs &amp; Assumptions'!$G$40:$G$42,MATCH('Model Inputs &amp; Assumptions'!$L$31,'Model Inputs &amp; Assumptions'!$A$40:$A$42,0))*INDEX('Model Inputs &amp; Assumptions'!$H$40:$H$42,MATCH('Model Inputs &amp; Assumptions'!$L$31,'Model Inputs &amp; Assumptions'!$A$40:$A$42,0))</f>
        <v>9016.57578223934</v>
      </c>
      <c r="L1642" s="51" t="n">
        <f aca="false">IFERROR(K1642/I1642,0)</f>
        <v>1.90868857313824</v>
      </c>
      <c r="M1642" s="49" t="n">
        <f aca="false">IFERROR(I1642/H1642,0)</f>
        <v>83.1775294483841</v>
      </c>
      <c r="N1642" s="52" t="str">
        <f aca="false">'Model Inputs &amp; Assumptions'!$L$31</f>
        <v>PRD-USIQ</v>
      </c>
      <c r="P1642" s="53" t="n">
        <v>-0.368032</v>
      </c>
      <c r="Q1642" s="53" t="n">
        <v>0.162132</v>
      </c>
      <c r="R1642" s="53" t="n">
        <v>-0.629699</v>
      </c>
      <c r="S1642" s="53" t="n">
        <v>0.777737</v>
      </c>
    </row>
    <row r="1643" customFormat="false" ht="15" hidden="false" customHeight="false" outlineLevel="0" collapsed="false">
      <c r="A1643" s="43" t="n">
        <v>140</v>
      </c>
      <c r="B1643" s="44" t="str">
        <f aca="false">'Model Inputs &amp; Assumptions'!$B$31</f>
        <v>YouTube — Finfluencer Pre-roll</v>
      </c>
      <c r="C1643" s="45" t="n">
        <f aca="false">ROUND(MAX(0,'Model Inputs &amp; Assumptions'!$S$31*EXP('Model Inputs &amp; Assumptions'!$T$31*P1643-'Model Inputs &amp; Assumptions'!$T$31^2/2)),0)</f>
        <v>504549</v>
      </c>
      <c r="D1643" s="46" t="n">
        <f aca="false">MIN(1,'Model Inputs &amp; Assumptions'!$U$31*EXP('Model Inputs &amp; Assumptions'!$V$31*Q1643-'Model Inputs &amp; Assumptions'!$V$31^2/2))</f>
        <v>0.444174630436691</v>
      </c>
      <c r="E1643" s="45" t="n">
        <f aca="false">ROUND(C1643*D1643,0)</f>
        <v>224108</v>
      </c>
      <c r="F1643" s="47" t="n">
        <f aca="false">MIN(1,'Model Inputs &amp; Assumptions'!$W$31*EXP('Model Inputs &amp; Assumptions'!$X$31*R1643-'Model Inputs &amp; Assumptions'!$X$31^2/2))</f>
        <v>0.00548981014213346</v>
      </c>
      <c r="G1643" s="45" t="n">
        <f aca="false">ROUND(C1643*F1643,0)</f>
        <v>2770</v>
      </c>
      <c r="H1643" s="48" t="n">
        <f aca="false">MAX(0,(C1643*'Model Inputs &amp; Assumptions'!$N$31+E1643*'Model Inputs &amp; Assumptions'!$O$31+G1643*'Model Inputs &amp; Assumptions'!$P$31)*EXP('Model Inputs &amp; Assumptions'!$Q$31*S1643-'Model Inputs &amp; Assumptions'!$Q$31^2/2))</f>
        <v>35.5020789416045</v>
      </c>
      <c r="I1643" s="49" t="n">
        <f aca="false">IF('Model Inputs &amp; Assumptions'!$H$31="Fixed",'Model Inputs &amp; Assumptions'!$I$31*'Model Inputs &amp; Assumptions'!$K$31,IF('Model Inputs &amp; Assumptions'!$H$31="CPM",'Model Inputs &amp; Assumptions'!$I$31*'Model Inputs &amp; Assumptions'!$K$31*C1643/1000,IF('Model Inputs &amp; Assumptions'!$H$31="CPC",'Model Inputs &amp; Assumptions'!$I$31*'Model Inputs &amp; Assumptions'!$K$31*G1643,0)))</f>
        <v>5724.612954</v>
      </c>
      <c r="J1643" s="50" t="n">
        <f aca="false">H1643*INDEX('Model Inputs &amp; Assumptions'!$D$40:$D$42,MATCH('Model Inputs &amp; Assumptions'!$L$31,'Model Inputs &amp; Assumptions'!$A$40:$A$42,0))*INDEX('Model Inputs &amp; Assumptions'!$H$40:$H$42,MATCH('Model Inputs &amp; Assumptions'!$L$31,'Model Inputs &amp; Assumptions'!$A$40:$A$42,0))</f>
        <v>255614.968379552</v>
      </c>
      <c r="K1643" s="49" t="n">
        <f aca="false">H1643*INDEX('Model Inputs &amp; Assumptions'!$G$40:$G$42,MATCH('Model Inputs &amp; Assumptions'!$L$31,'Model Inputs &amp; Assumptions'!$A$40:$A$42,0))*INDEX('Model Inputs &amp; Assumptions'!$H$40:$H$42,MATCH('Model Inputs &amp; Assumptions'!$L$31,'Model Inputs &amp; Assumptions'!$A$40:$A$42,0))</f>
        <v>5636.31005276913</v>
      </c>
      <c r="L1643" s="51" t="n">
        <f aca="false">IFERROR(K1643/I1643,0)</f>
        <v>0.984574869612945</v>
      </c>
      <c r="M1643" s="49" t="n">
        <f aca="false">IFERROR(I1643/H1643,0)</f>
        <v>161.247260010213</v>
      </c>
      <c r="N1643" s="52" t="str">
        <f aca="false">'Model Inputs &amp; Assumptions'!$L$31</f>
        <v>PRD-USIQ</v>
      </c>
      <c r="P1643" s="53" t="n">
        <v>0.318137</v>
      </c>
      <c r="Q1643" s="53" t="n">
        <v>-1.957891</v>
      </c>
      <c r="R1643" s="53" t="n">
        <v>0.509399</v>
      </c>
      <c r="S1643" s="53" t="n">
        <v>-1.29936</v>
      </c>
    </row>
    <row r="1644" customFormat="false" ht="15" hidden="false" customHeight="false" outlineLevel="0" collapsed="false">
      <c r="A1644" s="43" t="n">
        <v>141</v>
      </c>
      <c r="B1644" s="44" t="str">
        <f aca="false">'Model Inputs &amp; Assumptions'!$B$31</f>
        <v>YouTube — Finfluencer Pre-roll</v>
      </c>
      <c r="C1644" s="45" t="n">
        <f aca="false">ROUND(MAX(0,'Model Inputs &amp; Assumptions'!$S$31*EXP('Model Inputs &amp; Assumptions'!$T$31*P1644-'Model Inputs &amp; Assumptions'!$T$31^2/2)),0)</f>
        <v>496824</v>
      </c>
      <c r="D1644" s="46" t="n">
        <f aca="false">MIN(1,'Model Inputs &amp; Assumptions'!$U$31*EXP('Model Inputs &amp; Assumptions'!$V$31*Q1644-'Model Inputs &amp; Assumptions'!$V$31^2/2))</f>
        <v>0.596967908236354</v>
      </c>
      <c r="E1644" s="45" t="n">
        <f aca="false">ROUND(C1644*D1644,0)</f>
        <v>296588</v>
      </c>
      <c r="F1644" s="47" t="n">
        <f aca="false">MIN(1,'Model Inputs &amp; Assumptions'!$W$31*EXP('Model Inputs &amp; Assumptions'!$X$31*R1644-'Model Inputs &amp; Assumptions'!$X$31^2/2))</f>
        <v>0.00455570836541912</v>
      </c>
      <c r="G1644" s="45" t="n">
        <f aca="false">ROUND(C1644*F1644,0)</f>
        <v>2263</v>
      </c>
      <c r="H1644" s="48" t="n">
        <f aca="false">MAX(0,(C1644*'Model Inputs &amp; Assumptions'!$N$31+E1644*'Model Inputs &amp; Assumptions'!$O$31+G1644*'Model Inputs &amp; Assumptions'!$P$31)*EXP('Model Inputs &amp; Assumptions'!$Q$31*S1644-'Model Inputs &amp; Assumptions'!$Q$31^2/2))</f>
        <v>47.5083117849822</v>
      </c>
      <c r="I1644" s="49" t="n">
        <f aca="false">IF('Model Inputs &amp; Assumptions'!$H$31="Fixed",'Model Inputs &amp; Assumptions'!$I$31*'Model Inputs &amp; Assumptions'!$K$31,IF('Model Inputs &amp; Assumptions'!$H$31="CPM",'Model Inputs &amp; Assumptions'!$I$31*'Model Inputs &amp; Assumptions'!$K$31*C1644/1000,IF('Model Inputs &amp; Assumptions'!$H$31="CPC",'Model Inputs &amp; Assumptions'!$I$31*'Model Inputs &amp; Assumptions'!$K$31*G1644,0)))</f>
        <v>5636.965104</v>
      </c>
      <c r="J1644" s="50" t="n">
        <f aca="false">H1644*INDEX('Model Inputs &amp; Assumptions'!$D$40:$D$42,MATCH('Model Inputs &amp; Assumptions'!$L$31,'Model Inputs &amp; Assumptions'!$A$40:$A$42,0))*INDEX('Model Inputs &amp; Assumptions'!$H$40:$H$42,MATCH('Model Inputs &amp; Assumptions'!$L$31,'Model Inputs &amp; Assumptions'!$A$40:$A$42,0))</f>
        <v>342059.844851872</v>
      </c>
      <c r="K1644" s="49" t="n">
        <f aca="false">H1644*INDEX('Model Inputs &amp; Assumptions'!$G$40:$G$42,MATCH('Model Inputs &amp; Assumptions'!$L$31,'Model Inputs &amp; Assumptions'!$A$40:$A$42,0))*INDEX('Model Inputs &amp; Assumptions'!$H$40:$H$42,MATCH('Model Inputs &amp; Assumptions'!$L$31,'Model Inputs &amp; Assumptions'!$A$40:$A$42,0))</f>
        <v>7542.41957898378</v>
      </c>
      <c r="L1644" s="51" t="n">
        <f aca="false">IFERROR(K1644/I1644,0)</f>
        <v>1.33802843193613</v>
      </c>
      <c r="M1644" s="49" t="n">
        <f aca="false">IFERROR(I1644/H1644,0)</f>
        <v>118.652187211205</v>
      </c>
      <c r="N1644" s="52" t="str">
        <f aca="false">'Model Inputs &amp; Assumptions'!$L$31</f>
        <v>PRD-USIQ</v>
      </c>
      <c r="P1644" s="53" t="n">
        <v>0.263035</v>
      </c>
      <c r="Q1644" s="53" t="n">
        <v>0.153863</v>
      </c>
      <c r="R1644" s="53" t="n">
        <v>-0.267737</v>
      </c>
      <c r="S1644" s="53" t="n">
        <v>-0.378908</v>
      </c>
    </row>
    <row r="1645" customFormat="false" ht="15" hidden="false" customHeight="false" outlineLevel="0" collapsed="false">
      <c r="A1645" s="43" t="n">
        <v>142</v>
      </c>
      <c r="B1645" s="44" t="str">
        <f aca="false">'Model Inputs &amp; Assumptions'!$B$31</f>
        <v>YouTube — Finfluencer Pre-roll</v>
      </c>
      <c r="C1645" s="45" t="n">
        <f aca="false">ROUND(MAX(0,'Model Inputs &amp; Assumptions'!$S$31*EXP('Model Inputs &amp; Assumptions'!$T$31*P1645-'Model Inputs &amp; Assumptions'!$T$31^2/2)),0)</f>
        <v>529911</v>
      </c>
      <c r="D1645" s="46" t="n">
        <f aca="false">MIN(1,'Model Inputs &amp; Assumptions'!$U$31*EXP('Model Inputs &amp; Assumptions'!$V$31*Q1645-'Model Inputs &amp; Assumptions'!$V$31^2/2))</f>
        <v>0.725546233652636</v>
      </c>
      <c r="E1645" s="45" t="n">
        <f aca="false">ROUND(C1645*D1645,0)</f>
        <v>384475</v>
      </c>
      <c r="F1645" s="47" t="n">
        <f aca="false">MIN(1,'Model Inputs &amp; Assumptions'!$W$31*EXP('Model Inputs &amp; Assumptions'!$X$31*R1645-'Model Inputs &amp; Assumptions'!$X$31^2/2))</f>
        <v>0.00544234738522856</v>
      </c>
      <c r="G1645" s="45" t="n">
        <f aca="false">ROUND(C1645*F1645,0)</f>
        <v>2884</v>
      </c>
      <c r="H1645" s="48" t="n">
        <f aca="false">MAX(0,(C1645*'Model Inputs &amp; Assumptions'!$N$31+E1645*'Model Inputs &amp; Assumptions'!$O$31+G1645*'Model Inputs &amp; Assumptions'!$P$31)*EXP('Model Inputs &amp; Assumptions'!$Q$31*S1645-'Model Inputs &amp; Assumptions'!$Q$31^2/2))</f>
        <v>38.9672230000238</v>
      </c>
      <c r="I1645" s="49" t="n">
        <f aca="false">IF('Model Inputs &amp; Assumptions'!$H$31="Fixed",'Model Inputs &amp; Assumptions'!$I$31*'Model Inputs &amp; Assumptions'!$K$31,IF('Model Inputs &amp; Assumptions'!$H$31="CPM",'Model Inputs &amp; Assumptions'!$I$31*'Model Inputs &amp; Assumptions'!$K$31*C1645/1000,IF('Model Inputs &amp; Assumptions'!$H$31="CPC",'Model Inputs &amp; Assumptions'!$I$31*'Model Inputs &amp; Assumptions'!$K$31*G1645,0)))</f>
        <v>6012.370206</v>
      </c>
      <c r="J1645" s="50" t="n">
        <f aca="false">H1645*INDEX('Model Inputs &amp; Assumptions'!$D$40:$D$42,MATCH('Model Inputs &amp; Assumptions'!$L$31,'Model Inputs &amp; Assumptions'!$A$40:$A$42,0))*INDEX('Model Inputs &amp; Assumptions'!$H$40:$H$42,MATCH('Model Inputs &amp; Assumptions'!$L$31,'Model Inputs &amp; Assumptions'!$A$40:$A$42,0))</f>
        <v>280564.005600171</v>
      </c>
      <c r="K1645" s="49" t="n">
        <f aca="false">H1645*INDEX('Model Inputs &amp; Assumptions'!$G$40:$G$42,MATCH('Model Inputs &amp; Assumptions'!$L$31,'Model Inputs &amp; Assumptions'!$A$40:$A$42,0))*INDEX('Model Inputs &amp; Assumptions'!$H$40:$H$42,MATCH('Model Inputs &amp; Assumptions'!$L$31,'Model Inputs &amp; Assumptions'!$A$40:$A$42,0))</f>
        <v>6186.43632348378</v>
      </c>
      <c r="L1645" s="51" t="n">
        <f aca="false">IFERROR(K1645/I1645,0)</f>
        <v>1.02895133059339</v>
      </c>
      <c r="M1645" s="49" t="n">
        <f aca="false">IFERROR(I1645/H1645,0)</f>
        <v>154.2930120013</v>
      </c>
      <c r="N1645" s="52" t="str">
        <f aca="false">'Model Inputs &amp; Assumptions'!$L$31</f>
        <v>PRD-USIQ</v>
      </c>
      <c r="P1645" s="53" t="n">
        <v>0.493297</v>
      </c>
      <c r="Q1645" s="53" t="n">
        <v>1.547159</v>
      </c>
      <c r="R1645" s="53" t="n">
        <v>0.473219</v>
      </c>
      <c r="S1645" s="53" t="n">
        <v>-1.658107</v>
      </c>
    </row>
    <row r="1646" customFormat="false" ht="15" hidden="false" customHeight="false" outlineLevel="0" collapsed="false">
      <c r="A1646" s="43" t="n">
        <v>143</v>
      </c>
      <c r="B1646" s="44" t="str">
        <f aca="false">'Model Inputs &amp; Assumptions'!$B$31</f>
        <v>YouTube — Finfluencer Pre-roll</v>
      </c>
      <c r="C1646" s="45" t="n">
        <f aca="false">ROUND(MAX(0,'Model Inputs &amp; Assumptions'!$S$31*EXP('Model Inputs &amp; Assumptions'!$T$31*P1646-'Model Inputs &amp; Assumptions'!$T$31^2/2)),0)</f>
        <v>452610</v>
      </c>
      <c r="D1646" s="46" t="n">
        <f aca="false">MIN(1,'Model Inputs &amp; Assumptions'!$U$31*EXP('Model Inputs &amp; Assumptions'!$V$31*Q1646-'Model Inputs &amp; Assumptions'!$V$31^2/2))</f>
        <v>0.615273027779431</v>
      </c>
      <c r="E1646" s="45" t="n">
        <f aca="false">ROUND(C1646*D1646,0)</f>
        <v>278479</v>
      </c>
      <c r="F1646" s="47" t="n">
        <f aca="false">MIN(1,'Model Inputs &amp; Assumptions'!$W$31*EXP('Model Inputs &amp; Assumptions'!$X$31*R1646-'Model Inputs &amp; Assumptions'!$X$31^2/2))</f>
        <v>0.00520028001114173</v>
      </c>
      <c r="G1646" s="45" t="n">
        <f aca="false">ROUND(C1646*F1646,0)</f>
        <v>2354</v>
      </c>
      <c r="H1646" s="48" t="n">
        <f aca="false">MAX(0,(C1646*'Model Inputs &amp; Assumptions'!$N$31+E1646*'Model Inputs &amp; Assumptions'!$O$31+G1646*'Model Inputs &amp; Assumptions'!$P$31)*EXP('Model Inputs &amp; Assumptions'!$Q$31*S1646-'Model Inputs &amp; Assumptions'!$Q$31^2/2))</f>
        <v>62.436661030021</v>
      </c>
      <c r="I1646" s="49" t="n">
        <f aca="false">IF('Model Inputs &amp; Assumptions'!$H$31="Fixed",'Model Inputs &amp; Assumptions'!$I$31*'Model Inputs &amp; Assumptions'!$K$31,IF('Model Inputs &amp; Assumptions'!$H$31="CPM",'Model Inputs &amp; Assumptions'!$I$31*'Model Inputs &amp; Assumptions'!$K$31*C1646/1000,IF('Model Inputs &amp; Assumptions'!$H$31="CPC",'Model Inputs &amp; Assumptions'!$I$31*'Model Inputs &amp; Assumptions'!$K$31*G1646,0)))</f>
        <v>5135.31306</v>
      </c>
      <c r="J1646" s="50" t="n">
        <f aca="false">H1646*INDEX('Model Inputs &amp; Assumptions'!$D$40:$D$42,MATCH('Model Inputs &amp; Assumptions'!$L$31,'Model Inputs &amp; Assumptions'!$A$40:$A$42,0))*INDEX('Model Inputs &amp; Assumptions'!$H$40:$H$42,MATCH('Model Inputs &amp; Assumptions'!$L$31,'Model Inputs &amp; Assumptions'!$A$40:$A$42,0))</f>
        <v>449543.959416151</v>
      </c>
      <c r="K1646" s="49" t="n">
        <f aca="false">H1646*INDEX('Model Inputs &amp; Assumptions'!$G$40:$G$42,MATCH('Model Inputs &amp; Assumptions'!$L$31,'Model Inputs &amp; Assumptions'!$A$40:$A$42,0))*INDEX('Model Inputs &amp; Assumptions'!$H$40:$H$42,MATCH('Model Inputs &amp; Assumptions'!$L$31,'Model Inputs &amp; Assumptions'!$A$40:$A$42,0))</f>
        <v>9912.44430512613</v>
      </c>
      <c r="L1646" s="51" t="n">
        <f aca="false">IFERROR(K1646/I1646,0)</f>
        <v>1.93025122116433</v>
      </c>
      <c r="M1646" s="49" t="n">
        <f aca="false">IFERROR(I1646/H1646,0)</f>
        <v>82.2483613838803</v>
      </c>
      <c r="N1646" s="52" t="str">
        <f aca="false">'Model Inputs &amp; Assumptions'!$L$31</f>
        <v>PRD-USIQ</v>
      </c>
      <c r="P1646" s="53" t="n">
        <v>-0.069838</v>
      </c>
      <c r="Q1646" s="53" t="n">
        <v>0.369597</v>
      </c>
      <c r="R1646" s="53" t="n">
        <v>0.283644</v>
      </c>
      <c r="S1646" s="53" t="n">
        <v>0.405951</v>
      </c>
    </row>
    <row r="1647" customFormat="false" ht="15" hidden="false" customHeight="false" outlineLevel="0" collapsed="false">
      <c r="A1647" s="43" t="n">
        <v>144</v>
      </c>
      <c r="B1647" s="44" t="str">
        <f aca="false">'Model Inputs &amp; Assumptions'!$B$31</f>
        <v>YouTube — Finfluencer Pre-roll</v>
      </c>
      <c r="C1647" s="45" t="n">
        <f aca="false">ROUND(MAX(0,'Model Inputs &amp; Assumptions'!$S$31*EXP('Model Inputs &amp; Assumptions'!$T$31*P1647-'Model Inputs &amp; Assumptions'!$T$31^2/2)),0)</f>
        <v>472737</v>
      </c>
      <c r="D1647" s="46" t="n">
        <f aca="false">MIN(1,'Model Inputs &amp; Assumptions'!$U$31*EXP('Model Inputs &amp; Assumptions'!$V$31*Q1647-'Model Inputs &amp; Assumptions'!$V$31^2/2))</f>
        <v>0.556664595957956</v>
      </c>
      <c r="E1647" s="45" t="n">
        <f aca="false">ROUND(C1647*D1647,0)</f>
        <v>263156</v>
      </c>
      <c r="F1647" s="47" t="n">
        <f aca="false">MIN(1,'Model Inputs &amp; Assumptions'!$W$31*EXP('Model Inputs &amp; Assumptions'!$X$31*R1647-'Model Inputs &amp; Assumptions'!$X$31^2/2))</f>
        <v>0.00271262280733185</v>
      </c>
      <c r="G1647" s="45" t="n">
        <f aca="false">ROUND(C1647*F1647,0)</f>
        <v>1282</v>
      </c>
      <c r="H1647" s="48" t="n">
        <f aca="false">MAX(0,(C1647*'Model Inputs &amp; Assumptions'!$N$31+E1647*'Model Inputs &amp; Assumptions'!$O$31+G1647*'Model Inputs &amp; Assumptions'!$P$31)*EXP('Model Inputs &amp; Assumptions'!$Q$31*S1647-'Model Inputs &amp; Assumptions'!$Q$31^2/2))</f>
        <v>28.4648326994155</v>
      </c>
      <c r="I1647" s="49" t="n">
        <f aca="false">IF('Model Inputs &amp; Assumptions'!$H$31="Fixed",'Model Inputs &amp; Assumptions'!$I$31*'Model Inputs &amp; Assumptions'!$K$31,IF('Model Inputs &amp; Assumptions'!$H$31="CPM",'Model Inputs &amp; Assumptions'!$I$31*'Model Inputs &amp; Assumptions'!$K$31*C1647/1000,IF('Model Inputs &amp; Assumptions'!$H$31="CPC",'Model Inputs &amp; Assumptions'!$I$31*'Model Inputs &amp; Assumptions'!$K$31*G1647,0)))</f>
        <v>5363.674002</v>
      </c>
      <c r="J1647" s="50" t="n">
        <f aca="false">H1647*INDEX('Model Inputs &amp; Assumptions'!$D$40:$D$42,MATCH('Model Inputs &amp; Assumptions'!$L$31,'Model Inputs &amp; Assumptions'!$A$40:$A$42,0))*INDEX('Model Inputs &amp; Assumptions'!$H$40:$H$42,MATCH('Model Inputs &amp; Assumptions'!$L$31,'Model Inputs &amp; Assumptions'!$A$40:$A$42,0))</f>
        <v>204946.795435792</v>
      </c>
      <c r="K1647" s="49" t="n">
        <f aca="false">H1647*INDEX('Model Inputs &amp; Assumptions'!$G$40:$G$42,MATCH('Model Inputs &amp; Assumptions'!$L$31,'Model Inputs &amp; Assumptions'!$A$40:$A$42,0))*INDEX('Model Inputs &amp; Assumptions'!$H$40:$H$42,MATCH('Model Inputs &amp; Assumptions'!$L$31,'Model Inputs &amp; Assumptions'!$A$40:$A$42,0))</f>
        <v>4519.07683935921</v>
      </c>
      <c r="L1647" s="51" t="n">
        <f aca="false">IFERROR(K1647/I1647,0)</f>
        <v>0.842533837379777</v>
      </c>
      <c r="M1647" s="49" t="n">
        <f aca="false">IFERROR(I1647/H1647,0)</f>
        <v>188.431601149377</v>
      </c>
      <c r="N1647" s="52" t="str">
        <f aca="false">'Model Inputs &amp; Assumptions'!$L$31</f>
        <v>PRD-USIQ</v>
      </c>
      <c r="P1647" s="53" t="n">
        <v>0.085545</v>
      </c>
      <c r="Q1647" s="53" t="n">
        <v>-0.345426</v>
      </c>
      <c r="R1647" s="53" t="n">
        <v>-2.428008</v>
      </c>
      <c r="S1647" s="53" t="n">
        <v>-0.817135</v>
      </c>
    </row>
    <row r="1648" customFormat="false" ht="15" hidden="false" customHeight="false" outlineLevel="0" collapsed="false">
      <c r="A1648" s="43" t="n">
        <v>145</v>
      </c>
      <c r="B1648" s="44" t="str">
        <f aca="false">'Model Inputs &amp; Assumptions'!$B$31</f>
        <v>YouTube — Finfluencer Pre-roll</v>
      </c>
      <c r="C1648" s="45" t="n">
        <f aca="false">ROUND(MAX(0,'Model Inputs &amp; Assumptions'!$S$31*EXP('Model Inputs &amp; Assumptions'!$T$31*P1648-'Model Inputs &amp; Assumptions'!$T$31^2/2)),0)</f>
        <v>594529</v>
      </c>
      <c r="D1648" s="46" t="n">
        <f aca="false">MIN(1,'Model Inputs &amp; Assumptions'!$U$31*EXP('Model Inputs &amp; Assumptions'!$V$31*Q1648-'Model Inputs &amp; Assumptions'!$V$31^2/2))</f>
        <v>0.684610933699509</v>
      </c>
      <c r="E1648" s="45" t="n">
        <f aca="false">ROUND(C1648*D1648,0)</f>
        <v>407021</v>
      </c>
      <c r="F1648" s="47" t="n">
        <f aca="false">MIN(1,'Model Inputs &amp; Assumptions'!$W$31*EXP('Model Inputs &amp; Assumptions'!$X$31*R1648-'Model Inputs &amp; Assumptions'!$X$31^2/2))</f>
        <v>0.00458816201967078</v>
      </c>
      <c r="G1648" s="45" t="n">
        <f aca="false">ROUND(C1648*F1648,0)</f>
        <v>2728</v>
      </c>
      <c r="H1648" s="48" t="n">
        <f aca="false">MAX(0,(C1648*'Model Inputs &amp; Assumptions'!$N$31+E1648*'Model Inputs &amp; Assumptions'!$O$31+G1648*'Model Inputs &amp; Assumptions'!$P$31)*EXP('Model Inputs &amp; Assumptions'!$Q$31*S1648-'Model Inputs &amp; Assumptions'!$Q$31^2/2))</f>
        <v>70.3498550713647</v>
      </c>
      <c r="I1648" s="49" t="n">
        <f aca="false">IF('Model Inputs &amp; Assumptions'!$H$31="Fixed",'Model Inputs &amp; Assumptions'!$I$31*'Model Inputs &amp; Assumptions'!$K$31,IF('Model Inputs &amp; Assumptions'!$H$31="CPM",'Model Inputs &amp; Assumptions'!$I$31*'Model Inputs &amp; Assumptions'!$K$31*C1648/1000,IF('Model Inputs &amp; Assumptions'!$H$31="CPC",'Model Inputs &amp; Assumptions'!$I$31*'Model Inputs &amp; Assumptions'!$K$31*G1648,0)))</f>
        <v>6745.526034</v>
      </c>
      <c r="J1648" s="50" t="n">
        <f aca="false">H1648*INDEX('Model Inputs &amp; Assumptions'!$D$40:$D$42,MATCH('Model Inputs &amp; Assumptions'!$L$31,'Model Inputs &amp; Assumptions'!$A$40:$A$42,0))*INDEX('Model Inputs &amp; Assumptions'!$H$40:$H$42,MATCH('Model Inputs &amp; Assumptions'!$L$31,'Model Inputs &amp; Assumptions'!$A$40:$A$42,0))</f>
        <v>506518.956513826</v>
      </c>
      <c r="K1648" s="49" t="n">
        <f aca="false">H1648*INDEX('Model Inputs &amp; Assumptions'!$G$40:$G$42,MATCH('Model Inputs &amp; Assumptions'!$L$31,'Model Inputs &amp; Assumptions'!$A$40:$A$42,0))*INDEX('Model Inputs &amp; Assumptions'!$H$40:$H$42,MATCH('Model Inputs &amp; Assumptions'!$L$31,'Model Inputs &amp; Assumptions'!$A$40:$A$42,0))</f>
        <v>11168.7429911299</v>
      </c>
      <c r="L1648" s="51" t="n">
        <f aca="false">IFERROR(K1648/I1648,0)</f>
        <v>1.65572602267565</v>
      </c>
      <c r="M1648" s="49" t="n">
        <f aca="false">IFERROR(I1648/H1648,0)</f>
        <v>95.8854290056058</v>
      </c>
      <c r="N1648" s="52" t="str">
        <f aca="false">'Model Inputs &amp; Assumptions'!$L$31</f>
        <v>PRD-USIQ</v>
      </c>
      <c r="P1648" s="53" t="n">
        <v>0.904225</v>
      </c>
      <c r="Q1648" s="53" t="n">
        <v>1.132344</v>
      </c>
      <c r="R1648" s="53" t="n">
        <v>-0.23816</v>
      </c>
      <c r="S1648" s="53" t="n">
        <v>0.050556</v>
      </c>
    </row>
    <row r="1649" customFormat="false" ht="15" hidden="false" customHeight="false" outlineLevel="0" collapsed="false">
      <c r="A1649" s="43" t="n">
        <v>146</v>
      </c>
      <c r="B1649" s="44" t="str">
        <f aca="false">'Model Inputs &amp; Assumptions'!$B$31</f>
        <v>YouTube — Finfluencer Pre-roll</v>
      </c>
      <c r="C1649" s="45" t="n">
        <f aca="false">ROUND(MAX(0,'Model Inputs &amp; Assumptions'!$S$31*EXP('Model Inputs &amp; Assumptions'!$T$31*P1649-'Model Inputs &amp; Assumptions'!$T$31^2/2)),0)</f>
        <v>414722</v>
      </c>
      <c r="D1649" s="46" t="n">
        <f aca="false">MIN(1,'Model Inputs &amp; Assumptions'!$U$31*EXP('Model Inputs &amp; Assumptions'!$V$31*Q1649-'Model Inputs &amp; Assumptions'!$V$31^2/2))</f>
        <v>0.485392400446457</v>
      </c>
      <c r="E1649" s="45" t="n">
        <f aca="false">ROUND(C1649*D1649,0)</f>
        <v>201303</v>
      </c>
      <c r="F1649" s="47" t="n">
        <f aca="false">MIN(1,'Model Inputs &amp; Assumptions'!$W$31*EXP('Model Inputs &amp; Assumptions'!$X$31*R1649-'Model Inputs &amp; Assumptions'!$X$31^2/2))</f>
        <v>0.00513020937625243</v>
      </c>
      <c r="G1649" s="45" t="n">
        <f aca="false">ROUND(C1649*F1649,0)</f>
        <v>2128</v>
      </c>
      <c r="H1649" s="48" t="n">
        <f aca="false">MAX(0,(C1649*'Model Inputs &amp; Assumptions'!$N$31+E1649*'Model Inputs &amp; Assumptions'!$O$31+G1649*'Model Inputs &amp; Assumptions'!$P$31)*EXP('Model Inputs &amp; Assumptions'!$Q$31*S1649-'Model Inputs &amp; Assumptions'!$Q$31^2/2))</f>
        <v>55.9097947212069</v>
      </c>
      <c r="I1649" s="49" t="n">
        <f aca="false">IF('Model Inputs &amp; Assumptions'!$H$31="Fixed",'Model Inputs &amp; Assumptions'!$I$31*'Model Inputs &amp; Assumptions'!$K$31,IF('Model Inputs &amp; Assumptions'!$H$31="CPM",'Model Inputs &amp; Assumptions'!$I$31*'Model Inputs &amp; Assumptions'!$K$31*C1649/1000,IF('Model Inputs &amp; Assumptions'!$H$31="CPC",'Model Inputs &amp; Assumptions'!$I$31*'Model Inputs &amp; Assumptions'!$K$31*G1649,0)))</f>
        <v>4705.435812</v>
      </c>
      <c r="J1649" s="50" t="n">
        <f aca="false">H1649*INDEX('Model Inputs &amp; Assumptions'!$D$40:$D$42,MATCH('Model Inputs &amp; Assumptions'!$L$31,'Model Inputs &amp; Assumptions'!$A$40:$A$42,0))*INDEX('Model Inputs &amp; Assumptions'!$H$40:$H$42,MATCH('Model Inputs &amp; Assumptions'!$L$31,'Model Inputs &amp; Assumptions'!$A$40:$A$42,0))</f>
        <v>402550.521992689</v>
      </c>
      <c r="K1649" s="49" t="n">
        <f aca="false">H1649*INDEX('Model Inputs &amp; Assumptions'!$G$40:$G$42,MATCH('Model Inputs &amp; Assumptions'!$L$31,'Model Inputs &amp; Assumptions'!$A$40:$A$42,0))*INDEX('Model Inputs &amp; Assumptions'!$H$40:$H$42,MATCH('Model Inputs &amp; Assumptions'!$L$31,'Model Inputs &amp; Assumptions'!$A$40:$A$42,0))</f>
        <v>8876.2390099388</v>
      </c>
      <c r="L1649" s="51" t="n">
        <f aca="false">IFERROR(K1649/I1649,0)</f>
        <v>1.88637978809577</v>
      </c>
      <c r="M1649" s="49" t="n">
        <f aca="false">IFERROR(I1649/H1649,0)</f>
        <v>84.1612070919517</v>
      </c>
      <c r="N1649" s="52" t="str">
        <f aca="false">'Model Inputs &amp; Assumptions'!$L$31</f>
        <v>PRD-USIQ</v>
      </c>
      <c r="P1649" s="53" t="n">
        <v>-0.382064</v>
      </c>
      <c r="Q1649" s="53" t="n">
        <v>-1.324035</v>
      </c>
      <c r="R1649" s="53" t="n">
        <v>0.227119</v>
      </c>
      <c r="S1649" s="53" t="n">
        <v>0.609382</v>
      </c>
    </row>
    <row r="1650" customFormat="false" ht="15" hidden="false" customHeight="false" outlineLevel="0" collapsed="false">
      <c r="A1650" s="43" t="n">
        <v>147</v>
      </c>
      <c r="B1650" s="44" t="str">
        <f aca="false">'Model Inputs &amp; Assumptions'!$B$31</f>
        <v>YouTube — Finfluencer Pre-roll</v>
      </c>
      <c r="C1650" s="45" t="n">
        <f aca="false">ROUND(MAX(0,'Model Inputs &amp; Assumptions'!$S$31*EXP('Model Inputs &amp; Assumptions'!$T$31*P1650-'Model Inputs &amp; Assumptions'!$T$31^2/2)),0)</f>
        <v>333401</v>
      </c>
      <c r="D1650" s="46" t="n">
        <f aca="false">MIN(1,'Model Inputs &amp; Assumptions'!$U$31*EXP('Model Inputs &amp; Assumptions'!$V$31*Q1650-'Model Inputs &amp; Assumptions'!$V$31^2/2))</f>
        <v>0.567965374740873</v>
      </c>
      <c r="E1650" s="45" t="n">
        <f aca="false">ROUND(C1650*D1650,0)</f>
        <v>189360</v>
      </c>
      <c r="F1650" s="47" t="n">
        <f aca="false">MIN(1,'Model Inputs &amp; Assumptions'!$W$31*EXP('Model Inputs &amp; Assumptions'!$X$31*R1650-'Model Inputs &amp; Assumptions'!$X$31^2/2))</f>
        <v>0.0067668238923618</v>
      </c>
      <c r="G1650" s="45" t="n">
        <f aca="false">ROUND(C1650*F1650,0)</f>
        <v>2256</v>
      </c>
      <c r="H1650" s="48" t="n">
        <f aca="false">MAX(0,(C1650*'Model Inputs &amp; Assumptions'!$N$31+E1650*'Model Inputs &amp; Assumptions'!$O$31+G1650*'Model Inputs &amp; Assumptions'!$P$31)*EXP('Model Inputs &amp; Assumptions'!$Q$31*S1650-'Model Inputs &amp; Assumptions'!$Q$31^2/2))</f>
        <v>55.9341552903686</v>
      </c>
      <c r="I1650" s="49" t="n">
        <f aca="false">IF('Model Inputs &amp; Assumptions'!$H$31="Fixed",'Model Inputs &amp; Assumptions'!$I$31*'Model Inputs &amp; Assumptions'!$K$31,IF('Model Inputs &amp; Assumptions'!$H$31="CPM",'Model Inputs &amp; Assumptions'!$I$31*'Model Inputs &amp; Assumptions'!$K$31*C1650/1000,IF('Model Inputs &amp; Assumptions'!$H$31="CPC",'Model Inputs &amp; Assumptions'!$I$31*'Model Inputs &amp; Assumptions'!$K$31*G1650,0)))</f>
        <v>3782.767746</v>
      </c>
      <c r="J1650" s="50" t="n">
        <f aca="false">H1650*INDEX('Model Inputs &amp; Assumptions'!$D$40:$D$42,MATCH('Model Inputs &amp; Assumptions'!$L$31,'Model Inputs &amp; Assumptions'!$A$40:$A$42,0))*INDEX('Model Inputs &amp; Assumptions'!$H$40:$H$42,MATCH('Model Inputs &amp; Assumptions'!$L$31,'Model Inputs &amp; Assumptions'!$A$40:$A$42,0))</f>
        <v>402725.918090654</v>
      </c>
      <c r="K1650" s="49" t="n">
        <f aca="false">H1650*INDEX('Model Inputs &amp; Assumptions'!$G$40:$G$42,MATCH('Model Inputs &amp; Assumptions'!$L$31,'Model Inputs &amp; Assumptions'!$A$40:$A$42,0))*INDEX('Model Inputs &amp; Assumptions'!$H$40:$H$42,MATCH('Model Inputs &amp; Assumptions'!$L$31,'Model Inputs &amp; Assumptions'!$A$40:$A$42,0))</f>
        <v>8880.10649389891</v>
      </c>
      <c r="L1650" s="51" t="n">
        <f aca="false">IFERROR(K1650/I1650,0)</f>
        <v>2.34751565260357</v>
      </c>
      <c r="M1650" s="49" t="n">
        <f aca="false">IFERROR(I1650/H1650,0)</f>
        <v>67.6289420366265</v>
      </c>
      <c r="N1650" s="52" t="str">
        <f aca="false">'Model Inputs &amp; Assumptions'!$L$31</f>
        <v>PRD-USIQ</v>
      </c>
      <c r="P1650" s="53" t="n">
        <v>-1.161571</v>
      </c>
      <c r="Q1650" s="53" t="n">
        <v>-0.201872</v>
      </c>
      <c r="R1650" s="53" t="n">
        <v>1.380808</v>
      </c>
      <c r="S1650" s="53" t="n">
        <v>0.55381</v>
      </c>
    </row>
    <row r="1651" customFormat="false" ht="15" hidden="false" customHeight="false" outlineLevel="0" collapsed="false">
      <c r="A1651" s="43" t="n">
        <v>148</v>
      </c>
      <c r="B1651" s="44" t="str">
        <f aca="false">'Model Inputs &amp; Assumptions'!$B$31</f>
        <v>YouTube — Finfluencer Pre-roll</v>
      </c>
      <c r="C1651" s="45" t="n">
        <f aca="false">ROUND(MAX(0,'Model Inputs &amp; Assumptions'!$S$31*EXP('Model Inputs &amp; Assumptions'!$T$31*P1651-'Model Inputs &amp; Assumptions'!$T$31^2/2)),0)</f>
        <v>871041</v>
      </c>
      <c r="D1651" s="46" t="n">
        <f aca="false">MIN(1,'Model Inputs &amp; Assumptions'!$U$31*EXP('Model Inputs &amp; Assumptions'!$V$31*Q1651-'Model Inputs &amp; Assumptions'!$V$31^2/2))</f>
        <v>0.627758599519567</v>
      </c>
      <c r="E1651" s="45" t="n">
        <f aca="false">ROUND(C1651*D1651,0)</f>
        <v>546803</v>
      </c>
      <c r="F1651" s="47" t="n">
        <f aca="false">MIN(1,'Model Inputs &amp; Assumptions'!$W$31*EXP('Model Inputs &amp; Assumptions'!$X$31*R1651-'Model Inputs &amp; Assumptions'!$X$31^2/2))</f>
        <v>0.00472835306395956</v>
      </c>
      <c r="G1651" s="45" t="n">
        <f aca="false">ROUND(C1651*F1651,0)</f>
        <v>4119</v>
      </c>
      <c r="H1651" s="48" t="n">
        <f aca="false">MAX(0,(C1651*'Model Inputs &amp; Assumptions'!$N$31+E1651*'Model Inputs &amp; Assumptions'!$O$31+G1651*'Model Inputs &amp; Assumptions'!$P$31)*EXP('Model Inputs &amp; Assumptions'!$Q$31*S1651-'Model Inputs &amp; Assumptions'!$Q$31^2/2))</f>
        <v>128.112267700964</v>
      </c>
      <c r="I1651" s="49" t="n">
        <f aca="false">IF('Model Inputs &amp; Assumptions'!$H$31="Fixed",'Model Inputs &amp; Assumptions'!$I$31*'Model Inputs &amp; Assumptions'!$K$31,IF('Model Inputs &amp; Assumptions'!$H$31="CPM",'Model Inputs &amp; Assumptions'!$I$31*'Model Inputs &amp; Assumptions'!$K$31*C1651/1000,IF('Model Inputs &amp; Assumptions'!$H$31="CPC",'Model Inputs &amp; Assumptions'!$I$31*'Model Inputs &amp; Assumptions'!$K$31*G1651,0)))</f>
        <v>9882.831186</v>
      </c>
      <c r="J1651" s="50" t="n">
        <f aca="false">H1651*INDEX('Model Inputs &amp; Assumptions'!$D$40:$D$42,MATCH('Model Inputs &amp; Assumptions'!$L$31,'Model Inputs &amp; Assumptions'!$A$40:$A$42,0))*INDEX('Model Inputs &amp; Assumptions'!$H$40:$H$42,MATCH('Model Inputs &amp; Assumptions'!$L$31,'Model Inputs &amp; Assumptions'!$A$40:$A$42,0))</f>
        <v>922408.327446938</v>
      </c>
      <c r="K1651" s="49" t="n">
        <f aca="false">H1651*INDEX('Model Inputs &amp; Assumptions'!$G$40:$G$42,MATCH('Model Inputs &amp; Assumptions'!$L$31,'Model Inputs &amp; Assumptions'!$A$40:$A$42,0))*INDEX('Model Inputs &amp; Assumptions'!$H$40:$H$42,MATCH('Model Inputs &amp; Assumptions'!$L$31,'Model Inputs &amp; Assumptions'!$A$40:$A$42,0))</f>
        <v>20339.103620205</v>
      </c>
      <c r="L1651" s="51" t="n">
        <f aca="false">IFERROR(K1651/I1651,0)</f>
        <v>2.05802398497076</v>
      </c>
      <c r="M1651" s="49" t="n">
        <f aca="false">IFERROR(I1651/H1651,0)</f>
        <v>77.1419580915409</v>
      </c>
      <c r="N1651" s="52" t="str">
        <f aca="false">'Model Inputs &amp; Assumptions'!$L$31</f>
        <v>PRD-USIQ</v>
      </c>
      <c r="P1651" s="53" t="n">
        <v>2.268226</v>
      </c>
      <c r="Q1651" s="53" t="n">
        <v>0.513094</v>
      </c>
      <c r="R1651" s="53" t="n">
        <v>-0.112754</v>
      </c>
      <c r="S1651" s="53" t="n">
        <v>0.729054</v>
      </c>
    </row>
    <row r="1652" customFormat="false" ht="15" hidden="false" customHeight="false" outlineLevel="0" collapsed="false">
      <c r="A1652" s="43" t="n">
        <v>149</v>
      </c>
      <c r="B1652" s="44" t="str">
        <f aca="false">'Model Inputs &amp; Assumptions'!$B$31</f>
        <v>YouTube — Finfluencer Pre-roll</v>
      </c>
      <c r="C1652" s="45" t="n">
        <f aca="false">ROUND(MAX(0,'Model Inputs &amp; Assumptions'!$S$31*EXP('Model Inputs &amp; Assumptions'!$T$31*P1652-'Model Inputs &amp; Assumptions'!$T$31^2/2)),0)</f>
        <v>679422</v>
      </c>
      <c r="D1652" s="46" t="n">
        <f aca="false">MIN(1,'Model Inputs &amp; Assumptions'!$U$31*EXP('Model Inputs &amp; Assumptions'!$V$31*Q1652-'Model Inputs &amp; Assumptions'!$V$31^2/2))</f>
        <v>0.600723520895198</v>
      </c>
      <c r="E1652" s="45" t="n">
        <f aca="false">ROUND(C1652*D1652,0)</f>
        <v>408145</v>
      </c>
      <c r="F1652" s="47" t="n">
        <f aca="false">MIN(1,'Model Inputs &amp; Assumptions'!$W$31*EXP('Model Inputs &amp; Assumptions'!$X$31*R1652-'Model Inputs &amp; Assumptions'!$X$31^2/2))</f>
        <v>0.00457824909989407</v>
      </c>
      <c r="G1652" s="45" t="n">
        <f aca="false">ROUND(C1652*F1652,0)</f>
        <v>3111</v>
      </c>
      <c r="H1652" s="48" t="n">
        <f aca="false">MAX(0,(C1652*'Model Inputs &amp; Assumptions'!$N$31+E1652*'Model Inputs &amp; Assumptions'!$O$31+G1652*'Model Inputs &amp; Assumptions'!$P$31)*EXP('Model Inputs &amp; Assumptions'!$Q$31*S1652-'Model Inputs &amp; Assumptions'!$Q$31^2/2))</f>
        <v>51.0654906019848</v>
      </c>
      <c r="I1652" s="49" t="n">
        <f aca="false">IF('Model Inputs &amp; Assumptions'!$H$31="Fixed",'Model Inputs &amp; Assumptions'!$I$31*'Model Inputs &amp; Assumptions'!$K$31,IF('Model Inputs &amp; Assumptions'!$H$31="CPM",'Model Inputs &amp; Assumptions'!$I$31*'Model Inputs &amp; Assumptions'!$K$31*C1652/1000,IF('Model Inputs &amp; Assumptions'!$H$31="CPC",'Model Inputs &amp; Assumptions'!$I$31*'Model Inputs &amp; Assumptions'!$K$31*G1652,0)))</f>
        <v>7708.722012</v>
      </c>
      <c r="J1652" s="50" t="n">
        <f aca="false">H1652*INDEX('Model Inputs &amp; Assumptions'!$D$40:$D$42,MATCH('Model Inputs &amp; Assumptions'!$L$31,'Model Inputs &amp; Assumptions'!$A$40:$A$42,0))*INDEX('Model Inputs &amp; Assumptions'!$H$40:$H$42,MATCH('Model Inputs &amp; Assumptions'!$L$31,'Model Inputs &amp; Assumptions'!$A$40:$A$42,0))</f>
        <v>367671.53233429</v>
      </c>
      <c r="K1652" s="49" t="n">
        <f aca="false">H1652*INDEX('Model Inputs &amp; Assumptions'!$G$40:$G$42,MATCH('Model Inputs &amp; Assumptions'!$L$31,'Model Inputs &amp; Assumptions'!$A$40:$A$42,0))*INDEX('Model Inputs &amp; Assumptions'!$H$40:$H$42,MATCH('Model Inputs &amp; Assumptions'!$L$31,'Model Inputs &amp; Assumptions'!$A$40:$A$42,0))</f>
        <v>8107.1572879711</v>
      </c>
      <c r="L1652" s="51" t="n">
        <f aca="false">IFERROR(K1652/I1652,0)</f>
        <v>1.05168629447928</v>
      </c>
      <c r="M1652" s="49" t="n">
        <f aca="false">IFERROR(I1652/H1652,0)</f>
        <v>150.957562947616</v>
      </c>
      <c r="N1652" s="52" t="str">
        <f aca="false">'Model Inputs &amp; Assumptions'!$L$31</f>
        <v>PRD-USIQ</v>
      </c>
      <c r="P1652" s="53" t="n">
        <v>1.380916</v>
      </c>
      <c r="Q1652" s="53" t="n">
        <v>0.198659</v>
      </c>
      <c r="R1652" s="53" t="n">
        <v>-0.247172</v>
      </c>
      <c r="S1652" s="53" t="n">
        <v>-1.08311</v>
      </c>
    </row>
    <row r="1653" customFormat="false" ht="15" hidden="false" customHeight="false" outlineLevel="0" collapsed="false">
      <c r="A1653" s="43" t="n">
        <v>150</v>
      </c>
      <c r="B1653" s="44" t="str">
        <f aca="false">'Model Inputs &amp; Assumptions'!$B$31</f>
        <v>YouTube — Finfluencer Pre-roll</v>
      </c>
      <c r="C1653" s="45" t="n">
        <f aca="false">ROUND(MAX(0,'Model Inputs &amp; Assumptions'!$S$31*EXP('Model Inputs &amp; Assumptions'!$T$31*P1653-'Model Inputs &amp; Assumptions'!$T$31^2/2)),0)</f>
        <v>278922</v>
      </c>
      <c r="D1653" s="46" t="n">
        <f aca="false">MIN(1,'Model Inputs &amp; Assumptions'!$U$31*EXP('Model Inputs &amp; Assumptions'!$V$31*Q1653-'Model Inputs &amp; Assumptions'!$V$31^2/2))</f>
        <v>0.655624565811965</v>
      </c>
      <c r="E1653" s="45" t="n">
        <f aca="false">ROUND(C1653*D1653,0)</f>
        <v>182868</v>
      </c>
      <c r="F1653" s="47" t="n">
        <f aca="false">MIN(1,'Model Inputs &amp; Assumptions'!$W$31*EXP('Model Inputs &amp; Assumptions'!$X$31*R1653-'Model Inputs &amp; Assumptions'!$X$31^2/2))</f>
        <v>0.00553744759923345</v>
      </c>
      <c r="G1653" s="45" t="n">
        <f aca="false">ROUND(C1653*F1653,0)</f>
        <v>1545</v>
      </c>
      <c r="H1653" s="48" t="n">
        <f aca="false">MAX(0,(C1653*'Model Inputs &amp; Assumptions'!$N$31+E1653*'Model Inputs &amp; Assumptions'!$O$31+G1653*'Model Inputs &amp; Assumptions'!$P$31)*EXP('Model Inputs &amp; Assumptions'!$Q$31*S1653-'Model Inputs &amp; Assumptions'!$Q$31^2/2))</f>
        <v>16.8237370033097</v>
      </c>
      <c r="I1653" s="49" t="n">
        <f aca="false">IF('Model Inputs &amp; Assumptions'!$H$31="Fixed",'Model Inputs &amp; Assumptions'!$I$31*'Model Inputs &amp; Assumptions'!$K$31,IF('Model Inputs &amp; Assumptions'!$H$31="CPM",'Model Inputs &amp; Assumptions'!$I$31*'Model Inputs &amp; Assumptions'!$K$31*C1653/1000,IF('Model Inputs &amp; Assumptions'!$H$31="CPC",'Model Inputs &amp; Assumptions'!$I$31*'Model Inputs &amp; Assumptions'!$K$31*G1653,0)))</f>
        <v>3164.649012</v>
      </c>
      <c r="J1653" s="50" t="n">
        <f aca="false">H1653*INDEX('Model Inputs &amp; Assumptions'!$D$40:$D$42,MATCH('Model Inputs &amp; Assumptions'!$L$31,'Model Inputs &amp; Assumptions'!$A$40:$A$42,0))*INDEX('Model Inputs &amp; Assumptions'!$H$40:$H$42,MATCH('Model Inputs &amp; Assumptions'!$L$31,'Model Inputs &amp; Assumptions'!$A$40:$A$42,0))</f>
        <v>121130.90642383</v>
      </c>
      <c r="K1653" s="49" t="n">
        <f aca="false">H1653*INDEX('Model Inputs &amp; Assumptions'!$G$40:$G$42,MATCH('Model Inputs &amp; Assumptions'!$L$31,'Model Inputs &amp; Assumptions'!$A$40:$A$42,0))*INDEX('Model Inputs &amp; Assumptions'!$H$40:$H$42,MATCH('Model Inputs &amp; Assumptions'!$L$31,'Model Inputs &amp; Assumptions'!$A$40:$A$42,0))</f>
        <v>2670.93648664545</v>
      </c>
      <c r="L1653" s="51" t="n">
        <f aca="false">IFERROR(K1653/I1653,0)</f>
        <v>0.843991379934254</v>
      </c>
      <c r="M1653" s="49" t="n">
        <f aca="false">IFERROR(I1653/H1653,0)</f>
        <v>188.106186596796</v>
      </c>
      <c r="N1653" s="52" t="str">
        <f aca="false">'Model Inputs &amp; Assumptions'!$L$31</f>
        <v>PRD-USIQ</v>
      </c>
      <c r="P1653" s="53" t="n">
        <v>-1.798763</v>
      </c>
      <c r="Q1653" s="53" t="n">
        <v>0.823327</v>
      </c>
      <c r="R1653" s="53" t="n">
        <v>0.545399</v>
      </c>
      <c r="S1653" s="53" t="n">
        <v>-2.138245</v>
      </c>
    </row>
    <row r="1654" customFormat="false" ht="15" hidden="false" customHeight="false" outlineLevel="0" collapsed="false">
      <c r="A1654" s="43" t="n">
        <v>151</v>
      </c>
      <c r="B1654" s="44" t="str">
        <f aca="false">'Model Inputs &amp; Assumptions'!$B$31</f>
        <v>YouTube — Finfluencer Pre-roll</v>
      </c>
      <c r="C1654" s="45" t="n">
        <f aca="false">ROUND(MAX(0,'Model Inputs &amp; Assumptions'!$S$31*EXP('Model Inputs &amp; Assumptions'!$T$31*P1654-'Model Inputs &amp; Assumptions'!$T$31^2/2)),0)</f>
        <v>466362</v>
      </c>
      <c r="D1654" s="46" t="n">
        <f aca="false">MIN(1,'Model Inputs &amp; Assumptions'!$U$31*EXP('Model Inputs &amp; Assumptions'!$V$31*Q1654-'Model Inputs &amp; Assumptions'!$V$31^2/2))</f>
        <v>0.679331235409322</v>
      </c>
      <c r="E1654" s="45" t="n">
        <f aca="false">ROUND(C1654*D1654,0)</f>
        <v>316814</v>
      </c>
      <c r="F1654" s="47" t="n">
        <f aca="false">MIN(1,'Model Inputs &amp; Assumptions'!$W$31*EXP('Model Inputs &amp; Assumptions'!$X$31*R1654-'Model Inputs &amp; Assumptions'!$X$31^2/2))</f>
        <v>0.00688365549254048</v>
      </c>
      <c r="G1654" s="45" t="n">
        <f aca="false">ROUND(C1654*F1654,0)</f>
        <v>3210</v>
      </c>
      <c r="H1654" s="48" t="n">
        <f aca="false">MAX(0,(C1654*'Model Inputs &amp; Assumptions'!$N$31+E1654*'Model Inputs &amp; Assumptions'!$O$31+G1654*'Model Inputs &amp; Assumptions'!$P$31)*EXP('Model Inputs &amp; Assumptions'!$Q$31*S1654-'Model Inputs &amp; Assumptions'!$Q$31^2/2))</f>
        <v>58.5230362897642</v>
      </c>
      <c r="I1654" s="49" t="n">
        <f aca="false">IF('Model Inputs &amp; Assumptions'!$H$31="Fixed",'Model Inputs &amp; Assumptions'!$I$31*'Model Inputs &amp; Assumptions'!$K$31,IF('Model Inputs &amp; Assumptions'!$H$31="CPM",'Model Inputs &amp; Assumptions'!$I$31*'Model Inputs &amp; Assumptions'!$K$31*C1654/1000,IF('Model Inputs &amp; Assumptions'!$H$31="CPC",'Model Inputs &amp; Assumptions'!$I$31*'Model Inputs &amp; Assumptions'!$K$31*G1654,0)))</f>
        <v>5291.343252</v>
      </c>
      <c r="J1654" s="50" t="n">
        <f aca="false">H1654*INDEX('Model Inputs &amp; Assumptions'!$D$40:$D$42,MATCH('Model Inputs &amp; Assumptions'!$L$31,'Model Inputs &amp; Assumptions'!$A$40:$A$42,0))*INDEX('Model Inputs &amp; Assumptions'!$H$40:$H$42,MATCH('Model Inputs &amp; Assumptions'!$L$31,'Model Inputs &amp; Assumptions'!$A$40:$A$42,0))</f>
        <v>421365.861286302</v>
      </c>
      <c r="K1654" s="49" t="n">
        <f aca="false">H1654*INDEX('Model Inputs &amp; Assumptions'!$G$40:$G$42,MATCH('Model Inputs &amp; Assumptions'!$L$31,'Model Inputs &amp; Assumptions'!$A$40:$A$42,0))*INDEX('Model Inputs &amp; Assumptions'!$H$40:$H$42,MATCH('Model Inputs &amp; Assumptions'!$L$31,'Model Inputs &amp; Assumptions'!$A$40:$A$42,0))</f>
        <v>9291.11724136297</v>
      </c>
      <c r="L1654" s="51" t="n">
        <f aca="false">IFERROR(K1654/I1654,0)</f>
        <v>1.75590900058339</v>
      </c>
      <c r="M1654" s="49" t="n">
        <f aca="false">IFERROR(I1654/H1654,0)</f>
        <v>90.4147082492619</v>
      </c>
      <c r="N1654" s="52" t="str">
        <f aca="false">'Model Inputs &amp; Assumptions'!$L$31</f>
        <v>PRD-USIQ</v>
      </c>
      <c r="P1654" s="53" t="n">
        <v>0.037059</v>
      </c>
      <c r="Q1654" s="53" t="n">
        <v>1.077045</v>
      </c>
      <c r="R1654" s="53" t="n">
        <v>1.452133</v>
      </c>
      <c r="S1654" s="53" t="n">
        <v>-0.475853</v>
      </c>
    </row>
    <row r="1655" customFormat="false" ht="15" hidden="false" customHeight="false" outlineLevel="0" collapsed="false">
      <c r="A1655" s="43" t="n">
        <v>152</v>
      </c>
      <c r="B1655" s="44" t="str">
        <f aca="false">'Model Inputs &amp; Assumptions'!$B$31</f>
        <v>YouTube — Finfluencer Pre-roll</v>
      </c>
      <c r="C1655" s="45" t="n">
        <f aca="false">ROUND(MAX(0,'Model Inputs &amp; Assumptions'!$S$31*EXP('Model Inputs &amp; Assumptions'!$T$31*P1655-'Model Inputs &amp; Assumptions'!$T$31^2/2)),0)</f>
        <v>560120</v>
      </c>
      <c r="D1655" s="46" t="n">
        <f aca="false">MIN(1,'Model Inputs &amp; Assumptions'!$U$31*EXP('Model Inputs &amp; Assumptions'!$V$31*Q1655-'Model Inputs &amp; Assumptions'!$V$31^2/2))</f>
        <v>0.577061459768985</v>
      </c>
      <c r="E1655" s="45" t="n">
        <f aca="false">ROUND(C1655*D1655,0)</f>
        <v>323224</v>
      </c>
      <c r="F1655" s="47" t="n">
        <f aca="false">MIN(1,'Model Inputs &amp; Assumptions'!$W$31*EXP('Model Inputs &amp; Assumptions'!$X$31*R1655-'Model Inputs &amp; Assumptions'!$X$31^2/2))</f>
        <v>0.0060695340079795</v>
      </c>
      <c r="G1655" s="45" t="n">
        <f aca="false">ROUND(C1655*F1655,0)</f>
        <v>3400</v>
      </c>
      <c r="H1655" s="48" t="n">
        <f aca="false">MAX(0,(C1655*'Model Inputs &amp; Assumptions'!$N$31+E1655*'Model Inputs &amp; Assumptions'!$O$31+G1655*'Model Inputs &amp; Assumptions'!$P$31)*EXP('Model Inputs &amp; Assumptions'!$Q$31*S1655-'Model Inputs &amp; Assumptions'!$Q$31^2/2))</f>
        <v>91.229026783816</v>
      </c>
      <c r="I1655" s="49" t="n">
        <f aca="false">IF('Model Inputs &amp; Assumptions'!$H$31="Fixed",'Model Inputs &amp; Assumptions'!$I$31*'Model Inputs &amp; Assumptions'!$K$31,IF('Model Inputs &amp; Assumptions'!$H$31="CPM",'Model Inputs &amp; Assumptions'!$I$31*'Model Inputs &amp; Assumptions'!$K$31*C1655/1000,IF('Model Inputs &amp; Assumptions'!$H$31="CPC",'Model Inputs &amp; Assumptions'!$I$31*'Model Inputs &amp; Assumptions'!$K$31*G1655,0)))</f>
        <v>6355.12152</v>
      </c>
      <c r="J1655" s="50" t="n">
        <f aca="false">H1655*INDEX('Model Inputs &amp; Assumptions'!$D$40:$D$42,MATCH('Model Inputs &amp; Assumptions'!$L$31,'Model Inputs &amp; Assumptions'!$A$40:$A$42,0))*INDEX('Model Inputs &amp; Assumptions'!$H$40:$H$42,MATCH('Model Inputs &amp; Assumptions'!$L$31,'Model Inputs &amp; Assumptions'!$A$40:$A$42,0))</f>
        <v>656848.992843475</v>
      </c>
      <c r="K1655" s="49" t="n">
        <f aca="false">H1655*INDEX('Model Inputs &amp; Assumptions'!$G$40:$G$42,MATCH('Model Inputs &amp; Assumptions'!$L$31,'Model Inputs &amp; Assumptions'!$A$40:$A$42,0))*INDEX('Model Inputs &amp; Assumptions'!$H$40:$H$42,MATCH('Model Inputs &amp; Assumptions'!$L$31,'Model Inputs &amp; Assumptions'!$A$40:$A$42,0))</f>
        <v>14483.5202921986</v>
      </c>
      <c r="L1655" s="51" t="n">
        <f aca="false">IFERROR(K1655/I1655,0)</f>
        <v>2.27903121075152</v>
      </c>
      <c r="M1655" s="49" t="n">
        <f aca="false">IFERROR(I1655/H1655,0)</f>
        <v>69.6611785091124</v>
      </c>
      <c r="N1655" s="52" t="str">
        <f aca="false">'Model Inputs &amp; Assumptions'!$L$31</f>
        <v>PRD-USIQ</v>
      </c>
      <c r="P1655" s="53" t="n">
        <v>0.691305</v>
      </c>
      <c r="Q1655" s="53" t="n">
        <v>-0.088384</v>
      </c>
      <c r="R1655" s="53" t="n">
        <v>0.927683</v>
      </c>
      <c r="S1655" s="53" t="n">
        <v>0.664756</v>
      </c>
    </row>
    <row r="1656" customFormat="false" ht="15" hidden="false" customHeight="false" outlineLevel="0" collapsed="false">
      <c r="A1656" s="43" t="n">
        <v>153</v>
      </c>
      <c r="B1656" s="44" t="str">
        <f aca="false">'Model Inputs &amp; Assumptions'!$B$31</f>
        <v>YouTube — Finfluencer Pre-roll</v>
      </c>
      <c r="C1656" s="45" t="n">
        <f aca="false">ROUND(MAX(0,'Model Inputs &amp; Assumptions'!$S$31*EXP('Model Inputs &amp; Assumptions'!$T$31*P1656-'Model Inputs &amp; Assumptions'!$T$31^2/2)),0)</f>
        <v>631968</v>
      </c>
      <c r="D1656" s="46" t="n">
        <f aca="false">MIN(1,'Model Inputs &amp; Assumptions'!$U$31*EXP('Model Inputs &amp; Assumptions'!$V$31*Q1656-'Model Inputs &amp; Assumptions'!$V$31^2/2))</f>
        <v>0.602582844344878</v>
      </c>
      <c r="E1656" s="45" t="n">
        <f aca="false">ROUND(C1656*D1656,0)</f>
        <v>380813</v>
      </c>
      <c r="F1656" s="47" t="n">
        <f aca="false">MIN(1,'Model Inputs &amp; Assumptions'!$W$31*EXP('Model Inputs &amp; Assumptions'!$X$31*R1656-'Model Inputs &amp; Assumptions'!$X$31^2/2))</f>
        <v>0.0035111751865855</v>
      </c>
      <c r="G1656" s="45" t="n">
        <f aca="false">ROUND(C1656*F1656,0)</f>
        <v>2219</v>
      </c>
      <c r="H1656" s="48" t="n">
        <f aca="false">MAX(0,(C1656*'Model Inputs &amp; Assumptions'!$N$31+E1656*'Model Inputs &amp; Assumptions'!$O$31+G1656*'Model Inputs &amp; Assumptions'!$P$31)*EXP('Model Inputs &amp; Assumptions'!$Q$31*S1656-'Model Inputs &amp; Assumptions'!$Q$31^2/2))</f>
        <v>34.8863701038175</v>
      </c>
      <c r="I1656" s="49" t="n">
        <f aca="false">IF('Model Inputs &amp; Assumptions'!$H$31="Fixed",'Model Inputs &amp; Assumptions'!$I$31*'Model Inputs &amp; Assumptions'!$K$31,IF('Model Inputs &amp; Assumptions'!$H$31="CPM",'Model Inputs &amp; Assumptions'!$I$31*'Model Inputs &amp; Assumptions'!$K$31*C1656/1000,IF('Model Inputs &amp; Assumptions'!$H$31="CPC",'Model Inputs &amp; Assumptions'!$I$31*'Model Inputs &amp; Assumptions'!$K$31*G1656,0)))</f>
        <v>7170.308928</v>
      </c>
      <c r="J1656" s="50" t="n">
        <f aca="false">H1656*INDEX('Model Inputs &amp; Assumptions'!$D$40:$D$42,MATCH('Model Inputs &amp; Assumptions'!$L$31,'Model Inputs &amp; Assumptions'!$A$40:$A$42,0))*INDEX('Model Inputs &amp; Assumptions'!$H$40:$H$42,MATCH('Model Inputs &amp; Assumptions'!$L$31,'Model Inputs &amp; Assumptions'!$A$40:$A$42,0))</f>
        <v>251181.864747486</v>
      </c>
      <c r="K1656" s="49" t="n">
        <f aca="false">H1656*INDEX('Model Inputs &amp; Assumptions'!$G$40:$G$42,MATCH('Model Inputs &amp; Assumptions'!$L$31,'Model Inputs &amp; Assumptions'!$A$40:$A$42,0))*INDEX('Model Inputs &amp; Assumptions'!$H$40:$H$42,MATCH('Model Inputs &amp; Assumptions'!$L$31,'Model Inputs &amp; Assumptions'!$A$40:$A$42,0))</f>
        <v>5538.56011768207</v>
      </c>
      <c r="L1656" s="51" t="n">
        <f aca="false">IFERROR(K1656/I1656,0)</f>
        <v>0.772429775801435</v>
      </c>
      <c r="M1656" s="49" t="n">
        <f aca="false">IFERROR(I1656/H1656,0)</f>
        <v>205.533247129525</v>
      </c>
      <c r="N1656" s="52" t="str">
        <f aca="false">'Model Inputs &amp; Assumptions'!$L$31</f>
        <v>PRD-USIQ</v>
      </c>
      <c r="P1656" s="53" t="n">
        <v>1.12233</v>
      </c>
      <c r="Q1656" s="53" t="n">
        <v>0.220733</v>
      </c>
      <c r="R1656" s="53" t="n">
        <v>-1.352863</v>
      </c>
      <c r="S1656" s="53" t="n">
        <v>-1.547496</v>
      </c>
    </row>
    <row r="1657" customFormat="false" ht="15" hidden="false" customHeight="false" outlineLevel="0" collapsed="false">
      <c r="A1657" s="43" t="n">
        <v>154</v>
      </c>
      <c r="B1657" s="44" t="str">
        <f aca="false">'Model Inputs &amp; Assumptions'!$B$31</f>
        <v>YouTube — Finfluencer Pre-roll</v>
      </c>
      <c r="C1657" s="45" t="n">
        <f aca="false">ROUND(MAX(0,'Model Inputs &amp; Assumptions'!$S$31*EXP('Model Inputs &amp; Assumptions'!$T$31*P1657-'Model Inputs &amp; Assumptions'!$T$31^2/2)),0)</f>
        <v>464028</v>
      </c>
      <c r="D1657" s="46" t="n">
        <f aca="false">MIN(1,'Model Inputs &amp; Assumptions'!$U$31*EXP('Model Inputs &amp; Assumptions'!$V$31*Q1657-'Model Inputs &amp; Assumptions'!$V$31^2/2))</f>
        <v>0.527245643636427</v>
      </c>
      <c r="E1657" s="45" t="n">
        <f aca="false">ROUND(C1657*D1657,0)</f>
        <v>244657</v>
      </c>
      <c r="F1657" s="47" t="n">
        <f aca="false">MIN(1,'Model Inputs &amp; Assumptions'!$W$31*EXP('Model Inputs &amp; Assumptions'!$X$31*R1657-'Model Inputs &amp; Assumptions'!$X$31^2/2))</f>
        <v>0.00594133914014189</v>
      </c>
      <c r="G1657" s="45" t="n">
        <f aca="false">ROUND(C1657*F1657,0)</f>
        <v>2757</v>
      </c>
      <c r="H1657" s="48" t="n">
        <f aca="false">MAX(0,(C1657*'Model Inputs &amp; Assumptions'!$N$31+E1657*'Model Inputs &amp; Assumptions'!$O$31+G1657*'Model Inputs &amp; Assumptions'!$P$31)*EXP('Model Inputs &amp; Assumptions'!$Q$31*S1657-'Model Inputs &amp; Assumptions'!$Q$31^2/2))</f>
        <v>62.4194058057212</v>
      </c>
      <c r="I1657" s="49" t="n">
        <f aca="false">IF('Model Inputs &amp; Assumptions'!$H$31="Fixed",'Model Inputs &amp; Assumptions'!$I$31*'Model Inputs &amp; Assumptions'!$K$31,IF('Model Inputs &amp; Assumptions'!$H$31="CPM",'Model Inputs &amp; Assumptions'!$I$31*'Model Inputs &amp; Assumptions'!$K$31*C1657/1000,IF('Model Inputs &amp; Assumptions'!$H$31="CPC",'Model Inputs &amp; Assumptions'!$I$31*'Model Inputs &amp; Assumptions'!$K$31*G1657,0)))</f>
        <v>5264.861688</v>
      </c>
      <c r="J1657" s="50" t="n">
        <f aca="false">H1657*INDEX('Model Inputs &amp; Assumptions'!$D$40:$D$42,MATCH('Model Inputs &amp; Assumptions'!$L$31,'Model Inputs &amp; Assumptions'!$A$40:$A$42,0))*INDEX('Model Inputs &amp; Assumptions'!$H$40:$H$42,MATCH('Model Inputs &amp; Assumptions'!$L$31,'Model Inputs &amp; Assumptions'!$A$40:$A$42,0))</f>
        <v>449419.721801193</v>
      </c>
      <c r="K1657" s="49" t="n">
        <f aca="false">H1657*INDEX('Model Inputs &amp; Assumptions'!$G$40:$G$42,MATCH('Model Inputs &amp; Assumptions'!$L$31,'Model Inputs &amp; Assumptions'!$A$40:$A$42,0))*INDEX('Model Inputs &amp; Assumptions'!$H$40:$H$42,MATCH('Model Inputs &amp; Assumptions'!$L$31,'Model Inputs &amp; Assumptions'!$A$40:$A$42,0))</f>
        <v>9909.7048657163</v>
      </c>
      <c r="L1657" s="51" t="n">
        <f aca="false">IFERROR(K1657/I1657,0)</f>
        <v>1.88223460614419</v>
      </c>
      <c r="M1657" s="49" t="n">
        <f aca="false">IFERROR(I1657/H1657,0)</f>
        <v>84.3465524870062</v>
      </c>
      <c r="N1657" s="52" t="str">
        <f aca="false">'Model Inputs &amp; Assumptions'!$L$31</f>
        <v>PRD-USIQ</v>
      </c>
      <c r="P1657" s="53" t="n">
        <v>0.019141</v>
      </c>
      <c r="Q1657" s="53" t="n">
        <v>-0.733257</v>
      </c>
      <c r="R1657" s="53" t="n">
        <v>0.838736</v>
      </c>
      <c r="S1657" s="53" t="n">
        <v>0.244116</v>
      </c>
    </row>
    <row r="1658" customFormat="false" ht="15" hidden="false" customHeight="false" outlineLevel="0" collapsed="false">
      <c r="A1658" s="43" t="n">
        <v>155</v>
      </c>
      <c r="B1658" s="44" t="str">
        <f aca="false">'Model Inputs &amp; Assumptions'!$B$31</f>
        <v>YouTube — Finfluencer Pre-roll</v>
      </c>
      <c r="C1658" s="45" t="n">
        <f aca="false">ROUND(MAX(0,'Model Inputs &amp; Assumptions'!$S$31*EXP('Model Inputs &amp; Assumptions'!$T$31*P1658-'Model Inputs &amp; Assumptions'!$T$31^2/2)),0)</f>
        <v>813869</v>
      </c>
      <c r="D1658" s="46" t="n">
        <f aca="false">MIN(1,'Model Inputs &amp; Assumptions'!$U$31*EXP('Model Inputs &amp; Assumptions'!$V$31*Q1658-'Model Inputs &amp; Assumptions'!$V$31^2/2))</f>
        <v>0.618574140987446</v>
      </c>
      <c r="E1658" s="45" t="n">
        <f aca="false">ROUND(C1658*D1658,0)</f>
        <v>503438</v>
      </c>
      <c r="F1658" s="47" t="n">
        <f aca="false">MIN(1,'Model Inputs &amp; Assumptions'!$W$31*EXP('Model Inputs &amp; Assumptions'!$X$31*R1658-'Model Inputs &amp; Assumptions'!$X$31^2/2))</f>
        <v>0.00433163172329054</v>
      </c>
      <c r="G1658" s="45" t="n">
        <f aca="false">ROUND(C1658*F1658,0)</f>
        <v>3525</v>
      </c>
      <c r="H1658" s="48" t="n">
        <f aca="false">MAX(0,(C1658*'Model Inputs &amp; Assumptions'!$N$31+E1658*'Model Inputs &amp; Assumptions'!$O$31+G1658*'Model Inputs &amp; Assumptions'!$P$31)*EXP('Model Inputs &amp; Assumptions'!$Q$31*S1658-'Model Inputs &amp; Assumptions'!$Q$31^2/2))</f>
        <v>35.8225837836885</v>
      </c>
      <c r="I1658" s="49" t="n">
        <f aca="false">IF('Model Inputs &amp; Assumptions'!$H$31="Fixed",'Model Inputs &amp; Assumptions'!$I$31*'Model Inputs &amp; Assumptions'!$K$31,IF('Model Inputs &amp; Assumptions'!$H$31="CPM",'Model Inputs &amp; Assumptions'!$I$31*'Model Inputs &amp; Assumptions'!$K$31*C1658/1000,IF('Model Inputs &amp; Assumptions'!$H$31="CPC",'Model Inputs &amp; Assumptions'!$I$31*'Model Inputs &amp; Assumptions'!$K$31*G1658,0)))</f>
        <v>9234.157674</v>
      </c>
      <c r="J1658" s="50" t="n">
        <f aca="false">H1658*INDEX('Model Inputs &amp; Assumptions'!$D$40:$D$42,MATCH('Model Inputs &amp; Assumptions'!$L$31,'Model Inputs &amp; Assumptions'!$A$40:$A$42,0))*INDEX('Model Inputs &amp; Assumptions'!$H$40:$H$42,MATCH('Model Inputs &amp; Assumptions'!$L$31,'Model Inputs &amp; Assumptions'!$A$40:$A$42,0))</f>
        <v>257922.603242557</v>
      </c>
      <c r="K1658" s="49" t="n">
        <f aca="false">H1658*INDEX('Model Inputs &amp; Assumptions'!$G$40:$G$42,MATCH('Model Inputs &amp; Assumptions'!$L$31,'Model Inputs &amp; Assumptions'!$A$40:$A$42,0))*INDEX('Model Inputs &amp; Assumptions'!$H$40:$H$42,MATCH('Model Inputs &amp; Assumptions'!$L$31,'Model Inputs &amp; Assumptions'!$A$40:$A$42,0))</f>
        <v>5687.19340149838</v>
      </c>
      <c r="L1658" s="51" t="n">
        <f aca="false">IFERROR(K1658/I1658,0)</f>
        <v>0.61588653803383</v>
      </c>
      <c r="M1658" s="49" t="n">
        <f aca="false">IFERROR(I1658/H1658,0)</f>
        <v>257.774752646533</v>
      </c>
      <c r="N1658" s="52" t="str">
        <f aca="false">'Model Inputs &amp; Assumptions'!$L$31</f>
        <v>PRD-USIQ</v>
      </c>
      <c r="P1658" s="53" t="n">
        <v>2.025764</v>
      </c>
      <c r="Q1658" s="53" t="n">
        <v>0.407818</v>
      </c>
      <c r="R1658" s="53" t="n">
        <v>-0.47789</v>
      </c>
      <c r="S1658" s="53" t="n">
        <v>-2.55538</v>
      </c>
    </row>
    <row r="1659" customFormat="false" ht="15" hidden="false" customHeight="false" outlineLevel="0" collapsed="false">
      <c r="A1659" s="43" t="n">
        <v>156</v>
      </c>
      <c r="B1659" s="44" t="str">
        <f aca="false">'Model Inputs &amp; Assumptions'!$B$31</f>
        <v>YouTube — Finfluencer Pre-roll</v>
      </c>
      <c r="C1659" s="45" t="n">
        <f aca="false">ROUND(MAX(0,'Model Inputs &amp; Assumptions'!$S$31*EXP('Model Inputs &amp; Assumptions'!$T$31*P1659-'Model Inputs &amp; Assumptions'!$T$31^2/2)),0)</f>
        <v>367476</v>
      </c>
      <c r="D1659" s="46" t="n">
        <f aca="false">MIN(1,'Model Inputs &amp; Assumptions'!$U$31*EXP('Model Inputs &amp; Assumptions'!$V$31*Q1659-'Model Inputs &amp; Assumptions'!$V$31^2/2))</f>
        <v>0.607036983111644</v>
      </c>
      <c r="E1659" s="45" t="n">
        <f aca="false">ROUND(C1659*D1659,0)</f>
        <v>223072</v>
      </c>
      <c r="F1659" s="47" t="n">
        <f aca="false">MIN(1,'Model Inputs &amp; Assumptions'!$W$31*EXP('Model Inputs &amp; Assumptions'!$X$31*R1659-'Model Inputs &amp; Assumptions'!$X$31^2/2))</f>
        <v>0.00360352506982316</v>
      </c>
      <c r="G1659" s="45" t="n">
        <f aca="false">ROUND(C1659*F1659,0)</f>
        <v>1324</v>
      </c>
      <c r="H1659" s="48" t="n">
        <f aca="false">MAX(0,(C1659*'Model Inputs &amp; Assumptions'!$N$31+E1659*'Model Inputs &amp; Assumptions'!$O$31+G1659*'Model Inputs &amp; Assumptions'!$P$31)*EXP('Model Inputs &amp; Assumptions'!$Q$31*S1659-'Model Inputs &amp; Assumptions'!$Q$31^2/2))</f>
        <v>46.4560320481306</v>
      </c>
      <c r="I1659" s="49" t="n">
        <f aca="false">IF('Model Inputs &amp; Assumptions'!$H$31="Fixed",'Model Inputs &amp; Assumptions'!$I$31*'Model Inputs &amp; Assumptions'!$K$31,IF('Model Inputs &amp; Assumptions'!$H$31="CPM",'Model Inputs &amp; Assumptions'!$I$31*'Model Inputs &amp; Assumptions'!$K$31*C1659/1000,IF('Model Inputs &amp; Assumptions'!$H$31="CPC",'Model Inputs &amp; Assumptions'!$I$31*'Model Inputs &amp; Assumptions'!$K$31*G1659,0)))</f>
        <v>4169.382696</v>
      </c>
      <c r="J1659" s="50" t="n">
        <f aca="false">H1659*INDEX('Model Inputs &amp; Assumptions'!$D$40:$D$42,MATCH('Model Inputs &amp; Assumptions'!$L$31,'Model Inputs &amp; Assumptions'!$A$40:$A$42,0))*INDEX('Model Inputs &amp; Assumptions'!$H$40:$H$42,MATCH('Model Inputs &amp; Assumptions'!$L$31,'Model Inputs &amp; Assumptions'!$A$40:$A$42,0))</f>
        <v>334483.430746541</v>
      </c>
      <c r="K1659" s="49" t="n">
        <f aca="false">H1659*INDEX('Model Inputs &amp; Assumptions'!$G$40:$G$42,MATCH('Model Inputs &amp; Assumptions'!$L$31,'Model Inputs &amp; Assumptions'!$A$40:$A$42,0))*INDEX('Model Inputs &amp; Assumptions'!$H$40:$H$42,MATCH('Model Inputs &amp; Assumptions'!$L$31,'Model Inputs &amp; Assumptions'!$A$40:$A$42,0))</f>
        <v>7375.35964796122</v>
      </c>
      <c r="L1659" s="51" t="n">
        <f aca="false">IFERROR(K1659/I1659,0)</f>
        <v>1.76893324161319</v>
      </c>
      <c r="M1659" s="49" t="n">
        <f aca="false">IFERROR(I1659/H1659,0)</f>
        <v>89.749005934909</v>
      </c>
      <c r="N1659" s="52" t="str">
        <f aca="false">'Model Inputs &amp; Assumptions'!$L$31</f>
        <v>PRD-USIQ</v>
      </c>
      <c r="P1659" s="53" t="n">
        <v>-0.814033</v>
      </c>
      <c r="Q1659" s="53" t="n">
        <v>0.273337</v>
      </c>
      <c r="R1659" s="53" t="n">
        <v>-1.244689</v>
      </c>
      <c r="S1659" s="53" t="n">
        <v>0.771267</v>
      </c>
    </row>
    <row r="1660" customFormat="false" ht="15" hidden="false" customHeight="false" outlineLevel="0" collapsed="false">
      <c r="A1660" s="43" t="n">
        <v>157</v>
      </c>
      <c r="B1660" s="44" t="str">
        <f aca="false">'Model Inputs &amp; Assumptions'!$B$31</f>
        <v>YouTube — Finfluencer Pre-roll</v>
      </c>
      <c r="C1660" s="45" t="n">
        <f aca="false">ROUND(MAX(0,'Model Inputs &amp; Assumptions'!$S$31*EXP('Model Inputs &amp; Assumptions'!$T$31*P1660-'Model Inputs &amp; Assumptions'!$T$31^2/2)),0)</f>
        <v>484269</v>
      </c>
      <c r="D1660" s="46" t="n">
        <f aca="false">MIN(1,'Model Inputs &amp; Assumptions'!$U$31*EXP('Model Inputs &amp; Assumptions'!$V$31*Q1660-'Model Inputs &amp; Assumptions'!$V$31^2/2))</f>
        <v>0.66024214685</v>
      </c>
      <c r="E1660" s="45" t="n">
        <f aca="false">ROUND(C1660*D1660,0)</f>
        <v>319735</v>
      </c>
      <c r="F1660" s="47" t="n">
        <f aca="false">MIN(1,'Model Inputs &amp; Assumptions'!$W$31*EXP('Model Inputs &amp; Assumptions'!$X$31*R1660-'Model Inputs &amp; Assumptions'!$X$31^2/2))</f>
        <v>0.00575313562600174</v>
      </c>
      <c r="G1660" s="45" t="n">
        <f aca="false">ROUND(C1660*F1660,0)</f>
        <v>2786</v>
      </c>
      <c r="H1660" s="48" t="n">
        <f aca="false">MAX(0,(C1660*'Model Inputs &amp; Assumptions'!$N$31+E1660*'Model Inputs &amp; Assumptions'!$O$31+G1660*'Model Inputs &amp; Assumptions'!$P$31)*EXP('Model Inputs &amp; Assumptions'!$Q$31*S1660-'Model Inputs &amp; Assumptions'!$Q$31^2/2))</f>
        <v>51.3139067780898</v>
      </c>
      <c r="I1660" s="49" t="n">
        <f aca="false">IF('Model Inputs &amp; Assumptions'!$H$31="Fixed",'Model Inputs &amp; Assumptions'!$I$31*'Model Inputs &amp; Assumptions'!$K$31,IF('Model Inputs &amp; Assumptions'!$H$31="CPM",'Model Inputs &amp; Assumptions'!$I$31*'Model Inputs &amp; Assumptions'!$K$31*C1660/1000,IF('Model Inputs &amp; Assumptions'!$H$31="CPC",'Model Inputs &amp; Assumptions'!$I$31*'Model Inputs &amp; Assumptions'!$K$31*G1660,0)))</f>
        <v>5494.516074</v>
      </c>
      <c r="J1660" s="50" t="n">
        <f aca="false">H1660*INDEX('Model Inputs &amp; Assumptions'!$D$40:$D$42,MATCH('Model Inputs &amp; Assumptions'!$L$31,'Model Inputs &amp; Assumptions'!$A$40:$A$42,0))*INDEX('Model Inputs &amp; Assumptions'!$H$40:$H$42,MATCH('Model Inputs &amp; Assumptions'!$L$31,'Model Inputs &amp; Assumptions'!$A$40:$A$42,0))</f>
        <v>369460.128802247</v>
      </c>
      <c r="K1660" s="49" t="n">
        <f aca="false">H1660*INDEX('Model Inputs &amp; Assumptions'!$G$40:$G$42,MATCH('Model Inputs &amp; Assumptions'!$L$31,'Model Inputs &amp; Assumptions'!$A$40:$A$42,0))*INDEX('Model Inputs &amp; Assumptions'!$H$40:$H$42,MATCH('Model Inputs &amp; Assumptions'!$L$31,'Model Inputs &amp; Assumptions'!$A$40:$A$42,0))</f>
        <v>8146.59584008954</v>
      </c>
      <c r="L1660" s="51" t="n">
        <f aca="false">IFERROR(K1660/I1660,0)</f>
        <v>1.48267758804805</v>
      </c>
      <c r="M1660" s="49" t="n">
        <f aca="false">IFERROR(I1660/H1660,0)</f>
        <v>107.076549399393</v>
      </c>
      <c r="N1660" s="52" t="str">
        <f aca="false">'Model Inputs &amp; Assumptions'!$L$31</f>
        <v>PRD-USIQ</v>
      </c>
      <c r="P1660" s="53" t="n">
        <v>0.171626</v>
      </c>
      <c r="Q1660" s="53" t="n">
        <v>0.873458</v>
      </c>
      <c r="R1660" s="53" t="n">
        <v>0.704613</v>
      </c>
      <c r="S1660" s="53" t="n">
        <v>-0.602772</v>
      </c>
    </row>
    <row r="1661" customFormat="false" ht="15" hidden="false" customHeight="false" outlineLevel="0" collapsed="false">
      <c r="A1661" s="43" t="n">
        <v>158</v>
      </c>
      <c r="B1661" s="44" t="str">
        <f aca="false">'Model Inputs &amp; Assumptions'!$B$31</f>
        <v>YouTube — Finfluencer Pre-roll</v>
      </c>
      <c r="C1661" s="45" t="n">
        <f aca="false">ROUND(MAX(0,'Model Inputs &amp; Assumptions'!$S$31*EXP('Model Inputs &amp; Assumptions'!$T$31*P1661-'Model Inputs &amp; Assumptions'!$T$31^2/2)),0)</f>
        <v>367019</v>
      </c>
      <c r="D1661" s="46" t="n">
        <f aca="false">MIN(1,'Model Inputs &amp; Assumptions'!$U$31*EXP('Model Inputs &amp; Assumptions'!$V$31*Q1661-'Model Inputs &amp; Assumptions'!$V$31^2/2))</f>
        <v>0.570107886169301</v>
      </c>
      <c r="E1661" s="45" t="n">
        <f aca="false">ROUND(C1661*D1661,0)</f>
        <v>209240</v>
      </c>
      <c r="F1661" s="47" t="n">
        <f aca="false">MIN(1,'Model Inputs &amp; Assumptions'!$W$31*EXP('Model Inputs &amp; Assumptions'!$X$31*R1661-'Model Inputs &amp; Assumptions'!$X$31^2/2))</f>
        <v>0.00365714442972888</v>
      </c>
      <c r="G1661" s="45" t="n">
        <f aca="false">ROUND(C1661*F1661,0)</f>
        <v>1342</v>
      </c>
      <c r="H1661" s="48" t="n">
        <f aca="false">MAX(0,(C1661*'Model Inputs &amp; Assumptions'!$N$31+E1661*'Model Inputs &amp; Assumptions'!$O$31+G1661*'Model Inputs &amp; Assumptions'!$P$31)*EXP('Model Inputs &amp; Assumptions'!$Q$31*S1661-'Model Inputs &amp; Assumptions'!$Q$31^2/2))</f>
        <v>51.7039000145251</v>
      </c>
      <c r="I1661" s="49" t="n">
        <f aca="false">IF('Model Inputs &amp; Assumptions'!$H$31="Fixed",'Model Inputs &amp; Assumptions'!$I$31*'Model Inputs &amp; Assumptions'!$K$31,IF('Model Inputs &amp; Assumptions'!$H$31="CPM",'Model Inputs &amp; Assumptions'!$I$31*'Model Inputs &amp; Assumptions'!$K$31*C1661/1000,IF('Model Inputs &amp; Assumptions'!$H$31="CPC",'Model Inputs &amp; Assumptions'!$I$31*'Model Inputs &amp; Assumptions'!$K$31*G1661,0)))</f>
        <v>4164.197574</v>
      </c>
      <c r="J1661" s="50" t="n">
        <f aca="false">H1661*INDEX('Model Inputs &amp; Assumptions'!$D$40:$D$42,MATCH('Model Inputs &amp; Assumptions'!$L$31,'Model Inputs &amp; Assumptions'!$A$40:$A$42,0))*INDEX('Model Inputs &amp; Assumptions'!$H$40:$H$42,MATCH('Model Inputs &amp; Assumptions'!$L$31,'Model Inputs &amp; Assumptions'!$A$40:$A$42,0))</f>
        <v>372268.080104581</v>
      </c>
      <c r="K1661" s="49" t="n">
        <f aca="false">H1661*INDEX('Model Inputs &amp; Assumptions'!$G$40:$G$42,MATCH('Model Inputs &amp; Assumptions'!$L$31,'Model Inputs &amp; Assumptions'!$A$40:$A$42,0))*INDEX('Model Inputs &amp; Assumptions'!$H$40:$H$42,MATCH('Model Inputs &amp; Assumptions'!$L$31,'Model Inputs &amp; Assumptions'!$A$40:$A$42,0))</f>
        <v>8208.511166306</v>
      </c>
      <c r="L1661" s="51" t="n">
        <f aca="false">IFERROR(K1661/I1661,0)</f>
        <v>1.97121078441558</v>
      </c>
      <c r="M1661" s="49" t="n">
        <f aca="false">IFERROR(I1661/H1661,0)</f>
        <v>80.5393320973884</v>
      </c>
      <c r="N1661" s="52" t="str">
        <f aca="false">'Model Inputs &amp; Assumptions'!$L$31</f>
        <v>PRD-USIQ</v>
      </c>
      <c r="P1661" s="53" t="n">
        <v>-0.818471</v>
      </c>
      <c r="Q1661" s="53" t="n">
        <v>-0.174978</v>
      </c>
      <c r="R1661" s="53" t="n">
        <v>-1.183147</v>
      </c>
      <c r="S1661" s="53" t="n">
        <v>1.141162</v>
      </c>
    </row>
    <row r="1662" customFormat="false" ht="15" hidden="false" customHeight="false" outlineLevel="0" collapsed="false">
      <c r="A1662" s="43" t="n">
        <v>159</v>
      </c>
      <c r="B1662" s="44" t="str">
        <f aca="false">'Model Inputs &amp; Assumptions'!$B$31</f>
        <v>YouTube — Finfluencer Pre-roll</v>
      </c>
      <c r="C1662" s="45" t="n">
        <f aca="false">ROUND(MAX(0,'Model Inputs &amp; Assumptions'!$S$31*EXP('Model Inputs &amp; Assumptions'!$T$31*P1662-'Model Inputs &amp; Assumptions'!$T$31^2/2)),0)</f>
        <v>482588</v>
      </c>
      <c r="D1662" s="46" t="n">
        <f aca="false">MIN(1,'Model Inputs &amp; Assumptions'!$U$31*EXP('Model Inputs &amp; Assumptions'!$V$31*Q1662-'Model Inputs &amp; Assumptions'!$V$31^2/2))</f>
        <v>0.411526615356745</v>
      </c>
      <c r="E1662" s="45" t="n">
        <f aca="false">ROUND(C1662*D1662,0)</f>
        <v>198598</v>
      </c>
      <c r="F1662" s="47" t="n">
        <f aca="false">MIN(1,'Model Inputs &amp; Assumptions'!$W$31*EXP('Model Inputs &amp; Assumptions'!$X$31*R1662-'Model Inputs &amp; Assumptions'!$X$31^2/2))</f>
        <v>0.00636026823917843</v>
      </c>
      <c r="G1662" s="45" t="n">
        <f aca="false">ROUND(C1662*F1662,0)</f>
        <v>3069</v>
      </c>
      <c r="H1662" s="48" t="n">
        <f aca="false">MAX(0,(C1662*'Model Inputs &amp; Assumptions'!$N$31+E1662*'Model Inputs &amp; Assumptions'!$O$31+G1662*'Model Inputs &amp; Assumptions'!$P$31)*EXP('Model Inputs &amp; Assumptions'!$Q$31*S1662-'Model Inputs &amp; Assumptions'!$Q$31^2/2))</f>
        <v>48.9324753609368</v>
      </c>
      <c r="I1662" s="49" t="n">
        <f aca="false">IF('Model Inputs &amp; Assumptions'!$H$31="Fixed",'Model Inputs &amp; Assumptions'!$I$31*'Model Inputs &amp; Assumptions'!$K$31,IF('Model Inputs &amp; Assumptions'!$H$31="CPM",'Model Inputs &amp; Assumptions'!$I$31*'Model Inputs &amp; Assumptions'!$K$31*C1662/1000,IF('Model Inputs &amp; Assumptions'!$H$31="CPC",'Model Inputs &amp; Assumptions'!$I$31*'Model Inputs &amp; Assumptions'!$K$31*G1662,0)))</f>
        <v>5475.443448</v>
      </c>
      <c r="J1662" s="50" t="n">
        <f aca="false">H1662*INDEX('Model Inputs &amp; Assumptions'!$D$40:$D$42,MATCH('Model Inputs &amp; Assumptions'!$L$31,'Model Inputs &amp; Assumptions'!$A$40:$A$42,0))*INDEX('Model Inputs &amp; Assumptions'!$H$40:$H$42,MATCH('Model Inputs &amp; Assumptions'!$L$31,'Model Inputs &amp; Assumptions'!$A$40:$A$42,0))</f>
        <v>352313.822598745</v>
      </c>
      <c r="K1662" s="49" t="n">
        <f aca="false">H1662*INDEX('Model Inputs &amp; Assumptions'!$G$40:$G$42,MATCH('Model Inputs &amp; Assumptions'!$L$31,'Model Inputs &amp; Assumptions'!$A$40:$A$42,0))*INDEX('Model Inputs &amp; Assumptions'!$H$40:$H$42,MATCH('Model Inputs &amp; Assumptions'!$L$31,'Model Inputs &amp; Assumptions'!$A$40:$A$42,0))</f>
        <v>7768.51978830233</v>
      </c>
      <c r="L1662" s="51" t="n">
        <f aca="false">IFERROR(K1662/I1662,0)</f>
        <v>1.41879280867012</v>
      </c>
      <c r="M1662" s="49" t="n">
        <f aca="false">IFERROR(I1662/H1662,0)</f>
        <v>111.897945231912</v>
      </c>
      <c r="N1662" s="52" t="str">
        <f aca="false">'Model Inputs &amp; Assumptions'!$L$31</f>
        <v>PRD-USIQ</v>
      </c>
      <c r="P1662" s="53" t="n">
        <v>0.159204</v>
      </c>
      <c r="Q1662" s="53" t="n">
        <v>-2.503206</v>
      </c>
      <c r="R1662" s="53" t="n">
        <v>1.122636</v>
      </c>
      <c r="S1662" s="53" t="n">
        <v>-0.497708</v>
      </c>
    </row>
    <row r="1663" customFormat="false" ht="15" hidden="false" customHeight="false" outlineLevel="0" collapsed="false">
      <c r="A1663" s="43" t="n">
        <v>160</v>
      </c>
      <c r="B1663" s="44" t="str">
        <f aca="false">'Model Inputs &amp; Assumptions'!$B$31</f>
        <v>YouTube — Finfluencer Pre-roll</v>
      </c>
      <c r="C1663" s="45" t="n">
        <f aca="false">ROUND(MAX(0,'Model Inputs &amp; Assumptions'!$S$31*EXP('Model Inputs &amp; Assumptions'!$T$31*P1663-'Model Inputs &amp; Assumptions'!$T$31^2/2)),0)</f>
        <v>406866</v>
      </c>
      <c r="D1663" s="46" t="n">
        <f aca="false">MIN(1,'Model Inputs &amp; Assumptions'!$U$31*EXP('Model Inputs &amp; Assumptions'!$V$31*Q1663-'Model Inputs &amp; Assumptions'!$V$31^2/2))</f>
        <v>0.528437689078599</v>
      </c>
      <c r="E1663" s="45" t="n">
        <f aca="false">ROUND(C1663*D1663,0)</f>
        <v>215003</v>
      </c>
      <c r="F1663" s="47" t="n">
        <f aca="false">MIN(1,'Model Inputs &amp; Assumptions'!$W$31*EXP('Model Inputs &amp; Assumptions'!$X$31*R1663-'Model Inputs &amp; Assumptions'!$X$31^2/2))</f>
        <v>0.00413312753355396</v>
      </c>
      <c r="G1663" s="45" t="n">
        <f aca="false">ROUND(C1663*F1663,0)</f>
        <v>1682</v>
      </c>
      <c r="H1663" s="48" t="n">
        <f aca="false">MAX(0,(C1663*'Model Inputs &amp; Assumptions'!$N$31+E1663*'Model Inputs &amp; Assumptions'!$O$31+G1663*'Model Inputs &amp; Assumptions'!$P$31)*EXP('Model Inputs &amp; Assumptions'!$Q$31*S1663-'Model Inputs &amp; Assumptions'!$Q$31^2/2))</f>
        <v>37.1491193477576</v>
      </c>
      <c r="I1663" s="49" t="n">
        <f aca="false">IF('Model Inputs &amp; Assumptions'!$H$31="Fixed",'Model Inputs &amp; Assumptions'!$I$31*'Model Inputs &amp; Assumptions'!$K$31,IF('Model Inputs &amp; Assumptions'!$H$31="CPM",'Model Inputs &amp; Assumptions'!$I$31*'Model Inputs &amp; Assumptions'!$K$31*C1663/1000,IF('Model Inputs &amp; Assumptions'!$H$31="CPC",'Model Inputs &amp; Assumptions'!$I$31*'Model Inputs &amp; Assumptions'!$K$31*G1663,0)))</f>
        <v>4616.301636</v>
      </c>
      <c r="J1663" s="50" t="n">
        <f aca="false">H1663*INDEX('Model Inputs &amp; Assumptions'!$D$40:$D$42,MATCH('Model Inputs &amp; Assumptions'!$L$31,'Model Inputs &amp; Assumptions'!$A$40:$A$42,0))*INDEX('Model Inputs &amp; Assumptions'!$H$40:$H$42,MATCH('Model Inputs &amp; Assumptions'!$L$31,'Model Inputs &amp; Assumptions'!$A$40:$A$42,0))</f>
        <v>267473.659303855</v>
      </c>
      <c r="K1663" s="49" t="n">
        <f aca="false">H1663*INDEX('Model Inputs &amp; Assumptions'!$G$40:$G$42,MATCH('Model Inputs &amp; Assumptions'!$L$31,'Model Inputs &amp; Assumptions'!$A$40:$A$42,0))*INDEX('Model Inputs &amp; Assumptions'!$H$40:$H$42,MATCH('Model Inputs &amp; Assumptions'!$L$31,'Model Inputs &amp; Assumptions'!$A$40:$A$42,0))</f>
        <v>5897.79418765</v>
      </c>
      <c r="L1663" s="51" t="n">
        <f aca="false">IFERROR(K1663/I1663,0)</f>
        <v>1.27760156348024</v>
      </c>
      <c r="M1663" s="49" t="n">
        <f aca="false">IFERROR(I1663/H1663,0)</f>
        <v>124.264093390377</v>
      </c>
      <c r="N1663" s="52" t="str">
        <f aca="false">'Model Inputs &amp; Assumptions'!$L$31</f>
        <v>PRD-USIQ</v>
      </c>
      <c r="P1663" s="53" t="n">
        <v>-0.450365</v>
      </c>
      <c r="Q1663" s="53" t="n">
        <v>-0.717126</v>
      </c>
      <c r="R1663" s="53" t="n">
        <v>-0.673348</v>
      </c>
      <c r="S1663" s="53" t="n">
        <v>-0.204775</v>
      </c>
    </row>
    <row r="1664" customFormat="false" ht="15" hidden="false" customHeight="false" outlineLevel="0" collapsed="false">
      <c r="A1664" s="43" t="n">
        <v>161</v>
      </c>
      <c r="B1664" s="44" t="str">
        <f aca="false">'Model Inputs &amp; Assumptions'!$B$31</f>
        <v>YouTube — Finfluencer Pre-roll</v>
      </c>
      <c r="C1664" s="45" t="n">
        <f aca="false">ROUND(MAX(0,'Model Inputs &amp; Assumptions'!$S$31*EXP('Model Inputs &amp; Assumptions'!$T$31*P1664-'Model Inputs &amp; Assumptions'!$T$31^2/2)),0)</f>
        <v>508845</v>
      </c>
      <c r="D1664" s="46" t="n">
        <f aca="false">MIN(1,'Model Inputs &amp; Assumptions'!$U$31*EXP('Model Inputs &amp; Assumptions'!$V$31*Q1664-'Model Inputs &amp; Assumptions'!$V$31^2/2))</f>
        <v>0.629878558740188</v>
      </c>
      <c r="E1664" s="45" t="n">
        <f aca="false">ROUND(C1664*D1664,0)</f>
        <v>320511</v>
      </c>
      <c r="F1664" s="47" t="n">
        <f aca="false">MIN(1,'Model Inputs &amp; Assumptions'!$W$31*EXP('Model Inputs &amp; Assumptions'!$X$31*R1664-'Model Inputs &amp; Assumptions'!$X$31^2/2))</f>
        <v>0.0072561596310078</v>
      </c>
      <c r="G1664" s="45" t="n">
        <f aca="false">ROUND(C1664*F1664,0)</f>
        <v>3692</v>
      </c>
      <c r="H1664" s="48" t="n">
        <f aca="false">MAX(0,(C1664*'Model Inputs &amp; Assumptions'!$N$31+E1664*'Model Inputs &amp; Assumptions'!$O$31+G1664*'Model Inputs &amp; Assumptions'!$P$31)*EXP('Model Inputs &amp; Assumptions'!$Q$31*S1664-'Model Inputs &amp; Assumptions'!$Q$31^2/2))</f>
        <v>44.3654893017958</v>
      </c>
      <c r="I1664" s="49" t="n">
        <f aca="false">IF('Model Inputs &amp; Assumptions'!$H$31="Fixed",'Model Inputs &amp; Assumptions'!$I$31*'Model Inputs &amp; Assumptions'!$K$31,IF('Model Inputs &amp; Assumptions'!$H$31="CPM",'Model Inputs &amp; Assumptions'!$I$31*'Model Inputs &amp; Assumptions'!$K$31*C1664/1000,IF('Model Inputs &amp; Assumptions'!$H$31="CPC",'Model Inputs &amp; Assumptions'!$I$31*'Model Inputs &amp; Assumptions'!$K$31*G1664,0)))</f>
        <v>5773.35537</v>
      </c>
      <c r="J1664" s="50" t="n">
        <f aca="false">H1664*INDEX('Model Inputs &amp; Assumptions'!$D$40:$D$42,MATCH('Model Inputs &amp; Assumptions'!$L$31,'Model Inputs &amp; Assumptions'!$A$40:$A$42,0))*INDEX('Model Inputs &amp; Assumptions'!$H$40:$H$42,MATCH('Model Inputs &amp; Assumptions'!$L$31,'Model Inputs &amp; Assumptions'!$A$40:$A$42,0))</f>
        <v>319431.52297293</v>
      </c>
      <c r="K1664" s="49" t="n">
        <f aca="false">H1664*INDEX('Model Inputs &amp; Assumptions'!$G$40:$G$42,MATCH('Model Inputs &amp; Assumptions'!$L$31,'Model Inputs &amp; Assumptions'!$A$40:$A$42,0))*INDEX('Model Inputs &amp; Assumptions'!$H$40:$H$42,MATCH('Model Inputs &amp; Assumptions'!$L$31,'Model Inputs &amp; Assumptions'!$A$40:$A$42,0))</f>
        <v>7043.4650815531</v>
      </c>
      <c r="L1664" s="51" t="n">
        <f aca="false">IFERROR(K1664/I1664,0)</f>
        <v>1.21999506875204</v>
      </c>
      <c r="M1664" s="49" t="n">
        <f aca="false">IFERROR(I1664/H1664,0)</f>
        <v>130.131673534057</v>
      </c>
      <c r="N1664" s="52" t="str">
        <f aca="false">'Model Inputs &amp; Assumptions'!$L$31</f>
        <v>PRD-USIQ</v>
      </c>
      <c r="P1664" s="53" t="n">
        <v>0.348419</v>
      </c>
      <c r="Q1664" s="53" t="n">
        <v>0.537175</v>
      </c>
      <c r="R1664" s="53" t="n">
        <v>1.67172</v>
      </c>
      <c r="S1664" s="53" t="n">
        <v>-1.5457</v>
      </c>
    </row>
    <row r="1665" customFormat="false" ht="15" hidden="false" customHeight="false" outlineLevel="0" collapsed="false">
      <c r="A1665" s="43" t="n">
        <v>162</v>
      </c>
      <c r="B1665" s="44" t="str">
        <f aca="false">'Model Inputs &amp; Assumptions'!$B$31</f>
        <v>YouTube — Finfluencer Pre-roll</v>
      </c>
      <c r="C1665" s="45" t="n">
        <f aca="false">ROUND(MAX(0,'Model Inputs &amp; Assumptions'!$S$31*EXP('Model Inputs &amp; Assumptions'!$T$31*P1665-'Model Inputs &amp; Assumptions'!$T$31^2/2)),0)</f>
        <v>444394</v>
      </c>
      <c r="D1665" s="46" t="n">
        <f aca="false">MIN(1,'Model Inputs &amp; Assumptions'!$U$31*EXP('Model Inputs &amp; Assumptions'!$V$31*Q1665-'Model Inputs &amp; Assumptions'!$V$31^2/2))</f>
        <v>0.686672602090836</v>
      </c>
      <c r="E1665" s="45" t="n">
        <f aca="false">ROUND(C1665*D1665,0)</f>
        <v>305153</v>
      </c>
      <c r="F1665" s="47" t="n">
        <f aca="false">MIN(1,'Model Inputs &amp; Assumptions'!$W$31*EXP('Model Inputs &amp; Assumptions'!$X$31*R1665-'Model Inputs &amp; Assumptions'!$X$31^2/2))</f>
        <v>0.00573677905410871</v>
      </c>
      <c r="G1665" s="45" t="n">
        <f aca="false">ROUND(C1665*F1665,0)</f>
        <v>2549</v>
      </c>
      <c r="H1665" s="48" t="n">
        <f aca="false">MAX(0,(C1665*'Model Inputs &amp; Assumptions'!$N$31+E1665*'Model Inputs &amp; Assumptions'!$O$31+G1665*'Model Inputs &amp; Assumptions'!$P$31)*EXP('Model Inputs &amp; Assumptions'!$Q$31*S1665-'Model Inputs &amp; Assumptions'!$Q$31^2/2))</f>
        <v>83.419953062341</v>
      </c>
      <c r="I1665" s="49" t="n">
        <f aca="false">IF('Model Inputs &amp; Assumptions'!$H$31="Fixed",'Model Inputs &amp; Assumptions'!$I$31*'Model Inputs &amp; Assumptions'!$K$31,IF('Model Inputs &amp; Assumptions'!$H$31="CPM",'Model Inputs &amp; Assumptions'!$I$31*'Model Inputs &amp; Assumptions'!$K$31*C1665/1000,IF('Model Inputs &amp; Assumptions'!$H$31="CPC",'Model Inputs &amp; Assumptions'!$I$31*'Model Inputs &amp; Assumptions'!$K$31*G1665,0)))</f>
        <v>5042.094324</v>
      </c>
      <c r="J1665" s="50" t="n">
        <f aca="false">H1665*INDEX('Model Inputs &amp; Assumptions'!$D$40:$D$42,MATCH('Model Inputs &amp; Assumptions'!$L$31,'Model Inputs &amp; Assumptions'!$A$40:$A$42,0))*INDEX('Model Inputs &amp; Assumptions'!$H$40:$H$42,MATCH('Model Inputs &amp; Assumptions'!$L$31,'Model Inputs &amp; Assumptions'!$A$40:$A$42,0))</f>
        <v>600623.662048855</v>
      </c>
      <c r="K1665" s="49" t="n">
        <f aca="false">H1665*INDEX('Model Inputs &amp; Assumptions'!$G$40:$G$42,MATCH('Model Inputs &amp; Assumptions'!$L$31,'Model Inputs &amp; Assumptions'!$A$40:$A$42,0))*INDEX('Model Inputs &amp; Assumptions'!$H$40:$H$42,MATCH('Model Inputs &amp; Assumptions'!$L$31,'Model Inputs &amp; Assumptions'!$A$40:$A$42,0))</f>
        <v>13243.7517481773</v>
      </c>
      <c r="L1665" s="51" t="n">
        <f aca="false">IFERROR(K1665/I1665,0)</f>
        <v>2.62663704745426</v>
      </c>
      <c r="M1665" s="49" t="n">
        <f aca="false">IFERROR(I1665/H1665,0)</f>
        <v>60.4423059340727</v>
      </c>
      <c r="N1665" s="52" t="str">
        <f aca="false">'Model Inputs &amp; Assumptions'!$L$31</f>
        <v>PRD-USIQ</v>
      </c>
      <c r="P1665" s="53" t="n">
        <v>-0.135266</v>
      </c>
      <c r="Q1665" s="53" t="n">
        <v>1.153822</v>
      </c>
      <c r="R1665" s="53" t="n">
        <v>0.69275</v>
      </c>
      <c r="S1665" s="53" t="n">
        <v>0.993194</v>
      </c>
    </row>
    <row r="1666" customFormat="false" ht="15" hidden="false" customHeight="false" outlineLevel="0" collapsed="false">
      <c r="A1666" s="43" t="n">
        <v>163</v>
      </c>
      <c r="B1666" s="44" t="str">
        <f aca="false">'Model Inputs &amp; Assumptions'!$B$31</f>
        <v>YouTube — Finfluencer Pre-roll</v>
      </c>
      <c r="C1666" s="45" t="n">
        <f aca="false">ROUND(MAX(0,'Model Inputs &amp; Assumptions'!$S$31*EXP('Model Inputs &amp; Assumptions'!$T$31*P1666-'Model Inputs &amp; Assumptions'!$T$31^2/2)),0)</f>
        <v>331524</v>
      </c>
      <c r="D1666" s="46" t="n">
        <f aca="false">MIN(1,'Model Inputs &amp; Assumptions'!$U$31*EXP('Model Inputs &amp; Assumptions'!$V$31*Q1666-'Model Inputs &amp; Assumptions'!$V$31^2/2))</f>
        <v>0.719246241546007</v>
      </c>
      <c r="E1666" s="45" t="n">
        <f aca="false">ROUND(C1666*D1666,0)</f>
        <v>238447</v>
      </c>
      <c r="F1666" s="47" t="n">
        <f aca="false">MIN(1,'Model Inputs &amp; Assumptions'!$W$31*EXP('Model Inputs &amp; Assumptions'!$X$31*R1666-'Model Inputs &amp; Assumptions'!$X$31^2/2))</f>
        <v>0.00455187880739039</v>
      </c>
      <c r="G1666" s="45" t="n">
        <f aca="false">ROUND(C1666*F1666,0)</f>
        <v>1509</v>
      </c>
      <c r="H1666" s="48" t="n">
        <f aca="false">MAX(0,(C1666*'Model Inputs &amp; Assumptions'!$N$31+E1666*'Model Inputs &amp; Assumptions'!$O$31+G1666*'Model Inputs &amp; Assumptions'!$P$31)*EXP('Model Inputs &amp; Assumptions'!$Q$31*S1666-'Model Inputs &amp; Assumptions'!$Q$31^2/2))</f>
        <v>32.7128553001349</v>
      </c>
      <c r="I1666" s="49" t="n">
        <f aca="false">IF('Model Inputs &amp; Assumptions'!$H$31="Fixed",'Model Inputs &amp; Assumptions'!$I$31*'Model Inputs &amp; Assumptions'!$K$31,IF('Model Inputs &amp; Assumptions'!$H$31="CPM",'Model Inputs &amp; Assumptions'!$I$31*'Model Inputs &amp; Assumptions'!$K$31*C1666/1000,IF('Model Inputs &amp; Assumptions'!$H$31="CPC",'Model Inputs &amp; Assumptions'!$I$31*'Model Inputs &amp; Assumptions'!$K$31*G1666,0)))</f>
        <v>3761.471304</v>
      </c>
      <c r="J1666" s="50" t="n">
        <f aca="false">H1666*INDEX('Model Inputs &amp; Assumptions'!$D$40:$D$42,MATCH('Model Inputs &amp; Assumptions'!$L$31,'Model Inputs &amp; Assumptions'!$A$40:$A$42,0))*INDEX('Model Inputs &amp; Assumptions'!$H$40:$H$42,MATCH('Model Inputs &amp; Assumptions'!$L$31,'Model Inputs &amp; Assumptions'!$A$40:$A$42,0))</f>
        <v>235532.558160971</v>
      </c>
      <c r="K1666" s="49" t="n">
        <f aca="false">H1666*INDEX('Model Inputs &amp; Assumptions'!$G$40:$G$42,MATCH('Model Inputs &amp; Assumptions'!$L$31,'Model Inputs &amp; Assumptions'!$A$40:$A$42,0))*INDEX('Model Inputs &amp; Assumptions'!$H$40:$H$42,MATCH('Model Inputs &amp; Assumptions'!$L$31,'Model Inputs &amp; Assumptions'!$A$40:$A$42,0))</f>
        <v>5193.49290744942</v>
      </c>
      <c r="L1666" s="51" t="n">
        <f aca="false">IFERROR(K1666/I1666,0)</f>
        <v>1.38070783683145</v>
      </c>
      <c r="M1666" s="49" t="n">
        <f aca="false">IFERROR(I1666/H1666,0)</f>
        <v>114.984499808688</v>
      </c>
      <c r="N1666" s="52" t="str">
        <f aca="false">'Model Inputs &amp; Assumptions'!$L$31</f>
        <v>PRD-USIQ</v>
      </c>
      <c r="P1666" s="53" t="n">
        <v>-1.181734</v>
      </c>
      <c r="Q1666" s="53" t="n">
        <v>1.484866</v>
      </c>
      <c r="R1666" s="53" t="n">
        <v>-0.271241</v>
      </c>
      <c r="S1666" s="53" t="n">
        <v>-0.51926</v>
      </c>
    </row>
    <row r="1667" customFormat="false" ht="15" hidden="false" customHeight="false" outlineLevel="0" collapsed="false">
      <c r="A1667" s="43" t="n">
        <v>164</v>
      </c>
      <c r="B1667" s="44" t="str">
        <f aca="false">'Model Inputs &amp; Assumptions'!$B$31</f>
        <v>YouTube — Finfluencer Pre-roll</v>
      </c>
      <c r="C1667" s="45" t="n">
        <f aca="false">ROUND(MAX(0,'Model Inputs &amp; Assumptions'!$S$31*EXP('Model Inputs &amp; Assumptions'!$T$31*P1667-'Model Inputs &amp; Assumptions'!$T$31^2/2)),0)</f>
        <v>309450</v>
      </c>
      <c r="D1667" s="46" t="n">
        <f aca="false">MIN(1,'Model Inputs &amp; Assumptions'!$U$31*EXP('Model Inputs &amp; Assumptions'!$V$31*Q1667-'Model Inputs &amp; Assumptions'!$V$31^2/2))</f>
        <v>0.594275096099294</v>
      </c>
      <c r="E1667" s="45" t="n">
        <f aca="false">ROUND(C1667*D1667,0)</f>
        <v>183898</v>
      </c>
      <c r="F1667" s="47" t="n">
        <f aca="false">MIN(1,'Model Inputs &amp; Assumptions'!$W$31*EXP('Model Inputs &amp; Assumptions'!$X$31*R1667-'Model Inputs &amp; Assumptions'!$X$31^2/2))</f>
        <v>0.00295587215383785</v>
      </c>
      <c r="G1667" s="45" t="n">
        <f aca="false">ROUND(C1667*F1667,0)</f>
        <v>915</v>
      </c>
      <c r="H1667" s="48" t="n">
        <f aca="false">MAX(0,(C1667*'Model Inputs &amp; Assumptions'!$N$31+E1667*'Model Inputs &amp; Assumptions'!$O$31+G1667*'Model Inputs &amp; Assumptions'!$P$31)*EXP('Model Inputs &amp; Assumptions'!$Q$31*S1667-'Model Inputs &amp; Assumptions'!$Q$31^2/2))</f>
        <v>29.823657000546</v>
      </c>
      <c r="I1667" s="49" t="n">
        <f aca="false">IF('Model Inputs &amp; Assumptions'!$H$31="Fixed",'Model Inputs &amp; Assumptions'!$I$31*'Model Inputs &amp; Assumptions'!$K$31,IF('Model Inputs &amp; Assumptions'!$H$31="CPM",'Model Inputs &amp; Assumptions'!$I$31*'Model Inputs &amp; Assumptions'!$K$31*C1667/1000,IF('Model Inputs &amp; Assumptions'!$H$31="CPC",'Model Inputs &amp; Assumptions'!$I$31*'Model Inputs &amp; Assumptions'!$K$31*G1667,0)))</f>
        <v>3511.0197</v>
      </c>
      <c r="J1667" s="50" t="n">
        <f aca="false">H1667*INDEX('Model Inputs &amp; Assumptions'!$D$40:$D$42,MATCH('Model Inputs &amp; Assumptions'!$L$31,'Model Inputs &amp; Assumptions'!$A$40:$A$42,0))*INDEX('Model Inputs &amp; Assumptions'!$H$40:$H$42,MATCH('Model Inputs &amp; Assumptions'!$L$31,'Model Inputs &amp; Assumptions'!$A$40:$A$42,0))</f>
        <v>214730.330403931</v>
      </c>
      <c r="K1667" s="49" t="n">
        <f aca="false">H1667*INDEX('Model Inputs &amp; Assumptions'!$G$40:$G$42,MATCH('Model Inputs &amp; Assumptions'!$L$31,'Model Inputs &amp; Assumptions'!$A$40:$A$42,0))*INDEX('Model Inputs &amp; Assumptions'!$H$40:$H$42,MATCH('Model Inputs &amp; Assumptions'!$L$31,'Model Inputs &amp; Assumptions'!$A$40:$A$42,0))</f>
        <v>4734.80378540668</v>
      </c>
      <c r="L1667" s="51" t="n">
        <f aca="false">IFERROR(K1667/I1667,0)</f>
        <v>1.34855517484185</v>
      </c>
      <c r="M1667" s="49" t="n">
        <f aca="false">IFERROR(I1667/H1667,0)</f>
        <v>117.725995170067</v>
      </c>
      <c r="N1667" s="52" t="str">
        <f aca="false">'Model Inputs &amp; Assumptions'!$L$31</f>
        <v>PRD-USIQ</v>
      </c>
      <c r="P1667" s="53" t="n">
        <v>-1.427818</v>
      </c>
      <c r="Q1667" s="53" t="n">
        <v>0.12157</v>
      </c>
      <c r="R1667" s="53" t="n">
        <v>-2.070184</v>
      </c>
      <c r="S1667" s="53" t="n">
        <v>0.311047</v>
      </c>
    </row>
    <row r="1668" customFormat="false" ht="15" hidden="false" customHeight="false" outlineLevel="0" collapsed="false">
      <c r="A1668" s="43" t="n">
        <v>165</v>
      </c>
      <c r="B1668" s="44" t="str">
        <f aca="false">'Model Inputs &amp; Assumptions'!$B$31</f>
        <v>YouTube — Finfluencer Pre-roll</v>
      </c>
      <c r="C1668" s="45" t="n">
        <f aca="false">ROUND(MAX(0,'Model Inputs &amp; Assumptions'!$S$31*EXP('Model Inputs &amp; Assumptions'!$T$31*P1668-'Model Inputs &amp; Assumptions'!$T$31^2/2)),0)</f>
        <v>420477</v>
      </c>
      <c r="D1668" s="46" t="n">
        <f aca="false">MIN(1,'Model Inputs &amp; Assumptions'!$U$31*EXP('Model Inputs &amp; Assumptions'!$V$31*Q1668-'Model Inputs &amp; Assumptions'!$V$31^2/2))</f>
        <v>0.572121096934203</v>
      </c>
      <c r="E1668" s="45" t="n">
        <f aca="false">ROUND(C1668*D1668,0)</f>
        <v>240564</v>
      </c>
      <c r="F1668" s="47" t="n">
        <f aca="false">MIN(1,'Model Inputs &amp; Assumptions'!$W$31*EXP('Model Inputs &amp; Assumptions'!$X$31*R1668-'Model Inputs &amp; Assumptions'!$X$31^2/2))</f>
        <v>0.00715659903084339</v>
      </c>
      <c r="G1668" s="45" t="n">
        <f aca="false">ROUND(C1668*F1668,0)</f>
        <v>3009</v>
      </c>
      <c r="H1668" s="48" t="n">
        <f aca="false">MAX(0,(C1668*'Model Inputs &amp; Assumptions'!$N$31+E1668*'Model Inputs &amp; Assumptions'!$O$31+G1668*'Model Inputs &amp; Assumptions'!$P$31)*EXP('Model Inputs &amp; Assumptions'!$Q$31*S1668-'Model Inputs &amp; Assumptions'!$Q$31^2/2))</f>
        <v>58.9888203172015</v>
      </c>
      <c r="I1668" s="49" t="n">
        <f aca="false">IF('Model Inputs &amp; Assumptions'!$H$31="Fixed",'Model Inputs &amp; Assumptions'!$I$31*'Model Inputs &amp; Assumptions'!$K$31,IF('Model Inputs &amp; Assumptions'!$H$31="CPM",'Model Inputs &amp; Assumptions'!$I$31*'Model Inputs &amp; Assumptions'!$K$31*C1668/1000,IF('Model Inputs &amp; Assumptions'!$H$31="CPC",'Model Inputs &amp; Assumptions'!$I$31*'Model Inputs &amp; Assumptions'!$K$31*G1668,0)))</f>
        <v>4770.732042</v>
      </c>
      <c r="J1668" s="50" t="n">
        <f aca="false">H1668*INDEX('Model Inputs &amp; Assumptions'!$D$40:$D$42,MATCH('Model Inputs &amp; Assumptions'!$L$31,'Model Inputs &amp; Assumptions'!$A$40:$A$42,0))*INDEX('Model Inputs &amp; Assumptions'!$H$40:$H$42,MATCH('Model Inputs &amp; Assumptions'!$L$31,'Model Inputs &amp; Assumptions'!$A$40:$A$42,0))</f>
        <v>424719.506283851</v>
      </c>
      <c r="K1668" s="49" t="n">
        <f aca="false">H1668*INDEX('Model Inputs &amp; Assumptions'!$G$40:$G$42,MATCH('Model Inputs &amp; Assumptions'!$L$31,'Model Inputs &amp; Assumptions'!$A$40:$A$42,0))*INDEX('Model Inputs &amp; Assumptions'!$H$40:$H$42,MATCH('Model Inputs &amp; Assumptions'!$L$31,'Model Inputs &amp; Assumptions'!$A$40:$A$42,0))</f>
        <v>9365.06511355891</v>
      </c>
      <c r="L1668" s="51" t="n">
        <f aca="false">IFERROR(K1668/I1668,0)</f>
        <v>1.96302475827858</v>
      </c>
      <c r="M1668" s="49" t="n">
        <f aca="false">IFERROR(I1668/H1668,0)</f>
        <v>80.8751898469281</v>
      </c>
      <c r="N1668" s="52" t="str">
        <f aca="false">'Model Inputs &amp; Assumptions'!$L$31</f>
        <v>PRD-USIQ</v>
      </c>
      <c r="P1668" s="53" t="n">
        <v>-0.332844</v>
      </c>
      <c r="Q1668" s="53" t="n">
        <v>-0.149799</v>
      </c>
      <c r="R1668" s="53" t="n">
        <v>1.614154</v>
      </c>
      <c r="S1668" s="53" t="n">
        <v>-0.074877</v>
      </c>
    </row>
    <row r="1669" customFormat="false" ht="15" hidden="false" customHeight="false" outlineLevel="0" collapsed="false">
      <c r="A1669" s="43" t="n">
        <v>166</v>
      </c>
      <c r="B1669" s="44" t="str">
        <f aca="false">'Model Inputs &amp; Assumptions'!$B$31</f>
        <v>YouTube — Finfluencer Pre-roll</v>
      </c>
      <c r="C1669" s="45" t="n">
        <f aca="false">ROUND(MAX(0,'Model Inputs &amp; Assumptions'!$S$31*EXP('Model Inputs &amp; Assumptions'!$T$31*P1669-'Model Inputs &amp; Assumptions'!$T$31^2/2)),0)</f>
        <v>267159</v>
      </c>
      <c r="D1669" s="46" t="n">
        <f aca="false">MIN(1,'Model Inputs &amp; Assumptions'!$U$31*EXP('Model Inputs &amp; Assumptions'!$V$31*Q1669-'Model Inputs &amp; Assumptions'!$V$31^2/2))</f>
        <v>0.54875854548161</v>
      </c>
      <c r="E1669" s="45" t="n">
        <f aca="false">ROUND(C1669*D1669,0)</f>
        <v>146606</v>
      </c>
      <c r="F1669" s="47" t="n">
        <f aca="false">MIN(1,'Model Inputs &amp; Assumptions'!$W$31*EXP('Model Inputs &amp; Assumptions'!$X$31*R1669-'Model Inputs &amp; Assumptions'!$X$31^2/2))</f>
        <v>0.00429354835067967</v>
      </c>
      <c r="G1669" s="45" t="n">
        <f aca="false">ROUND(C1669*F1669,0)</f>
        <v>1147</v>
      </c>
      <c r="H1669" s="48" t="n">
        <f aca="false">MAX(0,(C1669*'Model Inputs &amp; Assumptions'!$N$31+E1669*'Model Inputs &amp; Assumptions'!$O$31+G1669*'Model Inputs &amp; Assumptions'!$P$31)*EXP('Model Inputs &amp; Assumptions'!$Q$31*S1669-'Model Inputs &amp; Assumptions'!$Q$31^2/2))</f>
        <v>26.7189206257539</v>
      </c>
      <c r="I1669" s="49" t="n">
        <f aca="false">IF('Model Inputs &amp; Assumptions'!$H$31="Fixed",'Model Inputs &amp; Assumptions'!$I$31*'Model Inputs &amp; Assumptions'!$K$31,IF('Model Inputs &amp; Assumptions'!$H$31="CPM",'Model Inputs &amp; Assumptions'!$I$31*'Model Inputs &amp; Assumptions'!$K$31*C1669/1000,IF('Model Inputs &amp; Assumptions'!$H$31="CPC",'Model Inputs &amp; Assumptions'!$I$31*'Model Inputs &amp; Assumptions'!$K$31*G1669,0)))</f>
        <v>3031.186014</v>
      </c>
      <c r="J1669" s="50" t="n">
        <f aca="false">H1669*INDEX('Model Inputs &amp; Assumptions'!$D$40:$D$42,MATCH('Model Inputs &amp; Assumptions'!$L$31,'Model Inputs &amp; Assumptions'!$A$40:$A$42,0))*INDEX('Model Inputs &amp; Assumptions'!$H$40:$H$42,MATCH('Model Inputs &amp; Assumptions'!$L$31,'Model Inputs &amp; Assumptions'!$A$40:$A$42,0))</f>
        <v>192376.228505428</v>
      </c>
      <c r="K1669" s="49" t="n">
        <f aca="false">H1669*INDEX('Model Inputs &amp; Assumptions'!$G$40:$G$42,MATCH('Model Inputs &amp; Assumptions'!$L$31,'Model Inputs &amp; Assumptions'!$A$40:$A$42,0))*INDEX('Model Inputs &amp; Assumptions'!$H$40:$H$42,MATCH('Model Inputs &amp; Assumptions'!$L$31,'Model Inputs &amp; Assumptions'!$A$40:$A$42,0))</f>
        <v>4241.89583854469</v>
      </c>
      <c r="L1669" s="51" t="n">
        <f aca="false">IFERROR(K1669/I1669,0)</f>
        <v>1.39941785787901</v>
      </c>
      <c r="M1669" s="49" t="n">
        <f aca="false">IFERROR(I1669/H1669,0)</f>
        <v>113.447173127132</v>
      </c>
      <c r="N1669" s="52" t="str">
        <f aca="false">'Model Inputs &amp; Assumptions'!$L$31</f>
        <v>PRD-USIQ</v>
      </c>
      <c r="P1669" s="53" t="n">
        <v>-1.952648</v>
      </c>
      <c r="Q1669" s="53" t="n">
        <v>-0.4476</v>
      </c>
      <c r="R1669" s="53" t="n">
        <v>-0.514685</v>
      </c>
      <c r="S1669" s="53" t="n">
        <v>-0.052507</v>
      </c>
    </row>
    <row r="1670" customFormat="false" ht="15" hidden="false" customHeight="false" outlineLevel="0" collapsed="false">
      <c r="A1670" s="43" t="n">
        <v>167</v>
      </c>
      <c r="B1670" s="44" t="str">
        <f aca="false">'Model Inputs &amp; Assumptions'!$B$31</f>
        <v>YouTube — Finfluencer Pre-roll</v>
      </c>
      <c r="C1670" s="45" t="n">
        <f aca="false">ROUND(MAX(0,'Model Inputs &amp; Assumptions'!$S$31*EXP('Model Inputs &amp; Assumptions'!$T$31*P1670-'Model Inputs &amp; Assumptions'!$T$31^2/2)),0)</f>
        <v>528008</v>
      </c>
      <c r="D1670" s="46" t="n">
        <f aca="false">MIN(1,'Model Inputs &amp; Assumptions'!$U$31*EXP('Model Inputs &amp; Assumptions'!$V$31*Q1670-'Model Inputs &amp; Assumptions'!$V$31^2/2))</f>
        <v>0.517206770193378</v>
      </c>
      <c r="E1670" s="45" t="n">
        <f aca="false">ROUND(C1670*D1670,0)</f>
        <v>273089</v>
      </c>
      <c r="F1670" s="47" t="n">
        <f aca="false">MIN(1,'Model Inputs &amp; Assumptions'!$W$31*EXP('Model Inputs &amp; Assumptions'!$X$31*R1670-'Model Inputs &amp; Assumptions'!$X$31^2/2))</f>
        <v>0.00773555901634353</v>
      </c>
      <c r="G1670" s="45" t="n">
        <f aca="false">ROUND(C1670*F1670,0)</f>
        <v>4084</v>
      </c>
      <c r="H1670" s="48" t="n">
        <f aca="false">MAX(0,(C1670*'Model Inputs &amp; Assumptions'!$N$31+E1670*'Model Inputs &amp; Assumptions'!$O$31+G1670*'Model Inputs &amp; Assumptions'!$P$31)*EXP('Model Inputs &amp; Assumptions'!$Q$31*S1670-'Model Inputs &amp; Assumptions'!$Q$31^2/2))</f>
        <v>89.9851294274671</v>
      </c>
      <c r="I1670" s="49" t="n">
        <f aca="false">IF('Model Inputs &amp; Assumptions'!$H$31="Fixed",'Model Inputs &amp; Assumptions'!$I$31*'Model Inputs &amp; Assumptions'!$K$31,IF('Model Inputs &amp; Assumptions'!$H$31="CPM",'Model Inputs &amp; Assumptions'!$I$31*'Model Inputs &amp; Assumptions'!$K$31*C1670/1000,IF('Model Inputs &amp; Assumptions'!$H$31="CPC",'Model Inputs &amp; Assumptions'!$I$31*'Model Inputs &amp; Assumptions'!$K$31*G1670,0)))</f>
        <v>5990.778768</v>
      </c>
      <c r="J1670" s="50" t="n">
        <f aca="false">H1670*INDEX('Model Inputs &amp; Assumptions'!$D$40:$D$42,MATCH('Model Inputs &amp; Assumptions'!$L$31,'Model Inputs &amp; Assumptions'!$A$40:$A$42,0))*INDEX('Model Inputs &amp; Assumptions'!$H$40:$H$42,MATCH('Model Inputs &amp; Assumptions'!$L$31,'Model Inputs &amp; Assumptions'!$A$40:$A$42,0))</f>
        <v>647892.931877763</v>
      </c>
      <c r="K1670" s="49" t="n">
        <f aca="false">H1670*INDEX('Model Inputs &amp; Assumptions'!$G$40:$G$42,MATCH('Model Inputs &amp; Assumptions'!$L$31,'Model Inputs &amp; Assumptions'!$A$40:$A$42,0))*INDEX('Model Inputs &amp; Assumptions'!$H$40:$H$42,MATCH('Model Inputs &amp; Assumptions'!$L$31,'Model Inputs &amp; Assumptions'!$A$40:$A$42,0))</f>
        <v>14286.0391479047</v>
      </c>
      <c r="L1670" s="51" t="n">
        <f aca="false">IFERROR(K1670/I1670,0)</f>
        <v>2.384671459446</v>
      </c>
      <c r="M1670" s="49" t="n">
        <f aca="false">IFERROR(I1670/H1670,0)</f>
        <v>66.5752086607698</v>
      </c>
      <c r="N1670" s="52" t="str">
        <f aca="false">'Model Inputs &amp; Assumptions'!$L$31</f>
        <v>PRD-USIQ</v>
      </c>
      <c r="P1670" s="53" t="n">
        <v>0.480447</v>
      </c>
      <c r="Q1670" s="53" t="n">
        <v>-0.87057</v>
      </c>
      <c r="R1670" s="53" t="n">
        <v>1.938291</v>
      </c>
      <c r="S1670" s="53" t="n">
        <v>0.402183</v>
      </c>
    </row>
    <row r="1671" customFormat="false" ht="15" hidden="false" customHeight="false" outlineLevel="0" collapsed="false">
      <c r="A1671" s="43" t="n">
        <v>168</v>
      </c>
      <c r="B1671" s="44" t="str">
        <f aca="false">'Model Inputs &amp; Assumptions'!$B$31</f>
        <v>YouTube — Finfluencer Pre-roll</v>
      </c>
      <c r="C1671" s="45" t="n">
        <f aca="false">ROUND(MAX(0,'Model Inputs &amp; Assumptions'!$S$31*EXP('Model Inputs &amp; Assumptions'!$T$31*P1671-'Model Inputs &amp; Assumptions'!$T$31^2/2)),0)</f>
        <v>600276</v>
      </c>
      <c r="D1671" s="46" t="n">
        <f aca="false">MIN(1,'Model Inputs &amp; Assumptions'!$U$31*EXP('Model Inputs &amp; Assumptions'!$V$31*Q1671-'Model Inputs &amp; Assumptions'!$V$31^2/2))</f>
        <v>0.578264685301008</v>
      </c>
      <c r="E1671" s="45" t="n">
        <f aca="false">ROUND(C1671*D1671,0)</f>
        <v>347118</v>
      </c>
      <c r="F1671" s="47" t="n">
        <f aca="false">MIN(1,'Model Inputs &amp; Assumptions'!$W$31*EXP('Model Inputs &amp; Assumptions'!$X$31*R1671-'Model Inputs &amp; Assumptions'!$X$31^2/2))</f>
        <v>0.00434769088199428</v>
      </c>
      <c r="G1671" s="45" t="n">
        <f aca="false">ROUND(C1671*F1671,0)</f>
        <v>2610</v>
      </c>
      <c r="H1671" s="48" t="n">
        <f aca="false">MAX(0,(C1671*'Model Inputs &amp; Assumptions'!$N$31+E1671*'Model Inputs &amp; Assumptions'!$O$31+G1671*'Model Inputs &amp; Assumptions'!$P$31)*EXP('Model Inputs &amp; Assumptions'!$Q$31*S1671-'Model Inputs &amp; Assumptions'!$Q$31^2/2))</f>
        <v>113.878268521621</v>
      </c>
      <c r="I1671" s="49" t="n">
        <f aca="false">IF('Model Inputs &amp; Assumptions'!$H$31="Fixed",'Model Inputs &amp; Assumptions'!$I$31*'Model Inputs &amp; Assumptions'!$K$31,IF('Model Inputs &amp; Assumptions'!$H$31="CPM",'Model Inputs &amp; Assumptions'!$I$31*'Model Inputs &amp; Assumptions'!$K$31*C1671/1000,IF('Model Inputs &amp; Assumptions'!$H$31="CPC",'Model Inputs &amp; Assumptions'!$I$31*'Model Inputs &amp; Assumptions'!$K$31*G1671,0)))</f>
        <v>6810.731496</v>
      </c>
      <c r="J1671" s="50" t="n">
        <f aca="false">H1671*INDEX('Model Inputs &amp; Assumptions'!$D$40:$D$42,MATCH('Model Inputs &amp; Assumptions'!$L$31,'Model Inputs &amp; Assumptions'!$A$40:$A$42,0))*INDEX('Model Inputs &amp; Assumptions'!$H$40:$H$42,MATCH('Model Inputs &amp; Assumptions'!$L$31,'Model Inputs &amp; Assumptions'!$A$40:$A$42,0))</f>
        <v>819923.533355672</v>
      </c>
      <c r="K1671" s="49" t="n">
        <f aca="false">H1671*INDEX('Model Inputs &amp; Assumptions'!$G$40:$G$42,MATCH('Model Inputs &amp; Assumptions'!$L$31,'Model Inputs &amp; Assumptions'!$A$40:$A$42,0))*INDEX('Model Inputs &amp; Assumptions'!$H$40:$H$42,MATCH('Model Inputs &amp; Assumptions'!$L$31,'Model Inputs &amp; Assumptions'!$A$40:$A$42,0))</f>
        <v>18079.3139104926</v>
      </c>
      <c r="L1671" s="51" t="n">
        <f aca="false">IFERROR(K1671/I1671,0)</f>
        <v>2.65453335241753</v>
      </c>
      <c r="M1671" s="49" t="n">
        <f aca="false">IFERROR(I1671/H1671,0)</f>
        <v>59.8071219769811</v>
      </c>
      <c r="N1671" s="52" t="str">
        <f aca="false">'Model Inputs &amp; Assumptions'!$L$31</f>
        <v>PRD-USIQ</v>
      </c>
      <c r="P1671" s="53" t="n">
        <v>0.938586</v>
      </c>
      <c r="Q1671" s="53" t="n">
        <v>-0.073506</v>
      </c>
      <c r="R1671" s="53" t="n">
        <v>-0.462471</v>
      </c>
      <c r="S1671" s="53" t="n">
        <v>1.693973</v>
      </c>
    </row>
    <row r="1672" customFormat="false" ht="15" hidden="false" customHeight="false" outlineLevel="0" collapsed="false">
      <c r="A1672" s="43" t="n">
        <v>169</v>
      </c>
      <c r="B1672" s="44" t="str">
        <f aca="false">'Model Inputs &amp; Assumptions'!$B$31</f>
        <v>YouTube — Finfluencer Pre-roll</v>
      </c>
      <c r="C1672" s="45" t="n">
        <f aca="false">ROUND(MAX(0,'Model Inputs &amp; Assumptions'!$S$31*EXP('Model Inputs &amp; Assumptions'!$T$31*P1672-'Model Inputs &amp; Assumptions'!$T$31^2/2)),0)</f>
        <v>507331</v>
      </c>
      <c r="D1672" s="46" t="n">
        <f aca="false">MIN(1,'Model Inputs &amp; Assumptions'!$U$31*EXP('Model Inputs &amp; Assumptions'!$V$31*Q1672-'Model Inputs &amp; Assumptions'!$V$31^2/2))</f>
        <v>0.663450347593037</v>
      </c>
      <c r="E1672" s="45" t="n">
        <f aca="false">ROUND(C1672*D1672,0)</f>
        <v>336589</v>
      </c>
      <c r="F1672" s="47" t="n">
        <f aca="false">MIN(1,'Model Inputs &amp; Assumptions'!$W$31*EXP('Model Inputs &amp; Assumptions'!$X$31*R1672-'Model Inputs &amp; Assumptions'!$X$31^2/2))</f>
        <v>0.00501355674538153</v>
      </c>
      <c r="G1672" s="45" t="n">
        <f aca="false">ROUND(C1672*F1672,0)</f>
        <v>2544</v>
      </c>
      <c r="H1672" s="48" t="n">
        <f aca="false">MAX(0,(C1672*'Model Inputs &amp; Assumptions'!$N$31+E1672*'Model Inputs &amp; Assumptions'!$O$31+G1672*'Model Inputs &amp; Assumptions'!$P$31)*EXP('Model Inputs &amp; Assumptions'!$Q$31*S1672-'Model Inputs &amp; Assumptions'!$Q$31^2/2))</f>
        <v>25.2763678004795</v>
      </c>
      <c r="I1672" s="49" t="n">
        <f aca="false">IF('Model Inputs &amp; Assumptions'!$H$31="Fixed",'Model Inputs &amp; Assumptions'!$I$31*'Model Inputs &amp; Assumptions'!$K$31,IF('Model Inputs &amp; Assumptions'!$H$31="CPM",'Model Inputs &amp; Assumptions'!$I$31*'Model Inputs &amp; Assumptions'!$K$31*C1672/1000,IF('Model Inputs &amp; Assumptions'!$H$31="CPC",'Model Inputs &amp; Assumptions'!$I$31*'Model Inputs &amp; Assumptions'!$K$31*G1672,0)))</f>
        <v>5756.177526</v>
      </c>
      <c r="J1672" s="50" t="n">
        <f aca="false">H1672*INDEX('Model Inputs &amp; Assumptions'!$D$40:$D$42,MATCH('Model Inputs &amp; Assumptions'!$L$31,'Model Inputs &amp; Assumptions'!$A$40:$A$42,0))*INDEX('Model Inputs &amp; Assumptions'!$H$40:$H$42,MATCH('Model Inputs &amp; Assumptions'!$L$31,'Model Inputs &amp; Assumptions'!$A$40:$A$42,0))</f>
        <v>181989.848163452</v>
      </c>
      <c r="K1672" s="49" t="n">
        <f aca="false">H1672*INDEX('Model Inputs &amp; Assumptions'!$G$40:$G$42,MATCH('Model Inputs &amp; Assumptions'!$L$31,'Model Inputs &amp; Assumptions'!$A$40:$A$42,0))*INDEX('Model Inputs &amp; Assumptions'!$H$40:$H$42,MATCH('Model Inputs &amp; Assumptions'!$L$31,'Model Inputs &amp; Assumptions'!$A$40:$A$42,0))</f>
        <v>4012.87615200412</v>
      </c>
      <c r="L1672" s="51" t="n">
        <f aca="false">IFERROR(K1672/I1672,0)</f>
        <v>0.69714252798466</v>
      </c>
      <c r="M1672" s="49" t="n">
        <f aca="false">IFERROR(I1672/H1672,0)</f>
        <v>227.729615719977</v>
      </c>
      <c r="N1672" s="52" t="str">
        <f aca="false">'Model Inputs &amp; Assumptions'!$L$31</f>
        <v>PRD-USIQ</v>
      </c>
      <c r="P1672" s="53" t="n">
        <v>0.33778</v>
      </c>
      <c r="Q1672" s="53" t="n">
        <v>0.908082</v>
      </c>
      <c r="R1672" s="53" t="n">
        <v>0.131282</v>
      </c>
      <c r="S1672" s="53" t="n">
        <v>-2.527448</v>
      </c>
    </row>
    <row r="1673" customFormat="false" ht="15" hidden="false" customHeight="false" outlineLevel="0" collapsed="false">
      <c r="A1673" s="43" t="n">
        <v>170</v>
      </c>
      <c r="B1673" s="44" t="str">
        <f aca="false">'Model Inputs &amp; Assumptions'!$B$31</f>
        <v>YouTube — Finfluencer Pre-roll</v>
      </c>
      <c r="C1673" s="45" t="n">
        <f aca="false">ROUND(MAX(0,'Model Inputs &amp; Assumptions'!$S$31*EXP('Model Inputs &amp; Assumptions'!$T$31*P1673-'Model Inputs &amp; Assumptions'!$T$31^2/2)),0)</f>
        <v>437596</v>
      </c>
      <c r="D1673" s="46" t="n">
        <f aca="false">MIN(1,'Model Inputs &amp; Assumptions'!$U$31*EXP('Model Inputs &amp; Assumptions'!$V$31*Q1673-'Model Inputs &amp; Assumptions'!$V$31^2/2))</f>
        <v>0.531613072236978</v>
      </c>
      <c r="E1673" s="45" t="n">
        <f aca="false">ROUND(C1673*D1673,0)</f>
        <v>232632</v>
      </c>
      <c r="F1673" s="47" t="n">
        <f aca="false">MIN(1,'Model Inputs &amp; Assumptions'!$W$31*EXP('Model Inputs &amp; Assumptions'!$X$31*R1673-'Model Inputs &amp; Assumptions'!$X$31^2/2))</f>
        <v>0.00415341194730285</v>
      </c>
      <c r="G1673" s="45" t="n">
        <f aca="false">ROUND(C1673*F1673,0)</f>
        <v>1818</v>
      </c>
      <c r="H1673" s="48" t="n">
        <f aca="false">MAX(0,(C1673*'Model Inputs &amp; Assumptions'!$N$31+E1673*'Model Inputs &amp; Assumptions'!$O$31+G1673*'Model Inputs &amp; Assumptions'!$P$31)*EXP('Model Inputs &amp; Assumptions'!$Q$31*S1673-'Model Inputs &amp; Assumptions'!$Q$31^2/2))</f>
        <v>36.468218233121</v>
      </c>
      <c r="I1673" s="49" t="n">
        <f aca="false">IF('Model Inputs &amp; Assumptions'!$H$31="Fixed",'Model Inputs &amp; Assumptions'!$I$31*'Model Inputs &amp; Assumptions'!$K$31,IF('Model Inputs &amp; Assumptions'!$H$31="CPM",'Model Inputs &amp; Assumptions'!$I$31*'Model Inputs &amp; Assumptions'!$K$31*C1673/1000,IF('Model Inputs &amp; Assumptions'!$H$31="CPC",'Model Inputs &amp; Assumptions'!$I$31*'Model Inputs &amp; Assumptions'!$K$31*G1673,0)))</f>
        <v>4964.964216</v>
      </c>
      <c r="J1673" s="50" t="n">
        <f aca="false">H1673*INDEX('Model Inputs &amp; Assumptions'!$D$40:$D$42,MATCH('Model Inputs &amp; Assumptions'!$L$31,'Model Inputs &amp; Assumptions'!$A$40:$A$42,0))*INDEX('Model Inputs &amp; Assumptions'!$H$40:$H$42,MATCH('Model Inputs &amp; Assumptions'!$L$31,'Model Inputs &amp; Assumptions'!$A$40:$A$42,0))</f>
        <v>262571.171278471</v>
      </c>
      <c r="K1673" s="49" t="n">
        <f aca="false">H1673*INDEX('Model Inputs &amp; Assumptions'!$G$40:$G$42,MATCH('Model Inputs &amp; Assumptions'!$L$31,'Model Inputs &amp; Assumptions'!$A$40:$A$42,0))*INDEX('Model Inputs &amp; Assumptions'!$H$40:$H$42,MATCH('Model Inputs &amp; Assumptions'!$L$31,'Model Inputs &amp; Assumptions'!$A$40:$A$42,0))</f>
        <v>5789.69432669029</v>
      </c>
      <c r="L1673" s="51" t="n">
        <f aca="false">IFERROR(K1673/I1673,0)</f>
        <v>1.16610998081971</v>
      </c>
      <c r="M1673" s="49" t="n">
        <f aca="false">IFERROR(I1673/H1673,0)</f>
        <v>136.14496283481</v>
      </c>
      <c r="N1673" s="52" t="str">
        <f aca="false">'Model Inputs &amp; Assumptions'!$L$31</f>
        <v>PRD-USIQ</v>
      </c>
      <c r="P1673" s="53" t="n">
        <v>-0.190318</v>
      </c>
      <c r="Q1673" s="53" t="n">
        <v>-0.674333</v>
      </c>
      <c r="R1673" s="53" t="n">
        <v>-0.652949</v>
      </c>
      <c r="S1673" s="53" t="n">
        <v>-0.481001</v>
      </c>
    </row>
    <row r="1674" customFormat="false" ht="15" hidden="false" customHeight="false" outlineLevel="0" collapsed="false">
      <c r="A1674" s="43" t="n">
        <v>171</v>
      </c>
      <c r="B1674" s="44" t="str">
        <f aca="false">'Model Inputs &amp; Assumptions'!$B$31</f>
        <v>YouTube — Finfluencer Pre-roll</v>
      </c>
      <c r="C1674" s="45" t="n">
        <f aca="false">ROUND(MAX(0,'Model Inputs &amp; Assumptions'!$S$31*EXP('Model Inputs &amp; Assumptions'!$T$31*P1674-'Model Inputs &amp; Assumptions'!$T$31^2/2)),0)</f>
        <v>582609</v>
      </c>
      <c r="D1674" s="46" t="n">
        <f aca="false">MIN(1,'Model Inputs &amp; Assumptions'!$U$31*EXP('Model Inputs &amp; Assumptions'!$V$31*Q1674-'Model Inputs &amp; Assumptions'!$V$31^2/2))</f>
        <v>0.666217608658299</v>
      </c>
      <c r="E1674" s="45" t="n">
        <f aca="false">ROUND(C1674*D1674,0)</f>
        <v>388144</v>
      </c>
      <c r="F1674" s="47" t="n">
        <f aca="false">MIN(1,'Model Inputs &amp; Assumptions'!$W$31*EXP('Model Inputs &amp; Assumptions'!$X$31*R1674-'Model Inputs &amp; Assumptions'!$X$31^2/2))</f>
        <v>0.00480499495480956</v>
      </c>
      <c r="G1674" s="45" t="n">
        <f aca="false">ROUND(C1674*F1674,0)</f>
        <v>2799</v>
      </c>
      <c r="H1674" s="48" t="n">
        <f aca="false">MAX(0,(C1674*'Model Inputs &amp; Assumptions'!$N$31+E1674*'Model Inputs &amp; Assumptions'!$O$31+G1674*'Model Inputs &amp; Assumptions'!$P$31)*EXP('Model Inputs &amp; Assumptions'!$Q$31*S1674-'Model Inputs &amp; Assumptions'!$Q$31^2/2))</f>
        <v>66.5721911485385</v>
      </c>
      <c r="I1674" s="49" t="n">
        <f aca="false">IF('Model Inputs &amp; Assumptions'!$H$31="Fixed",'Model Inputs &amp; Assumptions'!$I$31*'Model Inputs &amp; Assumptions'!$K$31,IF('Model Inputs &amp; Assumptions'!$H$31="CPM",'Model Inputs &amp; Assumptions'!$I$31*'Model Inputs &amp; Assumptions'!$K$31*C1674/1000,IF('Model Inputs &amp; Assumptions'!$H$31="CPC",'Model Inputs &amp; Assumptions'!$I$31*'Model Inputs &amp; Assumptions'!$K$31*G1674,0)))</f>
        <v>6610.281714</v>
      </c>
      <c r="J1674" s="50" t="n">
        <f aca="false">H1674*INDEX('Model Inputs &amp; Assumptions'!$D$40:$D$42,MATCH('Model Inputs &amp; Assumptions'!$L$31,'Model Inputs &amp; Assumptions'!$A$40:$A$42,0))*INDEX('Model Inputs &amp; Assumptions'!$H$40:$H$42,MATCH('Model Inputs &amp; Assumptions'!$L$31,'Model Inputs &amp; Assumptions'!$A$40:$A$42,0))</f>
        <v>479319.776269477</v>
      </c>
      <c r="K1674" s="49" t="n">
        <f aca="false">H1674*INDEX('Model Inputs &amp; Assumptions'!$G$40:$G$42,MATCH('Model Inputs &amp; Assumptions'!$L$31,'Model Inputs &amp; Assumptions'!$A$40:$A$42,0))*INDEX('Model Inputs &amp; Assumptions'!$H$40:$H$42,MATCH('Model Inputs &amp; Assumptions'!$L$31,'Model Inputs &amp; Assumptions'!$A$40:$A$42,0))</f>
        <v>10569.001066742</v>
      </c>
      <c r="L1674" s="51" t="n">
        <f aca="false">IFERROR(K1674/I1674,0)</f>
        <v>1.59887301691814</v>
      </c>
      <c r="M1674" s="49" t="n">
        <f aca="false">IFERROR(I1674/H1674,0)</f>
        <v>99.2949398233096</v>
      </c>
      <c r="N1674" s="52" t="str">
        <f aca="false">'Model Inputs &amp; Assumptions'!$L$31</f>
        <v>PRD-USIQ</v>
      </c>
      <c r="P1674" s="53" t="n">
        <v>0.831896</v>
      </c>
      <c r="Q1674" s="53" t="n">
        <v>0.937813</v>
      </c>
      <c r="R1674" s="53" t="n">
        <v>-0.045758</v>
      </c>
      <c r="S1674" s="53" t="n">
        <v>-0.089779</v>
      </c>
    </row>
    <row r="1675" customFormat="false" ht="15" hidden="false" customHeight="false" outlineLevel="0" collapsed="false">
      <c r="A1675" s="43" t="n">
        <v>172</v>
      </c>
      <c r="B1675" s="44" t="str">
        <f aca="false">'Model Inputs &amp; Assumptions'!$B$31</f>
        <v>YouTube — Finfluencer Pre-roll</v>
      </c>
      <c r="C1675" s="45" t="n">
        <f aca="false">ROUND(MAX(0,'Model Inputs &amp; Assumptions'!$S$31*EXP('Model Inputs &amp; Assumptions'!$T$31*P1675-'Model Inputs &amp; Assumptions'!$T$31^2/2)),0)</f>
        <v>338906</v>
      </c>
      <c r="D1675" s="46" t="n">
        <f aca="false">MIN(1,'Model Inputs &amp; Assumptions'!$U$31*EXP('Model Inputs &amp; Assumptions'!$V$31*Q1675-'Model Inputs &amp; Assumptions'!$V$31^2/2))</f>
        <v>0.638657832075446</v>
      </c>
      <c r="E1675" s="45" t="n">
        <f aca="false">ROUND(C1675*D1675,0)</f>
        <v>216445</v>
      </c>
      <c r="F1675" s="47" t="n">
        <f aca="false">MIN(1,'Model Inputs &amp; Assumptions'!$W$31*EXP('Model Inputs &amp; Assumptions'!$X$31*R1675-'Model Inputs &amp; Assumptions'!$X$31^2/2))</f>
        <v>0.00377603905971561</v>
      </c>
      <c r="G1675" s="45" t="n">
        <f aca="false">ROUND(C1675*F1675,0)</f>
        <v>1280</v>
      </c>
      <c r="H1675" s="48" t="n">
        <f aca="false">MAX(0,(C1675*'Model Inputs &amp; Assumptions'!$N$31+E1675*'Model Inputs &amp; Assumptions'!$O$31+G1675*'Model Inputs &amp; Assumptions'!$P$31)*EXP('Model Inputs &amp; Assumptions'!$Q$31*S1675-'Model Inputs &amp; Assumptions'!$Q$31^2/2))</f>
        <v>45.2235634624116</v>
      </c>
      <c r="I1675" s="49" t="n">
        <f aca="false">IF('Model Inputs &amp; Assumptions'!$H$31="Fixed",'Model Inputs &amp; Assumptions'!$I$31*'Model Inputs &amp; Assumptions'!$K$31,IF('Model Inputs &amp; Assumptions'!$H$31="CPM",'Model Inputs &amp; Assumptions'!$I$31*'Model Inputs &amp; Assumptions'!$K$31*C1675/1000,IF('Model Inputs &amp; Assumptions'!$H$31="CPC",'Model Inputs &amp; Assumptions'!$I$31*'Model Inputs &amp; Assumptions'!$K$31*G1675,0)))</f>
        <v>3845.227476</v>
      </c>
      <c r="J1675" s="50" t="n">
        <f aca="false">H1675*INDEX('Model Inputs &amp; Assumptions'!$D$40:$D$42,MATCH('Model Inputs &amp; Assumptions'!$L$31,'Model Inputs &amp; Assumptions'!$A$40:$A$42,0))*INDEX('Model Inputs &amp; Assumptions'!$H$40:$H$42,MATCH('Model Inputs &amp; Assumptions'!$L$31,'Model Inputs &amp; Assumptions'!$A$40:$A$42,0))</f>
        <v>325609.656929364</v>
      </c>
      <c r="K1675" s="49" t="n">
        <f aca="false">H1675*INDEX('Model Inputs &amp; Assumptions'!$G$40:$G$42,MATCH('Model Inputs &amp; Assumptions'!$L$31,'Model Inputs &amp; Assumptions'!$A$40:$A$42,0))*INDEX('Model Inputs &amp; Assumptions'!$H$40:$H$42,MATCH('Model Inputs &amp; Assumptions'!$L$31,'Model Inputs &amp; Assumptions'!$A$40:$A$42,0))</f>
        <v>7179.69293529246</v>
      </c>
      <c r="L1675" s="51" t="n">
        <f aca="false">IFERROR(K1675/I1675,0)</f>
        <v>1.86716988269343</v>
      </c>
      <c r="M1675" s="49" t="n">
        <f aca="false">IFERROR(I1675/H1675,0)</f>
        <v>85.0270783989862</v>
      </c>
      <c r="N1675" s="52" t="str">
        <f aca="false">'Model Inputs &amp; Assumptions'!$L$31</f>
        <v>PRD-USIQ</v>
      </c>
      <c r="P1675" s="53" t="n">
        <v>-1.103081</v>
      </c>
      <c r="Q1675" s="53" t="n">
        <v>0.636045</v>
      </c>
      <c r="R1675" s="53" t="n">
        <v>-1.049843</v>
      </c>
      <c r="S1675" s="53" t="n">
        <v>0.786082</v>
      </c>
    </row>
    <row r="1676" customFormat="false" ht="15" hidden="false" customHeight="false" outlineLevel="0" collapsed="false">
      <c r="A1676" s="43" t="n">
        <v>173</v>
      </c>
      <c r="B1676" s="44" t="str">
        <f aca="false">'Model Inputs &amp; Assumptions'!$B$31</f>
        <v>YouTube — Finfluencer Pre-roll</v>
      </c>
      <c r="C1676" s="45" t="n">
        <f aca="false">ROUND(MAX(0,'Model Inputs &amp; Assumptions'!$S$31*EXP('Model Inputs &amp; Assumptions'!$T$31*P1676-'Model Inputs &amp; Assumptions'!$T$31^2/2)),0)</f>
        <v>403762</v>
      </c>
      <c r="D1676" s="46" t="n">
        <f aca="false">MIN(1,'Model Inputs &amp; Assumptions'!$U$31*EXP('Model Inputs &amp; Assumptions'!$V$31*Q1676-'Model Inputs &amp; Assumptions'!$V$31^2/2))</f>
        <v>0.48993243649801</v>
      </c>
      <c r="E1676" s="45" t="n">
        <f aca="false">ROUND(C1676*D1676,0)</f>
        <v>197816</v>
      </c>
      <c r="F1676" s="47" t="n">
        <f aca="false">MIN(1,'Model Inputs &amp; Assumptions'!$W$31*EXP('Model Inputs &amp; Assumptions'!$X$31*R1676-'Model Inputs &amp; Assumptions'!$X$31^2/2))</f>
        <v>0.0078620163957026</v>
      </c>
      <c r="G1676" s="45" t="n">
        <f aca="false">ROUND(C1676*F1676,0)</f>
        <v>3174</v>
      </c>
      <c r="H1676" s="48" t="n">
        <f aca="false">MAX(0,(C1676*'Model Inputs &amp; Assumptions'!$N$31+E1676*'Model Inputs &amp; Assumptions'!$O$31+G1676*'Model Inputs &amp; Assumptions'!$P$31)*EXP('Model Inputs &amp; Assumptions'!$Q$31*S1676-'Model Inputs &amp; Assumptions'!$Q$31^2/2))</f>
        <v>56.2827685546652</v>
      </c>
      <c r="I1676" s="49" t="n">
        <f aca="false">IF('Model Inputs &amp; Assumptions'!$H$31="Fixed",'Model Inputs &amp; Assumptions'!$I$31*'Model Inputs &amp; Assumptions'!$K$31,IF('Model Inputs &amp; Assumptions'!$H$31="CPM",'Model Inputs &amp; Assumptions'!$I$31*'Model Inputs &amp; Assumptions'!$K$31*C1676/1000,IF('Model Inputs &amp; Assumptions'!$H$31="CPC",'Model Inputs &amp; Assumptions'!$I$31*'Model Inputs &amp; Assumptions'!$K$31*G1676,0)))</f>
        <v>4581.083652</v>
      </c>
      <c r="J1676" s="50" t="n">
        <f aca="false">H1676*INDEX('Model Inputs &amp; Assumptions'!$D$40:$D$42,MATCH('Model Inputs &amp; Assumptions'!$L$31,'Model Inputs &amp; Assumptions'!$A$40:$A$42,0))*INDEX('Model Inputs &amp; Assumptions'!$H$40:$H$42,MATCH('Model Inputs &amp; Assumptions'!$L$31,'Model Inputs &amp; Assumptions'!$A$40:$A$42,0))</f>
        <v>405235.93359359</v>
      </c>
      <c r="K1676" s="49" t="n">
        <f aca="false">H1676*INDEX('Model Inputs &amp; Assumptions'!$G$40:$G$42,MATCH('Model Inputs &amp; Assumptions'!$L$31,'Model Inputs &amp; Assumptions'!$A$40:$A$42,0))*INDEX('Model Inputs &amp; Assumptions'!$H$40:$H$42,MATCH('Model Inputs &amp; Assumptions'!$L$31,'Model Inputs &amp; Assumptions'!$A$40:$A$42,0))</f>
        <v>8935.45233573865</v>
      </c>
      <c r="L1676" s="51" t="n">
        <f aca="false">IFERROR(K1676/I1676,0)</f>
        <v>1.95051062467232</v>
      </c>
      <c r="M1676" s="49" t="n">
        <f aca="false">IFERROR(I1676/H1676,0)</f>
        <v>81.3940708611477</v>
      </c>
      <c r="N1676" s="52" t="str">
        <f aca="false">'Model Inputs &amp; Assumptions'!$L$31</f>
        <v>PRD-USIQ</v>
      </c>
      <c r="P1676" s="53" t="n">
        <v>-0.477719</v>
      </c>
      <c r="Q1676" s="53" t="n">
        <v>-1.257536</v>
      </c>
      <c r="R1676" s="53" t="n">
        <v>2.005855</v>
      </c>
      <c r="S1676" s="53" t="n">
        <v>-0.166805</v>
      </c>
    </row>
    <row r="1677" customFormat="false" ht="15" hidden="false" customHeight="false" outlineLevel="0" collapsed="false">
      <c r="A1677" s="43" t="n">
        <v>174</v>
      </c>
      <c r="B1677" s="44" t="str">
        <f aca="false">'Model Inputs &amp; Assumptions'!$B$31</f>
        <v>YouTube — Finfluencer Pre-roll</v>
      </c>
      <c r="C1677" s="45" t="n">
        <f aca="false">ROUND(MAX(0,'Model Inputs &amp; Assumptions'!$S$31*EXP('Model Inputs &amp; Assumptions'!$T$31*P1677-'Model Inputs &amp; Assumptions'!$T$31^2/2)),0)</f>
        <v>536481</v>
      </c>
      <c r="D1677" s="46" t="n">
        <f aca="false">MIN(1,'Model Inputs &amp; Assumptions'!$U$31*EXP('Model Inputs &amp; Assumptions'!$V$31*Q1677-'Model Inputs &amp; Assumptions'!$V$31^2/2))</f>
        <v>0.641056333541859</v>
      </c>
      <c r="E1677" s="45" t="n">
        <f aca="false">ROUND(C1677*D1677,0)</f>
        <v>343915</v>
      </c>
      <c r="F1677" s="47" t="n">
        <f aca="false">MIN(1,'Model Inputs &amp; Assumptions'!$W$31*EXP('Model Inputs &amp; Assumptions'!$X$31*R1677-'Model Inputs &amp; Assumptions'!$X$31^2/2))</f>
        <v>0.00436907655631944</v>
      </c>
      <c r="G1677" s="45" t="n">
        <f aca="false">ROUND(C1677*F1677,0)</f>
        <v>2344</v>
      </c>
      <c r="H1677" s="48" t="n">
        <f aca="false">MAX(0,(C1677*'Model Inputs &amp; Assumptions'!$N$31+E1677*'Model Inputs &amp; Assumptions'!$O$31+G1677*'Model Inputs &amp; Assumptions'!$P$31)*EXP('Model Inputs &amp; Assumptions'!$Q$31*S1677-'Model Inputs &amp; Assumptions'!$Q$31^2/2))</f>
        <v>71.4960907976676</v>
      </c>
      <c r="I1677" s="49" t="n">
        <f aca="false">IF('Model Inputs &amp; Assumptions'!$H$31="Fixed",'Model Inputs &amp; Assumptions'!$I$31*'Model Inputs &amp; Assumptions'!$K$31,IF('Model Inputs &amp; Assumptions'!$H$31="CPM",'Model Inputs &amp; Assumptions'!$I$31*'Model Inputs &amp; Assumptions'!$K$31*C1677/1000,IF('Model Inputs &amp; Assumptions'!$H$31="CPC",'Model Inputs &amp; Assumptions'!$I$31*'Model Inputs &amp; Assumptions'!$K$31*G1677,0)))</f>
        <v>6086.913426</v>
      </c>
      <c r="J1677" s="50" t="n">
        <f aca="false">H1677*INDEX('Model Inputs &amp; Assumptions'!$D$40:$D$42,MATCH('Model Inputs &amp; Assumptions'!$L$31,'Model Inputs &amp; Assumptions'!$A$40:$A$42,0))*INDEX('Model Inputs &amp; Assumptions'!$H$40:$H$42,MATCH('Model Inputs &amp; Assumptions'!$L$31,'Model Inputs &amp; Assumptions'!$A$40:$A$42,0))</f>
        <v>514771.853743207</v>
      </c>
      <c r="K1677" s="49" t="n">
        <f aca="false">H1677*INDEX('Model Inputs &amp; Assumptions'!$G$40:$G$42,MATCH('Model Inputs &amp; Assumptions'!$L$31,'Model Inputs &amp; Assumptions'!$A$40:$A$42,0))*INDEX('Model Inputs &amp; Assumptions'!$H$40:$H$42,MATCH('Model Inputs &amp; Assumptions'!$L$31,'Model Inputs &amp; Assumptions'!$A$40:$A$42,0))</f>
        <v>11350.7193750377</v>
      </c>
      <c r="L1677" s="51" t="n">
        <f aca="false">IFERROR(K1677/I1677,0)</f>
        <v>1.86477424281304</v>
      </c>
      <c r="M1677" s="49" t="n">
        <f aca="false">IFERROR(I1677/H1677,0)</f>
        <v>85.1363110638571</v>
      </c>
      <c r="N1677" s="52" t="str">
        <f aca="false">'Model Inputs &amp; Assumptions'!$L$31</f>
        <v>PRD-USIQ</v>
      </c>
      <c r="P1677" s="53" t="n">
        <v>0.537302</v>
      </c>
      <c r="Q1677" s="53" t="n">
        <v>0.66282</v>
      </c>
      <c r="R1677" s="53" t="n">
        <v>-0.442026</v>
      </c>
      <c r="S1677" s="53" t="n">
        <v>0.551311</v>
      </c>
    </row>
    <row r="1678" customFormat="false" ht="15" hidden="false" customHeight="false" outlineLevel="0" collapsed="false">
      <c r="A1678" s="43" t="n">
        <v>175</v>
      </c>
      <c r="B1678" s="44" t="str">
        <f aca="false">'Model Inputs &amp; Assumptions'!$B$31</f>
        <v>YouTube — Finfluencer Pre-roll</v>
      </c>
      <c r="C1678" s="45" t="n">
        <f aca="false">ROUND(MAX(0,'Model Inputs &amp; Assumptions'!$S$31*EXP('Model Inputs &amp; Assumptions'!$T$31*P1678-'Model Inputs &amp; Assumptions'!$T$31^2/2)),0)</f>
        <v>388394</v>
      </c>
      <c r="D1678" s="46" t="n">
        <f aca="false">MIN(1,'Model Inputs &amp; Assumptions'!$U$31*EXP('Model Inputs &amp; Assumptions'!$V$31*Q1678-'Model Inputs &amp; Assumptions'!$V$31^2/2))</f>
        <v>0.741904995752029</v>
      </c>
      <c r="E1678" s="45" t="n">
        <f aca="false">ROUND(C1678*D1678,0)</f>
        <v>288151</v>
      </c>
      <c r="F1678" s="47" t="n">
        <f aca="false">MIN(1,'Model Inputs &amp; Assumptions'!$W$31*EXP('Model Inputs &amp; Assumptions'!$X$31*R1678-'Model Inputs &amp; Assumptions'!$X$31^2/2))</f>
        <v>0.00522328018479913</v>
      </c>
      <c r="G1678" s="45" t="n">
        <f aca="false">ROUND(C1678*F1678,0)</f>
        <v>2029</v>
      </c>
      <c r="H1678" s="48" t="n">
        <f aca="false">MAX(0,(C1678*'Model Inputs &amp; Assumptions'!$N$31+E1678*'Model Inputs &amp; Assumptions'!$O$31+G1678*'Model Inputs &amp; Assumptions'!$P$31)*EXP('Model Inputs &amp; Assumptions'!$Q$31*S1678-'Model Inputs &amp; Assumptions'!$Q$31^2/2))</f>
        <v>108.588828014148</v>
      </c>
      <c r="I1678" s="49" t="n">
        <f aca="false">IF('Model Inputs &amp; Assumptions'!$H$31="Fixed",'Model Inputs &amp; Assumptions'!$I$31*'Model Inputs &amp; Assumptions'!$K$31,IF('Model Inputs &amp; Assumptions'!$H$31="CPM",'Model Inputs &amp; Assumptions'!$I$31*'Model Inputs &amp; Assumptions'!$K$31*C1678/1000,IF('Model Inputs &amp; Assumptions'!$H$31="CPC",'Model Inputs &amp; Assumptions'!$I$31*'Model Inputs &amp; Assumptions'!$K$31*G1678,0)))</f>
        <v>4406.718324</v>
      </c>
      <c r="J1678" s="50" t="n">
        <f aca="false">H1678*INDEX('Model Inputs &amp; Assumptions'!$D$40:$D$42,MATCH('Model Inputs &amp; Assumptions'!$L$31,'Model Inputs &amp; Assumptions'!$A$40:$A$42,0))*INDEX('Model Inputs &amp; Assumptions'!$H$40:$H$42,MATCH('Model Inputs &amp; Assumptions'!$L$31,'Model Inputs &amp; Assumptions'!$A$40:$A$42,0))</f>
        <v>781839.561701866</v>
      </c>
      <c r="K1678" s="49" t="n">
        <f aca="false">H1678*INDEX('Model Inputs &amp; Assumptions'!$G$40:$G$42,MATCH('Model Inputs &amp; Assumptions'!$L$31,'Model Inputs &amp; Assumptions'!$A$40:$A$42,0))*INDEX('Model Inputs &amp; Assumptions'!$H$40:$H$42,MATCH('Model Inputs &amp; Assumptions'!$L$31,'Model Inputs &amp; Assumptions'!$A$40:$A$42,0))</f>
        <v>17239.5623355261</v>
      </c>
      <c r="L1678" s="51" t="n">
        <f aca="false">IFERROR(K1678/I1678,0)</f>
        <v>3.91210898178709</v>
      </c>
      <c r="M1678" s="49" t="n">
        <f aca="false">IFERROR(I1678/H1678,0)</f>
        <v>40.5816915477331</v>
      </c>
      <c r="N1678" s="52" t="str">
        <f aca="false">'Model Inputs &amp; Assumptions'!$L$31</f>
        <v>PRD-USIQ</v>
      </c>
      <c r="P1678" s="53" t="n">
        <v>-0.616311</v>
      </c>
      <c r="Q1678" s="53" t="n">
        <v>1.706419</v>
      </c>
      <c r="R1678" s="53" t="n">
        <v>0.302032</v>
      </c>
      <c r="S1678" s="53" t="n">
        <v>2.198224</v>
      </c>
    </row>
    <row r="1679" customFormat="false" ht="15" hidden="false" customHeight="false" outlineLevel="0" collapsed="false">
      <c r="A1679" s="43" t="n">
        <v>176</v>
      </c>
      <c r="B1679" s="44" t="str">
        <f aca="false">'Model Inputs &amp; Assumptions'!$B$31</f>
        <v>YouTube — Finfluencer Pre-roll</v>
      </c>
      <c r="C1679" s="45" t="n">
        <f aca="false">ROUND(MAX(0,'Model Inputs &amp; Assumptions'!$S$31*EXP('Model Inputs &amp; Assumptions'!$T$31*P1679-'Model Inputs &amp; Assumptions'!$T$31^2/2)),0)</f>
        <v>515519</v>
      </c>
      <c r="D1679" s="46" t="n">
        <f aca="false">MIN(1,'Model Inputs &amp; Assumptions'!$U$31*EXP('Model Inputs &amp; Assumptions'!$V$31*Q1679-'Model Inputs &amp; Assumptions'!$V$31^2/2))</f>
        <v>0.598109385966785</v>
      </c>
      <c r="E1679" s="45" t="n">
        <f aca="false">ROUND(C1679*D1679,0)</f>
        <v>308337</v>
      </c>
      <c r="F1679" s="47" t="n">
        <f aca="false">MIN(1,'Model Inputs &amp; Assumptions'!$W$31*EXP('Model Inputs &amp; Assumptions'!$X$31*R1679-'Model Inputs &amp; Assumptions'!$X$31^2/2))</f>
        <v>0.00650419863641978</v>
      </c>
      <c r="G1679" s="45" t="n">
        <f aca="false">ROUND(C1679*F1679,0)</f>
        <v>3353</v>
      </c>
      <c r="H1679" s="48" t="n">
        <f aca="false">MAX(0,(C1679*'Model Inputs &amp; Assumptions'!$N$31+E1679*'Model Inputs &amp; Assumptions'!$O$31+G1679*'Model Inputs &amp; Assumptions'!$P$31)*EXP('Model Inputs &amp; Assumptions'!$Q$31*S1679-'Model Inputs &amp; Assumptions'!$Q$31^2/2))</f>
        <v>81.8095213590098</v>
      </c>
      <c r="I1679" s="49" t="n">
        <f aca="false">IF('Model Inputs &amp; Assumptions'!$H$31="Fixed",'Model Inputs &amp; Assumptions'!$I$31*'Model Inputs &amp; Assumptions'!$K$31,IF('Model Inputs &amp; Assumptions'!$H$31="CPM",'Model Inputs &amp; Assumptions'!$I$31*'Model Inputs &amp; Assumptions'!$K$31*C1679/1000,IF('Model Inputs &amp; Assumptions'!$H$31="CPC",'Model Inputs &amp; Assumptions'!$I$31*'Model Inputs &amp; Assumptions'!$K$31*G1679,0)))</f>
        <v>5849.078574</v>
      </c>
      <c r="J1679" s="50" t="n">
        <f aca="false">H1679*INDEX('Model Inputs &amp; Assumptions'!$D$40:$D$42,MATCH('Model Inputs &amp; Assumptions'!$L$31,'Model Inputs &amp; Assumptions'!$A$40:$A$42,0))*INDEX('Model Inputs &amp; Assumptions'!$H$40:$H$42,MATCH('Model Inputs &amp; Assumptions'!$L$31,'Model Inputs &amp; Assumptions'!$A$40:$A$42,0))</f>
        <v>589028.553784871</v>
      </c>
      <c r="K1679" s="49" t="n">
        <f aca="false">H1679*INDEX('Model Inputs &amp; Assumptions'!$G$40:$G$42,MATCH('Model Inputs &amp; Assumptions'!$L$31,'Model Inputs &amp; Assumptions'!$A$40:$A$42,0))*INDEX('Model Inputs &amp; Assumptions'!$H$40:$H$42,MATCH('Model Inputs &amp; Assumptions'!$L$31,'Model Inputs &amp; Assumptions'!$A$40:$A$42,0))</f>
        <v>12988.0796109564</v>
      </c>
      <c r="L1679" s="51" t="n">
        <f aca="false">IFERROR(K1679/I1679,0)</f>
        <v>2.22053430239257</v>
      </c>
      <c r="M1679" s="49" t="n">
        <f aca="false">IFERROR(I1679/H1679,0)</f>
        <v>71.4963060147012</v>
      </c>
      <c r="N1679" s="52" t="str">
        <f aca="false">'Model Inputs &amp; Assumptions'!$L$31</f>
        <v>PRD-USIQ</v>
      </c>
      <c r="P1679" s="53" t="n">
        <v>0.394955</v>
      </c>
      <c r="Q1679" s="53" t="n">
        <v>0.167508</v>
      </c>
      <c r="R1679" s="53" t="n">
        <v>1.215875</v>
      </c>
      <c r="S1679" s="53" t="n">
        <v>0.424751</v>
      </c>
    </row>
    <row r="1680" customFormat="false" ht="15" hidden="false" customHeight="false" outlineLevel="0" collapsed="false">
      <c r="A1680" s="43" t="n">
        <v>177</v>
      </c>
      <c r="B1680" s="44" t="str">
        <f aca="false">'Model Inputs &amp; Assumptions'!$B$31</f>
        <v>YouTube — Finfluencer Pre-roll</v>
      </c>
      <c r="C1680" s="45" t="n">
        <f aca="false">ROUND(MAX(0,'Model Inputs &amp; Assumptions'!$S$31*EXP('Model Inputs &amp; Assumptions'!$T$31*P1680-'Model Inputs &amp; Assumptions'!$T$31^2/2)),0)</f>
        <v>551142</v>
      </c>
      <c r="D1680" s="46" t="n">
        <f aca="false">MIN(1,'Model Inputs &amp; Assumptions'!$U$31*EXP('Model Inputs &amp; Assumptions'!$V$31*Q1680-'Model Inputs &amp; Assumptions'!$V$31^2/2))</f>
        <v>0.522309235106903</v>
      </c>
      <c r="E1680" s="45" t="n">
        <f aca="false">ROUND(C1680*D1680,0)</f>
        <v>287867</v>
      </c>
      <c r="F1680" s="47" t="n">
        <f aca="false">MIN(1,'Model Inputs &amp; Assumptions'!$W$31*EXP('Model Inputs &amp; Assumptions'!$X$31*R1680-'Model Inputs &amp; Assumptions'!$X$31^2/2))</f>
        <v>0.00450753081490231</v>
      </c>
      <c r="G1680" s="45" t="n">
        <f aca="false">ROUND(C1680*F1680,0)</f>
        <v>2484</v>
      </c>
      <c r="H1680" s="48" t="n">
        <f aca="false">MAX(0,(C1680*'Model Inputs &amp; Assumptions'!$N$31+E1680*'Model Inputs &amp; Assumptions'!$O$31+G1680*'Model Inputs &amp; Assumptions'!$P$31)*EXP('Model Inputs &amp; Assumptions'!$Q$31*S1680-'Model Inputs &amp; Assumptions'!$Q$31^2/2))</f>
        <v>83.2540925228476</v>
      </c>
      <c r="I1680" s="49" t="n">
        <f aca="false">IF('Model Inputs &amp; Assumptions'!$H$31="Fixed",'Model Inputs &amp; Assumptions'!$I$31*'Model Inputs &amp; Assumptions'!$K$31,IF('Model Inputs &amp; Assumptions'!$H$31="CPM",'Model Inputs &amp; Assumptions'!$I$31*'Model Inputs &amp; Assumptions'!$K$31*C1680/1000,IF('Model Inputs &amp; Assumptions'!$H$31="CPC",'Model Inputs &amp; Assumptions'!$I$31*'Model Inputs &amp; Assumptions'!$K$31*G1680,0)))</f>
        <v>6253.257132</v>
      </c>
      <c r="J1680" s="50" t="n">
        <f aca="false">H1680*INDEX('Model Inputs &amp; Assumptions'!$D$40:$D$42,MATCH('Model Inputs &amp; Assumptions'!$L$31,'Model Inputs &amp; Assumptions'!$A$40:$A$42,0))*INDEX('Model Inputs &amp; Assumptions'!$H$40:$H$42,MATCH('Model Inputs &amp; Assumptions'!$L$31,'Model Inputs &amp; Assumptions'!$A$40:$A$42,0))</f>
        <v>599429.466164503</v>
      </c>
      <c r="K1680" s="49" t="n">
        <f aca="false">H1680*INDEX('Model Inputs &amp; Assumptions'!$G$40:$G$42,MATCH('Model Inputs &amp; Assumptions'!$L$31,'Model Inputs &amp; Assumptions'!$A$40:$A$42,0))*INDEX('Model Inputs &amp; Assumptions'!$H$40:$H$42,MATCH('Model Inputs &amp; Assumptions'!$L$31,'Model Inputs &amp; Assumptions'!$A$40:$A$42,0))</f>
        <v>13217.4197289273</v>
      </c>
      <c r="L1680" s="51" t="n">
        <f aca="false">IFERROR(K1680/I1680,0)</f>
        <v>2.11368562813279</v>
      </c>
      <c r="M1680" s="49" t="n">
        <f aca="false">IFERROR(I1680/H1680,0)</f>
        <v>75.1105073937825</v>
      </c>
      <c r="N1680" s="52" t="str">
        <f aca="false">'Model Inputs &amp; Assumptions'!$L$31</f>
        <v>PRD-USIQ</v>
      </c>
      <c r="P1680" s="53" t="n">
        <v>0.633593</v>
      </c>
      <c r="Q1680" s="53" t="n">
        <v>-0.800448</v>
      </c>
      <c r="R1680" s="53" t="n">
        <v>-0.312035</v>
      </c>
      <c r="S1680" s="53" t="n">
        <v>1.097119</v>
      </c>
    </row>
    <row r="1681" customFormat="false" ht="15" hidden="false" customHeight="false" outlineLevel="0" collapsed="false">
      <c r="A1681" s="43" t="n">
        <v>178</v>
      </c>
      <c r="B1681" s="44" t="str">
        <f aca="false">'Model Inputs &amp; Assumptions'!$B$31</f>
        <v>YouTube — Finfluencer Pre-roll</v>
      </c>
      <c r="C1681" s="45" t="n">
        <f aca="false">ROUND(MAX(0,'Model Inputs &amp; Assumptions'!$S$31*EXP('Model Inputs &amp; Assumptions'!$T$31*P1681-'Model Inputs &amp; Assumptions'!$T$31^2/2)),0)</f>
        <v>410166</v>
      </c>
      <c r="D1681" s="46" t="n">
        <f aca="false">MIN(1,'Model Inputs &amp; Assumptions'!$U$31*EXP('Model Inputs &amp; Assumptions'!$V$31*Q1681-'Model Inputs &amp; Assumptions'!$V$31^2/2))</f>
        <v>0.512014137467632</v>
      </c>
      <c r="E1681" s="45" t="n">
        <f aca="false">ROUND(C1681*D1681,0)</f>
        <v>210011</v>
      </c>
      <c r="F1681" s="47" t="n">
        <f aca="false">MIN(1,'Model Inputs &amp; Assumptions'!$W$31*EXP('Model Inputs &amp; Assumptions'!$X$31*R1681-'Model Inputs &amp; Assumptions'!$X$31^2/2))</f>
        <v>0.00495343023045947</v>
      </c>
      <c r="G1681" s="45" t="n">
        <f aca="false">ROUND(C1681*F1681,0)</f>
        <v>2032</v>
      </c>
      <c r="H1681" s="48" t="n">
        <f aca="false">MAX(0,(C1681*'Model Inputs &amp; Assumptions'!$N$31+E1681*'Model Inputs &amp; Assumptions'!$O$31+G1681*'Model Inputs &amp; Assumptions'!$P$31)*EXP('Model Inputs &amp; Assumptions'!$Q$31*S1681-'Model Inputs &amp; Assumptions'!$Q$31^2/2))</f>
        <v>29.2223663057902</v>
      </c>
      <c r="I1681" s="49" t="n">
        <f aca="false">IF('Model Inputs &amp; Assumptions'!$H$31="Fixed",'Model Inputs &amp; Assumptions'!$I$31*'Model Inputs &amp; Assumptions'!$K$31,IF('Model Inputs &amp; Assumptions'!$H$31="CPM",'Model Inputs &amp; Assumptions'!$I$31*'Model Inputs &amp; Assumptions'!$K$31*C1681/1000,IF('Model Inputs &amp; Assumptions'!$H$31="CPC",'Model Inputs &amp; Assumptions'!$I$31*'Model Inputs &amp; Assumptions'!$K$31*G1681,0)))</f>
        <v>4653.743436</v>
      </c>
      <c r="J1681" s="50" t="n">
        <f aca="false">H1681*INDEX('Model Inputs &amp; Assumptions'!$D$40:$D$42,MATCH('Model Inputs &amp; Assumptions'!$L$31,'Model Inputs &amp; Assumptions'!$A$40:$A$42,0))*INDEX('Model Inputs &amp; Assumptions'!$H$40:$H$42,MATCH('Model Inputs &amp; Assumptions'!$L$31,'Model Inputs &amp; Assumptions'!$A$40:$A$42,0))</f>
        <v>210401.037401689</v>
      </c>
      <c r="K1681" s="49" t="n">
        <f aca="false">H1681*INDEX('Model Inputs &amp; Assumptions'!$G$40:$G$42,MATCH('Model Inputs &amp; Assumptions'!$L$31,'Model Inputs &amp; Assumptions'!$A$40:$A$42,0))*INDEX('Model Inputs &amp; Assumptions'!$H$40:$H$42,MATCH('Model Inputs &amp; Assumptions'!$L$31,'Model Inputs &amp; Assumptions'!$A$40:$A$42,0))</f>
        <v>4639.34287470724</v>
      </c>
      <c r="L1681" s="51" t="n">
        <f aca="false">IFERROR(K1681/I1681,0)</f>
        <v>0.996905596217154</v>
      </c>
      <c r="M1681" s="49" t="n">
        <f aca="false">IFERROR(I1681/H1681,0)</f>
        <v>159.252792443366</v>
      </c>
      <c r="N1681" s="52" t="str">
        <f aca="false">'Model Inputs &amp; Assumptions'!$L$31</f>
        <v>PRD-USIQ</v>
      </c>
      <c r="P1681" s="53" t="n">
        <v>-0.421519</v>
      </c>
      <c r="Q1681" s="53" t="n">
        <v>-0.942645</v>
      </c>
      <c r="R1681" s="53" t="n">
        <v>0.08101</v>
      </c>
      <c r="S1681" s="53" t="n">
        <v>-1.199776</v>
      </c>
    </row>
    <row r="1682" customFormat="false" ht="15" hidden="false" customHeight="false" outlineLevel="0" collapsed="false">
      <c r="A1682" s="43" t="n">
        <v>179</v>
      </c>
      <c r="B1682" s="44" t="str">
        <f aca="false">'Model Inputs &amp; Assumptions'!$B$31</f>
        <v>YouTube — Finfluencer Pre-roll</v>
      </c>
      <c r="C1682" s="45" t="n">
        <f aca="false">ROUND(MAX(0,'Model Inputs &amp; Assumptions'!$S$31*EXP('Model Inputs &amp; Assumptions'!$T$31*P1682-'Model Inputs &amp; Assumptions'!$T$31^2/2)),0)</f>
        <v>445650</v>
      </c>
      <c r="D1682" s="46" t="n">
        <f aca="false">MIN(1,'Model Inputs &amp; Assumptions'!$U$31*EXP('Model Inputs &amp; Assumptions'!$V$31*Q1682-'Model Inputs &amp; Assumptions'!$V$31^2/2))</f>
        <v>0.55218110260569</v>
      </c>
      <c r="E1682" s="45" t="n">
        <f aca="false">ROUND(C1682*D1682,0)</f>
        <v>246080</v>
      </c>
      <c r="F1682" s="47" t="n">
        <f aca="false">MIN(1,'Model Inputs &amp; Assumptions'!$W$31*EXP('Model Inputs &amp; Assumptions'!$X$31*R1682-'Model Inputs &amp; Assumptions'!$X$31^2/2))</f>
        <v>0.00648815412829967</v>
      </c>
      <c r="G1682" s="45" t="n">
        <f aca="false">ROUND(C1682*F1682,0)</f>
        <v>2891</v>
      </c>
      <c r="H1682" s="48" t="n">
        <f aca="false">MAX(0,(C1682*'Model Inputs &amp; Assumptions'!$N$31+E1682*'Model Inputs &amp; Assumptions'!$O$31+G1682*'Model Inputs &amp; Assumptions'!$P$31)*EXP('Model Inputs &amp; Assumptions'!$Q$31*S1682-'Model Inputs &amp; Assumptions'!$Q$31^2/2))</f>
        <v>51.3591041549642</v>
      </c>
      <c r="I1682" s="49" t="n">
        <f aca="false">IF('Model Inputs &amp; Assumptions'!$H$31="Fixed",'Model Inputs &amp; Assumptions'!$I$31*'Model Inputs &amp; Assumptions'!$K$31,IF('Model Inputs &amp; Assumptions'!$H$31="CPM",'Model Inputs &amp; Assumptions'!$I$31*'Model Inputs &amp; Assumptions'!$K$31*C1682/1000,IF('Model Inputs &amp; Assumptions'!$H$31="CPC",'Model Inputs &amp; Assumptions'!$I$31*'Model Inputs &amp; Assumptions'!$K$31*G1682,0)))</f>
        <v>5056.3449</v>
      </c>
      <c r="J1682" s="50" t="n">
        <f aca="false">H1682*INDEX('Model Inputs &amp; Assumptions'!$D$40:$D$42,MATCH('Model Inputs &amp; Assumptions'!$L$31,'Model Inputs &amp; Assumptions'!$A$40:$A$42,0))*INDEX('Model Inputs &amp; Assumptions'!$H$40:$H$42,MATCH('Model Inputs &amp; Assumptions'!$L$31,'Model Inputs &amp; Assumptions'!$A$40:$A$42,0))</f>
        <v>369785.549915742</v>
      </c>
      <c r="K1682" s="49" t="n">
        <f aca="false">H1682*INDEX('Model Inputs &amp; Assumptions'!$G$40:$G$42,MATCH('Model Inputs &amp; Assumptions'!$L$31,'Model Inputs &amp; Assumptions'!$A$40:$A$42,0))*INDEX('Model Inputs &amp; Assumptions'!$H$40:$H$42,MATCH('Model Inputs &amp; Assumptions'!$L$31,'Model Inputs &amp; Assumptions'!$A$40:$A$42,0))</f>
        <v>8153.77137564212</v>
      </c>
      <c r="L1682" s="51" t="n">
        <f aca="false">IFERROR(K1682/I1682,0)</f>
        <v>1.61258211947569</v>
      </c>
      <c r="M1682" s="49" t="n">
        <f aca="false">IFERROR(I1682/H1682,0)</f>
        <v>98.4508001686254</v>
      </c>
      <c r="N1682" s="52" t="str">
        <f aca="false">'Model Inputs &amp; Assumptions'!$L$31</f>
        <v>PRD-USIQ</v>
      </c>
      <c r="P1682" s="53" t="n">
        <v>-0.125189</v>
      </c>
      <c r="Q1682" s="53" t="n">
        <v>-0.403189</v>
      </c>
      <c r="R1682" s="53" t="n">
        <v>1.205584</v>
      </c>
      <c r="S1682" s="53" t="n">
        <v>-0.411023</v>
      </c>
    </row>
    <row r="1683" customFormat="false" ht="15" hidden="false" customHeight="false" outlineLevel="0" collapsed="false">
      <c r="A1683" s="43" t="n">
        <v>180</v>
      </c>
      <c r="B1683" s="44" t="str">
        <f aca="false">'Model Inputs &amp; Assumptions'!$B$31</f>
        <v>YouTube — Finfluencer Pre-roll</v>
      </c>
      <c r="C1683" s="45" t="n">
        <f aca="false">ROUND(MAX(0,'Model Inputs &amp; Assumptions'!$S$31*EXP('Model Inputs &amp; Assumptions'!$T$31*P1683-'Model Inputs &amp; Assumptions'!$T$31^2/2)),0)</f>
        <v>610482</v>
      </c>
      <c r="D1683" s="46" t="n">
        <f aca="false">MIN(1,'Model Inputs &amp; Assumptions'!$U$31*EXP('Model Inputs &amp; Assumptions'!$V$31*Q1683-'Model Inputs &amp; Assumptions'!$V$31^2/2))</f>
        <v>0.545962000352935</v>
      </c>
      <c r="E1683" s="45" t="n">
        <f aca="false">ROUND(C1683*D1683,0)</f>
        <v>333300</v>
      </c>
      <c r="F1683" s="47" t="n">
        <f aca="false">MIN(1,'Model Inputs &amp; Assumptions'!$W$31*EXP('Model Inputs &amp; Assumptions'!$X$31*R1683-'Model Inputs &amp; Assumptions'!$X$31^2/2))</f>
        <v>0.00423867903534147</v>
      </c>
      <c r="G1683" s="45" t="n">
        <f aca="false">ROUND(C1683*F1683,0)</f>
        <v>2588</v>
      </c>
      <c r="H1683" s="48" t="n">
        <f aca="false">MAX(0,(C1683*'Model Inputs &amp; Assumptions'!$N$31+E1683*'Model Inputs &amp; Assumptions'!$O$31+G1683*'Model Inputs &amp; Assumptions'!$P$31)*EXP('Model Inputs &amp; Assumptions'!$Q$31*S1683-'Model Inputs &amp; Assumptions'!$Q$31^2/2))</f>
        <v>46.6947126132576</v>
      </c>
      <c r="I1683" s="49" t="n">
        <f aca="false">IF('Model Inputs &amp; Assumptions'!$H$31="Fixed",'Model Inputs &amp; Assumptions'!$I$31*'Model Inputs &amp; Assumptions'!$K$31,IF('Model Inputs &amp; Assumptions'!$H$31="CPM",'Model Inputs &amp; Assumptions'!$I$31*'Model Inputs &amp; Assumptions'!$K$31*C1683/1000,IF('Model Inputs &amp; Assumptions'!$H$31="CPC",'Model Inputs &amp; Assumptions'!$I$31*'Model Inputs &amp; Assumptions'!$K$31*G1683,0)))</f>
        <v>6926.528772</v>
      </c>
      <c r="J1683" s="50" t="n">
        <f aca="false">H1683*INDEX('Model Inputs &amp; Assumptions'!$D$40:$D$42,MATCH('Model Inputs &amp; Assumptions'!$L$31,'Model Inputs &amp; Assumptions'!$A$40:$A$42,0))*INDEX('Model Inputs &amp; Assumptions'!$H$40:$H$42,MATCH('Model Inputs &amp; Assumptions'!$L$31,'Model Inputs &amp; Assumptions'!$A$40:$A$42,0))</f>
        <v>336201.930815454</v>
      </c>
      <c r="K1683" s="49" t="n">
        <f aca="false">H1683*INDEX('Model Inputs &amp; Assumptions'!$G$40:$G$42,MATCH('Model Inputs &amp; Assumptions'!$L$31,'Model Inputs &amp; Assumptions'!$A$40:$A$42,0))*INDEX('Model Inputs &amp; Assumptions'!$H$40:$H$42,MATCH('Model Inputs &amp; Assumptions'!$L$31,'Model Inputs &amp; Assumptions'!$A$40:$A$42,0))</f>
        <v>7413.25257448077</v>
      </c>
      <c r="L1683" s="51" t="n">
        <f aca="false">IFERROR(K1683/I1683,0)</f>
        <v>1.07026951284001</v>
      </c>
      <c r="M1683" s="49" t="n">
        <f aca="false">IFERROR(I1683/H1683,0)</f>
        <v>148.336468614081</v>
      </c>
      <c r="N1683" s="52" t="str">
        <f aca="false">'Model Inputs &amp; Assumptions'!$L$31</f>
        <v>PRD-USIQ</v>
      </c>
      <c r="P1683" s="53" t="n">
        <v>0.998795</v>
      </c>
      <c r="Q1683" s="53" t="n">
        <v>-0.484094</v>
      </c>
      <c r="R1683" s="53" t="n">
        <v>-0.568276</v>
      </c>
      <c r="S1683" s="53" t="n">
        <v>-0.791214</v>
      </c>
    </row>
    <row r="1684" customFormat="false" ht="15" hidden="false" customHeight="false" outlineLevel="0" collapsed="false">
      <c r="A1684" s="43" t="n">
        <v>181</v>
      </c>
      <c r="B1684" s="44" t="str">
        <f aca="false">'Model Inputs &amp; Assumptions'!$B$31</f>
        <v>YouTube — Finfluencer Pre-roll</v>
      </c>
      <c r="C1684" s="45" t="n">
        <f aca="false">ROUND(MAX(0,'Model Inputs &amp; Assumptions'!$S$31*EXP('Model Inputs &amp; Assumptions'!$T$31*P1684-'Model Inputs &amp; Assumptions'!$T$31^2/2)),0)</f>
        <v>638936</v>
      </c>
      <c r="D1684" s="46" t="n">
        <f aca="false">MIN(1,'Model Inputs &amp; Assumptions'!$U$31*EXP('Model Inputs &amp; Assumptions'!$V$31*Q1684-'Model Inputs &amp; Assumptions'!$V$31^2/2))</f>
        <v>0.671285329539936</v>
      </c>
      <c r="E1684" s="45" t="n">
        <f aca="false">ROUND(C1684*D1684,0)</f>
        <v>428908</v>
      </c>
      <c r="F1684" s="47" t="n">
        <f aca="false">MIN(1,'Model Inputs &amp; Assumptions'!$W$31*EXP('Model Inputs &amp; Assumptions'!$X$31*R1684-'Model Inputs &amp; Assumptions'!$X$31^2/2))</f>
        <v>0.00599145227366059</v>
      </c>
      <c r="G1684" s="45" t="n">
        <f aca="false">ROUND(C1684*F1684,0)</f>
        <v>3828</v>
      </c>
      <c r="H1684" s="48" t="n">
        <f aca="false">MAX(0,(C1684*'Model Inputs &amp; Assumptions'!$N$31+E1684*'Model Inputs &amp; Assumptions'!$O$31+G1684*'Model Inputs &amp; Assumptions'!$P$31)*EXP('Model Inputs &amp; Assumptions'!$Q$31*S1684-'Model Inputs &amp; Assumptions'!$Q$31^2/2))</f>
        <v>76.3339473868495</v>
      </c>
      <c r="I1684" s="49" t="n">
        <f aca="false">IF('Model Inputs &amp; Assumptions'!$H$31="Fixed",'Model Inputs &amp; Assumptions'!$I$31*'Model Inputs &amp; Assumptions'!$K$31,IF('Model Inputs &amp; Assumptions'!$H$31="CPM",'Model Inputs &amp; Assumptions'!$I$31*'Model Inputs &amp; Assumptions'!$K$31*C1684/1000,IF('Model Inputs &amp; Assumptions'!$H$31="CPC",'Model Inputs &amp; Assumptions'!$I$31*'Model Inputs &amp; Assumptions'!$K$31*G1684,0)))</f>
        <v>7249.367856</v>
      </c>
      <c r="J1684" s="50" t="n">
        <f aca="false">H1684*INDEX('Model Inputs &amp; Assumptions'!$D$40:$D$42,MATCH('Model Inputs &amp; Assumptions'!$L$31,'Model Inputs &amp; Assumptions'!$A$40:$A$42,0))*INDEX('Model Inputs &amp; Assumptions'!$H$40:$H$42,MATCH('Model Inputs &amp; Assumptions'!$L$31,'Model Inputs &amp; Assumptions'!$A$40:$A$42,0))</f>
        <v>549604.421185316</v>
      </c>
      <c r="K1684" s="49" t="n">
        <f aca="false">H1684*INDEX('Model Inputs &amp; Assumptions'!$G$40:$G$42,MATCH('Model Inputs &amp; Assumptions'!$L$31,'Model Inputs &amp; Assumptions'!$A$40:$A$42,0))*INDEX('Model Inputs &amp; Assumptions'!$H$40:$H$42,MATCH('Model Inputs &amp; Assumptions'!$L$31,'Model Inputs &amp; Assumptions'!$A$40:$A$42,0))</f>
        <v>12118.7774871362</v>
      </c>
      <c r="L1684" s="51" t="n">
        <f aca="false">IFERROR(K1684/I1684,0)</f>
        <v>1.67170127490579</v>
      </c>
      <c r="M1684" s="49" t="n">
        <f aca="false">IFERROR(I1684/H1684,0)</f>
        <v>94.9691206097498</v>
      </c>
      <c r="N1684" s="52" t="str">
        <f aca="false">'Model Inputs &amp; Assumptions'!$L$31</f>
        <v>PRD-USIQ</v>
      </c>
      <c r="P1684" s="53" t="n">
        <v>1.161496</v>
      </c>
      <c r="Q1684" s="53" t="n">
        <v>0.991941</v>
      </c>
      <c r="R1684" s="53" t="n">
        <v>0.873733</v>
      </c>
      <c r="S1684" s="53" t="n">
        <v>-0.35003</v>
      </c>
    </row>
    <row r="1685" customFormat="false" ht="15" hidden="false" customHeight="false" outlineLevel="0" collapsed="false">
      <c r="A1685" s="43" t="n">
        <v>182</v>
      </c>
      <c r="B1685" s="44" t="str">
        <f aca="false">'Model Inputs &amp; Assumptions'!$B$31</f>
        <v>YouTube — Finfluencer Pre-roll</v>
      </c>
      <c r="C1685" s="45" t="n">
        <f aca="false">ROUND(MAX(0,'Model Inputs &amp; Assumptions'!$S$31*EXP('Model Inputs &amp; Assumptions'!$T$31*P1685-'Model Inputs &amp; Assumptions'!$T$31^2/2)),0)</f>
        <v>764417</v>
      </c>
      <c r="D1685" s="46" t="n">
        <f aca="false">MIN(1,'Model Inputs &amp; Assumptions'!$U$31*EXP('Model Inputs &amp; Assumptions'!$V$31*Q1685-'Model Inputs &amp; Assumptions'!$V$31^2/2))</f>
        <v>0.663457871162637</v>
      </c>
      <c r="E1685" s="45" t="n">
        <f aca="false">ROUND(C1685*D1685,0)</f>
        <v>507158</v>
      </c>
      <c r="F1685" s="47" t="n">
        <f aca="false">MIN(1,'Model Inputs &amp; Assumptions'!$W$31*EXP('Model Inputs &amp; Assumptions'!$X$31*R1685-'Model Inputs &amp; Assumptions'!$X$31^2/2))</f>
        <v>0.00447153858755705</v>
      </c>
      <c r="G1685" s="45" t="n">
        <f aca="false">ROUND(C1685*F1685,0)</f>
        <v>3418</v>
      </c>
      <c r="H1685" s="48" t="n">
        <f aca="false">MAX(0,(C1685*'Model Inputs &amp; Assumptions'!$N$31+E1685*'Model Inputs &amp; Assumptions'!$O$31+G1685*'Model Inputs &amp; Assumptions'!$P$31)*EXP('Model Inputs &amp; Assumptions'!$Q$31*S1685-'Model Inputs &amp; Assumptions'!$Q$31^2/2))</f>
        <v>148.477558825468</v>
      </c>
      <c r="I1685" s="49" t="n">
        <f aca="false">IF('Model Inputs &amp; Assumptions'!$H$31="Fixed",'Model Inputs &amp; Assumptions'!$I$31*'Model Inputs &amp; Assumptions'!$K$31,IF('Model Inputs &amp; Assumptions'!$H$31="CPM",'Model Inputs &amp; Assumptions'!$I$31*'Model Inputs &amp; Assumptions'!$K$31*C1685/1000,IF('Model Inputs &amp; Assumptions'!$H$31="CPC",'Model Inputs &amp; Assumptions'!$I$31*'Model Inputs &amp; Assumptions'!$K$31*G1685,0)))</f>
        <v>8673.075282</v>
      </c>
      <c r="J1685" s="50" t="n">
        <f aca="false">H1685*INDEX('Model Inputs &amp; Assumptions'!$D$40:$D$42,MATCH('Model Inputs &amp; Assumptions'!$L$31,'Model Inputs &amp; Assumptions'!$A$40:$A$42,0))*INDEX('Model Inputs &amp; Assumptions'!$H$40:$H$42,MATCH('Model Inputs &amp; Assumptions'!$L$31,'Model Inputs &amp; Assumptions'!$A$40:$A$42,0))</f>
        <v>1069038.42354337</v>
      </c>
      <c r="K1685" s="49" t="n">
        <f aca="false">H1685*INDEX('Model Inputs &amp; Assumptions'!$G$40:$G$42,MATCH('Model Inputs &amp; Assumptions'!$L$31,'Model Inputs &amp; Assumptions'!$A$40:$A$42,0))*INDEX('Model Inputs &amp; Assumptions'!$H$40:$H$42,MATCH('Model Inputs &amp; Assumptions'!$L$31,'Model Inputs &amp; Assumptions'!$A$40:$A$42,0))</f>
        <v>23572.2972391313</v>
      </c>
      <c r="L1685" s="51" t="n">
        <f aca="false">IFERROR(K1685/I1685,0)</f>
        <v>2.71787070591362</v>
      </c>
      <c r="M1685" s="49" t="n">
        <f aca="false">IFERROR(I1685/H1685,0)</f>
        <v>58.4133747255031</v>
      </c>
      <c r="N1685" s="52" t="str">
        <f aca="false">'Model Inputs &amp; Assumptions'!$L$31</f>
        <v>PRD-USIQ</v>
      </c>
      <c r="P1685" s="53" t="n">
        <v>1.801885</v>
      </c>
      <c r="Q1685" s="53" t="n">
        <v>0.908163</v>
      </c>
      <c r="R1685" s="53" t="n">
        <v>-0.345439</v>
      </c>
      <c r="S1685" s="53" t="n">
        <v>1.547449</v>
      </c>
    </row>
    <row r="1686" customFormat="false" ht="15" hidden="false" customHeight="false" outlineLevel="0" collapsed="false">
      <c r="A1686" s="43" t="n">
        <v>183</v>
      </c>
      <c r="B1686" s="44" t="str">
        <f aca="false">'Model Inputs &amp; Assumptions'!$B$31</f>
        <v>YouTube — Finfluencer Pre-roll</v>
      </c>
      <c r="C1686" s="45" t="n">
        <f aca="false">ROUND(MAX(0,'Model Inputs &amp; Assumptions'!$S$31*EXP('Model Inputs &amp; Assumptions'!$T$31*P1686-'Model Inputs &amp; Assumptions'!$T$31^2/2)),0)</f>
        <v>325620</v>
      </c>
      <c r="D1686" s="46" t="n">
        <f aca="false">MIN(1,'Model Inputs &amp; Assumptions'!$U$31*EXP('Model Inputs &amp; Assumptions'!$V$31*Q1686-'Model Inputs &amp; Assumptions'!$V$31^2/2))</f>
        <v>0.616620065383138</v>
      </c>
      <c r="E1686" s="45" t="n">
        <f aca="false">ROUND(C1686*D1686,0)</f>
        <v>200784</v>
      </c>
      <c r="F1686" s="47" t="n">
        <f aca="false">MIN(1,'Model Inputs &amp; Assumptions'!$W$31*EXP('Model Inputs &amp; Assumptions'!$X$31*R1686-'Model Inputs &amp; Assumptions'!$X$31^2/2))</f>
        <v>0.00461406253250097</v>
      </c>
      <c r="G1686" s="45" t="n">
        <f aca="false">ROUND(C1686*F1686,0)</f>
        <v>1502</v>
      </c>
      <c r="H1686" s="48" t="n">
        <f aca="false">MAX(0,(C1686*'Model Inputs &amp; Assumptions'!$N$31+E1686*'Model Inputs &amp; Assumptions'!$O$31+G1686*'Model Inputs &amp; Assumptions'!$P$31)*EXP('Model Inputs &amp; Assumptions'!$Q$31*S1686-'Model Inputs &amp; Assumptions'!$Q$31^2/2))</f>
        <v>32.3274400797164</v>
      </c>
      <c r="I1686" s="49" t="n">
        <f aca="false">IF('Model Inputs &amp; Assumptions'!$H$31="Fixed",'Model Inputs &amp; Assumptions'!$I$31*'Model Inputs &amp; Assumptions'!$K$31,IF('Model Inputs &amp; Assumptions'!$H$31="CPM",'Model Inputs &amp; Assumptions'!$I$31*'Model Inputs &amp; Assumptions'!$K$31*C1686/1000,IF('Model Inputs &amp; Assumptions'!$H$31="CPC",'Model Inputs &amp; Assumptions'!$I$31*'Model Inputs &amp; Assumptions'!$K$31*G1686,0)))</f>
        <v>3694.48452</v>
      </c>
      <c r="J1686" s="50" t="n">
        <f aca="false">H1686*INDEX('Model Inputs &amp; Assumptions'!$D$40:$D$42,MATCH('Model Inputs &amp; Assumptions'!$L$31,'Model Inputs &amp; Assumptions'!$A$40:$A$42,0))*INDEX('Model Inputs &amp; Assumptions'!$H$40:$H$42,MATCH('Model Inputs &amp; Assumptions'!$L$31,'Model Inputs &amp; Assumptions'!$A$40:$A$42,0))</f>
        <v>232757.568573958</v>
      </c>
      <c r="K1686" s="49" t="n">
        <f aca="false">H1686*INDEX('Model Inputs &amp; Assumptions'!$G$40:$G$42,MATCH('Model Inputs &amp; Assumptions'!$L$31,'Model Inputs &amp; Assumptions'!$A$40:$A$42,0))*INDEX('Model Inputs &amp; Assumptions'!$H$40:$H$42,MATCH('Model Inputs &amp; Assumptions'!$L$31,'Model Inputs &amp; Assumptions'!$A$40:$A$42,0))</f>
        <v>5132.30438705578</v>
      </c>
      <c r="L1686" s="51" t="n">
        <f aca="false">IFERROR(K1686/I1686,0)</f>
        <v>1.38918010327887</v>
      </c>
      <c r="M1686" s="49" t="n">
        <f aca="false">IFERROR(I1686/H1686,0)</f>
        <v>114.283237735179</v>
      </c>
      <c r="N1686" s="52" t="str">
        <f aca="false">'Model Inputs &amp; Assumptions'!$L$31</f>
        <v>PRD-USIQ</v>
      </c>
      <c r="P1686" s="53" t="n">
        <v>-1.245909</v>
      </c>
      <c r="Q1686" s="53" t="n">
        <v>0.385218</v>
      </c>
      <c r="R1686" s="53" t="n">
        <v>-0.214705</v>
      </c>
      <c r="S1686" s="53" t="n">
        <v>-0.331135</v>
      </c>
    </row>
    <row r="1687" customFormat="false" ht="15" hidden="false" customHeight="false" outlineLevel="0" collapsed="false">
      <c r="A1687" s="43" t="n">
        <v>184</v>
      </c>
      <c r="B1687" s="44" t="str">
        <f aca="false">'Model Inputs &amp; Assumptions'!$B$31</f>
        <v>YouTube — Finfluencer Pre-roll</v>
      </c>
      <c r="C1687" s="45" t="n">
        <f aca="false">ROUND(MAX(0,'Model Inputs &amp; Assumptions'!$S$31*EXP('Model Inputs &amp; Assumptions'!$T$31*P1687-'Model Inputs &amp; Assumptions'!$T$31^2/2)),0)</f>
        <v>765853</v>
      </c>
      <c r="D1687" s="46" t="n">
        <f aca="false">MIN(1,'Model Inputs &amp; Assumptions'!$U$31*EXP('Model Inputs &amp; Assumptions'!$V$31*Q1687-'Model Inputs &amp; Assumptions'!$V$31^2/2))</f>
        <v>0.811850749229629</v>
      </c>
      <c r="E1687" s="45" t="n">
        <f aca="false">ROUND(C1687*D1687,0)</f>
        <v>621758</v>
      </c>
      <c r="F1687" s="47" t="n">
        <f aca="false">MIN(1,'Model Inputs &amp; Assumptions'!$W$31*EXP('Model Inputs &amp; Assumptions'!$X$31*R1687-'Model Inputs &amp; Assumptions'!$X$31^2/2))</f>
        <v>0.00590277106352381</v>
      </c>
      <c r="G1687" s="45" t="n">
        <f aca="false">ROUND(C1687*F1687,0)</f>
        <v>4521</v>
      </c>
      <c r="H1687" s="48" t="n">
        <f aca="false">MAX(0,(C1687*'Model Inputs &amp; Assumptions'!$N$31+E1687*'Model Inputs &amp; Assumptions'!$O$31+G1687*'Model Inputs &amp; Assumptions'!$P$31)*EXP('Model Inputs &amp; Assumptions'!$Q$31*S1687-'Model Inputs &amp; Assumptions'!$Q$31^2/2))</f>
        <v>74.0523372551489</v>
      </c>
      <c r="I1687" s="49" t="n">
        <f aca="false">IF('Model Inputs &amp; Assumptions'!$H$31="Fixed",'Model Inputs &amp; Assumptions'!$I$31*'Model Inputs &amp; Assumptions'!$K$31,IF('Model Inputs &amp; Assumptions'!$H$31="CPM",'Model Inputs &amp; Assumptions'!$I$31*'Model Inputs &amp; Assumptions'!$K$31*C1687/1000,IF('Model Inputs &amp; Assumptions'!$H$31="CPC",'Model Inputs &amp; Assumptions'!$I$31*'Model Inputs &amp; Assumptions'!$K$31*G1687,0)))</f>
        <v>8689.368138</v>
      </c>
      <c r="J1687" s="50" t="n">
        <f aca="false">H1687*INDEX('Model Inputs &amp; Assumptions'!$D$40:$D$42,MATCH('Model Inputs &amp; Assumptions'!$L$31,'Model Inputs &amp; Assumptions'!$A$40:$A$42,0))*INDEX('Model Inputs &amp; Assumptions'!$H$40:$H$42,MATCH('Model Inputs &amp; Assumptions'!$L$31,'Model Inputs &amp; Assumptions'!$A$40:$A$42,0))</f>
        <v>533176.828237072</v>
      </c>
      <c r="K1687" s="49" t="n">
        <f aca="false">H1687*INDEX('Model Inputs &amp; Assumptions'!$G$40:$G$42,MATCH('Model Inputs &amp; Assumptions'!$L$31,'Model Inputs &amp; Assumptions'!$A$40:$A$42,0))*INDEX('Model Inputs &amp; Assumptions'!$H$40:$H$42,MATCH('Model Inputs &amp; Assumptions'!$L$31,'Model Inputs &amp; Assumptions'!$A$40:$A$42,0))</f>
        <v>11756.5490626274</v>
      </c>
      <c r="L1687" s="51" t="n">
        <f aca="false">IFERROR(K1687/I1687,0)</f>
        <v>1.35298089296207</v>
      </c>
      <c r="M1687" s="49" t="n">
        <f aca="false">IFERROR(I1687/H1687,0)</f>
        <v>117.340903205534</v>
      </c>
      <c r="N1687" s="52" t="str">
        <f aca="false">'Model Inputs &amp; Assumptions'!$L$31</f>
        <v>PRD-USIQ</v>
      </c>
      <c r="P1687" s="53" t="n">
        <v>1.808587</v>
      </c>
      <c r="Q1687" s="53" t="n">
        <v>2.349957</v>
      </c>
      <c r="R1687" s="53" t="n">
        <v>0.8116</v>
      </c>
      <c r="S1687" s="53" t="n">
        <v>-1.145399</v>
      </c>
    </row>
    <row r="1688" customFormat="false" ht="15" hidden="false" customHeight="false" outlineLevel="0" collapsed="false">
      <c r="A1688" s="43" t="n">
        <v>185</v>
      </c>
      <c r="B1688" s="44" t="str">
        <f aca="false">'Model Inputs &amp; Assumptions'!$B$31</f>
        <v>YouTube — Finfluencer Pre-roll</v>
      </c>
      <c r="C1688" s="45" t="n">
        <f aca="false">ROUND(MAX(0,'Model Inputs &amp; Assumptions'!$S$31*EXP('Model Inputs &amp; Assumptions'!$T$31*P1688-'Model Inputs &amp; Assumptions'!$T$31^2/2)),0)</f>
        <v>490354</v>
      </c>
      <c r="D1688" s="46" t="n">
        <f aca="false">MIN(1,'Model Inputs &amp; Assumptions'!$U$31*EXP('Model Inputs &amp; Assumptions'!$V$31*Q1688-'Model Inputs &amp; Assumptions'!$V$31^2/2))</f>
        <v>0.5858566159158</v>
      </c>
      <c r="E1688" s="45" t="n">
        <f aca="false">ROUND(C1688*D1688,0)</f>
        <v>287277</v>
      </c>
      <c r="F1688" s="47" t="n">
        <f aca="false">MIN(1,'Model Inputs &amp; Assumptions'!$W$31*EXP('Model Inputs &amp; Assumptions'!$X$31*R1688-'Model Inputs &amp; Assumptions'!$X$31^2/2))</f>
        <v>0.00475779722099396</v>
      </c>
      <c r="G1688" s="45" t="n">
        <f aca="false">ROUND(C1688*F1688,0)</f>
        <v>2333</v>
      </c>
      <c r="H1688" s="48" t="n">
        <f aca="false">MAX(0,(C1688*'Model Inputs &amp; Assumptions'!$N$31+E1688*'Model Inputs &amp; Assumptions'!$O$31+G1688*'Model Inputs &amp; Assumptions'!$P$31)*EXP('Model Inputs &amp; Assumptions'!$Q$31*S1688-'Model Inputs &amp; Assumptions'!$Q$31^2/2))</f>
        <v>44.5481617253593</v>
      </c>
      <c r="I1688" s="49" t="n">
        <f aca="false">IF('Model Inputs &amp; Assumptions'!$H$31="Fixed",'Model Inputs &amp; Assumptions'!$I$31*'Model Inputs &amp; Assumptions'!$K$31,IF('Model Inputs &amp; Assumptions'!$H$31="CPM",'Model Inputs &amp; Assumptions'!$I$31*'Model Inputs &amp; Assumptions'!$K$31*C1688/1000,IF('Model Inputs &amp; Assumptions'!$H$31="CPC",'Model Inputs &amp; Assumptions'!$I$31*'Model Inputs &amp; Assumptions'!$K$31*G1688,0)))</f>
        <v>5563.556484</v>
      </c>
      <c r="J1688" s="50" t="n">
        <f aca="false">H1688*INDEX('Model Inputs &amp; Assumptions'!$D$40:$D$42,MATCH('Model Inputs &amp; Assumptions'!$L$31,'Model Inputs &amp; Assumptions'!$A$40:$A$42,0))*INDEX('Model Inputs &amp; Assumptions'!$H$40:$H$42,MATCH('Model Inputs &amp; Assumptions'!$L$31,'Model Inputs &amp; Assumptions'!$A$40:$A$42,0))</f>
        <v>320746.764422587</v>
      </c>
      <c r="K1688" s="49" t="n">
        <f aca="false">H1688*INDEX('Model Inputs &amp; Assumptions'!$G$40:$G$42,MATCH('Model Inputs &amp; Assumptions'!$L$31,'Model Inputs &amp; Assumptions'!$A$40:$A$42,0))*INDEX('Model Inputs &amp; Assumptions'!$H$40:$H$42,MATCH('Model Inputs &amp; Assumptions'!$L$31,'Model Inputs &amp; Assumptions'!$A$40:$A$42,0))</f>
        <v>7072.46615551804</v>
      </c>
      <c r="L1688" s="51" t="n">
        <f aca="false">IFERROR(K1688/I1688,0)</f>
        <v>1.2712131486141</v>
      </c>
      <c r="M1688" s="49" t="n">
        <f aca="false">IFERROR(I1688/H1688,0)</f>
        <v>124.888576060657</v>
      </c>
      <c r="N1688" s="52" t="str">
        <f aca="false">'Model Inputs &amp; Assumptions'!$L$31</f>
        <v>PRD-USIQ</v>
      </c>
      <c r="P1688" s="53" t="n">
        <v>0.216217</v>
      </c>
      <c r="Q1688" s="53" t="n">
        <v>0.019661</v>
      </c>
      <c r="R1688" s="53" t="n">
        <v>-0.086888</v>
      </c>
      <c r="S1688" s="53" t="n">
        <v>-0.577795</v>
      </c>
    </row>
    <row r="1689" customFormat="false" ht="15" hidden="false" customHeight="false" outlineLevel="0" collapsed="false">
      <c r="A1689" s="43" t="n">
        <v>186</v>
      </c>
      <c r="B1689" s="44" t="str">
        <f aca="false">'Model Inputs &amp; Assumptions'!$B$31</f>
        <v>YouTube — Finfluencer Pre-roll</v>
      </c>
      <c r="C1689" s="45" t="n">
        <f aca="false">ROUND(MAX(0,'Model Inputs &amp; Assumptions'!$S$31*EXP('Model Inputs &amp; Assumptions'!$T$31*P1689-'Model Inputs &amp; Assumptions'!$T$31^2/2)),0)</f>
        <v>435575</v>
      </c>
      <c r="D1689" s="46" t="n">
        <f aca="false">MIN(1,'Model Inputs &amp; Assumptions'!$U$31*EXP('Model Inputs &amp; Assumptions'!$V$31*Q1689-'Model Inputs &amp; Assumptions'!$V$31^2/2))</f>
        <v>0.709865131884792</v>
      </c>
      <c r="E1689" s="45" t="n">
        <f aca="false">ROUND(C1689*D1689,0)</f>
        <v>309200</v>
      </c>
      <c r="F1689" s="47" t="n">
        <f aca="false">MIN(1,'Model Inputs &amp; Assumptions'!$W$31*EXP('Model Inputs &amp; Assumptions'!$X$31*R1689-'Model Inputs &amp; Assumptions'!$X$31^2/2))</f>
        <v>0.00414909298462684</v>
      </c>
      <c r="G1689" s="45" t="n">
        <f aca="false">ROUND(C1689*F1689,0)</f>
        <v>1807</v>
      </c>
      <c r="H1689" s="48" t="n">
        <f aca="false">MAX(0,(C1689*'Model Inputs &amp; Assumptions'!$N$31+E1689*'Model Inputs &amp; Assumptions'!$O$31+G1689*'Model Inputs &amp; Assumptions'!$P$31)*EXP('Model Inputs &amp; Assumptions'!$Q$31*S1689-'Model Inputs &amp; Assumptions'!$Q$31^2/2))</f>
        <v>36.3181690913295</v>
      </c>
      <c r="I1689" s="49" t="n">
        <f aca="false">IF('Model Inputs &amp; Assumptions'!$H$31="Fixed",'Model Inputs &amp; Assumptions'!$I$31*'Model Inputs &amp; Assumptions'!$K$31,IF('Model Inputs &amp; Assumptions'!$H$31="CPM",'Model Inputs &amp; Assumptions'!$I$31*'Model Inputs &amp; Assumptions'!$K$31*C1689/1000,IF('Model Inputs &amp; Assumptions'!$H$31="CPC",'Model Inputs &amp; Assumptions'!$I$31*'Model Inputs &amp; Assumptions'!$K$31*G1689,0)))</f>
        <v>4942.03395</v>
      </c>
      <c r="J1689" s="50" t="n">
        <f aca="false">H1689*INDEX('Model Inputs &amp; Assumptions'!$D$40:$D$42,MATCH('Model Inputs &amp; Assumptions'!$L$31,'Model Inputs &amp; Assumptions'!$A$40:$A$42,0))*INDEX('Model Inputs &amp; Assumptions'!$H$40:$H$42,MATCH('Model Inputs &amp; Assumptions'!$L$31,'Model Inputs &amp; Assumptions'!$A$40:$A$42,0))</f>
        <v>261490.817457572</v>
      </c>
      <c r="K1689" s="49" t="n">
        <f aca="false">H1689*INDEX('Model Inputs &amp; Assumptions'!$G$40:$G$42,MATCH('Model Inputs &amp; Assumptions'!$L$31,'Model Inputs &amp; Assumptions'!$A$40:$A$42,0))*INDEX('Model Inputs &amp; Assumptions'!$H$40:$H$42,MATCH('Model Inputs &amp; Assumptions'!$L$31,'Model Inputs &amp; Assumptions'!$A$40:$A$42,0))</f>
        <v>5765.87252493946</v>
      </c>
      <c r="L1689" s="51" t="n">
        <f aca="false">IFERROR(K1689/I1689,0)</f>
        <v>1.16670030664995</v>
      </c>
      <c r="M1689" s="49" t="n">
        <f aca="false">IFERROR(I1689/H1689,0)</f>
        <v>136.076076345486</v>
      </c>
      <c r="N1689" s="52" t="str">
        <f aca="false">'Model Inputs &amp; Assumptions'!$L$31</f>
        <v>PRD-USIQ</v>
      </c>
      <c r="P1689" s="53" t="n">
        <v>-0.20685</v>
      </c>
      <c r="Q1689" s="53" t="n">
        <v>1.391089</v>
      </c>
      <c r="R1689" s="53" t="n">
        <v>-0.657284</v>
      </c>
      <c r="S1689" s="53" t="n">
        <v>-0.841752</v>
      </c>
    </row>
    <row r="1690" customFormat="false" ht="15" hidden="false" customHeight="false" outlineLevel="0" collapsed="false">
      <c r="A1690" s="43" t="n">
        <v>187</v>
      </c>
      <c r="B1690" s="44" t="str">
        <f aca="false">'Model Inputs &amp; Assumptions'!$B$31</f>
        <v>YouTube — Finfluencer Pre-roll</v>
      </c>
      <c r="C1690" s="45" t="n">
        <f aca="false">ROUND(MAX(0,'Model Inputs &amp; Assumptions'!$S$31*EXP('Model Inputs &amp; Assumptions'!$T$31*P1690-'Model Inputs &amp; Assumptions'!$T$31^2/2)),0)</f>
        <v>536117</v>
      </c>
      <c r="D1690" s="46" t="n">
        <f aca="false">MIN(1,'Model Inputs &amp; Assumptions'!$U$31*EXP('Model Inputs &amp; Assumptions'!$V$31*Q1690-'Model Inputs &amp; Assumptions'!$V$31^2/2))</f>
        <v>0.587557960251721</v>
      </c>
      <c r="E1690" s="45" t="n">
        <f aca="false">ROUND(C1690*D1690,0)</f>
        <v>315000</v>
      </c>
      <c r="F1690" s="47" t="n">
        <f aca="false">MIN(1,'Model Inputs &amp; Assumptions'!$W$31*EXP('Model Inputs &amp; Assumptions'!$X$31*R1690-'Model Inputs &amp; Assumptions'!$X$31^2/2))</f>
        <v>0.00549617761992733</v>
      </c>
      <c r="G1690" s="45" t="n">
        <f aca="false">ROUND(C1690*F1690,0)</f>
        <v>2947</v>
      </c>
      <c r="H1690" s="48" t="n">
        <f aca="false">MAX(0,(C1690*'Model Inputs &amp; Assumptions'!$N$31+E1690*'Model Inputs &amp; Assumptions'!$O$31+G1690*'Model Inputs &amp; Assumptions'!$P$31)*EXP('Model Inputs &amp; Assumptions'!$Q$31*S1690-'Model Inputs &amp; Assumptions'!$Q$31^2/2))</f>
        <v>82.780221412499</v>
      </c>
      <c r="I1690" s="49" t="n">
        <f aca="false">IF('Model Inputs &amp; Assumptions'!$H$31="Fixed",'Model Inputs &amp; Assumptions'!$I$31*'Model Inputs &amp; Assumptions'!$K$31,IF('Model Inputs &amp; Assumptions'!$H$31="CPM",'Model Inputs &amp; Assumptions'!$I$31*'Model Inputs &amp; Assumptions'!$K$31*C1690/1000,IF('Model Inputs &amp; Assumptions'!$H$31="CPC",'Model Inputs &amp; Assumptions'!$I$31*'Model Inputs &amp; Assumptions'!$K$31*G1690,0)))</f>
        <v>6082.783482</v>
      </c>
      <c r="J1690" s="50" t="n">
        <f aca="false">H1690*INDEX('Model Inputs &amp; Assumptions'!$D$40:$D$42,MATCH('Model Inputs &amp; Assumptions'!$L$31,'Model Inputs &amp; Assumptions'!$A$40:$A$42,0))*INDEX('Model Inputs &amp; Assumptions'!$H$40:$H$42,MATCH('Model Inputs &amp; Assumptions'!$L$31,'Model Inputs &amp; Assumptions'!$A$40:$A$42,0))</f>
        <v>596017.594169993</v>
      </c>
      <c r="K1690" s="49" t="n">
        <f aca="false">H1690*INDEX('Model Inputs &amp; Assumptions'!$G$40:$G$42,MATCH('Model Inputs &amp; Assumptions'!$L$31,'Model Inputs &amp; Assumptions'!$A$40:$A$42,0))*INDEX('Model Inputs &amp; Assumptions'!$H$40:$H$42,MATCH('Model Inputs &amp; Assumptions'!$L$31,'Model Inputs &amp; Assumptions'!$A$40:$A$42,0))</f>
        <v>13142.1879514483</v>
      </c>
      <c r="L1690" s="51" t="n">
        <f aca="false">IFERROR(K1690/I1690,0)</f>
        <v>2.16055494829601</v>
      </c>
      <c r="M1690" s="49" t="n">
        <f aca="false">IFERROR(I1690/H1690,0)</f>
        <v>73.4811211930578</v>
      </c>
      <c r="N1690" s="52" t="str">
        <f aca="false">'Model Inputs &amp; Assumptions'!$L$31</f>
        <v>PRD-USIQ</v>
      </c>
      <c r="P1690" s="53" t="n">
        <v>0.534881</v>
      </c>
      <c r="Q1690" s="53" t="n">
        <v>0.040374</v>
      </c>
      <c r="R1690" s="53" t="n">
        <v>0.514229</v>
      </c>
      <c r="S1690" s="53" t="n">
        <v>0.678515</v>
      </c>
    </row>
    <row r="1691" customFormat="false" ht="15" hidden="false" customHeight="false" outlineLevel="0" collapsed="false">
      <c r="A1691" s="43" t="n">
        <v>188</v>
      </c>
      <c r="B1691" s="44" t="str">
        <f aca="false">'Model Inputs &amp; Assumptions'!$B$31</f>
        <v>YouTube — Finfluencer Pre-roll</v>
      </c>
      <c r="C1691" s="45" t="n">
        <f aca="false">ROUND(MAX(0,'Model Inputs &amp; Assumptions'!$S$31*EXP('Model Inputs &amp; Assumptions'!$T$31*P1691-'Model Inputs &amp; Assumptions'!$T$31^2/2)),0)</f>
        <v>527081</v>
      </c>
      <c r="D1691" s="46" t="n">
        <f aca="false">MIN(1,'Model Inputs &amp; Assumptions'!$U$31*EXP('Model Inputs &amp; Assumptions'!$V$31*Q1691-'Model Inputs &amp; Assumptions'!$V$31^2/2))</f>
        <v>0.508209913052845</v>
      </c>
      <c r="E1691" s="45" t="n">
        <f aca="false">ROUND(C1691*D1691,0)</f>
        <v>267868</v>
      </c>
      <c r="F1691" s="47" t="n">
        <f aca="false">MIN(1,'Model Inputs &amp; Assumptions'!$W$31*EXP('Model Inputs &amp; Assumptions'!$X$31*R1691-'Model Inputs &amp; Assumptions'!$X$31^2/2))</f>
        <v>0.00610554046826218</v>
      </c>
      <c r="G1691" s="45" t="n">
        <f aca="false">ROUND(C1691*F1691,0)</f>
        <v>3218</v>
      </c>
      <c r="H1691" s="48" t="n">
        <f aca="false">MAX(0,(C1691*'Model Inputs &amp; Assumptions'!$N$31+E1691*'Model Inputs &amp; Assumptions'!$O$31+G1691*'Model Inputs &amp; Assumptions'!$P$31)*EXP('Model Inputs &amp; Assumptions'!$Q$31*S1691-'Model Inputs &amp; Assumptions'!$Q$31^2/2))</f>
        <v>83.2515113708792</v>
      </c>
      <c r="I1691" s="49" t="n">
        <f aca="false">IF('Model Inputs &amp; Assumptions'!$H$31="Fixed",'Model Inputs &amp; Assumptions'!$I$31*'Model Inputs &amp; Assumptions'!$K$31,IF('Model Inputs &amp; Assumptions'!$H$31="CPM",'Model Inputs &amp; Assumptions'!$I$31*'Model Inputs &amp; Assumptions'!$K$31*C1691/1000,IF('Model Inputs &amp; Assumptions'!$H$31="CPC",'Model Inputs &amp; Assumptions'!$I$31*'Model Inputs &amp; Assumptions'!$K$31*G1691,0)))</f>
        <v>5980.261026</v>
      </c>
      <c r="J1691" s="50" t="n">
        <f aca="false">H1691*INDEX('Model Inputs &amp; Assumptions'!$D$40:$D$42,MATCH('Model Inputs &amp; Assumptions'!$L$31,'Model Inputs &amp; Assumptions'!$A$40:$A$42,0))*INDEX('Model Inputs &amp; Assumptions'!$H$40:$H$42,MATCH('Model Inputs &amp; Assumptions'!$L$31,'Model Inputs &amp; Assumptions'!$A$40:$A$42,0))</f>
        <v>599410.881870331</v>
      </c>
      <c r="K1691" s="49" t="n">
        <f aca="false">H1691*INDEX('Model Inputs &amp; Assumptions'!$G$40:$G$42,MATCH('Model Inputs &amp; Assumptions'!$L$31,'Model Inputs &amp; Assumptions'!$A$40:$A$42,0))*INDEX('Model Inputs &amp; Assumptions'!$H$40:$H$42,MATCH('Model Inputs &amp; Assumptions'!$L$31,'Model Inputs &amp; Assumptions'!$A$40:$A$42,0))</f>
        <v>13217.0099452408</v>
      </c>
      <c r="L1691" s="51" t="n">
        <f aca="false">IFERROR(K1691/I1691,0)</f>
        <v>2.21010586122881</v>
      </c>
      <c r="M1691" s="49" t="n">
        <f aca="false">IFERROR(I1691/H1691,0)</f>
        <v>71.8336631674875</v>
      </c>
      <c r="N1691" s="52" t="str">
        <f aca="false">'Model Inputs &amp; Assumptions'!$L$31</f>
        <v>PRD-USIQ</v>
      </c>
      <c r="P1691" s="53" t="n">
        <v>0.474174</v>
      </c>
      <c r="Q1691" s="53" t="n">
        <v>-0.995914</v>
      </c>
      <c r="R1691" s="53" t="n">
        <v>0.952328</v>
      </c>
      <c r="S1691" s="53" t="n">
        <v>0.68264</v>
      </c>
    </row>
    <row r="1692" customFormat="false" ht="15" hidden="false" customHeight="false" outlineLevel="0" collapsed="false">
      <c r="A1692" s="43" t="n">
        <v>189</v>
      </c>
      <c r="B1692" s="44" t="str">
        <f aca="false">'Model Inputs &amp; Assumptions'!$B$31</f>
        <v>YouTube — Finfluencer Pre-roll</v>
      </c>
      <c r="C1692" s="45" t="n">
        <f aca="false">ROUND(MAX(0,'Model Inputs &amp; Assumptions'!$S$31*EXP('Model Inputs &amp; Assumptions'!$T$31*P1692-'Model Inputs &amp; Assumptions'!$T$31^2/2)),0)</f>
        <v>444609</v>
      </c>
      <c r="D1692" s="46" t="n">
        <f aca="false">MIN(1,'Model Inputs &amp; Assumptions'!$U$31*EXP('Model Inputs &amp; Assumptions'!$V$31*Q1692-'Model Inputs &amp; Assumptions'!$V$31^2/2))</f>
        <v>0.612325312035205</v>
      </c>
      <c r="E1692" s="45" t="n">
        <f aca="false">ROUND(C1692*D1692,0)</f>
        <v>272245</v>
      </c>
      <c r="F1692" s="47" t="n">
        <f aca="false">MIN(1,'Model Inputs &amp; Assumptions'!$W$31*EXP('Model Inputs &amp; Assumptions'!$X$31*R1692-'Model Inputs &amp; Assumptions'!$X$31^2/2))</f>
        <v>0.00652396912638692</v>
      </c>
      <c r="G1692" s="45" t="n">
        <f aca="false">ROUND(C1692*F1692,0)</f>
        <v>2901</v>
      </c>
      <c r="H1692" s="48" t="n">
        <f aca="false">MAX(0,(C1692*'Model Inputs &amp; Assumptions'!$N$31+E1692*'Model Inputs &amp; Assumptions'!$O$31+G1692*'Model Inputs &amp; Assumptions'!$P$31)*EXP('Model Inputs &amp; Assumptions'!$Q$31*S1692-'Model Inputs &amp; Assumptions'!$Q$31^2/2))</f>
        <v>67.9498163322892</v>
      </c>
      <c r="I1692" s="49" t="n">
        <f aca="false">IF('Model Inputs &amp; Assumptions'!$H$31="Fixed",'Model Inputs &amp; Assumptions'!$I$31*'Model Inputs &amp; Assumptions'!$K$31,IF('Model Inputs &amp; Assumptions'!$H$31="CPM",'Model Inputs &amp; Assumptions'!$I$31*'Model Inputs &amp; Assumptions'!$K$31*C1692/1000,IF('Model Inputs &amp; Assumptions'!$H$31="CPC",'Model Inputs &amp; Assumptions'!$I$31*'Model Inputs &amp; Assumptions'!$K$31*G1692,0)))</f>
        <v>5044.533714</v>
      </c>
      <c r="J1692" s="50" t="n">
        <f aca="false">H1692*INDEX('Model Inputs &amp; Assumptions'!$D$40:$D$42,MATCH('Model Inputs &amp; Assumptions'!$L$31,'Model Inputs &amp; Assumptions'!$A$40:$A$42,0))*INDEX('Model Inputs &amp; Assumptions'!$H$40:$H$42,MATCH('Model Inputs &amp; Assumptions'!$L$31,'Model Inputs &amp; Assumptions'!$A$40:$A$42,0))</f>
        <v>489238.677592482</v>
      </c>
      <c r="K1692" s="49" t="n">
        <f aca="false">H1692*INDEX('Model Inputs &amp; Assumptions'!$G$40:$G$42,MATCH('Model Inputs &amp; Assumptions'!$L$31,'Model Inputs &amp; Assumptions'!$A$40:$A$42,0))*INDEX('Model Inputs &amp; Assumptions'!$H$40:$H$42,MATCH('Model Inputs &amp; Assumptions'!$L$31,'Model Inputs &amp; Assumptions'!$A$40:$A$42,0))</f>
        <v>10787.7128409142</v>
      </c>
      <c r="L1692" s="51" t="n">
        <f aca="false">IFERROR(K1692/I1692,0)</f>
        <v>2.13849553844299</v>
      </c>
      <c r="M1692" s="49" t="n">
        <f aca="false">IFERROR(I1692/H1692,0)</f>
        <v>74.2391074220296</v>
      </c>
      <c r="N1692" s="52" t="str">
        <f aca="false">'Model Inputs &amp; Assumptions'!$L$31</f>
        <v>PRD-USIQ</v>
      </c>
      <c r="P1692" s="53" t="n">
        <v>-0.133542</v>
      </c>
      <c r="Q1692" s="53" t="n">
        <v>0.335294</v>
      </c>
      <c r="R1692" s="53" t="n">
        <v>1.228521</v>
      </c>
      <c r="S1692" s="53" t="n">
        <v>0.288886</v>
      </c>
    </row>
    <row r="1693" customFormat="false" ht="15" hidden="false" customHeight="false" outlineLevel="0" collapsed="false">
      <c r="A1693" s="43" t="n">
        <v>190</v>
      </c>
      <c r="B1693" s="44" t="str">
        <f aca="false">'Model Inputs &amp; Assumptions'!$B$31</f>
        <v>YouTube — Finfluencer Pre-roll</v>
      </c>
      <c r="C1693" s="45" t="n">
        <f aca="false">ROUND(MAX(0,'Model Inputs &amp; Assumptions'!$S$31*EXP('Model Inputs &amp; Assumptions'!$T$31*P1693-'Model Inputs &amp; Assumptions'!$T$31^2/2)),0)</f>
        <v>340114</v>
      </c>
      <c r="D1693" s="46" t="n">
        <f aca="false">MIN(1,'Model Inputs &amp; Assumptions'!$U$31*EXP('Model Inputs &amp; Assumptions'!$V$31*Q1693-'Model Inputs &amp; Assumptions'!$V$31^2/2))</f>
        <v>0.525311719016822</v>
      </c>
      <c r="E1693" s="45" t="n">
        <f aca="false">ROUND(C1693*D1693,0)</f>
        <v>178666</v>
      </c>
      <c r="F1693" s="47" t="n">
        <f aca="false">MIN(1,'Model Inputs &amp; Assumptions'!$W$31*EXP('Model Inputs &amp; Assumptions'!$X$31*R1693-'Model Inputs &amp; Assumptions'!$X$31^2/2))</f>
        <v>0.00634056621254683</v>
      </c>
      <c r="G1693" s="45" t="n">
        <f aca="false">ROUND(C1693*F1693,0)</f>
        <v>2157</v>
      </c>
      <c r="H1693" s="48" t="n">
        <f aca="false">MAX(0,(C1693*'Model Inputs &amp; Assumptions'!$N$31+E1693*'Model Inputs &amp; Assumptions'!$O$31+G1693*'Model Inputs &amp; Assumptions'!$P$31)*EXP('Model Inputs &amp; Assumptions'!$Q$31*S1693-'Model Inputs &amp; Assumptions'!$Q$31^2/2))</f>
        <v>52.1563613766975</v>
      </c>
      <c r="I1693" s="49" t="n">
        <f aca="false">IF('Model Inputs &amp; Assumptions'!$H$31="Fixed",'Model Inputs &amp; Assumptions'!$I$31*'Model Inputs &amp; Assumptions'!$K$31,IF('Model Inputs &amp; Assumptions'!$H$31="CPM",'Model Inputs &amp; Assumptions'!$I$31*'Model Inputs &amp; Assumptions'!$K$31*C1693/1000,IF('Model Inputs &amp; Assumptions'!$H$31="CPC",'Model Inputs &amp; Assumptions'!$I$31*'Model Inputs &amp; Assumptions'!$K$31*G1693,0)))</f>
        <v>3858.933444</v>
      </c>
      <c r="J1693" s="50" t="n">
        <f aca="false">H1693*INDEX('Model Inputs &amp; Assumptions'!$D$40:$D$42,MATCH('Model Inputs &amp; Assumptions'!$L$31,'Model Inputs &amp; Assumptions'!$A$40:$A$42,0))*INDEX('Model Inputs &amp; Assumptions'!$H$40:$H$42,MATCH('Model Inputs &amp; Assumptions'!$L$31,'Model Inputs &amp; Assumptions'!$A$40:$A$42,0))</f>
        <v>375525.801912222</v>
      </c>
      <c r="K1693" s="49" t="n">
        <f aca="false">H1693*INDEX('Model Inputs &amp; Assumptions'!$G$40:$G$42,MATCH('Model Inputs &amp; Assumptions'!$L$31,'Model Inputs &amp; Assumptions'!$A$40:$A$42,0))*INDEX('Model Inputs &amp; Assumptions'!$H$40:$H$42,MATCH('Model Inputs &amp; Assumptions'!$L$31,'Model Inputs &amp; Assumptions'!$A$40:$A$42,0))</f>
        <v>8280.3439321645</v>
      </c>
      <c r="L1693" s="51" t="n">
        <f aca="false">IFERROR(K1693/I1693,0)</f>
        <v>2.14575971633796</v>
      </c>
      <c r="M1693" s="49" t="n">
        <f aca="false">IFERROR(I1693/H1693,0)</f>
        <v>73.9877810134988</v>
      </c>
      <c r="N1693" s="52" t="str">
        <f aca="false">'Model Inputs &amp; Assumptions'!$L$31</f>
        <v>PRD-USIQ</v>
      </c>
      <c r="P1693" s="53" t="n">
        <v>-1.090371</v>
      </c>
      <c r="Q1693" s="53" t="n">
        <v>-0.759505</v>
      </c>
      <c r="R1693" s="53" t="n">
        <v>1.109709</v>
      </c>
      <c r="S1693" s="53" t="n">
        <v>0.493886</v>
      </c>
    </row>
    <row r="1694" customFormat="false" ht="15" hidden="false" customHeight="false" outlineLevel="0" collapsed="false">
      <c r="A1694" s="43" t="n">
        <v>191</v>
      </c>
      <c r="B1694" s="44" t="str">
        <f aca="false">'Model Inputs &amp; Assumptions'!$B$31</f>
        <v>YouTube — Finfluencer Pre-roll</v>
      </c>
      <c r="C1694" s="45" t="n">
        <f aca="false">ROUND(MAX(0,'Model Inputs &amp; Assumptions'!$S$31*EXP('Model Inputs &amp; Assumptions'!$T$31*P1694-'Model Inputs &amp; Assumptions'!$T$31^2/2)),0)</f>
        <v>788926</v>
      </c>
      <c r="D1694" s="46" t="n">
        <f aca="false">MIN(1,'Model Inputs &amp; Assumptions'!$U$31*EXP('Model Inputs &amp; Assumptions'!$V$31*Q1694-'Model Inputs &amp; Assumptions'!$V$31^2/2))</f>
        <v>0.729200476966418</v>
      </c>
      <c r="E1694" s="45" t="n">
        <f aca="false">ROUND(C1694*D1694,0)</f>
        <v>575285</v>
      </c>
      <c r="F1694" s="47" t="n">
        <f aca="false">MIN(1,'Model Inputs &amp; Assumptions'!$W$31*EXP('Model Inputs &amp; Assumptions'!$X$31*R1694-'Model Inputs &amp; Assumptions'!$X$31^2/2))</f>
        <v>0.00383270918612751</v>
      </c>
      <c r="G1694" s="45" t="n">
        <f aca="false">ROUND(C1694*F1694,0)</f>
        <v>3024</v>
      </c>
      <c r="H1694" s="48" t="n">
        <f aca="false">MAX(0,(C1694*'Model Inputs &amp; Assumptions'!$N$31+E1694*'Model Inputs &amp; Assumptions'!$O$31+G1694*'Model Inputs &amp; Assumptions'!$P$31)*EXP('Model Inputs &amp; Assumptions'!$Q$31*S1694-'Model Inputs &amp; Assumptions'!$Q$31^2/2))</f>
        <v>130.612748501442</v>
      </c>
      <c r="I1694" s="49" t="n">
        <f aca="false">IF('Model Inputs &amp; Assumptions'!$H$31="Fixed",'Model Inputs &amp; Assumptions'!$I$31*'Model Inputs &amp; Assumptions'!$K$31,IF('Model Inputs &amp; Assumptions'!$H$31="CPM",'Model Inputs &amp; Assumptions'!$I$31*'Model Inputs &amp; Assumptions'!$K$31*C1694/1000,IF('Model Inputs &amp; Assumptions'!$H$31="CPC",'Model Inputs &amp; Assumptions'!$I$31*'Model Inputs &amp; Assumptions'!$K$31*G1694,0)))</f>
        <v>8951.154396</v>
      </c>
      <c r="J1694" s="50" t="n">
        <f aca="false">H1694*INDEX('Model Inputs &amp; Assumptions'!$D$40:$D$42,MATCH('Model Inputs &amp; Assumptions'!$L$31,'Model Inputs &amp; Assumptions'!$A$40:$A$42,0))*INDEX('Model Inputs &amp; Assumptions'!$H$40:$H$42,MATCH('Model Inputs &amp; Assumptions'!$L$31,'Model Inputs &amp; Assumptions'!$A$40:$A$42,0))</f>
        <v>940411.789210384</v>
      </c>
      <c r="K1694" s="49" t="n">
        <f aca="false">H1694*INDEX('Model Inputs &amp; Assumptions'!$G$40:$G$42,MATCH('Model Inputs &amp; Assumptions'!$L$31,'Model Inputs &amp; Assumptions'!$A$40:$A$42,0))*INDEX('Model Inputs &amp; Assumptions'!$H$40:$H$42,MATCH('Model Inputs &amp; Assumptions'!$L$31,'Model Inputs &amp; Assumptions'!$A$40:$A$42,0))</f>
        <v>20736.079952089</v>
      </c>
      <c r="L1694" s="51" t="n">
        <f aca="false">IFERROR(K1694/I1694,0)</f>
        <v>2.31658164240305</v>
      </c>
      <c r="M1694" s="49" t="n">
        <f aca="false">IFERROR(I1694/H1694,0)</f>
        <v>68.532011604527</v>
      </c>
      <c r="N1694" s="52" t="str">
        <f aca="false">'Model Inputs &amp; Assumptions'!$L$31</f>
        <v>PRD-USIQ</v>
      </c>
      <c r="P1694" s="53" t="n">
        <v>1.914596</v>
      </c>
      <c r="Q1694" s="53" t="n">
        <v>1.583044</v>
      </c>
      <c r="R1694" s="53" t="n">
        <v>-0.987775</v>
      </c>
      <c r="S1694" s="53" t="n">
        <v>1.195513</v>
      </c>
    </row>
    <row r="1695" customFormat="false" ht="15" hidden="false" customHeight="false" outlineLevel="0" collapsed="false">
      <c r="A1695" s="43" t="n">
        <v>192</v>
      </c>
      <c r="B1695" s="44" t="str">
        <f aca="false">'Model Inputs &amp; Assumptions'!$B$31</f>
        <v>YouTube — Finfluencer Pre-roll</v>
      </c>
      <c r="C1695" s="45" t="n">
        <f aca="false">ROUND(MAX(0,'Model Inputs &amp; Assumptions'!$S$31*EXP('Model Inputs &amp; Assumptions'!$T$31*P1695-'Model Inputs &amp; Assumptions'!$T$31^2/2)),0)</f>
        <v>371173</v>
      </c>
      <c r="D1695" s="46" t="n">
        <f aca="false">MIN(1,'Model Inputs &amp; Assumptions'!$U$31*EXP('Model Inputs &amp; Assumptions'!$V$31*Q1695-'Model Inputs &amp; Assumptions'!$V$31^2/2))</f>
        <v>0.526532415141814</v>
      </c>
      <c r="E1695" s="45" t="n">
        <f aca="false">ROUND(C1695*D1695,0)</f>
        <v>195435</v>
      </c>
      <c r="F1695" s="47" t="n">
        <f aca="false">MIN(1,'Model Inputs &amp; Assumptions'!$W$31*EXP('Model Inputs &amp; Assumptions'!$X$31*R1695-'Model Inputs &amp; Assumptions'!$X$31^2/2))</f>
        <v>0.00657154807394581</v>
      </c>
      <c r="G1695" s="45" t="n">
        <f aca="false">ROUND(C1695*F1695,0)</f>
        <v>2439</v>
      </c>
      <c r="H1695" s="48" t="n">
        <f aca="false">MAX(0,(C1695*'Model Inputs &amp; Assumptions'!$N$31+E1695*'Model Inputs &amp; Assumptions'!$O$31+G1695*'Model Inputs &amp; Assumptions'!$P$31)*EXP('Model Inputs &amp; Assumptions'!$Q$31*S1695-'Model Inputs &amp; Assumptions'!$Q$31^2/2))</f>
        <v>106.442430819745</v>
      </c>
      <c r="I1695" s="49" t="n">
        <f aca="false">IF('Model Inputs &amp; Assumptions'!$H$31="Fixed",'Model Inputs &amp; Assumptions'!$I$31*'Model Inputs &amp; Assumptions'!$K$31,IF('Model Inputs &amp; Assumptions'!$H$31="CPM",'Model Inputs &amp; Assumptions'!$I$31*'Model Inputs &amp; Assumptions'!$K$31*C1695/1000,IF('Model Inputs &amp; Assumptions'!$H$31="CPC",'Model Inputs &amp; Assumptions'!$I$31*'Model Inputs &amp; Assumptions'!$K$31*G1695,0)))</f>
        <v>4211.328858</v>
      </c>
      <c r="J1695" s="50" t="n">
        <f aca="false">H1695*INDEX('Model Inputs &amp; Assumptions'!$D$40:$D$42,MATCH('Model Inputs &amp; Assumptions'!$L$31,'Model Inputs &amp; Assumptions'!$A$40:$A$42,0))*INDEX('Model Inputs &amp; Assumptions'!$H$40:$H$42,MATCH('Model Inputs &amp; Assumptions'!$L$31,'Model Inputs &amp; Assumptions'!$A$40:$A$42,0))</f>
        <v>766385.501902163</v>
      </c>
      <c r="K1695" s="49" t="n">
        <f aca="false">H1695*INDEX('Model Inputs &amp; Assumptions'!$G$40:$G$42,MATCH('Model Inputs &amp; Assumptions'!$L$31,'Model Inputs &amp; Assumptions'!$A$40:$A$42,0))*INDEX('Model Inputs &amp; Assumptions'!$H$40:$H$42,MATCH('Model Inputs &amp; Assumptions'!$L$31,'Model Inputs &amp; Assumptions'!$A$40:$A$42,0))</f>
        <v>16898.8003169427</v>
      </c>
      <c r="L1695" s="51" t="n">
        <f aca="false">IFERROR(K1695/I1695,0)</f>
        <v>4.01270023946031</v>
      </c>
      <c r="M1695" s="49" t="n">
        <f aca="false">IFERROR(I1695/H1695,0)</f>
        <v>39.5643807226808</v>
      </c>
      <c r="N1695" s="52" t="str">
        <f aca="false">'Model Inputs &amp; Assumptions'!$L$31</f>
        <v>PRD-USIQ</v>
      </c>
      <c r="P1695" s="53" t="n">
        <v>-0.778279</v>
      </c>
      <c r="Q1695" s="53" t="n">
        <v>-0.742926</v>
      </c>
      <c r="R1695" s="53" t="n">
        <v>1.258798</v>
      </c>
      <c r="S1695" s="53" t="n">
        <v>2.209693</v>
      </c>
    </row>
    <row r="1696" customFormat="false" ht="15" hidden="false" customHeight="false" outlineLevel="0" collapsed="false">
      <c r="A1696" s="43" t="n">
        <v>193</v>
      </c>
      <c r="B1696" s="44" t="str">
        <f aca="false">'Model Inputs &amp; Assumptions'!$B$31</f>
        <v>YouTube — Finfluencer Pre-roll</v>
      </c>
      <c r="C1696" s="45" t="n">
        <f aca="false">ROUND(MAX(0,'Model Inputs &amp; Assumptions'!$S$31*EXP('Model Inputs &amp; Assumptions'!$T$31*P1696-'Model Inputs &amp; Assumptions'!$T$31^2/2)),0)</f>
        <v>534741</v>
      </c>
      <c r="D1696" s="46" t="n">
        <f aca="false">MIN(1,'Model Inputs &amp; Assumptions'!$U$31*EXP('Model Inputs &amp; Assumptions'!$V$31*Q1696-'Model Inputs &amp; Assumptions'!$V$31^2/2))</f>
        <v>0.548802414993177</v>
      </c>
      <c r="E1696" s="45" t="n">
        <f aca="false">ROUND(C1696*D1696,0)</f>
        <v>293467</v>
      </c>
      <c r="F1696" s="47" t="n">
        <f aca="false">MIN(1,'Model Inputs &amp; Assumptions'!$W$31*EXP('Model Inputs &amp; Assumptions'!$X$31*R1696-'Model Inputs &amp; Assumptions'!$X$31^2/2))</f>
        <v>0.00580516844777898</v>
      </c>
      <c r="G1696" s="45" t="n">
        <f aca="false">ROUND(C1696*F1696,0)</f>
        <v>3104</v>
      </c>
      <c r="H1696" s="48" t="n">
        <f aca="false">MAX(0,(C1696*'Model Inputs &amp; Assumptions'!$N$31+E1696*'Model Inputs &amp; Assumptions'!$O$31+G1696*'Model Inputs &amp; Assumptions'!$P$31)*EXP('Model Inputs &amp; Assumptions'!$Q$31*S1696-'Model Inputs &amp; Assumptions'!$Q$31^2/2))</f>
        <v>124.681042212097</v>
      </c>
      <c r="I1696" s="49" t="n">
        <f aca="false">IF('Model Inputs &amp; Assumptions'!$H$31="Fixed",'Model Inputs &amp; Assumptions'!$I$31*'Model Inputs &amp; Assumptions'!$K$31,IF('Model Inputs &amp; Assumptions'!$H$31="CPM",'Model Inputs &amp; Assumptions'!$I$31*'Model Inputs &amp; Assumptions'!$K$31*C1696/1000,IF('Model Inputs &amp; Assumptions'!$H$31="CPC",'Model Inputs &amp; Assumptions'!$I$31*'Model Inputs &amp; Assumptions'!$K$31*G1696,0)))</f>
        <v>6067.171386</v>
      </c>
      <c r="J1696" s="50" t="n">
        <f aca="false">H1696*INDEX('Model Inputs &amp; Assumptions'!$D$40:$D$42,MATCH('Model Inputs &amp; Assumptions'!$L$31,'Model Inputs &amp; Assumptions'!$A$40:$A$42,0))*INDEX('Model Inputs &amp; Assumptions'!$H$40:$H$42,MATCH('Model Inputs &amp; Assumptions'!$L$31,'Model Inputs &amp; Assumptions'!$A$40:$A$42,0))</f>
        <v>897703.503927097</v>
      </c>
      <c r="K1696" s="49" t="n">
        <f aca="false">H1696*INDEX('Model Inputs &amp; Assumptions'!$G$40:$G$42,MATCH('Model Inputs &amp; Assumptions'!$L$31,'Model Inputs &amp; Assumptions'!$A$40:$A$42,0))*INDEX('Model Inputs &amp; Assumptions'!$H$40:$H$42,MATCH('Model Inputs &amp; Assumptions'!$L$31,'Model Inputs &amp; Assumptions'!$A$40:$A$42,0))</f>
        <v>19794.3622615925</v>
      </c>
      <c r="L1696" s="51" t="n">
        <f aca="false">IFERROR(K1696/I1696,0)</f>
        <v>3.26253553793914</v>
      </c>
      <c r="M1696" s="49" t="n">
        <f aca="false">IFERROR(I1696/H1696,0)</f>
        <v>48.6615389024343</v>
      </c>
      <c r="N1696" s="52" t="str">
        <f aca="false">'Model Inputs &amp; Assumptions'!$L$31</f>
        <v>PRD-USIQ</v>
      </c>
      <c r="P1696" s="53" t="n">
        <v>0.525703</v>
      </c>
      <c r="Q1696" s="53" t="n">
        <v>-0.447029</v>
      </c>
      <c r="R1696" s="53" t="n">
        <v>0.742128</v>
      </c>
      <c r="S1696" s="53" t="n">
        <v>1.8228</v>
      </c>
    </row>
    <row r="1697" customFormat="false" ht="15" hidden="false" customHeight="false" outlineLevel="0" collapsed="false">
      <c r="A1697" s="43" t="n">
        <v>194</v>
      </c>
      <c r="B1697" s="44" t="str">
        <f aca="false">'Model Inputs &amp; Assumptions'!$B$31</f>
        <v>YouTube — Finfluencer Pre-roll</v>
      </c>
      <c r="C1697" s="45" t="n">
        <f aca="false">ROUND(MAX(0,'Model Inputs &amp; Assumptions'!$S$31*EXP('Model Inputs &amp; Assumptions'!$T$31*P1697-'Model Inputs &amp; Assumptions'!$T$31^2/2)),0)</f>
        <v>484293</v>
      </c>
      <c r="D1697" s="46" t="n">
        <f aca="false">MIN(1,'Model Inputs &amp; Assumptions'!$U$31*EXP('Model Inputs &amp; Assumptions'!$V$31*Q1697-'Model Inputs &amp; Assumptions'!$V$31^2/2))</f>
        <v>0.555830402864383</v>
      </c>
      <c r="E1697" s="45" t="n">
        <f aca="false">ROUND(C1697*D1697,0)</f>
        <v>269185</v>
      </c>
      <c r="F1697" s="47" t="n">
        <f aca="false">MIN(1,'Model Inputs &amp; Assumptions'!$W$31*EXP('Model Inputs &amp; Assumptions'!$X$31*R1697-'Model Inputs &amp; Assumptions'!$X$31^2/2))</f>
        <v>0.00691710681878066</v>
      </c>
      <c r="G1697" s="45" t="n">
        <f aca="false">ROUND(C1697*F1697,0)</f>
        <v>3350</v>
      </c>
      <c r="H1697" s="48" t="n">
        <f aca="false">MAX(0,(C1697*'Model Inputs &amp; Assumptions'!$N$31+E1697*'Model Inputs &amp; Assumptions'!$O$31+G1697*'Model Inputs &amp; Assumptions'!$P$31)*EXP('Model Inputs &amp; Assumptions'!$Q$31*S1697-'Model Inputs &amp; Assumptions'!$Q$31^2/2))</f>
        <v>62.3464949281938</v>
      </c>
      <c r="I1697" s="49" t="n">
        <f aca="false">IF('Model Inputs &amp; Assumptions'!$H$31="Fixed",'Model Inputs &amp; Assumptions'!$I$31*'Model Inputs &amp; Assumptions'!$K$31,IF('Model Inputs &amp; Assumptions'!$H$31="CPM",'Model Inputs &amp; Assumptions'!$I$31*'Model Inputs &amp; Assumptions'!$K$31*C1697/1000,IF('Model Inputs &amp; Assumptions'!$H$31="CPC",'Model Inputs &amp; Assumptions'!$I$31*'Model Inputs &amp; Assumptions'!$K$31*G1697,0)))</f>
        <v>5494.788378</v>
      </c>
      <c r="J1697" s="50" t="n">
        <f aca="false">H1697*INDEX('Model Inputs &amp; Assumptions'!$D$40:$D$42,MATCH('Model Inputs &amp; Assumptions'!$L$31,'Model Inputs &amp; Assumptions'!$A$40:$A$42,0))*INDEX('Model Inputs &amp; Assumptions'!$H$40:$H$42,MATCH('Model Inputs &amp; Assumptions'!$L$31,'Model Inputs &amp; Assumptions'!$A$40:$A$42,0))</f>
        <v>448894.763482995</v>
      </c>
      <c r="K1697" s="49" t="n">
        <f aca="false">H1697*INDEX('Model Inputs &amp; Assumptions'!$G$40:$G$42,MATCH('Model Inputs &amp; Assumptions'!$L$31,'Model Inputs &amp; Assumptions'!$A$40:$A$42,0))*INDEX('Model Inputs &amp; Assumptions'!$H$40:$H$42,MATCH('Model Inputs &amp; Assumptions'!$L$31,'Model Inputs &amp; Assumptions'!$A$40:$A$42,0))</f>
        <v>9898.12953480005</v>
      </c>
      <c r="L1697" s="51" t="n">
        <f aca="false">IFERROR(K1697/I1697,0)</f>
        <v>1.80136683232973</v>
      </c>
      <c r="M1697" s="49" t="n">
        <f aca="false">IFERROR(I1697/H1697,0)</f>
        <v>88.1330760346432</v>
      </c>
      <c r="N1697" s="52" t="str">
        <f aca="false">'Model Inputs &amp; Assumptions'!$L$31</f>
        <v>PRD-USIQ</v>
      </c>
      <c r="P1697" s="53" t="n">
        <v>0.171797</v>
      </c>
      <c r="Q1697" s="53" t="n">
        <v>-0.356138</v>
      </c>
      <c r="R1697" s="53" t="n">
        <v>1.472332</v>
      </c>
      <c r="S1697" s="53" t="n">
        <v>-0.227758</v>
      </c>
    </row>
    <row r="1698" customFormat="false" ht="15" hidden="false" customHeight="false" outlineLevel="0" collapsed="false">
      <c r="A1698" s="43" t="n">
        <v>195</v>
      </c>
      <c r="B1698" s="44" t="str">
        <f aca="false">'Model Inputs &amp; Assumptions'!$B$31</f>
        <v>YouTube — Finfluencer Pre-roll</v>
      </c>
      <c r="C1698" s="45" t="n">
        <f aca="false">ROUND(MAX(0,'Model Inputs &amp; Assumptions'!$S$31*EXP('Model Inputs &amp; Assumptions'!$T$31*P1698-'Model Inputs &amp; Assumptions'!$T$31^2/2)),0)</f>
        <v>444762</v>
      </c>
      <c r="D1698" s="46" t="n">
        <f aca="false">MIN(1,'Model Inputs &amp; Assumptions'!$U$31*EXP('Model Inputs &amp; Assumptions'!$V$31*Q1698-'Model Inputs &amp; Assumptions'!$V$31^2/2))</f>
        <v>0.662722822326734</v>
      </c>
      <c r="E1698" s="45" t="n">
        <f aca="false">ROUND(C1698*D1698,0)</f>
        <v>294754</v>
      </c>
      <c r="F1698" s="47" t="n">
        <f aca="false">MIN(1,'Model Inputs &amp; Assumptions'!$W$31*EXP('Model Inputs &amp; Assumptions'!$X$31*R1698-'Model Inputs &amp; Assumptions'!$X$31^2/2))</f>
        <v>0.0043272541373278</v>
      </c>
      <c r="G1698" s="45" t="n">
        <f aca="false">ROUND(C1698*F1698,0)</f>
        <v>1925</v>
      </c>
      <c r="H1698" s="48" t="n">
        <f aca="false">MAX(0,(C1698*'Model Inputs &amp; Assumptions'!$N$31+E1698*'Model Inputs &amp; Assumptions'!$O$31+G1698*'Model Inputs &amp; Assumptions'!$P$31)*EXP('Model Inputs &amp; Assumptions'!$Q$31*S1698-'Model Inputs &amp; Assumptions'!$Q$31^2/2))</f>
        <v>74.1329764506612</v>
      </c>
      <c r="I1698" s="49" t="n">
        <f aca="false">IF('Model Inputs &amp; Assumptions'!$H$31="Fixed",'Model Inputs &amp; Assumptions'!$I$31*'Model Inputs &amp; Assumptions'!$K$31,IF('Model Inputs &amp; Assumptions'!$H$31="CPM",'Model Inputs &amp; Assumptions'!$I$31*'Model Inputs &amp; Assumptions'!$K$31*C1698/1000,IF('Model Inputs &amp; Assumptions'!$H$31="CPC",'Model Inputs &amp; Assumptions'!$I$31*'Model Inputs &amp; Assumptions'!$K$31*G1698,0)))</f>
        <v>5046.269652</v>
      </c>
      <c r="J1698" s="50" t="n">
        <f aca="false">H1698*INDEX('Model Inputs &amp; Assumptions'!$D$40:$D$42,MATCH('Model Inputs &amp; Assumptions'!$L$31,'Model Inputs &amp; Assumptions'!$A$40:$A$42,0))*INDEX('Model Inputs &amp; Assumptions'!$H$40:$H$42,MATCH('Model Inputs &amp; Assumptions'!$L$31,'Model Inputs &amp; Assumptions'!$A$40:$A$42,0))</f>
        <v>533757.430444761</v>
      </c>
      <c r="K1698" s="49" t="n">
        <f aca="false">H1698*INDEX('Model Inputs &amp; Assumptions'!$G$40:$G$42,MATCH('Model Inputs &amp; Assumptions'!$L$31,'Model Inputs &amp; Assumptions'!$A$40:$A$42,0))*INDEX('Model Inputs &amp; Assumptions'!$H$40:$H$42,MATCH('Model Inputs &amp; Assumptions'!$L$31,'Model Inputs &amp; Assumptions'!$A$40:$A$42,0))</f>
        <v>11769.351341307</v>
      </c>
      <c r="L1698" s="51" t="n">
        <f aca="false">IFERROR(K1698/I1698,0)</f>
        <v>2.33228744259483</v>
      </c>
      <c r="M1698" s="49" t="n">
        <f aca="false">IFERROR(I1698/H1698,0)</f>
        <v>68.0705118505328</v>
      </c>
      <c r="N1698" s="52" t="str">
        <f aca="false">'Model Inputs &amp; Assumptions'!$L$31</f>
        <v>PRD-USIQ</v>
      </c>
      <c r="P1698" s="53" t="n">
        <v>-0.13231</v>
      </c>
      <c r="Q1698" s="53" t="n">
        <v>0.900245</v>
      </c>
      <c r="R1698" s="53" t="n">
        <v>-0.482103</v>
      </c>
      <c r="S1698" s="53" t="n">
        <v>1.163282</v>
      </c>
    </row>
    <row r="1699" customFormat="false" ht="15" hidden="false" customHeight="false" outlineLevel="0" collapsed="false">
      <c r="A1699" s="43" t="n">
        <v>196</v>
      </c>
      <c r="B1699" s="44" t="str">
        <f aca="false">'Model Inputs &amp; Assumptions'!$B$31</f>
        <v>YouTube — Finfluencer Pre-roll</v>
      </c>
      <c r="C1699" s="45" t="n">
        <f aca="false">ROUND(MAX(0,'Model Inputs &amp; Assumptions'!$S$31*EXP('Model Inputs &amp; Assumptions'!$T$31*P1699-'Model Inputs &amp; Assumptions'!$T$31^2/2)),0)</f>
        <v>393307</v>
      </c>
      <c r="D1699" s="46" t="n">
        <f aca="false">MIN(1,'Model Inputs &amp; Assumptions'!$U$31*EXP('Model Inputs &amp; Assumptions'!$V$31*Q1699-'Model Inputs &amp; Assumptions'!$V$31^2/2))</f>
        <v>0.564069198811318</v>
      </c>
      <c r="E1699" s="45" t="n">
        <f aca="false">ROUND(C1699*D1699,0)</f>
        <v>221852</v>
      </c>
      <c r="F1699" s="47" t="n">
        <f aca="false">MIN(1,'Model Inputs &amp; Assumptions'!$W$31*EXP('Model Inputs &amp; Assumptions'!$X$31*R1699-'Model Inputs &amp; Assumptions'!$X$31^2/2))</f>
        <v>0.00581338183197457</v>
      </c>
      <c r="G1699" s="45" t="n">
        <f aca="false">ROUND(C1699*F1699,0)</f>
        <v>2286</v>
      </c>
      <c r="H1699" s="48" t="n">
        <f aca="false">MAX(0,(C1699*'Model Inputs &amp; Assumptions'!$N$31+E1699*'Model Inputs &amp; Assumptions'!$O$31+G1699*'Model Inputs &amp; Assumptions'!$P$31)*EXP('Model Inputs &amp; Assumptions'!$Q$31*S1699-'Model Inputs &amp; Assumptions'!$Q$31^2/2))</f>
        <v>66.9364623023462</v>
      </c>
      <c r="I1699" s="49" t="n">
        <f aca="false">IF('Model Inputs &amp; Assumptions'!$H$31="Fixed",'Model Inputs &amp; Assumptions'!$I$31*'Model Inputs &amp; Assumptions'!$K$31,IF('Model Inputs &amp; Assumptions'!$H$31="CPM",'Model Inputs &amp; Assumptions'!$I$31*'Model Inputs &amp; Assumptions'!$K$31*C1699/1000,IF('Model Inputs &amp; Assumptions'!$H$31="CPC",'Model Inputs &amp; Assumptions'!$I$31*'Model Inputs &amp; Assumptions'!$K$31*G1699,0)))</f>
        <v>4462.461222</v>
      </c>
      <c r="J1699" s="50" t="n">
        <f aca="false">H1699*INDEX('Model Inputs &amp; Assumptions'!$D$40:$D$42,MATCH('Model Inputs &amp; Assumptions'!$L$31,'Model Inputs &amp; Assumptions'!$A$40:$A$42,0))*INDEX('Model Inputs &amp; Assumptions'!$H$40:$H$42,MATCH('Model Inputs &amp; Assumptions'!$L$31,'Model Inputs &amp; Assumptions'!$A$40:$A$42,0))</f>
        <v>481942.528576893</v>
      </c>
      <c r="K1699" s="49" t="n">
        <f aca="false">H1699*INDEX('Model Inputs &amp; Assumptions'!$G$40:$G$42,MATCH('Model Inputs &amp; Assumptions'!$L$31,'Model Inputs &amp; Assumptions'!$A$40:$A$42,0))*INDEX('Model Inputs &amp; Assumptions'!$H$40:$H$42,MATCH('Model Inputs &amp; Assumptions'!$L$31,'Model Inputs &amp; Assumptions'!$A$40:$A$42,0))</f>
        <v>10626.8327551205</v>
      </c>
      <c r="L1699" s="51" t="n">
        <f aca="false">IFERROR(K1699/I1699,0)</f>
        <v>2.38138377600461</v>
      </c>
      <c r="M1699" s="49" t="n">
        <f aca="false">IFERROR(I1699/H1699,0)</f>
        <v>66.667120856245</v>
      </c>
      <c r="N1699" s="52" t="str">
        <f aca="false">'Model Inputs &amp; Assumptions'!$L$31</f>
        <v>PRD-USIQ</v>
      </c>
      <c r="P1699" s="53" t="n">
        <v>-0.571409</v>
      </c>
      <c r="Q1699" s="53" t="n">
        <v>-0.25104</v>
      </c>
      <c r="R1699" s="53" t="n">
        <v>0.748019</v>
      </c>
      <c r="S1699" s="53" t="n">
        <v>0.894333</v>
      </c>
    </row>
    <row r="1700" customFormat="false" ht="15" hidden="false" customHeight="false" outlineLevel="0" collapsed="false">
      <c r="A1700" s="43" t="n">
        <v>197</v>
      </c>
      <c r="B1700" s="44" t="str">
        <f aca="false">'Model Inputs &amp; Assumptions'!$B$31</f>
        <v>YouTube — Finfluencer Pre-roll</v>
      </c>
      <c r="C1700" s="45" t="n">
        <f aca="false">ROUND(MAX(0,'Model Inputs &amp; Assumptions'!$S$31*EXP('Model Inputs &amp; Assumptions'!$T$31*P1700-'Model Inputs &amp; Assumptions'!$T$31^2/2)),0)</f>
        <v>324870</v>
      </c>
      <c r="D1700" s="46" t="n">
        <f aca="false">MIN(1,'Model Inputs &amp; Assumptions'!$U$31*EXP('Model Inputs &amp; Assumptions'!$V$31*Q1700-'Model Inputs &amp; Assumptions'!$V$31^2/2))</f>
        <v>0.527534336909894</v>
      </c>
      <c r="E1700" s="45" t="n">
        <f aca="false">ROUND(C1700*D1700,0)</f>
        <v>171380</v>
      </c>
      <c r="F1700" s="47" t="n">
        <f aca="false">MIN(1,'Model Inputs &amp; Assumptions'!$W$31*EXP('Model Inputs &amp; Assumptions'!$X$31*R1700-'Model Inputs &amp; Assumptions'!$X$31^2/2))</f>
        <v>0.00353112568990459</v>
      </c>
      <c r="G1700" s="45" t="n">
        <f aca="false">ROUND(C1700*F1700,0)</f>
        <v>1147</v>
      </c>
      <c r="H1700" s="48" t="n">
        <f aca="false">MAX(0,(C1700*'Model Inputs &amp; Assumptions'!$N$31+E1700*'Model Inputs &amp; Assumptions'!$O$31+G1700*'Model Inputs &amp; Assumptions'!$P$31)*EXP('Model Inputs &amp; Assumptions'!$Q$31*S1700-'Model Inputs &amp; Assumptions'!$Q$31^2/2))</f>
        <v>27.6845720307153</v>
      </c>
      <c r="I1700" s="49" t="n">
        <f aca="false">IF('Model Inputs &amp; Assumptions'!$H$31="Fixed",'Model Inputs &amp; Assumptions'!$I$31*'Model Inputs &amp; Assumptions'!$K$31,IF('Model Inputs &amp; Assumptions'!$H$31="CPM",'Model Inputs &amp; Assumptions'!$I$31*'Model Inputs &amp; Assumptions'!$K$31*C1700/1000,IF('Model Inputs &amp; Assumptions'!$H$31="CPC",'Model Inputs &amp; Assumptions'!$I$31*'Model Inputs &amp; Assumptions'!$K$31*G1700,0)))</f>
        <v>3685.97502</v>
      </c>
      <c r="J1700" s="50" t="n">
        <f aca="false">H1700*INDEX('Model Inputs &amp; Assumptions'!$D$40:$D$42,MATCH('Model Inputs &amp; Assumptions'!$L$31,'Model Inputs &amp; Assumptions'!$A$40:$A$42,0))*INDEX('Model Inputs &amp; Assumptions'!$H$40:$H$42,MATCH('Model Inputs &amp; Assumptions'!$L$31,'Model Inputs &amp; Assumptions'!$A$40:$A$42,0))</f>
        <v>199328.918621151</v>
      </c>
      <c r="K1700" s="49" t="n">
        <f aca="false">H1700*INDEX('Model Inputs &amp; Assumptions'!$G$40:$G$42,MATCH('Model Inputs &amp; Assumptions'!$L$31,'Model Inputs &amp; Assumptions'!$A$40:$A$42,0))*INDEX('Model Inputs &amp; Assumptions'!$H$40:$H$42,MATCH('Model Inputs &amp; Assumptions'!$L$31,'Model Inputs &amp; Assumptions'!$A$40:$A$42,0))</f>
        <v>4395.20265559637</v>
      </c>
      <c r="L1700" s="51" t="n">
        <f aca="false">IFERROR(K1700/I1700,0)</f>
        <v>1.19241249106359</v>
      </c>
      <c r="M1700" s="49" t="n">
        <f aca="false">IFERROR(I1700/H1700,0)</f>
        <v>133.141845787267</v>
      </c>
      <c r="N1700" s="52" t="str">
        <f aca="false">'Model Inputs &amp; Assumptions'!$L$31</f>
        <v>PRD-USIQ</v>
      </c>
      <c r="P1700" s="53" t="n">
        <v>-1.254148</v>
      </c>
      <c r="Q1700" s="53" t="n">
        <v>-0.729347</v>
      </c>
      <c r="R1700" s="53" t="n">
        <v>-1.329255</v>
      </c>
      <c r="S1700" s="53" t="n">
        <v>-0.140369</v>
      </c>
    </row>
    <row r="1701" customFormat="false" ht="15" hidden="false" customHeight="false" outlineLevel="0" collapsed="false">
      <c r="A1701" s="43" t="n">
        <v>198</v>
      </c>
      <c r="B1701" s="44" t="str">
        <f aca="false">'Model Inputs &amp; Assumptions'!$B$31</f>
        <v>YouTube — Finfluencer Pre-roll</v>
      </c>
      <c r="C1701" s="45" t="n">
        <f aca="false">ROUND(MAX(0,'Model Inputs &amp; Assumptions'!$S$31*EXP('Model Inputs &amp; Assumptions'!$T$31*P1701-'Model Inputs &amp; Assumptions'!$T$31^2/2)),0)</f>
        <v>169268</v>
      </c>
      <c r="D1701" s="46" t="n">
        <f aca="false">MIN(1,'Model Inputs &amp; Assumptions'!$U$31*EXP('Model Inputs &amp; Assumptions'!$V$31*Q1701-'Model Inputs &amp; Assumptions'!$V$31^2/2))</f>
        <v>0.615391651547504</v>
      </c>
      <c r="E1701" s="45" t="n">
        <f aca="false">ROUND(C1701*D1701,0)</f>
        <v>104166</v>
      </c>
      <c r="F1701" s="47" t="n">
        <f aca="false">MIN(1,'Model Inputs &amp; Assumptions'!$W$31*EXP('Model Inputs &amp; Assumptions'!$X$31*R1701-'Model Inputs &amp; Assumptions'!$X$31^2/2))</f>
        <v>0.00372290781051595</v>
      </c>
      <c r="G1701" s="45" t="n">
        <f aca="false">ROUND(C1701*F1701,0)</f>
        <v>630</v>
      </c>
      <c r="H1701" s="48" t="n">
        <f aca="false">MAX(0,(C1701*'Model Inputs &amp; Assumptions'!$N$31+E1701*'Model Inputs &amp; Assumptions'!$O$31+G1701*'Model Inputs &amp; Assumptions'!$P$31)*EXP('Model Inputs &amp; Assumptions'!$Q$31*S1701-'Model Inputs &amp; Assumptions'!$Q$31^2/2))</f>
        <v>15.9458122518179</v>
      </c>
      <c r="I1701" s="49" t="n">
        <f aca="false">IF('Model Inputs &amp; Assumptions'!$H$31="Fixed",'Model Inputs &amp; Assumptions'!$I$31*'Model Inputs &amp; Assumptions'!$K$31,IF('Model Inputs &amp; Assumptions'!$H$31="CPM",'Model Inputs &amp; Assumptions'!$I$31*'Model Inputs &amp; Assumptions'!$K$31*C1701/1000,IF('Model Inputs &amp; Assumptions'!$H$31="CPC",'Model Inputs &amp; Assumptions'!$I$31*'Model Inputs &amp; Assumptions'!$K$31*G1701,0)))</f>
        <v>1920.514728</v>
      </c>
      <c r="J1701" s="50" t="n">
        <f aca="false">H1701*INDEX('Model Inputs &amp; Assumptions'!$D$40:$D$42,MATCH('Model Inputs &amp; Assumptions'!$L$31,'Model Inputs &amp; Assumptions'!$A$40:$A$42,0))*INDEX('Model Inputs &amp; Assumptions'!$H$40:$H$42,MATCH('Model Inputs &amp; Assumptions'!$L$31,'Model Inputs &amp; Assumptions'!$A$40:$A$42,0))</f>
        <v>114809.848213089</v>
      </c>
      <c r="K1701" s="49" t="n">
        <f aca="false">H1701*INDEX('Model Inputs &amp; Assumptions'!$G$40:$G$42,MATCH('Model Inputs &amp; Assumptions'!$L$31,'Model Inputs &amp; Assumptions'!$A$40:$A$42,0))*INDEX('Model Inputs &amp; Assumptions'!$H$40:$H$42,MATCH('Model Inputs &amp; Assumptions'!$L$31,'Model Inputs &amp; Assumptions'!$A$40:$A$42,0))</f>
        <v>2531.55715309861</v>
      </c>
      <c r="L1701" s="51" t="n">
        <f aca="false">IFERROR(K1701/I1701,0)</f>
        <v>1.31816596675358</v>
      </c>
      <c r="M1701" s="49" t="n">
        <f aca="false">IFERROR(I1701/H1701,0)</f>
        <v>120.440069008153</v>
      </c>
      <c r="N1701" s="52" t="str">
        <f aca="false">'Model Inputs &amp; Assumptions'!$L$31</f>
        <v>PRD-USIQ</v>
      </c>
      <c r="P1701" s="53" t="n">
        <v>-3.582518</v>
      </c>
      <c r="Q1701" s="53" t="n">
        <v>0.370974</v>
      </c>
      <c r="R1701" s="53" t="n">
        <v>-1.108887</v>
      </c>
      <c r="S1701" s="53" t="n">
        <v>-0.136607</v>
      </c>
    </row>
    <row r="1702" customFormat="false" ht="15" hidden="false" customHeight="false" outlineLevel="0" collapsed="false">
      <c r="A1702" s="43" t="n">
        <v>199</v>
      </c>
      <c r="B1702" s="44" t="str">
        <f aca="false">'Model Inputs &amp; Assumptions'!$B$31</f>
        <v>YouTube — Finfluencer Pre-roll</v>
      </c>
      <c r="C1702" s="45" t="n">
        <f aca="false">ROUND(MAX(0,'Model Inputs &amp; Assumptions'!$S$31*EXP('Model Inputs &amp; Assumptions'!$T$31*P1702-'Model Inputs &amp; Assumptions'!$T$31^2/2)),0)</f>
        <v>385999</v>
      </c>
      <c r="D1702" s="46" t="n">
        <f aca="false">MIN(1,'Model Inputs &amp; Assumptions'!$U$31*EXP('Model Inputs &amp; Assumptions'!$V$31*Q1702-'Model Inputs &amp; Assumptions'!$V$31^2/2))</f>
        <v>0.588260288166158</v>
      </c>
      <c r="E1702" s="45" t="n">
        <f aca="false">ROUND(C1702*D1702,0)</f>
        <v>227068</v>
      </c>
      <c r="F1702" s="47" t="n">
        <f aca="false">MIN(1,'Model Inputs &amp; Assumptions'!$W$31*EXP('Model Inputs &amp; Assumptions'!$X$31*R1702-'Model Inputs &amp; Assumptions'!$X$31^2/2))</f>
        <v>0.00522929083057329</v>
      </c>
      <c r="G1702" s="45" t="n">
        <f aca="false">ROUND(C1702*F1702,0)</f>
        <v>2019</v>
      </c>
      <c r="H1702" s="48" t="n">
        <f aca="false">MAX(0,(C1702*'Model Inputs &amp; Assumptions'!$N$31+E1702*'Model Inputs &amp; Assumptions'!$O$31+G1702*'Model Inputs &amp; Assumptions'!$P$31)*EXP('Model Inputs &amp; Assumptions'!$Q$31*S1702-'Model Inputs &amp; Assumptions'!$Q$31^2/2))</f>
        <v>30.5158545487287</v>
      </c>
      <c r="I1702" s="49" t="n">
        <f aca="false">IF('Model Inputs &amp; Assumptions'!$H$31="Fixed",'Model Inputs &amp; Assumptions'!$I$31*'Model Inputs &amp; Assumptions'!$K$31,IF('Model Inputs &amp; Assumptions'!$H$31="CPM",'Model Inputs &amp; Assumptions'!$I$31*'Model Inputs &amp; Assumptions'!$K$31*C1702/1000,IF('Model Inputs &amp; Assumptions'!$H$31="CPC",'Model Inputs &amp; Assumptions'!$I$31*'Model Inputs &amp; Assumptions'!$K$31*G1702,0)))</f>
        <v>4379.544654</v>
      </c>
      <c r="J1702" s="50" t="n">
        <f aca="false">H1702*INDEX('Model Inputs &amp; Assumptions'!$D$40:$D$42,MATCH('Model Inputs &amp; Assumptions'!$L$31,'Model Inputs &amp; Assumptions'!$A$40:$A$42,0))*INDEX('Model Inputs &amp; Assumptions'!$H$40:$H$42,MATCH('Model Inputs &amp; Assumptions'!$L$31,'Model Inputs &amp; Assumptions'!$A$40:$A$42,0))</f>
        <v>219714.152750847</v>
      </c>
      <c r="K1702" s="49" t="n">
        <f aca="false">H1702*INDEX('Model Inputs &amp; Assumptions'!$G$40:$G$42,MATCH('Model Inputs &amp; Assumptions'!$L$31,'Model Inputs &amp; Assumptions'!$A$40:$A$42,0))*INDEX('Model Inputs &amp; Assumptions'!$H$40:$H$42,MATCH('Model Inputs &amp; Assumptions'!$L$31,'Model Inputs &amp; Assumptions'!$A$40:$A$42,0))</f>
        <v>4844.69706815617</v>
      </c>
      <c r="L1702" s="51" t="n">
        <f aca="false">IFERROR(K1702/I1702,0)</f>
        <v>1.10621022295807</v>
      </c>
      <c r="M1702" s="49" t="n">
        <f aca="false">IFERROR(I1702/H1702,0)</f>
        <v>143.517024797933</v>
      </c>
      <c r="N1702" s="52" t="str">
        <f aca="false">'Model Inputs &amp; Assumptions'!$L$31</f>
        <v>PRD-USIQ</v>
      </c>
      <c r="P1702" s="53" t="n">
        <v>-0.638397</v>
      </c>
      <c r="Q1702" s="53" t="n">
        <v>0.048907</v>
      </c>
      <c r="R1702" s="53" t="n">
        <v>0.306824</v>
      </c>
      <c r="S1702" s="53" t="n">
        <v>-1.145843</v>
      </c>
    </row>
    <row r="1703" customFormat="false" ht="15" hidden="false" customHeight="false" outlineLevel="0" collapsed="false">
      <c r="A1703" s="43" t="n">
        <v>200</v>
      </c>
      <c r="B1703" s="44" t="str">
        <f aca="false">'Model Inputs &amp; Assumptions'!$B$31</f>
        <v>YouTube — Finfluencer Pre-roll</v>
      </c>
      <c r="C1703" s="45" t="n">
        <f aca="false">ROUND(MAX(0,'Model Inputs &amp; Assumptions'!$S$31*EXP('Model Inputs &amp; Assumptions'!$T$31*P1703-'Model Inputs &amp; Assumptions'!$T$31^2/2)),0)</f>
        <v>626641</v>
      </c>
      <c r="D1703" s="46" t="n">
        <f aca="false">MIN(1,'Model Inputs &amp; Assumptions'!$U$31*EXP('Model Inputs &amp; Assumptions'!$V$31*Q1703-'Model Inputs &amp; Assumptions'!$V$31^2/2))</f>
        <v>0.451948392260943</v>
      </c>
      <c r="E1703" s="45" t="n">
        <f aca="false">ROUND(C1703*D1703,0)</f>
        <v>283209</v>
      </c>
      <c r="F1703" s="47" t="n">
        <f aca="false">MIN(1,'Model Inputs &amp; Assumptions'!$W$31*EXP('Model Inputs &amp; Assumptions'!$X$31*R1703-'Model Inputs &amp; Assumptions'!$X$31^2/2))</f>
        <v>0.00343443954564669</v>
      </c>
      <c r="G1703" s="45" t="n">
        <f aca="false">ROUND(C1703*F1703,0)</f>
        <v>2152</v>
      </c>
      <c r="H1703" s="48" t="n">
        <f aca="false">MAX(0,(C1703*'Model Inputs &amp; Assumptions'!$N$31+E1703*'Model Inputs &amp; Assumptions'!$O$31+G1703*'Model Inputs &amp; Assumptions'!$P$31)*EXP('Model Inputs &amp; Assumptions'!$Q$31*S1703-'Model Inputs &amp; Assumptions'!$Q$31^2/2))</f>
        <v>46.4239679908524</v>
      </c>
      <c r="I1703" s="49" t="n">
        <f aca="false">IF('Model Inputs &amp; Assumptions'!$H$31="Fixed",'Model Inputs &amp; Assumptions'!$I$31*'Model Inputs &amp; Assumptions'!$K$31,IF('Model Inputs &amp; Assumptions'!$H$31="CPM",'Model Inputs &amp; Assumptions'!$I$31*'Model Inputs &amp; Assumptions'!$K$31*C1703/1000,IF('Model Inputs &amp; Assumptions'!$H$31="CPC",'Model Inputs &amp; Assumptions'!$I$31*'Model Inputs &amp; Assumptions'!$K$31*G1703,0)))</f>
        <v>7109.868786</v>
      </c>
      <c r="J1703" s="50" t="n">
        <f aca="false">H1703*INDEX('Model Inputs &amp; Assumptions'!$D$40:$D$42,MATCH('Model Inputs &amp; Assumptions'!$L$31,'Model Inputs &amp; Assumptions'!$A$40:$A$42,0))*INDEX('Model Inputs &amp; Assumptions'!$H$40:$H$42,MATCH('Model Inputs &amp; Assumptions'!$L$31,'Model Inputs &amp; Assumptions'!$A$40:$A$42,0))</f>
        <v>334252.569534137</v>
      </c>
      <c r="K1703" s="49" t="n">
        <f aca="false">H1703*INDEX('Model Inputs &amp; Assumptions'!$G$40:$G$42,MATCH('Model Inputs &amp; Assumptions'!$L$31,'Model Inputs &amp; Assumptions'!$A$40:$A$42,0))*INDEX('Model Inputs &amp; Assumptions'!$H$40:$H$42,MATCH('Model Inputs &amp; Assumptions'!$L$31,'Model Inputs &amp; Assumptions'!$A$40:$A$42,0))</f>
        <v>7370.26915822772</v>
      </c>
      <c r="L1703" s="51" t="n">
        <f aca="false">IFERROR(K1703/I1703,0)</f>
        <v>1.03662520083922</v>
      </c>
      <c r="M1703" s="49" t="n">
        <f aca="false">IFERROR(I1703/H1703,0)</f>
        <v>153.150820442599</v>
      </c>
      <c r="N1703" s="52" t="str">
        <f aca="false">'Model Inputs &amp; Assumptions'!$L$31</f>
        <v>PRD-USIQ</v>
      </c>
      <c r="P1703" s="53" t="n">
        <v>1.092098</v>
      </c>
      <c r="Q1703" s="53" t="n">
        <v>-1.833961</v>
      </c>
      <c r="R1703" s="53" t="n">
        <v>-1.444934</v>
      </c>
      <c r="S1703" s="53" t="n">
        <v>-0.306046</v>
      </c>
    </row>
    <row r="1704" customFormat="false" ht="15" hidden="false" customHeight="false" outlineLevel="0" collapsed="false">
      <c r="A1704" s="43" t="n">
        <v>201</v>
      </c>
      <c r="B1704" s="44" t="str">
        <f aca="false">'Model Inputs &amp; Assumptions'!$B$31</f>
        <v>YouTube — Finfluencer Pre-roll</v>
      </c>
      <c r="C1704" s="45" t="n">
        <f aca="false">ROUND(MAX(0,'Model Inputs &amp; Assumptions'!$S$31*EXP('Model Inputs &amp; Assumptions'!$T$31*P1704-'Model Inputs &amp; Assumptions'!$T$31^2/2)),0)</f>
        <v>494290</v>
      </c>
      <c r="D1704" s="46" t="n">
        <f aca="false">MIN(1,'Model Inputs &amp; Assumptions'!$U$31*EXP('Model Inputs &amp; Assumptions'!$V$31*Q1704-'Model Inputs &amp; Assumptions'!$V$31^2/2))</f>
        <v>0.609463216552847</v>
      </c>
      <c r="E1704" s="45" t="n">
        <f aca="false">ROUND(C1704*D1704,0)</f>
        <v>301252</v>
      </c>
      <c r="F1704" s="47" t="n">
        <f aca="false">MIN(1,'Model Inputs &amp; Assumptions'!$W$31*EXP('Model Inputs &amp; Assumptions'!$X$31*R1704-'Model Inputs &amp; Assumptions'!$X$31^2/2))</f>
        <v>0.00514727944729242</v>
      </c>
      <c r="G1704" s="45" t="n">
        <f aca="false">ROUND(C1704*F1704,0)</f>
        <v>2544</v>
      </c>
      <c r="H1704" s="48" t="n">
        <f aca="false">MAX(0,(C1704*'Model Inputs &amp; Assumptions'!$N$31+E1704*'Model Inputs &amp; Assumptions'!$O$31+G1704*'Model Inputs &amp; Assumptions'!$P$31)*EXP('Model Inputs &amp; Assumptions'!$Q$31*S1704-'Model Inputs &amp; Assumptions'!$Q$31^2/2))</f>
        <v>54.129016145827</v>
      </c>
      <c r="I1704" s="49" t="n">
        <f aca="false">IF('Model Inputs &amp; Assumptions'!$H$31="Fixed",'Model Inputs &amp; Assumptions'!$I$31*'Model Inputs &amp; Assumptions'!$K$31,IF('Model Inputs &amp; Assumptions'!$H$31="CPM",'Model Inputs &amp; Assumptions'!$I$31*'Model Inputs &amp; Assumptions'!$K$31*C1704/1000,IF('Model Inputs &amp; Assumptions'!$H$31="CPC",'Model Inputs &amp; Assumptions'!$I$31*'Model Inputs &amp; Assumptions'!$K$31*G1704,0)))</f>
        <v>5608.21434</v>
      </c>
      <c r="J1704" s="50" t="n">
        <f aca="false">H1704*INDEX('Model Inputs &amp; Assumptions'!$D$40:$D$42,MATCH('Model Inputs &amp; Assumptions'!$L$31,'Model Inputs &amp; Assumptions'!$A$40:$A$42,0))*INDEX('Model Inputs &amp; Assumptions'!$H$40:$H$42,MATCH('Model Inputs &amp; Assumptions'!$L$31,'Model Inputs &amp; Assumptions'!$A$40:$A$42,0))</f>
        <v>389728.916249954</v>
      </c>
      <c r="K1704" s="49" t="n">
        <f aca="false">H1704*INDEX('Model Inputs &amp; Assumptions'!$G$40:$G$42,MATCH('Model Inputs &amp; Assumptions'!$L$31,'Model Inputs &amp; Assumptions'!$A$40:$A$42,0))*INDEX('Model Inputs &amp; Assumptions'!$H$40:$H$42,MATCH('Model Inputs &amp; Assumptions'!$L$31,'Model Inputs &amp; Assumptions'!$A$40:$A$42,0))</f>
        <v>8593.52260331149</v>
      </c>
      <c r="L1704" s="51" t="n">
        <f aca="false">IFERROR(K1704/I1704,0)</f>
        <v>1.53230994436484</v>
      </c>
      <c r="M1704" s="49" t="n">
        <f aca="false">IFERROR(I1704/H1704,0)</f>
        <v>103.60828146019</v>
      </c>
      <c r="N1704" s="52" t="str">
        <f aca="false">'Model Inputs &amp; Assumptions'!$L$31</f>
        <v>PRD-USIQ</v>
      </c>
      <c r="P1704" s="53" t="n">
        <v>0.24477</v>
      </c>
      <c r="Q1704" s="53" t="n">
        <v>0.301829</v>
      </c>
      <c r="R1704" s="53" t="n">
        <v>0.24096</v>
      </c>
      <c r="S1704" s="53" t="n">
        <v>-0.224861</v>
      </c>
    </row>
    <row r="1705" customFormat="false" ht="15" hidden="false" customHeight="false" outlineLevel="0" collapsed="false">
      <c r="A1705" s="43" t="n">
        <v>202</v>
      </c>
      <c r="B1705" s="44" t="str">
        <f aca="false">'Model Inputs &amp; Assumptions'!$B$31</f>
        <v>YouTube — Finfluencer Pre-roll</v>
      </c>
      <c r="C1705" s="45" t="n">
        <f aca="false">ROUND(MAX(0,'Model Inputs &amp; Assumptions'!$S$31*EXP('Model Inputs &amp; Assumptions'!$T$31*P1705-'Model Inputs &amp; Assumptions'!$T$31^2/2)),0)</f>
        <v>491760</v>
      </c>
      <c r="D1705" s="46" t="n">
        <f aca="false">MIN(1,'Model Inputs &amp; Assumptions'!$U$31*EXP('Model Inputs &amp; Assumptions'!$V$31*Q1705-'Model Inputs &amp; Assumptions'!$V$31^2/2))</f>
        <v>0.531615081738189</v>
      </c>
      <c r="E1705" s="45" t="n">
        <f aca="false">ROUND(C1705*D1705,0)</f>
        <v>261427</v>
      </c>
      <c r="F1705" s="47" t="n">
        <f aca="false">MIN(1,'Model Inputs &amp; Assumptions'!$W$31*EXP('Model Inputs &amp; Assumptions'!$X$31*R1705-'Model Inputs &amp; Assumptions'!$X$31^2/2))</f>
        <v>0.0047296253512083</v>
      </c>
      <c r="G1705" s="45" t="n">
        <f aca="false">ROUND(C1705*F1705,0)</f>
        <v>2326</v>
      </c>
      <c r="H1705" s="48" t="n">
        <f aca="false">MAX(0,(C1705*'Model Inputs &amp; Assumptions'!$N$31+E1705*'Model Inputs &amp; Assumptions'!$O$31+G1705*'Model Inputs &amp; Assumptions'!$P$31)*EXP('Model Inputs &amp; Assumptions'!$Q$31*S1705-'Model Inputs &amp; Assumptions'!$Q$31^2/2))</f>
        <v>41.9230782385403</v>
      </c>
      <c r="I1705" s="49" t="n">
        <f aca="false">IF('Model Inputs &amp; Assumptions'!$H$31="Fixed",'Model Inputs &amp; Assumptions'!$I$31*'Model Inputs &amp; Assumptions'!$K$31,IF('Model Inputs &amp; Assumptions'!$H$31="CPM",'Model Inputs &amp; Assumptions'!$I$31*'Model Inputs &amp; Assumptions'!$K$31*C1705/1000,IF('Model Inputs &amp; Assumptions'!$H$31="CPC",'Model Inputs &amp; Assumptions'!$I$31*'Model Inputs &amp; Assumptions'!$K$31*G1705,0)))</f>
        <v>5579.50896</v>
      </c>
      <c r="J1705" s="50" t="n">
        <f aca="false">H1705*INDEX('Model Inputs &amp; Assumptions'!$D$40:$D$42,MATCH('Model Inputs &amp; Assumptions'!$L$31,'Model Inputs &amp; Assumptions'!$A$40:$A$42,0))*INDEX('Model Inputs &amp; Assumptions'!$H$40:$H$42,MATCH('Model Inputs &amp; Assumptions'!$L$31,'Model Inputs &amp; Assumptions'!$A$40:$A$42,0))</f>
        <v>301846.16331749</v>
      </c>
      <c r="K1705" s="49" t="n">
        <f aca="false">H1705*INDEX('Model Inputs &amp; Assumptions'!$G$40:$G$42,MATCH('Model Inputs &amp; Assumptions'!$L$31,'Model Inputs &amp; Assumptions'!$A$40:$A$42,0))*INDEX('Model Inputs &amp; Assumptions'!$H$40:$H$42,MATCH('Model Inputs &amp; Assumptions'!$L$31,'Model Inputs &amp; Assumptions'!$A$40:$A$42,0))</f>
        <v>6655.70790115065</v>
      </c>
      <c r="L1705" s="51" t="n">
        <f aca="false">IFERROR(K1705/I1705,0)</f>
        <v>1.19288416756134</v>
      </c>
      <c r="M1705" s="49" t="n">
        <f aca="false">IFERROR(I1705/H1705,0)</f>
        <v>133.089200374383</v>
      </c>
      <c r="N1705" s="52" t="str">
        <f aca="false">'Model Inputs &amp; Assumptions'!$L$31</f>
        <v>PRD-USIQ</v>
      </c>
      <c r="P1705" s="53" t="n">
        <v>0.226445</v>
      </c>
      <c r="Q1705" s="53" t="n">
        <v>-0.674306</v>
      </c>
      <c r="R1705" s="53" t="n">
        <v>-0.111633</v>
      </c>
      <c r="S1705" s="53" t="n">
        <v>-0.642177</v>
      </c>
    </row>
    <row r="1706" customFormat="false" ht="15" hidden="false" customHeight="false" outlineLevel="0" collapsed="false">
      <c r="A1706" s="43" t="n">
        <v>203</v>
      </c>
      <c r="B1706" s="44" t="str">
        <f aca="false">'Model Inputs &amp; Assumptions'!$B$31</f>
        <v>YouTube — Finfluencer Pre-roll</v>
      </c>
      <c r="C1706" s="45" t="n">
        <f aca="false">ROUND(MAX(0,'Model Inputs &amp; Assumptions'!$S$31*EXP('Model Inputs &amp; Assumptions'!$T$31*P1706-'Model Inputs &amp; Assumptions'!$T$31^2/2)),0)</f>
        <v>684641</v>
      </c>
      <c r="D1706" s="46" t="n">
        <f aca="false">MIN(1,'Model Inputs &amp; Assumptions'!$U$31*EXP('Model Inputs &amp; Assumptions'!$V$31*Q1706-'Model Inputs &amp; Assumptions'!$V$31^2/2))</f>
        <v>0.62906039960512</v>
      </c>
      <c r="E1706" s="45" t="n">
        <f aca="false">ROUND(C1706*D1706,0)</f>
        <v>430681</v>
      </c>
      <c r="F1706" s="47" t="n">
        <f aca="false">MIN(1,'Model Inputs &amp; Assumptions'!$W$31*EXP('Model Inputs &amp; Assumptions'!$X$31*R1706-'Model Inputs &amp; Assumptions'!$X$31^2/2))</f>
        <v>0.00412233335947837</v>
      </c>
      <c r="G1706" s="45" t="n">
        <f aca="false">ROUND(C1706*F1706,0)</f>
        <v>2822</v>
      </c>
      <c r="H1706" s="48" t="n">
        <f aca="false">MAX(0,(C1706*'Model Inputs &amp; Assumptions'!$N$31+E1706*'Model Inputs &amp; Assumptions'!$O$31+G1706*'Model Inputs &amp; Assumptions'!$P$31)*EXP('Model Inputs &amp; Assumptions'!$Q$31*S1706-'Model Inputs &amp; Assumptions'!$Q$31^2/2))</f>
        <v>129.985627467163</v>
      </c>
      <c r="I1706" s="49" t="n">
        <f aca="false">IF('Model Inputs &amp; Assumptions'!$H$31="Fixed",'Model Inputs &amp; Assumptions'!$I$31*'Model Inputs &amp; Assumptions'!$K$31,IF('Model Inputs &amp; Assumptions'!$H$31="CPM",'Model Inputs &amp; Assumptions'!$I$31*'Model Inputs &amp; Assumptions'!$K$31*C1706/1000,IF('Model Inputs &amp; Assumptions'!$H$31="CPC",'Model Inputs &amp; Assumptions'!$I$31*'Model Inputs &amp; Assumptions'!$K$31*G1706,0)))</f>
        <v>7767.936786</v>
      </c>
      <c r="J1706" s="50" t="n">
        <f aca="false">H1706*INDEX('Model Inputs &amp; Assumptions'!$D$40:$D$42,MATCH('Model Inputs &amp; Assumptions'!$L$31,'Model Inputs &amp; Assumptions'!$A$40:$A$42,0))*INDEX('Model Inputs &amp; Assumptions'!$H$40:$H$42,MATCH('Model Inputs &amp; Assumptions'!$L$31,'Model Inputs &amp; Assumptions'!$A$40:$A$42,0))</f>
        <v>935896.517763576</v>
      </c>
      <c r="K1706" s="49" t="n">
        <f aca="false">H1706*INDEX('Model Inputs &amp; Assumptions'!$G$40:$G$42,MATCH('Model Inputs &amp; Assumptions'!$L$31,'Model Inputs &amp; Assumptions'!$A$40:$A$42,0))*INDEX('Model Inputs &amp; Assumptions'!$H$40:$H$42,MATCH('Model Inputs &amp; Assumptions'!$L$31,'Model Inputs &amp; Assumptions'!$A$40:$A$42,0))</f>
        <v>20636.5182166869</v>
      </c>
      <c r="L1706" s="51" t="n">
        <f aca="false">IFERROR(K1706/I1706,0)</f>
        <v>2.65662798053141</v>
      </c>
      <c r="M1706" s="49" t="n">
        <f aca="false">IFERROR(I1706/H1706,0)</f>
        <v>59.7599668314277</v>
      </c>
      <c r="N1706" s="52" t="str">
        <f aca="false">'Model Inputs &amp; Assumptions'!$L$31</f>
        <v>PRD-USIQ</v>
      </c>
      <c r="P1706" s="53" t="n">
        <v>1.408245</v>
      </c>
      <c r="Q1706" s="53" t="n">
        <v>0.527891</v>
      </c>
      <c r="R1706" s="53" t="n">
        <v>-0.684244</v>
      </c>
      <c r="S1706" s="53" t="n">
        <v>1.679061</v>
      </c>
    </row>
    <row r="1707" customFormat="false" ht="15" hidden="false" customHeight="false" outlineLevel="0" collapsed="false">
      <c r="A1707" s="43" t="n">
        <v>204</v>
      </c>
      <c r="B1707" s="44" t="str">
        <f aca="false">'Model Inputs &amp; Assumptions'!$B$31</f>
        <v>YouTube — Finfluencer Pre-roll</v>
      </c>
      <c r="C1707" s="45" t="n">
        <f aca="false">ROUND(MAX(0,'Model Inputs &amp; Assumptions'!$S$31*EXP('Model Inputs &amp; Assumptions'!$T$31*P1707-'Model Inputs &amp; Assumptions'!$T$31^2/2)),0)</f>
        <v>295413</v>
      </c>
      <c r="D1707" s="46" t="n">
        <f aca="false">MIN(1,'Model Inputs &amp; Assumptions'!$U$31*EXP('Model Inputs &amp; Assumptions'!$V$31*Q1707-'Model Inputs &amp; Assumptions'!$V$31^2/2))</f>
        <v>0.635262079202693</v>
      </c>
      <c r="E1707" s="45" t="n">
        <f aca="false">ROUND(C1707*D1707,0)</f>
        <v>187665</v>
      </c>
      <c r="F1707" s="47" t="n">
        <f aca="false">MIN(1,'Model Inputs &amp; Assumptions'!$W$31*EXP('Model Inputs &amp; Assumptions'!$X$31*R1707-'Model Inputs &amp; Assumptions'!$X$31^2/2))</f>
        <v>0.00596669893601175</v>
      </c>
      <c r="G1707" s="45" t="n">
        <f aca="false">ROUND(C1707*F1707,0)</f>
        <v>1763</v>
      </c>
      <c r="H1707" s="48" t="n">
        <f aca="false">MAX(0,(C1707*'Model Inputs &amp; Assumptions'!$N$31+E1707*'Model Inputs &amp; Assumptions'!$O$31+G1707*'Model Inputs &amp; Assumptions'!$P$31)*EXP('Model Inputs &amp; Assumptions'!$Q$31*S1707-'Model Inputs &amp; Assumptions'!$Q$31^2/2))</f>
        <v>84.8442175884952</v>
      </c>
      <c r="I1707" s="49" t="n">
        <f aca="false">IF('Model Inputs &amp; Assumptions'!$H$31="Fixed",'Model Inputs &amp; Assumptions'!$I$31*'Model Inputs &amp; Assumptions'!$K$31,IF('Model Inputs &amp; Assumptions'!$H$31="CPM",'Model Inputs &amp; Assumptions'!$I$31*'Model Inputs &amp; Assumptions'!$K$31*C1707/1000,IF('Model Inputs &amp; Assumptions'!$H$31="CPC",'Model Inputs &amp; Assumptions'!$I$31*'Model Inputs &amp; Assumptions'!$K$31*G1707,0)))</f>
        <v>3351.755898</v>
      </c>
      <c r="J1707" s="50" t="n">
        <f aca="false">H1707*INDEX('Model Inputs &amp; Assumptions'!$D$40:$D$42,MATCH('Model Inputs &amp; Assumptions'!$L$31,'Model Inputs &amp; Assumptions'!$A$40:$A$42,0))*INDEX('Model Inputs &amp; Assumptions'!$H$40:$H$42,MATCH('Model Inputs &amp; Assumptions'!$L$31,'Model Inputs &amp; Assumptions'!$A$40:$A$42,0))</f>
        <v>610878.366637165</v>
      </c>
      <c r="K1707" s="49" t="n">
        <f aca="false">H1707*INDEX('Model Inputs &amp; Assumptions'!$G$40:$G$42,MATCH('Model Inputs &amp; Assumptions'!$L$31,'Model Inputs &amp; Assumptions'!$A$40:$A$42,0))*INDEX('Model Inputs &amp; Assumptions'!$H$40:$H$42,MATCH('Model Inputs &amp; Assumptions'!$L$31,'Model Inputs &amp; Assumptions'!$A$40:$A$42,0))</f>
        <v>13469.8679843495</v>
      </c>
      <c r="L1707" s="51" t="n">
        <f aca="false">IFERROR(K1707/I1707,0)</f>
        <v>4.0187496924782</v>
      </c>
      <c r="M1707" s="49" t="n">
        <f aca="false">IFERROR(I1707/H1707,0)</f>
        <v>39.5048241738338</v>
      </c>
      <c r="N1707" s="52" t="str">
        <f aca="false">'Model Inputs &amp; Assumptions'!$L$31</f>
        <v>PRD-USIQ</v>
      </c>
      <c r="P1707" s="53" t="n">
        <v>-1.593612</v>
      </c>
      <c r="Q1707" s="53" t="n">
        <v>0.597965</v>
      </c>
      <c r="R1707" s="53" t="n">
        <v>0.856483</v>
      </c>
      <c r="S1707" s="53" t="n">
        <v>2.221089</v>
      </c>
    </row>
    <row r="1708" customFormat="false" ht="15" hidden="false" customHeight="false" outlineLevel="0" collapsed="false">
      <c r="A1708" s="43" t="n">
        <v>205</v>
      </c>
      <c r="B1708" s="44" t="str">
        <f aca="false">'Model Inputs &amp; Assumptions'!$B$31</f>
        <v>YouTube — Finfluencer Pre-roll</v>
      </c>
      <c r="C1708" s="45" t="n">
        <f aca="false">ROUND(MAX(0,'Model Inputs &amp; Assumptions'!$S$31*EXP('Model Inputs &amp; Assumptions'!$T$31*P1708-'Model Inputs &amp; Assumptions'!$T$31^2/2)),0)</f>
        <v>388369</v>
      </c>
      <c r="D1708" s="46" t="n">
        <f aca="false">MIN(1,'Model Inputs &amp; Assumptions'!$U$31*EXP('Model Inputs &amp; Assumptions'!$V$31*Q1708-'Model Inputs &amp; Assumptions'!$V$31^2/2))</f>
        <v>0.554894439690091</v>
      </c>
      <c r="E1708" s="45" t="n">
        <f aca="false">ROUND(C1708*D1708,0)</f>
        <v>215504</v>
      </c>
      <c r="F1708" s="47" t="n">
        <f aca="false">MIN(1,'Model Inputs &amp; Assumptions'!$W$31*EXP('Model Inputs &amp; Assumptions'!$X$31*R1708-'Model Inputs &amp; Assumptions'!$X$31^2/2))</f>
        <v>0.00543653675618351</v>
      </c>
      <c r="G1708" s="45" t="n">
        <f aca="false">ROUND(C1708*F1708,0)</f>
        <v>2111</v>
      </c>
      <c r="H1708" s="48" t="n">
        <f aca="false">MAX(0,(C1708*'Model Inputs &amp; Assumptions'!$N$31+E1708*'Model Inputs &amp; Assumptions'!$O$31+G1708*'Model Inputs &amp; Assumptions'!$P$31)*EXP('Model Inputs &amp; Assumptions'!$Q$31*S1708-'Model Inputs &amp; Assumptions'!$Q$31^2/2))</f>
        <v>40.6725648978286</v>
      </c>
      <c r="I1708" s="49" t="n">
        <f aca="false">IF('Model Inputs &amp; Assumptions'!$H$31="Fixed",'Model Inputs &amp; Assumptions'!$I$31*'Model Inputs &amp; Assumptions'!$K$31,IF('Model Inputs &amp; Assumptions'!$H$31="CPM",'Model Inputs &amp; Assumptions'!$I$31*'Model Inputs &amp; Assumptions'!$K$31*C1708/1000,IF('Model Inputs &amp; Assumptions'!$H$31="CPC",'Model Inputs &amp; Assumptions'!$I$31*'Model Inputs &amp; Assumptions'!$K$31*G1708,0)))</f>
        <v>4406.434674</v>
      </c>
      <c r="J1708" s="50" t="n">
        <f aca="false">H1708*INDEX('Model Inputs &amp; Assumptions'!$D$40:$D$42,MATCH('Model Inputs &amp; Assumptions'!$L$31,'Model Inputs &amp; Assumptions'!$A$40:$A$42,0))*INDEX('Model Inputs &amp; Assumptions'!$H$40:$H$42,MATCH('Model Inputs &amp; Assumptions'!$L$31,'Model Inputs &amp; Assumptions'!$A$40:$A$42,0))</f>
        <v>292842.467264366</v>
      </c>
      <c r="K1708" s="49" t="n">
        <f aca="false">H1708*INDEX('Model Inputs &amp; Assumptions'!$G$40:$G$42,MATCH('Model Inputs &amp; Assumptions'!$L$31,'Model Inputs &amp; Assumptions'!$A$40:$A$42,0))*INDEX('Model Inputs &amp; Assumptions'!$H$40:$H$42,MATCH('Model Inputs &amp; Assumptions'!$L$31,'Model Inputs &amp; Assumptions'!$A$40:$A$42,0))</f>
        <v>6457.17640317927</v>
      </c>
      <c r="L1708" s="51" t="n">
        <f aca="false">IFERROR(K1708/I1708,0)</f>
        <v>1.46539705700838</v>
      </c>
      <c r="M1708" s="49" t="n">
        <f aca="false">IFERROR(I1708/H1708,0)</f>
        <v>108.339237642602</v>
      </c>
      <c r="N1708" s="52" t="str">
        <f aca="false">'Model Inputs &amp; Assumptions'!$L$31</f>
        <v>PRD-USIQ</v>
      </c>
      <c r="P1708" s="53" t="n">
        <v>-0.616536</v>
      </c>
      <c r="Q1708" s="53" t="n">
        <v>-0.368176</v>
      </c>
      <c r="R1708" s="53" t="n">
        <v>0.468768</v>
      </c>
      <c r="S1708" s="53" t="n">
        <v>-0.351664</v>
      </c>
    </row>
    <row r="1709" customFormat="false" ht="15" hidden="false" customHeight="false" outlineLevel="0" collapsed="false">
      <c r="A1709" s="43" t="n">
        <v>206</v>
      </c>
      <c r="B1709" s="44" t="str">
        <f aca="false">'Model Inputs &amp; Assumptions'!$B$31</f>
        <v>YouTube — Finfluencer Pre-roll</v>
      </c>
      <c r="C1709" s="45" t="n">
        <f aca="false">ROUND(MAX(0,'Model Inputs &amp; Assumptions'!$S$31*EXP('Model Inputs &amp; Assumptions'!$T$31*P1709-'Model Inputs &amp; Assumptions'!$T$31^2/2)),0)</f>
        <v>507883</v>
      </c>
      <c r="D1709" s="46" t="n">
        <f aca="false">MIN(1,'Model Inputs &amp; Assumptions'!$U$31*EXP('Model Inputs &amp; Assumptions'!$V$31*Q1709-'Model Inputs &amp; Assumptions'!$V$31^2/2))</f>
        <v>0.626857007807028</v>
      </c>
      <c r="E1709" s="45" t="n">
        <f aca="false">ROUND(C1709*D1709,0)</f>
        <v>318370</v>
      </c>
      <c r="F1709" s="47" t="n">
        <f aca="false">MIN(1,'Model Inputs &amp; Assumptions'!$W$31*EXP('Model Inputs &amp; Assumptions'!$X$31*R1709-'Model Inputs &amp; Assumptions'!$X$31^2/2))</f>
        <v>0.00387506327782821</v>
      </c>
      <c r="G1709" s="45" t="n">
        <f aca="false">ROUND(C1709*F1709,0)</f>
        <v>1968</v>
      </c>
      <c r="H1709" s="48" t="n">
        <f aca="false">MAX(0,(C1709*'Model Inputs &amp; Assumptions'!$N$31+E1709*'Model Inputs &amp; Assumptions'!$O$31+G1709*'Model Inputs &amp; Assumptions'!$P$31)*EXP('Model Inputs &amp; Assumptions'!$Q$31*S1709-'Model Inputs &amp; Assumptions'!$Q$31^2/2))</f>
        <v>34.2907667318957</v>
      </c>
      <c r="I1709" s="49" t="n">
        <f aca="false">IF('Model Inputs &amp; Assumptions'!$H$31="Fixed",'Model Inputs &amp; Assumptions'!$I$31*'Model Inputs &amp; Assumptions'!$K$31,IF('Model Inputs &amp; Assumptions'!$H$31="CPM",'Model Inputs &amp; Assumptions'!$I$31*'Model Inputs &amp; Assumptions'!$K$31*C1709/1000,IF('Model Inputs &amp; Assumptions'!$H$31="CPC",'Model Inputs &amp; Assumptions'!$I$31*'Model Inputs &amp; Assumptions'!$K$31*G1709,0)))</f>
        <v>5762.440518</v>
      </c>
      <c r="J1709" s="50" t="n">
        <f aca="false">H1709*INDEX('Model Inputs &amp; Assumptions'!$D$40:$D$42,MATCH('Model Inputs &amp; Assumptions'!$L$31,'Model Inputs &amp; Assumptions'!$A$40:$A$42,0))*INDEX('Model Inputs &amp; Assumptions'!$H$40:$H$42,MATCH('Model Inputs &amp; Assumptions'!$L$31,'Model Inputs &amp; Assumptions'!$A$40:$A$42,0))</f>
        <v>246893.520469649</v>
      </c>
      <c r="K1709" s="49" t="n">
        <f aca="false">H1709*INDEX('Model Inputs &amp; Assumptions'!$G$40:$G$42,MATCH('Model Inputs &amp; Assumptions'!$L$31,'Model Inputs &amp; Assumptions'!$A$40:$A$42,0))*INDEX('Model Inputs &amp; Assumptions'!$H$40:$H$42,MATCH('Model Inputs &amp; Assumptions'!$L$31,'Model Inputs &amp; Assumptions'!$A$40:$A$42,0))</f>
        <v>5444.00212635576</v>
      </c>
      <c r="L1709" s="51" t="n">
        <f aca="false">IFERROR(K1709/I1709,0)</f>
        <v>0.944738971161691</v>
      </c>
      <c r="M1709" s="49" t="n">
        <f aca="false">IFERROR(I1709/H1709,0)</f>
        <v>168.046417948422</v>
      </c>
      <c r="N1709" s="52" t="str">
        <f aca="false">'Model Inputs &amp; Assumptions'!$L$31</f>
        <v>PRD-USIQ</v>
      </c>
      <c r="P1709" s="53" t="n">
        <v>0.341662</v>
      </c>
      <c r="Q1709" s="53" t="n">
        <v>0.502828</v>
      </c>
      <c r="R1709" s="53" t="n">
        <v>-0.941983</v>
      </c>
      <c r="S1709" s="53" t="n">
        <v>-1.174337</v>
      </c>
    </row>
    <row r="1710" customFormat="false" ht="15" hidden="false" customHeight="false" outlineLevel="0" collapsed="false">
      <c r="A1710" s="43" t="n">
        <v>207</v>
      </c>
      <c r="B1710" s="44" t="str">
        <f aca="false">'Model Inputs &amp; Assumptions'!$B$31</f>
        <v>YouTube — Finfluencer Pre-roll</v>
      </c>
      <c r="C1710" s="45" t="n">
        <f aca="false">ROUND(MAX(0,'Model Inputs &amp; Assumptions'!$S$31*EXP('Model Inputs &amp; Assumptions'!$T$31*P1710-'Model Inputs &amp; Assumptions'!$T$31^2/2)),0)</f>
        <v>493703</v>
      </c>
      <c r="D1710" s="46" t="n">
        <f aca="false">MIN(1,'Model Inputs &amp; Assumptions'!$U$31*EXP('Model Inputs &amp; Assumptions'!$V$31*Q1710-'Model Inputs &amp; Assumptions'!$V$31^2/2))</f>
        <v>0.533097330812859</v>
      </c>
      <c r="E1710" s="45" t="n">
        <f aca="false">ROUND(C1710*D1710,0)</f>
        <v>263192</v>
      </c>
      <c r="F1710" s="47" t="n">
        <f aca="false">MIN(1,'Model Inputs &amp; Assumptions'!$W$31*EXP('Model Inputs &amp; Assumptions'!$X$31*R1710-'Model Inputs &amp; Assumptions'!$X$31^2/2))</f>
        <v>0.0051004835677133</v>
      </c>
      <c r="G1710" s="45" t="n">
        <f aca="false">ROUND(C1710*F1710,0)</f>
        <v>2518</v>
      </c>
      <c r="H1710" s="48" t="n">
        <f aca="false">MAX(0,(C1710*'Model Inputs &amp; Assumptions'!$N$31+E1710*'Model Inputs &amp; Assumptions'!$O$31+G1710*'Model Inputs &amp; Assumptions'!$P$31)*EXP('Model Inputs &amp; Assumptions'!$Q$31*S1710-'Model Inputs &amp; Assumptions'!$Q$31^2/2))</f>
        <v>60.098864896042</v>
      </c>
      <c r="I1710" s="49" t="n">
        <f aca="false">IF('Model Inputs &amp; Assumptions'!$H$31="Fixed",'Model Inputs &amp; Assumptions'!$I$31*'Model Inputs &amp; Assumptions'!$K$31,IF('Model Inputs &amp; Assumptions'!$H$31="CPM",'Model Inputs &amp; Assumptions'!$I$31*'Model Inputs &amp; Assumptions'!$K$31*C1710/1000,IF('Model Inputs &amp; Assumptions'!$H$31="CPC",'Model Inputs &amp; Assumptions'!$I$31*'Model Inputs &amp; Assumptions'!$K$31*G1710,0)))</f>
        <v>5601.554238</v>
      </c>
      <c r="J1710" s="50" t="n">
        <f aca="false">H1710*INDEX('Model Inputs &amp; Assumptions'!$D$40:$D$42,MATCH('Model Inputs &amp; Assumptions'!$L$31,'Model Inputs &amp; Assumptions'!$A$40:$A$42,0))*INDEX('Model Inputs &amp; Assumptions'!$H$40:$H$42,MATCH('Model Inputs &amp; Assumptions'!$L$31,'Model Inputs &amp; Assumptions'!$A$40:$A$42,0))</f>
        <v>432711.827251503</v>
      </c>
      <c r="K1710" s="49" t="n">
        <f aca="false">H1710*INDEX('Model Inputs &amp; Assumptions'!$G$40:$G$42,MATCH('Model Inputs &amp; Assumptions'!$L$31,'Model Inputs &amp; Assumptions'!$A$40:$A$42,0))*INDEX('Model Inputs &amp; Assumptions'!$H$40:$H$42,MATCH('Model Inputs &amp; Assumptions'!$L$31,'Model Inputs &amp; Assumptions'!$A$40:$A$42,0))</f>
        <v>9541.29579089563</v>
      </c>
      <c r="L1710" s="51" t="n">
        <f aca="false">IFERROR(K1710/I1710,0)</f>
        <v>1.70333007331592</v>
      </c>
      <c r="M1710" s="49" t="n">
        <f aca="false">IFERROR(I1710/H1710,0)</f>
        <v>93.2056578387874</v>
      </c>
      <c r="N1710" s="52" t="str">
        <f aca="false">'Model Inputs &amp; Assumptions'!$L$31</f>
        <v>PRD-USIQ</v>
      </c>
      <c r="P1710" s="53" t="n">
        <v>0.240526</v>
      </c>
      <c r="Q1710" s="53" t="n">
        <v>-0.654418</v>
      </c>
      <c r="R1710" s="53" t="n">
        <v>0.202906</v>
      </c>
      <c r="S1710" s="53" t="n">
        <v>0.236194</v>
      </c>
    </row>
    <row r="1711" customFormat="false" ht="15" hidden="false" customHeight="false" outlineLevel="0" collapsed="false">
      <c r="A1711" s="43" t="n">
        <v>208</v>
      </c>
      <c r="B1711" s="44" t="str">
        <f aca="false">'Model Inputs &amp; Assumptions'!$B$31</f>
        <v>YouTube — Finfluencer Pre-roll</v>
      </c>
      <c r="C1711" s="45" t="n">
        <f aca="false">ROUND(MAX(0,'Model Inputs &amp; Assumptions'!$S$31*EXP('Model Inputs &amp; Assumptions'!$T$31*P1711-'Model Inputs &amp; Assumptions'!$T$31^2/2)),0)</f>
        <v>652499</v>
      </c>
      <c r="D1711" s="46" t="n">
        <f aca="false">MIN(1,'Model Inputs &amp; Assumptions'!$U$31*EXP('Model Inputs &amp; Assumptions'!$V$31*Q1711-'Model Inputs &amp; Assumptions'!$V$31^2/2))</f>
        <v>0.564481966381581</v>
      </c>
      <c r="E1711" s="45" t="n">
        <f aca="false">ROUND(C1711*D1711,0)</f>
        <v>368324</v>
      </c>
      <c r="F1711" s="47" t="n">
        <f aca="false">MIN(1,'Model Inputs &amp; Assumptions'!$W$31*EXP('Model Inputs &amp; Assumptions'!$X$31*R1711-'Model Inputs &amp; Assumptions'!$X$31^2/2))</f>
        <v>0.00506495671840987</v>
      </c>
      <c r="G1711" s="45" t="n">
        <f aca="false">ROUND(C1711*F1711,0)</f>
        <v>3305</v>
      </c>
      <c r="H1711" s="48" t="n">
        <f aca="false">MAX(0,(C1711*'Model Inputs &amp; Assumptions'!$N$31+E1711*'Model Inputs &amp; Assumptions'!$O$31+G1711*'Model Inputs &amp; Assumptions'!$P$31)*EXP('Model Inputs &amp; Assumptions'!$Q$31*S1711-'Model Inputs &amp; Assumptions'!$Q$31^2/2))</f>
        <v>52.5021170238289</v>
      </c>
      <c r="I1711" s="49" t="n">
        <f aca="false">IF('Model Inputs &amp; Assumptions'!$H$31="Fixed",'Model Inputs &amp; Assumptions'!$I$31*'Model Inputs &amp; Assumptions'!$K$31,IF('Model Inputs &amp; Assumptions'!$H$31="CPM",'Model Inputs &amp; Assumptions'!$I$31*'Model Inputs &amp; Assumptions'!$K$31*C1711/1000,IF('Model Inputs &amp; Assumptions'!$H$31="CPC",'Model Inputs &amp; Assumptions'!$I$31*'Model Inputs &amp; Assumptions'!$K$31*G1711,0)))</f>
        <v>7403.253654</v>
      </c>
      <c r="J1711" s="50" t="n">
        <f aca="false">H1711*INDEX('Model Inputs &amp; Assumptions'!$D$40:$D$42,MATCH('Model Inputs &amp; Assumptions'!$L$31,'Model Inputs &amp; Assumptions'!$A$40:$A$42,0))*INDEX('Model Inputs &amp; Assumptions'!$H$40:$H$42,MATCH('Model Inputs &amp; Assumptions'!$L$31,'Model Inputs &amp; Assumptions'!$A$40:$A$42,0))</f>
        <v>378015.242571568</v>
      </c>
      <c r="K1711" s="49" t="n">
        <f aca="false">H1711*INDEX('Model Inputs &amp; Assumptions'!$G$40:$G$42,MATCH('Model Inputs &amp; Assumptions'!$L$31,'Model Inputs &amp; Assumptions'!$A$40:$A$42,0))*INDEX('Model Inputs &amp; Assumptions'!$H$40:$H$42,MATCH('Model Inputs &amp; Assumptions'!$L$31,'Model Inputs &amp; Assumptions'!$A$40:$A$42,0))</f>
        <v>8335.23609870308</v>
      </c>
      <c r="L1711" s="51" t="n">
        <f aca="false">IFERROR(K1711/I1711,0)</f>
        <v>1.12588822270051</v>
      </c>
      <c r="M1711" s="49" t="n">
        <f aca="false">IFERROR(I1711/H1711,0)</f>
        <v>141.008669243564</v>
      </c>
      <c r="N1711" s="52" t="str">
        <f aca="false">'Model Inputs &amp; Assumptions'!$L$31</f>
        <v>PRD-USIQ</v>
      </c>
      <c r="P1711" s="53" t="n">
        <v>1.236512</v>
      </c>
      <c r="Q1711" s="53" t="n">
        <v>-0.245815</v>
      </c>
      <c r="R1711" s="53" t="n">
        <v>0.173782</v>
      </c>
      <c r="S1711" s="53" t="n">
        <v>-0.993892</v>
      </c>
    </row>
    <row r="1712" customFormat="false" ht="15" hidden="false" customHeight="false" outlineLevel="0" collapsed="false">
      <c r="A1712" s="43" t="n">
        <v>209</v>
      </c>
      <c r="B1712" s="44" t="str">
        <f aca="false">'Model Inputs &amp; Assumptions'!$B$31</f>
        <v>YouTube — Finfluencer Pre-roll</v>
      </c>
      <c r="C1712" s="45" t="n">
        <f aca="false">ROUND(MAX(0,'Model Inputs &amp; Assumptions'!$S$31*EXP('Model Inputs &amp; Assumptions'!$T$31*P1712-'Model Inputs &amp; Assumptions'!$T$31^2/2)),0)</f>
        <v>651675</v>
      </c>
      <c r="D1712" s="46" t="n">
        <f aca="false">MIN(1,'Model Inputs &amp; Assumptions'!$U$31*EXP('Model Inputs &amp; Assumptions'!$V$31*Q1712-'Model Inputs &amp; Assumptions'!$V$31^2/2))</f>
        <v>0.721053961381482</v>
      </c>
      <c r="E1712" s="45" t="n">
        <f aca="false">ROUND(C1712*D1712,0)</f>
        <v>469893</v>
      </c>
      <c r="F1712" s="47" t="n">
        <f aca="false">MIN(1,'Model Inputs &amp; Assumptions'!$W$31*EXP('Model Inputs &amp; Assumptions'!$X$31*R1712-'Model Inputs &amp; Assumptions'!$X$31^2/2))</f>
        <v>0.0046588984330409</v>
      </c>
      <c r="G1712" s="45" t="n">
        <f aca="false">ROUND(C1712*F1712,0)</f>
        <v>3036</v>
      </c>
      <c r="H1712" s="48" t="n">
        <f aca="false">MAX(0,(C1712*'Model Inputs &amp; Assumptions'!$N$31+E1712*'Model Inputs &amp; Assumptions'!$O$31+G1712*'Model Inputs &amp; Assumptions'!$P$31)*EXP('Model Inputs &amp; Assumptions'!$Q$31*S1712-'Model Inputs &amp; Assumptions'!$Q$31^2/2))</f>
        <v>149.188770420554</v>
      </c>
      <c r="I1712" s="49" t="n">
        <f aca="false">IF('Model Inputs &amp; Assumptions'!$H$31="Fixed",'Model Inputs &amp; Assumptions'!$I$31*'Model Inputs &amp; Assumptions'!$K$31,IF('Model Inputs &amp; Assumptions'!$H$31="CPM",'Model Inputs &amp; Assumptions'!$I$31*'Model Inputs &amp; Assumptions'!$K$31*C1712/1000,IF('Model Inputs &amp; Assumptions'!$H$31="CPC",'Model Inputs &amp; Assumptions'!$I$31*'Model Inputs &amp; Assumptions'!$K$31*G1712,0)))</f>
        <v>7393.90455</v>
      </c>
      <c r="J1712" s="50" t="n">
        <f aca="false">H1712*INDEX('Model Inputs &amp; Assumptions'!$D$40:$D$42,MATCH('Model Inputs &amp; Assumptions'!$L$31,'Model Inputs &amp; Assumptions'!$A$40:$A$42,0))*INDEX('Model Inputs &amp; Assumptions'!$H$40:$H$42,MATCH('Model Inputs &amp; Assumptions'!$L$31,'Model Inputs &amp; Assumptions'!$A$40:$A$42,0))</f>
        <v>1074159.14702799</v>
      </c>
      <c r="K1712" s="49" t="n">
        <f aca="false">H1712*INDEX('Model Inputs &amp; Assumptions'!$G$40:$G$42,MATCH('Model Inputs &amp; Assumptions'!$L$31,'Model Inputs &amp; Assumptions'!$A$40:$A$42,0))*INDEX('Model Inputs &amp; Assumptions'!$H$40:$H$42,MATCH('Model Inputs &amp; Assumptions'!$L$31,'Model Inputs &amp; Assumptions'!$A$40:$A$42,0))</f>
        <v>23685.2091919671</v>
      </c>
      <c r="L1712" s="51" t="n">
        <f aca="false">IFERROR(K1712/I1712,0)</f>
        <v>3.20334256843593</v>
      </c>
      <c r="M1712" s="49" t="n">
        <f aca="false">IFERROR(I1712/H1712,0)</f>
        <v>49.5607312075637</v>
      </c>
      <c r="N1712" s="52" t="str">
        <f aca="false">'Model Inputs &amp; Assumptions'!$L$31</f>
        <v>PRD-USIQ</v>
      </c>
      <c r="P1712" s="53" t="n">
        <v>1.231999</v>
      </c>
      <c r="Q1712" s="53" t="n">
        <v>1.502796</v>
      </c>
      <c r="R1712" s="53" t="n">
        <v>-0.174412</v>
      </c>
      <c r="S1712" s="53" t="n">
        <v>1.845827</v>
      </c>
    </row>
    <row r="1713" customFormat="false" ht="15" hidden="false" customHeight="false" outlineLevel="0" collapsed="false">
      <c r="A1713" s="43" t="n">
        <v>210</v>
      </c>
      <c r="B1713" s="44" t="str">
        <f aca="false">'Model Inputs &amp; Assumptions'!$B$31</f>
        <v>YouTube — Finfluencer Pre-roll</v>
      </c>
      <c r="C1713" s="45" t="n">
        <f aca="false">ROUND(MAX(0,'Model Inputs &amp; Assumptions'!$S$31*EXP('Model Inputs &amp; Assumptions'!$T$31*P1713-'Model Inputs &amp; Assumptions'!$T$31^2/2)),0)</f>
        <v>958817</v>
      </c>
      <c r="D1713" s="46" t="n">
        <f aca="false">MIN(1,'Model Inputs &amp; Assumptions'!$U$31*EXP('Model Inputs &amp; Assumptions'!$V$31*Q1713-'Model Inputs &amp; Assumptions'!$V$31^2/2))</f>
        <v>0.616227662293147</v>
      </c>
      <c r="E1713" s="45" t="n">
        <f aca="false">ROUND(C1713*D1713,0)</f>
        <v>590850</v>
      </c>
      <c r="F1713" s="47" t="n">
        <f aca="false">MIN(1,'Model Inputs &amp; Assumptions'!$W$31*EXP('Model Inputs &amp; Assumptions'!$X$31*R1713-'Model Inputs &amp; Assumptions'!$X$31^2/2))</f>
        <v>0.00634481023193175</v>
      </c>
      <c r="G1713" s="45" t="n">
        <f aca="false">ROUND(C1713*F1713,0)</f>
        <v>6084</v>
      </c>
      <c r="H1713" s="48" t="n">
        <f aca="false">MAX(0,(C1713*'Model Inputs &amp; Assumptions'!$N$31+E1713*'Model Inputs &amp; Assumptions'!$O$31+G1713*'Model Inputs &amp; Assumptions'!$P$31)*EXP('Model Inputs &amp; Assumptions'!$Q$31*S1713-'Model Inputs &amp; Assumptions'!$Q$31^2/2))</f>
        <v>94.5117741822464</v>
      </c>
      <c r="I1713" s="49" t="n">
        <f aca="false">IF('Model Inputs &amp; Assumptions'!$H$31="Fixed",'Model Inputs &amp; Assumptions'!$I$31*'Model Inputs &amp; Assumptions'!$K$31,IF('Model Inputs &amp; Assumptions'!$H$31="CPM",'Model Inputs &amp; Assumptions'!$I$31*'Model Inputs &amp; Assumptions'!$K$31*C1713/1000,IF('Model Inputs &amp; Assumptions'!$H$31="CPC",'Model Inputs &amp; Assumptions'!$I$31*'Model Inputs &amp; Assumptions'!$K$31*G1713,0)))</f>
        <v>10878.737682</v>
      </c>
      <c r="J1713" s="50" t="n">
        <f aca="false">H1713*INDEX('Model Inputs &amp; Assumptions'!$D$40:$D$42,MATCH('Model Inputs &amp; Assumptions'!$L$31,'Model Inputs &amp; Assumptions'!$A$40:$A$42,0))*INDEX('Model Inputs &amp; Assumptions'!$H$40:$H$42,MATCH('Model Inputs &amp; Assumptions'!$L$31,'Model Inputs &amp; Assumptions'!$A$40:$A$42,0))</f>
        <v>680484.774112174</v>
      </c>
      <c r="K1713" s="49" t="n">
        <f aca="false">H1713*INDEX('Model Inputs &amp; Assumptions'!$G$40:$G$42,MATCH('Model Inputs &amp; Assumptions'!$L$31,'Model Inputs &amp; Assumptions'!$A$40:$A$42,0))*INDEX('Model Inputs &amp; Assumptions'!$H$40:$H$42,MATCH('Model Inputs &amp; Assumptions'!$L$31,'Model Inputs &amp; Assumptions'!$A$40:$A$42,0))</f>
        <v>15004.6892691734</v>
      </c>
      <c r="L1713" s="51" t="n">
        <f aca="false">IFERROR(K1713/I1713,0)</f>
        <v>1.37926749479402</v>
      </c>
      <c r="M1713" s="49" t="n">
        <f aca="false">IFERROR(I1713/H1713,0)</f>
        <v>115.104575870331</v>
      </c>
      <c r="N1713" s="52" t="str">
        <f aca="false">'Model Inputs &amp; Assumptions'!$L$31</f>
        <v>PRD-USIQ</v>
      </c>
      <c r="P1713" s="53" t="n">
        <v>2.611121</v>
      </c>
      <c r="Q1713" s="53" t="n">
        <v>0.380671</v>
      </c>
      <c r="R1713" s="53" t="n">
        <v>1.112497</v>
      </c>
      <c r="S1713" s="53" t="n">
        <v>-0.917423</v>
      </c>
    </row>
    <row r="1714" customFormat="false" ht="15" hidden="false" customHeight="false" outlineLevel="0" collapsed="false">
      <c r="A1714" s="43" t="n">
        <v>211</v>
      </c>
      <c r="B1714" s="44" t="str">
        <f aca="false">'Model Inputs &amp; Assumptions'!$B$31</f>
        <v>YouTube — Finfluencer Pre-roll</v>
      </c>
      <c r="C1714" s="45" t="n">
        <f aca="false">ROUND(MAX(0,'Model Inputs &amp; Assumptions'!$S$31*EXP('Model Inputs &amp; Assumptions'!$T$31*P1714-'Model Inputs &amp; Assumptions'!$T$31^2/2)),0)</f>
        <v>380182</v>
      </c>
      <c r="D1714" s="46" t="n">
        <f aca="false">MIN(1,'Model Inputs &amp; Assumptions'!$U$31*EXP('Model Inputs &amp; Assumptions'!$V$31*Q1714-'Model Inputs &amp; Assumptions'!$V$31^2/2))</f>
        <v>0.55057795672497</v>
      </c>
      <c r="E1714" s="45" t="n">
        <f aca="false">ROUND(C1714*D1714,0)</f>
        <v>209320</v>
      </c>
      <c r="F1714" s="47" t="n">
        <f aca="false">MIN(1,'Model Inputs &amp; Assumptions'!$W$31*EXP('Model Inputs &amp; Assumptions'!$X$31*R1714-'Model Inputs &amp; Assumptions'!$X$31^2/2))</f>
        <v>0.00357239097472328</v>
      </c>
      <c r="G1714" s="45" t="n">
        <f aca="false">ROUND(C1714*F1714,0)</f>
        <v>1358</v>
      </c>
      <c r="H1714" s="48" t="n">
        <f aca="false">MAX(0,(C1714*'Model Inputs &amp; Assumptions'!$N$31+E1714*'Model Inputs &amp; Assumptions'!$O$31+G1714*'Model Inputs &amp; Assumptions'!$P$31)*EXP('Model Inputs &amp; Assumptions'!$Q$31*S1714-'Model Inputs &amp; Assumptions'!$Q$31^2/2))</f>
        <v>42.551472740135</v>
      </c>
      <c r="I1714" s="49" t="n">
        <f aca="false">IF('Model Inputs &amp; Assumptions'!$H$31="Fixed",'Model Inputs &amp; Assumptions'!$I$31*'Model Inputs &amp; Assumptions'!$K$31,IF('Model Inputs &amp; Assumptions'!$H$31="CPM",'Model Inputs &amp; Assumptions'!$I$31*'Model Inputs &amp; Assumptions'!$K$31*C1714/1000,IF('Model Inputs &amp; Assumptions'!$H$31="CPC",'Model Inputs &amp; Assumptions'!$I$31*'Model Inputs &amp; Assumptions'!$K$31*G1714,0)))</f>
        <v>4313.544972</v>
      </c>
      <c r="J1714" s="50" t="n">
        <f aca="false">H1714*INDEX('Model Inputs &amp; Assumptions'!$D$40:$D$42,MATCH('Model Inputs &amp; Assumptions'!$L$31,'Model Inputs &amp; Assumptions'!$A$40:$A$42,0))*INDEX('Model Inputs &amp; Assumptions'!$H$40:$H$42,MATCH('Model Inputs &amp; Assumptions'!$L$31,'Model Inputs &amp; Assumptions'!$A$40:$A$42,0))</f>
        <v>306370.603728972</v>
      </c>
      <c r="K1714" s="49" t="n">
        <f aca="false">H1714*INDEX('Model Inputs &amp; Assumptions'!$G$40:$G$42,MATCH('Model Inputs &amp; Assumptions'!$L$31,'Model Inputs &amp; Assumptions'!$A$40:$A$42,0))*INDEX('Model Inputs &amp; Assumptions'!$H$40:$H$42,MATCH('Model Inputs &amp; Assumptions'!$L$31,'Model Inputs &amp; Assumptions'!$A$40:$A$42,0))</f>
        <v>6755.47181222384</v>
      </c>
      <c r="L1714" s="51" t="n">
        <f aca="false">IFERROR(K1714/I1714,0)</f>
        <v>1.56610673032849</v>
      </c>
      <c r="M1714" s="49" t="n">
        <f aca="false">IFERROR(I1714/H1714,0)</f>
        <v>101.372401334805</v>
      </c>
      <c r="N1714" s="52" t="str">
        <f aca="false">'Model Inputs &amp; Assumptions'!$L$31</f>
        <v>PRD-USIQ</v>
      </c>
      <c r="P1714" s="53" t="n">
        <v>-0.692631</v>
      </c>
      <c r="Q1714" s="53" t="n">
        <v>-0.423957</v>
      </c>
      <c r="R1714" s="53" t="n">
        <v>-1.280845</v>
      </c>
      <c r="S1714" s="53" t="n">
        <v>0.565506</v>
      </c>
    </row>
    <row r="1715" customFormat="false" ht="15" hidden="false" customHeight="false" outlineLevel="0" collapsed="false">
      <c r="A1715" s="43" t="n">
        <v>212</v>
      </c>
      <c r="B1715" s="44" t="str">
        <f aca="false">'Model Inputs &amp; Assumptions'!$B$31</f>
        <v>YouTube — Finfluencer Pre-roll</v>
      </c>
      <c r="C1715" s="45" t="n">
        <f aca="false">ROUND(MAX(0,'Model Inputs &amp; Assumptions'!$S$31*EXP('Model Inputs &amp; Assumptions'!$T$31*P1715-'Model Inputs &amp; Assumptions'!$T$31^2/2)),0)</f>
        <v>351188</v>
      </c>
      <c r="D1715" s="46" t="n">
        <f aca="false">MIN(1,'Model Inputs &amp; Assumptions'!$U$31*EXP('Model Inputs &amp; Assumptions'!$V$31*Q1715-'Model Inputs &amp; Assumptions'!$V$31^2/2))</f>
        <v>0.497586154708878</v>
      </c>
      <c r="E1715" s="45" t="n">
        <f aca="false">ROUND(C1715*D1715,0)</f>
        <v>174746</v>
      </c>
      <c r="F1715" s="47" t="n">
        <f aca="false">MIN(1,'Model Inputs &amp; Assumptions'!$W$31*EXP('Model Inputs &amp; Assumptions'!$X$31*R1715-'Model Inputs &amp; Assumptions'!$X$31^2/2))</f>
        <v>0.00674593696428516</v>
      </c>
      <c r="G1715" s="45" t="n">
        <f aca="false">ROUND(C1715*F1715,0)</f>
        <v>2369</v>
      </c>
      <c r="H1715" s="48" t="n">
        <f aca="false">MAX(0,(C1715*'Model Inputs &amp; Assumptions'!$N$31+E1715*'Model Inputs &amp; Assumptions'!$O$31+G1715*'Model Inputs &amp; Assumptions'!$P$31)*EXP('Model Inputs &amp; Assumptions'!$Q$31*S1715-'Model Inputs &amp; Assumptions'!$Q$31^2/2))</f>
        <v>31.730770593641</v>
      </c>
      <c r="I1715" s="49" t="n">
        <f aca="false">IF('Model Inputs &amp; Assumptions'!$H$31="Fixed",'Model Inputs &amp; Assumptions'!$I$31*'Model Inputs &amp; Assumptions'!$K$31,IF('Model Inputs &amp; Assumptions'!$H$31="CPM",'Model Inputs &amp; Assumptions'!$I$31*'Model Inputs &amp; Assumptions'!$K$31*C1715/1000,IF('Model Inputs &amp; Assumptions'!$H$31="CPC",'Model Inputs &amp; Assumptions'!$I$31*'Model Inputs &amp; Assumptions'!$K$31*G1715,0)))</f>
        <v>3984.579048</v>
      </c>
      <c r="J1715" s="50" t="n">
        <f aca="false">H1715*INDEX('Model Inputs &amp; Assumptions'!$D$40:$D$42,MATCH('Model Inputs &amp; Assumptions'!$L$31,'Model Inputs &amp; Assumptions'!$A$40:$A$42,0))*INDEX('Model Inputs &amp; Assumptions'!$H$40:$H$42,MATCH('Model Inputs &amp; Assumptions'!$L$31,'Model Inputs &amp; Assumptions'!$A$40:$A$42,0))</f>
        <v>228461.548274215</v>
      </c>
      <c r="K1715" s="49" t="n">
        <f aca="false">H1715*INDEX('Model Inputs &amp; Assumptions'!$G$40:$G$42,MATCH('Model Inputs &amp; Assumptions'!$L$31,'Model Inputs &amp; Assumptions'!$A$40:$A$42,0))*INDEX('Model Inputs &amp; Assumptions'!$H$40:$H$42,MATCH('Model Inputs &amp; Assumptions'!$L$31,'Model Inputs &amp; Assumptions'!$A$40:$A$42,0))</f>
        <v>5037.57713944645</v>
      </c>
      <c r="L1715" s="51" t="n">
        <f aca="false">IFERROR(K1715/I1715,0)</f>
        <v>1.26426834020898</v>
      </c>
      <c r="M1715" s="49" t="n">
        <f aca="false">IFERROR(I1715/H1715,0)</f>
        <v>125.574607028249</v>
      </c>
      <c r="N1715" s="52" t="str">
        <f aca="false">'Model Inputs &amp; Assumptions'!$L$31</f>
        <v>PRD-USIQ</v>
      </c>
      <c r="P1715" s="53" t="n">
        <v>-0.975947</v>
      </c>
      <c r="Q1715" s="53" t="n">
        <v>-1.146813</v>
      </c>
      <c r="R1715" s="53" t="n">
        <v>1.367927</v>
      </c>
      <c r="S1715" s="53" t="n">
        <v>-1.096378</v>
      </c>
    </row>
    <row r="1716" customFormat="false" ht="15" hidden="false" customHeight="false" outlineLevel="0" collapsed="false">
      <c r="A1716" s="43" t="n">
        <v>213</v>
      </c>
      <c r="B1716" s="44" t="str">
        <f aca="false">'Model Inputs &amp; Assumptions'!$B$31</f>
        <v>YouTube — Finfluencer Pre-roll</v>
      </c>
      <c r="C1716" s="45" t="n">
        <f aca="false">ROUND(MAX(0,'Model Inputs &amp; Assumptions'!$S$31*EXP('Model Inputs &amp; Assumptions'!$T$31*P1716-'Model Inputs &amp; Assumptions'!$T$31^2/2)),0)</f>
        <v>517779</v>
      </c>
      <c r="D1716" s="46" t="n">
        <f aca="false">MIN(1,'Model Inputs &amp; Assumptions'!$U$31*EXP('Model Inputs &amp; Assumptions'!$V$31*Q1716-'Model Inputs &amp; Assumptions'!$V$31^2/2))</f>
        <v>0.494422590025981</v>
      </c>
      <c r="E1716" s="45" t="n">
        <f aca="false">ROUND(C1716*D1716,0)</f>
        <v>256002</v>
      </c>
      <c r="F1716" s="47" t="n">
        <f aca="false">MIN(1,'Model Inputs &amp; Assumptions'!$W$31*EXP('Model Inputs &amp; Assumptions'!$X$31*R1716-'Model Inputs &amp; Assumptions'!$X$31^2/2))</f>
        <v>0.00322892425067308</v>
      </c>
      <c r="G1716" s="45" t="n">
        <f aca="false">ROUND(C1716*F1716,0)</f>
        <v>1672</v>
      </c>
      <c r="H1716" s="48" t="n">
        <f aca="false">MAX(0,(C1716*'Model Inputs &amp; Assumptions'!$N$31+E1716*'Model Inputs &amp; Assumptions'!$O$31+G1716*'Model Inputs &amp; Assumptions'!$P$31)*EXP('Model Inputs &amp; Assumptions'!$Q$31*S1716-'Model Inputs &amp; Assumptions'!$Q$31^2/2))</f>
        <v>38.6587059417592</v>
      </c>
      <c r="I1716" s="49" t="n">
        <f aca="false">IF('Model Inputs &amp; Assumptions'!$H$31="Fixed",'Model Inputs &amp; Assumptions'!$I$31*'Model Inputs &amp; Assumptions'!$K$31,IF('Model Inputs &amp; Assumptions'!$H$31="CPM",'Model Inputs &amp; Assumptions'!$I$31*'Model Inputs &amp; Assumptions'!$K$31*C1716/1000,IF('Model Inputs &amp; Assumptions'!$H$31="CPC",'Model Inputs &amp; Assumptions'!$I$31*'Model Inputs &amp; Assumptions'!$K$31*G1716,0)))</f>
        <v>5874.720534</v>
      </c>
      <c r="J1716" s="50" t="n">
        <f aca="false">H1716*INDEX('Model Inputs &amp; Assumptions'!$D$40:$D$42,MATCH('Model Inputs &amp; Assumptions'!$L$31,'Model Inputs &amp; Assumptions'!$A$40:$A$42,0))*INDEX('Model Inputs &amp; Assumptions'!$H$40:$H$42,MATCH('Model Inputs &amp; Assumptions'!$L$31,'Model Inputs &amp; Assumptions'!$A$40:$A$42,0))</f>
        <v>278342.682780666</v>
      </c>
      <c r="K1716" s="49" t="n">
        <f aca="false">H1716*INDEX('Model Inputs &amp; Assumptions'!$G$40:$G$42,MATCH('Model Inputs &amp; Assumptions'!$L$31,'Model Inputs &amp; Assumptions'!$A$40:$A$42,0))*INDEX('Model Inputs &amp; Assumptions'!$H$40:$H$42,MATCH('Model Inputs &amp; Assumptions'!$L$31,'Model Inputs &amp; Assumptions'!$A$40:$A$42,0))</f>
        <v>6137.45615531369</v>
      </c>
      <c r="L1716" s="51" t="n">
        <f aca="false">IFERROR(K1716/I1716,0)</f>
        <v>1.04472308423747</v>
      </c>
      <c r="M1716" s="49" t="n">
        <f aca="false">IFERROR(I1716/H1716,0)</f>
        <v>151.96371401698</v>
      </c>
      <c r="N1716" s="52" t="str">
        <f aca="false">'Model Inputs &amp; Assumptions'!$L$31</f>
        <v>PRD-USIQ</v>
      </c>
      <c r="P1716" s="53" t="n">
        <v>0.410579</v>
      </c>
      <c r="Q1716" s="53" t="n">
        <v>-1.192371</v>
      </c>
      <c r="R1716" s="53" t="n">
        <v>-1.702037</v>
      </c>
      <c r="S1716" s="53" t="n">
        <v>-0.294319</v>
      </c>
    </row>
    <row r="1717" customFormat="false" ht="15" hidden="false" customHeight="false" outlineLevel="0" collapsed="false">
      <c r="A1717" s="43" t="n">
        <v>214</v>
      </c>
      <c r="B1717" s="44" t="str">
        <f aca="false">'Model Inputs &amp; Assumptions'!$B$31</f>
        <v>YouTube — Finfluencer Pre-roll</v>
      </c>
      <c r="C1717" s="45" t="n">
        <f aca="false">ROUND(MAX(0,'Model Inputs &amp; Assumptions'!$S$31*EXP('Model Inputs &amp; Assumptions'!$T$31*P1717-'Model Inputs &amp; Assumptions'!$T$31^2/2)),0)</f>
        <v>543165</v>
      </c>
      <c r="D1717" s="46" t="n">
        <f aca="false">MIN(1,'Model Inputs &amp; Assumptions'!$U$31*EXP('Model Inputs &amp; Assumptions'!$V$31*Q1717-'Model Inputs &amp; Assumptions'!$V$31^2/2))</f>
        <v>0.668577885025896</v>
      </c>
      <c r="E1717" s="45" t="n">
        <f aca="false">ROUND(C1717*D1717,0)</f>
        <v>363148</v>
      </c>
      <c r="F1717" s="47" t="n">
        <f aca="false">MIN(1,'Model Inputs &amp; Assumptions'!$W$31*EXP('Model Inputs &amp; Assumptions'!$X$31*R1717-'Model Inputs &amp; Assumptions'!$X$31^2/2))</f>
        <v>0.00533856661313958</v>
      </c>
      <c r="G1717" s="45" t="n">
        <f aca="false">ROUND(C1717*F1717,0)</f>
        <v>2900</v>
      </c>
      <c r="H1717" s="48" t="n">
        <f aca="false">MAX(0,(C1717*'Model Inputs &amp; Assumptions'!$N$31+E1717*'Model Inputs &amp; Assumptions'!$O$31+G1717*'Model Inputs &amp; Assumptions'!$P$31)*EXP('Model Inputs &amp; Assumptions'!$Q$31*S1717-'Model Inputs &amp; Assumptions'!$Q$31^2/2))</f>
        <v>105.300949988042</v>
      </c>
      <c r="I1717" s="49" t="n">
        <f aca="false">IF('Model Inputs &amp; Assumptions'!$H$31="Fixed",'Model Inputs &amp; Assumptions'!$I$31*'Model Inputs &amp; Assumptions'!$K$31,IF('Model Inputs &amp; Assumptions'!$H$31="CPM",'Model Inputs &amp; Assumptions'!$I$31*'Model Inputs &amp; Assumptions'!$K$31*C1717/1000,IF('Model Inputs &amp; Assumptions'!$H$31="CPC",'Model Inputs &amp; Assumptions'!$I$31*'Model Inputs &amp; Assumptions'!$K$31*G1717,0)))</f>
        <v>6162.75009</v>
      </c>
      <c r="J1717" s="50" t="n">
        <f aca="false">H1717*INDEX('Model Inputs &amp; Assumptions'!$D$40:$D$42,MATCH('Model Inputs &amp; Assumptions'!$L$31,'Model Inputs &amp; Assumptions'!$A$40:$A$42,0))*INDEX('Model Inputs &amp; Assumptions'!$H$40:$H$42,MATCH('Model Inputs &amp; Assumptions'!$L$31,'Model Inputs &amp; Assumptions'!$A$40:$A$42,0))</f>
        <v>758166.839913901</v>
      </c>
      <c r="K1717" s="49" t="n">
        <f aca="false">H1717*INDEX('Model Inputs &amp; Assumptions'!$G$40:$G$42,MATCH('Model Inputs &amp; Assumptions'!$L$31,'Model Inputs &amp; Assumptions'!$A$40:$A$42,0))*INDEX('Model Inputs &amp; Assumptions'!$H$40:$H$42,MATCH('Model Inputs &amp; Assumptions'!$L$31,'Model Inputs &amp; Assumptions'!$A$40:$A$42,0))</f>
        <v>16717.5788201015</v>
      </c>
      <c r="L1717" s="51" t="n">
        <f aca="false">IFERROR(K1717/I1717,0)</f>
        <v>2.71268160739283</v>
      </c>
      <c r="M1717" s="49" t="n">
        <f aca="false">IFERROR(I1717/H1717,0)</f>
        <v>58.5251138826369</v>
      </c>
      <c r="N1717" s="52" t="str">
        <f aca="false">'Model Inputs &amp; Assumptions'!$L$31</f>
        <v>PRD-USIQ</v>
      </c>
      <c r="P1717" s="53" t="n">
        <v>0.581527</v>
      </c>
      <c r="Q1717" s="53" t="n">
        <v>0.963074</v>
      </c>
      <c r="R1717" s="53" t="n">
        <v>0.392997</v>
      </c>
      <c r="S1717" s="53" t="n">
        <v>1.239346</v>
      </c>
    </row>
    <row r="1718" customFormat="false" ht="15" hidden="false" customHeight="false" outlineLevel="0" collapsed="false">
      <c r="A1718" s="43" t="n">
        <v>215</v>
      </c>
      <c r="B1718" s="44" t="str">
        <f aca="false">'Model Inputs &amp; Assumptions'!$B$31</f>
        <v>YouTube — Finfluencer Pre-roll</v>
      </c>
      <c r="C1718" s="45" t="n">
        <f aca="false">ROUND(MAX(0,'Model Inputs &amp; Assumptions'!$S$31*EXP('Model Inputs &amp; Assumptions'!$T$31*P1718-'Model Inputs &amp; Assumptions'!$T$31^2/2)),0)</f>
        <v>655984</v>
      </c>
      <c r="D1718" s="46" t="n">
        <f aca="false">MIN(1,'Model Inputs &amp; Assumptions'!$U$31*EXP('Model Inputs &amp; Assumptions'!$V$31*Q1718-'Model Inputs &amp; Assumptions'!$V$31^2/2))</f>
        <v>0.696864952703792</v>
      </c>
      <c r="E1718" s="45" t="n">
        <f aca="false">ROUND(C1718*D1718,0)</f>
        <v>457132</v>
      </c>
      <c r="F1718" s="47" t="n">
        <f aca="false">MIN(1,'Model Inputs &amp; Assumptions'!$W$31*EXP('Model Inputs &amp; Assumptions'!$X$31*R1718-'Model Inputs &amp; Assumptions'!$X$31^2/2))</f>
        <v>0.00473572368544183</v>
      </c>
      <c r="G1718" s="45" t="n">
        <f aca="false">ROUND(C1718*F1718,0)</f>
        <v>3107</v>
      </c>
      <c r="H1718" s="48" t="n">
        <f aca="false">MAX(0,(C1718*'Model Inputs &amp; Assumptions'!$N$31+E1718*'Model Inputs &amp; Assumptions'!$O$31+G1718*'Model Inputs &amp; Assumptions'!$P$31)*EXP('Model Inputs &amp; Assumptions'!$Q$31*S1718-'Model Inputs &amp; Assumptions'!$Q$31^2/2))</f>
        <v>146.547118491486</v>
      </c>
      <c r="I1718" s="49" t="n">
        <f aca="false">IF('Model Inputs &amp; Assumptions'!$H$31="Fixed",'Model Inputs &amp; Assumptions'!$I$31*'Model Inputs &amp; Assumptions'!$K$31,IF('Model Inputs &amp; Assumptions'!$H$31="CPM",'Model Inputs &amp; Assumptions'!$I$31*'Model Inputs &amp; Assumptions'!$K$31*C1718/1000,IF('Model Inputs &amp; Assumptions'!$H$31="CPC",'Model Inputs &amp; Assumptions'!$I$31*'Model Inputs &amp; Assumptions'!$K$31*G1718,0)))</f>
        <v>7442.794464</v>
      </c>
      <c r="J1718" s="50" t="n">
        <f aca="false">H1718*INDEX('Model Inputs &amp; Assumptions'!$D$40:$D$42,MATCH('Model Inputs &amp; Assumptions'!$L$31,'Model Inputs &amp; Assumptions'!$A$40:$A$42,0))*INDEX('Model Inputs &amp; Assumptions'!$H$40:$H$42,MATCH('Model Inputs &amp; Assumptions'!$L$31,'Model Inputs &amp; Assumptions'!$A$40:$A$42,0))</f>
        <v>1055139.2531387</v>
      </c>
      <c r="K1718" s="49" t="n">
        <f aca="false">H1718*INDEX('Model Inputs &amp; Assumptions'!$G$40:$G$42,MATCH('Model Inputs &amp; Assumptions'!$L$31,'Model Inputs &amp; Assumptions'!$A$40:$A$42,0))*INDEX('Model Inputs &amp; Assumptions'!$H$40:$H$42,MATCH('Model Inputs &amp; Assumptions'!$L$31,'Model Inputs &amp; Assumptions'!$A$40:$A$42,0))</f>
        <v>23265.8205317083</v>
      </c>
      <c r="L1718" s="51" t="n">
        <f aca="false">IFERROR(K1718/I1718,0)</f>
        <v>3.12595230786536</v>
      </c>
      <c r="M1718" s="49" t="n">
        <f aca="false">IFERROR(I1718/H1718,0)</f>
        <v>50.7877230246079</v>
      </c>
      <c r="N1718" s="52" t="str">
        <f aca="false">'Model Inputs &amp; Assumptions'!$L$31</f>
        <v>PRD-USIQ</v>
      </c>
      <c r="P1718" s="53" t="n">
        <v>1.255539</v>
      </c>
      <c r="Q1718" s="53" t="n">
        <v>1.259065</v>
      </c>
      <c r="R1718" s="53" t="n">
        <v>-0.106264</v>
      </c>
      <c r="S1718" s="53" t="n">
        <v>1.793267</v>
      </c>
    </row>
    <row r="1719" customFormat="false" ht="15" hidden="false" customHeight="false" outlineLevel="0" collapsed="false">
      <c r="A1719" s="43" t="n">
        <v>216</v>
      </c>
      <c r="B1719" s="44" t="str">
        <f aca="false">'Model Inputs &amp; Assumptions'!$B$31</f>
        <v>YouTube — Finfluencer Pre-roll</v>
      </c>
      <c r="C1719" s="45" t="n">
        <f aca="false">ROUND(MAX(0,'Model Inputs &amp; Assumptions'!$S$31*EXP('Model Inputs &amp; Assumptions'!$T$31*P1719-'Model Inputs &amp; Assumptions'!$T$31^2/2)),0)</f>
        <v>365667</v>
      </c>
      <c r="D1719" s="46" t="n">
        <f aca="false">MIN(1,'Model Inputs &amp; Assumptions'!$U$31*EXP('Model Inputs &amp; Assumptions'!$V$31*Q1719-'Model Inputs &amp; Assumptions'!$V$31^2/2))</f>
        <v>0.566983020402775</v>
      </c>
      <c r="E1719" s="45" t="n">
        <f aca="false">ROUND(C1719*D1719,0)</f>
        <v>207327</v>
      </c>
      <c r="F1719" s="47" t="n">
        <f aca="false">MIN(1,'Model Inputs &amp; Assumptions'!$W$31*EXP('Model Inputs &amp; Assumptions'!$X$31*R1719-'Model Inputs &amp; Assumptions'!$X$31^2/2))</f>
        <v>0.00409128995370955</v>
      </c>
      <c r="G1719" s="45" t="n">
        <f aca="false">ROUND(C1719*F1719,0)</f>
        <v>1496</v>
      </c>
      <c r="H1719" s="48" t="n">
        <f aca="false">MAX(0,(C1719*'Model Inputs &amp; Assumptions'!$N$31+E1719*'Model Inputs &amp; Assumptions'!$O$31+G1719*'Model Inputs &amp; Assumptions'!$P$31)*EXP('Model Inputs &amp; Assumptions'!$Q$31*S1719-'Model Inputs &amp; Assumptions'!$Q$31^2/2))</f>
        <v>24.6314526799146</v>
      </c>
      <c r="I1719" s="49" t="n">
        <f aca="false">IF('Model Inputs &amp; Assumptions'!$H$31="Fixed",'Model Inputs &amp; Assumptions'!$I$31*'Model Inputs &amp; Assumptions'!$K$31,IF('Model Inputs &amp; Assumptions'!$H$31="CPM",'Model Inputs &amp; Assumptions'!$I$31*'Model Inputs &amp; Assumptions'!$K$31*C1719/1000,IF('Model Inputs &amp; Assumptions'!$H$31="CPC",'Model Inputs &amp; Assumptions'!$I$31*'Model Inputs &amp; Assumptions'!$K$31*G1719,0)))</f>
        <v>4148.857782</v>
      </c>
      <c r="J1719" s="50" t="n">
        <f aca="false">H1719*INDEX('Model Inputs &amp; Assumptions'!$D$40:$D$42,MATCH('Model Inputs &amp; Assumptions'!$L$31,'Model Inputs &amp; Assumptions'!$A$40:$A$42,0))*INDEX('Model Inputs &amp; Assumptions'!$H$40:$H$42,MATCH('Model Inputs &amp; Assumptions'!$L$31,'Model Inputs &amp; Assumptions'!$A$40:$A$42,0))</f>
        <v>177346.459295385</v>
      </c>
      <c r="K1719" s="49" t="n">
        <f aca="false">H1719*INDEX('Model Inputs &amp; Assumptions'!$G$40:$G$42,MATCH('Model Inputs &amp; Assumptions'!$L$31,'Model Inputs &amp; Assumptions'!$A$40:$A$42,0))*INDEX('Model Inputs &amp; Assumptions'!$H$40:$H$42,MATCH('Model Inputs &amp; Assumptions'!$L$31,'Model Inputs &amp; Assumptions'!$A$40:$A$42,0))</f>
        <v>3910.48942746325</v>
      </c>
      <c r="L1719" s="51" t="n">
        <f aca="false">IFERROR(K1719/I1719,0)</f>
        <v>0.942546029036974</v>
      </c>
      <c r="M1719" s="49" t="n">
        <f aca="false">IFERROR(I1719/H1719,0)</f>
        <v>168.437397335608</v>
      </c>
      <c r="N1719" s="52" t="str">
        <f aca="false">'Model Inputs &amp; Assumptions'!$L$31</f>
        <v>PRD-USIQ</v>
      </c>
      <c r="P1719" s="53" t="n">
        <v>-0.831654</v>
      </c>
      <c r="Q1719" s="53" t="n">
        <v>-0.214237</v>
      </c>
      <c r="R1719" s="53" t="n">
        <v>-0.71574</v>
      </c>
      <c r="S1719" s="53" t="n">
        <v>-1.13988</v>
      </c>
    </row>
    <row r="1720" customFormat="false" ht="15" hidden="false" customHeight="false" outlineLevel="0" collapsed="false">
      <c r="A1720" s="43" t="n">
        <v>217</v>
      </c>
      <c r="B1720" s="44" t="str">
        <f aca="false">'Model Inputs &amp; Assumptions'!$B$31</f>
        <v>YouTube — Finfluencer Pre-roll</v>
      </c>
      <c r="C1720" s="45" t="n">
        <f aca="false">ROUND(MAX(0,'Model Inputs &amp; Assumptions'!$S$31*EXP('Model Inputs &amp; Assumptions'!$T$31*P1720-'Model Inputs &amp; Assumptions'!$T$31^2/2)),0)</f>
        <v>347987</v>
      </c>
      <c r="D1720" s="46" t="n">
        <f aca="false">MIN(1,'Model Inputs &amp; Assumptions'!$U$31*EXP('Model Inputs &amp; Assumptions'!$V$31*Q1720-'Model Inputs &amp; Assumptions'!$V$31^2/2))</f>
        <v>0.697021263103377</v>
      </c>
      <c r="E1720" s="45" t="n">
        <f aca="false">ROUND(C1720*D1720,0)</f>
        <v>242554</v>
      </c>
      <c r="F1720" s="47" t="n">
        <f aca="false">MIN(1,'Model Inputs &amp; Assumptions'!$W$31*EXP('Model Inputs &amp; Assumptions'!$X$31*R1720-'Model Inputs &amp; Assumptions'!$X$31^2/2))</f>
        <v>0.00562223635356566</v>
      </c>
      <c r="G1720" s="45" t="n">
        <f aca="false">ROUND(C1720*F1720,0)</f>
        <v>1956</v>
      </c>
      <c r="H1720" s="48" t="n">
        <f aca="false">MAX(0,(C1720*'Model Inputs &amp; Assumptions'!$N$31+E1720*'Model Inputs &amp; Assumptions'!$O$31+G1720*'Model Inputs &amp; Assumptions'!$P$31)*EXP('Model Inputs &amp; Assumptions'!$Q$31*S1720-'Model Inputs &amp; Assumptions'!$Q$31^2/2))</f>
        <v>38.445289466991</v>
      </c>
      <c r="I1720" s="49" t="n">
        <f aca="false">IF('Model Inputs &amp; Assumptions'!$H$31="Fixed",'Model Inputs &amp; Assumptions'!$I$31*'Model Inputs &amp; Assumptions'!$K$31,IF('Model Inputs &amp; Assumptions'!$H$31="CPM",'Model Inputs &amp; Assumptions'!$I$31*'Model Inputs &amp; Assumptions'!$K$31*C1720/1000,IF('Model Inputs &amp; Assumptions'!$H$31="CPC",'Model Inputs &amp; Assumptions'!$I$31*'Model Inputs &amp; Assumptions'!$K$31*G1720,0)))</f>
        <v>3948.260502</v>
      </c>
      <c r="J1720" s="50" t="n">
        <f aca="false">H1720*INDEX('Model Inputs &amp; Assumptions'!$D$40:$D$42,MATCH('Model Inputs &amp; Assumptions'!$L$31,'Model Inputs &amp; Assumptions'!$A$40:$A$42,0))*INDEX('Model Inputs &amp; Assumptions'!$H$40:$H$42,MATCH('Model Inputs &amp; Assumptions'!$L$31,'Model Inputs &amp; Assumptions'!$A$40:$A$42,0))</f>
        <v>276806.084162335</v>
      </c>
      <c r="K1720" s="49" t="n">
        <f aca="false">H1720*INDEX('Model Inputs &amp; Assumptions'!$G$40:$G$42,MATCH('Model Inputs &amp; Assumptions'!$L$31,'Model Inputs &amp; Assumptions'!$A$40:$A$42,0))*INDEX('Model Inputs &amp; Assumptions'!$H$40:$H$42,MATCH('Model Inputs &amp; Assumptions'!$L$31,'Model Inputs &amp; Assumptions'!$A$40:$A$42,0))</f>
        <v>6103.57415577949</v>
      </c>
      <c r="L1720" s="51" t="n">
        <f aca="false">IFERROR(K1720/I1720,0)</f>
        <v>1.54588942464351</v>
      </c>
      <c r="M1720" s="49" t="n">
        <f aca="false">IFERROR(I1720/H1720,0)</f>
        <v>102.698160340032</v>
      </c>
      <c r="N1720" s="52" t="str">
        <f aca="false">'Model Inputs &amp; Assumptions'!$L$31</f>
        <v>PRD-USIQ</v>
      </c>
      <c r="P1720" s="53" t="n">
        <v>-1.008646</v>
      </c>
      <c r="Q1720" s="53" t="n">
        <v>1.260667</v>
      </c>
      <c r="R1720" s="53" t="n">
        <v>0.608715</v>
      </c>
      <c r="S1720" s="53" t="n">
        <v>-0.50315</v>
      </c>
    </row>
    <row r="1721" customFormat="false" ht="15" hidden="false" customHeight="false" outlineLevel="0" collapsed="false">
      <c r="A1721" s="43" t="n">
        <v>218</v>
      </c>
      <c r="B1721" s="44" t="str">
        <f aca="false">'Model Inputs &amp; Assumptions'!$B$31</f>
        <v>YouTube — Finfluencer Pre-roll</v>
      </c>
      <c r="C1721" s="45" t="n">
        <f aca="false">ROUND(MAX(0,'Model Inputs &amp; Assumptions'!$S$31*EXP('Model Inputs &amp; Assumptions'!$T$31*P1721-'Model Inputs &amp; Assumptions'!$T$31^2/2)),0)</f>
        <v>422462</v>
      </c>
      <c r="D1721" s="46" t="n">
        <f aca="false">MIN(1,'Model Inputs &amp; Assumptions'!$U$31*EXP('Model Inputs &amp; Assumptions'!$V$31*Q1721-'Model Inputs &amp; Assumptions'!$V$31^2/2))</f>
        <v>0.5937266551298</v>
      </c>
      <c r="E1721" s="45" t="n">
        <f aca="false">ROUND(C1721*D1721,0)</f>
        <v>250827</v>
      </c>
      <c r="F1721" s="47" t="n">
        <f aca="false">MIN(1,'Model Inputs &amp; Assumptions'!$W$31*EXP('Model Inputs &amp; Assumptions'!$X$31*R1721-'Model Inputs &amp; Assumptions'!$X$31^2/2))</f>
        <v>0.00516448316360018</v>
      </c>
      <c r="G1721" s="45" t="n">
        <f aca="false">ROUND(C1721*F1721,0)</f>
        <v>2182</v>
      </c>
      <c r="H1721" s="48" t="n">
        <f aca="false">MAX(0,(C1721*'Model Inputs &amp; Assumptions'!$N$31+E1721*'Model Inputs &amp; Assumptions'!$O$31+G1721*'Model Inputs &amp; Assumptions'!$P$31)*EXP('Model Inputs &amp; Assumptions'!$Q$31*S1721-'Model Inputs &amp; Assumptions'!$Q$31^2/2))</f>
        <v>61.9312445481712</v>
      </c>
      <c r="I1721" s="49" t="n">
        <f aca="false">IF('Model Inputs &amp; Assumptions'!$H$31="Fixed",'Model Inputs &amp; Assumptions'!$I$31*'Model Inputs &amp; Assumptions'!$K$31,IF('Model Inputs &amp; Assumptions'!$H$31="CPM",'Model Inputs &amp; Assumptions'!$I$31*'Model Inputs &amp; Assumptions'!$K$31*C1721/1000,IF('Model Inputs &amp; Assumptions'!$H$31="CPC",'Model Inputs &amp; Assumptions'!$I$31*'Model Inputs &amp; Assumptions'!$K$31*G1721,0)))</f>
        <v>4793.253852</v>
      </c>
      <c r="J1721" s="50" t="n">
        <f aca="false">H1721*INDEX('Model Inputs &amp; Assumptions'!$D$40:$D$42,MATCH('Model Inputs &amp; Assumptions'!$L$31,'Model Inputs &amp; Assumptions'!$A$40:$A$42,0))*INDEX('Model Inputs &amp; Assumptions'!$H$40:$H$42,MATCH('Model Inputs &amp; Assumptions'!$L$31,'Model Inputs &amp; Assumptions'!$A$40:$A$42,0))</f>
        <v>445904.960746833</v>
      </c>
      <c r="K1721" s="49" t="n">
        <f aca="false">H1721*INDEX('Model Inputs &amp; Assumptions'!$G$40:$G$42,MATCH('Model Inputs &amp; Assumptions'!$L$31,'Model Inputs &amp; Assumptions'!$A$40:$A$42,0))*INDEX('Model Inputs &amp; Assumptions'!$H$40:$H$42,MATCH('Model Inputs &amp; Assumptions'!$L$31,'Model Inputs &amp; Assumptions'!$A$40:$A$42,0))</f>
        <v>9832.20438446767</v>
      </c>
      <c r="L1721" s="51" t="n">
        <f aca="false">IFERROR(K1721/I1721,0)</f>
        <v>2.05125885005342</v>
      </c>
      <c r="M1721" s="49" t="n">
        <f aca="false">IFERROR(I1721/H1721,0)</f>
        <v>77.3963753993628</v>
      </c>
      <c r="N1721" s="52" t="str">
        <f aca="false">'Model Inputs &amp; Assumptions'!$L$31</f>
        <v>PRD-USIQ</v>
      </c>
      <c r="P1721" s="53" t="n">
        <v>-0.316025</v>
      </c>
      <c r="Q1721" s="53" t="n">
        <v>0.114975</v>
      </c>
      <c r="R1721" s="53" t="n">
        <v>0.254863</v>
      </c>
      <c r="S1721" s="53" t="n">
        <v>0.630961</v>
      </c>
    </row>
    <row r="1722" customFormat="false" ht="15" hidden="false" customHeight="false" outlineLevel="0" collapsed="false">
      <c r="A1722" s="43" t="n">
        <v>219</v>
      </c>
      <c r="B1722" s="44" t="str">
        <f aca="false">'Model Inputs &amp; Assumptions'!$B$31</f>
        <v>YouTube — Finfluencer Pre-roll</v>
      </c>
      <c r="C1722" s="45" t="n">
        <f aca="false">ROUND(MAX(0,'Model Inputs &amp; Assumptions'!$S$31*EXP('Model Inputs &amp; Assumptions'!$T$31*P1722-'Model Inputs &amp; Assumptions'!$T$31^2/2)),0)</f>
        <v>340983</v>
      </c>
      <c r="D1722" s="46" t="n">
        <f aca="false">MIN(1,'Model Inputs &amp; Assumptions'!$U$31*EXP('Model Inputs &amp; Assumptions'!$V$31*Q1722-'Model Inputs &amp; Assumptions'!$V$31^2/2))</f>
        <v>0.634587941287147</v>
      </c>
      <c r="E1722" s="45" t="n">
        <f aca="false">ROUND(C1722*D1722,0)</f>
        <v>216384</v>
      </c>
      <c r="F1722" s="47" t="n">
        <f aca="false">MIN(1,'Model Inputs &amp; Assumptions'!$W$31*EXP('Model Inputs &amp; Assumptions'!$X$31*R1722-'Model Inputs &amp; Assumptions'!$X$31^2/2))</f>
        <v>0.00437227694051871</v>
      </c>
      <c r="G1722" s="45" t="n">
        <f aca="false">ROUND(C1722*F1722,0)</f>
        <v>1491</v>
      </c>
      <c r="H1722" s="48" t="n">
        <f aca="false">MAX(0,(C1722*'Model Inputs &amp; Assumptions'!$N$31+E1722*'Model Inputs &amp; Assumptions'!$O$31+G1722*'Model Inputs &amp; Assumptions'!$P$31)*EXP('Model Inputs &amp; Assumptions'!$Q$31*S1722-'Model Inputs &amp; Assumptions'!$Q$31^2/2))</f>
        <v>18.6396235585326</v>
      </c>
      <c r="I1722" s="49" t="n">
        <f aca="false">IF('Model Inputs &amp; Assumptions'!$H$31="Fixed",'Model Inputs &amp; Assumptions'!$I$31*'Model Inputs &amp; Assumptions'!$K$31,IF('Model Inputs &amp; Assumptions'!$H$31="CPM",'Model Inputs &amp; Assumptions'!$I$31*'Model Inputs &amp; Assumptions'!$K$31*C1722/1000,IF('Model Inputs &amp; Assumptions'!$H$31="CPC",'Model Inputs &amp; Assumptions'!$I$31*'Model Inputs &amp; Assumptions'!$K$31*G1722,0)))</f>
        <v>3868.793118</v>
      </c>
      <c r="J1722" s="50" t="n">
        <f aca="false">H1722*INDEX('Model Inputs &amp; Assumptions'!$D$40:$D$42,MATCH('Model Inputs &amp; Assumptions'!$L$31,'Model Inputs &amp; Assumptions'!$A$40:$A$42,0))*INDEX('Model Inputs &amp; Assumptions'!$H$40:$H$42,MATCH('Model Inputs &amp; Assumptions'!$L$31,'Model Inputs &amp; Assumptions'!$A$40:$A$42,0))</f>
        <v>134205.289621435</v>
      </c>
      <c r="K1722" s="49" t="n">
        <f aca="false">H1722*INDEX('Model Inputs &amp; Assumptions'!$G$40:$G$42,MATCH('Model Inputs &amp; Assumptions'!$L$31,'Model Inputs &amp; Assumptions'!$A$40:$A$42,0))*INDEX('Model Inputs &amp; Assumptions'!$H$40:$H$42,MATCH('Model Inputs &amp; Assumptions'!$L$31,'Model Inputs &amp; Assumptions'!$A$40:$A$42,0))</f>
        <v>2959.22663615264</v>
      </c>
      <c r="L1722" s="51" t="n">
        <f aca="false">IFERROR(K1722/I1722,0)</f>
        <v>0.764896582963949</v>
      </c>
      <c r="M1722" s="49" t="n">
        <f aca="false">IFERROR(I1722/H1722,0)</f>
        <v>207.55747056002</v>
      </c>
      <c r="N1722" s="52" t="str">
        <f aca="false">'Model Inputs &amp; Assumptions'!$L$31</f>
        <v>PRD-USIQ</v>
      </c>
      <c r="P1722" s="53" t="n">
        <v>-1.081264</v>
      </c>
      <c r="Q1722" s="53" t="n">
        <v>0.590381</v>
      </c>
      <c r="R1722" s="53" t="n">
        <v>-0.438975</v>
      </c>
      <c r="S1722" s="53" t="n">
        <v>-1.983428</v>
      </c>
    </row>
    <row r="1723" customFormat="false" ht="15" hidden="false" customHeight="false" outlineLevel="0" collapsed="false">
      <c r="A1723" s="43" t="n">
        <v>220</v>
      </c>
      <c r="B1723" s="44" t="str">
        <f aca="false">'Model Inputs &amp; Assumptions'!$B$31</f>
        <v>YouTube — Finfluencer Pre-roll</v>
      </c>
      <c r="C1723" s="45" t="n">
        <f aca="false">ROUND(MAX(0,'Model Inputs &amp; Assumptions'!$S$31*EXP('Model Inputs &amp; Assumptions'!$T$31*P1723-'Model Inputs &amp; Assumptions'!$T$31^2/2)),0)</f>
        <v>557833</v>
      </c>
      <c r="D1723" s="46" t="n">
        <f aca="false">MIN(1,'Model Inputs &amp; Assumptions'!$U$31*EXP('Model Inputs &amp; Assumptions'!$V$31*Q1723-'Model Inputs &amp; Assumptions'!$V$31^2/2))</f>
        <v>0.553077411801466</v>
      </c>
      <c r="E1723" s="45" t="n">
        <f aca="false">ROUND(C1723*D1723,0)</f>
        <v>308525</v>
      </c>
      <c r="F1723" s="47" t="n">
        <f aca="false">MIN(1,'Model Inputs &amp; Assumptions'!$W$31*EXP('Model Inputs &amp; Assumptions'!$X$31*R1723-'Model Inputs &amp; Assumptions'!$X$31^2/2))</f>
        <v>0.00442431910672719</v>
      </c>
      <c r="G1723" s="45" t="n">
        <f aca="false">ROUND(C1723*F1723,0)</f>
        <v>2468</v>
      </c>
      <c r="H1723" s="48" t="n">
        <f aca="false">MAX(0,(C1723*'Model Inputs &amp; Assumptions'!$N$31+E1723*'Model Inputs &amp; Assumptions'!$O$31+G1723*'Model Inputs &amp; Assumptions'!$P$31)*EXP('Model Inputs &amp; Assumptions'!$Q$31*S1723-'Model Inputs &amp; Assumptions'!$Q$31^2/2))</f>
        <v>98.7749218689461</v>
      </c>
      <c r="I1723" s="49" t="n">
        <f aca="false">IF('Model Inputs &amp; Assumptions'!$H$31="Fixed",'Model Inputs &amp; Assumptions'!$I$31*'Model Inputs &amp; Assumptions'!$K$31,IF('Model Inputs &amp; Assumptions'!$H$31="CPM",'Model Inputs &amp; Assumptions'!$I$31*'Model Inputs &amp; Assumptions'!$K$31*C1723/1000,IF('Model Inputs &amp; Assumptions'!$H$31="CPC",'Model Inputs &amp; Assumptions'!$I$31*'Model Inputs &amp; Assumptions'!$K$31*G1723,0)))</f>
        <v>6329.173218</v>
      </c>
      <c r="J1723" s="50" t="n">
        <f aca="false">H1723*INDEX('Model Inputs &amp; Assumptions'!$D$40:$D$42,MATCH('Model Inputs &amp; Assumptions'!$L$31,'Model Inputs &amp; Assumptions'!$A$40:$A$42,0))*INDEX('Model Inputs &amp; Assumptions'!$H$40:$H$42,MATCH('Model Inputs &amp; Assumptions'!$L$31,'Model Inputs &amp; Assumptions'!$A$40:$A$42,0))</f>
        <v>711179.437456412</v>
      </c>
      <c r="K1723" s="49" t="n">
        <f aca="false">H1723*INDEX('Model Inputs &amp; Assumptions'!$G$40:$G$42,MATCH('Model Inputs &amp; Assumptions'!$L$31,'Model Inputs &amp; Assumptions'!$A$40:$A$42,0))*INDEX('Model Inputs &amp; Assumptions'!$H$40:$H$42,MATCH('Model Inputs &amp; Assumptions'!$L$31,'Model Inputs &amp; Assumptions'!$A$40:$A$42,0))</f>
        <v>15681.5065959139</v>
      </c>
      <c r="L1723" s="51" t="n">
        <f aca="false">IFERROR(K1723/I1723,0)</f>
        <v>2.47765483038386</v>
      </c>
      <c r="M1723" s="49" t="n">
        <f aca="false">IFERROR(I1723/H1723,0)</f>
        <v>64.0767220894136</v>
      </c>
      <c r="N1723" s="52" t="str">
        <f aca="false">'Model Inputs &amp; Assumptions'!$L$31</f>
        <v>PRD-USIQ</v>
      </c>
      <c r="P1723" s="53" t="n">
        <v>0.676689</v>
      </c>
      <c r="Q1723" s="53" t="n">
        <v>-0.391604</v>
      </c>
      <c r="R1723" s="53" t="n">
        <v>-0.389673</v>
      </c>
      <c r="S1723" s="53" t="n">
        <v>1.519364</v>
      </c>
    </row>
    <row r="1724" customFormat="false" ht="15" hidden="false" customHeight="false" outlineLevel="0" collapsed="false">
      <c r="A1724" s="43" t="n">
        <v>221</v>
      </c>
      <c r="B1724" s="44" t="str">
        <f aca="false">'Model Inputs &amp; Assumptions'!$B$31</f>
        <v>YouTube — Finfluencer Pre-roll</v>
      </c>
      <c r="C1724" s="45" t="n">
        <f aca="false">ROUND(MAX(0,'Model Inputs &amp; Assumptions'!$S$31*EXP('Model Inputs &amp; Assumptions'!$T$31*P1724-'Model Inputs &amp; Assumptions'!$T$31^2/2)),0)</f>
        <v>460432</v>
      </c>
      <c r="D1724" s="46" t="n">
        <f aca="false">MIN(1,'Model Inputs &amp; Assumptions'!$U$31*EXP('Model Inputs &amp; Assumptions'!$V$31*Q1724-'Model Inputs &amp; Assumptions'!$V$31^2/2))</f>
        <v>0.557719248513489</v>
      </c>
      <c r="E1724" s="45" t="n">
        <f aca="false">ROUND(C1724*D1724,0)</f>
        <v>256792</v>
      </c>
      <c r="F1724" s="47" t="n">
        <f aca="false">MIN(1,'Model Inputs &amp; Assumptions'!$W$31*EXP('Model Inputs &amp; Assumptions'!$X$31*R1724-'Model Inputs &amp; Assumptions'!$X$31^2/2))</f>
        <v>0.0036440592265459</v>
      </c>
      <c r="G1724" s="45" t="n">
        <f aca="false">ROUND(C1724*F1724,0)</f>
        <v>1678</v>
      </c>
      <c r="H1724" s="48" t="n">
        <f aca="false">MAX(0,(C1724*'Model Inputs &amp; Assumptions'!$N$31+E1724*'Model Inputs &amp; Assumptions'!$O$31+G1724*'Model Inputs &amp; Assumptions'!$P$31)*EXP('Model Inputs &amp; Assumptions'!$Q$31*S1724-'Model Inputs &amp; Assumptions'!$Q$31^2/2))</f>
        <v>31.9325845126226</v>
      </c>
      <c r="I1724" s="49" t="n">
        <f aca="false">IF('Model Inputs &amp; Assumptions'!$H$31="Fixed",'Model Inputs &amp; Assumptions'!$I$31*'Model Inputs &amp; Assumptions'!$K$31,IF('Model Inputs &amp; Assumptions'!$H$31="CPM",'Model Inputs &amp; Assumptions'!$I$31*'Model Inputs &amp; Assumptions'!$K$31*C1724/1000,IF('Model Inputs &amp; Assumptions'!$H$31="CPC",'Model Inputs &amp; Assumptions'!$I$31*'Model Inputs &amp; Assumptions'!$K$31*G1724,0)))</f>
        <v>5224.061472</v>
      </c>
      <c r="J1724" s="50" t="n">
        <f aca="false">H1724*INDEX('Model Inputs &amp; Assumptions'!$D$40:$D$42,MATCH('Model Inputs &amp; Assumptions'!$L$31,'Model Inputs &amp; Assumptions'!$A$40:$A$42,0))*INDEX('Model Inputs &amp; Assumptions'!$H$40:$H$42,MATCH('Model Inputs &amp; Assumptions'!$L$31,'Model Inputs &amp; Assumptions'!$A$40:$A$42,0))</f>
        <v>229914.608490883</v>
      </c>
      <c r="K1724" s="49" t="n">
        <f aca="false">H1724*INDEX('Model Inputs &amp; Assumptions'!$G$40:$G$42,MATCH('Model Inputs &amp; Assumptions'!$L$31,'Model Inputs &amp; Assumptions'!$A$40:$A$42,0))*INDEX('Model Inputs &amp; Assumptions'!$H$40:$H$42,MATCH('Model Inputs &amp; Assumptions'!$L$31,'Model Inputs &amp; Assumptions'!$A$40:$A$42,0))</f>
        <v>5069.61711722396</v>
      </c>
      <c r="L1724" s="51" t="n">
        <f aca="false">IFERROR(K1724/I1724,0)</f>
        <v>0.970435961444208</v>
      </c>
      <c r="M1724" s="49" t="n">
        <f aca="false">IFERROR(I1724/H1724,0)</f>
        <v>163.596575464632</v>
      </c>
      <c r="N1724" s="52" t="str">
        <f aca="false">'Model Inputs &amp; Assumptions'!$L$31</f>
        <v>PRD-USIQ</v>
      </c>
      <c r="P1724" s="53" t="n">
        <v>-0.00865</v>
      </c>
      <c r="Q1724" s="53" t="n">
        <v>-0.331906</v>
      </c>
      <c r="R1724" s="53" t="n">
        <v>-1.198082</v>
      </c>
      <c r="S1724" s="53" t="n">
        <v>-0.850039</v>
      </c>
    </row>
    <row r="1725" customFormat="false" ht="15" hidden="false" customHeight="false" outlineLevel="0" collapsed="false">
      <c r="A1725" s="43" t="n">
        <v>222</v>
      </c>
      <c r="B1725" s="44" t="str">
        <f aca="false">'Model Inputs &amp; Assumptions'!$B$31</f>
        <v>YouTube — Finfluencer Pre-roll</v>
      </c>
      <c r="C1725" s="45" t="n">
        <f aca="false">ROUND(MAX(0,'Model Inputs &amp; Assumptions'!$S$31*EXP('Model Inputs &amp; Assumptions'!$T$31*P1725-'Model Inputs &amp; Assumptions'!$T$31^2/2)),0)</f>
        <v>430057</v>
      </c>
      <c r="D1725" s="46" t="n">
        <f aca="false">MIN(1,'Model Inputs &amp; Assumptions'!$U$31*EXP('Model Inputs &amp; Assumptions'!$V$31*Q1725-'Model Inputs &amp; Assumptions'!$V$31^2/2))</f>
        <v>0.552915063167231</v>
      </c>
      <c r="E1725" s="45" t="n">
        <f aca="false">ROUND(C1725*D1725,0)</f>
        <v>237785</v>
      </c>
      <c r="F1725" s="47" t="n">
        <f aca="false">MIN(1,'Model Inputs &amp; Assumptions'!$W$31*EXP('Model Inputs &amp; Assumptions'!$X$31*R1725-'Model Inputs &amp; Assumptions'!$X$31^2/2))</f>
        <v>0.0055308544338582</v>
      </c>
      <c r="G1725" s="45" t="n">
        <f aca="false">ROUND(C1725*F1725,0)</f>
        <v>2379</v>
      </c>
      <c r="H1725" s="48" t="n">
        <f aca="false">MAX(0,(C1725*'Model Inputs &amp; Assumptions'!$N$31+E1725*'Model Inputs &amp; Assumptions'!$O$31+G1725*'Model Inputs &amp; Assumptions'!$P$31)*EXP('Model Inputs &amp; Assumptions'!$Q$31*S1725-'Model Inputs &amp; Assumptions'!$Q$31^2/2))</f>
        <v>76.1282101988039</v>
      </c>
      <c r="I1725" s="49" t="n">
        <f aca="false">IF('Model Inputs &amp; Assumptions'!$H$31="Fixed",'Model Inputs &amp; Assumptions'!$I$31*'Model Inputs &amp; Assumptions'!$K$31,IF('Model Inputs &amp; Assumptions'!$H$31="CPM",'Model Inputs &amp; Assumptions'!$I$31*'Model Inputs &amp; Assumptions'!$K$31*C1725/1000,IF('Model Inputs &amp; Assumptions'!$H$31="CPC",'Model Inputs &amp; Assumptions'!$I$31*'Model Inputs &amp; Assumptions'!$K$31*G1725,0)))</f>
        <v>4879.426722</v>
      </c>
      <c r="J1725" s="50" t="n">
        <f aca="false">H1725*INDEX('Model Inputs &amp; Assumptions'!$D$40:$D$42,MATCH('Model Inputs &amp; Assumptions'!$L$31,'Model Inputs &amp; Assumptions'!$A$40:$A$42,0))*INDEX('Model Inputs &amp; Assumptions'!$H$40:$H$42,MATCH('Model Inputs &amp; Assumptions'!$L$31,'Model Inputs &amp; Assumptions'!$A$40:$A$42,0))</f>
        <v>548123.113431388</v>
      </c>
      <c r="K1725" s="49" t="n">
        <f aca="false">H1725*INDEX('Model Inputs &amp; Assumptions'!$G$40:$G$42,MATCH('Model Inputs &amp; Assumptions'!$L$31,'Model Inputs &amp; Assumptions'!$A$40:$A$42,0))*INDEX('Model Inputs &amp; Assumptions'!$H$40:$H$42,MATCH('Model Inputs &amp; Assumptions'!$L$31,'Model Inputs &amp; Assumptions'!$A$40:$A$42,0))</f>
        <v>12086.1146511621</v>
      </c>
      <c r="L1725" s="51" t="n">
        <f aca="false">IFERROR(K1725/I1725,0)</f>
        <v>2.47695381850272</v>
      </c>
      <c r="M1725" s="49" t="n">
        <f aca="false">IFERROR(I1725/H1725,0)</f>
        <v>64.0948566800361</v>
      </c>
      <c r="N1725" s="52" t="str">
        <f aca="false">'Model Inputs &amp; Assumptions'!$L$31</f>
        <v>PRD-USIQ</v>
      </c>
      <c r="P1725" s="53" t="n">
        <v>-0.252387</v>
      </c>
      <c r="Q1725" s="53" t="n">
        <v>-0.393701</v>
      </c>
      <c r="R1725" s="53" t="n">
        <v>0.540435</v>
      </c>
      <c r="S1725" s="53" t="n">
        <v>1.119036</v>
      </c>
    </row>
    <row r="1726" customFormat="false" ht="15" hidden="false" customHeight="false" outlineLevel="0" collapsed="false">
      <c r="A1726" s="43" t="n">
        <v>223</v>
      </c>
      <c r="B1726" s="44" t="str">
        <f aca="false">'Model Inputs &amp; Assumptions'!$B$31</f>
        <v>YouTube — Finfluencer Pre-roll</v>
      </c>
      <c r="C1726" s="45" t="n">
        <f aca="false">ROUND(MAX(0,'Model Inputs &amp; Assumptions'!$S$31*EXP('Model Inputs &amp; Assumptions'!$T$31*P1726-'Model Inputs &amp; Assumptions'!$T$31^2/2)),0)</f>
        <v>509716</v>
      </c>
      <c r="D1726" s="46" t="n">
        <f aca="false">MIN(1,'Model Inputs &amp; Assumptions'!$U$31*EXP('Model Inputs &amp; Assumptions'!$V$31*Q1726-'Model Inputs &amp; Assumptions'!$V$31^2/2))</f>
        <v>0.409576703914772</v>
      </c>
      <c r="E1726" s="45" t="n">
        <f aca="false">ROUND(C1726*D1726,0)</f>
        <v>208768</v>
      </c>
      <c r="F1726" s="47" t="n">
        <f aca="false">MIN(1,'Model Inputs &amp; Assumptions'!$W$31*EXP('Model Inputs &amp; Assumptions'!$X$31*R1726-'Model Inputs &amp; Assumptions'!$X$31^2/2))</f>
        <v>0.00352224014645901</v>
      </c>
      <c r="G1726" s="45" t="n">
        <f aca="false">ROUND(C1726*F1726,0)</f>
        <v>1795</v>
      </c>
      <c r="H1726" s="48" t="n">
        <f aca="false">MAX(0,(C1726*'Model Inputs &amp; Assumptions'!$N$31+E1726*'Model Inputs &amp; Assumptions'!$O$31+G1726*'Model Inputs &amp; Assumptions'!$P$31)*EXP('Model Inputs &amp; Assumptions'!$Q$31*S1726-'Model Inputs &amp; Assumptions'!$Q$31^2/2))</f>
        <v>56.7880597848751</v>
      </c>
      <c r="I1726" s="49" t="n">
        <f aca="false">IF('Model Inputs &amp; Assumptions'!$H$31="Fixed",'Model Inputs &amp; Assumptions'!$I$31*'Model Inputs &amp; Assumptions'!$K$31,IF('Model Inputs &amp; Assumptions'!$H$31="CPM",'Model Inputs &amp; Assumptions'!$I$31*'Model Inputs &amp; Assumptions'!$K$31*C1726/1000,IF('Model Inputs &amp; Assumptions'!$H$31="CPC",'Model Inputs &amp; Assumptions'!$I$31*'Model Inputs &amp; Assumptions'!$K$31*G1726,0)))</f>
        <v>5783.237736</v>
      </c>
      <c r="J1726" s="50" t="n">
        <f aca="false">H1726*INDEX('Model Inputs &amp; Assumptions'!$D$40:$D$42,MATCH('Model Inputs &amp; Assumptions'!$L$31,'Model Inputs &amp; Assumptions'!$A$40:$A$42,0))*INDEX('Model Inputs &amp; Assumptions'!$H$40:$H$42,MATCH('Model Inputs &amp; Assumptions'!$L$31,'Model Inputs &amp; Assumptions'!$A$40:$A$42,0))</f>
        <v>408874.030451101</v>
      </c>
      <c r="K1726" s="49" t="n">
        <f aca="false">H1726*INDEX('Model Inputs &amp; Assumptions'!$G$40:$G$42,MATCH('Model Inputs &amp; Assumptions'!$L$31,'Model Inputs &amp; Assumptions'!$A$40:$A$42,0))*INDEX('Model Inputs &amp; Assumptions'!$H$40:$H$42,MATCH('Model Inputs &amp; Assumptions'!$L$31,'Model Inputs &amp; Assumptions'!$A$40:$A$42,0))</f>
        <v>9015.67237144677</v>
      </c>
      <c r="L1726" s="51" t="n">
        <f aca="false">IFERROR(K1726/I1726,0)</f>
        <v>1.55893165437852</v>
      </c>
      <c r="M1726" s="49" t="n">
        <f aca="false">IFERROR(I1726/H1726,0)</f>
        <v>101.838973860141</v>
      </c>
      <c r="N1726" s="52" t="str">
        <f aca="false">'Model Inputs &amp; Assumptions'!$L$31</f>
        <v>PRD-USIQ</v>
      </c>
      <c r="P1726" s="53" t="n">
        <v>0.354528</v>
      </c>
      <c r="Q1726" s="53" t="n">
        <v>-2.537131</v>
      </c>
      <c r="R1726" s="53" t="n">
        <v>-1.339753</v>
      </c>
      <c r="S1726" s="53" t="n">
        <v>0.928322</v>
      </c>
    </row>
    <row r="1727" customFormat="false" ht="15" hidden="false" customHeight="false" outlineLevel="0" collapsed="false">
      <c r="A1727" s="43" t="n">
        <v>224</v>
      </c>
      <c r="B1727" s="44" t="str">
        <f aca="false">'Model Inputs &amp; Assumptions'!$B$31</f>
        <v>YouTube — Finfluencer Pre-roll</v>
      </c>
      <c r="C1727" s="45" t="n">
        <f aca="false">ROUND(MAX(0,'Model Inputs &amp; Assumptions'!$S$31*EXP('Model Inputs &amp; Assumptions'!$T$31*P1727-'Model Inputs &amp; Assumptions'!$T$31^2/2)),0)</f>
        <v>433283</v>
      </c>
      <c r="D1727" s="46" t="n">
        <f aca="false">MIN(1,'Model Inputs &amp; Assumptions'!$U$31*EXP('Model Inputs &amp; Assumptions'!$V$31*Q1727-'Model Inputs &amp; Assumptions'!$V$31^2/2))</f>
        <v>0.468977933343824</v>
      </c>
      <c r="E1727" s="45" t="n">
        <f aca="false">ROUND(C1727*D1727,0)</f>
        <v>203200</v>
      </c>
      <c r="F1727" s="47" t="n">
        <f aca="false">MIN(1,'Model Inputs &amp; Assumptions'!$W$31*EXP('Model Inputs &amp; Assumptions'!$X$31*R1727-'Model Inputs &amp; Assumptions'!$X$31^2/2))</f>
        <v>0.00373954966008393</v>
      </c>
      <c r="G1727" s="45" t="n">
        <f aca="false">ROUND(C1727*F1727,0)</f>
        <v>1620</v>
      </c>
      <c r="H1727" s="48" t="n">
        <f aca="false">MAX(0,(C1727*'Model Inputs &amp; Assumptions'!$N$31+E1727*'Model Inputs &amp; Assumptions'!$O$31+G1727*'Model Inputs &amp; Assumptions'!$P$31)*EXP('Model Inputs &amp; Assumptions'!$Q$31*S1727-'Model Inputs &amp; Assumptions'!$Q$31^2/2))</f>
        <v>24.0854249837707</v>
      </c>
      <c r="I1727" s="49" t="n">
        <f aca="false">IF('Model Inputs &amp; Assumptions'!$H$31="Fixed",'Model Inputs &amp; Assumptions'!$I$31*'Model Inputs &amp; Assumptions'!$K$31,IF('Model Inputs &amp; Assumptions'!$H$31="CPM",'Model Inputs &amp; Assumptions'!$I$31*'Model Inputs &amp; Assumptions'!$K$31*C1727/1000,IF('Model Inputs &amp; Assumptions'!$H$31="CPC",'Model Inputs &amp; Assumptions'!$I$31*'Model Inputs &amp; Assumptions'!$K$31*G1727,0)))</f>
        <v>4916.028918</v>
      </c>
      <c r="J1727" s="50" t="n">
        <f aca="false">H1727*INDEX('Model Inputs &amp; Assumptions'!$D$40:$D$42,MATCH('Model Inputs &amp; Assumptions'!$L$31,'Model Inputs &amp; Assumptions'!$A$40:$A$42,0))*INDEX('Model Inputs &amp; Assumptions'!$H$40:$H$42,MATCH('Model Inputs &amp; Assumptions'!$L$31,'Model Inputs &amp; Assumptions'!$A$40:$A$42,0))</f>
        <v>173415.059883149</v>
      </c>
      <c r="K1727" s="49" t="n">
        <f aca="false">H1727*INDEX('Model Inputs &amp; Assumptions'!$G$40:$G$42,MATCH('Model Inputs &amp; Assumptions'!$L$31,'Model Inputs &amp; Assumptions'!$A$40:$A$42,0))*INDEX('Model Inputs &amp; Assumptions'!$H$40:$H$42,MATCH('Model Inputs &amp; Assumptions'!$L$31,'Model Inputs &amp; Assumptions'!$A$40:$A$42,0))</f>
        <v>3823.80207042343</v>
      </c>
      <c r="L1727" s="51" t="n">
        <f aca="false">IFERROR(K1727/I1727,0)</f>
        <v>0.777823347707051</v>
      </c>
      <c r="M1727" s="49" t="n">
        <f aca="false">IFERROR(I1727/H1727,0)</f>
        <v>204.108041328419</v>
      </c>
      <c r="N1727" s="52" t="str">
        <f aca="false">'Model Inputs &amp; Assumptions'!$L$31</f>
        <v>PRD-USIQ</v>
      </c>
      <c r="P1727" s="53" t="n">
        <v>-0.225695</v>
      </c>
      <c r="Q1727" s="53" t="n">
        <v>-1.569763</v>
      </c>
      <c r="R1727" s="53" t="n">
        <v>-1.090303</v>
      </c>
      <c r="S1727" s="53" t="n">
        <v>-1.313791</v>
      </c>
    </row>
    <row r="1728" customFormat="false" ht="15" hidden="false" customHeight="false" outlineLevel="0" collapsed="false">
      <c r="A1728" s="43" t="n">
        <v>225</v>
      </c>
      <c r="B1728" s="44" t="str">
        <f aca="false">'Model Inputs &amp; Assumptions'!$B$31</f>
        <v>YouTube — Finfluencer Pre-roll</v>
      </c>
      <c r="C1728" s="45" t="n">
        <f aca="false">ROUND(MAX(0,'Model Inputs &amp; Assumptions'!$S$31*EXP('Model Inputs &amp; Assumptions'!$T$31*P1728-'Model Inputs &amp; Assumptions'!$T$31^2/2)),0)</f>
        <v>485652</v>
      </c>
      <c r="D1728" s="46" t="n">
        <f aca="false">MIN(1,'Model Inputs &amp; Assumptions'!$U$31*EXP('Model Inputs &amp; Assumptions'!$V$31*Q1728-'Model Inputs &amp; Assumptions'!$V$31^2/2))</f>
        <v>0.758209260573005</v>
      </c>
      <c r="E1728" s="45" t="n">
        <f aca="false">ROUND(C1728*D1728,0)</f>
        <v>368226</v>
      </c>
      <c r="F1728" s="47" t="n">
        <f aca="false">MIN(1,'Model Inputs &amp; Assumptions'!$W$31*EXP('Model Inputs &amp; Assumptions'!$X$31*R1728-'Model Inputs &amp; Assumptions'!$X$31^2/2))</f>
        <v>0.00403216846719281</v>
      </c>
      <c r="G1728" s="45" t="n">
        <f aca="false">ROUND(C1728*F1728,0)</f>
        <v>1958</v>
      </c>
      <c r="H1728" s="48" t="n">
        <f aca="false">MAX(0,(C1728*'Model Inputs &amp; Assumptions'!$N$31+E1728*'Model Inputs &amp; Assumptions'!$O$31+G1728*'Model Inputs &amp; Assumptions'!$P$31)*EXP('Model Inputs &amp; Assumptions'!$Q$31*S1728-'Model Inputs &amp; Assumptions'!$Q$31^2/2))</f>
        <v>51.1328139066334</v>
      </c>
      <c r="I1728" s="49" t="n">
        <f aca="false">IF('Model Inputs &amp; Assumptions'!$H$31="Fixed",'Model Inputs &amp; Assumptions'!$I$31*'Model Inputs &amp; Assumptions'!$K$31,IF('Model Inputs &amp; Assumptions'!$H$31="CPM",'Model Inputs &amp; Assumptions'!$I$31*'Model Inputs &amp; Assumptions'!$K$31*C1728/1000,IF('Model Inputs &amp; Assumptions'!$H$31="CPC",'Model Inputs &amp; Assumptions'!$I$31*'Model Inputs &amp; Assumptions'!$K$31*G1728,0)))</f>
        <v>5510.207592</v>
      </c>
      <c r="J1728" s="50" t="n">
        <f aca="false">H1728*INDEX('Model Inputs &amp; Assumptions'!$D$40:$D$42,MATCH('Model Inputs &amp; Assumptions'!$L$31,'Model Inputs &amp; Assumptions'!$A$40:$A$42,0))*INDEX('Model Inputs &amp; Assumptions'!$H$40:$H$42,MATCH('Model Inputs &amp; Assumptions'!$L$31,'Model Inputs &amp; Assumptions'!$A$40:$A$42,0))</f>
        <v>368156.26012776</v>
      </c>
      <c r="K1728" s="49" t="n">
        <f aca="false">H1728*INDEX('Model Inputs &amp; Assumptions'!$G$40:$G$42,MATCH('Model Inputs &amp; Assumptions'!$L$31,'Model Inputs &amp; Assumptions'!$A$40:$A$42,0))*INDEX('Model Inputs &amp; Assumptions'!$H$40:$H$42,MATCH('Model Inputs &amp; Assumptions'!$L$31,'Model Inputs &amp; Assumptions'!$A$40:$A$42,0))</f>
        <v>8117.84553581712</v>
      </c>
      <c r="L1728" s="51" t="n">
        <f aca="false">IFERROR(K1728/I1728,0)</f>
        <v>1.47323769572729</v>
      </c>
      <c r="M1728" s="49" t="n">
        <f aca="false">IFERROR(I1728/H1728,0)</f>
        <v>107.762651241166</v>
      </c>
      <c r="N1728" s="52" t="str">
        <f aca="false">'Model Inputs &amp; Assumptions'!$L$31</f>
        <v>PRD-USIQ</v>
      </c>
      <c r="P1728" s="53" t="n">
        <v>0.181809</v>
      </c>
      <c r="Q1728" s="53" t="n">
        <v>1.861692</v>
      </c>
      <c r="R1728" s="53" t="n">
        <v>-0.77639</v>
      </c>
      <c r="S1728" s="53" t="n">
        <v>-0.225551</v>
      </c>
    </row>
    <row r="1729" customFormat="false" ht="15" hidden="false" customHeight="false" outlineLevel="0" collapsed="false">
      <c r="A1729" s="43" t="n">
        <v>226</v>
      </c>
      <c r="B1729" s="44" t="str">
        <f aca="false">'Model Inputs &amp; Assumptions'!$B$31</f>
        <v>YouTube — Finfluencer Pre-roll</v>
      </c>
      <c r="C1729" s="45" t="n">
        <f aca="false">ROUND(MAX(0,'Model Inputs &amp; Assumptions'!$S$31*EXP('Model Inputs &amp; Assumptions'!$T$31*P1729-'Model Inputs &amp; Assumptions'!$T$31^2/2)),0)</f>
        <v>450036</v>
      </c>
      <c r="D1729" s="46" t="n">
        <f aca="false">MIN(1,'Model Inputs &amp; Assumptions'!$U$31*EXP('Model Inputs &amp; Assumptions'!$V$31*Q1729-'Model Inputs &amp; Assumptions'!$V$31^2/2))</f>
        <v>0.566605467434976</v>
      </c>
      <c r="E1729" s="45" t="n">
        <f aca="false">ROUND(C1729*D1729,0)</f>
        <v>254993</v>
      </c>
      <c r="F1729" s="47" t="n">
        <f aca="false">MIN(1,'Model Inputs &amp; Assumptions'!$W$31*EXP('Model Inputs &amp; Assumptions'!$X$31*R1729-'Model Inputs &amp; Assumptions'!$X$31^2/2))</f>
        <v>0.00570642762162448</v>
      </c>
      <c r="G1729" s="45" t="n">
        <f aca="false">ROUND(C1729*F1729,0)</f>
        <v>2568</v>
      </c>
      <c r="H1729" s="48" t="n">
        <f aca="false">MAX(0,(C1729*'Model Inputs &amp; Assumptions'!$N$31+E1729*'Model Inputs &amp; Assumptions'!$O$31+G1729*'Model Inputs &amp; Assumptions'!$P$31)*EXP('Model Inputs &amp; Assumptions'!$Q$31*S1729-'Model Inputs &amp; Assumptions'!$Q$31^2/2))</f>
        <v>59.5306429257573</v>
      </c>
      <c r="I1729" s="49" t="n">
        <f aca="false">IF('Model Inputs &amp; Assumptions'!$H$31="Fixed",'Model Inputs &amp; Assumptions'!$I$31*'Model Inputs &amp; Assumptions'!$K$31,IF('Model Inputs &amp; Assumptions'!$H$31="CPM",'Model Inputs &amp; Assumptions'!$I$31*'Model Inputs &amp; Assumptions'!$K$31*C1729/1000,IF('Model Inputs &amp; Assumptions'!$H$31="CPC",'Model Inputs &amp; Assumptions'!$I$31*'Model Inputs &amp; Assumptions'!$K$31*G1729,0)))</f>
        <v>5106.108456</v>
      </c>
      <c r="J1729" s="50" t="n">
        <f aca="false">H1729*INDEX('Model Inputs &amp; Assumptions'!$D$40:$D$42,MATCH('Model Inputs &amp; Assumptions'!$L$31,'Model Inputs &amp; Assumptions'!$A$40:$A$42,0))*INDEX('Model Inputs &amp; Assumptions'!$H$40:$H$42,MATCH('Model Inputs &amp; Assumptions'!$L$31,'Model Inputs &amp; Assumptions'!$A$40:$A$42,0))</f>
        <v>428620.629065453</v>
      </c>
      <c r="K1729" s="49" t="n">
        <f aca="false">H1729*INDEX('Model Inputs &amp; Assumptions'!$G$40:$G$42,MATCH('Model Inputs &amp; Assumptions'!$L$31,'Model Inputs &amp; Assumptions'!$A$40:$A$42,0))*INDEX('Model Inputs &amp; Assumptions'!$H$40:$H$42,MATCH('Model Inputs &amp; Assumptions'!$L$31,'Model Inputs &amp; Assumptions'!$A$40:$A$42,0))</f>
        <v>9451.08487089324</v>
      </c>
      <c r="L1729" s="51" t="n">
        <f aca="false">IFERROR(K1729/I1729,0)</f>
        <v>1.85093696154997</v>
      </c>
      <c r="M1729" s="49" t="n">
        <f aca="false">IFERROR(I1729/H1729,0)</f>
        <v>85.7727752473293</v>
      </c>
      <c r="N1729" s="52" t="str">
        <f aca="false">'Model Inputs &amp; Assumptions'!$L$31</f>
        <v>PRD-USIQ</v>
      </c>
      <c r="P1729" s="53" t="n">
        <v>-0.090207</v>
      </c>
      <c r="Q1729" s="53" t="n">
        <v>-0.218995</v>
      </c>
      <c r="R1729" s="53" t="n">
        <v>0.670647</v>
      </c>
      <c r="S1729" s="53" t="n">
        <v>0.204486</v>
      </c>
    </row>
    <row r="1730" customFormat="false" ht="15" hidden="false" customHeight="false" outlineLevel="0" collapsed="false">
      <c r="A1730" s="43" t="n">
        <v>227</v>
      </c>
      <c r="B1730" s="44" t="str">
        <f aca="false">'Model Inputs &amp; Assumptions'!$B$31</f>
        <v>YouTube — Finfluencer Pre-roll</v>
      </c>
      <c r="C1730" s="45" t="n">
        <f aca="false">ROUND(MAX(0,'Model Inputs &amp; Assumptions'!$S$31*EXP('Model Inputs &amp; Assumptions'!$T$31*P1730-'Model Inputs &amp; Assumptions'!$T$31^2/2)),0)</f>
        <v>472150</v>
      </c>
      <c r="D1730" s="46" t="n">
        <f aca="false">MIN(1,'Model Inputs &amp; Assumptions'!$U$31*EXP('Model Inputs &amp; Assumptions'!$V$31*Q1730-'Model Inputs &amp; Assumptions'!$V$31^2/2))</f>
        <v>0.661961433640775</v>
      </c>
      <c r="E1730" s="45" t="n">
        <f aca="false">ROUND(C1730*D1730,0)</f>
        <v>312545</v>
      </c>
      <c r="F1730" s="47" t="n">
        <f aca="false">MIN(1,'Model Inputs &amp; Assumptions'!$W$31*EXP('Model Inputs &amp; Assumptions'!$X$31*R1730-'Model Inputs &amp; Assumptions'!$X$31^2/2))</f>
        <v>0.0072610984020001</v>
      </c>
      <c r="G1730" s="45" t="n">
        <f aca="false">ROUND(C1730*F1730,0)</f>
        <v>3428</v>
      </c>
      <c r="H1730" s="48" t="n">
        <f aca="false">MAX(0,(C1730*'Model Inputs &amp; Assumptions'!$N$31+E1730*'Model Inputs &amp; Assumptions'!$O$31+G1730*'Model Inputs &amp; Assumptions'!$P$31)*EXP('Model Inputs &amp; Assumptions'!$Q$31*S1730-'Model Inputs &amp; Assumptions'!$Q$31^2/2))</f>
        <v>131.272136854182</v>
      </c>
      <c r="I1730" s="49" t="n">
        <f aca="false">IF('Model Inputs &amp; Assumptions'!$H$31="Fixed",'Model Inputs &amp; Assumptions'!$I$31*'Model Inputs &amp; Assumptions'!$K$31,IF('Model Inputs &amp; Assumptions'!$H$31="CPM",'Model Inputs &amp; Assumptions'!$I$31*'Model Inputs &amp; Assumptions'!$K$31*C1730/1000,IF('Model Inputs &amp; Assumptions'!$H$31="CPC",'Model Inputs &amp; Assumptions'!$I$31*'Model Inputs &amp; Assumptions'!$K$31*G1730,0)))</f>
        <v>5357.0139</v>
      </c>
      <c r="J1730" s="50" t="n">
        <f aca="false">H1730*INDEX('Model Inputs &amp; Assumptions'!$D$40:$D$42,MATCH('Model Inputs &amp; Assumptions'!$L$31,'Model Inputs &amp; Assumptions'!$A$40:$A$42,0))*INDEX('Model Inputs &amp; Assumptions'!$H$40:$H$42,MATCH('Model Inputs &amp; Assumptions'!$L$31,'Model Inputs &amp; Assumptions'!$A$40:$A$42,0))</f>
        <v>945159.385350113</v>
      </c>
      <c r="K1730" s="49" t="n">
        <f aca="false">H1730*INDEX('Model Inputs &amp; Assumptions'!$G$40:$G$42,MATCH('Model Inputs &amp; Assumptions'!$L$31,'Model Inputs &amp; Assumptions'!$A$40:$A$42,0))*INDEX('Model Inputs &amp; Assumptions'!$H$40:$H$42,MATCH('Model Inputs &amp; Assumptions'!$L$31,'Model Inputs &amp; Assumptions'!$A$40:$A$42,0))</f>
        <v>20840.76444697</v>
      </c>
      <c r="L1730" s="51" t="n">
        <f aca="false">IFERROR(K1730/I1730,0)</f>
        <v>3.89036967907998</v>
      </c>
      <c r="M1730" s="49" t="n">
        <f aca="false">IFERROR(I1730/H1730,0)</f>
        <v>40.8084611736807</v>
      </c>
      <c r="N1730" s="52" t="str">
        <f aca="false">'Model Inputs &amp; Assumptions'!$L$31</f>
        <v>PRD-USIQ</v>
      </c>
      <c r="P1730" s="53" t="n">
        <v>0.081106</v>
      </c>
      <c r="Q1730" s="53" t="n">
        <v>0.892034</v>
      </c>
      <c r="R1730" s="53" t="n">
        <v>1.674555</v>
      </c>
      <c r="S1730" s="53" t="n">
        <v>1.72066</v>
      </c>
    </row>
    <row r="1731" customFormat="false" ht="15" hidden="false" customHeight="false" outlineLevel="0" collapsed="false">
      <c r="A1731" s="43" t="n">
        <v>228</v>
      </c>
      <c r="B1731" s="44" t="str">
        <f aca="false">'Model Inputs &amp; Assumptions'!$B$31</f>
        <v>YouTube — Finfluencer Pre-roll</v>
      </c>
      <c r="C1731" s="45" t="n">
        <f aca="false">ROUND(MAX(0,'Model Inputs &amp; Assumptions'!$S$31*EXP('Model Inputs &amp; Assumptions'!$T$31*P1731-'Model Inputs &amp; Assumptions'!$T$31^2/2)),0)</f>
        <v>656168</v>
      </c>
      <c r="D1731" s="46" t="n">
        <f aca="false">MIN(1,'Model Inputs &amp; Assumptions'!$U$31*EXP('Model Inputs &amp; Assumptions'!$V$31*Q1731-'Model Inputs &amp; Assumptions'!$V$31^2/2))</f>
        <v>0.723758357922349</v>
      </c>
      <c r="E1731" s="45" t="n">
        <f aca="false">ROUND(C1731*D1731,0)</f>
        <v>474907</v>
      </c>
      <c r="F1731" s="47" t="n">
        <f aca="false">MIN(1,'Model Inputs &amp; Assumptions'!$W$31*EXP('Model Inputs &amp; Assumptions'!$X$31*R1731-'Model Inputs &amp; Assumptions'!$X$31^2/2))</f>
        <v>0.00431463871110888</v>
      </c>
      <c r="G1731" s="45" t="n">
        <f aca="false">ROUND(C1731*F1731,0)</f>
        <v>2831</v>
      </c>
      <c r="H1731" s="48" t="n">
        <f aca="false">MAX(0,(C1731*'Model Inputs &amp; Assumptions'!$N$31+E1731*'Model Inputs &amp; Assumptions'!$O$31+G1731*'Model Inputs &amp; Assumptions'!$P$31)*EXP('Model Inputs &amp; Assumptions'!$Q$31*S1731-'Model Inputs &amp; Assumptions'!$Q$31^2/2))</f>
        <v>89.0883737394003</v>
      </c>
      <c r="I1731" s="49" t="n">
        <f aca="false">IF('Model Inputs &amp; Assumptions'!$H$31="Fixed",'Model Inputs &amp; Assumptions'!$I$31*'Model Inputs &amp; Assumptions'!$K$31,IF('Model Inputs &amp; Assumptions'!$H$31="CPM",'Model Inputs &amp; Assumptions'!$I$31*'Model Inputs &amp; Assumptions'!$K$31*C1731/1000,IF('Model Inputs &amp; Assumptions'!$H$31="CPC",'Model Inputs &amp; Assumptions'!$I$31*'Model Inputs &amp; Assumptions'!$K$31*G1731,0)))</f>
        <v>7444.882128</v>
      </c>
      <c r="J1731" s="50" t="n">
        <f aca="false">H1731*INDEX('Model Inputs &amp; Assumptions'!$D$40:$D$42,MATCH('Model Inputs &amp; Assumptions'!$L$31,'Model Inputs &amp; Assumptions'!$A$40:$A$42,0))*INDEX('Model Inputs &amp; Assumptions'!$H$40:$H$42,MATCH('Model Inputs &amp; Assumptions'!$L$31,'Model Inputs &amp; Assumptions'!$A$40:$A$42,0))</f>
        <v>641436.290923682</v>
      </c>
      <c r="K1731" s="49" t="n">
        <f aca="false">H1731*INDEX('Model Inputs &amp; Assumptions'!$G$40:$G$42,MATCH('Model Inputs &amp; Assumptions'!$L$31,'Model Inputs &amp; Assumptions'!$A$40:$A$42,0))*INDEX('Model Inputs &amp; Assumptions'!$H$40:$H$42,MATCH('Model Inputs &amp; Assumptions'!$L$31,'Model Inputs &amp; Assumptions'!$A$40:$A$42,0))</f>
        <v>14143.6702148672</v>
      </c>
      <c r="L1731" s="51" t="n">
        <f aca="false">IFERROR(K1731/I1731,0)</f>
        <v>1.89978430439795</v>
      </c>
      <c r="M1731" s="49" t="n">
        <f aca="false">IFERROR(I1731/H1731,0)</f>
        <v>83.5673816403657</v>
      </c>
      <c r="N1731" s="52" t="str">
        <f aca="false">'Model Inputs &amp; Assumptions'!$L$31</f>
        <v>PRD-USIQ</v>
      </c>
      <c r="P1731" s="53" t="n">
        <v>1.256536</v>
      </c>
      <c r="Q1731" s="53" t="n">
        <v>1.529536</v>
      </c>
      <c r="R1731" s="53" t="n">
        <v>-0.494268</v>
      </c>
      <c r="S1731" s="53" t="n">
        <v>0.46614</v>
      </c>
    </row>
    <row r="1732" customFormat="false" ht="15" hidden="false" customHeight="false" outlineLevel="0" collapsed="false">
      <c r="A1732" s="43" t="n">
        <v>229</v>
      </c>
      <c r="B1732" s="44" t="str">
        <f aca="false">'Model Inputs &amp; Assumptions'!$B$31</f>
        <v>YouTube — Finfluencer Pre-roll</v>
      </c>
      <c r="C1732" s="45" t="n">
        <f aca="false">ROUND(MAX(0,'Model Inputs &amp; Assumptions'!$S$31*EXP('Model Inputs &amp; Assumptions'!$T$31*P1732-'Model Inputs &amp; Assumptions'!$T$31^2/2)),0)</f>
        <v>346320</v>
      </c>
      <c r="D1732" s="46" t="n">
        <f aca="false">MIN(1,'Model Inputs &amp; Assumptions'!$U$31*EXP('Model Inputs &amp; Assumptions'!$V$31*Q1732-'Model Inputs &amp; Assumptions'!$V$31^2/2))</f>
        <v>0.586981860261357</v>
      </c>
      <c r="E1732" s="45" t="n">
        <f aca="false">ROUND(C1732*D1732,0)</f>
        <v>203284</v>
      </c>
      <c r="F1732" s="47" t="n">
        <f aca="false">MIN(1,'Model Inputs &amp; Assumptions'!$W$31*EXP('Model Inputs &amp; Assumptions'!$X$31*R1732-'Model Inputs &amp; Assumptions'!$X$31^2/2))</f>
        <v>0.00362331673839268</v>
      </c>
      <c r="G1732" s="45" t="n">
        <f aca="false">ROUND(C1732*F1732,0)</f>
        <v>1255</v>
      </c>
      <c r="H1732" s="48" t="n">
        <f aca="false">MAX(0,(C1732*'Model Inputs &amp; Assumptions'!$N$31+E1732*'Model Inputs &amp; Assumptions'!$O$31+G1732*'Model Inputs &amp; Assumptions'!$P$31)*EXP('Model Inputs &amp; Assumptions'!$Q$31*S1732-'Model Inputs &amp; Assumptions'!$Q$31^2/2))</f>
        <v>35.8190620682652</v>
      </c>
      <c r="I1732" s="49" t="n">
        <f aca="false">IF('Model Inputs &amp; Assumptions'!$H$31="Fixed",'Model Inputs &amp; Assumptions'!$I$31*'Model Inputs &amp; Assumptions'!$K$31,IF('Model Inputs &amp; Assumptions'!$H$31="CPM",'Model Inputs &amp; Assumptions'!$I$31*'Model Inputs &amp; Assumptions'!$K$31*C1732/1000,IF('Model Inputs &amp; Assumptions'!$H$31="CPC",'Model Inputs &amp; Assumptions'!$I$31*'Model Inputs &amp; Assumptions'!$K$31*G1732,0)))</f>
        <v>3929.34672</v>
      </c>
      <c r="J1732" s="50" t="n">
        <f aca="false">H1732*INDEX('Model Inputs &amp; Assumptions'!$D$40:$D$42,MATCH('Model Inputs &amp; Assumptions'!$L$31,'Model Inputs &amp; Assumptions'!$A$40:$A$42,0))*INDEX('Model Inputs &amp; Assumptions'!$H$40:$H$42,MATCH('Model Inputs &amp; Assumptions'!$L$31,'Model Inputs &amp; Assumptions'!$A$40:$A$42,0))</f>
        <v>257897.246891509</v>
      </c>
      <c r="K1732" s="49" t="n">
        <f aca="false">H1732*INDEX('Model Inputs &amp; Assumptions'!$G$40:$G$42,MATCH('Model Inputs &amp; Assumptions'!$L$31,'Model Inputs &amp; Assumptions'!$A$40:$A$42,0))*INDEX('Model Inputs &amp; Assumptions'!$H$40:$H$42,MATCH('Model Inputs &amp; Assumptions'!$L$31,'Model Inputs &amp; Assumptions'!$A$40:$A$42,0))</f>
        <v>5686.63429395778</v>
      </c>
      <c r="L1732" s="51" t="n">
        <f aca="false">IFERROR(K1732/I1732,0)</f>
        <v>1.44722130653764</v>
      </c>
      <c r="M1732" s="49" t="n">
        <f aca="false">IFERROR(I1732/H1732,0)</f>
        <v>109.699877470586</v>
      </c>
      <c r="N1732" s="52" t="str">
        <f aca="false">'Model Inputs &amp; Assumptions'!$L$31</f>
        <v>PRD-USIQ</v>
      </c>
      <c r="P1732" s="53" t="n">
        <v>-1.025794</v>
      </c>
      <c r="Q1732" s="53" t="n">
        <v>0.033367</v>
      </c>
      <c r="R1732" s="53" t="n">
        <v>-1.221867</v>
      </c>
      <c r="S1732" s="53" t="n">
        <v>0.23394</v>
      </c>
    </row>
    <row r="1733" customFormat="false" ht="15" hidden="false" customHeight="false" outlineLevel="0" collapsed="false">
      <c r="A1733" s="43" t="n">
        <v>230</v>
      </c>
      <c r="B1733" s="44" t="str">
        <f aca="false">'Model Inputs &amp; Assumptions'!$B$31</f>
        <v>YouTube — Finfluencer Pre-roll</v>
      </c>
      <c r="C1733" s="45" t="n">
        <f aca="false">ROUND(MAX(0,'Model Inputs &amp; Assumptions'!$S$31*EXP('Model Inputs &amp; Assumptions'!$T$31*P1733-'Model Inputs &amp; Assumptions'!$T$31^2/2)),0)</f>
        <v>645321</v>
      </c>
      <c r="D1733" s="46" t="n">
        <f aca="false">MIN(1,'Model Inputs &amp; Assumptions'!$U$31*EXP('Model Inputs &amp; Assumptions'!$V$31*Q1733-'Model Inputs &amp; Assumptions'!$V$31^2/2))</f>
        <v>0.595422428139003</v>
      </c>
      <c r="E1733" s="45" t="n">
        <f aca="false">ROUND(C1733*D1733,0)</f>
        <v>384239</v>
      </c>
      <c r="F1733" s="47" t="n">
        <f aca="false">MIN(1,'Model Inputs &amp; Assumptions'!$W$31*EXP('Model Inputs &amp; Assumptions'!$X$31*R1733-'Model Inputs &amp; Assumptions'!$X$31^2/2))</f>
        <v>0.00548317499828744</v>
      </c>
      <c r="G1733" s="45" t="n">
        <f aca="false">ROUND(C1733*F1733,0)</f>
        <v>3538</v>
      </c>
      <c r="H1733" s="48" t="n">
        <f aca="false">MAX(0,(C1733*'Model Inputs &amp; Assumptions'!$N$31+E1733*'Model Inputs &amp; Assumptions'!$O$31+G1733*'Model Inputs &amp; Assumptions'!$P$31)*EXP('Model Inputs &amp; Assumptions'!$Q$31*S1733-'Model Inputs &amp; Assumptions'!$Q$31^2/2))</f>
        <v>99.4086649218588</v>
      </c>
      <c r="I1733" s="49" t="n">
        <f aca="false">IF('Model Inputs &amp; Assumptions'!$H$31="Fixed",'Model Inputs &amp; Assumptions'!$I$31*'Model Inputs &amp; Assumptions'!$K$31,IF('Model Inputs &amp; Assumptions'!$H$31="CPM",'Model Inputs &amp; Assumptions'!$I$31*'Model Inputs &amp; Assumptions'!$K$31*C1733/1000,IF('Model Inputs &amp; Assumptions'!$H$31="CPC",'Model Inputs &amp; Assumptions'!$I$31*'Model Inputs &amp; Assumptions'!$K$31*G1733,0)))</f>
        <v>7321.812066</v>
      </c>
      <c r="J1733" s="50" t="n">
        <f aca="false">H1733*INDEX('Model Inputs &amp; Assumptions'!$D$40:$D$42,MATCH('Model Inputs &amp; Assumptions'!$L$31,'Model Inputs &amp; Assumptions'!$A$40:$A$42,0))*INDEX('Model Inputs &amp; Assumptions'!$H$40:$H$42,MATCH('Model Inputs &amp; Assumptions'!$L$31,'Model Inputs &amp; Assumptions'!$A$40:$A$42,0))</f>
        <v>715742.387437383</v>
      </c>
      <c r="K1733" s="49" t="n">
        <f aca="false">H1733*INDEX('Model Inputs &amp; Assumptions'!$G$40:$G$42,MATCH('Model Inputs &amp; Assumptions'!$L$31,'Model Inputs &amp; Assumptions'!$A$40:$A$42,0))*INDEX('Model Inputs &amp; Assumptions'!$H$40:$H$42,MATCH('Model Inputs &amp; Assumptions'!$L$31,'Model Inputs &amp; Assumptions'!$A$40:$A$42,0))</f>
        <v>15782.1196429943</v>
      </c>
      <c r="L1733" s="51" t="n">
        <f aca="false">IFERROR(K1733/I1733,0)</f>
        <v>2.15549368117233</v>
      </c>
      <c r="M1733" s="49" t="n">
        <f aca="false">IFERROR(I1733/H1733,0)</f>
        <v>73.6536605914121</v>
      </c>
      <c r="N1733" s="52" t="str">
        <f aca="false">'Model Inputs &amp; Assumptions'!$L$31</f>
        <v>PRD-USIQ</v>
      </c>
      <c r="P1733" s="53" t="n">
        <v>1.197008</v>
      </c>
      <c r="Q1733" s="53" t="n">
        <v>0.135347</v>
      </c>
      <c r="R1733" s="53" t="n">
        <v>0.50436</v>
      </c>
      <c r="S1733" s="53" t="n">
        <v>0.662707</v>
      </c>
    </row>
    <row r="1734" customFormat="false" ht="15" hidden="false" customHeight="false" outlineLevel="0" collapsed="false">
      <c r="A1734" s="43" t="n">
        <v>231</v>
      </c>
      <c r="B1734" s="44" t="str">
        <f aca="false">'Model Inputs &amp; Assumptions'!$B$31</f>
        <v>YouTube — Finfluencer Pre-roll</v>
      </c>
      <c r="C1734" s="45" t="n">
        <f aca="false">ROUND(MAX(0,'Model Inputs &amp; Assumptions'!$S$31*EXP('Model Inputs &amp; Assumptions'!$T$31*P1734-'Model Inputs &amp; Assumptions'!$T$31^2/2)),0)</f>
        <v>467227</v>
      </c>
      <c r="D1734" s="46" t="n">
        <f aca="false">MIN(1,'Model Inputs &amp; Assumptions'!$U$31*EXP('Model Inputs &amp; Assumptions'!$V$31*Q1734-'Model Inputs &amp; Assumptions'!$V$31^2/2))</f>
        <v>0.592897679504483</v>
      </c>
      <c r="E1734" s="45" t="n">
        <f aca="false">ROUND(C1734*D1734,0)</f>
        <v>277018</v>
      </c>
      <c r="F1734" s="47" t="n">
        <f aca="false">MIN(1,'Model Inputs &amp; Assumptions'!$W$31*EXP('Model Inputs &amp; Assumptions'!$X$31*R1734-'Model Inputs &amp; Assumptions'!$X$31^2/2))</f>
        <v>0.00561106147257454</v>
      </c>
      <c r="G1734" s="45" t="n">
        <f aca="false">ROUND(C1734*F1734,0)</f>
        <v>2622</v>
      </c>
      <c r="H1734" s="48" t="n">
        <f aca="false">MAX(0,(C1734*'Model Inputs &amp; Assumptions'!$N$31+E1734*'Model Inputs &amp; Assumptions'!$O$31+G1734*'Model Inputs &amp; Assumptions'!$P$31)*EXP('Model Inputs &amp; Assumptions'!$Q$31*S1734-'Model Inputs &amp; Assumptions'!$Q$31^2/2))</f>
        <v>38.4127919620991</v>
      </c>
      <c r="I1734" s="49" t="n">
        <f aca="false">IF('Model Inputs &amp; Assumptions'!$H$31="Fixed",'Model Inputs &amp; Assumptions'!$I$31*'Model Inputs &amp; Assumptions'!$K$31,IF('Model Inputs &amp; Assumptions'!$H$31="CPM",'Model Inputs &amp; Assumptions'!$I$31*'Model Inputs &amp; Assumptions'!$K$31*C1734/1000,IF('Model Inputs &amp; Assumptions'!$H$31="CPC",'Model Inputs &amp; Assumptions'!$I$31*'Model Inputs &amp; Assumptions'!$K$31*G1734,0)))</f>
        <v>5301.157542</v>
      </c>
      <c r="J1734" s="50" t="n">
        <f aca="false">H1734*INDEX('Model Inputs &amp; Assumptions'!$D$40:$D$42,MATCH('Model Inputs &amp; Assumptions'!$L$31,'Model Inputs &amp; Assumptions'!$A$40:$A$42,0))*INDEX('Model Inputs &amp; Assumptions'!$H$40:$H$42,MATCH('Model Inputs &amp; Assumptions'!$L$31,'Model Inputs &amp; Assumptions'!$A$40:$A$42,0))</f>
        <v>276572.102127114</v>
      </c>
      <c r="K1734" s="49" t="n">
        <f aca="false">H1734*INDEX('Model Inputs &amp; Assumptions'!$G$40:$G$42,MATCH('Model Inputs &amp; Assumptions'!$L$31,'Model Inputs &amp; Assumptions'!$A$40:$A$42,0))*INDEX('Model Inputs &amp; Assumptions'!$H$40:$H$42,MATCH('Model Inputs &amp; Assumptions'!$L$31,'Model Inputs &amp; Assumptions'!$A$40:$A$42,0))</f>
        <v>6098.41485190285</v>
      </c>
      <c r="L1734" s="51" t="n">
        <f aca="false">IFERROR(K1734/I1734,0)</f>
        <v>1.15039306106003</v>
      </c>
      <c r="M1734" s="49" t="n">
        <f aca="false">IFERROR(I1734/H1734,0)</f>
        <v>138.005004875212</v>
      </c>
      <c r="N1734" s="52" t="str">
        <f aca="false">'Model Inputs &amp; Assumptions'!$L$31</f>
        <v>PRD-USIQ</v>
      </c>
      <c r="P1734" s="53" t="n">
        <v>0.043679</v>
      </c>
      <c r="Q1734" s="53" t="n">
        <v>0.104995</v>
      </c>
      <c r="R1734" s="53" t="n">
        <v>0.600425</v>
      </c>
      <c r="S1734" s="53" t="n">
        <v>-1.169307</v>
      </c>
    </row>
    <row r="1735" customFormat="false" ht="15" hidden="false" customHeight="false" outlineLevel="0" collapsed="false">
      <c r="A1735" s="43" t="n">
        <v>232</v>
      </c>
      <c r="B1735" s="44" t="str">
        <f aca="false">'Model Inputs &amp; Assumptions'!$B$31</f>
        <v>YouTube — Finfluencer Pre-roll</v>
      </c>
      <c r="C1735" s="45" t="n">
        <f aca="false">ROUND(MAX(0,'Model Inputs &amp; Assumptions'!$S$31*EXP('Model Inputs &amp; Assumptions'!$T$31*P1735-'Model Inputs &amp; Assumptions'!$T$31^2/2)),0)</f>
        <v>607828</v>
      </c>
      <c r="D1735" s="46" t="n">
        <f aca="false">MIN(1,'Model Inputs &amp; Assumptions'!$U$31*EXP('Model Inputs &amp; Assumptions'!$V$31*Q1735-'Model Inputs &amp; Assumptions'!$V$31^2/2))</f>
        <v>0.641675803324558</v>
      </c>
      <c r="E1735" s="45" t="n">
        <f aca="false">ROUND(C1735*D1735,0)</f>
        <v>390029</v>
      </c>
      <c r="F1735" s="47" t="n">
        <f aca="false">MIN(1,'Model Inputs &amp; Assumptions'!$W$31*EXP('Model Inputs &amp; Assumptions'!$X$31*R1735-'Model Inputs &amp; Assumptions'!$X$31^2/2))</f>
        <v>0.00824025089956455</v>
      </c>
      <c r="G1735" s="45" t="n">
        <f aca="false">ROUND(C1735*F1735,0)</f>
        <v>5009</v>
      </c>
      <c r="H1735" s="48" t="n">
        <f aca="false">MAX(0,(C1735*'Model Inputs &amp; Assumptions'!$N$31+E1735*'Model Inputs &amp; Assumptions'!$O$31+G1735*'Model Inputs &amp; Assumptions'!$P$31)*EXP('Model Inputs &amp; Assumptions'!$Q$31*S1735-'Model Inputs &amp; Assumptions'!$Q$31^2/2))</f>
        <v>202.077594650973</v>
      </c>
      <c r="I1735" s="49" t="n">
        <f aca="false">IF('Model Inputs &amp; Assumptions'!$H$31="Fixed",'Model Inputs &amp; Assumptions'!$I$31*'Model Inputs &amp; Assumptions'!$K$31,IF('Model Inputs &amp; Assumptions'!$H$31="CPM",'Model Inputs &amp; Assumptions'!$I$31*'Model Inputs &amp; Assumptions'!$K$31*C1735/1000,IF('Model Inputs &amp; Assumptions'!$H$31="CPC",'Model Inputs &amp; Assumptions'!$I$31*'Model Inputs &amp; Assumptions'!$K$31*G1735,0)))</f>
        <v>6896.416488</v>
      </c>
      <c r="J1735" s="50" t="n">
        <f aca="false">H1735*INDEX('Model Inputs &amp; Assumptions'!$D$40:$D$42,MATCH('Model Inputs &amp; Assumptions'!$L$31,'Model Inputs &amp; Assumptions'!$A$40:$A$42,0))*INDEX('Model Inputs &amp; Assumptions'!$H$40:$H$42,MATCH('Model Inputs &amp; Assumptions'!$L$31,'Model Inputs &amp; Assumptions'!$A$40:$A$42,0))</f>
        <v>1454958.681487</v>
      </c>
      <c r="K1735" s="49" t="n">
        <f aca="false">H1735*INDEX('Model Inputs &amp; Assumptions'!$G$40:$G$42,MATCH('Model Inputs &amp; Assumptions'!$L$31,'Model Inputs &amp; Assumptions'!$A$40:$A$42,0))*INDEX('Model Inputs &amp; Assumptions'!$H$40:$H$42,MATCH('Model Inputs &amp; Assumptions'!$L$31,'Model Inputs &amp; Assumptions'!$A$40:$A$42,0))</f>
        <v>32081.8389267885</v>
      </c>
      <c r="L1735" s="51" t="n">
        <f aca="false">IFERROR(K1735/I1735,0)</f>
        <v>4.65195786574259</v>
      </c>
      <c r="M1735" s="49" t="n">
        <f aca="false">IFERROR(I1735/H1735,0)</f>
        <v>34.1275661951116</v>
      </c>
      <c r="N1735" s="52" t="str">
        <f aca="false">'Model Inputs &amp; Assumptions'!$L$31</f>
        <v>PRD-USIQ</v>
      </c>
      <c r="P1735" s="53" t="n">
        <v>0.983237</v>
      </c>
      <c r="Q1735" s="53" t="n">
        <v>0.669719</v>
      </c>
      <c r="R1735" s="53" t="n">
        <v>2.201637</v>
      </c>
      <c r="S1735" s="53" t="n">
        <v>2.009387</v>
      </c>
    </row>
    <row r="1736" customFormat="false" ht="15" hidden="false" customHeight="false" outlineLevel="0" collapsed="false">
      <c r="A1736" s="43" t="n">
        <v>233</v>
      </c>
      <c r="B1736" s="44" t="str">
        <f aca="false">'Model Inputs &amp; Assumptions'!$B$31</f>
        <v>YouTube — Finfluencer Pre-roll</v>
      </c>
      <c r="C1736" s="45" t="n">
        <f aca="false">ROUND(MAX(0,'Model Inputs &amp; Assumptions'!$S$31*EXP('Model Inputs &amp; Assumptions'!$T$31*P1736-'Model Inputs &amp; Assumptions'!$T$31^2/2)),0)</f>
        <v>406938</v>
      </c>
      <c r="D1736" s="46" t="n">
        <f aca="false">MIN(1,'Model Inputs &amp; Assumptions'!$U$31*EXP('Model Inputs &amp; Assumptions'!$V$31*Q1736-'Model Inputs &amp; Assumptions'!$V$31^2/2))</f>
        <v>0.55191554528506</v>
      </c>
      <c r="E1736" s="45" t="n">
        <f aca="false">ROUND(C1736*D1736,0)</f>
        <v>224595</v>
      </c>
      <c r="F1736" s="47" t="n">
        <f aca="false">MIN(1,'Model Inputs &amp; Assumptions'!$W$31*EXP('Model Inputs &amp; Assumptions'!$X$31*R1736-'Model Inputs &amp; Assumptions'!$X$31^2/2))</f>
        <v>0.00602264175281234</v>
      </c>
      <c r="G1736" s="45" t="n">
        <f aca="false">ROUND(C1736*F1736,0)</f>
        <v>2451</v>
      </c>
      <c r="H1736" s="48" t="n">
        <f aca="false">MAX(0,(C1736*'Model Inputs &amp; Assumptions'!$N$31+E1736*'Model Inputs &amp; Assumptions'!$O$31+G1736*'Model Inputs &amp; Assumptions'!$P$31)*EXP('Model Inputs &amp; Assumptions'!$Q$31*S1736-'Model Inputs &amp; Assumptions'!$Q$31^2/2))</f>
        <v>81.9381225996887</v>
      </c>
      <c r="I1736" s="49" t="n">
        <f aca="false">IF('Model Inputs &amp; Assumptions'!$H$31="Fixed",'Model Inputs &amp; Assumptions'!$I$31*'Model Inputs &amp; Assumptions'!$K$31,IF('Model Inputs &amp; Assumptions'!$H$31="CPM",'Model Inputs &amp; Assumptions'!$I$31*'Model Inputs &amp; Assumptions'!$K$31*C1736/1000,IF('Model Inputs &amp; Assumptions'!$H$31="CPC",'Model Inputs &amp; Assumptions'!$I$31*'Model Inputs &amp; Assumptions'!$K$31*G1736,0)))</f>
        <v>4617.118548</v>
      </c>
      <c r="J1736" s="50" t="n">
        <f aca="false">H1736*INDEX('Model Inputs &amp; Assumptions'!$D$40:$D$42,MATCH('Model Inputs &amp; Assumptions'!$L$31,'Model Inputs &amp; Assumptions'!$A$40:$A$42,0))*INDEX('Model Inputs &amp; Assumptions'!$H$40:$H$42,MATCH('Model Inputs &amp; Assumptions'!$L$31,'Model Inputs &amp; Assumptions'!$A$40:$A$42,0))</f>
        <v>589954.482717759</v>
      </c>
      <c r="K1736" s="49" t="n">
        <f aca="false">H1736*INDEX('Model Inputs &amp; Assumptions'!$G$40:$G$42,MATCH('Model Inputs &amp; Assumptions'!$L$31,'Model Inputs &amp; Assumptions'!$A$40:$A$42,0))*INDEX('Model Inputs &amp; Assumptions'!$H$40:$H$42,MATCH('Model Inputs &amp; Assumptions'!$L$31,'Model Inputs &amp; Assumptions'!$A$40:$A$42,0))</f>
        <v>13008.4963439266</v>
      </c>
      <c r="L1736" s="51" t="n">
        <f aca="false">IFERROR(K1736/I1736,0)</f>
        <v>2.81744906670449</v>
      </c>
      <c r="M1736" s="49" t="n">
        <f aca="false">IFERROR(I1736/H1736,0)</f>
        <v>56.3488447319825</v>
      </c>
      <c r="N1736" s="52" t="str">
        <f aca="false">'Model Inputs &amp; Assumptions'!$L$31</f>
        <v>PRD-USIQ</v>
      </c>
      <c r="P1736" s="53" t="n">
        <v>-0.449731</v>
      </c>
      <c r="Q1736" s="53" t="n">
        <v>-0.406625</v>
      </c>
      <c r="R1736" s="53" t="n">
        <v>0.895367</v>
      </c>
      <c r="S1736" s="53" t="n">
        <v>1.327871</v>
      </c>
    </row>
    <row r="1737" customFormat="false" ht="15" hidden="false" customHeight="false" outlineLevel="0" collapsed="false">
      <c r="A1737" s="43" t="n">
        <v>234</v>
      </c>
      <c r="B1737" s="44" t="str">
        <f aca="false">'Model Inputs &amp; Assumptions'!$B$31</f>
        <v>YouTube — Finfluencer Pre-roll</v>
      </c>
      <c r="C1737" s="45" t="n">
        <f aca="false">ROUND(MAX(0,'Model Inputs &amp; Assumptions'!$S$31*EXP('Model Inputs &amp; Assumptions'!$T$31*P1737-'Model Inputs &amp; Assumptions'!$T$31^2/2)),0)</f>
        <v>610544</v>
      </c>
      <c r="D1737" s="46" t="n">
        <f aca="false">MIN(1,'Model Inputs &amp; Assumptions'!$U$31*EXP('Model Inputs &amp; Assumptions'!$V$31*Q1737-'Model Inputs &amp; Assumptions'!$V$31^2/2))</f>
        <v>0.591449011042025</v>
      </c>
      <c r="E1737" s="45" t="n">
        <f aca="false">ROUND(C1737*D1737,0)</f>
        <v>361106</v>
      </c>
      <c r="F1737" s="47" t="n">
        <f aca="false">MIN(1,'Model Inputs &amp; Assumptions'!$W$31*EXP('Model Inputs &amp; Assumptions'!$X$31*R1737-'Model Inputs &amp; Assumptions'!$X$31^2/2))</f>
        <v>0.00864469287712409</v>
      </c>
      <c r="G1737" s="45" t="n">
        <f aca="false">ROUND(C1737*F1737,0)</f>
        <v>5278</v>
      </c>
      <c r="H1737" s="48" t="n">
        <f aca="false">MAX(0,(C1737*'Model Inputs &amp; Assumptions'!$N$31+E1737*'Model Inputs &amp; Assumptions'!$O$31+G1737*'Model Inputs &amp; Assumptions'!$P$31)*EXP('Model Inputs &amp; Assumptions'!$Q$31*S1737-'Model Inputs &amp; Assumptions'!$Q$31^2/2))</f>
        <v>108.480850254973</v>
      </c>
      <c r="I1737" s="49" t="n">
        <f aca="false">IF('Model Inputs &amp; Assumptions'!$H$31="Fixed",'Model Inputs &amp; Assumptions'!$I$31*'Model Inputs &amp; Assumptions'!$K$31,IF('Model Inputs &amp; Assumptions'!$H$31="CPM",'Model Inputs &amp; Assumptions'!$I$31*'Model Inputs &amp; Assumptions'!$K$31*C1737/1000,IF('Model Inputs &amp; Assumptions'!$H$31="CPC",'Model Inputs &amp; Assumptions'!$I$31*'Model Inputs &amp; Assumptions'!$K$31*G1737,0)))</f>
        <v>6927.232224</v>
      </c>
      <c r="J1737" s="50" t="n">
        <f aca="false">H1737*INDEX('Model Inputs &amp; Assumptions'!$D$40:$D$42,MATCH('Model Inputs &amp; Assumptions'!$L$31,'Model Inputs &amp; Assumptions'!$A$40:$A$42,0))*INDEX('Model Inputs &amp; Assumptions'!$H$40:$H$42,MATCH('Model Inputs &amp; Assumptions'!$L$31,'Model Inputs &amp; Assumptions'!$A$40:$A$42,0))</f>
        <v>781062.121835803</v>
      </c>
      <c r="K1737" s="49" t="n">
        <f aca="false">H1737*INDEX('Model Inputs &amp; Assumptions'!$G$40:$G$42,MATCH('Model Inputs &amp; Assumptions'!$L$31,'Model Inputs &amp; Assumptions'!$A$40:$A$42,0))*INDEX('Model Inputs &amp; Assumptions'!$H$40:$H$42,MATCH('Model Inputs &amp; Assumptions'!$L$31,'Model Inputs &amp; Assumptions'!$A$40:$A$42,0))</f>
        <v>17222.4197864795</v>
      </c>
      <c r="L1737" s="51" t="n">
        <f aca="false">IFERROR(K1737/I1737,0)</f>
        <v>2.48619062124276</v>
      </c>
      <c r="M1737" s="49" t="n">
        <f aca="false">IFERROR(I1737/H1737,0)</f>
        <v>63.8567287011328</v>
      </c>
      <c r="N1737" s="52" t="str">
        <f aca="false">'Model Inputs &amp; Assumptions'!$L$31</f>
        <v>PRD-USIQ</v>
      </c>
      <c r="P1737" s="53" t="n">
        <v>0.99916</v>
      </c>
      <c r="Q1737" s="53" t="n">
        <v>0.087521</v>
      </c>
      <c r="R1737" s="53" t="n">
        <v>2.401282</v>
      </c>
      <c r="S1737" s="53" t="n">
        <v>0.186146</v>
      </c>
    </row>
    <row r="1738" customFormat="false" ht="15" hidden="false" customHeight="false" outlineLevel="0" collapsed="false">
      <c r="A1738" s="43" t="n">
        <v>235</v>
      </c>
      <c r="B1738" s="44" t="str">
        <f aca="false">'Model Inputs &amp; Assumptions'!$B$31</f>
        <v>YouTube — Finfluencer Pre-roll</v>
      </c>
      <c r="C1738" s="45" t="n">
        <f aca="false">ROUND(MAX(0,'Model Inputs &amp; Assumptions'!$S$31*EXP('Model Inputs &amp; Assumptions'!$T$31*P1738-'Model Inputs &amp; Assumptions'!$T$31^2/2)),0)</f>
        <v>343451</v>
      </c>
      <c r="D1738" s="46" t="n">
        <f aca="false">MIN(1,'Model Inputs &amp; Assumptions'!$U$31*EXP('Model Inputs &amp; Assumptions'!$V$31*Q1738-'Model Inputs &amp; Assumptions'!$V$31^2/2))</f>
        <v>0.576913070184996</v>
      </c>
      <c r="E1738" s="45" t="n">
        <f aca="false">ROUND(C1738*D1738,0)</f>
        <v>198141</v>
      </c>
      <c r="F1738" s="47" t="n">
        <f aca="false">MIN(1,'Model Inputs &amp; Assumptions'!$W$31*EXP('Model Inputs &amp; Assumptions'!$X$31*R1738-'Model Inputs &amp; Assumptions'!$X$31^2/2))</f>
        <v>0.00684749924868552</v>
      </c>
      <c r="G1738" s="45" t="n">
        <f aca="false">ROUND(C1738*F1738,0)</f>
        <v>2352</v>
      </c>
      <c r="H1738" s="48" t="n">
        <f aca="false">MAX(0,(C1738*'Model Inputs &amp; Assumptions'!$N$31+E1738*'Model Inputs &amp; Assumptions'!$O$31+G1738*'Model Inputs &amp; Assumptions'!$P$31)*EXP('Model Inputs &amp; Assumptions'!$Q$31*S1738-'Model Inputs &amp; Assumptions'!$Q$31^2/2))</f>
        <v>53.4347585292863</v>
      </c>
      <c r="I1738" s="49" t="n">
        <f aca="false">IF('Model Inputs &amp; Assumptions'!$H$31="Fixed",'Model Inputs &amp; Assumptions'!$I$31*'Model Inputs &amp; Assumptions'!$K$31,IF('Model Inputs &amp; Assumptions'!$H$31="CPM",'Model Inputs &amp; Assumptions'!$I$31*'Model Inputs &amp; Assumptions'!$K$31*C1738/1000,IF('Model Inputs &amp; Assumptions'!$H$31="CPC",'Model Inputs &amp; Assumptions'!$I$31*'Model Inputs &amp; Assumptions'!$K$31*G1738,0)))</f>
        <v>3896.795046</v>
      </c>
      <c r="J1738" s="50" t="n">
        <f aca="false">H1738*INDEX('Model Inputs &amp; Assumptions'!$D$40:$D$42,MATCH('Model Inputs &amp; Assumptions'!$L$31,'Model Inputs &amp; Assumptions'!$A$40:$A$42,0))*INDEX('Model Inputs &amp; Assumptions'!$H$40:$H$42,MATCH('Model Inputs &amp; Assumptions'!$L$31,'Model Inputs &amp; Assumptions'!$A$40:$A$42,0))</f>
        <v>384730.261410861</v>
      </c>
      <c r="K1738" s="49" t="n">
        <f aca="false">H1738*INDEX('Model Inputs &amp; Assumptions'!$G$40:$G$42,MATCH('Model Inputs &amp; Assumptions'!$L$31,'Model Inputs &amp; Assumptions'!$A$40:$A$42,0))*INDEX('Model Inputs &amp; Assumptions'!$H$40:$H$42,MATCH('Model Inputs &amp; Assumptions'!$L$31,'Model Inputs &amp; Assumptions'!$A$40:$A$42,0))</f>
        <v>8483.30226410949</v>
      </c>
      <c r="L1738" s="51" t="n">
        <f aca="false">IFERROR(K1738/I1738,0)</f>
        <v>2.17699472617054</v>
      </c>
      <c r="M1738" s="49" t="n">
        <f aca="false">IFERROR(I1738/H1738,0)</f>
        <v>72.9262216814222</v>
      </c>
      <c r="N1738" s="52" t="str">
        <f aca="false">'Model Inputs &amp; Assumptions'!$L$31</f>
        <v>PRD-USIQ</v>
      </c>
      <c r="P1738" s="53" t="n">
        <v>-1.055505</v>
      </c>
      <c r="Q1738" s="53" t="n">
        <v>-0.090221</v>
      </c>
      <c r="R1738" s="53" t="n">
        <v>1.43019</v>
      </c>
      <c r="S1738" s="53" t="n">
        <v>0.3009</v>
      </c>
    </row>
    <row r="1739" customFormat="false" ht="15" hidden="false" customHeight="false" outlineLevel="0" collapsed="false">
      <c r="A1739" s="43" t="n">
        <v>236</v>
      </c>
      <c r="B1739" s="44" t="str">
        <f aca="false">'Model Inputs &amp; Assumptions'!$B$31</f>
        <v>YouTube — Finfluencer Pre-roll</v>
      </c>
      <c r="C1739" s="45" t="n">
        <f aca="false">ROUND(MAX(0,'Model Inputs &amp; Assumptions'!$S$31*EXP('Model Inputs &amp; Assumptions'!$T$31*P1739-'Model Inputs &amp; Assumptions'!$T$31^2/2)),0)</f>
        <v>364885</v>
      </c>
      <c r="D1739" s="46" t="n">
        <f aca="false">MIN(1,'Model Inputs &amp; Assumptions'!$U$31*EXP('Model Inputs &amp; Assumptions'!$V$31*Q1739-'Model Inputs &amp; Assumptions'!$V$31^2/2))</f>
        <v>0.528424668534354</v>
      </c>
      <c r="E1739" s="45" t="n">
        <f aca="false">ROUND(C1739*D1739,0)</f>
        <v>192814</v>
      </c>
      <c r="F1739" s="47" t="n">
        <f aca="false">MIN(1,'Model Inputs &amp; Assumptions'!$W$31*EXP('Model Inputs &amp; Assumptions'!$X$31*R1739-'Model Inputs &amp; Assumptions'!$X$31^2/2))</f>
        <v>0.00694912611230452</v>
      </c>
      <c r="G1739" s="45" t="n">
        <f aca="false">ROUND(C1739*F1739,0)</f>
        <v>2536</v>
      </c>
      <c r="H1739" s="48" t="n">
        <f aca="false">MAX(0,(C1739*'Model Inputs &amp; Assumptions'!$N$31+E1739*'Model Inputs &amp; Assumptions'!$O$31+G1739*'Model Inputs &amp; Assumptions'!$P$31)*EXP('Model Inputs &amp; Assumptions'!$Q$31*S1739-'Model Inputs &amp; Assumptions'!$Q$31^2/2))</f>
        <v>37.0877278309982</v>
      </c>
      <c r="I1739" s="49" t="n">
        <f aca="false">IF('Model Inputs &amp; Assumptions'!$H$31="Fixed",'Model Inputs &amp; Assumptions'!$I$31*'Model Inputs &amp; Assumptions'!$K$31,IF('Model Inputs &amp; Assumptions'!$H$31="CPM",'Model Inputs &amp; Assumptions'!$I$31*'Model Inputs &amp; Assumptions'!$K$31*C1739/1000,IF('Model Inputs &amp; Assumptions'!$H$31="CPC",'Model Inputs &amp; Assumptions'!$I$31*'Model Inputs &amp; Assumptions'!$K$31*G1739,0)))</f>
        <v>4139.98521</v>
      </c>
      <c r="J1739" s="50" t="n">
        <f aca="false">H1739*INDEX('Model Inputs &amp; Assumptions'!$D$40:$D$42,MATCH('Model Inputs &amp; Assumptions'!$L$31,'Model Inputs &amp; Assumptions'!$A$40:$A$42,0))*INDEX('Model Inputs &amp; Assumptions'!$H$40:$H$42,MATCH('Model Inputs &amp; Assumptions'!$L$31,'Model Inputs &amp; Assumptions'!$A$40:$A$42,0))</f>
        <v>267031.640383187</v>
      </c>
      <c r="K1739" s="49" t="n">
        <f aca="false">H1739*INDEX('Model Inputs &amp; Assumptions'!$G$40:$G$42,MATCH('Model Inputs &amp; Assumptions'!$L$31,'Model Inputs &amp; Assumptions'!$A$40:$A$42,0))*INDEX('Model Inputs &amp; Assumptions'!$H$40:$H$42,MATCH('Model Inputs &amp; Assumptions'!$L$31,'Model Inputs &amp; Assumptions'!$A$40:$A$42,0))</f>
        <v>5888.04767044927</v>
      </c>
      <c r="L1739" s="51" t="n">
        <f aca="false">IFERROR(K1739/I1739,0)</f>
        <v>1.42223881772014</v>
      </c>
      <c r="M1739" s="49" t="n">
        <f aca="false">IFERROR(I1739/H1739,0)</f>
        <v>111.626822459039</v>
      </c>
      <c r="N1739" s="52" t="str">
        <f aca="false">'Model Inputs &amp; Assumptions'!$L$31</f>
        <v>PRD-USIQ</v>
      </c>
      <c r="P1739" s="53" t="n">
        <v>-0.839301</v>
      </c>
      <c r="Q1739" s="53" t="n">
        <v>-0.717302</v>
      </c>
      <c r="R1739" s="53" t="n">
        <v>1.491575</v>
      </c>
      <c r="S1739" s="53" t="n">
        <v>-0.869981</v>
      </c>
    </row>
    <row r="1740" customFormat="false" ht="15" hidden="false" customHeight="false" outlineLevel="0" collapsed="false">
      <c r="A1740" s="43" t="n">
        <v>237</v>
      </c>
      <c r="B1740" s="44" t="str">
        <f aca="false">'Model Inputs &amp; Assumptions'!$B$31</f>
        <v>YouTube — Finfluencer Pre-roll</v>
      </c>
      <c r="C1740" s="45" t="n">
        <f aca="false">ROUND(MAX(0,'Model Inputs &amp; Assumptions'!$S$31*EXP('Model Inputs &amp; Assumptions'!$T$31*P1740-'Model Inputs &amp; Assumptions'!$T$31^2/2)),0)</f>
        <v>605374</v>
      </c>
      <c r="D1740" s="46" t="n">
        <f aca="false">MIN(1,'Model Inputs &amp; Assumptions'!$U$31*EXP('Model Inputs &amp; Assumptions'!$V$31*Q1740-'Model Inputs &amp; Assumptions'!$V$31^2/2))</f>
        <v>0.663524193726185</v>
      </c>
      <c r="E1740" s="45" t="n">
        <f aca="false">ROUND(C1740*D1740,0)</f>
        <v>401680</v>
      </c>
      <c r="F1740" s="47" t="n">
        <f aca="false">MIN(1,'Model Inputs &amp; Assumptions'!$W$31*EXP('Model Inputs &amp; Assumptions'!$X$31*R1740-'Model Inputs &amp; Assumptions'!$X$31^2/2))</f>
        <v>0.00588975212321488</v>
      </c>
      <c r="G1740" s="45" t="n">
        <f aca="false">ROUND(C1740*F1740,0)</f>
        <v>3566</v>
      </c>
      <c r="H1740" s="48" t="n">
        <f aca="false">MAX(0,(C1740*'Model Inputs &amp; Assumptions'!$N$31+E1740*'Model Inputs &amp; Assumptions'!$O$31+G1740*'Model Inputs &amp; Assumptions'!$P$31)*EXP('Model Inputs &amp; Assumptions'!$Q$31*S1740-'Model Inputs &amp; Assumptions'!$Q$31^2/2))</f>
        <v>96.4135294980221</v>
      </c>
      <c r="I1740" s="49" t="n">
        <f aca="false">IF('Model Inputs &amp; Assumptions'!$H$31="Fixed",'Model Inputs &amp; Assumptions'!$I$31*'Model Inputs &amp; Assumptions'!$K$31,IF('Model Inputs &amp; Assumptions'!$H$31="CPM",'Model Inputs &amp; Assumptions'!$I$31*'Model Inputs &amp; Assumptions'!$K$31*C1740/1000,IF('Model Inputs &amp; Assumptions'!$H$31="CPC",'Model Inputs &amp; Assumptions'!$I$31*'Model Inputs &amp; Assumptions'!$K$31*G1740,0)))</f>
        <v>6868.573404</v>
      </c>
      <c r="J1740" s="50" t="n">
        <f aca="false">H1740*INDEX('Model Inputs &amp; Assumptions'!$D$40:$D$42,MATCH('Model Inputs &amp; Assumptions'!$L$31,'Model Inputs &amp; Assumptions'!$A$40:$A$42,0))*INDEX('Model Inputs &amp; Assumptions'!$H$40:$H$42,MATCH('Model Inputs &amp; Assumptions'!$L$31,'Model Inputs &amp; Assumptions'!$A$40:$A$42,0))</f>
        <v>694177.412385759</v>
      </c>
      <c r="K1740" s="49" t="n">
        <f aca="false">H1740*INDEX('Model Inputs &amp; Assumptions'!$G$40:$G$42,MATCH('Model Inputs &amp; Assumptions'!$L$31,'Model Inputs &amp; Assumptions'!$A$40:$A$42,0))*INDEX('Model Inputs &amp; Assumptions'!$H$40:$H$42,MATCH('Model Inputs &amp; Assumptions'!$L$31,'Model Inputs &amp; Assumptions'!$A$40:$A$42,0))</f>
        <v>15306.611943106</v>
      </c>
      <c r="L1740" s="51" t="n">
        <f aca="false">IFERROR(K1740/I1740,0)</f>
        <v>2.2284994339861</v>
      </c>
      <c r="M1740" s="49" t="n">
        <f aca="false">IFERROR(I1740/H1740,0)</f>
        <v>71.2407629900211</v>
      </c>
      <c r="N1740" s="52" t="str">
        <f aca="false">'Model Inputs &amp; Assumptions'!$L$31</f>
        <v>PRD-USIQ</v>
      </c>
      <c r="P1740" s="53" t="n">
        <v>0.968788</v>
      </c>
      <c r="Q1740" s="53" t="n">
        <v>0.908877</v>
      </c>
      <c r="R1740" s="53" t="n">
        <v>0.8024</v>
      </c>
      <c r="S1740" s="53" t="n">
        <v>0.514075</v>
      </c>
    </row>
    <row r="1741" customFormat="false" ht="15" hidden="false" customHeight="false" outlineLevel="0" collapsed="false">
      <c r="A1741" s="43" t="n">
        <v>238</v>
      </c>
      <c r="B1741" s="44" t="str">
        <f aca="false">'Model Inputs &amp; Assumptions'!$B$31</f>
        <v>YouTube — Finfluencer Pre-roll</v>
      </c>
      <c r="C1741" s="45" t="n">
        <f aca="false">ROUND(MAX(0,'Model Inputs &amp; Assumptions'!$S$31*EXP('Model Inputs &amp; Assumptions'!$T$31*P1741-'Model Inputs &amp; Assumptions'!$T$31^2/2)),0)</f>
        <v>311297</v>
      </c>
      <c r="D1741" s="46" t="n">
        <f aca="false">MIN(1,'Model Inputs &amp; Assumptions'!$U$31*EXP('Model Inputs &amp; Assumptions'!$V$31*Q1741-'Model Inputs &amp; Assumptions'!$V$31^2/2))</f>
        <v>0.607035623350325</v>
      </c>
      <c r="E1741" s="45" t="n">
        <f aca="false">ROUND(C1741*D1741,0)</f>
        <v>188968</v>
      </c>
      <c r="F1741" s="47" t="n">
        <f aca="false">MIN(1,'Model Inputs &amp; Assumptions'!$W$31*EXP('Model Inputs &amp; Assumptions'!$X$31*R1741-'Model Inputs &amp; Assumptions'!$X$31^2/2))</f>
        <v>0.00566075090664621</v>
      </c>
      <c r="G1741" s="45" t="n">
        <f aca="false">ROUND(C1741*F1741,0)</f>
        <v>1762</v>
      </c>
      <c r="H1741" s="48" t="n">
        <f aca="false">MAX(0,(C1741*'Model Inputs &amp; Assumptions'!$N$31+E1741*'Model Inputs &amp; Assumptions'!$O$31+G1741*'Model Inputs &amp; Assumptions'!$P$31)*EXP('Model Inputs &amp; Assumptions'!$Q$31*S1741-'Model Inputs &amp; Assumptions'!$Q$31^2/2))</f>
        <v>42.756708493167</v>
      </c>
      <c r="I1741" s="49" t="n">
        <f aca="false">IF('Model Inputs &amp; Assumptions'!$H$31="Fixed",'Model Inputs &amp; Assumptions'!$I$31*'Model Inputs &amp; Assumptions'!$K$31,IF('Model Inputs &amp; Assumptions'!$H$31="CPM",'Model Inputs &amp; Assumptions'!$I$31*'Model Inputs &amp; Assumptions'!$K$31*C1741/1000,IF('Model Inputs &amp; Assumptions'!$H$31="CPC",'Model Inputs &amp; Assumptions'!$I$31*'Model Inputs &amp; Assumptions'!$K$31*G1741,0)))</f>
        <v>3531.975762</v>
      </c>
      <c r="J1741" s="50" t="n">
        <f aca="false">H1741*INDEX('Model Inputs &amp; Assumptions'!$D$40:$D$42,MATCH('Model Inputs &amp; Assumptions'!$L$31,'Model Inputs &amp; Assumptions'!$A$40:$A$42,0))*INDEX('Model Inputs &amp; Assumptions'!$H$40:$H$42,MATCH('Model Inputs &amp; Assumptions'!$L$31,'Model Inputs &amp; Assumptions'!$A$40:$A$42,0))</f>
        <v>307848.301150802</v>
      </c>
      <c r="K1741" s="49" t="n">
        <f aca="false">H1741*INDEX('Model Inputs &amp; Assumptions'!$G$40:$G$42,MATCH('Model Inputs &amp; Assumptions'!$L$31,'Model Inputs &amp; Assumptions'!$A$40:$A$42,0))*INDEX('Model Inputs &amp; Assumptions'!$H$40:$H$42,MATCH('Model Inputs &amp; Assumptions'!$L$31,'Model Inputs &amp; Assumptions'!$A$40:$A$42,0))</f>
        <v>6788.05504037519</v>
      </c>
      <c r="L1741" s="51" t="n">
        <f aca="false">IFERROR(K1741/I1741,0)</f>
        <v>1.9218860767412</v>
      </c>
      <c r="M1741" s="49" t="n">
        <f aca="false">IFERROR(I1741/H1741,0)</f>
        <v>82.6063531659471</v>
      </c>
      <c r="N1741" s="52" t="str">
        <f aca="false">'Model Inputs &amp; Assumptions'!$L$31</f>
        <v>PRD-USIQ</v>
      </c>
      <c r="P1741" s="53" t="n">
        <v>-1.406569</v>
      </c>
      <c r="Q1741" s="53" t="n">
        <v>0.273321</v>
      </c>
      <c r="R1741" s="53" t="n">
        <v>0.637161</v>
      </c>
      <c r="S1741" s="53" t="n">
        <v>0.256972</v>
      </c>
    </row>
    <row r="1742" customFormat="false" ht="15" hidden="false" customHeight="false" outlineLevel="0" collapsed="false">
      <c r="A1742" s="43" t="n">
        <v>239</v>
      </c>
      <c r="B1742" s="44" t="str">
        <f aca="false">'Model Inputs &amp; Assumptions'!$B$31</f>
        <v>YouTube — Finfluencer Pre-roll</v>
      </c>
      <c r="C1742" s="45" t="n">
        <f aca="false">ROUND(MAX(0,'Model Inputs &amp; Assumptions'!$S$31*EXP('Model Inputs &amp; Assumptions'!$T$31*P1742-'Model Inputs &amp; Assumptions'!$T$31^2/2)),0)</f>
        <v>345310</v>
      </c>
      <c r="D1742" s="46" t="n">
        <f aca="false">MIN(1,'Model Inputs &amp; Assumptions'!$U$31*EXP('Model Inputs &amp; Assumptions'!$V$31*Q1742-'Model Inputs &amp; Assumptions'!$V$31^2/2))</f>
        <v>0.528772486385774</v>
      </c>
      <c r="E1742" s="45" t="n">
        <f aca="false">ROUND(C1742*D1742,0)</f>
        <v>182590</v>
      </c>
      <c r="F1742" s="47" t="n">
        <f aca="false">MIN(1,'Model Inputs &amp; Assumptions'!$W$31*EXP('Model Inputs &amp; Assumptions'!$X$31*R1742-'Model Inputs &amp; Assumptions'!$X$31^2/2))</f>
        <v>0.00590804057489475</v>
      </c>
      <c r="G1742" s="45" t="n">
        <f aca="false">ROUND(C1742*F1742,0)</f>
        <v>2040</v>
      </c>
      <c r="H1742" s="48" t="n">
        <f aca="false">MAX(0,(C1742*'Model Inputs &amp; Assumptions'!$N$31+E1742*'Model Inputs &amp; Assumptions'!$O$31+G1742*'Model Inputs &amp; Assumptions'!$P$31)*EXP('Model Inputs &amp; Assumptions'!$Q$31*S1742-'Model Inputs &amp; Assumptions'!$Q$31^2/2))</f>
        <v>41.4570506065285</v>
      </c>
      <c r="I1742" s="49" t="n">
        <f aca="false">IF('Model Inputs &amp; Assumptions'!$H$31="Fixed",'Model Inputs &amp; Assumptions'!$I$31*'Model Inputs &amp; Assumptions'!$K$31,IF('Model Inputs &amp; Assumptions'!$H$31="CPM",'Model Inputs &amp; Assumptions'!$I$31*'Model Inputs &amp; Assumptions'!$K$31*C1742/1000,IF('Model Inputs &amp; Assumptions'!$H$31="CPC",'Model Inputs &amp; Assumptions'!$I$31*'Model Inputs &amp; Assumptions'!$K$31*G1742,0)))</f>
        <v>3917.88726</v>
      </c>
      <c r="J1742" s="50" t="n">
        <f aca="false">H1742*INDEX('Model Inputs &amp; Assumptions'!$D$40:$D$42,MATCH('Model Inputs &amp; Assumptions'!$L$31,'Model Inputs &amp; Assumptions'!$A$40:$A$42,0))*INDEX('Model Inputs &amp; Assumptions'!$H$40:$H$42,MATCH('Model Inputs &amp; Assumptions'!$L$31,'Model Inputs &amp; Assumptions'!$A$40:$A$42,0))</f>
        <v>298490.764367005</v>
      </c>
      <c r="K1742" s="49" t="n">
        <f aca="false">H1742*INDEX('Model Inputs &amp; Assumptions'!$G$40:$G$42,MATCH('Model Inputs &amp; Assumptions'!$L$31,'Model Inputs &amp; Assumptions'!$A$40:$A$42,0))*INDEX('Model Inputs &amp; Assumptions'!$H$40:$H$42,MATCH('Model Inputs &amp; Assumptions'!$L$31,'Model Inputs &amp; Assumptions'!$A$40:$A$42,0))</f>
        <v>6581.72135429246</v>
      </c>
      <c r="L1742" s="51" t="n">
        <f aca="false">IFERROR(K1742/I1742,0)</f>
        <v>1.67991596427215</v>
      </c>
      <c r="M1742" s="49" t="n">
        <f aca="false">IFERROR(I1742/H1742,0)</f>
        <v>94.5047272461545</v>
      </c>
      <c r="N1742" s="52" t="str">
        <f aca="false">'Model Inputs &amp; Assumptions'!$L$31</f>
        <v>PRD-USIQ</v>
      </c>
      <c r="P1742" s="53" t="n">
        <v>-1.036226</v>
      </c>
      <c r="Q1742" s="53" t="n">
        <v>-0.712602</v>
      </c>
      <c r="R1742" s="53" t="n">
        <v>0.815318</v>
      </c>
      <c r="S1742" s="53" t="n">
        <v>-0.072424</v>
      </c>
    </row>
    <row r="1743" customFormat="false" ht="15" hidden="false" customHeight="false" outlineLevel="0" collapsed="false">
      <c r="A1743" s="43" t="n">
        <v>240</v>
      </c>
      <c r="B1743" s="44" t="str">
        <f aca="false">'Model Inputs &amp; Assumptions'!$B$31</f>
        <v>YouTube — Finfluencer Pre-roll</v>
      </c>
      <c r="C1743" s="45" t="n">
        <f aca="false">ROUND(MAX(0,'Model Inputs &amp; Assumptions'!$S$31*EXP('Model Inputs &amp; Assumptions'!$T$31*P1743-'Model Inputs &amp; Assumptions'!$T$31^2/2)),0)</f>
        <v>645133</v>
      </c>
      <c r="D1743" s="46" t="n">
        <f aca="false">MIN(1,'Model Inputs &amp; Assumptions'!$U$31*EXP('Model Inputs &amp; Assumptions'!$V$31*Q1743-'Model Inputs &amp; Assumptions'!$V$31^2/2))</f>
        <v>0.684870532603152</v>
      </c>
      <c r="E1743" s="45" t="n">
        <f aca="false">ROUND(C1743*D1743,0)</f>
        <v>441833</v>
      </c>
      <c r="F1743" s="47" t="n">
        <f aca="false">MIN(1,'Model Inputs &amp; Assumptions'!$W$31*EXP('Model Inputs &amp; Assumptions'!$X$31*R1743-'Model Inputs &amp; Assumptions'!$X$31^2/2))</f>
        <v>0.00501740381918863</v>
      </c>
      <c r="G1743" s="45" t="n">
        <f aca="false">ROUND(C1743*F1743,0)</f>
        <v>3237</v>
      </c>
      <c r="H1743" s="48" t="n">
        <f aca="false">MAX(0,(C1743*'Model Inputs &amp; Assumptions'!$N$31+E1743*'Model Inputs &amp; Assumptions'!$O$31+G1743*'Model Inputs &amp; Assumptions'!$P$31)*EXP('Model Inputs &amp; Assumptions'!$Q$31*S1743-'Model Inputs &amp; Assumptions'!$Q$31^2/2))</f>
        <v>68.7564163116942</v>
      </c>
      <c r="I1743" s="49" t="n">
        <f aca="false">IF('Model Inputs &amp; Assumptions'!$H$31="Fixed",'Model Inputs &amp; Assumptions'!$I$31*'Model Inputs &amp; Assumptions'!$K$31,IF('Model Inputs &amp; Assumptions'!$H$31="CPM",'Model Inputs &amp; Assumptions'!$I$31*'Model Inputs &amp; Assumptions'!$K$31*C1743/1000,IF('Model Inputs &amp; Assumptions'!$H$31="CPC",'Model Inputs &amp; Assumptions'!$I$31*'Model Inputs &amp; Assumptions'!$K$31*G1743,0)))</f>
        <v>7319.679018</v>
      </c>
      <c r="J1743" s="50" t="n">
        <f aca="false">H1743*INDEX('Model Inputs &amp; Assumptions'!$D$40:$D$42,MATCH('Model Inputs &amp; Assumptions'!$L$31,'Model Inputs &amp; Assumptions'!$A$40:$A$42,0))*INDEX('Model Inputs &amp; Assumptions'!$H$40:$H$42,MATCH('Model Inputs &amp; Assumptions'!$L$31,'Model Inputs &amp; Assumptions'!$A$40:$A$42,0))</f>
        <v>495046.197444198</v>
      </c>
      <c r="K1743" s="49" t="n">
        <f aca="false">H1743*INDEX('Model Inputs &amp; Assumptions'!$G$40:$G$42,MATCH('Model Inputs &amp; Assumptions'!$L$31,'Model Inputs &amp; Assumptions'!$A$40:$A$42,0))*INDEX('Model Inputs &amp; Assumptions'!$H$40:$H$42,MATCH('Model Inputs &amp; Assumptions'!$L$31,'Model Inputs &amp; Assumptions'!$A$40:$A$42,0))</f>
        <v>10915.7686536446</v>
      </c>
      <c r="L1743" s="51" t="n">
        <f aca="false">IFERROR(K1743/I1743,0)</f>
        <v>1.49129061900137</v>
      </c>
      <c r="M1743" s="49" t="n">
        <f aca="false">IFERROR(I1743/H1743,0)</f>
        <v>106.458122901834</v>
      </c>
      <c r="N1743" s="52" t="str">
        <f aca="false">'Model Inputs &amp; Assumptions'!$L$31</f>
        <v>PRD-USIQ</v>
      </c>
      <c r="P1743" s="53" t="n">
        <v>1.195965</v>
      </c>
      <c r="Q1743" s="53" t="n">
        <v>1.135052</v>
      </c>
      <c r="R1743" s="53" t="n">
        <v>0.134478</v>
      </c>
      <c r="S1743" s="53" t="n">
        <v>-0.393786</v>
      </c>
    </row>
    <row r="1744" customFormat="false" ht="15" hidden="false" customHeight="false" outlineLevel="0" collapsed="false">
      <c r="A1744" s="43" t="n">
        <v>241</v>
      </c>
      <c r="B1744" s="44" t="str">
        <f aca="false">'Model Inputs &amp; Assumptions'!$B$31</f>
        <v>YouTube — Finfluencer Pre-roll</v>
      </c>
      <c r="C1744" s="45" t="n">
        <f aca="false">ROUND(MAX(0,'Model Inputs &amp; Assumptions'!$S$31*EXP('Model Inputs &amp; Assumptions'!$T$31*P1744-'Model Inputs &amp; Assumptions'!$T$31^2/2)),0)</f>
        <v>384264</v>
      </c>
      <c r="D1744" s="46" t="n">
        <f aca="false">MIN(1,'Model Inputs &amp; Assumptions'!$U$31*EXP('Model Inputs &amp; Assumptions'!$V$31*Q1744-'Model Inputs &amp; Assumptions'!$V$31^2/2))</f>
        <v>0.588178678595164</v>
      </c>
      <c r="E1744" s="45" t="n">
        <f aca="false">ROUND(C1744*D1744,0)</f>
        <v>226016</v>
      </c>
      <c r="F1744" s="47" t="n">
        <f aca="false">MIN(1,'Model Inputs &amp; Assumptions'!$W$31*EXP('Model Inputs &amp; Assumptions'!$X$31*R1744-'Model Inputs &amp; Assumptions'!$X$31^2/2))</f>
        <v>0.00478215495555961</v>
      </c>
      <c r="G1744" s="45" t="n">
        <f aca="false">ROUND(C1744*F1744,0)</f>
        <v>1838</v>
      </c>
      <c r="H1744" s="48" t="n">
        <f aca="false">MAX(0,(C1744*'Model Inputs &amp; Assumptions'!$N$31+E1744*'Model Inputs &amp; Assumptions'!$O$31+G1744*'Model Inputs &amp; Assumptions'!$P$31)*EXP('Model Inputs &amp; Assumptions'!$Q$31*S1744-'Model Inputs &amp; Assumptions'!$Q$31^2/2))</f>
        <v>50.74337137437</v>
      </c>
      <c r="I1744" s="49" t="n">
        <f aca="false">IF('Model Inputs &amp; Assumptions'!$H$31="Fixed",'Model Inputs &amp; Assumptions'!$I$31*'Model Inputs &amp; Assumptions'!$K$31,IF('Model Inputs &amp; Assumptions'!$H$31="CPM",'Model Inputs &amp; Assumptions'!$I$31*'Model Inputs &amp; Assumptions'!$K$31*C1744/1000,IF('Model Inputs &amp; Assumptions'!$H$31="CPC",'Model Inputs &amp; Assumptions'!$I$31*'Model Inputs &amp; Assumptions'!$K$31*G1744,0)))</f>
        <v>4359.859344</v>
      </c>
      <c r="J1744" s="50" t="n">
        <f aca="false">H1744*INDEX('Model Inputs &amp; Assumptions'!$D$40:$D$42,MATCH('Model Inputs &amp; Assumptions'!$L$31,'Model Inputs &amp; Assumptions'!$A$40:$A$42,0))*INDEX('Model Inputs &amp; Assumptions'!$H$40:$H$42,MATCH('Model Inputs &amp; Assumptions'!$L$31,'Model Inputs &amp; Assumptions'!$A$40:$A$42,0))</f>
        <v>365352.273895464</v>
      </c>
      <c r="K1744" s="49" t="n">
        <f aca="false">H1744*INDEX('Model Inputs &amp; Assumptions'!$G$40:$G$42,MATCH('Model Inputs &amp; Assumptions'!$L$31,'Model Inputs &amp; Assumptions'!$A$40:$A$42,0))*INDEX('Model Inputs &amp; Assumptions'!$H$40:$H$42,MATCH('Model Inputs &amp; Assumptions'!$L$31,'Model Inputs &amp; Assumptions'!$A$40:$A$42,0))</f>
        <v>8056.01763939498</v>
      </c>
      <c r="L1744" s="51" t="n">
        <f aca="false">IFERROR(K1744/I1744,0)</f>
        <v>1.84777007783098</v>
      </c>
      <c r="M1744" s="49" t="n">
        <f aca="false">IFERROR(I1744/H1744,0)</f>
        <v>85.9197807696735</v>
      </c>
      <c r="N1744" s="52" t="str">
        <f aca="false">'Model Inputs &amp; Assumptions'!$L$31</f>
        <v>PRD-USIQ</v>
      </c>
      <c r="P1744" s="53" t="n">
        <v>-0.654485</v>
      </c>
      <c r="Q1744" s="53" t="n">
        <v>0.047916</v>
      </c>
      <c r="R1744" s="53" t="n">
        <v>-0.065611</v>
      </c>
      <c r="S1744" s="53" t="n">
        <v>0.477141</v>
      </c>
    </row>
    <row r="1745" customFormat="false" ht="15" hidden="false" customHeight="false" outlineLevel="0" collapsed="false">
      <c r="A1745" s="43" t="n">
        <v>242</v>
      </c>
      <c r="B1745" s="44" t="str">
        <f aca="false">'Model Inputs &amp; Assumptions'!$B$31</f>
        <v>YouTube — Finfluencer Pre-roll</v>
      </c>
      <c r="C1745" s="45" t="n">
        <f aca="false">ROUND(MAX(0,'Model Inputs &amp; Assumptions'!$S$31*EXP('Model Inputs &amp; Assumptions'!$T$31*P1745-'Model Inputs &amp; Assumptions'!$T$31^2/2)),0)</f>
        <v>499502</v>
      </c>
      <c r="D1745" s="46" t="n">
        <f aca="false">MIN(1,'Model Inputs &amp; Assumptions'!$U$31*EXP('Model Inputs &amp; Assumptions'!$V$31*Q1745-'Model Inputs &amp; Assumptions'!$V$31^2/2))</f>
        <v>0.548647926909568</v>
      </c>
      <c r="E1745" s="45" t="n">
        <f aca="false">ROUND(C1745*D1745,0)</f>
        <v>274051</v>
      </c>
      <c r="F1745" s="47" t="n">
        <f aca="false">MIN(1,'Model Inputs &amp; Assumptions'!$W$31*EXP('Model Inputs &amp; Assumptions'!$X$31*R1745-'Model Inputs &amp; Assumptions'!$X$31^2/2))</f>
        <v>0.00689129066891695</v>
      </c>
      <c r="G1745" s="45" t="n">
        <f aca="false">ROUND(C1745*F1745,0)</f>
        <v>3442</v>
      </c>
      <c r="H1745" s="48" t="n">
        <f aca="false">MAX(0,(C1745*'Model Inputs &amp; Assumptions'!$N$31+E1745*'Model Inputs &amp; Assumptions'!$O$31+G1745*'Model Inputs &amp; Assumptions'!$P$31)*EXP('Model Inputs &amp; Assumptions'!$Q$31*S1745-'Model Inputs &amp; Assumptions'!$Q$31^2/2))</f>
        <v>52.7245013088394</v>
      </c>
      <c r="I1745" s="49" t="n">
        <f aca="false">IF('Model Inputs &amp; Assumptions'!$H$31="Fixed",'Model Inputs &amp; Assumptions'!$I$31*'Model Inputs &amp; Assumptions'!$K$31,IF('Model Inputs &amp; Assumptions'!$H$31="CPM",'Model Inputs &amp; Assumptions'!$I$31*'Model Inputs &amp; Assumptions'!$K$31*C1745/1000,IF('Model Inputs &amp; Assumptions'!$H$31="CPC",'Model Inputs &amp; Assumptions'!$I$31*'Model Inputs &amp; Assumptions'!$K$31*G1745,0)))</f>
        <v>5667.349692</v>
      </c>
      <c r="J1745" s="50" t="n">
        <f aca="false">H1745*INDEX('Model Inputs &amp; Assumptions'!$D$40:$D$42,MATCH('Model Inputs &amp; Assumptions'!$L$31,'Model Inputs &amp; Assumptions'!$A$40:$A$42,0))*INDEX('Model Inputs &amp; Assumptions'!$H$40:$H$42,MATCH('Model Inputs &amp; Assumptions'!$L$31,'Model Inputs &amp; Assumptions'!$A$40:$A$42,0))</f>
        <v>379616.409423643</v>
      </c>
      <c r="K1745" s="49" t="n">
        <f aca="false">H1745*INDEX('Model Inputs &amp; Assumptions'!$G$40:$G$42,MATCH('Model Inputs &amp; Assumptions'!$L$31,'Model Inputs &amp; Assumptions'!$A$40:$A$42,0))*INDEX('Model Inputs &amp; Assumptions'!$H$40:$H$42,MATCH('Model Inputs &amp; Assumptions'!$L$31,'Model Inputs &amp; Assumptions'!$A$40:$A$42,0))</f>
        <v>8370.54182779133</v>
      </c>
      <c r="L1745" s="51" t="n">
        <f aca="false">IFERROR(K1745/I1745,0)</f>
        <v>1.47697641449709</v>
      </c>
      <c r="M1745" s="49" t="n">
        <f aca="false">IFERROR(I1745/H1745,0)</f>
        <v>107.489868112794</v>
      </c>
      <c r="N1745" s="52" t="str">
        <f aca="false">'Model Inputs &amp; Assumptions'!$L$31</f>
        <v>PRD-USIQ</v>
      </c>
      <c r="P1745" s="53" t="n">
        <v>0.282237</v>
      </c>
      <c r="Q1745" s="53" t="n">
        <v>-0.44904</v>
      </c>
      <c r="R1745" s="53" t="n">
        <v>1.456752</v>
      </c>
      <c r="S1745" s="53" t="n">
        <v>-0.776259</v>
      </c>
    </row>
    <row r="1746" customFormat="false" ht="15" hidden="false" customHeight="false" outlineLevel="0" collapsed="false">
      <c r="A1746" s="43" t="n">
        <v>243</v>
      </c>
      <c r="B1746" s="44" t="str">
        <f aca="false">'Model Inputs &amp; Assumptions'!$B$31</f>
        <v>YouTube — Finfluencer Pre-roll</v>
      </c>
      <c r="C1746" s="45" t="n">
        <f aca="false">ROUND(MAX(0,'Model Inputs &amp; Assumptions'!$S$31*EXP('Model Inputs &amp; Assumptions'!$T$31*P1746-'Model Inputs &amp; Assumptions'!$T$31^2/2)),0)</f>
        <v>378068</v>
      </c>
      <c r="D1746" s="46" t="n">
        <f aca="false">MIN(1,'Model Inputs &amp; Assumptions'!$U$31*EXP('Model Inputs &amp; Assumptions'!$V$31*Q1746-'Model Inputs &amp; Assumptions'!$V$31^2/2))</f>
        <v>0.701655790532687</v>
      </c>
      <c r="E1746" s="45" t="n">
        <f aca="false">ROUND(C1746*D1746,0)</f>
        <v>265274</v>
      </c>
      <c r="F1746" s="47" t="n">
        <f aca="false">MIN(1,'Model Inputs &amp; Assumptions'!$W$31*EXP('Model Inputs &amp; Assumptions'!$X$31*R1746-'Model Inputs &amp; Assumptions'!$X$31^2/2))</f>
        <v>0.00428410435886247</v>
      </c>
      <c r="G1746" s="45" t="n">
        <f aca="false">ROUND(C1746*F1746,0)</f>
        <v>1620</v>
      </c>
      <c r="H1746" s="48" t="n">
        <f aca="false">MAX(0,(C1746*'Model Inputs &amp; Assumptions'!$N$31+E1746*'Model Inputs &amp; Assumptions'!$O$31+G1746*'Model Inputs &amp; Assumptions'!$P$31)*EXP('Model Inputs &amp; Assumptions'!$Q$31*S1746-'Model Inputs &amp; Assumptions'!$Q$31^2/2))</f>
        <v>45.8412099987049</v>
      </c>
      <c r="I1746" s="49" t="n">
        <f aca="false">IF('Model Inputs &amp; Assumptions'!$H$31="Fixed",'Model Inputs &amp; Assumptions'!$I$31*'Model Inputs &amp; Assumptions'!$K$31,IF('Model Inputs &amp; Assumptions'!$H$31="CPM",'Model Inputs &amp; Assumptions'!$I$31*'Model Inputs &amp; Assumptions'!$K$31*C1746/1000,IF('Model Inputs &amp; Assumptions'!$H$31="CPC",'Model Inputs &amp; Assumptions'!$I$31*'Model Inputs &amp; Assumptions'!$K$31*G1746,0)))</f>
        <v>4289.559528</v>
      </c>
      <c r="J1746" s="50" t="n">
        <f aca="false">H1746*INDEX('Model Inputs &amp; Assumptions'!$D$40:$D$42,MATCH('Model Inputs &amp; Assumptions'!$L$31,'Model Inputs &amp; Assumptions'!$A$40:$A$42,0))*INDEX('Model Inputs &amp; Assumptions'!$H$40:$H$42,MATCH('Model Inputs &amp; Assumptions'!$L$31,'Model Inputs &amp; Assumptions'!$A$40:$A$42,0))</f>
        <v>330056.711990675</v>
      </c>
      <c r="K1746" s="49" t="n">
        <f aca="false">H1746*INDEX('Model Inputs &amp; Assumptions'!$G$40:$G$42,MATCH('Model Inputs &amp; Assumptions'!$L$31,'Model Inputs &amp; Assumptions'!$A$40:$A$42,0))*INDEX('Model Inputs &amp; Assumptions'!$H$40:$H$42,MATCH('Model Inputs &amp; Assumptions'!$L$31,'Model Inputs &amp; Assumptions'!$A$40:$A$42,0))</f>
        <v>7277.75049939439</v>
      </c>
      <c r="L1746" s="51" t="n">
        <f aca="false">IFERROR(K1746/I1746,0)</f>
        <v>1.69661953678205</v>
      </c>
      <c r="M1746" s="49" t="n">
        <f aca="false">IFERROR(I1746/H1746,0)</f>
        <v>93.5743085342029</v>
      </c>
      <c r="N1746" s="52" t="str">
        <f aca="false">'Model Inputs &amp; Assumptions'!$L$31</f>
        <v>PRD-USIQ</v>
      </c>
      <c r="P1746" s="53" t="n">
        <v>-0.712547</v>
      </c>
      <c r="Q1746" s="53" t="n">
        <v>1.308003</v>
      </c>
      <c r="R1746" s="53" t="n">
        <v>-0.52386</v>
      </c>
      <c r="S1746" s="53" t="n">
        <v>0.19497</v>
      </c>
    </row>
    <row r="1747" customFormat="false" ht="15" hidden="false" customHeight="false" outlineLevel="0" collapsed="false">
      <c r="A1747" s="43" t="n">
        <v>244</v>
      </c>
      <c r="B1747" s="44" t="str">
        <f aca="false">'Model Inputs &amp; Assumptions'!$B$31</f>
        <v>YouTube — Finfluencer Pre-roll</v>
      </c>
      <c r="C1747" s="45" t="n">
        <f aca="false">ROUND(MAX(0,'Model Inputs &amp; Assumptions'!$S$31*EXP('Model Inputs &amp; Assumptions'!$T$31*P1747-'Model Inputs &amp; Assumptions'!$T$31^2/2)),0)</f>
        <v>551830</v>
      </c>
      <c r="D1747" s="46" t="n">
        <f aca="false">MIN(1,'Model Inputs &amp; Assumptions'!$U$31*EXP('Model Inputs &amp; Assumptions'!$V$31*Q1747-'Model Inputs &amp; Assumptions'!$V$31^2/2))</f>
        <v>0.483035754551712</v>
      </c>
      <c r="E1747" s="45" t="n">
        <f aca="false">ROUND(C1747*D1747,0)</f>
        <v>266554</v>
      </c>
      <c r="F1747" s="47" t="n">
        <f aca="false">MIN(1,'Model Inputs &amp; Assumptions'!$W$31*EXP('Model Inputs &amp; Assumptions'!$X$31*R1747-'Model Inputs &amp; Assumptions'!$X$31^2/2))</f>
        <v>0.0040195691185023</v>
      </c>
      <c r="G1747" s="45" t="n">
        <f aca="false">ROUND(C1747*F1747,0)</f>
        <v>2218</v>
      </c>
      <c r="H1747" s="48" t="n">
        <f aca="false">MAX(0,(C1747*'Model Inputs &amp; Assumptions'!$N$31+E1747*'Model Inputs &amp; Assumptions'!$O$31+G1747*'Model Inputs &amp; Assumptions'!$P$31)*EXP('Model Inputs &amp; Assumptions'!$Q$31*S1747-'Model Inputs &amp; Assumptions'!$Q$31^2/2))</f>
        <v>75.4568144100955</v>
      </c>
      <c r="I1747" s="49" t="n">
        <f aca="false">IF('Model Inputs &amp; Assumptions'!$H$31="Fixed",'Model Inputs &amp; Assumptions'!$I$31*'Model Inputs &amp; Assumptions'!$K$31,IF('Model Inputs &amp; Assumptions'!$H$31="CPM",'Model Inputs &amp; Assumptions'!$I$31*'Model Inputs &amp; Assumptions'!$K$31*C1747/1000,IF('Model Inputs &amp; Assumptions'!$H$31="CPC",'Model Inputs &amp; Assumptions'!$I$31*'Model Inputs &amp; Assumptions'!$K$31*G1747,0)))</f>
        <v>6261.06318</v>
      </c>
      <c r="J1747" s="50" t="n">
        <f aca="false">H1747*INDEX('Model Inputs &amp; Assumptions'!$D$40:$D$42,MATCH('Model Inputs &amp; Assumptions'!$L$31,'Model Inputs &amp; Assumptions'!$A$40:$A$42,0))*INDEX('Model Inputs &amp; Assumptions'!$H$40:$H$42,MATCH('Model Inputs &amp; Assumptions'!$L$31,'Model Inputs &amp; Assumptions'!$A$40:$A$42,0))</f>
        <v>543289.063752688</v>
      </c>
      <c r="K1747" s="49" t="n">
        <f aca="false">H1747*INDEX('Model Inputs &amp; Assumptions'!$G$40:$G$42,MATCH('Model Inputs &amp; Assumptions'!$L$31,'Model Inputs &amp; Assumptions'!$A$40:$A$42,0))*INDEX('Model Inputs &amp; Assumptions'!$H$40:$H$42,MATCH('Model Inputs &amp; Assumptions'!$L$31,'Model Inputs &amp; Assumptions'!$A$40:$A$42,0))</f>
        <v>11979.5238557468</v>
      </c>
      <c r="L1747" s="51" t="n">
        <f aca="false">IFERROR(K1747/I1747,0)</f>
        <v>1.91333700225443</v>
      </c>
      <c r="M1747" s="49" t="n">
        <f aca="false">IFERROR(I1747/H1747,0)</f>
        <v>82.9754506461423</v>
      </c>
      <c r="N1747" s="52" t="str">
        <f aca="false">'Model Inputs &amp; Assumptions'!$L$31</f>
        <v>PRD-USIQ</v>
      </c>
      <c r="P1747" s="53" t="n">
        <v>0.638047</v>
      </c>
      <c r="Q1747" s="53" t="n">
        <v>-1.358799</v>
      </c>
      <c r="R1747" s="53" t="n">
        <v>-0.78943</v>
      </c>
      <c r="S1747" s="53" t="n">
        <v>1.099659</v>
      </c>
    </row>
    <row r="1748" customFormat="false" ht="15" hidden="false" customHeight="false" outlineLevel="0" collapsed="false">
      <c r="A1748" s="43" t="n">
        <v>245</v>
      </c>
      <c r="B1748" s="44" t="str">
        <f aca="false">'Model Inputs &amp; Assumptions'!$B$31</f>
        <v>YouTube — Finfluencer Pre-roll</v>
      </c>
      <c r="C1748" s="45" t="n">
        <f aca="false">ROUND(MAX(0,'Model Inputs &amp; Assumptions'!$S$31*EXP('Model Inputs &amp; Assumptions'!$T$31*P1748-'Model Inputs &amp; Assumptions'!$T$31^2/2)),0)</f>
        <v>517623</v>
      </c>
      <c r="D1748" s="46" t="n">
        <f aca="false">MIN(1,'Model Inputs &amp; Assumptions'!$U$31*EXP('Model Inputs &amp; Assumptions'!$V$31*Q1748-'Model Inputs &amp; Assumptions'!$V$31^2/2))</f>
        <v>0.588772933182969</v>
      </c>
      <c r="E1748" s="45" t="n">
        <f aca="false">ROUND(C1748*D1748,0)</f>
        <v>304762</v>
      </c>
      <c r="F1748" s="47" t="n">
        <f aca="false">MIN(1,'Model Inputs &amp; Assumptions'!$W$31*EXP('Model Inputs &amp; Assumptions'!$X$31*R1748-'Model Inputs &amp; Assumptions'!$X$31^2/2))</f>
        <v>0.00293391278143724</v>
      </c>
      <c r="G1748" s="45" t="n">
        <f aca="false">ROUND(C1748*F1748,0)</f>
        <v>1519</v>
      </c>
      <c r="H1748" s="48" t="n">
        <f aca="false">MAX(0,(C1748*'Model Inputs &amp; Assumptions'!$N$31+E1748*'Model Inputs &amp; Assumptions'!$O$31+G1748*'Model Inputs &amp; Assumptions'!$P$31)*EXP('Model Inputs &amp; Assumptions'!$Q$31*S1748-'Model Inputs &amp; Assumptions'!$Q$31^2/2))</f>
        <v>46.2479341517105</v>
      </c>
      <c r="I1748" s="49" t="n">
        <f aca="false">IF('Model Inputs &amp; Assumptions'!$H$31="Fixed",'Model Inputs &amp; Assumptions'!$I$31*'Model Inputs &amp; Assumptions'!$K$31,IF('Model Inputs &amp; Assumptions'!$H$31="CPM",'Model Inputs &amp; Assumptions'!$I$31*'Model Inputs &amp; Assumptions'!$K$31*C1748/1000,IF('Model Inputs &amp; Assumptions'!$H$31="CPC",'Model Inputs &amp; Assumptions'!$I$31*'Model Inputs &amp; Assumptions'!$K$31*G1748,0)))</f>
        <v>5872.950558</v>
      </c>
      <c r="J1748" s="50" t="n">
        <f aca="false">H1748*INDEX('Model Inputs &amp; Assumptions'!$D$40:$D$42,MATCH('Model Inputs &amp; Assumptions'!$L$31,'Model Inputs &amp; Assumptions'!$A$40:$A$42,0))*INDEX('Model Inputs &amp; Assumptions'!$H$40:$H$42,MATCH('Model Inputs &amp; Assumptions'!$L$31,'Model Inputs &amp; Assumptions'!$A$40:$A$42,0))</f>
        <v>332985.125892315</v>
      </c>
      <c r="K1748" s="49" t="n">
        <f aca="false">H1748*INDEX('Model Inputs &amp; Assumptions'!$G$40:$G$42,MATCH('Model Inputs &amp; Assumptions'!$L$31,'Model Inputs &amp; Assumptions'!$A$40:$A$42,0))*INDEX('Model Inputs &amp; Assumptions'!$H$40:$H$42,MATCH('Model Inputs &amp; Assumptions'!$L$31,'Model Inputs &amp; Assumptions'!$A$40:$A$42,0))</f>
        <v>7342.32202592556</v>
      </c>
      <c r="L1748" s="51" t="n">
        <f aca="false">IFERROR(K1748/I1748,0)</f>
        <v>1.25019305941951</v>
      </c>
      <c r="M1748" s="49" t="n">
        <f aca="false">IFERROR(I1748/H1748,0)</f>
        <v>126.988386956583</v>
      </c>
      <c r="N1748" s="52" t="str">
        <f aca="false">'Model Inputs &amp; Assumptions'!$L$31</f>
        <v>PRD-USIQ</v>
      </c>
      <c r="P1748" s="53" t="n">
        <v>0.409501</v>
      </c>
      <c r="Q1748" s="53" t="n">
        <v>0.055129</v>
      </c>
      <c r="R1748" s="53" t="n">
        <v>-2.101254</v>
      </c>
      <c r="S1748" s="53" t="n">
        <v>0.118841</v>
      </c>
    </row>
    <row r="1749" customFormat="false" ht="15" hidden="false" customHeight="false" outlineLevel="0" collapsed="false">
      <c r="A1749" s="43" t="n">
        <v>246</v>
      </c>
      <c r="B1749" s="44" t="str">
        <f aca="false">'Model Inputs &amp; Assumptions'!$B$31</f>
        <v>YouTube — Finfluencer Pre-roll</v>
      </c>
      <c r="C1749" s="45" t="n">
        <f aca="false">ROUND(MAX(0,'Model Inputs &amp; Assumptions'!$S$31*EXP('Model Inputs &amp; Assumptions'!$T$31*P1749-'Model Inputs &amp; Assumptions'!$T$31^2/2)),0)</f>
        <v>397175</v>
      </c>
      <c r="D1749" s="46" t="n">
        <f aca="false">MIN(1,'Model Inputs &amp; Assumptions'!$U$31*EXP('Model Inputs &amp; Assumptions'!$V$31*Q1749-'Model Inputs &amp; Assumptions'!$V$31^2/2))</f>
        <v>0.639086707013885</v>
      </c>
      <c r="E1749" s="45" t="n">
        <f aca="false">ROUND(C1749*D1749,0)</f>
        <v>253829</v>
      </c>
      <c r="F1749" s="47" t="n">
        <f aca="false">MIN(1,'Model Inputs &amp; Assumptions'!$W$31*EXP('Model Inputs &amp; Assumptions'!$X$31*R1749-'Model Inputs &amp; Assumptions'!$X$31^2/2))</f>
        <v>0.00524117438467145</v>
      </c>
      <c r="G1749" s="45" t="n">
        <f aca="false">ROUND(C1749*F1749,0)</f>
        <v>2082</v>
      </c>
      <c r="H1749" s="48" t="n">
        <f aca="false">MAX(0,(C1749*'Model Inputs &amp; Assumptions'!$N$31+E1749*'Model Inputs &amp; Assumptions'!$O$31+G1749*'Model Inputs &amp; Assumptions'!$P$31)*EXP('Model Inputs &amp; Assumptions'!$Q$31*S1749-'Model Inputs &amp; Assumptions'!$Q$31^2/2))</f>
        <v>47.4421015024814</v>
      </c>
      <c r="I1749" s="49" t="n">
        <f aca="false">IF('Model Inputs &amp; Assumptions'!$H$31="Fixed",'Model Inputs &amp; Assumptions'!$I$31*'Model Inputs &amp; Assumptions'!$K$31,IF('Model Inputs &amp; Assumptions'!$H$31="CPM",'Model Inputs &amp; Assumptions'!$I$31*'Model Inputs &amp; Assumptions'!$K$31*C1749/1000,IF('Model Inputs &amp; Assumptions'!$H$31="CPC",'Model Inputs &amp; Assumptions'!$I$31*'Model Inputs &amp; Assumptions'!$K$31*G1749,0)))</f>
        <v>4506.34755</v>
      </c>
      <c r="J1749" s="50" t="n">
        <f aca="false">H1749*INDEX('Model Inputs &amp; Assumptions'!$D$40:$D$42,MATCH('Model Inputs &amp; Assumptions'!$L$31,'Model Inputs &amp; Assumptions'!$A$40:$A$42,0))*INDEX('Model Inputs &amp; Assumptions'!$H$40:$H$42,MATCH('Model Inputs &amp; Assumptions'!$L$31,'Model Inputs &amp; Assumptions'!$A$40:$A$42,0))</f>
        <v>341583.130817866</v>
      </c>
      <c r="K1749" s="49" t="n">
        <f aca="false">H1749*INDEX('Model Inputs &amp; Assumptions'!$G$40:$G$42,MATCH('Model Inputs &amp; Assumptions'!$L$31,'Model Inputs &amp; Assumptions'!$A$40:$A$42,0))*INDEX('Model Inputs &amp; Assumptions'!$H$40:$H$42,MATCH('Model Inputs &amp; Assumptions'!$L$31,'Model Inputs &amp; Assumptions'!$A$40:$A$42,0))</f>
        <v>7531.90803453394</v>
      </c>
      <c r="L1749" s="51" t="n">
        <f aca="false">IFERROR(K1749/I1749,0)</f>
        <v>1.67139972027545</v>
      </c>
      <c r="M1749" s="49" t="n">
        <f aca="false">IFERROR(I1749/H1749,0)</f>
        <v>94.9862549778556</v>
      </c>
      <c r="N1749" s="52" t="str">
        <f aca="false">'Model Inputs &amp; Assumptions'!$L$31</f>
        <v>PRD-USIQ</v>
      </c>
      <c r="P1749" s="53" t="n">
        <v>-0.536464</v>
      </c>
      <c r="Q1749" s="53" t="n">
        <v>0.64084</v>
      </c>
      <c r="R1749" s="53" t="n">
        <v>0.316282</v>
      </c>
      <c r="S1749" s="53" t="n">
        <v>-0.061505</v>
      </c>
    </row>
    <row r="1750" customFormat="false" ht="15" hidden="false" customHeight="false" outlineLevel="0" collapsed="false">
      <c r="A1750" s="43" t="n">
        <v>247</v>
      </c>
      <c r="B1750" s="44" t="str">
        <f aca="false">'Model Inputs &amp; Assumptions'!$B$31</f>
        <v>YouTube — Finfluencer Pre-roll</v>
      </c>
      <c r="C1750" s="45" t="n">
        <f aca="false">ROUND(MAX(0,'Model Inputs &amp; Assumptions'!$S$31*EXP('Model Inputs &amp; Assumptions'!$T$31*P1750-'Model Inputs &amp; Assumptions'!$T$31^2/2)),0)</f>
        <v>529524</v>
      </c>
      <c r="D1750" s="46" t="n">
        <f aca="false">MIN(1,'Model Inputs &amp; Assumptions'!$U$31*EXP('Model Inputs &amp; Assumptions'!$V$31*Q1750-'Model Inputs &amp; Assumptions'!$V$31^2/2))</f>
        <v>0.641026358448526</v>
      </c>
      <c r="E1750" s="45" t="n">
        <f aca="false">ROUND(C1750*D1750,0)</f>
        <v>339439</v>
      </c>
      <c r="F1750" s="47" t="n">
        <f aca="false">MIN(1,'Model Inputs &amp; Assumptions'!$W$31*EXP('Model Inputs &amp; Assumptions'!$X$31*R1750-'Model Inputs &amp; Assumptions'!$X$31^2/2))</f>
        <v>0.00344728992177989</v>
      </c>
      <c r="G1750" s="45" t="n">
        <f aca="false">ROUND(C1750*F1750,0)</f>
        <v>1825</v>
      </c>
      <c r="H1750" s="48" t="n">
        <f aca="false">MAX(0,(C1750*'Model Inputs &amp; Assumptions'!$N$31+E1750*'Model Inputs &amp; Assumptions'!$O$31+G1750*'Model Inputs &amp; Assumptions'!$P$31)*EXP('Model Inputs &amp; Assumptions'!$Q$31*S1750-'Model Inputs &amp; Assumptions'!$Q$31^2/2))</f>
        <v>31.9861776024504</v>
      </c>
      <c r="I1750" s="49" t="n">
        <f aca="false">IF('Model Inputs &amp; Assumptions'!$H$31="Fixed",'Model Inputs &amp; Assumptions'!$I$31*'Model Inputs &amp; Assumptions'!$K$31,IF('Model Inputs &amp; Assumptions'!$H$31="CPM",'Model Inputs &amp; Assumptions'!$I$31*'Model Inputs &amp; Assumptions'!$K$31*C1750/1000,IF('Model Inputs &amp; Assumptions'!$H$31="CPC",'Model Inputs &amp; Assumptions'!$I$31*'Model Inputs &amp; Assumptions'!$K$31*G1750,0)))</f>
        <v>6007.979304</v>
      </c>
      <c r="J1750" s="50" t="n">
        <f aca="false">H1750*INDEX('Model Inputs &amp; Assumptions'!$D$40:$D$42,MATCH('Model Inputs &amp; Assumptions'!$L$31,'Model Inputs &amp; Assumptions'!$A$40:$A$42,0))*INDEX('Model Inputs &amp; Assumptions'!$H$40:$H$42,MATCH('Model Inputs &amp; Assumptions'!$L$31,'Model Inputs &amp; Assumptions'!$A$40:$A$42,0))</f>
        <v>230300.478737643</v>
      </c>
      <c r="K1750" s="49" t="n">
        <f aca="false">H1750*INDEX('Model Inputs &amp; Assumptions'!$G$40:$G$42,MATCH('Model Inputs &amp; Assumptions'!$L$31,'Model Inputs &amp; Assumptions'!$A$40:$A$42,0))*INDEX('Model Inputs &amp; Assumptions'!$H$40:$H$42,MATCH('Model Inputs &amp; Assumptions'!$L$31,'Model Inputs &amp; Assumptions'!$A$40:$A$42,0))</f>
        <v>5078.12555616502</v>
      </c>
      <c r="L1750" s="51" t="n">
        <f aca="false">IFERROR(K1750/I1750,0)</f>
        <v>0.845230201239891</v>
      </c>
      <c r="M1750" s="49" t="n">
        <f aca="false">IFERROR(I1750/H1750,0)</f>
        <v>187.83048661431</v>
      </c>
      <c r="N1750" s="52" t="str">
        <f aca="false">'Model Inputs &amp; Assumptions'!$L$31</f>
        <v>PRD-USIQ</v>
      </c>
      <c r="P1750" s="53" t="n">
        <v>0.490684</v>
      </c>
      <c r="Q1750" s="53" t="n">
        <v>0.662486</v>
      </c>
      <c r="R1750" s="53" t="n">
        <v>-1.429373</v>
      </c>
      <c r="S1750" s="53" t="n">
        <v>-1.349141</v>
      </c>
    </row>
    <row r="1751" customFormat="false" ht="15" hidden="false" customHeight="false" outlineLevel="0" collapsed="false">
      <c r="A1751" s="43" t="n">
        <v>248</v>
      </c>
      <c r="B1751" s="44" t="str">
        <f aca="false">'Model Inputs &amp; Assumptions'!$B$31</f>
        <v>YouTube — Finfluencer Pre-roll</v>
      </c>
      <c r="C1751" s="45" t="n">
        <f aca="false">ROUND(MAX(0,'Model Inputs &amp; Assumptions'!$S$31*EXP('Model Inputs &amp; Assumptions'!$T$31*P1751-'Model Inputs &amp; Assumptions'!$T$31^2/2)),0)</f>
        <v>456963</v>
      </c>
      <c r="D1751" s="46" t="n">
        <f aca="false">MIN(1,'Model Inputs &amp; Assumptions'!$U$31*EXP('Model Inputs &amp; Assumptions'!$V$31*Q1751-'Model Inputs &amp; Assumptions'!$V$31^2/2))</f>
        <v>0.517803981681038</v>
      </c>
      <c r="E1751" s="45" t="n">
        <f aca="false">ROUND(C1751*D1751,0)</f>
        <v>236617</v>
      </c>
      <c r="F1751" s="47" t="n">
        <f aca="false">MIN(1,'Model Inputs &amp; Assumptions'!$W$31*EXP('Model Inputs &amp; Assumptions'!$X$31*R1751-'Model Inputs &amp; Assumptions'!$X$31^2/2))</f>
        <v>0.00394362263915004</v>
      </c>
      <c r="G1751" s="45" t="n">
        <f aca="false">ROUND(C1751*F1751,0)</f>
        <v>1802</v>
      </c>
      <c r="H1751" s="48" t="n">
        <f aca="false">MAX(0,(C1751*'Model Inputs &amp; Assumptions'!$N$31+E1751*'Model Inputs &amp; Assumptions'!$O$31+G1751*'Model Inputs &amp; Assumptions'!$P$31)*EXP('Model Inputs &amp; Assumptions'!$Q$31*S1751-'Model Inputs &amp; Assumptions'!$Q$31^2/2))</f>
        <v>43.6117595191737</v>
      </c>
      <c r="I1751" s="49" t="n">
        <f aca="false">IF('Model Inputs &amp; Assumptions'!$H$31="Fixed",'Model Inputs &amp; Assumptions'!$I$31*'Model Inputs &amp; Assumptions'!$K$31,IF('Model Inputs &amp; Assumptions'!$H$31="CPM",'Model Inputs &amp; Assumptions'!$I$31*'Model Inputs &amp; Assumptions'!$K$31*C1751/1000,IF('Model Inputs &amp; Assumptions'!$H$31="CPC",'Model Inputs &amp; Assumptions'!$I$31*'Model Inputs &amp; Assumptions'!$K$31*G1751,0)))</f>
        <v>5184.702198</v>
      </c>
      <c r="J1751" s="50" t="n">
        <f aca="false">H1751*INDEX('Model Inputs &amp; Assumptions'!$D$40:$D$42,MATCH('Model Inputs &amp; Assumptions'!$L$31,'Model Inputs &amp; Assumptions'!$A$40:$A$42,0))*INDEX('Model Inputs &amp; Assumptions'!$H$40:$H$42,MATCH('Model Inputs &amp; Assumptions'!$L$31,'Model Inputs &amp; Assumptions'!$A$40:$A$42,0))</f>
        <v>314004.668538051</v>
      </c>
      <c r="K1751" s="49" t="n">
        <f aca="false">H1751*INDEX('Model Inputs &amp; Assumptions'!$G$40:$G$42,MATCH('Model Inputs &amp; Assumptions'!$L$31,'Model Inputs &amp; Assumptions'!$A$40:$A$42,0))*INDEX('Model Inputs &amp; Assumptions'!$H$40:$H$42,MATCH('Model Inputs &amp; Assumptions'!$L$31,'Model Inputs &amp; Assumptions'!$A$40:$A$42,0))</f>
        <v>6923.80294126402</v>
      </c>
      <c r="L1751" s="51" t="n">
        <f aca="false">IFERROR(K1751/I1751,0)</f>
        <v>1.3354292448918</v>
      </c>
      <c r="M1751" s="49" t="n">
        <f aca="false">IFERROR(I1751/H1751,0)</f>
        <v>118.883123615331</v>
      </c>
      <c r="N1751" s="52" t="str">
        <f aca="false">'Model Inputs &amp; Assumptions'!$L$31</f>
        <v>PRD-USIQ</v>
      </c>
      <c r="P1751" s="53" t="n">
        <v>-0.035653</v>
      </c>
      <c r="Q1751" s="53" t="n">
        <v>-0.862327</v>
      </c>
      <c r="R1751" s="53" t="n">
        <v>-0.868909</v>
      </c>
      <c r="S1751" s="53" t="n">
        <v>0.025198</v>
      </c>
    </row>
    <row r="1752" customFormat="false" ht="15" hidden="false" customHeight="false" outlineLevel="0" collapsed="false">
      <c r="A1752" s="43" t="n">
        <v>249</v>
      </c>
      <c r="B1752" s="44" t="str">
        <f aca="false">'Model Inputs &amp; Assumptions'!$B$31</f>
        <v>YouTube — Finfluencer Pre-roll</v>
      </c>
      <c r="C1752" s="45" t="n">
        <f aca="false">ROUND(MAX(0,'Model Inputs &amp; Assumptions'!$S$31*EXP('Model Inputs &amp; Assumptions'!$T$31*P1752-'Model Inputs &amp; Assumptions'!$T$31^2/2)),0)</f>
        <v>559841</v>
      </c>
      <c r="D1752" s="46" t="n">
        <f aca="false">MIN(1,'Model Inputs &amp; Assumptions'!$U$31*EXP('Model Inputs &amp; Assumptions'!$V$31*Q1752-'Model Inputs &amp; Assumptions'!$V$31^2/2))</f>
        <v>0.593254960530383</v>
      </c>
      <c r="E1752" s="45" t="n">
        <f aca="false">ROUND(C1752*D1752,0)</f>
        <v>332128</v>
      </c>
      <c r="F1752" s="47" t="n">
        <f aca="false">MIN(1,'Model Inputs &amp; Assumptions'!$W$31*EXP('Model Inputs &amp; Assumptions'!$X$31*R1752-'Model Inputs &amp; Assumptions'!$X$31^2/2))</f>
        <v>0.00483459263712367</v>
      </c>
      <c r="G1752" s="45" t="n">
        <f aca="false">ROUND(C1752*F1752,0)</f>
        <v>2707</v>
      </c>
      <c r="H1752" s="48" t="n">
        <f aca="false">MAX(0,(C1752*'Model Inputs &amp; Assumptions'!$N$31+E1752*'Model Inputs &amp; Assumptions'!$O$31+G1752*'Model Inputs &amp; Assumptions'!$P$31)*EXP('Model Inputs &amp; Assumptions'!$Q$31*S1752-'Model Inputs &amp; Assumptions'!$Q$31^2/2))</f>
        <v>52.357137882246</v>
      </c>
      <c r="I1752" s="49" t="n">
        <f aca="false">IF('Model Inputs &amp; Assumptions'!$H$31="Fixed",'Model Inputs &amp; Assumptions'!$I$31*'Model Inputs &amp; Assumptions'!$K$31,IF('Model Inputs &amp; Assumptions'!$H$31="CPM",'Model Inputs &amp; Assumptions'!$I$31*'Model Inputs &amp; Assumptions'!$K$31*C1752/1000,IF('Model Inputs &amp; Assumptions'!$H$31="CPC",'Model Inputs &amp; Assumptions'!$I$31*'Model Inputs &amp; Assumptions'!$K$31*G1752,0)))</f>
        <v>6351.955986</v>
      </c>
      <c r="J1752" s="50" t="n">
        <f aca="false">H1752*INDEX('Model Inputs &amp; Assumptions'!$D$40:$D$42,MATCH('Model Inputs &amp; Assumptions'!$L$31,'Model Inputs &amp; Assumptions'!$A$40:$A$42,0))*INDEX('Model Inputs &amp; Assumptions'!$H$40:$H$42,MATCH('Model Inputs &amp; Assumptions'!$L$31,'Model Inputs &amp; Assumptions'!$A$40:$A$42,0))</f>
        <v>376971.392752171</v>
      </c>
      <c r="K1752" s="49" t="n">
        <f aca="false">H1752*INDEX('Model Inputs &amp; Assumptions'!$G$40:$G$42,MATCH('Model Inputs &amp; Assumptions'!$L$31,'Model Inputs &amp; Assumptions'!$A$40:$A$42,0))*INDEX('Model Inputs &amp; Assumptions'!$H$40:$H$42,MATCH('Model Inputs &amp; Assumptions'!$L$31,'Model Inputs &amp; Assumptions'!$A$40:$A$42,0))</f>
        <v>8312.21921018538</v>
      </c>
      <c r="L1752" s="51" t="n">
        <f aca="false">IFERROR(K1752/I1752,0)</f>
        <v>1.30860780970553</v>
      </c>
      <c r="M1752" s="49" t="n">
        <f aca="false">IFERROR(I1752/H1752,0)</f>
        <v>121.319771151087</v>
      </c>
      <c r="N1752" s="52" t="str">
        <f aca="false">'Model Inputs &amp; Assumptions'!$L$31</f>
        <v>PRD-USIQ</v>
      </c>
      <c r="P1752" s="53" t="n">
        <v>0.689523</v>
      </c>
      <c r="Q1752" s="53" t="n">
        <v>0.109298</v>
      </c>
      <c r="R1752" s="53" t="n">
        <v>-0.020171</v>
      </c>
      <c r="S1752" s="53" t="n">
        <v>-0.537047</v>
      </c>
    </row>
    <row r="1753" customFormat="false" ht="15" hidden="false" customHeight="false" outlineLevel="0" collapsed="false">
      <c r="A1753" s="43" t="n">
        <v>250</v>
      </c>
      <c r="B1753" s="44" t="str">
        <f aca="false">'Model Inputs &amp; Assumptions'!$B$31</f>
        <v>YouTube — Finfluencer Pre-roll</v>
      </c>
      <c r="C1753" s="45" t="n">
        <f aca="false">ROUND(MAX(0,'Model Inputs &amp; Assumptions'!$S$31*EXP('Model Inputs &amp; Assumptions'!$T$31*P1753-'Model Inputs &amp; Assumptions'!$T$31^2/2)),0)</f>
        <v>288169</v>
      </c>
      <c r="D1753" s="46" t="n">
        <f aca="false">MIN(1,'Model Inputs &amp; Assumptions'!$U$31*EXP('Model Inputs &amp; Assumptions'!$V$31*Q1753-'Model Inputs &amp; Assumptions'!$V$31^2/2))</f>
        <v>0.56318763905355</v>
      </c>
      <c r="E1753" s="45" t="n">
        <f aca="false">ROUND(C1753*D1753,0)</f>
        <v>162293</v>
      </c>
      <c r="F1753" s="47" t="n">
        <f aca="false">MIN(1,'Model Inputs &amp; Assumptions'!$W$31*EXP('Model Inputs &amp; Assumptions'!$X$31*R1753-'Model Inputs &amp; Assumptions'!$X$31^2/2))</f>
        <v>0.00489194978196584</v>
      </c>
      <c r="G1753" s="45" t="n">
        <f aca="false">ROUND(C1753*F1753,0)</f>
        <v>1410</v>
      </c>
      <c r="H1753" s="48" t="n">
        <f aca="false">MAX(0,(C1753*'Model Inputs &amp; Assumptions'!$N$31+E1753*'Model Inputs &amp; Assumptions'!$O$31+G1753*'Model Inputs &amp; Assumptions'!$P$31)*EXP('Model Inputs &amp; Assumptions'!$Q$31*S1753-'Model Inputs &amp; Assumptions'!$Q$31^2/2))</f>
        <v>29.2032834226088</v>
      </c>
      <c r="I1753" s="49" t="n">
        <f aca="false">IF('Model Inputs &amp; Assumptions'!$H$31="Fixed",'Model Inputs &amp; Assumptions'!$I$31*'Model Inputs &amp; Assumptions'!$K$31,IF('Model Inputs &amp; Assumptions'!$H$31="CPM",'Model Inputs &amp; Assumptions'!$I$31*'Model Inputs &amp; Assumptions'!$K$31*C1753/1000,IF('Model Inputs &amp; Assumptions'!$H$31="CPC",'Model Inputs &amp; Assumptions'!$I$31*'Model Inputs &amp; Assumptions'!$K$31*G1753,0)))</f>
        <v>3269.565474</v>
      </c>
      <c r="J1753" s="50" t="n">
        <f aca="false">H1753*INDEX('Model Inputs &amp; Assumptions'!$D$40:$D$42,MATCH('Model Inputs &amp; Assumptions'!$L$31,'Model Inputs &amp; Assumptions'!$A$40:$A$42,0))*INDEX('Model Inputs &amp; Assumptions'!$H$40:$H$42,MATCH('Model Inputs &amp; Assumptions'!$L$31,'Model Inputs &amp; Assumptions'!$A$40:$A$42,0))</f>
        <v>210263.640642784</v>
      </c>
      <c r="K1753" s="49" t="n">
        <f aca="false">H1753*INDEX('Model Inputs &amp; Assumptions'!$G$40:$G$42,MATCH('Model Inputs &amp; Assumptions'!$L$31,'Model Inputs &amp; Assumptions'!$A$40:$A$42,0))*INDEX('Model Inputs &amp; Assumptions'!$H$40:$H$42,MATCH('Model Inputs &amp; Assumptions'!$L$31,'Model Inputs &amp; Assumptions'!$A$40:$A$42,0))</f>
        <v>4636.31327617338</v>
      </c>
      <c r="L1753" s="51" t="n">
        <f aca="false">IFERROR(K1753/I1753,0)</f>
        <v>1.41802123647375</v>
      </c>
      <c r="M1753" s="49" t="n">
        <f aca="false">IFERROR(I1753/H1753,0)</f>
        <v>111.958831022019</v>
      </c>
      <c r="N1753" s="52" t="str">
        <f aca="false">'Model Inputs &amp; Assumptions'!$L$31</f>
        <v>PRD-USIQ</v>
      </c>
      <c r="P1753" s="53" t="n">
        <v>-1.682282</v>
      </c>
      <c r="Q1753" s="53" t="n">
        <v>-0.262212</v>
      </c>
      <c r="R1753" s="53" t="n">
        <v>0.028971</v>
      </c>
      <c r="S1753" s="53" t="n">
        <v>-0.270704</v>
      </c>
    </row>
    <row r="1754" customFormat="false" ht="15" hidden="false" customHeight="false" outlineLevel="0" collapsed="false">
      <c r="A1754" s="43" t="n">
        <v>251</v>
      </c>
      <c r="B1754" s="44" t="str">
        <f aca="false">'Model Inputs &amp; Assumptions'!$B$31</f>
        <v>YouTube — Finfluencer Pre-roll</v>
      </c>
      <c r="C1754" s="45" t="n">
        <f aca="false">ROUND(MAX(0,'Model Inputs &amp; Assumptions'!$S$31*EXP('Model Inputs &amp; Assumptions'!$T$31*P1754-'Model Inputs &amp; Assumptions'!$T$31^2/2)),0)</f>
        <v>697826</v>
      </c>
      <c r="D1754" s="46" t="n">
        <f aca="false">MIN(1,'Model Inputs &amp; Assumptions'!$U$31*EXP('Model Inputs &amp; Assumptions'!$V$31*Q1754-'Model Inputs &amp; Assumptions'!$V$31^2/2))</f>
        <v>0.556045295077849</v>
      </c>
      <c r="E1754" s="45" t="n">
        <f aca="false">ROUND(C1754*D1754,0)</f>
        <v>388023</v>
      </c>
      <c r="F1754" s="47" t="n">
        <f aca="false">MIN(1,'Model Inputs &amp; Assumptions'!$W$31*EXP('Model Inputs &amp; Assumptions'!$X$31*R1754-'Model Inputs &amp; Assumptions'!$X$31^2/2))</f>
        <v>0.00578600547286518</v>
      </c>
      <c r="G1754" s="45" t="n">
        <f aca="false">ROUND(C1754*F1754,0)</f>
        <v>4038</v>
      </c>
      <c r="H1754" s="48" t="n">
        <f aca="false">MAX(0,(C1754*'Model Inputs &amp; Assumptions'!$N$31+E1754*'Model Inputs &amp; Assumptions'!$O$31+G1754*'Model Inputs &amp; Assumptions'!$P$31)*EXP('Model Inputs &amp; Assumptions'!$Q$31*S1754-'Model Inputs &amp; Assumptions'!$Q$31^2/2))</f>
        <v>85.2635306583163</v>
      </c>
      <c r="I1754" s="49" t="n">
        <f aca="false">IF('Model Inputs &amp; Assumptions'!$H$31="Fixed",'Model Inputs &amp; Assumptions'!$I$31*'Model Inputs &amp; Assumptions'!$K$31,IF('Model Inputs &amp; Assumptions'!$H$31="CPM",'Model Inputs &amp; Assumptions'!$I$31*'Model Inputs &amp; Assumptions'!$K$31*C1754/1000,IF('Model Inputs &amp; Assumptions'!$H$31="CPC",'Model Inputs &amp; Assumptions'!$I$31*'Model Inputs &amp; Assumptions'!$K$31*G1754,0)))</f>
        <v>7917.533796</v>
      </c>
      <c r="J1754" s="50" t="n">
        <f aca="false">H1754*INDEX('Model Inputs &amp; Assumptions'!$D$40:$D$42,MATCH('Model Inputs &amp; Assumptions'!$L$31,'Model Inputs &amp; Assumptions'!$A$40:$A$42,0))*INDEX('Model Inputs &amp; Assumptions'!$H$40:$H$42,MATCH('Model Inputs &amp; Assumptions'!$L$31,'Model Inputs &amp; Assumptions'!$A$40:$A$42,0))</f>
        <v>613897.420739877</v>
      </c>
      <c r="K1754" s="49" t="n">
        <f aca="false">H1754*INDEX('Model Inputs &amp; Assumptions'!$G$40:$G$42,MATCH('Model Inputs &amp; Assumptions'!$L$31,'Model Inputs &amp; Assumptions'!$A$40:$A$42,0))*INDEX('Model Inputs &amp; Assumptions'!$H$40:$H$42,MATCH('Model Inputs &amp; Assumptions'!$L$31,'Model Inputs &amp; Assumptions'!$A$40:$A$42,0))</f>
        <v>13536.4381273143</v>
      </c>
      <c r="L1754" s="51" t="n">
        <f aca="false">IFERROR(K1754/I1754,0)</f>
        <v>1.70967860398057</v>
      </c>
      <c r="M1754" s="49" t="n">
        <f aca="false">IFERROR(I1754/H1754,0)</f>
        <v>92.859558299651</v>
      </c>
      <c r="N1754" s="52" t="str">
        <f aca="false">'Model Inputs &amp; Assumptions'!$L$31</f>
        <v>PRD-USIQ</v>
      </c>
      <c r="P1754" s="53" t="n">
        <v>1.476372</v>
      </c>
      <c r="Q1754" s="53" t="n">
        <v>-0.353377</v>
      </c>
      <c r="R1754" s="53" t="n">
        <v>0.728351</v>
      </c>
      <c r="S1754" s="53" t="n">
        <v>-0.030182</v>
      </c>
    </row>
    <row r="1755" customFormat="false" ht="15" hidden="false" customHeight="false" outlineLevel="0" collapsed="false">
      <c r="A1755" s="43" t="n">
        <v>252</v>
      </c>
      <c r="B1755" s="44" t="str">
        <f aca="false">'Model Inputs &amp; Assumptions'!$B$31</f>
        <v>YouTube — Finfluencer Pre-roll</v>
      </c>
      <c r="C1755" s="45" t="n">
        <f aca="false">ROUND(MAX(0,'Model Inputs &amp; Assumptions'!$S$31*EXP('Model Inputs &amp; Assumptions'!$T$31*P1755-'Model Inputs &amp; Assumptions'!$T$31^2/2)),0)</f>
        <v>583603</v>
      </c>
      <c r="D1755" s="46" t="n">
        <f aca="false">MIN(1,'Model Inputs &amp; Assumptions'!$U$31*EXP('Model Inputs &amp; Assumptions'!$V$31*Q1755-'Model Inputs &amp; Assumptions'!$V$31^2/2))</f>
        <v>0.505874197533014</v>
      </c>
      <c r="E1755" s="45" t="n">
        <f aca="false">ROUND(C1755*D1755,0)</f>
        <v>295230</v>
      </c>
      <c r="F1755" s="47" t="n">
        <f aca="false">MIN(1,'Model Inputs &amp; Assumptions'!$W$31*EXP('Model Inputs &amp; Assumptions'!$X$31*R1755-'Model Inputs &amp; Assumptions'!$X$31^2/2))</f>
        <v>0.00334435306883343</v>
      </c>
      <c r="G1755" s="45" t="n">
        <f aca="false">ROUND(C1755*F1755,0)</f>
        <v>1952</v>
      </c>
      <c r="H1755" s="48" t="n">
        <f aca="false">MAX(0,(C1755*'Model Inputs &amp; Assumptions'!$N$31+E1755*'Model Inputs &amp; Assumptions'!$O$31+G1755*'Model Inputs &amp; Assumptions'!$P$31)*EXP('Model Inputs &amp; Assumptions'!$Q$31*S1755-'Model Inputs &amp; Assumptions'!$Q$31^2/2))</f>
        <v>25.1272569866747</v>
      </c>
      <c r="I1755" s="49" t="n">
        <f aca="false">IF('Model Inputs &amp; Assumptions'!$H$31="Fixed",'Model Inputs &amp; Assumptions'!$I$31*'Model Inputs &amp; Assumptions'!$K$31,IF('Model Inputs &amp; Assumptions'!$H$31="CPM",'Model Inputs &amp; Assumptions'!$I$31*'Model Inputs &amp; Assumptions'!$K$31*C1755/1000,IF('Model Inputs &amp; Assumptions'!$H$31="CPC",'Model Inputs &amp; Assumptions'!$I$31*'Model Inputs &amp; Assumptions'!$K$31*G1755,0)))</f>
        <v>6621.559638</v>
      </c>
      <c r="J1755" s="50" t="n">
        <f aca="false">H1755*INDEX('Model Inputs &amp; Assumptions'!$D$40:$D$42,MATCH('Model Inputs &amp; Assumptions'!$L$31,'Model Inputs &amp; Assumptions'!$A$40:$A$42,0))*INDEX('Model Inputs &amp; Assumptions'!$H$40:$H$42,MATCH('Model Inputs &amp; Assumptions'!$L$31,'Model Inputs &amp; Assumptions'!$A$40:$A$42,0))</f>
        <v>180916.250304058</v>
      </c>
      <c r="K1755" s="49" t="n">
        <f aca="false">H1755*INDEX('Model Inputs &amp; Assumptions'!$G$40:$G$42,MATCH('Model Inputs &amp; Assumptions'!$L$31,'Model Inputs &amp; Assumptions'!$A$40:$A$42,0))*INDEX('Model Inputs &amp; Assumptions'!$H$40:$H$42,MATCH('Model Inputs &amp; Assumptions'!$L$31,'Model Inputs &amp; Assumptions'!$A$40:$A$42,0))</f>
        <v>3989.20331920448</v>
      </c>
      <c r="L1755" s="51" t="n">
        <f aca="false">IFERROR(K1755/I1755,0)</f>
        <v>0.602456752984768</v>
      </c>
      <c r="M1755" s="49" t="n">
        <f aca="false">IFERROR(I1755/H1755,0)</f>
        <v>263.520990035303</v>
      </c>
      <c r="N1755" s="52" t="str">
        <f aca="false">'Model Inputs &amp; Assumptions'!$L$31</f>
        <v>PRD-USIQ</v>
      </c>
      <c r="P1755" s="53" t="n">
        <v>0.837979</v>
      </c>
      <c r="Q1755" s="53" t="n">
        <v>-1.028818</v>
      </c>
      <c r="R1755" s="53" t="n">
        <v>-1.555686</v>
      </c>
      <c r="S1755" s="53" t="n">
        <v>-1.951914</v>
      </c>
    </row>
    <row r="1756" customFormat="false" ht="15" hidden="false" customHeight="false" outlineLevel="0" collapsed="false">
      <c r="A1756" s="43" t="n">
        <v>253</v>
      </c>
      <c r="B1756" s="44" t="str">
        <f aca="false">'Model Inputs &amp; Assumptions'!$B$31</f>
        <v>YouTube — Finfluencer Pre-roll</v>
      </c>
      <c r="C1756" s="45" t="n">
        <f aca="false">ROUND(MAX(0,'Model Inputs &amp; Assumptions'!$S$31*EXP('Model Inputs &amp; Assumptions'!$T$31*P1756-'Model Inputs &amp; Assumptions'!$T$31^2/2)),0)</f>
        <v>623032</v>
      </c>
      <c r="D1756" s="46" t="n">
        <f aca="false">MIN(1,'Model Inputs &amp; Assumptions'!$U$31*EXP('Model Inputs &amp; Assumptions'!$V$31*Q1756-'Model Inputs &amp; Assumptions'!$V$31^2/2))</f>
        <v>0.569083741779769</v>
      </c>
      <c r="E1756" s="45" t="n">
        <f aca="false">ROUND(C1756*D1756,0)</f>
        <v>354557</v>
      </c>
      <c r="F1756" s="47" t="n">
        <f aca="false">MIN(1,'Model Inputs &amp; Assumptions'!$W$31*EXP('Model Inputs &amp; Assumptions'!$X$31*R1756-'Model Inputs &amp; Assumptions'!$X$31^2/2))</f>
        <v>0.0042508417937212</v>
      </c>
      <c r="G1756" s="45" t="n">
        <f aca="false">ROUND(C1756*F1756,0)</f>
        <v>2648</v>
      </c>
      <c r="H1756" s="48" t="n">
        <f aca="false">MAX(0,(C1756*'Model Inputs &amp; Assumptions'!$N$31+E1756*'Model Inputs &amp; Assumptions'!$O$31+G1756*'Model Inputs &amp; Assumptions'!$P$31)*EXP('Model Inputs &amp; Assumptions'!$Q$31*S1756-'Model Inputs &amp; Assumptions'!$Q$31^2/2))</f>
        <v>52.2393928220511</v>
      </c>
      <c r="I1756" s="49" t="n">
        <f aca="false">IF('Model Inputs &amp; Assumptions'!$H$31="Fixed",'Model Inputs &amp; Assumptions'!$I$31*'Model Inputs &amp; Assumptions'!$K$31,IF('Model Inputs &amp; Assumptions'!$H$31="CPM",'Model Inputs &amp; Assumptions'!$I$31*'Model Inputs &amp; Assumptions'!$K$31*C1756/1000,IF('Model Inputs &amp; Assumptions'!$H$31="CPC",'Model Inputs &amp; Assumptions'!$I$31*'Model Inputs &amp; Assumptions'!$K$31*G1756,0)))</f>
        <v>7068.921072</v>
      </c>
      <c r="J1756" s="50" t="n">
        <f aca="false">H1756*INDEX('Model Inputs &amp; Assumptions'!$D$40:$D$42,MATCH('Model Inputs &amp; Assumptions'!$L$31,'Model Inputs &amp; Assumptions'!$A$40:$A$42,0))*INDEX('Model Inputs &amp; Assumptions'!$H$40:$H$42,MATCH('Model Inputs &amp; Assumptions'!$L$31,'Model Inputs &amp; Assumptions'!$A$40:$A$42,0))</f>
        <v>376123.628318768</v>
      </c>
      <c r="K1756" s="49" t="n">
        <f aca="false">H1756*INDEX('Model Inputs &amp; Assumptions'!$G$40:$G$42,MATCH('Model Inputs &amp; Assumptions'!$L$31,'Model Inputs &amp; Assumptions'!$A$40:$A$42,0))*INDEX('Model Inputs &amp; Assumptions'!$H$40:$H$42,MATCH('Model Inputs &amp; Assumptions'!$L$31,'Model Inputs &amp; Assumptions'!$A$40:$A$42,0))</f>
        <v>8293.52600442883</v>
      </c>
      <c r="L1756" s="51" t="n">
        <f aca="false">IFERROR(K1756/I1756,0)</f>
        <v>1.17323788453085</v>
      </c>
      <c r="M1756" s="49" t="n">
        <f aca="false">IFERROR(I1756/H1756,0)</f>
        <v>135.317826071977</v>
      </c>
      <c r="N1756" s="52" t="str">
        <f aca="false">'Model Inputs &amp; Assumptions'!$L$31</f>
        <v>PRD-USIQ</v>
      </c>
      <c r="P1756" s="53" t="n">
        <v>1.071469</v>
      </c>
      <c r="Q1756" s="53" t="n">
        <v>-0.187821</v>
      </c>
      <c r="R1756" s="53" t="n">
        <v>-0.556337</v>
      </c>
      <c r="S1756" s="53" t="n">
        <v>-0.581896</v>
      </c>
    </row>
    <row r="1757" customFormat="false" ht="15" hidden="false" customHeight="false" outlineLevel="0" collapsed="false">
      <c r="A1757" s="43" t="n">
        <v>254</v>
      </c>
      <c r="B1757" s="44" t="str">
        <f aca="false">'Model Inputs &amp; Assumptions'!$B$31</f>
        <v>YouTube — Finfluencer Pre-roll</v>
      </c>
      <c r="C1757" s="45" t="n">
        <f aca="false">ROUND(MAX(0,'Model Inputs &amp; Assumptions'!$S$31*EXP('Model Inputs &amp; Assumptions'!$T$31*P1757-'Model Inputs &amp; Assumptions'!$T$31^2/2)),0)</f>
        <v>463150</v>
      </c>
      <c r="D1757" s="46" t="n">
        <f aca="false">MIN(1,'Model Inputs &amp; Assumptions'!$U$31*EXP('Model Inputs &amp; Assumptions'!$V$31*Q1757-'Model Inputs &amp; Assumptions'!$V$31^2/2))</f>
        <v>0.556036809891388</v>
      </c>
      <c r="E1757" s="45" t="n">
        <f aca="false">ROUND(C1757*D1757,0)</f>
        <v>257528</v>
      </c>
      <c r="F1757" s="47" t="n">
        <f aca="false">MIN(1,'Model Inputs &amp; Assumptions'!$W$31*EXP('Model Inputs &amp; Assumptions'!$X$31*R1757-'Model Inputs &amp; Assumptions'!$X$31^2/2))</f>
        <v>0.00489974122468922</v>
      </c>
      <c r="G1757" s="45" t="n">
        <f aca="false">ROUND(C1757*F1757,0)</f>
        <v>2269</v>
      </c>
      <c r="H1757" s="48" t="n">
        <f aca="false">MAX(0,(C1757*'Model Inputs &amp; Assumptions'!$N$31+E1757*'Model Inputs &amp; Assumptions'!$O$31+G1757*'Model Inputs &amp; Assumptions'!$P$31)*EXP('Model Inputs &amp; Assumptions'!$Q$31*S1757-'Model Inputs &amp; Assumptions'!$Q$31^2/2))</f>
        <v>44.5416898668476</v>
      </c>
      <c r="I1757" s="49" t="n">
        <f aca="false">IF('Model Inputs &amp; Assumptions'!$H$31="Fixed",'Model Inputs &amp; Assumptions'!$I$31*'Model Inputs &amp; Assumptions'!$K$31,IF('Model Inputs &amp; Assumptions'!$H$31="CPM",'Model Inputs &amp; Assumptions'!$I$31*'Model Inputs &amp; Assumptions'!$K$31*C1757/1000,IF('Model Inputs &amp; Assumptions'!$H$31="CPC",'Model Inputs &amp; Assumptions'!$I$31*'Model Inputs &amp; Assumptions'!$K$31*G1757,0)))</f>
        <v>5254.8999</v>
      </c>
      <c r="J1757" s="50" t="n">
        <f aca="false">H1757*INDEX('Model Inputs &amp; Assumptions'!$D$40:$D$42,MATCH('Model Inputs &amp; Assumptions'!$L$31,'Model Inputs &amp; Assumptions'!$A$40:$A$42,0))*INDEX('Model Inputs &amp; Assumptions'!$H$40:$H$42,MATCH('Model Inputs &amp; Assumptions'!$L$31,'Model Inputs &amp; Assumptions'!$A$40:$A$42,0))</f>
        <v>320700.167041303</v>
      </c>
      <c r="K1757" s="49" t="n">
        <f aca="false">H1757*INDEX('Model Inputs &amp; Assumptions'!$G$40:$G$42,MATCH('Model Inputs &amp; Assumptions'!$L$31,'Model Inputs &amp; Assumptions'!$A$40:$A$42,0))*INDEX('Model Inputs &amp; Assumptions'!$H$40:$H$42,MATCH('Model Inputs &amp; Assumptions'!$L$31,'Model Inputs &amp; Assumptions'!$A$40:$A$42,0))</f>
        <v>7071.43868326072</v>
      </c>
      <c r="L1757" s="51" t="n">
        <f aca="false">IFERROR(K1757/I1757,0)</f>
        <v>1.34568475476778</v>
      </c>
      <c r="M1757" s="49" t="n">
        <f aca="false">IFERROR(I1757/H1757,0)</f>
        <v>117.977111234642</v>
      </c>
      <c r="N1757" s="52" t="str">
        <f aca="false">'Model Inputs &amp; Assumptions'!$L$31</f>
        <v>PRD-USIQ</v>
      </c>
      <c r="P1757" s="53" t="n">
        <v>0.012374</v>
      </c>
      <c r="Q1757" s="53" t="n">
        <v>-0.353486</v>
      </c>
      <c r="R1757" s="53" t="n">
        <v>0.035602</v>
      </c>
      <c r="S1757" s="53" t="n">
        <v>-0.408686</v>
      </c>
    </row>
    <row r="1758" customFormat="false" ht="15" hidden="false" customHeight="false" outlineLevel="0" collapsed="false">
      <c r="A1758" s="43" t="n">
        <v>255</v>
      </c>
      <c r="B1758" s="44" t="str">
        <f aca="false">'Model Inputs &amp; Assumptions'!$B$31</f>
        <v>YouTube — Finfluencer Pre-roll</v>
      </c>
      <c r="C1758" s="45" t="n">
        <f aca="false">ROUND(MAX(0,'Model Inputs &amp; Assumptions'!$S$31*EXP('Model Inputs &amp; Assumptions'!$T$31*P1758-'Model Inputs &amp; Assumptions'!$T$31^2/2)),0)</f>
        <v>934695</v>
      </c>
      <c r="D1758" s="46" t="n">
        <f aca="false">MIN(1,'Model Inputs &amp; Assumptions'!$U$31*EXP('Model Inputs &amp; Assumptions'!$V$31*Q1758-'Model Inputs &amp; Assumptions'!$V$31^2/2))</f>
        <v>0.529211062861156</v>
      </c>
      <c r="E1758" s="45" t="n">
        <f aca="false">ROUND(C1758*D1758,0)</f>
        <v>494651</v>
      </c>
      <c r="F1758" s="47" t="n">
        <f aca="false">MIN(1,'Model Inputs &amp; Assumptions'!$W$31*EXP('Model Inputs &amp; Assumptions'!$X$31*R1758-'Model Inputs &amp; Assumptions'!$X$31^2/2))</f>
        <v>0.00395649476304946</v>
      </c>
      <c r="G1758" s="45" t="n">
        <f aca="false">ROUND(C1758*F1758,0)</f>
        <v>3698</v>
      </c>
      <c r="H1758" s="48" t="n">
        <f aca="false">MAX(0,(C1758*'Model Inputs &amp; Assumptions'!$N$31+E1758*'Model Inputs &amp; Assumptions'!$O$31+G1758*'Model Inputs &amp; Assumptions'!$P$31)*EXP('Model Inputs &amp; Assumptions'!$Q$31*S1758-'Model Inputs &amp; Assumptions'!$Q$31^2/2))</f>
        <v>103.929110913458</v>
      </c>
      <c r="I1758" s="49" t="n">
        <f aca="false">IF('Model Inputs &amp; Assumptions'!$H$31="Fixed",'Model Inputs &amp; Assumptions'!$I$31*'Model Inputs &amp; Assumptions'!$K$31,IF('Model Inputs &amp; Assumptions'!$H$31="CPM",'Model Inputs &amp; Assumptions'!$I$31*'Model Inputs &amp; Assumptions'!$K$31*C1758/1000,IF('Model Inputs &amp; Assumptions'!$H$31="CPC",'Model Inputs &amp; Assumptions'!$I$31*'Model Inputs &amp; Assumptions'!$K$31*G1758,0)))</f>
        <v>10605.04947</v>
      </c>
      <c r="J1758" s="50" t="n">
        <f aca="false">H1758*INDEX('Model Inputs &amp; Assumptions'!$D$40:$D$42,MATCH('Model Inputs &amp; Assumptions'!$L$31,'Model Inputs &amp; Assumptions'!$A$40:$A$42,0))*INDEX('Model Inputs &amp; Assumptions'!$H$40:$H$42,MATCH('Model Inputs &amp; Assumptions'!$L$31,'Model Inputs &amp; Assumptions'!$A$40:$A$42,0))</f>
        <v>748289.5985769</v>
      </c>
      <c r="K1758" s="49" t="n">
        <f aca="false">H1758*INDEX('Model Inputs &amp; Assumptions'!$G$40:$G$42,MATCH('Model Inputs &amp; Assumptions'!$L$31,'Model Inputs &amp; Assumptions'!$A$40:$A$42,0))*INDEX('Model Inputs &amp; Assumptions'!$H$40:$H$42,MATCH('Model Inputs &amp; Assumptions'!$L$31,'Model Inputs &amp; Assumptions'!$A$40:$A$42,0))</f>
        <v>16499.7856486206</v>
      </c>
      <c r="L1758" s="51" t="n">
        <f aca="false">IFERROR(K1758/I1758,0)</f>
        <v>1.5558424027437</v>
      </c>
      <c r="M1758" s="49" t="n">
        <f aca="false">IFERROR(I1758/H1758,0)</f>
        <v>102.041183425795</v>
      </c>
      <c r="N1758" s="52" t="str">
        <f aca="false">'Model Inputs &amp; Assumptions'!$L$31</f>
        <v>PRD-USIQ</v>
      </c>
      <c r="P1758" s="53" t="n">
        <v>2.520122</v>
      </c>
      <c r="Q1758" s="53" t="n">
        <v>-0.70668</v>
      </c>
      <c r="R1758" s="53" t="n">
        <v>-0.855331</v>
      </c>
      <c r="S1758" s="53" t="n">
        <v>0.430398</v>
      </c>
    </row>
    <row r="1759" customFormat="false" ht="15" hidden="false" customHeight="false" outlineLevel="0" collapsed="false">
      <c r="A1759" s="43" t="n">
        <v>256</v>
      </c>
      <c r="B1759" s="44" t="str">
        <f aca="false">'Model Inputs &amp; Assumptions'!$B$31</f>
        <v>YouTube — Finfluencer Pre-roll</v>
      </c>
      <c r="C1759" s="45" t="n">
        <f aca="false">ROUND(MAX(0,'Model Inputs &amp; Assumptions'!$S$31*EXP('Model Inputs &amp; Assumptions'!$T$31*P1759-'Model Inputs &amp; Assumptions'!$T$31^2/2)),0)</f>
        <v>605462</v>
      </c>
      <c r="D1759" s="46" t="n">
        <f aca="false">MIN(1,'Model Inputs &amp; Assumptions'!$U$31*EXP('Model Inputs &amp; Assumptions'!$V$31*Q1759-'Model Inputs &amp; Assumptions'!$V$31^2/2))</f>
        <v>0.527949490342257</v>
      </c>
      <c r="E1759" s="45" t="n">
        <f aca="false">ROUND(C1759*D1759,0)</f>
        <v>319653</v>
      </c>
      <c r="F1759" s="47" t="n">
        <f aca="false">MIN(1,'Model Inputs &amp; Assumptions'!$W$31*EXP('Model Inputs &amp; Assumptions'!$X$31*R1759-'Model Inputs &amp; Assumptions'!$X$31^2/2))</f>
        <v>0.00665405892035169</v>
      </c>
      <c r="G1759" s="45" t="n">
        <f aca="false">ROUND(C1759*F1759,0)</f>
        <v>4029</v>
      </c>
      <c r="H1759" s="48" t="n">
        <f aca="false">MAX(0,(C1759*'Model Inputs &amp; Assumptions'!$N$31+E1759*'Model Inputs &amp; Assumptions'!$O$31+G1759*'Model Inputs &amp; Assumptions'!$P$31)*EXP('Model Inputs &amp; Assumptions'!$Q$31*S1759-'Model Inputs &amp; Assumptions'!$Q$31^2/2))</f>
        <v>82.9391394139105</v>
      </c>
      <c r="I1759" s="49" t="n">
        <f aca="false">IF('Model Inputs &amp; Assumptions'!$H$31="Fixed",'Model Inputs &amp; Assumptions'!$I$31*'Model Inputs &amp; Assumptions'!$K$31,IF('Model Inputs &amp; Assumptions'!$H$31="CPM",'Model Inputs &amp; Assumptions'!$I$31*'Model Inputs &amp; Assumptions'!$K$31*C1759/1000,IF('Model Inputs &amp; Assumptions'!$H$31="CPC",'Model Inputs &amp; Assumptions'!$I$31*'Model Inputs &amp; Assumptions'!$K$31*G1759,0)))</f>
        <v>6869.571852</v>
      </c>
      <c r="J1759" s="50" t="n">
        <f aca="false">H1759*INDEX('Model Inputs &amp; Assumptions'!$D$40:$D$42,MATCH('Model Inputs &amp; Assumptions'!$L$31,'Model Inputs &amp; Assumptions'!$A$40:$A$42,0))*INDEX('Model Inputs &amp; Assumptions'!$H$40:$H$42,MATCH('Model Inputs &amp; Assumptions'!$L$31,'Model Inputs &amp; Assumptions'!$A$40:$A$42,0))</f>
        <v>597161.803780156</v>
      </c>
      <c r="K1759" s="49" t="n">
        <f aca="false">H1759*INDEX('Model Inputs &amp; Assumptions'!$G$40:$G$42,MATCH('Model Inputs &amp; Assumptions'!$L$31,'Model Inputs &amp; Assumptions'!$A$40:$A$42,0))*INDEX('Model Inputs &amp; Assumptions'!$H$40:$H$42,MATCH('Model Inputs &amp; Assumptions'!$L$31,'Model Inputs &amp; Assumptions'!$A$40:$A$42,0))</f>
        <v>13167.4177733524</v>
      </c>
      <c r="L1759" s="51" t="n">
        <f aca="false">IFERROR(K1759/I1759,0)</f>
        <v>1.91677415376606</v>
      </c>
      <c r="M1759" s="49" t="n">
        <f aca="false">IFERROR(I1759/H1759,0)</f>
        <v>82.8266594100667</v>
      </c>
      <c r="N1759" s="52" t="str">
        <f aca="false">'Model Inputs &amp; Assumptions'!$L$31</f>
        <v>PRD-USIQ</v>
      </c>
      <c r="P1759" s="53" t="n">
        <v>0.969308</v>
      </c>
      <c r="Q1759" s="53" t="n">
        <v>-0.723728</v>
      </c>
      <c r="R1759" s="53" t="n">
        <v>1.310788</v>
      </c>
      <c r="S1759" s="53" t="n">
        <v>0.071216</v>
      </c>
    </row>
    <row r="1760" customFormat="false" ht="15" hidden="false" customHeight="false" outlineLevel="0" collapsed="false">
      <c r="A1760" s="43" t="n">
        <v>257</v>
      </c>
      <c r="B1760" s="44" t="str">
        <f aca="false">'Model Inputs &amp; Assumptions'!$B$31</f>
        <v>YouTube — Finfluencer Pre-roll</v>
      </c>
      <c r="C1760" s="45" t="n">
        <f aca="false">ROUND(MAX(0,'Model Inputs &amp; Assumptions'!$S$31*EXP('Model Inputs &amp; Assumptions'!$T$31*P1760-'Model Inputs &amp; Assumptions'!$T$31^2/2)),0)</f>
        <v>563634</v>
      </c>
      <c r="D1760" s="46" t="n">
        <f aca="false">MIN(1,'Model Inputs &amp; Assumptions'!$U$31*EXP('Model Inputs &amp; Assumptions'!$V$31*Q1760-'Model Inputs &amp; Assumptions'!$V$31^2/2))</f>
        <v>0.518135233593224</v>
      </c>
      <c r="E1760" s="45" t="n">
        <f aca="false">ROUND(C1760*D1760,0)</f>
        <v>292039</v>
      </c>
      <c r="F1760" s="47" t="n">
        <f aca="false">MIN(1,'Model Inputs &amp; Assumptions'!$W$31*EXP('Model Inputs &amp; Assumptions'!$X$31*R1760-'Model Inputs &amp; Assumptions'!$X$31^2/2))</f>
        <v>0.00505759802730821</v>
      </c>
      <c r="G1760" s="45" t="n">
        <f aca="false">ROUND(C1760*F1760,0)</f>
        <v>2851</v>
      </c>
      <c r="H1760" s="48" t="n">
        <f aca="false">MAX(0,(C1760*'Model Inputs &amp; Assumptions'!$N$31+E1760*'Model Inputs &amp; Assumptions'!$O$31+G1760*'Model Inputs &amp; Assumptions'!$P$31)*EXP('Model Inputs &amp; Assumptions'!$Q$31*S1760-'Model Inputs &amp; Assumptions'!$Q$31^2/2))</f>
        <v>63.4893339456393</v>
      </c>
      <c r="I1760" s="49" t="n">
        <f aca="false">IF('Model Inputs &amp; Assumptions'!$H$31="Fixed",'Model Inputs &amp; Assumptions'!$I$31*'Model Inputs &amp; Assumptions'!$K$31,IF('Model Inputs &amp; Assumptions'!$H$31="CPM",'Model Inputs &amp; Assumptions'!$I$31*'Model Inputs &amp; Assumptions'!$K$31*C1760/1000,IF('Model Inputs &amp; Assumptions'!$H$31="CPC",'Model Inputs &amp; Assumptions'!$I$31*'Model Inputs &amp; Assumptions'!$K$31*G1760,0)))</f>
        <v>6394.991364</v>
      </c>
      <c r="J1760" s="50" t="n">
        <f aca="false">H1760*INDEX('Model Inputs &amp; Assumptions'!$D$40:$D$42,MATCH('Model Inputs &amp; Assumptions'!$L$31,'Model Inputs &amp; Assumptions'!$A$40:$A$42,0))*INDEX('Model Inputs &amp; Assumptions'!$H$40:$H$42,MATCH('Model Inputs &amp; Assumptions'!$L$31,'Model Inputs &amp; Assumptions'!$A$40:$A$42,0))</f>
        <v>457123.204408603</v>
      </c>
      <c r="K1760" s="49" t="n">
        <f aca="false">H1760*INDEX('Model Inputs &amp; Assumptions'!$G$40:$G$42,MATCH('Model Inputs &amp; Assumptions'!$L$31,'Model Inputs &amp; Assumptions'!$A$40:$A$42,0))*INDEX('Model Inputs &amp; Assumptions'!$H$40:$H$42,MATCH('Model Inputs &amp; Assumptions'!$L$31,'Model Inputs &amp; Assumptions'!$A$40:$A$42,0))</f>
        <v>10079.5666572097</v>
      </c>
      <c r="L1760" s="51" t="n">
        <f aca="false">IFERROR(K1760/I1760,0)</f>
        <v>1.5761657965563</v>
      </c>
      <c r="M1760" s="49" t="n">
        <f aca="false">IFERROR(I1760/H1760,0)</f>
        <v>100.725444205723</v>
      </c>
      <c r="N1760" s="52" t="str">
        <f aca="false">'Model Inputs &amp; Assumptions'!$L$31</f>
        <v>PRD-USIQ</v>
      </c>
      <c r="P1760" s="53" t="n">
        <v>0.713641</v>
      </c>
      <c r="Q1760" s="53" t="n">
        <v>-0.857759</v>
      </c>
      <c r="R1760" s="53" t="n">
        <v>0.167724</v>
      </c>
      <c r="S1760" s="53" t="n">
        <v>0.058651</v>
      </c>
    </row>
    <row r="1761" customFormat="false" ht="15" hidden="false" customHeight="false" outlineLevel="0" collapsed="false">
      <c r="A1761" s="43" t="n">
        <v>258</v>
      </c>
      <c r="B1761" s="44" t="str">
        <f aca="false">'Model Inputs &amp; Assumptions'!$B$31</f>
        <v>YouTube — Finfluencer Pre-roll</v>
      </c>
      <c r="C1761" s="45" t="n">
        <f aca="false">ROUND(MAX(0,'Model Inputs &amp; Assumptions'!$S$31*EXP('Model Inputs &amp; Assumptions'!$T$31*P1761-'Model Inputs &amp; Assumptions'!$T$31^2/2)),0)</f>
        <v>753977</v>
      </c>
      <c r="D1761" s="46" t="n">
        <f aca="false">MIN(1,'Model Inputs &amp; Assumptions'!$U$31*EXP('Model Inputs &amp; Assumptions'!$V$31*Q1761-'Model Inputs &amp; Assumptions'!$V$31^2/2))</f>
        <v>0.648463239615334</v>
      </c>
      <c r="E1761" s="45" t="n">
        <f aca="false">ROUND(C1761*D1761,0)</f>
        <v>488926</v>
      </c>
      <c r="F1761" s="47" t="n">
        <f aca="false">MIN(1,'Model Inputs &amp; Assumptions'!$W$31*EXP('Model Inputs &amp; Assumptions'!$X$31*R1761-'Model Inputs &amp; Assumptions'!$X$31^2/2))</f>
        <v>0.00481820451996789</v>
      </c>
      <c r="G1761" s="45" t="n">
        <f aca="false">ROUND(C1761*F1761,0)</f>
        <v>3633</v>
      </c>
      <c r="H1761" s="48" t="n">
        <f aca="false">MAX(0,(C1761*'Model Inputs &amp; Assumptions'!$N$31+E1761*'Model Inputs &amp; Assumptions'!$O$31+G1761*'Model Inputs &amp; Assumptions'!$P$31)*EXP('Model Inputs &amp; Assumptions'!$Q$31*S1761-'Model Inputs &amp; Assumptions'!$Q$31^2/2))</f>
        <v>70.9988327897736</v>
      </c>
      <c r="I1761" s="49" t="n">
        <f aca="false">IF('Model Inputs &amp; Assumptions'!$H$31="Fixed",'Model Inputs &amp; Assumptions'!$I$31*'Model Inputs &amp; Assumptions'!$K$31,IF('Model Inputs &amp; Assumptions'!$H$31="CPM",'Model Inputs &amp; Assumptions'!$I$31*'Model Inputs &amp; Assumptions'!$K$31*C1761/1000,IF('Model Inputs &amp; Assumptions'!$H$31="CPC",'Model Inputs &amp; Assumptions'!$I$31*'Model Inputs &amp; Assumptions'!$K$31*G1761,0)))</f>
        <v>8554.623042</v>
      </c>
      <c r="J1761" s="50" t="n">
        <f aca="false">H1761*INDEX('Model Inputs &amp; Assumptions'!$D$40:$D$42,MATCH('Model Inputs &amp; Assumptions'!$L$31,'Model Inputs &amp; Assumptions'!$A$40:$A$42,0))*INDEX('Model Inputs &amp; Assumptions'!$H$40:$H$42,MATCH('Model Inputs &amp; Assumptions'!$L$31,'Model Inputs &amp; Assumptions'!$A$40:$A$42,0))</f>
        <v>511191.59608637</v>
      </c>
      <c r="K1761" s="49" t="n">
        <f aca="false">H1761*INDEX('Model Inputs &amp; Assumptions'!$G$40:$G$42,MATCH('Model Inputs &amp; Assumptions'!$L$31,'Model Inputs &amp; Assumptions'!$A$40:$A$42,0))*INDEX('Model Inputs &amp; Assumptions'!$H$40:$H$42,MATCH('Model Inputs &amp; Assumptions'!$L$31,'Model Inputs &amp; Assumptions'!$A$40:$A$42,0))</f>
        <v>11271.7746937045</v>
      </c>
      <c r="L1761" s="51" t="n">
        <f aca="false">IFERROR(K1761/I1761,0)</f>
        <v>1.3176237735274</v>
      </c>
      <c r="M1761" s="49" t="n">
        <f aca="false">IFERROR(I1761/H1761,0)</f>
        <v>120.489629277852</v>
      </c>
      <c r="N1761" s="52" t="str">
        <f aca="false">'Model Inputs &amp; Assumptions'!$L$31</f>
        <v>PRD-USIQ</v>
      </c>
      <c r="P1761" s="53" t="n">
        <v>1.752772</v>
      </c>
      <c r="Q1761" s="53" t="n">
        <v>0.744877</v>
      </c>
      <c r="R1761" s="53" t="n">
        <v>-0.034319</v>
      </c>
      <c r="S1761" s="53" t="n">
        <v>-0.614897</v>
      </c>
    </row>
    <row r="1762" customFormat="false" ht="15" hidden="false" customHeight="false" outlineLevel="0" collapsed="false">
      <c r="A1762" s="43" t="n">
        <v>259</v>
      </c>
      <c r="B1762" s="44" t="str">
        <f aca="false">'Model Inputs &amp; Assumptions'!$B$31</f>
        <v>YouTube — Finfluencer Pre-roll</v>
      </c>
      <c r="C1762" s="45" t="n">
        <f aca="false">ROUND(MAX(0,'Model Inputs &amp; Assumptions'!$S$31*EXP('Model Inputs &amp; Assumptions'!$T$31*P1762-'Model Inputs &amp; Assumptions'!$T$31^2/2)),0)</f>
        <v>410978</v>
      </c>
      <c r="D1762" s="46" t="n">
        <f aca="false">MIN(1,'Model Inputs &amp; Assumptions'!$U$31*EXP('Model Inputs &amp; Assumptions'!$V$31*Q1762-'Model Inputs &amp; Assumptions'!$V$31^2/2))</f>
        <v>0.620929641560122</v>
      </c>
      <c r="E1762" s="45" t="n">
        <f aca="false">ROUND(C1762*D1762,0)</f>
        <v>255188</v>
      </c>
      <c r="F1762" s="47" t="n">
        <f aca="false">MIN(1,'Model Inputs &amp; Assumptions'!$W$31*EXP('Model Inputs &amp; Assumptions'!$X$31*R1762-'Model Inputs &amp; Assumptions'!$X$31^2/2))</f>
        <v>0.0041867581047254</v>
      </c>
      <c r="G1762" s="45" t="n">
        <f aca="false">ROUND(C1762*F1762,0)</f>
        <v>1721</v>
      </c>
      <c r="H1762" s="48" t="n">
        <f aca="false">MAX(0,(C1762*'Model Inputs &amp; Assumptions'!$N$31+E1762*'Model Inputs &amp; Assumptions'!$O$31+G1762*'Model Inputs &amp; Assumptions'!$P$31)*EXP('Model Inputs &amp; Assumptions'!$Q$31*S1762-'Model Inputs &amp; Assumptions'!$Q$31^2/2))</f>
        <v>43.9545877012048</v>
      </c>
      <c r="I1762" s="49" t="n">
        <f aca="false">IF('Model Inputs &amp; Assumptions'!$H$31="Fixed",'Model Inputs &amp; Assumptions'!$I$31*'Model Inputs &amp; Assumptions'!$K$31,IF('Model Inputs &amp; Assumptions'!$H$31="CPM",'Model Inputs &amp; Assumptions'!$I$31*'Model Inputs &amp; Assumptions'!$K$31*C1762/1000,IF('Model Inputs &amp; Assumptions'!$H$31="CPC",'Model Inputs &amp; Assumptions'!$I$31*'Model Inputs &amp; Assumptions'!$K$31*G1762,0)))</f>
        <v>4662.956388</v>
      </c>
      <c r="J1762" s="50" t="n">
        <f aca="false">H1762*INDEX('Model Inputs &amp; Assumptions'!$D$40:$D$42,MATCH('Model Inputs &amp; Assumptions'!$L$31,'Model Inputs &amp; Assumptions'!$A$40:$A$42,0))*INDEX('Model Inputs &amp; Assumptions'!$H$40:$H$42,MATCH('Model Inputs &amp; Assumptions'!$L$31,'Model Inputs &amp; Assumptions'!$A$40:$A$42,0))</f>
        <v>316473.031448674</v>
      </c>
      <c r="K1762" s="49" t="n">
        <f aca="false">H1762*INDEX('Model Inputs &amp; Assumptions'!$G$40:$G$42,MATCH('Model Inputs &amp; Assumptions'!$L$31,'Model Inputs &amp; Assumptions'!$A$40:$A$42,0))*INDEX('Model Inputs &amp; Assumptions'!$H$40:$H$42,MATCH('Model Inputs &amp; Assumptions'!$L$31,'Model Inputs &amp; Assumptions'!$A$40:$A$42,0))</f>
        <v>6978.23034344327</v>
      </c>
      <c r="L1762" s="51" t="n">
        <f aca="false">IFERROR(K1762/I1762,0)</f>
        <v>1.4965249002546</v>
      </c>
      <c r="M1762" s="49" t="n">
        <f aca="false">IFERROR(I1762/H1762,0)</f>
        <v>106.085772427168</v>
      </c>
      <c r="N1762" s="52" t="str">
        <f aca="false">'Model Inputs &amp; Assumptions'!$L$31</f>
        <v>PRD-USIQ</v>
      </c>
      <c r="P1762" s="53" t="n">
        <v>-0.414453</v>
      </c>
      <c r="Q1762" s="53" t="n">
        <v>0.434966</v>
      </c>
      <c r="R1762" s="53" t="n">
        <v>-0.61963</v>
      </c>
      <c r="S1762" s="53" t="n">
        <v>0.030792</v>
      </c>
    </row>
    <row r="1763" customFormat="false" ht="15" hidden="false" customHeight="false" outlineLevel="0" collapsed="false">
      <c r="A1763" s="43" t="n">
        <v>260</v>
      </c>
      <c r="B1763" s="44" t="str">
        <f aca="false">'Model Inputs &amp; Assumptions'!$B$31</f>
        <v>YouTube — Finfluencer Pre-roll</v>
      </c>
      <c r="C1763" s="45" t="n">
        <f aca="false">ROUND(MAX(0,'Model Inputs &amp; Assumptions'!$S$31*EXP('Model Inputs &amp; Assumptions'!$T$31*P1763-'Model Inputs &amp; Assumptions'!$T$31^2/2)),0)</f>
        <v>378630</v>
      </c>
      <c r="D1763" s="46" t="n">
        <f aca="false">MIN(1,'Model Inputs &amp; Assumptions'!$U$31*EXP('Model Inputs &amp; Assumptions'!$V$31*Q1763-'Model Inputs &amp; Assumptions'!$V$31^2/2))</f>
        <v>0.701119944255818</v>
      </c>
      <c r="E1763" s="45" t="n">
        <f aca="false">ROUND(C1763*D1763,0)</f>
        <v>265465</v>
      </c>
      <c r="F1763" s="47" t="n">
        <f aca="false">MIN(1,'Model Inputs &amp; Assumptions'!$W$31*EXP('Model Inputs &amp; Assumptions'!$X$31*R1763-'Model Inputs &amp; Assumptions'!$X$31^2/2))</f>
        <v>0.0062322610257171</v>
      </c>
      <c r="G1763" s="45" t="n">
        <f aca="false">ROUND(C1763*F1763,0)</f>
        <v>2360</v>
      </c>
      <c r="H1763" s="48" t="n">
        <f aca="false">MAX(0,(C1763*'Model Inputs &amp; Assumptions'!$N$31+E1763*'Model Inputs &amp; Assumptions'!$O$31+G1763*'Model Inputs &amp; Assumptions'!$P$31)*EXP('Model Inputs &amp; Assumptions'!$Q$31*S1763-'Model Inputs &amp; Assumptions'!$Q$31^2/2))</f>
        <v>86.2117098124221</v>
      </c>
      <c r="I1763" s="49" t="n">
        <f aca="false">IF('Model Inputs &amp; Assumptions'!$H$31="Fixed",'Model Inputs &amp; Assumptions'!$I$31*'Model Inputs &amp; Assumptions'!$K$31,IF('Model Inputs &amp; Assumptions'!$H$31="CPM",'Model Inputs &amp; Assumptions'!$I$31*'Model Inputs &amp; Assumptions'!$K$31*C1763/1000,IF('Model Inputs &amp; Assumptions'!$H$31="CPC",'Model Inputs &amp; Assumptions'!$I$31*'Model Inputs &amp; Assumptions'!$K$31*G1763,0)))</f>
        <v>4295.93598</v>
      </c>
      <c r="J1763" s="50" t="n">
        <f aca="false">H1763*INDEX('Model Inputs &amp; Assumptions'!$D$40:$D$42,MATCH('Model Inputs &amp; Assumptions'!$L$31,'Model Inputs &amp; Assumptions'!$A$40:$A$42,0))*INDEX('Model Inputs &amp; Assumptions'!$H$40:$H$42,MATCH('Model Inputs &amp; Assumptions'!$L$31,'Model Inputs &amp; Assumptions'!$A$40:$A$42,0))</f>
        <v>620724.310649439</v>
      </c>
      <c r="K1763" s="49" t="n">
        <f aca="false">H1763*INDEX('Model Inputs &amp; Assumptions'!$G$40:$G$42,MATCH('Model Inputs &amp; Assumptions'!$L$31,'Model Inputs &amp; Assumptions'!$A$40:$A$42,0))*INDEX('Model Inputs &amp; Assumptions'!$H$40:$H$42,MATCH('Model Inputs &amp; Assumptions'!$L$31,'Model Inputs &amp; Assumptions'!$A$40:$A$42,0))</f>
        <v>13686.9710498201</v>
      </c>
      <c r="L1763" s="51" t="n">
        <f aca="false">IFERROR(K1763/I1763,0)</f>
        <v>3.18602770468198</v>
      </c>
      <c r="M1763" s="49" t="n">
        <f aca="false">IFERROR(I1763/H1763,0)</f>
        <v>49.8300751643486</v>
      </c>
      <c r="N1763" s="52" t="str">
        <f aca="false">'Model Inputs &amp; Assumptions'!$L$31</f>
        <v>PRD-USIQ</v>
      </c>
      <c r="P1763" s="53" t="n">
        <v>-0.707242</v>
      </c>
      <c r="Q1763" s="53" t="n">
        <v>1.302546</v>
      </c>
      <c r="R1763" s="53" t="n">
        <v>1.037922</v>
      </c>
      <c r="S1763" s="53" t="n">
        <v>1.3754</v>
      </c>
    </row>
    <row r="1764" customFormat="false" ht="15" hidden="false" customHeight="false" outlineLevel="0" collapsed="false">
      <c r="A1764" s="43" t="n">
        <v>261</v>
      </c>
      <c r="B1764" s="44" t="str">
        <f aca="false">'Model Inputs &amp; Assumptions'!$B$31</f>
        <v>YouTube — Finfluencer Pre-roll</v>
      </c>
      <c r="C1764" s="45" t="n">
        <f aca="false">ROUND(MAX(0,'Model Inputs &amp; Assumptions'!$S$31*EXP('Model Inputs &amp; Assumptions'!$T$31*P1764-'Model Inputs &amp; Assumptions'!$T$31^2/2)),0)</f>
        <v>475743</v>
      </c>
      <c r="D1764" s="46" t="n">
        <f aca="false">MIN(1,'Model Inputs &amp; Assumptions'!$U$31*EXP('Model Inputs &amp; Assumptions'!$V$31*Q1764-'Model Inputs &amp; Assumptions'!$V$31^2/2))</f>
        <v>0.65283357648898</v>
      </c>
      <c r="E1764" s="45" t="n">
        <f aca="false">ROUND(C1764*D1764,0)</f>
        <v>310581</v>
      </c>
      <c r="F1764" s="47" t="n">
        <f aca="false">MIN(1,'Model Inputs &amp; Assumptions'!$W$31*EXP('Model Inputs &amp; Assumptions'!$X$31*R1764-'Model Inputs &amp; Assumptions'!$X$31^2/2))</f>
        <v>0.00392127663287282</v>
      </c>
      <c r="G1764" s="45" t="n">
        <f aca="false">ROUND(C1764*F1764,0)</f>
        <v>1866</v>
      </c>
      <c r="H1764" s="48" t="n">
        <f aca="false">MAX(0,(C1764*'Model Inputs &amp; Assumptions'!$N$31+E1764*'Model Inputs &amp; Assumptions'!$O$31+G1764*'Model Inputs &amp; Assumptions'!$P$31)*EXP('Model Inputs &amp; Assumptions'!$Q$31*S1764-'Model Inputs &amp; Assumptions'!$Q$31^2/2))</f>
        <v>41.7808149313139</v>
      </c>
      <c r="I1764" s="49" t="n">
        <f aca="false">IF('Model Inputs &amp; Assumptions'!$H$31="Fixed",'Model Inputs &amp; Assumptions'!$I$31*'Model Inputs &amp; Assumptions'!$K$31,IF('Model Inputs &amp; Assumptions'!$H$31="CPM",'Model Inputs &amp; Assumptions'!$I$31*'Model Inputs &amp; Assumptions'!$K$31*C1764/1000,IF('Model Inputs &amp; Assumptions'!$H$31="CPC",'Model Inputs &amp; Assumptions'!$I$31*'Model Inputs &amp; Assumptions'!$K$31*G1764,0)))</f>
        <v>5397.780078</v>
      </c>
      <c r="J1764" s="50" t="n">
        <f aca="false">H1764*INDEX('Model Inputs &amp; Assumptions'!$D$40:$D$42,MATCH('Model Inputs &amp; Assumptions'!$L$31,'Model Inputs &amp; Assumptions'!$A$40:$A$42,0))*INDEX('Model Inputs &amp; Assumptions'!$H$40:$H$42,MATCH('Model Inputs &amp; Assumptions'!$L$31,'Model Inputs &amp; Assumptions'!$A$40:$A$42,0))</f>
        <v>300821.86750546</v>
      </c>
      <c r="K1764" s="49" t="n">
        <f aca="false">H1764*INDEX('Model Inputs &amp; Assumptions'!$G$40:$G$42,MATCH('Model Inputs &amp; Assumptions'!$L$31,'Model Inputs &amp; Assumptions'!$A$40:$A$42,0))*INDEX('Model Inputs &amp; Assumptions'!$H$40:$H$42,MATCH('Model Inputs &amp; Assumptions'!$L$31,'Model Inputs &amp; Assumptions'!$A$40:$A$42,0))</f>
        <v>6633.12217849539</v>
      </c>
      <c r="L1764" s="51" t="n">
        <f aca="false">IFERROR(K1764/I1764,0)</f>
        <v>1.22886113969895</v>
      </c>
      <c r="M1764" s="49" t="n">
        <f aca="false">IFERROR(I1764/H1764,0)</f>
        <v>129.192790683326</v>
      </c>
      <c r="N1764" s="52" t="str">
        <f aca="false">'Model Inputs &amp; Assumptions'!$L$31</f>
        <v>PRD-USIQ</v>
      </c>
      <c r="P1764" s="53" t="n">
        <v>0.108186</v>
      </c>
      <c r="Q1764" s="53" t="n">
        <v>0.792855</v>
      </c>
      <c r="R1764" s="53" t="n">
        <v>-0.892586</v>
      </c>
      <c r="S1764" s="53" t="n">
        <v>-0.495756</v>
      </c>
    </row>
    <row r="1765" customFormat="false" ht="15" hidden="false" customHeight="false" outlineLevel="0" collapsed="false">
      <c r="A1765" s="43" t="n">
        <v>262</v>
      </c>
      <c r="B1765" s="44" t="str">
        <f aca="false">'Model Inputs &amp; Assumptions'!$B$31</f>
        <v>YouTube — Finfluencer Pre-roll</v>
      </c>
      <c r="C1765" s="45" t="n">
        <f aca="false">ROUND(MAX(0,'Model Inputs &amp; Assumptions'!$S$31*EXP('Model Inputs &amp; Assumptions'!$T$31*P1765-'Model Inputs &amp; Assumptions'!$T$31^2/2)),0)</f>
        <v>497700</v>
      </c>
      <c r="D1765" s="46" t="n">
        <f aca="false">MIN(1,'Model Inputs &amp; Assumptions'!$U$31*EXP('Model Inputs &amp; Assumptions'!$V$31*Q1765-'Model Inputs &amp; Assumptions'!$V$31^2/2))</f>
        <v>0.614451301510418</v>
      </c>
      <c r="E1765" s="45" t="n">
        <f aca="false">ROUND(C1765*D1765,0)</f>
        <v>305812</v>
      </c>
      <c r="F1765" s="47" t="n">
        <f aca="false">MIN(1,'Model Inputs &amp; Assumptions'!$W$31*EXP('Model Inputs &amp; Assumptions'!$X$31*R1765-'Model Inputs &amp; Assumptions'!$X$31^2/2))</f>
        <v>0.00456296317896912</v>
      </c>
      <c r="G1765" s="45" t="n">
        <f aca="false">ROUND(C1765*F1765,0)</f>
        <v>2271</v>
      </c>
      <c r="H1765" s="48" t="n">
        <f aca="false">MAX(0,(C1765*'Model Inputs &amp; Assumptions'!$N$31+E1765*'Model Inputs &amp; Assumptions'!$O$31+G1765*'Model Inputs &amp; Assumptions'!$P$31)*EXP('Model Inputs &amp; Assumptions'!$Q$31*S1765-'Model Inputs &amp; Assumptions'!$Q$31^2/2))</f>
        <v>75.8409064409949</v>
      </c>
      <c r="I1765" s="49" t="n">
        <f aca="false">IF('Model Inputs &amp; Assumptions'!$H$31="Fixed",'Model Inputs &amp; Assumptions'!$I$31*'Model Inputs &amp; Assumptions'!$K$31,IF('Model Inputs &amp; Assumptions'!$H$31="CPM",'Model Inputs &amp; Assumptions'!$I$31*'Model Inputs &amp; Assumptions'!$K$31*C1765/1000,IF('Model Inputs &amp; Assumptions'!$H$31="CPC",'Model Inputs &amp; Assumptions'!$I$31*'Model Inputs &amp; Assumptions'!$K$31*G1765,0)))</f>
        <v>5646.9042</v>
      </c>
      <c r="J1765" s="50" t="n">
        <f aca="false">H1765*INDEX('Model Inputs &amp; Assumptions'!$D$40:$D$42,MATCH('Model Inputs &amp; Assumptions'!$L$31,'Model Inputs &amp; Assumptions'!$A$40:$A$42,0))*INDEX('Model Inputs &amp; Assumptions'!$H$40:$H$42,MATCH('Model Inputs &amp; Assumptions'!$L$31,'Model Inputs &amp; Assumptions'!$A$40:$A$42,0))</f>
        <v>546054.526375163</v>
      </c>
      <c r="K1765" s="49" t="n">
        <f aca="false">H1765*INDEX('Model Inputs &amp; Assumptions'!$G$40:$G$42,MATCH('Model Inputs &amp; Assumptions'!$L$31,'Model Inputs &amp; Assumptions'!$A$40:$A$42,0))*INDEX('Model Inputs &amp; Assumptions'!$H$40:$H$42,MATCH('Model Inputs &amp; Assumptions'!$L$31,'Model Inputs &amp; Assumptions'!$A$40:$A$42,0))</f>
        <v>12040.5023065723</v>
      </c>
      <c r="L1765" s="51" t="n">
        <f aca="false">IFERROR(K1765/I1765,0)</f>
        <v>2.13223066659646</v>
      </c>
      <c r="M1765" s="49" t="n">
        <f aca="false">IFERROR(I1765/H1765,0)</f>
        <v>74.4572350858354</v>
      </c>
      <c r="N1765" s="52" t="str">
        <f aca="false">'Model Inputs &amp; Assumptions'!$L$31</f>
        <v>PRD-USIQ</v>
      </c>
      <c r="P1765" s="53" t="n">
        <v>0.269325</v>
      </c>
      <c r="Q1765" s="53" t="n">
        <v>0.360051</v>
      </c>
      <c r="R1765" s="53" t="n">
        <v>-0.261107</v>
      </c>
      <c r="S1765" s="53" t="n">
        <v>0.915283</v>
      </c>
    </row>
    <row r="1766" customFormat="false" ht="15" hidden="false" customHeight="false" outlineLevel="0" collapsed="false">
      <c r="A1766" s="43" t="n">
        <v>263</v>
      </c>
      <c r="B1766" s="44" t="str">
        <f aca="false">'Model Inputs &amp; Assumptions'!$B$31</f>
        <v>YouTube — Finfluencer Pre-roll</v>
      </c>
      <c r="C1766" s="45" t="n">
        <f aca="false">ROUND(MAX(0,'Model Inputs &amp; Assumptions'!$S$31*EXP('Model Inputs &amp; Assumptions'!$T$31*P1766-'Model Inputs &amp; Assumptions'!$T$31^2/2)),0)</f>
        <v>320769</v>
      </c>
      <c r="D1766" s="46" t="n">
        <f aca="false">MIN(1,'Model Inputs &amp; Assumptions'!$U$31*EXP('Model Inputs &amp; Assumptions'!$V$31*Q1766-'Model Inputs &amp; Assumptions'!$V$31^2/2))</f>
        <v>0.698698093488809</v>
      </c>
      <c r="E1766" s="45" t="n">
        <f aca="false">ROUND(C1766*D1766,0)</f>
        <v>224121</v>
      </c>
      <c r="F1766" s="47" t="n">
        <f aca="false">MIN(1,'Model Inputs &amp; Assumptions'!$W$31*EXP('Model Inputs &amp; Assumptions'!$X$31*R1766-'Model Inputs &amp; Assumptions'!$X$31^2/2))</f>
        <v>0.00422210539513514</v>
      </c>
      <c r="G1766" s="45" t="n">
        <f aca="false">ROUND(C1766*F1766,0)</f>
        <v>1354</v>
      </c>
      <c r="H1766" s="48" t="n">
        <f aca="false">MAX(0,(C1766*'Model Inputs &amp; Assumptions'!$N$31+E1766*'Model Inputs &amp; Assumptions'!$O$31+G1766*'Model Inputs &amp; Assumptions'!$P$31)*EXP('Model Inputs &amp; Assumptions'!$Q$31*S1766-'Model Inputs &amp; Assumptions'!$Q$31^2/2))</f>
        <v>22.6562979835505</v>
      </c>
      <c r="I1766" s="49" t="n">
        <f aca="false">IF('Model Inputs &amp; Assumptions'!$H$31="Fixed",'Model Inputs &amp; Assumptions'!$I$31*'Model Inputs &amp; Assumptions'!$K$31,IF('Model Inputs &amp; Assumptions'!$H$31="CPM",'Model Inputs &amp; Assumptions'!$I$31*'Model Inputs &amp; Assumptions'!$K$31*C1766/1000,IF('Model Inputs &amp; Assumptions'!$H$31="CPC",'Model Inputs &amp; Assumptions'!$I$31*'Model Inputs &amp; Assumptions'!$K$31*G1766,0)))</f>
        <v>3639.445074</v>
      </c>
      <c r="J1766" s="50" t="n">
        <f aca="false">H1766*INDEX('Model Inputs &amp; Assumptions'!$D$40:$D$42,MATCH('Model Inputs &amp; Assumptions'!$L$31,'Model Inputs &amp; Assumptions'!$A$40:$A$42,0))*INDEX('Model Inputs &amp; Assumptions'!$H$40:$H$42,MATCH('Model Inputs &amp; Assumptions'!$L$31,'Model Inputs &amp; Assumptions'!$A$40:$A$42,0))</f>
        <v>163125.345481564</v>
      </c>
      <c r="K1766" s="49" t="n">
        <f aca="false">H1766*INDEX('Model Inputs &amp; Assumptions'!$G$40:$G$42,MATCH('Model Inputs &amp; Assumptions'!$L$31,'Model Inputs &amp; Assumptions'!$A$40:$A$42,0))*INDEX('Model Inputs &amp; Assumptions'!$H$40:$H$42,MATCH('Model Inputs &amp; Assumptions'!$L$31,'Model Inputs &amp; Assumptions'!$A$40:$A$42,0))</f>
        <v>3596.91386786848</v>
      </c>
      <c r="L1766" s="51" t="n">
        <f aca="false">IFERROR(K1766/I1766,0)</f>
        <v>0.988313821127469</v>
      </c>
      <c r="M1766" s="49" t="n">
        <f aca="false">IFERROR(I1766/H1766,0)</f>
        <v>160.637235467259</v>
      </c>
      <c r="N1766" s="52" t="str">
        <f aca="false">'Model Inputs &amp; Assumptions'!$L$31</f>
        <v>PRD-USIQ</v>
      </c>
      <c r="P1766" s="53" t="n">
        <v>-1.299522</v>
      </c>
      <c r="Q1766" s="53" t="n">
        <v>1.27783</v>
      </c>
      <c r="R1766" s="53" t="n">
        <v>-0.5846</v>
      </c>
      <c r="S1766" s="53" t="n">
        <v>-1.320531</v>
      </c>
    </row>
    <row r="1767" customFormat="false" ht="15" hidden="false" customHeight="false" outlineLevel="0" collapsed="false">
      <c r="A1767" s="43" t="n">
        <v>264</v>
      </c>
      <c r="B1767" s="44" t="str">
        <f aca="false">'Model Inputs &amp; Assumptions'!$B$31</f>
        <v>YouTube — Finfluencer Pre-roll</v>
      </c>
      <c r="C1767" s="45" t="n">
        <f aca="false">ROUND(MAX(0,'Model Inputs &amp; Assumptions'!$S$31*EXP('Model Inputs &amp; Assumptions'!$T$31*P1767-'Model Inputs &amp; Assumptions'!$T$31^2/2)),0)</f>
        <v>740434</v>
      </c>
      <c r="D1767" s="46" t="n">
        <f aca="false">MIN(1,'Model Inputs &amp; Assumptions'!$U$31*EXP('Model Inputs &amp; Assumptions'!$V$31*Q1767-'Model Inputs &amp; Assumptions'!$V$31^2/2))</f>
        <v>0.538260022661025</v>
      </c>
      <c r="E1767" s="45" t="n">
        <f aca="false">ROUND(C1767*D1767,0)</f>
        <v>398546</v>
      </c>
      <c r="F1767" s="47" t="n">
        <f aca="false">MIN(1,'Model Inputs &amp; Assumptions'!$W$31*EXP('Model Inputs &amp; Assumptions'!$X$31*R1767-'Model Inputs &amp; Assumptions'!$X$31^2/2))</f>
        <v>0.00440198049623312</v>
      </c>
      <c r="G1767" s="45" t="n">
        <f aca="false">ROUND(C1767*F1767,0)</f>
        <v>3259</v>
      </c>
      <c r="H1767" s="48" t="n">
        <f aca="false">MAX(0,(C1767*'Model Inputs &amp; Assumptions'!$N$31+E1767*'Model Inputs &amp; Assumptions'!$O$31+G1767*'Model Inputs &amp; Assumptions'!$P$31)*EXP('Model Inputs &amp; Assumptions'!$Q$31*S1767-'Model Inputs &amp; Assumptions'!$Q$31^2/2))</f>
        <v>67.4787319912791</v>
      </c>
      <c r="I1767" s="49" t="n">
        <f aca="false">IF('Model Inputs &amp; Assumptions'!$H$31="Fixed",'Model Inputs &amp; Assumptions'!$I$31*'Model Inputs &amp; Assumptions'!$K$31,IF('Model Inputs &amp; Assumptions'!$H$31="CPM",'Model Inputs &amp; Assumptions'!$I$31*'Model Inputs &amp; Assumptions'!$K$31*C1767/1000,IF('Model Inputs &amp; Assumptions'!$H$31="CPC",'Model Inputs &amp; Assumptions'!$I$31*'Model Inputs &amp; Assumptions'!$K$31*G1767,0)))</f>
        <v>8400.964164</v>
      </c>
      <c r="J1767" s="50" t="n">
        <f aca="false">H1767*INDEX('Model Inputs &amp; Assumptions'!$D$40:$D$42,MATCH('Model Inputs &amp; Assumptions'!$L$31,'Model Inputs &amp; Assumptions'!$A$40:$A$42,0))*INDEX('Model Inputs &amp; Assumptions'!$H$40:$H$42,MATCH('Model Inputs &amp; Assumptions'!$L$31,'Model Inputs &amp; Assumptions'!$A$40:$A$42,0))</f>
        <v>485846.870337209</v>
      </c>
      <c r="K1767" s="49" t="n">
        <f aca="false">H1767*INDEX('Model Inputs &amp; Assumptions'!$G$40:$G$42,MATCH('Model Inputs &amp; Assumptions'!$L$31,'Model Inputs &amp; Assumptions'!$A$40:$A$42,0))*INDEX('Model Inputs &amp; Assumptions'!$H$40:$H$42,MATCH('Model Inputs &amp; Assumptions'!$L$31,'Model Inputs &amp; Assumptions'!$A$40:$A$42,0))</f>
        <v>10712.9234909355</v>
      </c>
      <c r="L1767" s="51" t="n">
        <f aca="false">IFERROR(K1767/I1767,0)</f>
        <v>1.27520166516633</v>
      </c>
      <c r="M1767" s="49" t="n">
        <f aca="false">IFERROR(I1767/H1767,0)</f>
        <v>124.497955371861</v>
      </c>
      <c r="N1767" s="52" t="str">
        <f aca="false">'Model Inputs &amp; Assumptions'!$L$31</f>
        <v>PRD-USIQ</v>
      </c>
      <c r="P1767" s="53" t="n">
        <v>1.688036</v>
      </c>
      <c r="Q1767" s="53" t="n">
        <v>-0.585577</v>
      </c>
      <c r="R1767" s="53" t="n">
        <v>-0.410764</v>
      </c>
      <c r="S1767" s="53" t="n">
        <v>-0.338648</v>
      </c>
    </row>
    <row r="1768" customFormat="false" ht="15" hidden="false" customHeight="false" outlineLevel="0" collapsed="false">
      <c r="A1768" s="43" t="n">
        <v>265</v>
      </c>
      <c r="B1768" s="44" t="str">
        <f aca="false">'Model Inputs &amp; Assumptions'!$B$31</f>
        <v>YouTube — Finfluencer Pre-roll</v>
      </c>
      <c r="C1768" s="45" t="n">
        <f aca="false">ROUND(MAX(0,'Model Inputs &amp; Assumptions'!$S$31*EXP('Model Inputs &amp; Assumptions'!$T$31*P1768-'Model Inputs &amp; Assumptions'!$T$31^2/2)),0)</f>
        <v>398737</v>
      </c>
      <c r="D1768" s="46" t="n">
        <f aca="false">MIN(1,'Model Inputs &amp; Assumptions'!$U$31*EXP('Model Inputs &amp; Assumptions'!$V$31*Q1768-'Model Inputs &amp; Assumptions'!$V$31^2/2))</f>
        <v>0.556925498976524</v>
      </c>
      <c r="E1768" s="45" t="n">
        <f aca="false">ROUND(C1768*D1768,0)</f>
        <v>222067</v>
      </c>
      <c r="F1768" s="47" t="n">
        <f aca="false">MIN(1,'Model Inputs &amp; Assumptions'!$W$31*EXP('Model Inputs &amp; Assumptions'!$X$31*R1768-'Model Inputs &amp; Assumptions'!$X$31^2/2))</f>
        <v>0.00436875570311902</v>
      </c>
      <c r="G1768" s="45" t="n">
        <f aca="false">ROUND(C1768*F1768,0)</f>
        <v>1742</v>
      </c>
      <c r="H1768" s="48" t="n">
        <f aca="false">MAX(0,(C1768*'Model Inputs &amp; Assumptions'!$N$31+E1768*'Model Inputs &amp; Assumptions'!$O$31+G1768*'Model Inputs &amp; Assumptions'!$P$31)*EXP('Model Inputs &amp; Assumptions'!$Q$31*S1768-'Model Inputs &amp; Assumptions'!$Q$31^2/2))</f>
        <v>57.1957742972289</v>
      </c>
      <c r="I1768" s="49" t="n">
        <f aca="false">IF('Model Inputs &amp; Assumptions'!$H$31="Fixed",'Model Inputs &amp; Assumptions'!$I$31*'Model Inputs &amp; Assumptions'!$K$31,IF('Model Inputs &amp; Assumptions'!$H$31="CPM",'Model Inputs &amp; Assumptions'!$I$31*'Model Inputs &amp; Assumptions'!$K$31*C1768/1000,IF('Model Inputs &amp; Assumptions'!$H$31="CPC",'Model Inputs &amp; Assumptions'!$I$31*'Model Inputs &amp; Assumptions'!$K$31*G1768,0)))</f>
        <v>4524.070002</v>
      </c>
      <c r="J1768" s="50" t="n">
        <f aca="false">H1768*INDEX('Model Inputs &amp; Assumptions'!$D$40:$D$42,MATCH('Model Inputs &amp; Assumptions'!$L$31,'Model Inputs &amp; Assumptions'!$A$40:$A$42,0))*INDEX('Model Inputs &amp; Assumptions'!$H$40:$H$42,MATCH('Model Inputs &amp; Assumptions'!$L$31,'Model Inputs &amp; Assumptions'!$A$40:$A$42,0))</f>
        <v>411809.574940048</v>
      </c>
      <c r="K1768" s="49" t="n">
        <f aca="false">H1768*INDEX('Model Inputs &amp; Assumptions'!$G$40:$G$42,MATCH('Model Inputs &amp; Assumptions'!$L$31,'Model Inputs &amp; Assumptions'!$A$40:$A$42,0))*INDEX('Model Inputs &amp; Assumptions'!$H$40:$H$42,MATCH('Model Inputs &amp; Assumptions'!$L$31,'Model Inputs &amp; Assumptions'!$A$40:$A$42,0))</f>
        <v>9080.40112742806</v>
      </c>
      <c r="L1768" s="51" t="n">
        <f aca="false">IFERROR(K1768/I1768,0)</f>
        <v>2.00713099563309</v>
      </c>
      <c r="M1768" s="49" t="n">
        <f aca="false">IFERROR(I1768/H1768,0)</f>
        <v>79.0979763380734</v>
      </c>
      <c r="N1768" s="52" t="str">
        <f aca="false">'Model Inputs &amp; Assumptions'!$L$31</f>
        <v>PRD-USIQ</v>
      </c>
      <c r="P1768" s="53" t="n">
        <v>-0.522441</v>
      </c>
      <c r="Q1768" s="53" t="n">
        <v>-0.342079</v>
      </c>
      <c r="R1768" s="53" t="n">
        <v>-0.442332</v>
      </c>
      <c r="S1768" s="53" t="n">
        <v>0.931204</v>
      </c>
    </row>
    <row r="1769" customFormat="false" ht="15" hidden="false" customHeight="false" outlineLevel="0" collapsed="false">
      <c r="A1769" s="43" t="n">
        <v>266</v>
      </c>
      <c r="B1769" s="44" t="str">
        <f aca="false">'Model Inputs &amp; Assumptions'!$B$31</f>
        <v>YouTube — Finfluencer Pre-roll</v>
      </c>
      <c r="C1769" s="45" t="n">
        <f aca="false">ROUND(MAX(0,'Model Inputs &amp; Assumptions'!$S$31*EXP('Model Inputs &amp; Assumptions'!$T$31*P1769-'Model Inputs &amp; Assumptions'!$T$31^2/2)),0)</f>
        <v>436404</v>
      </c>
      <c r="D1769" s="46" t="n">
        <f aca="false">MIN(1,'Model Inputs &amp; Assumptions'!$U$31*EXP('Model Inputs &amp; Assumptions'!$V$31*Q1769-'Model Inputs &amp; Assumptions'!$V$31^2/2))</f>
        <v>0.544913560174531</v>
      </c>
      <c r="E1769" s="45" t="n">
        <f aca="false">ROUND(C1769*D1769,0)</f>
        <v>237802</v>
      </c>
      <c r="F1769" s="47" t="n">
        <f aca="false">MIN(1,'Model Inputs &amp; Assumptions'!$W$31*EXP('Model Inputs &amp; Assumptions'!$X$31*R1769-'Model Inputs &amp; Assumptions'!$X$31^2/2))</f>
        <v>0.00622426841926088</v>
      </c>
      <c r="G1769" s="45" t="n">
        <f aca="false">ROUND(C1769*F1769,0)</f>
        <v>2716</v>
      </c>
      <c r="H1769" s="48" t="n">
        <f aca="false">MAX(0,(C1769*'Model Inputs &amp; Assumptions'!$N$31+E1769*'Model Inputs &amp; Assumptions'!$O$31+G1769*'Model Inputs &amp; Assumptions'!$P$31)*EXP('Model Inputs &amp; Assumptions'!$Q$31*S1769-'Model Inputs &amp; Assumptions'!$Q$31^2/2))</f>
        <v>44.233331011622</v>
      </c>
      <c r="I1769" s="49" t="n">
        <f aca="false">IF('Model Inputs &amp; Assumptions'!$H$31="Fixed",'Model Inputs &amp; Assumptions'!$I$31*'Model Inputs &amp; Assumptions'!$K$31,IF('Model Inputs &amp; Assumptions'!$H$31="CPM",'Model Inputs &amp; Assumptions'!$I$31*'Model Inputs &amp; Assumptions'!$K$31*C1769/1000,IF('Model Inputs &amp; Assumptions'!$H$31="CPC",'Model Inputs &amp; Assumptions'!$I$31*'Model Inputs &amp; Assumptions'!$K$31*G1769,0)))</f>
        <v>4951.439784</v>
      </c>
      <c r="J1769" s="50" t="n">
        <f aca="false">H1769*INDEX('Model Inputs &amp; Assumptions'!$D$40:$D$42,MATCH('Model Inputs &amp; Assumptions'!$L$31,'Model Inputs &amp; Assumptions'!$A$40:$A$42,0))*INDEX('Model Inputs &amp; Assumptions'!$H$40:$H$42,MATCH('Model Inputs &amp; Assumptions'!$L$31,'Model Inputs &amp; Assumptions'!$A$40:$A$42,0))</f>
        <v>318479.983283679</v>
      </c>
      <c r="K1769" s="49" t="n">
        <f aca="false">H1769*INDEX('Model Inputs &amp; Assumptions'!$G$40:$G$42,MATCH('Model Inputs &amp; Assumptions'!$L$31,'Model Inputs &amp; Assumptions'!$A$40:$A$42,0))*INDEX('Model Inputs &amp; Assumptions'!$H$40:$H$42,MATCH('Model Inputs &amp; Assumptions'!$L$31,'Model Inputs &amp; Assumptions'!$A$40:$A$42,0))</f>
        <v>7022.48363140512</v>
      </c>
      <c r="L1769" s="51" t="n">
        <f aca="false">IFERROR(K1769/I1769,0)</f>
        <v>1.41827103585051</v>
      </c>
      <c r="M1769" s="49" t="n">
        <f aca="false">IFERROR(I1769/H1769,0)</f>
        <v>111.939111768432</v>
      </c>
      <c r="N1769" s="52" t="str">
        <f aca="false">'Model Inputs &amp; Assumptions'!$L$31</f>
        <v>PRD-USIQ</v>
      </c>
      <c r="P1769" s="53" t="n">
        <v>-0.200066</v>
      </c>
      <c r="Q1769" s="53" t="n">
        <v>-0.497824</v>
      </c>
      <c r="R1769" s="53" t="n">
        <v>1.032575</v>
      </c>
      <c r="S1769" s="53" t="n">
        <v>-0.684793</v>
      </c>
    </row>
    <row r="1770" customFormat="false" ht="15" hidden="false" customHeight="false" outlineLevel="0" collapsed="false">
      <c r="A1770" s="43" t="n">
        <v>267</v>
      </c>
      <c r="B1770" s="44" t="str">
        <f aca="false">'Model Inputs &amp; Assumptions'!$B$31</f>
        <v>YouTube — Finfluencer Pre-roll</v>
      </c>
      <c r="C1770" s="45" t="n">
        <f aca="false">ROUND(MAX(0,'Model Inputs &amp; Assumptions'!$S$31*EXP('Model Inputs &amp; Assumptions'!$T$31*P1770-'Model Inputs &amp; Assumptions'!$T$31^2/2)),0)</f>
        <v>491108</v>
      </c>
      <c r="D1770" s="46" t="n">
        <f aca="false">MIN(1,'Model Inputs &amp; Assumptions'!$U$31*EXP('Model Inputs &amp; Assumptions'!$V$31*Q1770-'Model Inputs &amp; Assumptions'!$V$31^2/2))</f>
        <v>0.560287910161109</v>
      </c>
      <c r="E1770" s="45" t="n">
        <f aca="false">ROUND(C1770*D1770,0)</f>
        <v>275162</v>
      </c>
      <c r="F1770" s="47" t="n">
        <f aca="false">MIN(1,'Model Inputs &amp; Assumptions'!$W$31*EXP('Model Inputs &amp; Assumptions'!$X$31*R1770-'Model Inputs &amp; Assumptions'!$X$31^2/2))</f>
        <v>0.0032036835989261</v>
      </c>
      <c r="G1770" s="45" t="n">
        <f aca="false">ROUND(C1770*F1770,0)</f>
        <v>1573</v>
      </c>
      <c r="H1770" s="48" t="n">
        <f aca="false">MAX(0,(C1770*'Model Inputs &amp; Assumptions'!$N$31+E1770*'Model Inputs &amp; Assumptions'!$O$31+G1770*'Model Inputs &amp; Assumptions'!$P$31)*EXP('Model Inputs &amp; Assumptions'!$Q$31*S1770-'Model Inputs &amp; Assumptions'!$Q$31^2/2))</f>
        <v>27.5748289679776</v>
      </c>
      <c r="I1770" s="49" t="n">
        <f aca="false">IF('Model Inputs &amp; Assumptions'!$H$31="Fixed",'Model Inputs &amp; Assumptions'!$I$31*'Model Inputs &amp; Assumptions'!$K$31,IF('Model Inputs &amp; Assumptions'!$H$31="CPM",'Model Inputs &amp; Assumptions'!$I$31*'Model Inputs &amp; Assumptions'!$K$31*C1770/1000,IF('Model Inputs &amp; Assumptions'!$H$31="CPC",'Model Inputs &amp; Assumptions'!$I$31*'Model Inputs &amp; Assumptions'!$K$31*G1770,0)))</f>
        <v>5572.111368</v>
      </c>
      <c r="J1770" s="50" t="n">
        <f aca="false">H1770*INDEX('Model Inputs &amp; Assumptions'!$D$40:$D$42,MATCH('Model Inputs &amp; Assumptions'!$L$31,'Model Inputs &amp; Assumptions'!$A$40:$A$42,0))*INDEX('Model Inputs &amp; Assumptions'!$H$40:$H$42,MATCH('Model Inputs &amp; Assumptions'!$L$31,'Model Inputs &amp; Assumptions'!$A$40:$A$42,0))</f>
        <v>198538.768569438</v>
      </c>
      <c r="K1770" s="49" t="n">
        <f aca="false">H1770*INDEX('Model Inputs &amp; Assumptions'!$G$40:$G$42,MATCH('Model Inputs &amp; Assumptions'!$L$31,'Model Inputs &amp; Assumptions'!$A$40:$A$42,0))*INDEX('Model Inputs &amp; Assumptions'!$H$40:$H$42,MATCH('Model Inputs &amp; Assumptions'!$L$31,'Model Inputs &amp; Assumptions'!$A$40:$A$42,0))</f>
        <v>4377.77984695612</v>
      </c>
      <c r="L1770" s="51" t="n">
        <f aca="false">IFERROR(K1770/I1770,0)</f>
        <v>0.785659072088403</v>
      </c>
      <c r="M1770" s="49" t="n">
        <f aca="false">IFERROR(I1770/H1770,0)</f>
        <v>202.072381825862</v>
      </c>
      <c r="N1770" s="52" t="str">
        <f aca="false">'Model Inputs &amp; Assumptions'!$L$31</f>
        <v>PRD-USIQ</v>
      </c>
      <c r="P1770" s="53" t="n">
        <v>0.221704</v>
      </c>
      <c r="Q1770" s="53" t="n">
        <v>-0.299084</v>
      </c>
      <c r="R1770" s="53" t="n">
        <v>-1.734736</v>
      </c>
      <c r="S1770" s="53" t="n">
        <v>-1.262654</v>
      </c>
    </row>
    <row r="1771" customFormat="false" ht="15" hidden="false" customHeight="false" outlineLevel="0" collapsed="false">
      <c r="A1771" s="43" t="n">
        <v>268</v>
      </c>
      <c r="B1771" s="44" t="str">
        <f aca="false">'Model Inputs &amp; Assumptions'!$B$31</f>
        <v>YouTube — Finfluencer Pre-roll</v>
      </c>
      <c r="C1771" s="45" t="n">
        <f aca="false">ROUND(MAX(0,'Model Inputs &amp; Assumptions'!$S$31*EXP('Model Inputs &amp; Assumptions'!$T$31*P1771-'Model Inputs &amp; Assumptions'!$T$31^2/2)),0)</f>
        <v>502938</v>
      </c>
      <c r="D1771" s="46" t="n">
        <f aca="false">MIN(1,'Model Inputs &amp; Assumptions'!$U$31*EXP('Model Inputs &amp; Assumptions'!$V$31*Q1771-'Model Inputs &amp; Assumptions'!$V$31^2/2))</f>
        <v>0.66409396757749</v>
      </c>
      <c r="E1771" s="45" t="n">
        <f aca="false">ROUND(C1771*D1771,0)</f>
        <v>333998</v>
      </c>
      <c r="F1771" s="47" t="n">
        <f aca="false">MIN(1,'Model Inputs &amp; Assumptions'!$W$31*EXP('Model Inputs &amp; Assumptions'!$X$31*R1771-'Model Inputs &amp; Assumptions'!$X$31^2/2))</f>
        <v>0.00431773393451205</v>
      </c>
      <c r="G1771" s="45" t="n">
        <f aca="false">ROUND(C1771*F1771,0)</f>
        <v>2172</v>
      </c>
      <c r="H1771" s="48" t="n">
        <f aca="false">MAX(0,(C1771*'Model Inputs &amp; Assumptions'!$N$31+E1771*'Model Inputs &amp; Assumptions'!$O$31+G1771*'Model Inputs &amp; Assumptions'!$P$31)*EXP('Model Inputs &amp; Assumptions'!$Q$31*S1771-'Model Inputs &amp; Assumptions'!$Q$31^2/2))</f>
        <v>77.9735999996038</v>
      </c>
      <c r="I1771" s="49" t="n">
        <f aca="false">IF('Model Inputs &amp; Assumptions'!$H$31="Fixed",'Model Inputs &amp; Assumptions'!$I$31*'Model Inputs &amp; Assumptions'!$K$31,IF('Model Inputs &amp; Assumptions'!$H$31="CPM",'Model Inputs &amp; Assumptions'!$I$31*'Model Inputs &amp; Assumptions'!$K$31*C1771/1000,IF('Model Inputs &amp; Assumptions'!$H$31="CPC",'Model Inputs &amp; Assumptions'!$I$31*'Model Inputs &amp; Assumptions'!$K$31*G1771,0)))</f>
        <v>5706.334548</v>
      </c>
      <c r="J1771" s="50" t="n">
        <f aca="false">H1771*INDEX('Model Inputs &amp; Assumptions'!$D$40:$D$42,MATCH('Model Inputs &amp; Assumptions'!$L$31,'Model Inputs &amp; Assumptions'!$A$40:$A$42,0))*INDEX('Model Inputs &amp; Assumptions'!$H$40:$H$42,MATCH('Model Inputs &amp; Assumptions'!$L$31,'Model Inputs &amp; Assumptions'!$A$40:$A$42,0))</f>
        <v>561409.919997147</v>
      </c>
      <c r="K1771" s="49" t="n">
        <f aca="false">H1771*INDEX('Model Inputs &amp; Assumptions'!$G$40:$G$42,MATCH('Model Inputs &amp; Assumptions'!$L$31,'Model Inputs &amp; Assumptions'!$A$40:$A$42,0))*INDEX('Model Inputs &amp; Assumptions'!$H$40:$H$42,MATCH('Model Inputs &amp; Assumptions'!$L$31,'Model Inputs &amp; Assumptions'!$A$40:$A$42,0))</f>
        <v>12379.0887359371</v>
      </c>
      <c r="L1771" s="51" t="n">
        <f aca="false">IFERROR(K1771/I1771,0)</f>
        <v>2.16935909239247</v>
      </c>
      <c r="M1771" s="49" t="n">
        <f aca="false">IFERROR(I1771/H1771,0)</f>
        <v>73.1829048296988</v>
      </c>
      <c r="N1771" s="52" t="str">
        <f aca="false">'Model Inputs &amp; Assumptions'!$L$31</f>
        <v>PRD-USIQ</v>
      </c>
      <c r="P1771" s="53" t="n">
        <v>0.306719</v>
      </c>
      <c r="Q1771" s="53" t="n">
        <v>0.915008</v>
      </c>
      <c r="R1771" s="53" t="n">
        <v>-0.49128</v>
      </c>
      <c r="S1771" s="53" t="n">
        <v>0.957182</v>
      </c>
    </row>
    <row r="1772" customFormat="false" ht="15" hidden="false" customHeight="false" outlineLevel="0" collapsed="false">
      <c r="A1772" s="43" t="n">
        <v>269</v>
      </c>
      <c r="B1772" s="44" t="str">
        <f aca="false">'Model Inputs &amp; Assumptions'!$B$31</f>
        <v>YouTube — Finfluencer Pre-roll</v>
      </c>
      <c r="C1772" s="45" t="n">
        <f aca="false">ROUND(MAX(0,'Model Inputs &amp; Assumptions'!$S$31*EXP('Model Inputs &amp; Assumptions'!$T$31*P1772-'Model Inputs &amp; Assumptions'!$T$31^2/2)),0)</f>
        <v>389661</v>
      </c>
      <c r="D1772" s="46" t="n">
        <f aca="false">MIN(1,'Model Inputs &amp; Assumptions'!$U$31*EXP('Model Inputs &amp; Assumptions'!$V$31*Q1772-'Model Inputs &amp; Assumptions'!$V$31^2/2))</f>
        <v>0.521467752719393</v>
      </c>
      <c r="E1772" s="45" t="n">
        <f aca="false">ROUND(C1772*D1772,0)</f>
        <v>203196</v>
      </c>
      <c r="F1772" s="47" t="n">
        <f aca="false">MIN(1,'Model Inputs &amp; Assumptions'!$W$31*EXP('Model Inputs &amp; Assumptions'!$X$31*R1772-'Model Inputs &amp; Assumptions'!$X$31^2/2))</f>
        <v>0.00473173258481297</v>
      </c>
      <c r="G1772" s="45" t="n">
        <f aca="false">ROUND(C1772*F1772,0)</f>
        <v>1844</v>
      </c>
      <c r="H1772" s="48" t="n">
        <f aca="false">MAX(0,(C1772*'Model Inputs &amp; Assumptions'!$N$31+E1772*'Model Inputs &amp; Assumptions'!$O$31+G1772*'Model Inputs &amp; Assumptions'!$P$31)*EXP('Model Inputs &amp; Assumptions'!$Q$31*S1772-'Model Inputs &amp; Assumptions'!$Q$31^2/2))</f>
        <v>49.602226989649</v>
      </c>
      <c r="I1772" s="49" t="n">
        <f aca="false">IF('Model Inputs &amp; Assumptions'!$H$31="Fixed",'Model Inputs &amp; Assumptions'!$I$31*'Model Inputs &amp; Assumptions'!$K$31,IF('Model Inputs &amp; Assumptions'!$H$31="CPM",'Model Inputs &amp; Assumptions'!$I$31*'Model Inputs &amp; Assumptions'!$K$31*C1772/1000,IF('Model Inputs &amp; Assumptions'!$H$31="CPC",'Model Inputs &amp; Assumptions'!$I$31*'Model Inputs &amp; Assumptions'!$K$31*G1772,0)))</f>
        <v>4421.093706</v>
      </c>
      <c r="J1772" s="50" t="n">
        <f aca="false">H1772*INDEX('Model Inputs &amp; Assumptions'!$D$40:$D$42,MATCH('Model Inputs &amp; Assumptions'!$L$31,'Model Inputs &amp; Assumptions'!$A$40:$A$42,0))*INDEX('Model Inputs &amp; Assumptions'!$H$40:$H$42,MATCH('Model Inputs &amp; Assumptions'!$L$31,'Model Inputs &amp; Assumptions'!$A$40:$A$42,0))</f>
        <v>357136.034325473</v>
      </c>
      <c r="K1772" s="49" t="n">
        <f aca="false">H1772*INDEX('Model Inputs &amp; Assumptions'!$G$40:$G$42,MATCH('Model Inputs &amp; Assumptions'!$L$31,'Model Inputs &amp; Assumptions'!$A$40:$A$42,0))*INDEX('Model Inputs &amp; Assumptions'!$H$40:$H$42,MATCH('Model Inputs &amp; Assumptions'!$L$31,'Model Inputs &amp; Assumptions'!$A$40:$A$42,0))</f>
        <v>7874.84955687667</v>
      </c>
      <c r="L1772" s="51" t="n">
        <f aca="false">IFERROR(K1772/I1772,0)</f>
        <v>1.7811994227106</v>
      </c>
      <c r="M1772" s="49" t="n">
        <f aca="false">IFERROR(I1772/H1772,0)</f>
        <v>89.130951860742</v>
      </c>
      <c r="N1772" s="52" t="str">
        <f aca="false">'Model Inputs &amp; Assumptions'!$L$31</f>
        <v>PRD-USIQ</v>
      </c>
      <c r="P1772" s="53" t="n">
        <v>-0.604674</v>
      </c>
      <c r="Q1772" s="53" t="n">
        <v>-0.811965</v>
      </c>
      <c r="R1772" s="53" t="n">
        <v>-0.109777</v>
      </c>
      <c r="S1772" s="53" t="n">
        <v>0.522898</v>
      </c>
    </row>
    <row r="1773" customFormat="false" ht="15" hidden="false" customHeight="false" outlineLevel="0" collapsed="false">
      <c r="A1773" s="43" t="n">
        <v>270</v>
      </c>
      <c r="B1773" s="44" t="str">
        <f aca="false">'Model Inputs &amp; Assumptions'!$B$31</f>
        <v>YouTube — Finfluencer Pre-roll</v>
      </c>
      <c r="C1773" s="45" t="n">
        <f aca="false">ROUND(MAX(0,'Model Inputs &amp; Assumptions'!$S$31*EXP('Model Inputs &amp; Assumptions'!$T$31*P1773-'Model Inputs &amp; Assumptions'!$T$31^2/2)),0)</f>
        <v>442917</v>
      </c>
      <c r="D1773" s="46" t="n">
        <f aca="false">MIN(1,'Model Inputs &amp; Assumptions'!$U$31*EXP('Model Inputs &amp; Assumptions'!$V$31*Q1773-'Model Inputs &amp; Assumptions'!$V$31^2/2))</f>
        <v>0.71878732191048</v>
      </c>
      <c r="E1773" s="45" t="n">
        <f aca="false">ROUND(C1773*D1773,0)</f>
        <v>318363</v>
      </c>
      <c r="F1773" s="47" t="n">
        <f aca="false">MIN(1,'Model Inputs &amp; Assumptions'!$W$31*EXP('Model Inputs &amp; Assumptions'!$X$31*R1773-'Model Inputs &amp; Assumptions'!$X$31^2/2))</f>
        <v>0.00629696387375806</v>
      </c>
      <c r="G1773" s="45" t="n">
        <f aca="false">ROUND(C1773*F1773,0)</f>
        <v>2789</v>
      </c>
      <c r="H1773" s="48" t="n">
        <f aca="false">MAX(0,(C1773*'Model Inputs &amp; Assumptions'!$N$31+E1773*'Model Inputs &amp; Assumptions'!$O$31+G1773*'Model Inputs &amp; Assumptions'!$P$31)*EXP('Model Inputs &amp; Assumptions'!$Q$31*S1773-'Model Inputs &amp; Assumptions'!$Q$31^2/2))</f>
        <v>91.1530274555124</v>
      </c>
      <c r="I1773" s="49" t="n">
        <f aca="false">IF('Model Inputs &amp; Assumptions'!$H$31="Fixed",'Model Inputs &amp; Assumptions'!$I$31*'Model Inputs &amp; Assumptions'!$K$31,IF('Model Inputs &amp; Assumptions'!$H$31="CPM",'Model Inputs &amp; Assumptions'!$I$31*'Model Inputs &amp; Assumptions'!$K$31*C1773/1000,IF('Model Inputs &amp; Assumptions'!$H$31="CPC",'Model Inputs &amp; Assumptions'!$I$31*'Model Inputs &amp; Assumptions'!$K$31*G1773,0)))</f>
        <v>5025.336282</v>
      </c>
      <c r="J1773" s="50" t="n">
        <f aca="false">H1773*INDEX('Model Inputs &amp; Assumptions'!$D$40:$D$42,MATCH('Model Inputs &amp; Assumptions'!$L$31,'Model Inputs &amp; Assumptions'!$A$40:$A$42,0))*INDEX('Model Inputs &amp; Assumptions'!$H$40:$H$42,MATCH('Model Inputs &amp; Assumptions'!$L$31,'Model Inputs &amp; Assumptions'!$A$40:$A$42,0))</f>
        <v>656301.797679689</v>
      </c>
      <c r="K1773" s="49" t="n">
        <f aca="false">H1773*INDEX('Model Inputs &amp; Assumptions'!$G$40:$G$42,MATCH('Model Inputs &amp; Assumptions'!$L$31,'Model Inputs &amp; Assumptions'!$A$40:$A$42,0))*INDEX('Model Inputs &amp; Assumptions'!$H$40:$H$42,MATCH('Model Inputs &amp; Assumptions'!$L$31,'Model Inputs &amp; Assumptions'!$A$40:$A$42,0))</f>
        <v>14471.4546388371</v>
      </c>
      <c r="L1773" s="51" t="n">
        <f aca="false">IFERROR(K1773/I1773,0)</f>
        <v>2.87969875581694</v>
      </c>
      <c r="M1773" s="49" t="n">
        <f aca="false">IFERROR(I1773/H1773,0)</f>
        <v>55.1307666051206</v>
      </c>
      <c r="N1773" s="52" t="str">
        <f aca="false">'Model Inputs &amp; Assumptions'!$L$31</f>
        <v>PRD-USIQ</v>
      </c>
      <c r="P1773" s="53" t="n">
        <v>-0.147153</v>
      </c>
      <c r="Q1773" s="53" t="n">
        <v>1.480307</v>
      </c>
      <c r="R1773" s="53" t="n">
        <v>1.080957</v>
      </c>
      <c r="S1773" s="53" t="n">
        <v>1.041627</v>
      </c>
    </row>
    <row r="1774" customFormat="false" ht="15" hidden="false" customHeight="false" outlineLevel="0" collapsed="false">
      <c r="A1774" s="43" t="n">
        <v>271</v>
      </c>
      <c r="B1774" s="44" t="str">
        <f aca="false">'Model Inputs &amp; Assumptions'!$B$31</f>
        <v>YouTube — Finfluencer Pre-roll</v>
      </c>
      <c r="C1774" s="45" t="n">
        <f aca="false">ROUND(MAX(0,'Model Inputs &amp; Assumptions'!$S$31*EXP('Model Inputs &amp; Assumptions'!$T$31*P1774-'Model Inputs &amp; Assumptions'!$T$31^2/2)),0)</f>
        <v>522089</v>
      </c>
      <c r="D1774" s="46" t="n">
        <f aca="false">MIN(1,'Model Inputs &amp; Assumptions'!$U$31*EXP('Model Inputs &amp; Assumptions'!$V$31*Q1774-'Model Inputs &amp; Assumptions'!$V$31^2/2))</f>
        <v>0.546425391056576</v>
      </c>
      <c r="E1774" s="45" t="n">
        <f aca="false">ROUND(C1774*D1774,0)</f>
        <v>285283</v>
      </c>
      <c r="F1774" s="47" t="n">
        <f aca="false">MIN(1,'Model Inputs &amp; Assumptions'!$W$31*EXP('Model Inputs &amp; Assumptions'!$X$31*R1774-'Model Inputs &amp; Assumptions'!$X$31^2/2))</f>
        <v>0.00499931244727721</v>
      </c>
      <c r="G1774" s="45" t="n">
        <f aca="false">ROUND(C1774*F1774,0)</f>
        <v>2610</v>
      </c>
      <c r="H1774" s="48" t="n">
        <f aca="false">MAX(0,(C1774*'Model Inputs &amp; Assumptions'!$N$31+E1774*'Model Inputs &amp; Assumptions'!$O$31+G1774*'Model Inputs &amp; Assumptions'!$P$31)*EXP('Model Inputs &amp; Assumptions'!$Q$31*S1774-'Model Inputs &amp; Assumptions'!$Q$31^2/2))</f>
        <v>33.34951392608</v>
      </c>
      <c r="I1774" s="49" t="n">
        <f aca="false">IF('Model Inputs &amp; Assumptions'!$H$31="Fixed",'Model Inputs &amp; Assumptions'!$I$31*'Model Inputs &amp; Assumptions'!$K$31,IF('Model Inputs &amp; Assumptions'!$H$31="CPM",'Model Inputs &amp; Assumptions'!$I$31*'Model Inputs &amp; Assumptions'!$K$31*C1774/1000,IF('Model Inputs &amp; Assumptions'!$H$31="CPC",'Model Inputs &amp; Assumptions'!$I$31*'Model Inputs &amp; Assumptions'!$K$31*G1774,0)))</f>
        <v>5923.621794</v>
      </c>
      <c r="J1774" s="50" t="n">
        <f aca="false">H1774*INDEX('Model Inputs &amp; Assumptions'!$D$40:$D$42,MATCH('Model Inputs &amp; Assumptions'!$L$31,'Model Inputs &amp; Assumptions'!$A$40:$A$42,0))*INDEX('Model Inputs &amp; Assumptions'!$H$40:$H$42,MATCH('Model Inputs &amp; Assumptions'!$L$31,'Model Inputs &amp; Assumptions'!$A$40:$A$42,0))</f>
        <v>240116.500267776</v>
      </c>
      <c r="K1774" s="49" t="n">
        <f aca="false">H1774*INDEX('Model Inputs &amp; Assumptions'!$G$40:$G$42,MATCH('Model Inputs &amp; Assumptions'!$L$31,'Model Inputs &amp; Assumptions'!$A$40:$A$42,0))*INDEX('Model Inputs &amp; Assumptions'!$H$40:$H$42,MATCH('Model Inputs &amp; Assumptions'!$L$31,'Model Inputs &amp; Assumptions'!$A$40:$A$42,0))</f>
        <v>5294.56883090446</v>
      </c>
      <c r="L1774" s="51" t="n">
        <f aca="false">IFERROR(K1774/I1774,0)</f>
        <v>0.893806021894796</v>
      </c>
      <c r="M1774" s="49" t="n">
        <f aca="false">IFERROR(I1774/H1774,0)</f>
        <v>177.622432732599</v>
      </c>
      <c r="N1774" s="52" t="str">
        <f aca="false">'Model Inputs &amp; Assumptions'!$L$31</f>
        <v>PRD-USIQ</v>
      </c>
      <c r="P1774" s="53" t="n">
        <v>0.440185</v>
      </c>
      <c r="Q1774" s="53" t="n">
        <v>-0.478034</v>
      </c>
      <c r="R1774" s="53" t="n">
        <v>0.119427</v>
      </c>
      <c r="S1774" s="53" t="n">
        <v>-1.595428</v>
      </c>
    </row>
    <row r="1775" customFormat="false" ht="15" hidden="false" customHeight="false" outlineLevel="0" collapsed="false">
      <c r="A1775" s="43" t="n">
        <v>272</v>
      </c>
      <c r="B1775" s="44" t="str">
        <f aca="false">'Model Inputs &amp; Assumptions'!$B$31</f>
        <v>YouTube — Finfluencer Pre-roll</v>
      </c>
      <c r="C1775" s="45" t="n">
        <f aca="false">ROUND(MAX(0,'Model Inputs &amp; Assumptions'!$S$31*EXP('Model Inputs &amp; Assumptions'!$T$31*P1775-'Model Inputs &amp; Assumptions'!$T$31^2/2)),0)</f>
        <v>299720</v>
      </c>
      <c r="D1775" s="46" t="n">
        <f aca="false">MIN(1,'Model Inputs &amp; Assumptions'!$U$31*EXP('Model Inputs &amp; Assumptions'!$V$31*Q1775-'Model Inputs &amp; Assumptions'!$V$31^2/2))</f>
        <v>0.570220915559758</v>
      </c>
      <c r="E1775" s="45" t="n">
        <f aca="false">ROUND(C1775*D1775,0)</f>
        <v>170907</v>
      </c>
      <c r="F1775" s="47" t="n">
        <f aca="false">MIN(1,'Model Inputs &amp; Assumptions'!$W$31*EXP('Model Inputs &amp; Assumptions'!$X$31*R1775-'Model Inputs &amp; Assumptions'!$X$31^2/2))</f>
        <v>0.0055143621704899</v>
      </c>
      <c r="G1775" s="45" t="n">
        <f aca="false">ROUND(C1775*F1775,0)</f>
        <v>1653</v>
      </c>
      <c r="H1775" s="48" t="n">
        <f aca="false">MAX(0,(C1775*'Model Inputs &amp; Assumptions'!$N$31+E1775*'Model Inputs &amp; Assumptions'!$O$31+G1775*'Model Inputs &amp; Assumptions'!$P$31)*EXP('Model Inputs &amp; Assumptions'!$Q$31*S1775-'Model Inputs &amp; Assumptions'!$Q$31^2/2))</f>
        <v>28.9091220940556</v>
      </c>
      <c r="I1775" s="49" t="n">
        <f aca="false">IF('Model Inputs &amp; Assumptions'!$H$31="Fixed",'Model Inputs &amp; Assumptions'!$I$31*'Model Inputs &amp; Assumptions'!$K$31,IF('Model Inputs &amp; Assumptions'!$H$31="CPM",'Model Inputs &amp; Assumptions'!$I$31*'Model Inputs &amp; Assumptions'!$K$31*C1775/1000,IF('Model Inputs &amp; Assumptions'!$H$31="CPC",'Model Inputs &amp; Assumptions'!$I$31*'Model Inputs &amp; Assumptions'!$K$31*G1775,0)))</f>
        <v>3400.62312</v>
      </c>
      <c r="J1775" s="50" t="n">
        <f aca="false">H1775*INDEX('Model Inputs &amp; Assumptions'!$D$40:$D$42,MATCH('Model Inputs &amp; Assumptions'!$L$31,'Model Inputs &amp; Assumptions'!$A$40:$A$42,0))*INDEX('Model Inputs &amp; Assumptions'!$H$40:$H$42,MATCH('Model Inputs &amp; Assumptions'!$L$31,'Model Inputs &amp; Assumptions'!$A$40:$A$42,0))</f>
        <v>208145.6790772</v>
      </c>
      <c r="K1775" s="49" t="n">
        <f aca="false">H1775*INDEX('Model Inputs &amp; Assumptions'!$G$40:$G$42,MATCH('Model Inputs &amp; Assumptions'!$L$31,'Model Inputs &amp; Assumptions'!$A$40:$A$42,0))*INDEX('Model Inputs &amp; Assumptions'!$H$40:$H$42,MATCH('Model Inputs &amp; Assumptions'!$L$31,'Model Inputs &amp; Assumptions'!$A$40:$A$42,0))</f>
        <v>4589.61222365226</v>
      </c>
      <c r="L1775" s="51" t="n">
        <f aca="false">IFERROR(K1775/I1775,0)</f>
        <v>1.34963859907306</v>
      </c>
      <c r="M1775" s="49" t="n">
        <f aca="false">IFERROR(I1775/H1775,0)</f>
        <v>117.631490466438</v>
      </c>
      <c r="N1775" s="52" t="str">
        <f aca="false">'Model Inputs &amp; Assumptions'!$L$31</f>
        <v>PRD-USIQ</v>
      </c>
      <c r="P1775" s="53" t="n">
        <v>-1.541925</v>
      </c>
      <c r="Q1775" s="53" t="n">
        <v>-0.173562</v>
      </c>
      <c r="R1775" s="53" t="n">
        <v>0.527992</v>
      </c>
      <c r="S1775" s="53" t="n">
        <v>-0.641166</v>
      </c>
    </row>
    <row r="1776" customFormat="false" ht="15" hidden="false" customHeight="false" outlineLevel="0" collapsed="false">
      <c r="A1776" s="43" t="n">
        <v>273</v>
      </c>
      <c r="B1776" s="44" t="str">
        <f aca="false">'Model Inputs &amp; Assumptions'!$B$31</f>
        <v>YouTube — Finfluencer Pre-roll</v>
      </c>
      <c r="C1776" s="45" t="n">
        <f aca="false">ROUND(MAX(0,'Model Inputs &amp; Assumptions'!$S$31*EXP('Model Inputs &amp; Assumptions'!$T$31*P1776-'Model Inputs &amp; Assumptions'!$T$31^2/2)),0)</f>
        <v>748484</v>
      </c>
      <c r="D1776" s="46" t="n">
        <f aca="false">MIN(1,'Model Inputs &amp; Assumptions'!$U$31*EXP('Model Inputs &amp; Assumptions'!$V$31*Q1776-'Model Inputs &amp; Assumptions'!$V$31^2/2))</f>
        <v>0.616810877148425</v>
      </c>
      <c r="E1776" s="45" t="n">
        <f aca="false">ROUND(C1776*D1776,0)</f>
        <v>461673</v>
      </c>
      <c r="F1776" s="47" t="n">
        <f aca="false">MIN(1,'Model Inputs &amp; Assumptions'!$W$31*EXP('Model Inputs &amp; Assumptions'!$X$31*R1776-'Model Inputs &amp; Assumptions'!$X$31^2/2))</f>
        <v>0.0041103607255648</v>
      </c>
      <c r="G1776" s="45" t="n">
        <f aca="false">ROUND(C1776*F1776,0)</f>
        <v>3077</v>
      </c>
      <c r="H1776" s="48" t="n">
        <f aca="false">MAX(0,(C1776*'Model Inputs &amp; Assumptions'!$N$31+E1776*'Model Inputs &amp; Assumptions'!$O$31+G1776*'Model Inputs &amp; Assumptions'!$P$31)*EXP('Model Inputs &amp; Assumptions'!$Q$31*S1776-'Model Inputs &amp; Assumptions'!$Q$31^2/2))</f>
        <v>87.0334081626263</v>
      </c>
      <c r="I1776" s="49" t="n">
        <f aca="false">IF('Model Inputs &amp; Assumptions'!$H$31="Fixed",'Model Inputs &amp; Assumptions'!$I$31*'Model Inputs &amp; Assumptions'!$K$31,IF('Model Inputs &amp; Assumptions'!$H$31="CPM",'Model Inputs &amp; Assumptions'!$I$31*'Model Inputs &amp; Assumptions'!$K$31*C1776/1000,IF('Model Inputs &amp; Assumptions'!$H$31="CPC",'Model Inputs &amp; Assumptions'!$I$31*'Model Inputs &amp; Assumptions'!$K$31*G1776,0)))</f>
        <v>8492.299464</v>
      </c>
      <c r="J1776" s="50" t="n">
        <f aca="false">H1776*INDEX('Model Inputs &amp; Assumptions'!$D$40:$D$42,MATCH('Model Inputs &amp; Assumptions'!$L$31,'Model Inputs &amp; Assumptions'!$A$40:$A$42,0))*INDEX('Model Inputs &amp; Assumptions'!$H$40:$H$42,MATCH('Model Inputs &amp; Assumptions'!$L$31,'Model Inputs &amp; Assumptions'!$A$40:$A$42,0))</f>
        <v>626640.538770909</v>
      </c>
      <c r="K1776" s="49" t="n">
        <f aca="false">H1776*INDEX('Model Inputs &amp; Assumptions'!$G$40:$G$42,MATCH('Model Inputs &amp; Assumptions'!$L$31,'Model Inputs &amp; Assumptions'!$A$40:$A$42,0))*INDEX('Model Inputs &amp; Assumptions'!$H$40:$H$42,MATCH('Model Inputs &amp; Assumptions'!$L$31,'Model Inputs &amp; Assumptions'!$A$40:$A$42,0))</f>
        <v>13817.4238798985</v>
      </c>
      <c r="L1776" s="51" t="n">
        <f aca="false">IFERROR(K1776/I1776,0)</f>
        <v>1.62705330146122</v>
      </c>
      <c r="M1776" s="49" t="n">
        <f aca="false">IFERROR(I1776/H1776,0)</f>
        <v>97.5751684701548</v>
      </c>
      <c r="N1776" s="52" t="str">
        <f aca="false">'Model Inputs &amp; Assumptions'!$L$31</f>
        <v>PRD-USIQ</v>
      </c>
      <c r="P1776" s="53" t="n">
        <v>1.726657</v>
      </c>
      <c r="Q1776" s="53" t="n">
        <v>0.387428</v>
      </c>
      <c r="R1776" s="53" t="n">
        <v>-0.696363</v>
      </c>
      <c r="S1776" s="53" t="n">
        <v>0.307519</v>
      </c>
    </row>
    <row r="1777" customFormat="false" ht="15" hidden="false" customHeight="false" outlineLevel="0" collapsed="false">
      <c r="A1777" s="43" t="n">
        <v>274</v>
      </c>
      <c r="B1777" s="44" t="str">
        <f aca="false">'Model Inputs &amp; Assumptions'!$B$31</f>
        <v>YouTube — Finfluencer Pre-roll</v>
      </c>
      <c r="C1777" s="45" t="n">
        <f aca="false">ROUND(MAX(0,'Model Inputs &amp; Assumptions'!$S$31*EXP('Model Inputs &amp; Assumptions'!$T$31*P1777-'Model Inputs &amp; Assumptions'!$T$31^2/2)),0)</f>
        <v>391895</v>
      </c>
      <c r="D1777" s="46" t="n">
        <f aca="false">MIN(1,'Model Inputs &amp; Assumptions'!$U$31*EXP('Model Inputs &amp; Assumptions'!$V$31*Q1777-'Model Inputs &amp; Assumptions'!$V$31^2/2))</f>
        <v>0.495705845266027</v>
      </c>
      <c r="E1777" s="45" t="n">
        <f aca="false">ROUND(C1777*D1777,0)</f>
        <v>194265</v>
      </c>
      <c r="F1777" s="47" t="n">
        <f aca="false">MIN(1,'Model Inputs &amp; Assumptions'!$W$31*EXP('Model Inputs &amp; Assumptions'!$X$31*R1777-'Model Inputs &amp; Assumptions'!$X$31^2/2))</f>
        <v>0.00317833359411505</v>
      </c>
      <c r="G1777" s="45" t="n">
        <f aca="false">ROUND(C1777*F1777,0)</f>
        <v>1246</v>
      </c>
      <c r="H1777" s="48" t="n">
        <f aca="false">MAX(0,(C1777*'Model Inputs &amp; Assumptions'!$N$31+E1777*'Model Inputs &amp; Assumptions'!$O$31+G1777*'Model Inputs &amp; Assumptions'!$P$31)*EXP('Model Inputs &amp; Assumptions'!$Q$31*S1777-'Model Inputs &amp; Assumptions'!$Q$31^2/2))</f>
        <v>23.3660475405173</v>
      </c>
      <c r="I1777" s="49" t="n">
        <f aca="false">IF('Model Inputs &amp; Assumptions'!$H$31="Fixed",'Model Inputs &amp; Assumptions'!$I$31*'Model Inputs &amp; Assumptions'!$K$31,IF('Model Inputs &amp; Assumptions'!$H$31="CPM",'Model Inputs &amp; Assumptions'!$I$31*'Model Inputs &amp; Assumptions'!$K$31*C1777/1000,IF('Model Inputs &amp; Assumptions'!$H$31="CPC",'Model Inputs &amp; Assumptions'!$I$31*'Model Inputs &amp; Assumptions'!$K$31*G1777,0)))</f>
        <v>4446.44067</v>
      </c>
      <c r="J1777" s="50" t="n">
        <f aca="false">H1777*INDEX('Model Inputs &amp; Assumptions'!$D$40:$D$42,MATCH('Model Inputs &amp; Assumptions'!$L$31,'Model Inputs &amp; Assumptions'!$A$40:$A$42,0))*INDEX('Model Inputs &amp; Assumptions'!$H$40:$H$42,MATCH('Model Inputs &amp; Assumptions'!$L$31,'Model Inputs &amp; Assumptions'!$A$40:$A$42,0))</f>
        <v>168235.542291725</v>
      </c>
      <c r="K1777" s="49" t="n">
        <f aca="false">H1777*INDEX('Model Inputs &amp; Assumptions'!$G$40:$G$42,MATCH('Model Inputs &amp; Assumptions'!$L$31,'Model Inputs &amp; Assumptions'!$A$40:$A$42,0))*INDEX('Model Inputs &amp; Assumptions'!$H$40:$H$42,MATCH('Model Inputs &amp; Assumptions'!$L$31,'Model Inputs &amp; Assumptions'!$A$40:$A$42,0))</f>
        <v>3709.59370753253</v>
      </c>
      <c r="L1777" s="51" t="n">
        <f aca="false">IFERROR(K1777/I1777,0)</f>
        <v>0.834283864971154</v>
      </c>
      <c r="M1777" s="49" t="n">
        <f aca="false">IFERROR(I1777/H1777,0)</f>
        <v>190.294942364119</v>
      </c>
      <c r="N1777" s="52" t="str">
        <f aca="false">'Model Inputs &amp; Assumptions'!$L$31</f>
        <v>PRD-USIQ</v>
      </c>
      <c r="P1777" s="53" t="n">
        <v>-0.584259</v>
      </c>
      <c r="Q1777" s="53" t="n">
        <v>-1.173856</v>
      </c>
      <c r="R1777" s="53" t="n">
        <v>-1.767837</v>
      </c>
      <c r="S1777" s="53" t="n">
        <v>-0.91601</v>
      </c>
    </row>
    <row r="1778" customFormat="false" ht="15" hidden="false" customHeight="false" outlineLevel="0" collapsed="false">
      <c r="A1778" s="43" t="n">
        <v>275</v>
      </c>
      <c r="B1778" s="44" t="str">
        <f aca="false">'Model Inputs &amp; Assumptions'!$B$31</f>
        <v>YouTube — Finfluencer Pre-roll</v>
      </c>
      <c r="C1778" s="45" t="n">
        <f aca="false">ROUND(MAX(0,'Model Inputs &amp; Assumptions'!$S$31*EXP('Model Inputs &amp; Assumptions'!$T$31*P1778-'Model Inputs &amp; Assumptions'!$T$31^2/2)),0)</f>
        <v>514237</v>
      </c>
      <c r="D1778" s="46" t="n">
        <f aca="false">MIN(1,'Model Inputs &amp; Assumptions'!$U$31*EXP('Model Inputs &amp; Assumptions'!$V$31*Q1778-'Model Inputs &amp; Assumptions'!$V$31^2/2))</f>
        <v>0.623637841019067</v>
      </c>
      <c r="E1778" s="45" t="n">
        <f aca="false">ROUND(C1778*D1778,0)</f>
        <v>320698</v>
      </c>
      <c r="F1778" s="47" t="n">
        <f aca="false">MIN(1,'Model Inputs &amp; Assumptions'!$W$31*EXP('Model Inputs &amp; Assumptions'!$X$31*R1778-'Model Inputs &amp; Assumptions'!$X$31^2/2))</f>
        <v>0.00651811583904743</v>
      </c>
      <c r="G1778" s="45" t="n">
        <f aca="false">ROUND(C1778*F1778,0)</f>
        <v>3352</v>
      </c>
      <c r="H1778" s="48" t="n">
        <f aca="false">MAX(0,(C1778*'Model Inputs &amp; Assumptions'!$N$31+E1778*'Model Inputs &amp; Assumptions'!$O$31+G1778*'Model Inputs &amp; Assumptions'!$P$31)*EXP('Model Inputs &amp; Assumptions'!$Q$31*S1778-'Model Inputs &amp; Assumptions'!$Q$31^2/2))</f>
        <v>53.6212273976076</v>
      </c>
      <c r="I1778" s="49" t="n">
        <f aca="false">IF('Model Inputs &amp; Assumptions'!$H$31="Fixed",'Model Inputs &amp; Assumptions'!$I$31*'Model Inputs &amp; Assumptions'!$K$31,IF('Model Inputs &amp; Assumptions'!$H$31="CPM",'Model Inputs &amp; Assumptions'!$I$31*'Model Inputs &amp; Assumptions'!$K$31*C1778/1000,IF('Model Inputs &amp; Assumptions'!$H$31="CPC",'Model Inputs &amp; Assumptions'!$I$31*'Model Inputs &amp; Assumptions'!$K$31*G1778,0)))</f>
        <v>5834.533002</v>
      </c>
      <c r="J1778" s="50" t="n">
        <f aca="false">H1778*INDEX('Model Inputs &amp; Assumptions'!$D$40:$D$42,MATCH('Model Inputs &amp; Assumptions'!$L$31,'Model Inputs &amp; Assumptions'!$A$40:$A$42,0))*INDEX('Model Inputs &amp; Assumptions'!$H$40:$H$42,MATCH('Model Inputs &amp; Assumptions'!$L$31,'Model Inputs &amp; Assumptions'!$A$40:$A$42,0))</f>
        <v>386072.837262774</v>
      </c>
      <c r="K1778" s="49" t="n">
        <f aca="false">H1778*INDEX('Model Inputs &amp; Assumptions'!$G$40:$G$42,MATCH('Model Inputs &amp; Assumptions'!$L$31,'Model Inputs &amp; Assumptions'!$A$40:$A$42,0))*INDEX('Model Inputs &amp; Assumptions'!$H$40:$H$42,MATCH('Model Inputs &amp; Assumptions'!$L$31,'Model Inputs &amp; Assumptions'!$A$40:$A$42,0))</f>
        <v>8512.90606164418</v>
      </c>
      <c r="L1778" s="51" t="n">
        <f aca="false">IFERROR(K1778/I1778,0)</f>
        <v>1.45905525921716</v>
      </c>
      <c r="M1778" s="49" t="n">
        <f aca="false">IFERROR(I1778/H1778,0)</f>
        <v>108.810135186505</v>
      </c>
      <c r="N1778" s="52" t="str">
        <f aca="false">'Model Inputs &amp; Assumptions'!$L$31</f>
        <v>PRD-USIQ</v>
      </c>
      <c r="P1778" s="53" t="n">
        <v>0.386066</v>
      </c>
      <c r="Q1778" s="53" t="n">
        <v>0.466052</v>
      </c>
      <c r="R1778" s="53" t="n">
        <v>1.224781</v>
      </c>
      <c r="S1778" s="53" t="n">
        <v>-0.819125</v>
      </c>
    </row>
    <row r="1779" customFormat="false" ht="15" hidden="false" customHeight="false" outlineLevel="0" collapsed="false">
      <c r="A1779" s="43" t="n">
        <v>276</v>
      </c>
      <c r="B1779" s="44" t="str">
        <f aca="false">'Model Inputs &amp; Assumptions'!$B$31</f>
        <v>YouTube — Finfluencer Pre-roll</v>
      </c>
      <c r="C1779" s="45" t="n">
        <f aca="false">ROUND(MAX(0,'Model Inputs &amp; Assumptions'!$S$31*EXP('Model Inputs &amp; Assumptions'!$T$31*P1779-'Model Inputs &amp; Assumptions'!$T$31^2/2)),0)</f>
        <v>259617</v>
      </c>
      <c r="D1779" s="46" t="n">
        <f aca="false">MIN(1,'Model Inputs &amp; Assumptions'!$U$31*EXP('Model Inputs &amp; Assumptions'!$V$31*Q1779-'Model Inputs &amp; Assumptions'!$V$31^2/2))</f>
        <v>0.569612928245133</v>
      </c>
      <c r="E1779" s="45" t="n">
        <f aca="false">ROUND(C1779*D1779,0)</f>
        <v>147881</v>
      </c>
      <c r="F1779" s="47" t="n">
        <f aca="false">MIN(1,'Model Inputs &amp; Assumptions'!$W$31*EXP('Model Inputs &amp; Assumptions'!$X$31*R1779-'Model Inputs &amp; Assumptions'!$X$31^2/2))</f>
        <v>0.00590828871780987</v>
      </c>
      <c r="G1779" s="45" t="n">
        <f aca="false">ROUND(C1779*F1779,0)</f>
        <v>1534</v>
      </c>
      <c r="H1779" s="48" t="n">
        <f aca="false">MAX(0,(C1779*'Model Inputs &amp; Assumptions'!$N$31+E1779*'Model Inputs &amp; Assumptions'!$O$31+G1779*'Model Inputs &amp; Assumptions'!$P$31)*EXP('Model Inputs &amp; Assumptions'!$Q$31*S1779-'Model Inputs &amp; Assumptions'!$Q$31^2/2))</f>
        <v>13.8247052783146</v>
      </c>
      <c r="I1779" s="49" t="n">
        <f aca="false">IF('Model Inputs &amp; Assumptions'!$H$31="Fixed",'Model Inputs &amp; Assumptions'!$I$31*'Model Inputs &amp; Assumptions'!$K$31,IF('Model Inputs &amp; Assumptions'!$H$31="CPM",'Model Inputs &amp; Assumptions'!$I$31*'Model Inputs &amp; Assumptions'!$K$31*C1779/1000,IF('Model Inputs &amp; Assumptions'!$H$31="CPC",'Model Inputs &amp; Assumptions'!$I$31*'Model Inputs &amp; Assumptions'!$K$31*G1779,0)))</f>
        <v>2945.614482</v>
      </c>
      <c r="J1779" s="50" t="n">
        <f aca="false">H1779*INDEX('Model Inputs &amp; Assumptions'!$D$40:$D$42,MATCH('Model Inputs &amp; Assumptions'!$L$31,'Model Inputs &amp; Assumptions'!$A$40:$A$42,0))*INDEX('Model Inputs &amp; Assumptions'!$H$40:$H$42,MATCH('Model Inputs &amp; Assumptions'!$L$31,'Model Inputs &amp; Assumptions'!$A$40:$A$42,0))</f>
        <v>99537.8780038651</v>
      </c>
      <c r="K1779" s="49" t="n">
        <f aca="false">H1779*INDEX('Model Inputs &amp; Assumptions'!$G$40:$G$42,MATCH('Model Inputs &amp; Assumptions'!$L$31,'Model Inputs &amp; Assumptions'!$A$40:$A$42,0))*INDEX('Model Inputs &amp; Assumptions'!$H$40:$H$42,MATCH('Model Inputs &amp; Assumptions'!$L$31,'Model Inputs &amp; Assumptions'!$A$40:$A$42,0))</f>
        <v>2194.81020998522</v>
      </c>
      <c r="L1779" s="51" t="n">
        <f aca="false">IFERROR(K1779/I1779,0)</f>
        <v>0.74511115537937</v>
      </c>
      <c r="M1779" s="49" t="n">
        <f aca="false">IFERROR(I1779/H1779,0)</f>
        <v>213.068880869416</v>
      </c>
      <c r="N1779" s="52" t="str">
        <f aca="false">'Model Inputs &amp; Assumptions'!$L$31</f>
        <v>PRD-USIQ</v>
      </c>
      <c r="P1779" s="53" t="n">
        <v>-2.054926</v>
      </c>
      <c r="Q1779" s="53" t="n">
        <v>-0.181182</v>
      </c>
      <c r="R1779" s="53" t="n">
        <v>0.815493</v>
      </c>
      <c r="S1779" s="53" t="n">
        <v>-2.465922</v>
      </c>
    </row>
    <row r="1780" customFormat="false" ht="15" hidden="false" customHeight="false" outlineLevel="0" collapsed="false">
      <c r="A1780" s="43" t="n">
        <v>277</v>
      </c>
      <c r="B1780" s="44" t="str">
        <f aca="false">'Model Inputs &amp; Assumptions'!$B$31</f>
        <v>YouTube — Finfluencer Pre-roll</v>
      </c>
      <c r="C1780" s="45" t="n">
        <f aca="false">ROUND(MAX(0,'Model Inputs &amp; Assumptions'!$S$31*EXP('Model Inputs &amp; Assumptions'!$T$31*P1780-'Model Inputs &amp; Assumptions'!$T$31^2/2)),0)</f>
        <v>444294</v>
      </c>
      <c r="D1780" s="46" t="n">
        <f aca="false">MIN(1,'Model Inputs &amp; Assumptions'!$U$31*EXP('Model Inputs &amp; Assumptions'!$V$31*Q1780-'Model Inputs &amp; Assumptions'!$V$31^2/2))</f>
        <v>0.66577621256198</v>
      </c>
      <c r="E1780" s="45" t="n">
        <f aca="false">ROUND(C1780*D1780,0)</f>
        <v>295800</v>
      </c>
      <c r="F1780" s="47" t="n">
        <f aca="false">MIN(1,'Model Inputs &amp; Assumptions'!$W$31*EXP('Model Inputs &amp; Assumptions'!$X$31*R1780-'Model Inputs &amp; Assumptions'!$X$31^2/2))</f>
        <v>0.00486170807746241</v>
      </c>
      <c r="G1780" s="45" t="n">
        <f aca="false">ROUND(C1780*F1780,0)</f>
        <v>2160</v>
      </c>
      <c r="H1780" s="48" t="n">
        <f aca="false">MAX(0,(C1780*'Model Inputs &amp; Assumptions'!$N$31+E1780*'Model Inputs &amp; Assumptions'!$O$31+G1780*'Model Inputs &amp; Assumptions'!$P$31)*EXP('Model Inputs &amp; Assumptions'!$Q$31*S1780-'Model Inputs &amp; Assumptions'!$Q$31^2/2))</f>
        <v>77.4348389776306</v>
      </c>
      <c r="I1780" s="49" t="n">
        <f aca="false">IF('Model Inputs &amp; Assumptions'!$H$31="Fixed",'Model Inputs &amp; Assumptions'!$I$31*'Model Inputs &amp; Assumptions'!$K$31,IF('Model Inputs &amp; Assumptions'!$H$31="CPM",'Model Inputs &amp; Assumptions'!$I$31*'Model Inputs &amp; Assumptions'!$K$31*C1780/1000,IF('Model Inputs &amp; Assumptions'!$H$31="CPC",'Model Inputs &amp; Assumptions'!$I$31*'Model Inputs &amp; Assumptions'!$K$31*G1780,0)))</f>
        <v>5040.959724</v>
      </c>
      <c r="J1780" s="50" t="n">
        <f aca="false">H1780*INDEX('Model Inputs &amp; Assumptions'!$D$40:$D$42,MATCH('Model Inputs &amp; Assumptions'!$L$31,'Model Inputs &amp; Assumptions'!$A$40:$A$42,0))*INDEX('Model Inputs &amp; Assumptions'!$H$40:$H$42,MATCH('Model Inputs &amp; Assumptions'!$L$31,'Model Inputs &amp; Assumptions'!$A$40:$A$42,0))</f>
        <v>557530.84063894</v>
      </c>
      <c r="K1780" s="49" t="n">
        <f aca="false">H1780*INDEX('Model Inputs &amp; Assumptions'!$G$40:$G$42,MATCH('Model Inputs &amp; Assumptions'!$L$31,'Model Inputs &amp; Assumptions'!$A$40:$A$42,0))*INDEX('Model Inputs &amp; Assumptions'!$H$40:$H$42,MATCH('Model Inputs &amp; Assumptions'!$L$31,'Model Inputs &amp; Assumptions'!$A$40:$A$42,0))</f>
        <v>12293.5550360886</v>
      </c>
      <c r="L1780" s="51" t="n">
        <f aca="false">IFERROR(K1780/I1780,0)</f>
        <v>2.43873304076583</v>
      </c>
      <c r="M1780" s="49" t="n">
        <f aca="false">IFERROR(I1780/H1780,0)</f>
        <v>65.0993763344202</v>
      </c>
      <c r="N1780" s="52" t="str">
        <f aca="false">'Model Inputs &amp; Assumptions'!$L$31</f>
        <v>PRD-USIQ</v>
      </c>
      <c r="P1780" s="53" t="n">
        <v>-0.136073</v>
      </c>
      <c r="Q1780" s="53" t="n">
        <v>0.933079</v>
      </c>
      <c r="R1780" s="53" t="n">
        <v>0.003133</v>
      </c>
      <c r="S1780" s="53" t="n">
        <v>1.097694</v>
      </c>
    </row>
    <row r="1781" customFormat="false" ht="15" hidden="false" customHeight="false" outlineLevel="0" collapsed="false">
      <c r="A1781" s="43" t="n">
        <v>278</v>
      </c>
      <c r="B1781" s="44" t="str">
        <f aca="false">'Model Inputs &amp; Assumptions'!$B$31</f>
        <v>YouTube — Finfluencer Pre-roll</v>
      </c>
      <c r="C1781" s="45" t="n">
        <f aca="false">ROUND(MAX(0,'Model Inputs &amp; Assumptions'!$S$31*EXP('Model Inputs &amp; Assumptions'!$T$31*P1781-'Model Inputs &amp; Assumptions'!$T$31^2/2)),0)</f>
        <v>501941</v>
      </c>
      <c r="D1781" s="46" t="n">
        <f aca="false">MIN(1,'Model Inputs &amp; Assumptions'!$U$31*EXP('Model Inputs &amp; Assumptions'!$V$31*Q1781-'Model Inputs &amp; Assumptions'!$V$31^2/2))</f>
        <v>0.609495384870332</v>
      </c>
      <c r="E1781" s="45" t="n">
        <f aca="false">ROUND(C1781*D1781,0)</f>
        <v>305931</v>
      </c>
      <c r="F1781" s="47" t="n">
        <f aca="false">MIN(1,'Model Inputs &amp; Assumptions'!$W$31*EXP('Model Inputs &amp; Assumptions'!$X$31*R1781-'Model Inputs &amp; Assumptions'!$X$31^2/2))</f>
        <v>0.00439217255728213</v>
      </c>
      <c r="G1781" s="45" t="n">
        <f aca="false">ROUND(C1781*F1781,0)</f>
        <v>2205</v>
      </c>
      <c r="H1781" s="48" t="n">
        <f aca="false">MAX(0,(C1781*'Model Inputs &amp; Assumptions'!$N$31+E1781*'Model Inputs &amp; Assumptions'!$O$31+G1781*'Model Inputs &amp; Assumptions'!$P$31)*EXP('Model Inputs &amp; Assumptions'!$Q$31*S1781-'Model Inputs &amp; Assumptions'!$Q$31^2/2))</f>
        <v>37.1452684442486</v>
      </c>
      <c r="I1781" s="49" t="n">
        <f aca="false">IF('Model Inputs &amp; Assumptions'!$H$31="Fixed",'Model Inputs &amp; Assumptions'!$I$31*'Model Inputs &amp; Assumptions'!$K$31,IF('Model Inputs &amp; Assumptions'!$H$31="CPM",'Model Inputs &amp; Assumptions'!$I$31*'Model Inputs &amp; Assumptions'!$K$31*C1781/1000,IF('Model Inputs &amp; Assumptions'!$H$31="CPC",'Model Inputs &amp; Assumptions'!$I$31*'Model Inputs &amp; Assumptions'!$K$31*G1781,0)))</f>
        <v>5695.022586</v>
      </c>
      <c r="J1781" s="50" t="n">
        <f aca="false">H1781*INDEX('Model Inputs &amp; Assumptions'!$D$40:$D$42,MATCH('Model Inputs &amp; Assumptions'!$L$31,'Model Inputs &amp; Assumptions'!$A$40:$A$42,0))*INDEX('Model Inputs &amp; Assumptions'!$H$40:$H$42,MATCH('Model Inputs &amp; Assumptions'!$L$31,'Model Inputs &amp; Assumptions'!$A$40:$A$42,0))</f>
        <v>267445.93279859</v>
      </c>
      <c r="K1781" s="49" t="n">
        <f aca="false">H1781*INDEX('Model Inputs &amp; Assumptions'!$G$40:$G$42,MATCH('Model Inputs &amp; Assumptions'!$L$31,'Model Inputs &amp; Assumptions'!$A$40:$A$42,0))*INDEX('Model Inputs &amp; Assumptions'!$H$40:$H$42,MATCH('Model Inputs &amp; Assumptions'!$L$31,'Model Inputs &amp; Assumptions'!$A$40:$A$42,0))</f>
        <v>5897.1828182089</v>
      </c>
      <c r="L1781" s="51" t="n">
        <f aca="false">IFERROR(K1781/I1781,0)</f>
        <v>1.03549770508477</v>
      </c>
      <c r="M1781" s="49" t="n">
        <f aca="false">IFERROR(I1781/H1781,0)</f>
        <v>153.31757783761</v>
      </c>
      <c r="N1781" s="52" t="str">
        <f aca="false">'Model Inputs &amp; Assumptions'!$L$31</f>
        <v>PRD-USIQ</v>
      </c>
      <c r="P1781" s="53" t="n">
        <v>0.299628</v>
      </c>
      <c r="Q1781" s="53" t="n">
        <v>0.302206</v>
      </c>
      <c r="R1781" s="53" t="n">
        <v>-0.420058</v>
      </c>
      <c r="S1781" s="53" t="n">
        <v>-1.075882</v>
      </c>
    </row>
    <row r="1782" customFormat="false" ht="15" hidden="false" customHeight="false" outlineLevel="0" collapsed="false">
      <c r="A1782" s="43" t="n">
        <v>279</v>
      </c>
      <c r="B1782" s="44" t="str">
        <f aca="false">'Model Inputs &amp; Assumptions'!$B$31</f>
        <v>YouTube — Finfluencer Pre-roll</v>
      </c>
      <c r="C1782" s="45" t="n">
        <f aca="false">ROUND(MAX(0,'Model Inputs &amp; Assumptions'!$S$31*EXP('Model Inputs &amp; Assumptions'!$T$31*P1782-'Model Inputs &amp; Assumptions'!$T$31^2/2)),0)</f>
        <v>327540</v>
      </c>
      <c r="D1782" s="46" t="n">
        <f aca="false">MIN(1,'Model Inputs &amp; Assumptions'!$U$31*EXP('Model Inputs &amp; Assumptions'!$V$31*Q1782-'Model Inputs &amp; Assumptions'!$V$31^2/2))</f>
        <v>0.624426043179704</v>
      </c>
      <c r="E1782" s="45" t="n">
        <f aca="false">ROUND(C1782*D1782,0)</f>
        <v>204525</v>
      </c>
      <c r="F1782" s="47" t="n">
        <f aca="false">MIN(1,'Model Inputs &amp; Assumptions'!$W$31*EXP('Model Inputs &amp; Assumptions'!$X$31*R1782-'Model Inputs &amp; Assumptions'!$X$31^2/2))</f>
        <v>0.00398939915735812</v>
      </c>
      <c r="G1782" s="45" t="n">
        <f aca="false">ROUND(C1782*F1782,0)</f>
        <v>1307</v>
      </c>
      <c r="H1782" s="48" t="n">
        <f aca="false">MAX(0,(C1782*'Model Inputs &amp; Assumptions'!$N$31+E1782*'Model Inputs &amp; Assumptions'!$O$31+G1782*'Model Inputs &amp; Assumptions'!$P$31)*EXP('Model Inputs &amp; Assumptions'!$Q$31*S1782-'Model Inputs &amp; Assumptions'!$Q$31^2/2))</f>
        <v>54.6736815190215</v>
      </c>
      <c r="I1782" s="49" t="n">
        <f aca="false">IF('Model Inputs &amp; Assumptions'!$H$31="Fixed",'Model Inputs &amp; Assumptions'!$I$31*'Model Inputs &amp; Assumptions'!$K$31,IF('Model Inputs &amp; Assumptions'!$H$31="CPM",'Model Inputs &amp; Assumptions'!$I$31*'Model Inputs &amp; Assumptions'!$K$31*C1782/1000,IF('Model Inputs &amp; Assumptions'!$H$31="CPC",'Model Inputs &amp; Assumptions'!$I$31*'Model Inputs &amp; Assumptions'!$K$31*G1782,0)))</f>
        <v>3716.26884</v>
      </c>
      <c r="J1782" s="50" t="n">
        <f aca="false">H1782*INDEX('Model Inputs &amp; Assumptions'!$D$40:$D$42,MATCH('Model Inputs &amp; Assumptions'!$L$31,'Model Inputs &amp; Assumptions'!$A$40:$A$42,0))*INDEX('Model Inputs &amp; Assumptions'!$H$40:$H$42,MATCH('Model Inputs &amp; Assumptions'!$L$31,'Model Inputs &amp; Assumptions'!$A$40:$A$42,0))</f>
        <v>393650.506936955</v>
      </c>
      <c r="K1782" s="49" t="n">
        <f aca="false">H1782*INDEX('Model Inputs &amp; Assumptions'!$G$40:$G$42,MATCH('Model Inputs &amp; Assumptions'!$L$31,'Model Inputs &amp; Assumptions'!$A$40:$A$42,0))*INDEX('Model Inputs &amp; Assumptions'!$H$40:$H$42,MATCH('Model Inputs &amp; Assumptions'!$L$31,'Model Inputs &amp; Assumptions'!$A$40:$A$42,0))</f>
        <v>8679.99367795985</v>
      </c>
      <c r="L1782" s="51" t="n">
        <f aca="false">IFERROR(K1782/I1782,0)</f>
        <v>2.33567431519832</v>
      </c>
      <c r="M1782" s="49" t="n">
        <f aca="false">IFERROR(I1782/H1782,0)</f>
        <v>67.9718053869681</v>
      </c>
      <c r="N1782" s="52" t="str">
        <f aca="false">'Model Inputs &amp; Assumptions'!$L$31</f>
        <v>PRD-USIQ</v>
      </c>
      <c r="P1782" s="53" t="n">
        <v>-1.224918</v>
      </c>
      <c r="Q1782" s="53" t="n">
        <v>0.475074</v>
      </c>
      <c r="R1782" s="53" t="n">
        <v>-0.820822</v>
      </c>
      <c r="S1782" s="53" t="n">
        <v>1.371516</v>
      </c>
    </row>
    <row r="1783" customFormat="false" ht="15" hidden="false" customHeight="false" outlineLevel="0" collapsed="false">
      <c r="A1783" s="43" t="n">
        <v>280</v>
      </c>
      <c r="B1783" s="44" t="str">
        <f aca="false">'Model Inputs &amp; Assumptions'!$B$31</f>
        <v>YouTube — Finfluencer Pre-roll</v>
      </c>
      <c r="C1783" s="45" t="n">
        <f aca="false">ROUND(MAX(0,'Model Inputs &amp; Assumptions'!$S$31*EXP('Model Inputs &amp; Assumptions'!$T$31*P1783-'Model Inputs &amp; Assumptions'!$T$31^2/2)),0)</f>
        <v>503889</v>
      </c>
      <c r="D1783" s="46" t="n">
        <f aca="false">MIN(1,'Model Inputs &amp; Assumptions'!$U$31*EXP('Model Inputs &amp; Assumptions'!$V$31*Q1783-'Model Inputs &amp; Assumptions'!$V$31^2/2))</f>
        <v>0.717038185784012</v>
      </c>
      <c r="E1783" s="45" t="n">
        <f aca="false">ROUND(C1783*D1783,0)</f>
        <v>361308</v>
      </c>
      <c r="F1783" s="47" t="n">
        <f aca="false">MIN(1,'Model Inputs &amp; Assumptions'!$W$31*EXP('Model Inputs &amp; Assumptions'!$X$31*R1783-'Model Inputs &amp; Assumptions'!$X$31^2/2))</f>
        <v>0.0078140121570402</v>
      </c>
      <c r="G1783" s="45" t="n">
        <f aca="false">ROUND(C1783*F1783,0)</f>
        <v>3937</v>
      </c>
      <c r="H1783" s="48" t="n">
        <f aca="false">MAX(0,(C1783*'Model Inputs &amp; Assumptions'!$N$31+E1783*'Model Inputs &amp; Assumptions'!$O$31+G1783*'Model Inputs &amp; Assumptions'!$P$31)*EXP('Model Inputs &amp; Assumptions'!$Q$31*S1783-'Model Inputs &amp; Assumptions'!$Q$31^2/2))</f>
        <v>95.6482282936092</v>
      </c>
      <c r="I1783" s="49" t="n">
        <f aca="false">IF('Model Inputs &amp; Assumptions'!$H$31="Fixed",'Model Inputs &amp; Assumptions'!$I$31*'Model Inputs &amp; Assumptions'!$K$31,IF('Model Inputs &amp; Assumptions'!$H$31="CPM",'Model Inputs &amp; Assumptions'!$I$31*'Model Inputs &amp; Assumptions'!$K$31*C1783/1000,IF('Model Inputs &amp; Assumptions'!$H$31="CPC",'Model Inputs &amp; Assumptions'!$I$31*'Model Inputs &amp; Assumptions'!$K$31*G1783,0)))</f>
        <v>5717.124594</v>
      </c>
      <c r="J1783" s="50" t="n">
        <f aca="false">H1783*INDEX('Model Inputs &amp; Assumptions'!$D$40:$D$42,MATCH('Model Inputs &amp; Assumptions'!$L$31,'Model Inputs &amp; Assumptions'!$A$40:$A$42,0))*INDEX('Model Inputs &amp; Assumptions'!$H$40:$H$42,MATCH('Model Inputs &amp; Assumptions'!$L$31,'Model Inputs &amp; Assumptions'!$A$40:$A$42,0))</f>
        <v>688667.243713986</v>
      </c>
      <c r="K1783" s="49" t="n">
        <f aca="false">H1783*INDEX('Model Inputs &amp; Assumptions'!$G$40:$G$42,MATCH('Model Inputs &amp; Assumptions'!$L$31,'Model Inputs &amp; Assumptions'!$A$40:$A$42,0))*INDEX('Model Inputs &amp; Assumptions'!$H$40:$H$42,MATCH('Model Inputs &amp; Assumptions'!$L$31,'Model Inputs &amp; Assumptions'!$A$40:$A$42,0))</f>
        <v>15185.1127238934</v>
      </c>
      <c r="L1783" s="51" t="n">
        <f aca="false">IFERROR(K1783/I1783,0)</f>
        <v>2.65607517804139</v>
      </c>
      <c r="M1783" s="49" t="n">
        <f aca="false">IFERROR(I1783/H1783,0)</f>
        <v>59.7724045285008</v>
      </c>
      <c r="N1783" s="52" t="str">
        <f aca="false">'Model Inputs &amp; Assumptions'!$L$31</f>
        <v>PRD-USIQ</v>
      </c>
      <c r="P1783" s="53" t="n">
        <v>0.313463</v>
      </c>
      <c r="Q1783" s="53" t="n">
        <v>1.462904</v>
      </c>
      <c r="R1783" s="53" t="n">
        <v>1.980336</v>
      </c>
      <c r="S1783" s="53" t="n">
        <v>0.414426</v>
      </c>
    </row>
    <row r="1784" customFormat="false" ht="15" hidden="false" customHeight="false" outlineLevel="0" collapsed="false">
      <c r="A1784" s="43" t="n">
        <v>281</v>
      </c>
      <c r="B1784" s="44" t="str">
        <f aca="false">'Model Inputs &amp; Assumptions'!$B$31</f>
        <v>YouTube — Finfluencer Pre-roll</v>
      </c>
      <c r="C1784" s="45" t="n">
        <f aca="false">ROUND(MAX(0,'Model Inputs &amp; Assumptions'!$S$31*EXP('Model Inputs &amp; Assumptions'!$T$31*P1784-'Model Inputs &amp; Assumptions'!$T$31^2/2)),0)</f>
        <v>704835</v>
      </c>
      <c r="D1784" s="46" t="n">
        <f aca="false">MIN(1,'Model Inputs &amp; Assumptions'!$U$31*EXP('Model Inputs &amp; Assumptions'!$V$31*Q1784-'Model Inputs &amp; Assumptions'!$V$31^2/2))</f>
        <v>0.681015656880903</v>
      </c>
      <c r="E1784" s="45" t="n">
        <f aca="false">ROUND(C1784*D1784,0)</f>
        <v>480004</v>
      </c>
      <c r="F1784" s="47" t="n">
        <f aca="false">MIN(1,'Model Inputs &amp; Assumptions'!$W$31*EXP('Model Inputs &amp; Assumptions'!$X$31*R1784-'Model Inputs &amp; Assumptions'!$X$31^2/2))</f>
        <v>0.00585479903282486</v>
      </c>
      <c r="G1784" s="45" t="n">
        <f aca="false">ROUND(C1784*F1784,0)</f>
        <v>4127</v>
      </c>
      <c r="H1784" s="48" t="n">
        <f aca="false">MAX(0,(C1784*'Model Inputs &amp; Assumptions'!$N$31+E1784*'Model Inputs &amp; Assumptions'!$O$31+G1784*'Model Inputs &amp; Assumptions'!$P$31)*EXP('Model Inputs &amp; Assumptions'!$Q$31*S1784-'Model Inputs &amp; Assumptions'!$Q$31^2/2))</f>
        <v>40.420241407682</v>
      </c>
      <c r="I1784" s="49" t="n">
        <f aca="false">IF('Model Inputs &amp; Assumptions'!$H$31="Fixed",'Model Inputs &amp; Assumptions'!$I$31*'Model Inputs &amp; Assumptions'!$K$31,IF('Model Inputs &amp; Assumptions'!$H$31="CPM",'Model Inputs &amp; Assumptions'!$I$31*'Model Inputs &amp; Assumptions'!$K$31*C1784/1000,IF('Model Inputs &amp; Assumptions'!$H$31="CPC",'Model Inputs &amp; Assumptions'!$I$31*'Model Inputs &amp; Assumptions'!$K$31*G1784,0)))</f>
        <v>7997.05791</v>
      </c>
      <c r="J1784" s="50" t="n">
        <f aca="false">H1784*INDEX('Model Inputs &amp; Assumptions'!$D$40:$D$42,MATCH('Model Inputs &amp; Assumptions'!$L$31,'Model Inputs &amp; Assumptions'!$A$40:$A$42,0))*INDEX('Model Inputs &amp; Assumptions'!$H$40:$H$42,MATCH('Model Inputs &amp; Assumptions'!$L$31,'Model Inputs &amp; Assumptions'!$A$40:$A$42,0))</f>
        <v>291025.738135311</v>
      </c>
      <c r="K1784" s="49" t="n">
        <f aca="false">H1784*INDEX('Model Inputs &amp; Assumptions'!$G$40:$G$42,MATCH('Model Inputs &amp; Assumptions'!$L$31,'Model Inputs &amp; Assumptions'!$A$40:$A$42,0))*INDEX('Model Inputs &amp; Assumptions'!$H$40:$H$42,MATCH('Model Inputs &amp; Assumptions'!$L$31,'Model Inputs &amp; Assumptions'!$A$40:$A$42,0))</f>
        <v>6417.1175258836</v>
      </c>
      <c r="L1784" s="51" t="n">
        <f aca="false">IFERROR(K1784/I1784,0)</f>
        <v>0.802434795158761</v>
      </c>
      <c r="M1784" s="49" t="n">
        <f aca="false">IFERROR(I1784/H1784,0)</f>
        <v>197.84785126197</v>
      </c>
      <c r="N1784" s="52" t="str">
        <f aca="false">'Model Inputs &amp; Assumptions'!$L$31</f>
        <v>PRD-USIQ</v>
      </c>
      <c r="P1784" s="53" t="n">
        <v>1.512064</v>
      </c>
      <c r="Q1784" s="53" t="n">
        <v>1.094734</v>
      </c>
      <c r="R1784" s="53" t="n">
        <v>0.777599</v>
      </c>
      <c r="S1784" s="53" t="n">
        <v>-2.421823</v>
      </c>
    </row>
    <row r="1785" customFormat="false" ht="15" hidden="false" customHeight="false" outlineLevel="0" collapsed="false">
      <c r="A1785" s="43" t="n">
        <v>282</v>
      </c>
      <c r="B1785" s="44" t="str">
        <f aca="false">'Model Inputs &amp; Assumptions'!$B$31</f>
        <v>YouTube — Finfluencer Pre-roll</v>
      </c>
      <c r="C1785" s="45" t="n">
        <f aca="false">ROUND(MAX(0,'Model Inputs &amp; Assumptions'!$S$31*EXP('Model Inputs &amp; Assumptions'!$T$31*P1785-'Model Inputs &amp; Assumptions'!$T$31^2/2)),0)</f>
        <v>470585</v>
      </c>
      <c r="D1785" s="46" t="n">
        <f aca="false">MIN(1,'Model Inputs &amp; Assumptions'!$U$31*EXP('Model Inputs &amp; Assumptions'!$V$31*Q1785-'Model Inputs &amp; Assumptions'!$V$31^2/2))</f>
        <v>0.520982127477832</v>
      </c>
      <c r="E1785" s="45" t="n">
        <f aca="false">ROUND(C1785*D1785,0)</f>
        <v>245166</v>
      </c>
      <c r="F1785" s="47" t="n">
        <f aca="false">MIN(1,'Model Inputs &amp; Assumptions'!$W$31*EXP('Model Inputs &amp; Assumptions'!$X$31*R1785-'Model Inputs &amp; Assumptions'!$X$31^2/2))</f>
        <v>0.00268324840629649</v>
      </c>
      <c r="G1785" s="45" t="n">
        <f aca="false">ROUND(C1785*F1785,0)</f>
        <v>1263</v>
      </c>
      <c r="H1785" s="48" t="n">
        <f aca="false">MAX(0,(C1785*'Model Inputs &amp; Assumptions'!$N$31+E1785*'Model Inputs &amp; Assumptions'!$O$31+G1785*'Model Inputs &amp; Assumptions'!$P$31)*EXP('Model Inputs &amp; Assumptions'!$Q$31*S1785-'Model Inputs &amp; Assumptions'!$Q$31^2/2))</f>
        <v>44.3532467243408</v>
      </c>
      <c r="I1785" s="49" t="n">
        <f aca="false">IF('Model Inputs &amp; Assumptions'!$H$31="Fixed",'Model Inputs &amp; Assumptions'!$I$31*'Model Inputs &amp; Assumptions'!$K$31,IF('Model Inputs &amp; Assumptions'!$H$31="CPM",'Model Inputs &amp; Assumptions'!$I$31*'Model Inputs &amp; Assumptions'!$K$31*C1785/1000,IF('Model Inputs &amp; Assumptions'!$H$31="CPC",'Model Inputs &amp; Assumptions'!$I$31*'Model Inputs &amp; Assumptions'!$K$31*G1785,0)))</f>
        <v>5339.25741</v>
      </c>
      <c r="J1785" s="50" t="n">
        <f aca="false">H1785*INDEX('Model Inputs &amp; Assumptions'!$D$40:$D$42,MATCH('Model Inputs &amp; Assumptions'!$L$31,'Model Inputs &amp; Assumptions'!$A$40:$A$42,0))*INDEX('Model Inputs &amp; Assumptions'!$H$40:$H$42,MATCH('Model Inputs &amp; Assumptions'!$L$31,'Model Inputs &amp; Assumptions'!$A$40:$A$42,0))</f>
        <v>319343.376415254</v>
      </c>
      <c r="K1785" s="49" t="n">
        <f aca="false">H1785*INDEX('Model Inputs &amp; Assumptions'!$G$40:$G$42,MATCH('Model Inputs &amp; Assumptions'!$L$31,'Model Inputs &amp; Assumptions'!$A$40:$A$42,0))*INDEX('Model Inputs &amp; Assumptions'!$H$40:$H$42,MATCH('Model Inputs &amp; Assumptions'!$L$31,'Model Inputs &amp; Assumptions'!$A$40:$A$42,0))</f>
        <v>7041.52144995635</v>
      </c>
      <c r="L1785" s="51" t="n">
        <f aca="false">IFERROR(K1785/I1785,0)</f>
        <v>1.31882037317926</v>
      </c>
      <c r="M1785" s="49" t="n">
        <f aca="false">IFERROR(I1785/H1785,0)</f>
        <v>120.380305937555</v>
      </c>
      <c r="N1785" s="52" t="str">
        <f aca="false">'Model Inputs &amp; Assumptions'!$L$31</f>
        <v>PRD-USIQ</v>
      </c>
      <c r="P1785" s="53" t="n">
        <v>0.069248</v>
      </c>
      <c r="Q1785" s="53" t="n">
        <v>-0.81862</v>
      </c>
      <c r="R1785" s="53" t="n">
        <v>-2.473374</v>
      </c>
      <c r="S1785" s="53" t="n">
        <v>0.575043</v>
      </c>
    </row>
    <row r="1786" customFormat="false" ht="15" hidden="false" customHeight="false" outlineLevel="0" collapsed="false">
      <c r="A1786" s="43" t="n">
        <v>283</v>
      </c>
      <c r="B1786" s="44" t="str">
        <f aca="false">'Model Inputs &amp; Assumptions'!$B$31</f>
        <v>YouTube — Finfluencer Pre-roll</v>
      </c>
      <c r="C1786" s="45" t="n">
        <f aca="false">ROUND(MAX(0,'Model Inputs &amp; Assumptions'!$S$31*EXP('Model Inputs &amp; Assumptions'!$T$31*P1786-'Model Inputs &amp; Assumptions'!$T$31^2/2)),0)</f>
        <v>415822</v>
      </c>
      <c r="D1786" s="46" t="n">
        <f aca="false">MIN(1,'Model Inputs &amp; Assumptions'!$U$31*EXP('Model Inputs &amp; Assumptions'!$V$31*Q1786-'Model Inputs &amp; Assumptions'!$V$31^2/2))</f>
        <v>0.541986653663709</v>
      </c>
      <c r="E1786" s="45" t="n">
        <f aca="false">ROUND(C1786*D1786,0)</f>
        <v>225370</v>
      </c>
      <c r="F1786" s="47" t="n">
        <f aca="false">MIN(1,'Model Inputs &amp; Assumptions'!$W$31*EXP('Model Inputs &amp; Assumptions'!$X$31*R1786-'Model Inputs &amp; Assumptions'!$X$31^2/2))</f>
        <v>0.00363408439139996</v>
      </c>
      <c r="G1786" s="45" t="n">
        <f aca="false">ROUND(C1786*F1786,0)</f>
        <v>1511</v>
      </c>
      <c r="H1786" s="48" t="n">
        <f aca="false">MAX(0,(C1786*'Model Inputs &amp; Assumptions'!$N$31+E1786*'Model Inputs &amp; Assumptions'!$O$31+G1786*'Model Inputs &amp; Assumptions'!$P$31)*EXP('Model Inputs &amp; Assumptions'!$Q$31*S1786-'Model Inputs &amp; Assumptions'!$Q$31^2/2))</f>
        <v>52.3738230040463</v>
      </c>
      <c r="I1786" s="49" t="n">
        <f aca="false">IF('Model Inputs &amp; Assumptions'!$H$31="Fixed",'Model Inputs &amp; Assumptions'!$I$31*'Model Inputs &amp; Assumptions'!$K$31,IF('Model Inputs &amp; Assumptions'!$H$31="CPM",'Model Inputs &amp; Assumptions'!$I$31*'Model Inputs &amp; Assumptions'!$K$31*C1786/1000,IF('Model Inputs &amp; Assumptions'!$H$31="CPC",'Model Inputs &amp; Assumptions'!$I$31*'Model Inputs &amp; Assumptions'!$K$31*G1786,0)))</f>
        <v>4717.916412</v>
      </c>
      <c r="J1786" s="50" t="n">
        <f aca="false">H1786*INDEX('Model Inputs &amp; Assumptions'!$D$40:$D$42,MATCH('Model Inputs &amp; Assumptions'!$L$31,'Model Inputs &amp; Assumptions'!$A$40:$A$42,0))*INDEX('Model Inputs &amp; Assumptions'!$H$40:$H$42,MATCH('Model Inputs &amp; Assumptions'!$L$31,'Model Inputs &amp; Assumptions'!$A$40:$A$42,0))</f>
        <v>377091.525629133</v>
      </c>
      <c r="K1786" s="49" t="n">
        <f aca="false">H1786*INDEX('Model Inputs &amp; Assumptions'!$G$40:$G$42,MATCH('Model Inputs &amp; Assumptions'!$L$31,'Model Inputs &amp; Assumptions'!$A$40:$A$42,0))*INDEX('Model Inputs &amp; Assumptions'!$H$40:$H$42,MATCH('Model Inputs &amp; Assumptions'!$L$31,'Model Inputs &amp; Assumptions'!$A$40:$A$42,0))</f>
        <v>8314.86814012239</v>
      </c>
      <c r="L1786" s="51" t="n">
        <f aca="false">IFERROR(K1786/I1786,0)</f>
        <v>1.76240259767502</v>
      </c>
      <c r="M1786" s="49" t="n">
        <f aca="false">IFERROR(I1786/H1786,0)</f>
        <v>90.0815739885076</v>
      </c>
      <c r="N1786" s="52" t="str">
        <f aca="false">'Model Inputs &amp; Assumptions'!$L$31</f>
        <v>PRD-USIQ</v>
      </c>
      <c r="P1786" s="53" t="n">
        <v>-0.372601</v>
      </c>
      <c r="Q1786" s="53" t="n">
        <v>-0.536294</v>
      </c>
      <c r="R1786" s="53" t="n">
        <v>-1.209503</v>
      </c>
      <c r="S1786" s="53" t="n">
        <v>0.89589</v>
      </c>
    </row>
    <row r="1787" customFormat="false" ht="15" hidden="false" customHeight="false" outlineLevel="0" collapsed="false">
      <c r="A1787" s="43" t="n">
        <v>284</v>
      </c>
      <c r="B1787" s="44" t="str">
        <f aca="false">'Model Inputs &amp; Assumptions'!$B$31</f>
        <v>YouTube — Finfluencer Pre-roll</v>
      </c>
      <c r="C1787" s="45" t="n">
        <f aca="false">ROUND(MAX(0,'Model Inputs &amp; Assumptions'!$S$31*EXP('Model Inputs &amp; Assumptions'!$T$31*P1787-'Model Inputs &amp; Assumptions'!$T$31^2/2)),0)</f>
        <v>228283</v>
      </c>
      <c r="D1787" s="46" t="n">
        <f aca="false">MIN(1,'Model Inputs &amp; Assumptions'!$U$31*EXP('Model Inputs &amp; Assumptions'!$V$31*Q1787-'Model Inputs &amp; Assumptions'!$V$31^2/2))</f>
        <v>0.543049837179363</v>
      </c>
      <c r="E1787" s="45" t="n">
        <f aca="false">ROUND(C1787*D1787,0)</f>
        <v>123969</v>
      </c>
      <c r="F1787" s="47" t="n">
        <f aca="false">MIN(1,'Model Inputs &amp; Assumptions'!$W$31*EXP('Model Inputs &amp; Assumptions'!$X$31*R1787-'Model Inputs &amp; Assumptions'!$X$31^2/2))</f>
        <v>0.00586182760196745</v>
      </c>
      <c r="G1787" s="45" t="n">
        <f aca="false">ROUND(C1787*F1787,0)</f>
        <v>1338</v>
      </c>
      <c r="H1787" s="48" t="n">
        <f aca="false">MAX(0,(C1787*'Model Inputs &amp; Assumptions'!$N$31+E1787*'Model Inputs &amp; Assumptions'!$O$31+G1787*'Model Inputs &amp; Assumptions'!$P$31)*EXP('Model Inputs &amp; Assumptions'!$Q$31*S1787-'Model Inputs &amp; Assumptions'!$Q$31^2/2))</f>
        <v>21.3490276456912</v>
      </c>
      <c r="I1787" s="49" t="n">
        <f aca="false">IF('Model Inputs &amp; Assumptions'!$H$31="Fixed",'Model Inputs &amp; Assumptions'!$I$31*'Model Inputs &amp; Assumptions'!$K$31,IF('Model Inputs &amp; Assumptions'!$H$31="CPM",'Model Inputs &amp; Assumptions'!$I$31*'Model Inputs &amp; Assumptions'!$K$31*C1787/1000,IF('Model Inputs &amp; Assumptions'!$H$31="CPC",'Model Inputs &amp; Assumptions'!$I$31*'Model Inputs &amp; Assumptions'!$K$31*G1787,0)))</f>
        <v>2590.098918</v>
      </c>
      <c r="J1787" s="50" t="n">
        <f aca="false">H1787*INDEX('Model Inputs &amp; Assumptions'!$D$40:$D$42,MATCH('Model Inputs &amp; Assumptions'!$L$31,'Model Inputs &amp; Assumptions'!$A$40:$A$42,0))*INDEX('Model Inputs &amp; Assumptions'!$H$40:$H$42,MATCH('Model Inputs &amp; Assumptions'!$L$31,'Model Inputs &amp; Assumptions'!$A$40:$A$42,0))</f>
        <v>153712.999048977</v>
      </c>
      <c r="K1787" s="49" t="n">
        <f aca="false">H1787*INDEX('Model Inputs &amp; Assumptions'!$G$40:$G$42,MATCH('Model Inputs &amp; Assumptions'!$L$31,'Model Inputs &amp; Assumptions'!$A$40:$A$42,0))*INDEX('Model Inputs &amp; Assumptions'!$H$40:$H$42,MATCH('Model Inputs &amp; Assumptions'!$L$31,'Model Inputs &amp; Assumptions'!$A$40:$A$42,0))</f>
        <v>3389.37162902993</v>
      </c>
      <c r="L1787" s="51" t="n">
        <f aca="false">IFERROR(K1787/I1787,0)</f>
        <v>1.3085877166603</v>
      </c>
      <c r="M1787" s="49" t="n">
        <f aca="false">IFERROR(I1787/H1787,0)</f>
        <v>121.321633986584</v>
      </c>
      <c r="N1787" s="52" t="str">
        <f aca="false">'Model Inputs &amp; Assumptions'!$L$31</f>
        <v>PRD-USIQ</v>
      </c>
      <c r="P1787" s="53" t="n">
        <v>-2.514293</v>
      </c>
      <c r="Q1787" s="53" t="n">
        <v>-0.522296</v>
      </c>
      <c r="R1787" s="53" t="n">
        <v>0.782598</v>
      </c>
      <c r="S1787" s="53" t="n">
        <v>-0.795786</v>
      </c>
    </row>
    <row r="1788" customFormat="false" ht="15" hidden="false" customHeight="false" outlineLevel="0" collapsed="false">
      <c r="A1788" s="43" t="n">
        <v>285</v>
      </c>
      <c r="B1788" s="44" t="str">
        <f aca="false">'Model Inputs &amp; Assumptions'!$B$31</f>
        <v>YouTube — Finfluencer Pre-roll</v>
      </c>
      <c r="C1788" s="45" t="n">
        <f aca="false">ROUND(MAX(0,'Model Inputs &amp; Assumptions'!$S$31*EXP('Model Inputs &amp; Assumptions'!$T$31*P1788-'Model Inputs &amp; Assumptions'!$T$31^2/2)),0)</f>
        <v>851467</v>
      </c>
      <c r="D1788" s="46" t="n">
        <f aca="false">MIN(1,'Model Inputs &amp; Assumptions'!$U$31*EXP('Model Inputs &amp; Assumptions'!$V$31*Q1788-'Model Inputs &amp; Assumptions'!$V$31^2/2))</f>
        <v>0.522769529568253</v>
      </c>
      <c r="E1788" s="45" t="n">
        <f aca="false">ROUND(C1788*D1788,0)</f>
        <v>445121</v>
      </c>
      <c r="F1788" s="47" t="n">
        <f aca="false">MIN(1,'Model Inputs &amp; Assumptions'!$W$31*EXP('Model Inputs &amp; Assumptions'!$X$31*R1788-'Model Inputs &amp; Assumptions'!$X$31^2/2))</f>
        <v>0.00825401899333188</v>
      </c>
      <c r="G1788" s="45" t="n">
        <f aca="false">ROUND(C1788*F1788,0)</f>
        <v>7028</v>
      </c>
      <c r="H1788" s="48" t="n">
        <f aca="false">MAX(0,(C1788*'Model Inputs &amp; Assumptions'!$N$31+E1788*'Model Inputs &amp; Assumptions'!$O$31+G1788*'Model Inputs &amp; Assumptions'!$P$31)*EXP('Model Inputs &amp; Assumptions'!$Q$31*S1788-'Model Inputs &amp; Assumptions'!$Q$31^2/2))</f>
        <v>113.914835783647</v>
      </c>
      <c r="I1788" s="49" t="n">
        <f aca="false">IF('Model Inputs &amp; Assumptions'!$H$31="Fixed",'Model Inputs &amp; Assumptions'!$I$31*'Model Inputs &amp; Assumptions'!$K$31,IF('Model Inputs &amp; Assumptions'!$H$31="CPM",'Model Inputs &amp; Assumptions'!$I$31*'Model Inputs &amp; Assumptions'!$K$31*C1788/1000,IF('Model Inputs &amp; Assumptions'!$H$31="CPC",'Model Inputs &amp; Assumptions'!$I$31*'Model Inputs &amp; Assumptions'!$K$31*G1788,0)))</f>
        <v>9660.744582</v>
      </c>
      <c r="J1788" s="50" t="n">
        <f aca="false">H1788*INDEX('Model Inputs &amp; Assumptions'!$D$40:$D$42,MATCH('Model Inputs &amp; Assumptions'!$L$31,'Model Inputs &amp; Assumptions'!$A$40:$A$42,0))*INDEX('Model Inputs &amp; Assumptions'!$H$40:$H$42,MATCH('Model Inputs &amp; Assumptions'!$L$31,'Model Inputs &amp; Assumptions'!$A$40:$A$42,0))</f>
        <v>820186.817642261</v>
      </c>
      <c r="K1788" s="49" t="n">
        <f aca="false">H1788*INDEX('Model Inputs &amp; Assumptions'!$G$40:$G$42,MATCH('Model Inputs &amp; Assumptions'!$L$31,'Model Inputs &amp; Assumptions'!$A$40:$A$42,0))*INDEX('Model Inputs &amp; Assumptions'!$H$40:$H$42,MATCH('Model Inputs &amp; Assumptions'!$L$31,'Model Inputs &amp; Assumptions'!$A$40:$A$42,0))</f>
        <v>18085.1193290119</v>
      </c>
      <c r="L1788" s="51" t="n">
        <f aca="false">IFERROR(K1788/I1788,0)</f>
        <v>1.87202126870306</v>
      </c>
      <c r="M1788" s="49" t="n">
        <f aca="false">IFERROR(I1788/H1788,0)</f>
        <v>84.8067287771732</v>
      </c>
      <c r="N1788" s="52" t="str">
        <f aca="false">'Model Inputs &amp; Assumptions'!$L$31</f>
        <v>PRD-USIQ</v>
      </c>
      <c r="P1788" s="53" t="n">
        <v>2.187054</v>
      </c>
      <c r="Q1788" s="53" t="n">
        <v>-0.794156</v>
      </c>
      <c r="R1788" s="53" t="n">
        <v>2.208593</v>
      </c>
      <c r="S1788" s="53" t="n">
        <v>-0.435055</v>
      </c>
    </row>
    <row r="1789" customFormat="false" ht="15" hidden="false" customHeight="false" outlineLevel="0" collapsed="false">
      <c r="A1789" s="43" t="n">
        <v>286</v>
      </c>
      <c r="B1789" s="44" t="str">
        <f aca="false">'Model Inputs &amp; Assumptions'!$B$31</f>
        <v>YouTube — Finfluencer Pre-roll</v>
      </c>
      <c r="C1789" s="45" t="n">
        <f aca="false">ROUND(MAX(0,'Model Inputs &amp; Assumptions'!$S$31*EXP('Model Inputs &amp; Assumptions'!$T$31*P1789-'Model Inputs &amp; Assumptions'!$T$31^2/2)),0)</f>
        <v>601923</v>
      </c>
      <c r="D1789" s="46" t="n">
        <f aca="false">MIN(1,'Model Inputs &amp; Assumptions'!$U$31*EXP('Model Inputs &amp; Assumptions'!$V$31*Q1789-'Model Inputs &amp; Assumptions'!$V$31^2/2))</f>
        <v>0.536488226544951</v>
      </c>
      <c r="E1789" s="45" t="n">
        <f aca="false">ROUND(C1789*D1789,0)</f>
        <v>322925</v>
      </c>
      <c r="F1789" s="47" t="n">
        <f aca="false">MIN(1,'Model Inputs &amp; Assumptions'!$W$31*EXP('Model Inputs &amp; Assumptions'!$X$31*R1789-'Model Inputs &amp; Assumptions'!$X$31^2/2))</f>
        <v>0.00359248151111361</v>
      </c>
      <c r="G1789" s="45" t="n">
        <f aca="false">ROUND(C1789*F1789,0)</f>
        <v>2162</v>
      </c>
      <c r="H1789" s="48" t="n">
        <f aca="false">MAX(0,(C1789*'Model Inputs &amp; Assumptions'!$N$31+E1789*'Model Inputs &amp; Assumptions'!$O$31+G1789*'Model Inputs &amp; Assumptions'!$P$31)*EXP('Model Inputs &amp; Assumptions'!$Q$31*S1789-'Model Inputs &amp; Assumptions'!$Q$31^2/2))</f>
        <v>46.966428390299</v>
      </c>
      <c r="I1789" s="49" t="n">
        <f aca="false">IF('Model Inputs &amp; Assumptions'!$H$31="Fixed",'Model Inputs &amp; Assumptions'!$I$31*'Model Inputs &amp; Assumptions'!$K$31,IF('Model Inputs &amp; Assumptions'!$H$31="CPM",'Model Inputs &amp; Assumptions'!$I$31*'Model Inputs &amp; Assumptions'!$K$31*C1789/1000,IF('Model Inputs &amp; Assumptions'!$H$31="CPC",'Model Inputs &amp; Assumptions'!$I$31*'Model Inputs &amp; Assumptions'!$K$31*G1789,0)))</f>
        <v>6829.418358</v>
      </c>
      <c r="J1789" s="50" t="n">
        <f aca="false">H1789*INDEX('Model Inputs &amp; Assumptions'!$D$40:$D$42,MATCH('Model Inputs &amp; Assumptions'!$L$31,'Model Inputs &amp; Assumptions'!$A$40:$A$42,0))*INDEX('Model Inputs &amp; Assumptions'!$H$40:$H$42,MATCH('Model Inputs &amp; Assumptions'!$L$31,'Model Inputs &amp; Assumptions'!$A$40:$A$42,0))</f>
        <v>338158.284410153</v>
      </c>
      <c r="K1789" s="49" t="n">
        <f aca="false">H1789*INDEX('Model Inputs &amp; Assumptions'!$G$40:$G$42,MATCH('Model Inputs &amp; Assumptions'!$L$31,'Model Inputs &amp; Assumptions'!$A$40:$A$42,0))*INDEX('Model Inputs &amp; Assumptions'!$H$40:$H$42,MATCH('Model Inputs &amp; Assumptions'!$L$31,'Model Inputs &amp; Assumptions'!$A$40:$A$42,0))</f>
        <v>7456.39017124387</v>
      </c>
      <c r="L1789" s="51" t="n">
        <f aca="false">IFERROR(K1789/I1789,0)</f>
        <v>1.09180456963944</v>
      </c>
      <c r="M1789" s="49" t="n">
        <f aca="false">IFERROR(I1789/H1789,0)</f>
        <v>145.41063887691</v>
      </c>
      <c r="N1789" s="52" t="str">
        <f aca="false">'Model Inputs &amp; Assumptions'!$L$31</f>
        <v>PRD-USIQ</v>
      </c>
      <c r="P1789" s="53" t="n">
        <v>0.948367</v>
      </c>
      <c r="Q1789" s="53" t="n">
        <v>-0.609128</v>
      </c>
      <c r="R1789" s="53" t="n">
        <v>-1.257478</v>
      </c>
      <c r="S1789" s="53" t="n">
        <v>-0.440861</v>
      </c>
    </row>
    <row r="1790" customFormat="false" ht="15" hidden="false" customHeight="false" outlineLevel="0" collapsed="false">
      <c r="A1790" s="43" t="n">
        <v>287</v>
      </c>
      <c r="B1790" s="44" t="str">
        <f aca="false">'Model Inputs &amp; Assumptions'!$B$31</f>
        <v>YouTube — Finfluencer Pre-roll</v>
      </c>
      <c r="C1790" s="45" t="n">
        <f aca="false">ROUND(MAX(0,'Model Inputs &amp; Assumptions'!$S$31*EXP('Model Inputs &amp; Assumptions'!$T$31*P1790-'Model Inputs &amp; Assumptions'!$T$31^2/2)),0)</f>
        <v>474715</v>
      </c>
      <c r="D1790" s="46" t="n">
        <f aca="false">MIN(1,'Model Inputs &amp; Assumptions'!$U$31*EXP('Model Inputs &amp; Assumptions'!$V$31*Q1790-'Model Inputs &amp; Assumptions'!$V$31^2/2))</f>
        <v>0.568284797380845</v>
      </c>
      <c r="E1790" s="45" t="n">
        <f aca="false">ROUND(C1790*D1790,0)</f>
        <v>269773</v>
      </c>
      <c r="F1790" s="47" t="n">
        <f aca="false">MIN(1,'Model Inputs &amp; Assumptions'!$W$31*EXP('Model Inputs &amp; Assumptions'!$X$31*R1790-'Model Inputs &amp; Assumptions'!$X$31^2/2))</f>
        <v>0.00412054102889961</v>
      </c>
      <c r="G1790" s="45" t="n">
        <f aca="false">ROUND(C1790*F1790,0)</f>
        <v>1956</v>
      </c>
      <c r="H1790" s="48" t="n">
        <f aca="false">MAX(0,(C1790*'Model Inputs &amp; Assumptions'!$N$31+E1790*'Model Inputs &amp; Assumptions'!$O$31+G1790*'Model Inputs &amp; Assumptions'!$P$31)*EXP('Model Inputs &amp; Assumptions'!$Q$31*S1790-'Model Inputs &amp; Assumptions'!$Q$31^2/2))</f>
        <v>43.8687274801434</v>
      </c>
      <c r="I1790" s="49" t="n">
        <f aca="false">IF('Model Inputs &amp; Assumptions'!$H$31="Fixed",'Model Inputs &amp; Assumptions'!$I$31*'Model Inputs &amp; Assumptions'!$K$31,IF('Model Inputs &amp; Assumptions'!$H$31="CPM",'Model Inputs &amp; Assumptions'!$I$31*'Model Inputs &amp; Assumptions'!$K$31*C1790/1000,IF('Model Inputs &amp; Assumptions'!$H$31="CPC",'Model Inputs &amp; Assumptions'!$I$31*'Model Inputs &amp; Assumptions'!$K$31*G1790,0)))</f>
        <v>5386.11639</v>
      </c>
      <c r="J1790" s="50" t="n">
        <f aca="false">H1790*INDEX('Model Inputs &amp; Assumptions'!$D$40:$D$42,MATCH('Model Inputs &amp; Assumptions'!$L$31,'Model Inputs &amp; Assumptions'!$A$40:$A$42,0))*INDEX('Model Inputs &amp; Assumptions'!$H$40:$H$42,MATCH('Model Inputs &amp; Assumptions'!$L$31,'Model Inputs &amp; Assumptions'!$A$40:$A$42,0))</f>
        <v>315854.837857033</v>
      </c>
      <c r="K1790" s="49" t="n">
        <f aca="false">H1790*INDEX('Model Inputs &amp; Assumptions'!$G$40:$G$42,MATCH('Model Inputs &amp; Assumptions'!$L$31,'Model Inputs &amp; Assumptions'!$A$40:$A$42,0))*INDEX('Model Inputs &amp; Assumptions'!$H$40:$H$42,MATCH('Model Inputs &amp; Assumptions'!$L$31,'Model Inputs &amp; Assumptions'!$A$40:$A$42,0))</f>
        <v>6964.59917474757</v>
      </c>
      <c r="L1790" s="51" t="n">
        <f aca="false">IFERROR(K1790/I1790,0)</f>
        <v>1.29306510859628</v>
      </c>
      <c r="M1790" s="49" t="n">
        <f aca="false">IFERROR(I1790/H1790,0)</f>
        <v>122.77804028936</v>
      </c>
      <c r="N1790" s="52" t="str">
        <f aca="false">'Model Inputs &amp; Assumptions'!$L$31</f>
        <v>PRD-USIQ</v>
      </c>
      <c r="P1790" s="53" t="n">
        <v>0.100461</v>
      </c>
      <c r="Q1790" s="53" t="n">
        <v>-0.197856</v>
      </c>
      <c r="R1790" s="53" t="n">
        <v>-0.686056</v>
      </c>
      <c r="S1790" s="53" t="n">
        <v>-0.250972</v>
      </c>
    </row>
    <row r="1791" customFormat="false" ht="15" hidden="false" customHeight="false" outlineLevel="0" collapsed="false">
      <c r="A1791" s="43" t="n">
        <v>288</v>
      </c>
      <c r="B1791" s="44" t="str">
        <f aca="false">'Model Inputs &amp; Assumptions'!$B$31</f>
        <v>YouTube — Finfluencer Pre-roll</v>
      </c>
      <c r="C1791" s="45" t="n">
        <f aca="false">ROUND(MAX(0,'Model Inputs &amp; Assumptions'!$S$31*EXP('Model Inputs &amp; Assumptions'!$T$31*P1791-'Model Inputs &amp; Assumptions'!$T$31^2/2)),0)</f>
        <v>701997</v>
      </c>
      <c r="D1791" s="46" t="n">
        <f aca="false">MIN(1,'Model Inputs &amp; Assumptions'!$U$31*EXP('Model Inputs &amp; Assumptions'!$V$31*Q1791-'Model Inputs &amp; Assumptions'!$V$31^2/2))</f>
        <v>0.557742282794107</v>
      </c>
      <c r="E1791" s="45" t="n">
        <f aca="false">ROUND(C1791*D1791,0)</f>
        <v>391533</v>
      </c>
      <c r="F1791" s="47" t="n">
        <f aca="false">MIN(1,'Model Inputs &amp; Assumptions'!$W$31*EXP('Model Inputs &amp; Assumptions'!$X$31*R1791-'Model Inputs &amp; Assumptions'!$X$31^2/2))</f>
        <v>0.00613672144192162</v>
      </c>
      <c r="G1791" s="45" t="n">
        <f aca="false">ROUND(C1791*F1791,0)</f>
        <v>4308</v>
      </c>
      <c r="H1791" s="48" t="n">
        <f aca="false">MAX(0,(C1791*'Model Inputs &amp; Assumptions'!$N$31+E1791*'Model Inputs &amp; Assumptions'!$O$31+G1791*'Model Inputs &amp; Assumptions'!$P$31)*EXP('Model Inputs &amp; Assumptions'!$Q$31*S1791-'Model Inputs &amp; Assumptions'!$Q$31^2/2))</f>
        <v>71.5895606882736</v>
      </c>
      <c r="I1791" s="49" t="n">
        <f aca="false">IF('Model Inputs &amp; Assumptions'!$H$31="Fixed",'Model Inputs &amp; Assumptions'!$I$31*'Model Inputs &amp; Assumptions'!$K$31,IF('Model Inputs &amp; Assumptions'!$H$31="CPM",'Model Inputs &amp; Assumptions'!$I$31*'Model Inputs &amp; Assumptions'!$K$31*C1791/1000,IF('Model Inputs &amp; Assumptions'!$H$31="CPC",'Model Inputs &amp; Assumptions'!$I$31*'Model Inputs &amp; Assumptions'!$K$31*G1791,0)))</f>
        <v>7964.857962</v>
      </c>
      <c r="J1791" s="50" t="n">
        <f aca="false">H1791*INDEX('Model Inputs &amp; Assumptions'!$D$40:$D$42,MATCH('Model Inputs &amp; Assumptions'!$L$31,'Model Inputs &amp; Assumptions'!$A$40:$A$42,0))*INDEX('Model Inputs &amp; Assumptions'!$H$40:$H$42,MATCH('Model Inputs &amp; Assumptions'!$L$31,'Model Inputs &amp; Assumptions'!$A$40:$A$42,0))</f>
        <v>515444.83695557</v>
      </c>
      <c r="K1791" s="49" t="n">
        <f aca="false">H1791*INDEX('Model Inputs &amp; Assumptions'!$G$40:$G$42,MATCH('Model Inputs &amp; Assumptions'!$L$31,'Model Inputs &amp; Assumptions'!$A$40:$A$42,0))*INDEX('Model Inputs &amp; Assumptions'!$H$40:$H$42,MATCH('Model Inputs &amp; Assumptions'!$L$31,'Model Inputs &amp; Assumptions'!$A$40:$A$42,0))</f>
        <v>11365.5586548703</v>
      </c>
      <c r="L1791" s="51" t="n">
        <f aca="false">IFERROR(K1791/I1791,0)</f>
        <v>1.42696313093026</v>
      </c>
      <c r="M1791" s="49" t="n">
        <f aca="false">IFERROR(I1791/H1791,0)</f>
        <v>111.257254345809</v>
      </c>
      <c r="N1791" s="52" t="str">
        <f aca="false">'Model Inputs &amp; Assumptions'!$L$31</f>
        <v>PRD-USIQ</v>
      </c>
      <c r="P1791" s="53" t="n">
        <v>1.497656</v>
      </c>
      <c r="Q1791" s="53" t="n">
        <v>-0.331611</v>
      </c>
      <c r="R1791" s="53" t="n">
        <v>0.973553</v>
      </c>
      <c r="S1791" s="53" t="n">
        <v>-0.661575</v>
      </c>
    </row>
    <row r="1792" customFormat="false" ht="15" hidden="false" customHeight="false" outlineLevel="0" collapsed="false">
      <c r="A1792" s="43" t="n">
        <v>289</v>
      </c>
      <c r="B1792" s="44" t="str">
        <f aca="false">'Model Inputs &amp; Assumptions'!$B$31</f>
        <v>YouTube — Finfluencer Pre-roll</v>
      </c>
      <c r="C1792" s="45" t="n">
        <f aca="false">ROUND(MAX(0,'Model Inputs &amp; Assumptions'!$S$31*EXP('Model Inputs &amp; Assumptions'!$T$31*P1792-'Model Inputs &amp; Assumptions'!$T$31^2/2)),0)</f>
        <v>331023</v>
      </c>
      <c r="D1792" s="46" t="n">
        <f aca="false">MIN(1,'Model Inputs &amp; Assumptions'!$U$31*EXP('Model Inputs &amp; Assumptions'!$V$31*Q1792-'Model Inputs &amp; Assumptions'!$V$31^2/2))</f>
        <v>0.582626178189463</v>
      </c>
      <c r="E1792" s="45" t="n">
        <f aca="false">ROUND(C1792*D1792,0)</f>
        <v>192863</v>
      </c>
      <c r="F1792" s="47" t="n">
        <f aca="false">MIN(1,'Model Inputs &amp; Assumptions'!$W$31*EXP('Model Inputs &amp; Assumptions'!$X$31*R1792-'Model Inputs &amp; Assumptions'!$X$31^2/2))</f>
        <v>0.00477505586067096</v>
      </c>
      <c r="G1792" s="45" t="n">
        <f aca="false">ROUND(C1792*F1792,0)</f>
        <v>1581</v>
      </c>
      <c r="H1792" s="48" t="n">
        <f aca="false">MAX(0,(C1792*'Model Inputs &amp; Assumptions'!$N$31+E1792*'Model Inputs &amp; Assumptions'!$O$31+G1792*'Model Inputs &amp; Assumptions'!$P$31)*EXP('Model Inputs &amp; Assumptions'!$Q$31*S1792-'Model Inputs &amp; Assumptions'!$Q$31^2/2))</f>
        <v>37.6898612473559</v>
      </c>
      <c r="I1792" s="49" t="n">
        <f aca="false">IF('Model Inputs &amp; Assumptions'!$H$31="Fixed",'Model Inputs &amp; Assumptions'!$I$31*'Model Inputs &amp; Assumptions'!$K$31,IF('Model Inputs &amp; Assumptions'!$H$31="CPM",'Model Inputs &amp; Assumptions'!$I$31*'Model Inputs &amp; Assumptions'!$K$31*C1792/1000,IF('Model Inputs &amp; Assumptions'!$H$31="CPC",'Model Inputs &amp; Assumptions'!$I$31*'Model Inputs &amp; Assumptions'!$K$31*G1792,0)))</f>
        <v>3755.786958</v>
      </c>
      <c r="J1792" s="50" t="n">
        <f aca="false">H1792*INDEX('Model Inputs &amp; Assumptions'!$D$40:$D$42,MATCH('Model Inputs &amp; Assumptions'!$L$31,'Model Inputs &amp; Assumptions'!$A$40:$A$42,0))*INDEX('Model Inputs &amp; Assumptions'!$H$40:$H$42,MATCH('Model Inputs &amp; Assumptions'!$L$31,'Model Inputs &amp; Assumptions'!$A$40:$A$42,0))</f>
        <v>271367.000980962</v>
      </c>
      <c r="K1792" s="49" t="n">
        <f aca="false">H1792*INDEX('Model Inputs &amp; Assumptions'!$G$40:$G$42,MATCH('Model Inputs &amp; Assumptions'!$L$31,'Model Inputs &amp; Assumptions'!$A$40:$A$42,0))*INDEX('Model Inputs &amp; Assumptions'!$H$40:$H$42,MATCH('Model Inputs &amp; Assumptions'!$L$31,'Model Inputs &amp; Assumptions'!$A$40:$A$42,0))</f>
        <v>5983.64237163022</v>
      </c>
      <c r="L1792" s="51" t="n">
        <f aca="false">IFERROR(K1792/I1792,0)</f>
        <v>1.59317938917829</v>
      </c>
      <c r="M1792" s="49" t="n">
        <f aca="false">IFERROR(I1792/H1792,0)</f>
        <v>99.6497952951071</v>
      </c>
      <c r="N1792" s="52" t="str">
        <f aca="false">'Model Inputs &amp; Assumptions'!$L$31</f>
        <v>PRD-USIQ</v>
      </c>
      <c r="P1792" s="53" t="n">
        <v>-1.187138</v>
      </c>
      <c r="Q1792" s="53" t="n">
        <v>-0.019834</v>
      </c>
      <c r="R1792" s="53" t="n">
        <v>-0.071801</v>
      </c>
      <c r="S1792" s="53" t="n">
        <v>0.066837</v>
      </c>
    </row>
    <row r="1793" customFormat="false" ht="15" hidden="false" customHeight="false" outlineLevel="0" collapsed="false">
      <c r="A1793" s="43" t="n">
        <v>290</v>
      </c>
      <c r="B1793" s="44" t="str">
        <f aca="false">'Model Inputs &amp; Assumptions'!$B$31</f>
        <v>YouTube — Finfluencer Pre-roll</v>
      </c>
      <c r="C1793" s="45" t="n">
        <f aca="false">ROUND(MAX(0,'Model Inputs &amp; Assumptions'!$S$31*EXP('Model Inputs &amp; Assumptions'!$T$31*P1793-'Model Inputs &amp; Assumptions'!$T$31^2/2)),0)</f>
        <v>721167</v>
      </c>
      <c r="D1793" s="46" t="n">
        <f aca="false">MIN(1,'Model Inputs &amp; Assumptions'!$U$31*EXP('Model Inputs &amp; Assumptions'!$V$31*Q1793-'Model Inputs &amp; Assumptions'!$V$31^2/2))</f>
        <v>0.512115075642549</v>
      </c>
      <c r="E1793" s="45" t="n">
        <f aca="false">ROUND(C1793*D1793,0)</f>
        <v>369320</v>
      </c>
      <c r="F1793" s="47" t="n">
        <f aca="false">MIN(1,'Model Inputs &amp; Assumptions'!$W$31*EXP('Model Inputs &amp; Assumptions'!$X$31*R1793-'Model Inputs &amp; Assumptions'!$X$31^2/2))</f>
        <v>0.00616209583376902</v>
      </c>
      <c r="G1793" s="45" t="n">
        <f aca="false">ROUND(C1793*F1793,0)</f>
        <v>4444</v>
      </c>
      <c r="H1793" s="48" t="n">
        <f aca="false">MAX(0,(C1793*'Model Inputs &amp; Assumptions'!$N$31+E1793*'Model Inputs &amp; Assumptions'!$O$31+G1793*'Model Inputs &amp; Assumptions'!$P$31)*EXP('Model Inputs &amp; Assumptions'!$Q$31*S1793-'Model Inputs &amp; Assumptions'!$Q$31^2/2))</f>
        <v>161.278505449778</v>
      </c>
      <c r="I1793" s="49" t="n">
        <f aca="false">IF('Model Inputs &amp; Assumptions'!$H$31="Fixed",'Model Inputs &amp; Assumptions'!$I$31*'Model Inputs &amp; Assumptions'!$K$31,IF('Model Inputs &amp; Assumptions'!$H$31="CPM",'Model Inputs &amp; Assumptions'!$I$31*'Model Inputs &amp; Assumptions'!$K$31*C1793/1000,IF('Model Inputs &amp; Assumptions'!$H$31="CPC",'Model Inputs &amp; Assumptions'!$I$31*'Model Inputs &amp; Assumptions'!$K$31*G1793,0)))</f>
        <v>8182.360782</v>
      </c>
      <c r="J1793" s="50" t="n">
        <f aca="false">H1793*INDEX('Model Inputs &amp; Assumptions'!$D$40:$D$42,MATCH('Model Inputs &amp; Assumptions'!$L$31,'Model Inputs &amp; Assumptions'!$A$40:$A$42,0))*INDEX('Model Inputs &amp; Assumptions'!$H$40:$H$42,MATCH('Model Inputs &amp; Assumptions'!$L$31,'Model Inputs &amp; Assumptions'!$A$40:$A$42,0))</f>
        <v>1161205.2392384</v>
      </c>
      <c r="K1793" s="49" t="n">
        <f aca="false">H1793*INDEX('Model Inputs &amp; Assumptions'!$G$40:$G$42,MATCH('Model Inputs &amp; Assumptions'!$L$31,'Model Inputs &amp; Assumptions'!$A$40:$A$42,0))*INDEX('Model Inputs &amp; Assumptions'!$H$40:$H$42,MATCH('Model Inputs &amp; Assumptions'!$L$31,'Model Inputs &amp; Assumptions'!$A$40:$A$42,0))</f>
        <v>25604.5755252068</v>
      </c>
      <c r="L1793" s="51" t="n">
        <f aca="false">IFERROR(K1793/I1793,0)</f>
        <v>3.12924059539554</v>
      </c>
      <c r="M1793" s="49" t="n">
        <f aca="false">IFERROR(I1793/H1793,0)</f>
        <v>50.7343539623013</v>
      </c>
      <c r="N1793" s="52" t="str">
        <f aca="false">'Model Inputs &amp; Assumptions'!$L$31</f>
        <v>PRD-USIQ</v>
      </c>
      <c r="P1793" s="53" t="n">
        <v>1.593875</v>
      </c>
      <c r="Q1793" s="53" t="n">
        <v>-0.941237</v>
      </c>
      <c r="R1793" s="53" t="n">
        <v>0.990746</v>
      </c>
      <c r="S1793" s="53" t="n">
        <v>1.651129</v>
      </c>
    </row>
    <row r="1794" customFormat="false" ht="15" hidden="false" customHeight="false" outlineLevel="0" collapsed="false">
      <c r="A1794" s="43" t="n">
        <v>291</v>
      </c>
      <c r="B1794" s="44" t="str">
        <f aca="false">'Model Inputs &amp; Assumptions'!$B$31</f>
        <v>YouTube — Finfluencer Pre-roll</v>
      </c>
      <c r="C1794" s="45" t="n">
        <f aca="false">ROUND(MAX(0,'Model Inputs &amp; Assumptions'!$S$31*EXP('Model Inputs &amp; Assumptions'!$T$31*P1794-'Model Inputs &amp; Assumptions'!$T$31^2/2)),0)</f>
        <v>525759</v>
      </c>
      <c r="D1794" s="46" t="n">
        <f aca="false">MIN(1,'Model Inputs &amp; Assumptions'!$U$31*EXP('Model Inputs &amp; Assumptions'!$V$31*Q1794-'Model Inputs &amp; Assumptions'!$V$31^2/2))</f>
        <v>0.479855989446446</v>
      </c>
      <c r="E1794" s="45" t="n">
        <f aca="false">ROUND(C1794*D1794,0)</f>
        <v>252289</v>
      </c>
      <c r="F1794" s="47" t="n">
        <f aca="false">MIN(1,'Model Inputs &amp; Assumptions'!$W$31*EXP('Model Inputs &amp; Assumptions'!$X$31*R1794-'Model Inputs &amp; Assumptions'!$X$31^2/2))</f>
        <v>0.0071488534873888</v>
      </c>
      <c r="G1794" s="45" t="n">
        <f aca="false">ROUND(C1794*F1794,0)</f>
        <v>3759</v>
      </c>
      <c r="H1794" s="48" t="n">
        <f aca="false">MAX(0,(C1794*'Model Inputs &amp; Assumptions'!$N$31+E1794*'Model Inputs &amp; Assumptions'!$O$31+G1794*'Model Inputs &amp; Assumptions'!$P$31)*EXP('Model Inputs &amp; Assumptions'!$Q$31*S1794-'Model Inputs &amp; Assumptions'!$Q$31^2/2))</f>
        <v>37.9669237148435</v>
      </c>
      <c r="I1794" s="49" t="n">
        <f aca="false">IF('Model Inputs &amp; Assumptions'!$H$31="Fixed",'Model Inputs &amp; Assumptions'!$I$31*'Model Inputs &amp; Assumptions'!$K$31,IF('Model Inputs &amp; Assumptions'!$H$31="CPM",'Model Inputs &amp; Assumptions'!$I$31*'Model Inputs &amp; Assumptions'!$K$31*C1794/1000,IF('Model Inputs &amp; Assumptions'!$H$31="CPC",'Model Inputs &amp; Assumptions'!$I$31*'Model Inputs &amp; Assumptions'!$K$31*G1794,0)))</f>
        <v>5965.261614</v>
      </c>
      <c r="J1794" s="50" t="n">
        <f aca="false">H1794*INDEX('Model Inputs &amp; Assumptions'!$D$40:$D$42,MATCH('Model Inputs &amp; Assumptions'!$L$31,'Model Inputs &amp; Assumptions'!$A$40:$A$42,0))*INDEX('Model Inputs &amp; Assumptions'!$H$40:$H$42,MATCH('Model Inputs &amp; Assumptions'!$L$31,'Model Inputs &amp; Assumptions'!$A$40:$A$42,0))</f>
        <v>273361.850746873</v>
      </c>
      <c r="K1794" s="49" t="n">
        <f aca="false">H1794*INDEX('Model Inputs &amp; Assumptions'!$G$40:$G$42,MATCH('Model Inputs &amp; Assumptions'!$L$31,'Model Inputs &amp; Assumptions'!$A$40:$A$42,0))*INDEX('Model Inputs &amp; Assumptions'!$H$40:$H$42,MATCH('Model Inputs &amp; Assumptions'!$L$31,'Model Inputs &amp; Assumptions'!$A$40:$A$42,0))</f>
        <v>6027.62880896856</v>
      </c>
      <c r="L1794" s="51" t="n">
        <f aca="false">IFERROR(K1794/I1794,0)</f>
        <v>1.01045506450584</v>
      </c>
      <c r="M1794" s="49" t="n">
        <f aca="false">IFERROR(I1794/H1794,0)</f>
        <v>157.117328198698</v>
      </c>
      <c r="N1794" s="52" t="str">
        <f aca="false">'Model Inputs &amp; Assumptions'!$L$31</f>
        <v>PRD-USIQ</v>
      </c>
      <c r="P1794" s="53" t="n">
        <v>0.465205</v>
      </c>
      <c r="Q1794" s="53" t="n">
        <v>-1.405975</v>
      </c>
      <c r="R1794" s="53" t="n">
        <v>1.609642</v>
      </c>
      <c r="S1794" s="53" t="n">
        <v>-1.829187</v>
      </c>
    </row>
    <row r="1795" customFormat="false" ht="15" hidden="false" customHeight="false" outlineLevel="0" collapsed="false">
      <c r="A1795" s="43" t="n">
        <v>292</v>
      </c>
      <c r="B1795" s="44" t="str">
        <f aca="false">'Model Inputs &amp; Assumptions'!$B$31</f>
        <v>YouTube — Finfluencer Pre-roll</v>
      </c>
      <c r="C1795" s="45" t="n">
        <f aca="false">ROUND(MAX(0,'Model Inputs &amp; Assumptions'!$S$31*EXP('Model Inputs &amp; Assumptions'!$T$31*P1795-'Model Inputs &amp; Assumptions'!$T$31^2/2)),0)</f>
        <v>621652</v>
      </c>
      <c r="D1795" s="46" t="n">
        <f aca="false">MIN(1,'Model Inputs &amp; Assumptions'!$U$31*EXP('Model Inputs &amp; Assumptions'!$V$31*Q1795-'Model Inputs &amp; Assumptions'!$V$31^2/2))</f>
        <v>0.625462563064364</v>
      </c>
      <c r="E1795" s="45" t="n">
        <f aca="false">ROUND(C1795*D1795,0)</f>
        <v>388820</v>
      </c>
      <c r="F1795" s="47" t="n">
        <f aca="false">MIN(1,'Model Inputs &amp; Assumptions'!$W$31*EXP('Model Inputs &amp; Assumptions'!$X$31*R1795-'Model Inputs &amp; Assumptions'!$X$31^2/2))</f>
        <v>0.00511576256538862</v>
      </c>
      <c r="G1795" s="45" t="n">
        <f aca="false">ROUND(C1795*F1795,0)</f>
        <v>3180</v>
      </c>
      <c r="H1795" s="48" t="n">
        <f aca="false">MAX(0,(C1795*'Model Inputs &amp; Assumptions'!$N$31+E1795*'Model Inputs &amp; Assumptions'!$O$31+G1795*'Model Inputs &amp; Assumptions'!$P$31)*EXP('Model Inputs &amp; Assumptions'!$Q$31*S1795-'Model Inputs &amp; Assumptions'!$Q$31^2/2))</f>
        <v>103.481868142419</v>
      </c>
      <c r="I1795" s="49" t="n">
        <f aca="false">IF('Model Inputs &amp; Assumptions'!$H$31="Fixed",'Model Inputs &amp; Assumptions'!$I$31*'Model Inputs &amp; Assumptions'!$K$31,IF('Model Inputs &amp; Assumptions'!$H$31="CPM",'Model Inputs &amp; Assumptions'!$I$31*'Model Inputs &amp; Assumptions'!$K$31*C1795/1000,IF('Model Inputs &amp; Assumptions'!$H$31="CPC",'Model Inputs &amp; Assumptions'!$I$31*'Model Inputs &amp; Assumptions'!$K$31*G1795,0)))</f>
        <v>7053.263592</v>
      </c>
      <c r="J1795" s="50" t="n">
        <f aca="false">H1795*INDEX('Model Inputs &amp; Assumptions'!$D$40:$D$42,MATCH('Model Inputs &amp; Assumptions'!$L$31,'Model Inputs &amp; Assumptions'!$A$40:$A$42,0))*INDEX('Model Inputs &amp; Assumptions'!$H$40:$H$42,MATCH('Model Inputs &amp; Assumptions'!$L$31,'Model Inputs &amp; Assumptions'!$A$40:$A$42,0))</f>
        <v>745069.450625415</v>
      </c>
      <c r="K1795" s="49" t="n">
        <f aca="false">H1795*INDEX('Model Inputs &amp; Assumptions'!$G$40:$G$42,MATCH('Model Inputs &amp; Assumptions'!$L$31,'Model Inputs &amp; Assumptions'!$A$40:$A$42,0))*INDEX('Model Inputs &amp; Assumptions'!$H$40:$H$42,MATCH('Model Inputs &amp; Assumptions'!$L$31,'Model Inputs &amp; Assumptions'!$A$40:$A$42,0))</f>
        <v>16428.7813862904</v>
      </c>
      <c r="L1795" s="51" t="n">
        <f aca="false">IFERROR(K1795/I1795,0)</f>
        <v>2.32924534465497</v>
      </c>
      <c r="M1795" s="49" t="n">
        <f aca="false">IFERROR(I1795/H1795,0)</f>
        <v>68.1594149642991</v>
      </c>
      <c r="N1795" s="52" t="str">
        <f aca="false">'Model Inputs &amp; Assumptions'!$L$31</f>
        <v>PRD-USIQ</v>
      </c>
      <c r="P1795" s="53" t="n">
        <v>1.06355</v>
      </c>
      <c r="Q1795" s="53" t="n">
        <v>0.486921</v>
      </c>
      <c r="R1795" s="53" t="n">
        <v>0.215369</v>
      </c>
      <c r="S1795" s="53" t="n">
        <v>0.953321</v>
      </c>
    </row>
    <row r="1796" customFormat="false" ht="15" hidden="false" customHeight="false" outlineLevel="0" collapsed="false">
      <c r="A1796" s="43" t="n">
        <v>293</v>
      </c>
      <c r="B1796" s="44" t="str">
        <f aca="false">'Model Inputs &amp; Assumptions'!$B$31</f>
        <v>YouTube — Finfluencer Pre-roll</v>
      </c>
      <c r="C1796" s="45" t="n">
        <f aca="false">ROUND(MAX(0,'Model Inputs &amp; Assumptions'!$S$31*EXP('Model Inputs &amp; Assumptions'!$T$31*P1796-'Model Inputs &amp; Assumptions'!$T$31^2/2)),0)</f>
        <v>454005</v>
      </c>
      <c r="D1796" s="46" t="n">
        <f aca="false">MIN(1,'Model Inputs &amp; Assumptions'!$U$31*EXP('Model Inputs &amp; Assumptions'!$V$31*Q1796-'Model Inputs &amp; Assumptions'!$V$31^2/2))</f>
        <v>0.5317844281087</v>
      </c>
      <c r="E1796" s="45" t="n">
        <f aca="false">ROUND(C1796*D1796,0)</f>
        <v>241433</v>
      </c>
      <c r="F1796" s="47" t="n">
        <f aca="false">MIN(1,'Model Inputs &amp; Assumptions'!$W$31*EXP('Model Inputs &amp; Assumptions'!$X$31*R1796-'Model Inputs &amp; Assumptions'!$X$31^2/2))</f>
        <v>0.00400956514355392</v>
      </c>
      <c r="G1796" s="45" t="n">
        <f aca="false">ROUND(C1796*F1796,0)</f>
        <v>1820</v>
      </c>
      <c r="H1796" s="48" t="n">
        <f aca="false">MAX(0,(C1796*'Model Inputs &amp; Assumptions'!$N$31+E1796*'Model Inputs &amp; Assumptions'!$O$31+G1796*'Model Inputs &amp; Assumptions'!$P$31)*EXP('Model Inputs &amp; Assumptions'!$Q$31*S1796-'Model Inputs &amp; Assumptions'!$Q$31^2/2))</f>
        <v>38.5280637714629</v>
      </c>
      <c r="I1796" s="49" t="n">
        <f aca="false">IF('Model Inputs &amp; Assumptions'!$H$31="Fixed",'Model Inputs &amp; Assumptions'!$I$31*'Model Inputs &amp; Assumptions'!$K$31,IF('Model Inputs &amp; Assumptions'!$H$31="CPM",'Model Inputs &amp; Assumptions'!$I$31*'Model Inputs &amp; Assumptions'!$K$31*C1796/1000,IF('Model Inputs &amp; Assumptions'!$H$31="CPC",'Model Inputs &amp; Assumptions'!$I$31*'Model Inputs &amp; Assumptions'!$K$31*G1796,0)))</f>
        <v>5151.14073</v>
      </c>
      <c r="J1796" s="50" t="n">
        <f aca="false">H1796*INDEX('Model Inputs &amp; Assumptions'!$D$40:$D$42,MATCH('Model Inputs &amp; Assumptions'!$L$31,'Model Inputs &amp; Assumptions'!$A$40:$A$42,0))*INDEX('Model Inputs &amp; Assumptions'!$H$40:$H$42,MATCH('Model Inputs &amp; Assumptions'!$L$31,'Model Inputs &amp; Assumptions'!$A$40:$A$42,0))</f>
        <v>277402.059154533</v>
      </c>
      <c r="K1796" s="49" t="n">
        <f aca="false">H1796*INDEX('Model Inputs &amp; Assumptions'!$G$40:$G$42,MATCH('Model Inputs &amp; Assumptions'!$L$31,'Model Inputs &amp; Assumptions'!$A$40:$A$42,0))*INDEX('Model Inputs &amp; Assumptions'!$H$40:$H$42,MATCH('Model Inputs &amp; Assumptions'!$L$31,'Model Inputs &amp; Assumptions'!$A$40:$A$42,0))</f>
        <v>6116.71540435745</v>
      </c>
      <c r="L1796" s="51" t="n">
        <f aca="false">IFERROR(K1796/I1796,0)</f>
        <v>1.18744870795977</v>
      </c>
      <c r="M1796" s="49" t="n">
        <f aca="false">IFERROR(I1796/H1796,0)</f>
        <v>133.698406453931</v>
      </c>
      <c r="N1796" s="52" t="str">
        <f aca="false">'Model Inputs &amp; Assumptions'!$L$31</f>
        <v>PRD-USIQ</v>
      </c>
      <c r="P1796" s="53" t="n">
        <v>-0.058852</v>
      </c>
      <c r="Q1796" s="53" t="n">
        <v>-0.672031</v>
      </c>
      <c r="R1796" s="53" t="n">
        <v>-0.799813</v>
      </c>
      <c r="S1796" s="53" t="n">
        <v>-0.369365</v>
      </c>
    </row>
    <row r="1797" customFormat="false" ht="15" hidden="false" customHeight="false" outlineLevel="0" collapsed="false">
      <c r="A1797" s="43" t="n">
        <v>294</v>
      </c>
      <c r="B1797" s="44" t="str">
        <f aca="false">'Model Inputs &amp; Assumptions'!$B$31</f>
        <v>YouTube — Finfluencer Pre-roll</v>
      </c>
      <c r="C1797" s="45" t="n">
        <f aca="false">ROUND(MAX(0,'Model Inputs &amp; Assumptions'!$S$31*EXP('Model Inputs &amp; Assumptions'!$T$31*P1797-'Model Inputs &amp; Assumptions'!$T$31^2/2)),0)</f>
        <v>499597</v>
      </c>
      <c r="D1797" s="46" t="n">
        <f aca="false">MIN(1,'Model Inputs &amp; Assumptions'!$U$31*EXP('Model Inputs &amp; Assumptions'!$V$31*Q1797-'Model Inputs &amp; Assumptions'!$V$31^2/2))</f>
        <v>0.583013100477413</v>
      </c>
      <c r="E1797" s="45" t="n">
        <f aca="false">ROUND(C1797*D1797,0)</f>
        <v>291272</v>
      </c>
      <c r="F1797" s="47" t="n">
        <f aca="false">MIN(1,'Model Inputs &amp; Assumptions'!$W$31*EXP('Model Inputs &amp; Assumptions'!$X$31*R1797-'Model Inputs &amp; Assumptions'!$X$31^2/2))</f>
        <v>0.0061759465142906</v>
      </c>
      <c r="G1797" s="45" t="n">
        <f aca="false">ROUND(C1797*F1797,0)</f>
        <v>3085</v>
      </c>
      <c r="H1797" s="48" t="n">
        <f aca="false">MAX(0,(C1797*'Model Inputs &amp; Assumptions'!$N$31+E1797*'Model Inputs &amp; Assumptions'!$O$31+G1797*'Model Inputs &amp; Assumptions'!$P$31)*EXP('Model Inputs &amp; Assumptions'!$Q$31*S1797-'Model Inputs &amp; Assumptions'!$Q$31^2/2))</f>
        <v>39.1997905447</v>
      </c>
      <c r="I1797" s="49" t="n">
        <f aca="false">IF('Model Inputs &amp; Assumptions'!$H$31="Fixed",'Model Inputs &amp; Assumptions'!$I$31*'Model Inputs &amp; Assumptions'!$K$31,IF('Model Inputs &amp; Assumptions'!$H$31="CPM",'Model Inputs &amp; Assumptions'!$I$31*'Model Inputs &amp; Assumptions'!$K$31*C1797/1000,IF('Model Inputs &amp; Assumptions'!$H$31="CPC",'Model Inputs &amp; Assumptions'!$I$31*'Model Inputs &amp; Assumptions'!$K$31*G1797,0)))</f>
        <v>5668.427562</v>
      </c>
      <c r="J1797" s="50" t="n">
        <f aca="false">H1797*INDEX('Model Inputs &amp; Assumptions'!$D$40:$D$42,MATCH('Model Inputs &amp; Assumptions'!$L$31,'Model Inputs &amp; Assumptions'!$A$40:$A$42,0))*INDEX('Model Inputs &amp; Assumptions'!$H$40:$H$42,MATCH('Model Inputs &amp; Assumptions'!$L$31,'Model Inputs &amp; Assumptions'!$A$40:$A$42,0))</f>
        <v>282238.49192184</v>
      </c>
      <c r="K1797" s="49" t="n">
        <f aca="false">H1797*INDEX('Model Inputs &amp; Assumptions'!$G$40:$G$42,MATCH('Model Inputs &amp; Assumptions'!$L$31,'Model Inputs &amp; Assumptions'!$A$40:$A$42,0))*INDEX('Model Inputs &amp; Assumptions'!$H$40:$H$42,MATCH('Model Inputs &amp; Assumptions'!$L$31,'Model Inputs &amp; Assumptions'!$A$40:$A$42,0))</f>
        <v>6223.35874687657</v>
      </c>
      <c r="L1797" s="51" t="n">
        <f aca="false">IFERROR(K1797/I1797,0)</f>
        <v>1.09789861100047</v>
      </c>
      <c r="M1797" s="49" t="n">
        <f aca="false">IFERROR(I1797/H1797,0)</f>
        <v>144.603516580943</v>
      </c>
      <c r="N1797" s="52" t="str">
        <f aca="false">'Model Inputs &amp; Assumptions'!$L$31</f>
        <v>PRD-USIQ</v>
      </c>
      <c r="P1797" s="53" t="n">
        <v>0.282913</v>
      </c>
      <c r="Q1797" s="53" t="n">
        <v>-0.015092</v>
      </c>
      <c r="R1797" s="53" t="n">
        <v>1.000101</v>
      </c>
      <c r="S1797" s="53" t="n">
        <v>-1.464312</v>
      </c>
    </row>
    <row r="1798" customFormat="false" ht="15" hidden="false" customHeight="false" outlineLevel="0" collapsed="false">
      <c r="A1798" s="43" t="n">
        <v>295</v>
      </c>
      <c r="B1798" s="44" t="str">
        <f aca="false">'Model Inputs &amp; Assumptions'!$B$31</f>
        <v>YouTube — Finfluencer Pre-roll</v>
      </c>
      <c r="C1798" s="45" t="n">
        <f aca="false">ROUND(MAX(0,'Model Inputs &amp; Assumptions'!$S$31*EXP('Model Inputs &amp; Assumptions'!$T$31*P1798-'Model Inputs &amp; Assumptions'!$T$31^2/2)),0)</f>
        <v>628332</v>
      </c>
      <c r="D1798" s="46" t="n">
        <f aca="false">MIN(1,'Model Inputs &amp; Assumptions'!$U$31*EXP('Model Inputs &amp; Assumptions'!$V$31*Q1798-'Model Inputs &amp; Assumptions'!$V$31^2/2))</f>
        <v>0.517821960147386</v>
      </c>
      <c r="E1798" s="45" t="n">
        <f aca="false">ROUND(C1798*D1798,0)</f>
        <v>325364</v>
      </c>
      <c r="F1798" s="47" t="n">
        <f aca="false">MIN(1,'Model Inputs &amp; Assumptions'!$W$31*EXP('Model Inputs &amp; Assumptions'!$X$31*R1798-'Model Inputs &amp; Assumptions'!$X$31^2/2))</f>
        <v>0.00413509801702987</v>
      </c>
      <c r="G1798" s="45" t="n">
        <f aca="false">ROUND(C1798*F1798,0)</f>
        <v>2598</v>
      </c>
      <c r="H1798" s="48" t="n">
        <f aca="false">MAX(0,(C1798*'Model Inputs &amp; Assumptions'!$N$31+E1798*'Model Inputs &amp; Assumptions'!$O$31+G1798*'Model Inputs &amp; Assumptions'!$P$31)*EXP('Model Inputs &amp; Assumptions'!$Q$31*S1798-'Model Inputs &amp; Assumptions'!$Q$31^2/2))</f>
        <v>83.3727386594354</v>
      </c>
      <c r="I1798" s="49" t="n">
        <f aca="false">IF('Model Inputs &amp; Assumptions'!$H$31="Fixed",'Model Inputs &amp; Assumptions'!$I$31*'Model Inputs &amp; Assumptions'!$K$31,IF('Model Inputs &amp; Assumptions'!$H$31="CPM",'Model Inputs &amp; Assumptions'!$I$31*'Model Inputs &amp; Assumptions'!$K$31*C1798/1000,IF('Model Inputs &amp; Assumptions'!$H$31="CPC",'Model Inputs &amp; Assumptions'!$I$31*'Model Inputs &amp; Assumptions'!$K$31*G1798,0)))</f>
        <v>7129.054872</v>
      </c>
      <c r="J1798" s="50" t="n">
        <f aca="false">H1798*INDEX('Model Inputs &amp; Assumptions'!$D$40:$D$42,MATCH('Model Inputs &amp; Assumptions'!$L$31,'Model Inputs &amp; Assumptions'!$A$40:$A$42,0))*INDEX('Model Inputs &amp; Assumptions'!$H$40:$H$42,MATCH('Model Inputs &amp; Assumptions'!$L$31,'Model Inputs &amp; Assumptions'!$A$40:$A$42,0))</f>
        <v>600283.718347935</v>
      </c>
      <c r="K1798" s="49" t="n">
        <f aca="false">H1798*INDEX('Model Inputs &amp; Assumptions'!$G$40:$G$42,MATCH('Model Inputs &amp; Assumptions'!$L$31,'Model Inputs &amp; Assumptions'!$A$40:$A$42,0))*INDEX('Model Inputs &amp; Assumptions'!$H$40:$H$42,MATCH('Model Inputs &amp; Assumptions'!$L$31,'Model Inputs &amp; Assumptions'!$A$40:$A$42,0))</f>
        <v>13236.255989572</v>
      </c>
      <c r="L1798" s="51" t="n">
        <f aca="false">IFERROR(K1798/I1798,0)</f>
        <v>1.85666350269775</v>
      </c>
      <c r="M1798" s="49" t="n">
        <f aca="false">IFERROR(I1798/H1798,0)</f>
        <v>85.5082247102506</v>
      </c>
      <c r="N1798" s="52" t="str">
        <f aca="false">'Model Inputs &amp; Assumptions'!$L$31</f>
        <v>PRD-USIQ</v>
      </c>
      <c r="P1798" s="53" t="n">
        <v>1.101721</v>
      </c>
      <c r="Q1798" s="53" t="n">
        <v>-0.862079</v>
      </c>
      <c r="R1798" s="53" t="n">
        <v>-0.671362</v>
      </c>
      <c r="S1798" s="53" t="n">
        <v>0.886279</v>
      </c>
    </row>
    <row r="1799" customFormat="false" ht="15" hidden="false" customHeight="false" outlineLevel="0" collapsed="false">
      <c r="A1799" s="43" t="n">
        <v>296</v>
      </c>
      <c r="B1799" s="44" t="str">
        <f aca="false">'Model Inputs &amp; Assumptions'!$B$31</f>
        <v>YouTube — Finfluencer Pre-roll</v>
      </c>
      <c r="C1799" s="45" t="n">
        <f aca="false">ROUND(MAX(0,'Model Inputs &amp; Assumptions'!$S$31*EXP('Model Inputs &amp; Assumptions'!$T$31*P1799-'Model Inputs &amp; Assumptions'!$T$31^2/2)),0)</f>
        <v>412200</v>
      </c>
      <c r="D1799" s="46" t="n">
        <f aca="false">MIN(1,'Model Inputs &amp; Assumptions'!$U$31*EXP('Model Inputs &amp; Assumptions'!$V$31*Q1799-'Model Inputs &amp; Assumptions'!$V$31^2/2))</f>
        <v>0.571438597718274</v>
      </c>
      <c r="E1799" s="45" t="n">
        <f aca="false">ROUND(C1799*D1799,0)</f>
        <v>235547</v>
      </c>
      <c r="F1799" s="47" t="n">
        <f aca="false">MIN(1,'Model Inputs &amp; Assumptions'!$W$31*EXP('Model Inputs &amp; Assumptions'!$X$31*R1799-'Model Inputs &amp; Assumptions'!$X$31^2/2))</f>
        <v>0.00511517449112726</v>
      </c>
      <c r="G1799" s="45" t="n">
        <f aca="false">ROUND(C1799*F1799,0)</f>
        <v>2108</v>
      </c>
      <c r="H1799" s="48" t="n">
        <f aca="false">MAX(0,(C1799*'Model Inputs &amp; Assumptions'!$N$31+E1799*'Model Inputs &amp; Assumptions'!$O$31+G1799*'Model Inputs &amp; Assumptions'!$P$31)*EXP('Model Inputs &amp; Assumptions'!$Q$31*S1799-'Model Inputs &amp; Assumptions'!$Q$31^2/2))</f>
        <v>31.4660584351072</v>
      </c>
      <c r="I1799" s="49" t="n">
        <f aca="false">IF('Model Inputs &amp; Assumptions'!$H$31="Fixed",'Model Inputs &amp; Assumptions'!$I$31*'Model Inputs &amp; Assumptions'!$K$31,IF('Model Inputs &amp; Assumptions'!$H$31="CPM",'Model Inputs &amp; Assumptions'!$I$31*'Model Inputs &amp; Assumptions'!$K$31*C1799/1000,IF('Model Inputs &amp; Assumptions'!$H$31="CPC",'Model Inputs &amp; Assumptions'!$I$31*'Model Inputs &amp; Assumptions'!$K$31*G1799,0)))</f>
        <v>4676.8212</v>
      </c>
      <c r="J1799" s="50" t="n">
        <f aca="false">H1799*INDEX('Model Inputs &amp; Assumptions'!$D$40:$D$42,MATCH('Model Inputs &amp; Assumptions'!$L$31,'Model Inputs &amp; Assumptions'!$A$40:$A$42,0))*INDEX('Model Inputs &amp; Assumptions'!$H$40:$H$42,MATCH('Model Inputs &amp; Assumptions'!$L$31,'Model Inputs &amp; Assumptions'!$A$40:$A$42,0))</f>
        <v>226555.620732772</v>
      </c>
      <c r="K1799" s="49" t="n">
        <f aca="false">H1799*INDEX('Model Inputs &amp; Assumptions'!$G$40:$G$42,MATCH('Model Inputs &amp; Assumptions'!$L$31,'Model Inputs &amp; Assumptions'!$A$40:$A$42,0))*INDEX('Model Inputs &amp; Assumptions'!$H$40:$H$42,MATCH('Model Inputs &amp; Assumptions'!$L$31,'Model Inputs &amp; Assumptions'!$A$40:$A$42,0))</f>
        <v>4995.55143715762</v>
      </c>
      <c r="L1799" s="51" t="n">
        <f aca="false">IFERROR(K1799/I1799,0)</f>
        <v>1.06815104181396</v>
      </c>
      <c r="M1799" s="49" t="n">
        <f aca="false">IFERROR(I1799/H1799,0)</f>
        <v>148.63066531339</v>
      </c>
      <c r="N1799" s="52" t="str">
        <f aca="false">'Model Inputs &amp; Assumptions'!$L$31</f>
        <v>PRD-USIQ</v>
      </c>
      <c r="P1799" s="53" t="n">
        <v>-0.403852</v>
      </c>
      <c r="Q1799" s="53" t="n">
        <v>-0.158325</v>
      </c>
      <c r="R1799" s="53" t="n">
        <v>0.21489</v>
      </c>
      <c r="S1799" s="53" t="n">
        <v>-1.17456</v>
      </c>
    </row>
    <row r="1800" customFormat="false" ht="15" hidden="false" customHeight="false" outlineLevel="0" collapsed="false">
      <c r="A1800" s="43" t="n">
        <v>297</v>
      </c>
      <c r="B1800" s="44" t="str">
        <f aca="false">'Model Inputs &amp; Assumptions'!$B$31</f>
        <v>YouTube — Finfluencer Pre-roll</v>
      </c>
      <c r="C1800" s="45" t="n">
        <f aca="false">ROUND(MAX(0,'Model Inputs &amp; Assumptions'!$S$31*EXP('Model Inputs &amp; Assumptions'!$T$31*P1800-'Model Inputs &amp; Assumptions'!$T$31^2/2)),0)</f>
        <v>655410</v>
      </c>
      <c r="D1800" s="46" t="n">
        <f aca="false">MIN(1,'Model Inputs &amp; Assumptions'!$U$31*EXP('Model Inputs &amp; Assumptions'!$V$31*Q1800-'Model Inputs &amp; Assumptions'!$V$31^2/2))</f>
        <v>0.537253299465003</v>
      </c>
      <c r="E1800" s="45" t="n">
        <f aca="false">ROUND(C1800*D1800,0)</f>
        <v>352121</v>
      </c>
      <c r="F1800" s="47" t="n">
        <f aca="false">MIN(1,'Model Inputs &amp; Assumptions'!$W$31*EXP('Model Inputs &amp; Assumptions'!$X$31*R1800-'Model Inputs &amp; Assumptions'!$X$31^2/2))</f>
        <v>0.00520423164447853</v>
      </c>
      <c r="G1800" s="45" t="n">
        <f aca="false">ROUND(C1800*F1800,0)</f>
        <v>3411</v>
      </c>
      <c r="H1800" s="48" t="n">
        <f aca="false">MAX(0,(C1800*'Model Inputs &amp; Assumptions'!$N$31+E1800*'Model Inputs &amp; Assumptions'!$O$31+G1800*'Model Inputs &amp; Assumptions'!$P$31)*EXP('Model Inputs &amp; Assumptions'!$Q$31*S1800-'Model Inputs &amp; Assumptions'!$Q$31^2/2))</f>
        <v>84.7349254505082</v>
      </c>
      <c r="I1800" s="49" t="n">
        <f aca="false">IF('Model Inputs &amp; Assumptions'!$H$31="Fixed",'Model Inputs &amp; Assumptions'!$I$31*'Model Inputs &amp; Assumptions'!$K$31,IF('Model Inputs &amp; Assumptions'!$H$31="CPM",'Model Inputs &amp; Assumptions'!$I$31*'Model Inputs &amp; Assumptions'!$K$31*C1800/1000,IF('Model Inputs &amp; Assumptions'!$H$31="CPC",'Model Inputs &amp; Assumptions'!$I$31*'Model Inputs &amp; Assumptions'!$K$31*G1800,0)))</f>
        <v>7436.28186</v>
      </c>
      <c r="J1800" s="50" t="n">
        <f aca="false">H1800*INDEX('Model Inputs &amp; Assumptions'!$D$40:$D$42,MATCH('Model Inputs &amp; Assumptions'!$L$31,'Model Inputs &amp; Assumptions'!$A$40:$A$42,0))*INDEX('Model Inputs &amp; Assumptions'!$H$40:$H$42,MATCH('Model Inputs &amp; Assumptions'!$L$31,'Model Inputs &amp; Assumptions'!$A$40:$A$42,0))</f>
        <v>610091.463243659</v>
      </c>
      <c r="K1800" s="49" t="n">
        <f aca="false">H1800*INDEX('Model Inputs &amp; Assumptions'!$G$40:$G$42,MATCH('Model Inputs &amp; Assumptions'!$L$31,'Model Inputs &amp; Assumptions'!$A$40:$A$42,0))*INDEX('Model Inputs &amp; Assumptions'!$H$40:$H$42,MATCH('Model Inputs &amp; Assumptions'!$L$31,'Model Inputs &amp; Assumptions'!$A$40:$A$42,0))</f>
        <v>13452.5167645227</v>
      </c>
      <c r="L1800" s="51" t="n">
        <f aca="false">IFERROR(K1800/I1800,0)</f>
        <v>1.8090380404869</v>
      </c>
      <c r="M1800" s="49" t="n">
        <f aca="false">IFERROR(I1800/H1800,0)</f>
        <v>87.7593485857655</v>
      </c>
      <c r="N1800" s="52" t="str">
        <f aca="false">'Model Inputs &amp; Assumptions'!$L$31</f>
        <v>PRD-USIQ</v>
      </c>
      <c r="P1800" s="53" t="n">
        <v>1.252408</v>
      </c>
      <c r="Q1800" s="53" t="n">
        <v>-0.598949</v>
      </c>
      <c r="R1800" s="53" t="n">
        <v>0.286809</v>
      </c>
      <c r="S1800" s="53" t="n">
        <v>0.36315</v>
      </c>
    </row>
    <row r="1801" customFormat="false" ht="15" hidden="false" customHeight="false" outlineLevel="0" collapsed="false">
      <c r="A1801" s="43" t="n">
        <v>298</v>
      </c>
      <c r="B1801" s="44" t="str">
        <f aca="false">'Model Inputs &amp; Assumptions'!$B$31</f>
        <v>YouTube — Finfluencer Pre-roll</v>
      </c>
      <c r="C1801" s="45" t="n">
        <f aca="false">ROUND(MAX(0,'Model Inputs &amp; Assumptions'!$S$31*EXP('Model Inputs &amp; Assumptions'!$T$31*P1801-'Model Inputs &amp; Assumptions'!$T$31^2/2)),0)</f>
        <v>471429</v>
      </c>
      <c r="D1801" s="46" t="n">
        <f aca="false">MIN(1,'Model Inputs &amp; Assumptions'!$U$31*EXP('Model Inputs &amp; Assumptions'!$V$31*Q1801-'Model Inputs &amp; Assumptions'!$V$31^2/2))</f>
        <v>0.515811741522449</v>
      </c>
      <c r="E1801" s="45" t="n">
        <f aca="false">ROUND(C1801*D1801,0)</f>
        <v>243169</v>
      </c>
      <c r="F1801" s="47" t="n">
        <f aca="false">MIN(1,'Model Inputs &amp; Assumptions'!$W$31*EXP('Model Inputs &amp; Assumptions'!$X$31*R1801-'Model Inputs &amp; Assumptions'!$X$31^2/2))</f>
        <v>0.00689689473868543</v>
      </c>
      <c r="G1801" s="45" t="n">
        <f aca="false">ROUND(C1801*F1801,0)</f>
        <v>3251</v>
      </c>
      <c r="H1801" s="48" t="n">
        <f aca="false">MAX(0,(C1801*'Model Inputs &amp; Assumptions'!$N$31+E1801*'Model Inputs &amp; Assumptions'!$O$31+G1801*'Model Inputs &amp; Assumptions'!$P$31)*EXP('Model Inputs &amp; Assumptions'!$Q$31*S1801-'Model Inputs &amp; Assumptions'!$Q$31^2/2))</f>
        <v>60.8046661695772</v>
      </c>
      <c r="I1801" s="49" t="n">
        <f aca="false">IF('Model Inputs &amp; Assumptions'!$H$31="Fixed",'Model Inputs &amp; Assumptions'!$I$31*'Model Inputs &amp; Assumptions'!$K$31,IF('Model Inputs &amp; Assumptions'!$H$31="CPM",'Model Inputs &amp; Assumptions'!$I$31*'Model Inputs &amp; Assumptions'!$K$31*C1801/1000,IF('Model Inputs &amp; Assumptions'!$H$31="CPC",'Model Inputs &amp; Assumptions'!$I$31*'Model Inputs &amp; Assumptions'!$K$31*G1801,0)))</f>
        <v>5348.833434</v>
      </c>
      <c r="J1801" s="50" t="n">
        <f aca="false">H1801*INDEX('Model Inputs &amp; Assumptions'!$D$40:$D$42,MATCH('Model Inputs &amp; Assumptions'!$L$31,'Model Inputs &amp; Assumptions'!$A$40:$A$42,0))*INDEX('Model Inputs &amp; Assumptions'!$H$40:$H$42,MATCH('Model Inputs &amp; Assumptions'!$L$31,'Model Inputs &amp; Assumptions'!$A$40:$A$42,0))</f>
        <v>437793.596420956</v>
      </c>
      <c r="K1801" s="49" t="n">
        <f aca="false">H1801*INDEX('Model Inputs &amp; Assumptions'!$G$40:$G$42,MATCH('Model Inputs &amp; Assumptions'!$L$31,'Model Inputs &amp; Assumptions'!$A$40:$A$42,0))*INDEX('Model Inputs &amp; Assumptions'!$H$40:$H$42,MATCH('Model Inputs &amp; Assumptions'!$L$31,'Model Inputs &amp; Assumptions'!$A$40:$A$42,0))</f>
        <v>9653.34880108208</v>
      </c>
      <c r="L1801" s="51" t="n">
        <f aca="false">IFERROR(K1801/I1801,0)</f>
        <v>1.80475778881435</v>
      </c>
      <c r="M1801" s="49" t="n">
        <f aca="false">IFERROR(I1801/H1801,0)</f>
        <v>87.9674829409098</v>
      </c>
      <c r="N1801" s="52" t="str">
        <f aca="false">'Model Inputs &amp; Assumptions'!$L$31</f>
        <v>PRD-USIQ</v>
      </c>
      <c r="P1801" s="53" t="n">
        <v>0.075648</v>
      </c>
      <c r="Q1801" s="53" t="n">
        <v>-0.889862</v>
      </c>
      <c r="R1801" s="53" t="n">
        <v>1.460139</v>
      </c>
      <c r="S1801" s="53" t="n">
        <v>-0.153713</v>
      </c>
    </row>
    <row r="1802" customFormat="false" ht="15" hidden="false" customHeight="false" outlineLevel="0" collapsed="false">
      <c r="A1802" s="43" t="n">
        <v>299</v>
      </c>
      <c r="B1802" s="44" t="str">
        <f aca="false">'Model Inputs &amp; Assumptions'!$B$31</f>
        <v>YouTube — Finfluencer Pre-roll</v>
      </c>
      <c r="C1802" s="45" t="n">
        <f aca="false">ROUND(MAX(0,'Model Inputs &amp; Assumptions'!$S$31*EXP('Model Inputs &amp; Assumptions'!$T$31*P1802-'Model Inputs &amp; Assumptions'!$T$31^2/2)),0)</f>
        <v>616065</v>
      </c>
      <c r="D1802" s="46" t="n">
        <f aca="false">MIN(1,'Model Inputs &amp; Assumptions'!$U$31*EXP('Model Inputs &amp; Assumptions'!$V$31*Q1802-'Model Inputs &amp; Assumptions'!$V$31^2/2))</f>
        <v>0.625900102002374</v>
      </c>
      <c r="E1802" s="45" t="n">
        <f aca="false">ROUND(C1802*D1802,0)</f>
        <v>385595</v>
      </c>
      <c r="F1802" s="47" t="n">
        <f aca="false">MIN(1,'Model Inputs &amp; Assumptions'!$W$31*EXP('Model Inputs &amp; Assumptions'!$X$31*R1802-'Model Inputs &amp; Assumptions'!$X$31^2/2))</f>
        <v>0.00459320479307194</v>
      </c>
      <c r="G1802" s="45" t="n">
        <f aca="false">ROUND(C1802*F1802,0)</f>
        <v>2830</v>
      </c>
      <c r="H1802" s="48" t="n">
        <f aca="false">MAX(0,(C1802*'Model Inputs &amp; Assumptions'!$N$31+E1802*'Model Inputs &amp; Assumptions'!$O$31+G1802*'Model Inputs &amp; Assumptions'!$P$31)*EXP('Model Inputs &amp; Assumptions'!$Q$31*S1802-'Model Inputs &amp; Assumptions'!$Q$31^2/2))</f>
        <v>59.3568253543113</v>
      </c>
      <c r="I1802" s="49" t="n">
        <f aca="false">IF('Model Inputs &amp; Assumptions'!$H$31="Fixed",'Model Inputs &amp; Assumptions'!$I$31*'Model Inputs &amp; Assumptions'!$K$31,IF('Model Inputs &amp; Assumptions'!$H$31="CPM",'Model Inputs &amp; Assumptions'!$I$31*'Model Inputs &amp; Assumptions'!$K$31*C1802/1000,IF('Model Inputs &amp; Assumptions'!$H$31="CPC",'Model Inputs &amp; Assumptions'!$I$31*'Model Inputs &amp; Assumptions'!$K$31*G1802,0)))</f>
        <v>6989.87349</v>
      </c>
      <c r="J1802" s="50" t="n">
        <f aca="false">H1802*INDEX('Model Inputs &amp; Assumptions'!$D$40:$D$42,MATCH('Model Inputs &amp; Assumptions'!$L$31,'Model Inputs &amp; Assumptions'!$A$40:$A$42,0))*INDEX('Model Inputs &amp; Assumptions'!$H$40:$H$42,MATCH('Model Inputs &amp; Assumptions'!$L$31,'Model Inputs &amp; Assumptions'!$A$40:$A$42,0))</f>
        <v>427369.142551042</v>
      </c>
      <c r="K1802" s="49" t="n">
        <f aca="false">H1802*INDEX('Model Inputs &amp; Assumptions'!$G$40:$G$42,MATCH('Model Inputs &amp; Assumptions'!$L$31,'Model Inputs &amp; Assumptions'!$A$40:$A$42,0))*INDEX('Model Inputs &amp; Assumptions'!$H$40:$H$42,MATCH('Model Inputs &amp; Assumptions'!$L$31,'Model Inputs &amp; Assumptions'!$A$40:$A$42,0))</f>
        <v>9423.48959325047</v>
      </c>
      <c r="L1802" s="51" t="n">
        <f aca="false">IFERROR(K1802/I1802,0)</f>
        <v>1.34816311149724</v>
      </c>
      <c r="M1802" s="49" t="n">
        <f aca="false">IFERROR(I1802/H1802,0)</f>
        <v>117.760231418648</v>
      </c>
      <c r="N1802" s="52" t="str">
        <f aca="false">'Model Inputs &amp; Assumptions'!$L$31</f>
        <v>PRD-USIQ</v>
      </c>
      <c r="P1802" s="53" t="n">
        <v>1.031309</v>
      </c>
      <c r="Q1802" s="53" t="n">
        <v>0.491916</v>
      </c>
      <c r="R1802" s="53" t="n">
        <v>-0.233583</v>
      </c>
      <c r="S1802" s="53" t="n">
        <v>-0.427745</v>
      </c>
    </row>
    <row r="1803" customFormat="false" ht="15" hidden="false" customHeight="false" outlineLevel="0" collapsed="false">
      <c r="A1803" s="43" t="n">
        <v>300</v>
      </c>
      <c r="B1803" s="44" t="str">
        <f aca="false">'Model Inputs &amp; Assumptions'!$B$31</f>
        <v>YouTube — Finfluencer Pre-roll</v>
      </c>
      <c r="C1803" s="45" t="n">
        <f aca="false">ROUND(MAX(0,'Model Inputs &amp; Assumptions'!$S$31*EXP('Model Inputs &amp; Assumptions'!$T$31*P1803-'Model Inputs &amp; Assumptions'!$T$31^2/2)),0)</f>
        <v>435656</v>
      </c>
      <c r="D1803" s="46" t="n">
        <f aca="false">MIN(1,'Model Inputs &amp; Assumptions'!$U$31*EXP('Model Inputs &amp; Assumptions'!$V$31*Q1803-'Model Inputs &amp; Assumptions'!$V$31^2/2))</f>
        <v>0.586979641474118</v>
      </c>
      <c r="E1803" s="45" t="n">
        <f aca="false">ROUND(C1803*D1803,0)</f>
        <v>255721</v>
      </c>
      <c r="F1803" s="47" t="n">
        <f aca="false">MIN(1,'Model Inputs &amp; Assumptions'!$W$31*EXP('Model Inputs &amp; Assumptions'!$X$31*R1803-'Model Inputs &amp; Assumptions'!$X$31^2/2))</f>
        <v>0.00527969574726652</v>
      </c>
      <c r="G1803" s="45" t="n">
        <f aca="false">ROUND(C1803*F1803,0)</f>
        <v>2300</v>
      </c>
      <c r="H1803" s="48" t="n">
        <f aca="false">MAX(0,(C1803*'Model Inputs &amp; Assumptions'!$N$31+E1803*'Model Inputs &amp; Assumptions'!$O$31+G1803*'Model Inputs &amp; Assumptions'!$P$31)*EXP('Model Inputs &amp; Assumptions'!$Q$31*S1803-'Model Inputs &amp; Assumptions'!$Q$31^2/2))</f>
        <v>53.2721368930534</v>
      </c>
      <c r="I1803" s="49" t="n">
        <f aca="false">IF('Model Inputs &amp; Assumptions'!$H$31="Fixed",'Model Inputs &amp; Assumptions'!$I$31*'Model Inputs &amp; Assumptions'!$K$31,IF('Model Inputs &amp; Assumptions'!$H$31="CPM",'Model Inputs &amp; Assumptions'!$I$31*'Model Inputs &amp; Assumptions'!$K$31*C1803/1000,IF('Model Inputs &amp; Assumptions'!$H$31="CPC",'Model Inputs &amp; Assumptions'!$I$31*'Model Inputs &amp; Assumptions'!$K$31*G1803,0)))</f>
        <v>4942.952976</v>
      </c>
      <c r="J1803" s="50" t="n">
        <f aca="false">H1803*INDEX('Model Inputs &amp; Assumptions'!$D$40:$D$42,MATCH('Model Inputs &amp; Assumptions'!$L$31,'Model Inputs &amp; Assumptions'!$A$40:$A$42,0))*INDEX('Model Inputs &amp; Assumptions'!$H$40:$H$42,MATCH('Model Inputs &amp; Assumptions'!$L$31,'Model Inputs &amp; Assumptions'!$A$40:$A$42,0))</f>
        <v>383559.385629984</v>
      </c>
      <c r="K1803" s="49" t="n">
        <f aca="false">H1803*INDEX('Model Inputs &amp; Assumptions'!$G$40:$G$42,MATCH('Model Inputs &amp; Assumptions'!$L$31,'Model Inputs &amp; Assumptions'!$A$40:$A$42,0))*INDEX('Model Inputs &amp; Assumptions'!$H$40:$H$42,MATCH('Model Inputs &amp; Assumptions'!$L$31,'Model Inputs &amp; Assumptions'!$A$40:$A$42,0))</f>
        <v>8457.48445314116</v>
      </c>
      <c r="L1803" s="51" t="n">
        <f aca="false">IFERROR(K1803/I1803,0)</f>
        <v>1.71101859439198</v>
      </c>
      <c r="M1803" s="49" t="n">
        <f aca="false">IFERROR(I1803/H1803,0)</f>
        <v>92.7868350001284</v>
      </c>
      <c r="N1803" s="52" t="str">
        <f aca="false">'Model Inputs &amp; Assumptions'!$L$31</f>
        <v>PRD-USIQ</v>
      </c>
      <c r="P1803" s="53" t="n">
        <v>-0.206191</v>
      </c>
      <c r="Q1803" s="53" t="n">
        <v>0.03334</v>
      </c>
      <c r="R1803" s="53" t="n">
        <v>0.346794</v>
      </c>
      <c r="S1803" s="53" t="n">
        <v>0.086</v>
      </c>
    </row>
    <row r="1804" customFormat="false" ht="15" hidden="false" customHeight="false" outlineLevel="0" collapsed="false">
      <c r="A1804" s="43" t="n">
        <v>301</v>
      </c>
      <c r="B1804" s="44" t="str">
        <f aca="false">'Model Inputs &amp; Assumptions'!$B$31</f>
        <v>YouTube — Finfluencer Pre-roll</v>
      </c>
      <c r="C1804" s="45" t="n">
        <f aca="false">ROUND(MAX(0,'Model Inputs &amp; Assumptions'!$S$31*EXP('Model Inputs &amp; Assumptions'!$T$31*P1804-'Model Inputs &amp; Assumptions'!$T$31^2/2)),0)</f>
        <v>663440</v>
      </c>
      <c r="D1804" s="46" t="n">
        <f aca="false">MIN(1,'Model Inputs &amp; Assumptions'!$U$31*EXP('Model Inputs &amp; Assumptions'!$V$31*Q1804-'Model Inputs &amp; Assumptions'!$V$31^2/2))</f>
        <v>0.674978242419052</v>
      </c>
      <c r="E1804" s="45" t="n">
        <f aca="false">ROUND(C1804*D1804,0)</f>
        <v>447808</v>
      </c>
      <c r="F1804" s="47" t="n">
        <f aca="false">MIN(1,'Model Inputs &amp; Assumptions'!$W$31*EXP('Model Inputs &amp; Assumptions'!$X$31*R1804-'Model Inputs &amp; Assumptions'!$X$31^2/2))</f>
        <v>0.00618976444859761</v>
      </c>
      <c r="G1804" s="45" t="n">
        <f aca="false">ROUND(C1804*F1804,0)</f>
        <v>4107</v>
      </c>
      <c r="H1804" s="48" t="n">
        <f aca="false">MAX(0,(C1804*'Model Inputs &amp; Assumptions'!$N$31+E1804*'Model Inputs &amp; Assumptions'!$O$31+G1804*'Model Inputs &amp; Assumptions'!$P$31)*EXP('Model Inputs &amp; Assumptions'!$Q$31*S1804-'Model Inputs &amp; Assumptions'!$Q$31^2/2))</f>
        <v>174.56246207884</v>
      </c>
      <c r="I1804" s="49" t="n">
        <f aca="false">IF('Model Inputs &amp; Assumptions'!$H$31="Fixed",'Model Inputs &amp; Assumptions'!$I$31*'Model Inputs &amp; Assumptions'!$K$31,IF('Model Inputs &amp; Assumptions'!$H$31="CPM",'Model Inputs &amp; Assumptions'!$I$31*'Model Inputs &amp; Assumptions'!$K$31*C1804/1000,IF('Model Inputs &amp; Assumptions'!$H$31="CPC",'Model Inputs &amp; Assumptions'!$I$31*'Model Inputs &amp; Assumptions'!$K$31*G1804,0)))</f>
        <v>7527.39024</v>
      </c>
      <c r="J1804" s="50" t="n">
        <f aca="false">H1804*INDEX('Model Inputs &amp; Assumptions'!$D$40:$D$42,MATCH('Model Inputs &amp; Assumptions'!$L$31,'Model Inputs &amp; Assumptions'!$A$40:$A$42,0))*INDEX('Model Inputs &amp; Assumptions'!$H$40:$H$42,MATCH('Model Inputs &amp; Assumptions'!$L$31,'Model Inputs &amp; Assumptions'!$A$40:$A$42,0))</f>
        <v>1256849.72696765</v>
      </c>
      <c r="K1804" s="49" t="n">
        <f aca="false">H1804*INDEX('Model Inputs &amp; Assumptions'!$G$40:$G$42,MATCH('Model Inputs &amp; Assumptions'!$L$31,'Model Inputs &amp; Assumptions'!$A$40:$A$42,0))*INDEX('Model Inputs &amp; Assumptions'!$H$40:$H$42,MATCH('Model Inputs &amp; Assumptions'!$L$31,'Model Inputs &amp; Assumptions'!$A$40:$A$42,0))</f>
        <v>27713.5364796366</v>
      </c>
      <c r="L1804" s="51" t="n">
        <f aca="false">IFERROR(K1804/I1804,0)</f>
        <v>3.68169253832077</v>
      </c>
      <c r="M1804" s="49" t="n">
        <f aca="false">IFERROR(I1804/H1804,0)</f>
        <v>43.1214715372215</v>
      </c>
      <c r="N1804" s="52" t="str">
        <f aca="false">'Model Inputs &amp; Assumptions'!$L$31</f>
        <v>PRD-USIQ</v>
      </c>
      <c r="P1804" s="53" t="n">
        <v>1.2959</v>
      </c>
      <c r="Q1804" s="53" t="n">
        <v>1.031128</v>
      </c>
      <c r="R1804" s="53" t="n">
        <v>1.009413</v>
      </c>
      <c r="S1804" s="53" t="n">
        <v>1.841149</v>
      </c>
    </row>
    <row r="1805" customFormat="false" ht="15" hidden="false" customHeight="false" outlineLevel="0" collapsed="false">
      <c r="A1805" s="43" t="n">
        <v>302</v>
      </c>
      <c r="B1805" s="44" t="str">
        <f aca="false">'Model Inputs &amp; Assumptions'!$B$31</f>
        <v>YouTube — Finfluencer Pre-roll</v>
      </c>
      <c r="C1805" s="45" t="n">
        <f aca="false">ROUND(MAX(0,'Model Inputs &amp; Assumptions'!$S$31*EXP('Model Inputs &amp; Assumptions'!$T$31*P1805-'Model Inputs &amp; Assumptions'!$T$31^2/2)),0)</f>
        <v>344350</v>
      </c>
      <c r="D1805" s="46" t="n">
        <f aca="false">MIN(1,'Model Inputs &amp; Assumptions'!$U$31*EXP('Model Inputs &amp; Assumptions'!$V$31*Q1805-'Model Inputs &amp; Assumptions'!$V$31^2/2))</f>
        <v>0.579544492310423</v>
      </c>
      <c r="E1805" s="45" t="n">
        <f aca="false">ROUND(C1805*D1805,0)</f>
        <v>199566</v>
      </c>
      <c r="F1805" s="47" t="n">
        <f aca="false">MIN(1,'Model Inputs &amp; Assumptions'!$W$31*EXP('Model Inputs &amp; Assumptions'!$X$31*R1805-'Model Inputs &amp; Assumptions'!$X$31^2/2))</f>
        <v>0.0066084784115089</v>
      </c>
      <c r="G1805" s="45" t="n">
        <f aca="false">ROUND(C1805*F1805,0)</f>
        <v>2276</v>
      </c>
      <c r="H1805" s="48" t="n">
        <f aca="false">MAX(0,(C1805*'Model Inputs &amp; Assumptions'!$N$31+E1805*'Model Inputs &amp; Assumptions'!$O$31+G1805*'Model Inputs &amp; Assumptions'!$P$31)*EXP('Model Inputs &amp; Assumptions'!$Q$31*S1805-'Model Inputs &amp; Assumptions'!$Q$31^2/2))</f>
        <v>45.6904905388867</v>
      </c>
      <c r="I1805" s="49" t="n">
        <f aca="false">IF('Model Inputs &amp; Assumptions'!$H$31="Fixed",'Model Inputs &amp; Assumptions'!$I$31*'Model Inputs &amp; Assumptions'!$K$31,IF('Model Inputs &amp; Assumptions'!$H$31="CPM",'Model Inputs &amp; Assumptions'!$I$31*'Model Inputs &amp; Assumptions'!$K$31*C1805/1000,IF('Model Inputs &amp; Assumptions'!$H$31="CPC",'Model Inputs &amp; Assumptions'!$I$31*'Model Inputs &amp; Assumptions'!$K$31*G1805,0)))</f>
        <v>3906.9951</v>
      </c>
      <c r="J1805" s="50" t="n">
        <f aca="false">H1805*INDEX('Model Inputs &amp; Assumptions'!$D$40:$D$42,MATCH('Model Inputs &amp; Assumptions'!$L$31,'Model Inputs &amp; Assumptions'!$A$40:$A$42,0))*INDEX('Model Inputs &amp; Assumptions'!$H$40:$H$42,MATCH('Model Inputs &amp; Assumptions'!$L$31,'Model Inputs &amp; Assumptions'!$A$40:$A$42,0))</f>
        <v>328971.531879984</v>
      </c>
      <c r="K1805" s="49" t="n">
        <f aca="false">H1805*INDEX('Model Inputs &amp; Assumptions'!$G$40:$G$42,MATCH('Model Inputs &amp; Assumptions'!$L$31,'Model Inputs &amp; Assumptions'!$A$40:$A$42,0))*INDEX('Model Inputs &amp; Assumptions'!$H$40:$H$42,MATCH('Model Inputs &amp; Assumptions'!$L$31,'Model Inputs &amp; Assumptions'!$A$40:$A$42,0))</f>
        <v>7253.82227795365</v>
      </c>
      <c r="L1805" s="51" t="n">
        <f aca="false">IFERROR(K1805/I1805,0)</f>
        <v>1.85662436022857</v>
      </c>
      <c r="M1805" s="49" t="n">
        <f aca="false">IFERROR(I1805/H1805,0)</f>
        <v>85.5100274459693</v>
      </c>
      <c r="N1805" s="52" t="str">
        <f aca="false">'Model Inputs &amp; Assumptions'!$L$31</f>
        <v>PRD-USIQ</v>
      </c>
      <c r="P1805" s="53" t="n">
        <v>-1.046173</v>
      </c>
      <c r="Q1805" s="53" t="n">
        <v>-0.057715</v>
      </c>
      <c r="R1805" s="53" t="n">
        <v>1.282148</v>
      </c>
      <c r="S1805" s="53" t="n">
        <v>-0.088532</v>
      </c>
    </row>
    <row r="1806" customFormat="false" ht="15" hidden="false" customHeight="false" outlineLevel="0" collapsed="false">
      <c r="A1806" s="43" t="n">
        <v>303</v>
      </c>
      <c r="B1806" s="44" t="str">
        <f aca="false">'Model Inputs &amp; Assumptions'!$B$31</f>
        <v>YouTube — Finfluencer Pre-roll</v>
      </c>
      <c r="C1806" s="45" t="n">
        <f aca="false">ROUND(MAX(0,'Model Inputs &amp; Assumptions'!$S$31*EXP('Model Inputs &amp; Assumptions'!$T$31*P1806-'Model Inputs &amp; Assumptions'!$T$31^2/2)),0)</f>
        <v>371490</v>
      </c>
      <c r="D1806" s="46" t="n">
        <f aca="false">MIN(1,'Model Inputs &amp; Assumptions'!$U$31*EXP('Model Inputs &amp; Assumptions'!$V$31*Q1806-'Model Inputs &amp; Assumptions'!$V$31^2/2))</f>
        <v>0.561062808238204</v>
      </c>
      <c r="E1806" s="45" t="n">
        <f aca="false">ROUND(C1806*D1806,0)</f>
        <v>208429</v>
      </c>
      <c r="F1806" s="47" t="n">
        <f aca="false">MIN(1,'Model Inputs &amp; Assumptions'!$W$31*EXP('Model Inputs &amp; Assumptions'!$X$31*R1806-'Model Inputs &amp; Assumptions'!$X$31^2/2))</f>
        <v>0.00570102870109917</v>
      </c>
      <c r="G1806" s="45" t="n">
        <f aca="false">ROUND(C1806*F1806,0)</f>
        <v>2118</v>
      </c>
      <c r="H1806" s="48" t="n">
        <f aca="false">MAX(0,(C1806*'Model Inputs &amp; Assumptions'!$N$31+E1806*'Model Inputs &amp; Assumptions'!$O$31+G1806*'Model Inputs &amp; Assumptions'!$P$31)*EXP('Model Inputs &amp; Assumptions'!$Q$31*S1806-'Model Inputs &amp; Assumptions'!$Q$31^2/2))</f>
        <v>27.2856097328109</v>
      </c>
      <c r="I1806" s="49" t="n">
        <f aca="false">IF('Model Inputs &amp; Assumptions'!$H$31="Fixed",'Model Inputs &amp; Assumptions'!$I$31*'Model Inputs &amp; Assumptions'!$K$31,IF('Model Inputs &amp; Assumptions'!$H$31="CPM",'Model Inputs &amp; Assumptions'!$I$31*'Model Inputs &amp; Assumptions'!$K$31*C1806/1000,IF('Model Inputs &amp; Assumptions'!$H$31="CPC",'Model Inputs &amp; Assumptions'!$I$31*'Model Inputs &amp; Assumptions'!$K$31*G1806,0)))</f>
        <v>4214.92554</v>
      </c>
      <c r="J1806" s="50" t="n">
        <f aca="false">H1806*INDEX('Model Inputs &amp; Assumptions'!$D$40:$D$42,MATCH('Model Inputs &amp; Assumptions'!$L$31,'Model Inputs &amp; Assumptions'!$A$40:$A$42,0))*INDEX('Model Inputs &amp; Assumptions'!$H$40:$H$42,MATCH('Model Inputs &amp; Assumptions'!$L$31,'Model Inputs &amp; Assumptions'!$A$40:$A$42,0))</f>
        <v>196456.390076239</v>
      </c>
      <c r="K1806" s="49" t="n">
        <f aca="false">H1806*INDEX('Model Inputs &amp; Assumptions'!$G$40:$G$42,MATCH('Model Inputs &amp; Assumptions'!$L$31,'Model Inputs &amp; Assumptions'!$A$40:$A$42,0))*INDEX('Model Inputs &amp; Assumptions'!$H$40:$H$42,MATCH('Model Inputs &amp; Assumptions'!$L$31,'Model Inputs &amp; Assumptions'!$A$40:$A$42,0))</f>
        <v>4331.86340118106</v>
      </c>
      <c r="L1806" s="51" t="n">
        <f aca="false">IFERROR(K1806/I1806,0)</f>
        <v>1.0277437549184</v>
      </c>
      <c r="M1806" s="49" t="n">
        <f aca="false">IFERROR(I1806/H1806,0)</f>
        <v>154.474302801874</v>
      </c>
      <c r="N1806" s="52" t="str">
        <f aca="false">'Model Inputs &amp; Assumptions'!$L$31</f>
        <v>PRD-USIQ</v>
      </c>
      <c r="P1806" s="53" t="n">
        <v>-0.77523</v>
      </c>
      <c r="Q1806" s="53" t="n">
        <v>-0.289212</v>
      </c>
      <c r="R1806" s="53" t="n">
        <v>0.666703</v>
      </c>
      <c r="S1806" s="53" t="n">
        <v>-1.465159</v>
      </c>
    </row>
    <row r="1807" customFormat="false" ht="15" hidden="false" customHeight="false" outlineLevel="0" collapsed="false">
      <c r="A1807" s="43" t="n">
        <v>304</v>
      </c>
      <c r="B1807" s="44" t="str">
        <f aca="false">'Model Inputs &amp; Assumptions'!$B$31</f>
        <v>YouTube — Finfluencer Pre-roll</v>
      </c>
      <c r="C1807" s="45" t="n">
        <f aca="false">ROUND(MAX(0,'Model Inputs &amp; Assumptions'!$S$31*EXP('Model Inputs &amp; Assumptions'!$T$31*P1807-'Model Inputs &amp; Assumptions'!$T$31^2/2)),0)</f>
        <v>451220</v>
      </c>
      <c r="D1807" s="46" t="n">
        <f aca="false">MIN(1,'Model Inputs &amp; Assumptions'!$U$31*EXP('Model Inputs &amp; Assumptions'!$V$31*Q1807-'Model Inputs &amp; Assumptions'!$V$31^2/2))</f>
        <v>0.479930497671291</v>
      </c>
      <c r="E1807" s="45" t="n">
        <f aca="false">ROUND(C1807*D1807,0)</f>
        <v>216554</v>
      </c>
      <c r="F1807" s="47" t="n">
        <f aca="false">MIN(1,'Model Inputs &amp; Assumptions'!$W$31*EXP('Model Inputs &amp; Assumptions'!$X$31*R1807-'Model Inputs &amp; Assumptions'!$X$31^2/2))</f>
        <v>0.00368500776353965</v>
      </c>
      <c r="G1807" s="45" t="n">
        <f aca="false">ROUND(C1807*F1807,0)</f>
        <v>1663</v>
      </c>
      <c r="H1807" s="48" t="n">
        <f aca="false">MAX(0,(C1807*'Model Inputs &amp; Assumptions'!$N$31+E1807*'Model Inputs &amp; Assumptions'!$O$31+G1807*'Model Inputs &amp; Assumptions'!$P$31)*EXP('Model Inputs &amp; Assumptions'!$Q$31*S1807-'Model Inputs &amp; Assumptions'!$Q$31^2/2))</f>
        <v>58.7607125330303</v>
      </c>
      <c r="I1807" s="49" t="n">
        <f aca="false">IF('Model Inputs &amp; Assumptions'!$H$31="Fixed",'Model Inputs &amp; Assumptions'!$I$31*'Model Inputs &amp; Assumptions'!$K$31,IF('Model Inputs &amp; Assumptions'!$H$31="CPM",'Model Inputs &amp; Assumptions'!$I$31*'Model Inputs &amp; Assumptions'!$K$31*C1807/1000,IF('Model Inputs &amp; Assumptions'!$H$31="CPC",'Model Inputs &amp; Assumptions'!$I$31*'Model Inputs &amp; Assumptions'!$K$31*G1807,0)))</f>
        <v>5119.54212</v>
      </c>
      <c r="J1807" s="50" t="n">
        <f aca="false">H1807*INDEX('Model Inputs &amp; Assumptions'!$D$40:$D$42,MATCH('Model Inputs &amp; Assumptions'!$L$31,'Model Inputs &amp; Assumptions'!$A$40:$A$42,0))*INDEX('Model Inputs &amp; Assumptions'!$H$40:$H$42,MATCH('Model Inputs &amp; Assumptions'!$L$31,'Model Inputs &amp; Assumptions'!$A$40:$A$42,0))</f>
        <v>423077.130237818</v>
      </c>
      <c r="K1807" s="49" t="n">
        <f aca="false">H1807*INDEX('Model Inputs &amp; Assumptions'!$G$40:$G$42,MATCH('Model Inputs &amp; Assumptions'!$L$31,'Model Inputs &amp; Assumptions'!$A$40:$A$42,0))*INDEX('Model Inputs &amp; Assumptions'!$H$40:$H$42,MATCH('Model Inputs &amp; Assumptions'!$L$31,'Model Inputs &amp; Assumptions'!$A$40:$A$42,0))</f>
        <v>9328.85072174388</v>
      </c>
      <c r="L1807" s="51" t="n">
        <f aca="false">IFERROR(K1807/I1807,0)</f>
        <v>1.82220411573523</v>
      </c>
      <c r="M1807" s="49" t="n">
        <f aca="false">IFERROR(I1807/H1807,0)</f>
        <v>87.1252559628549</v>
      </c>
      <c r="N1807" s="52" t="str">
        <f aca="false">'Model Inputs &amp; Assumptions'!$L$31</f>
        <v>PRD-USIQ</v>
      </c>
      <c r="P1807" s="53" t="n">
        <v>-0.080825</v>
      </c>
      <c r="Q1807" s="53" t="n">
        <v>-1.404866</v>
      </c>
      <c r="R1807" s="53" t="n">
        <v>-1.151522</v>
      </c>
      <c r="S1807" s="53" t="n">
        <v>1.116177</v>
      </c>
    </row>
    <row r="1808" customFormat="false" ht="15" hidden="false" customHeight="false" outlineLevel="0" collapsed="false">
      <c r="A1808" s="43" t="n">
        <v>305</v>
      </c>
      <c r="B1808" s="44" t="str">
        <f aca="false">'Model Inputs &amp; Assumptions'!$B$31</f>
        <v>YouTube — Finfluencer Pre-roll</v>
      </c>
      <c r="C1808" s="45" t="n">
        <f aca="false">ROUND(MAX(0,'Model Inputs &amp; Assumptions'!$S$31*EXP('Model Inputs &amp; Assumptions'!$T$31*P1808-'Model Inputs &amp; Assumptions'!$T$31^2/2)),0)</f>
        <v>804852</v>
      </c>
      <c r="D1808" s="46" t="n">
        <f aca="false">MIN(1,'Model Inputs &amp; Assumptions'!$U$31*EXP('Model Inputs &amp; Assumptions'!$V$31*Q1808-'Model Inputs &amp; Assumptions'!$V$31^2/2))</f>
        <v>0.649033346603663</v>
      </c>
      <c r="E1808" s="45" t="n">
        <f aca="false">ROUND(C1808*D1808,0)</f>
        <v>522376</v>
      </c>
      <c r="F1808" s="47" t="n">
        <f aca="false">MIN(1,'Model Inputs &amp; Assumptions'!$W$31*EXP('Model Inputs &amp; Assumptions'!$X$31*R1808-'Model Inputs &amp; Assumptions'!$X$31^2/2))</f>
        <v>0.0042790681864058</v>
      </c>
      <c r="G1808" s="45" t="n">
        <f aca="false">ROUND(C1808*F1808,0)</f>
        <v>3444</v>
      </c>
      <c r="H1808" s="48" t="n">
        <f aca="false">MAX(0,(C1808*'Model Inputs &amp; Assumptions'!$N$31+E1808*'Model Inputs &amp; Assumptions'!$O$31+G1808*'Model Inputs &amp; Assumptions'!$P$31)*EXP('Model Inputs &amp; Assumptions'!$Q$31*S1808-'Model Inputs &amp; Assumptions'!$Q$31^2/2))</f>
        <v>92.4088580111168</v>
      </c>
      <c r="I1808" s="49" t="n">
        <f aca="false">IF('Model Inputs &amp; Assumptions'!$H$31="Fixed",'Model Inputs &amp; Assumptions'!$I$31*'Model Inputs &amp; Assumptions'!$K$31,IF('Model Inputs &amp; Assumptions'!$H$31="CPM",'Model Inputs &amp; Assumptions'!$I$31*'Model Inputs &amp; Assumptions'!$K$31*C1808/1000,IF('Model Inputs &amp; Assumptions'!$H$31="CPC",'Model Inputs &amp; Assumptions'!$I$31*'Model Inputs &amp; Assumptions'!$K$31*G1808,0)))</f>
        <v>9131.850792</v>
      </c>
      <c r="J1808" s="50" t="n">
        <f aca="false">H1808*INDEX('Model Inputs &amp; Assumptions'!$D$40:$D$42,MATCH('Model Inputs &amp; Assumptions'!$L$31,'Model Inputs &amp; Assumptions'!$A$40:$A$42,0))*INDEX('Model Inputs &amp; Assumptions'!$H$40:$H$42,MATCH('Model Inputs &amp; Assumptions'!$L$31,'Model Inputs &amp; Assumptions'!$A$40:$A$42,0))</f>
        <v>665343.777680041</v>
      </c>
      <c r="K1808" s="49" t="n">
        <f aca="false">H1808*INDEX('Model Inputs &amp; Assumptions'!$G$40:$G$42,MATCH('Model Inputs &amp; Assumptions'!$L$31,'Model Inputs &amp; Assumptions'!$A$40:$A$42,0))*INDEX('Model Inputs &amp; Assumptions'!$H$40:$H$42,MATCH('Model Inputs &amp; Assumptions'!$L$31,'Model Inputs &amp; Assumptions'!$A$40:$A$42,0))</f>
        <v>14670.8302978449</v>
      </c>
      <c r="L1808" s="51" t="n">
        <f aca="false">IFERROR(K1808/I1808,0)</f>
        <v>1.60655606754956</v>
      </c>
      <c r="M1808" s="49" t="n">
        <f aca="false">IFERROR(I1808/H1808,0)</f>
        <v>98.8200805479215</v>
      </c>
      <c r="N1808" s="52" t="str">
        <f aca="false">'Model Inputs &amp; Assumptions'!$L$31</f>
        <v>PRD-USIQ</v>
      </c>
      <c r="P1808" s="53" t="n">
        <v>1.985974</v>
      </c>
      <c r="Q1808" s="53" t="n">
        <v>0.751154</v>
      </c>
      <c r="R1808" s="53" t="n">
        <v>-0.528761</v>
      </c>
      <c r="S1808" s="53" t="n">
        <v>0.142987</v>
      </c>
    </row>
    <row r="1809" customFormat="false" ht="15" hidden="false" customHeight="false" outlineLevel="0" collapsed="false">
      <c r="A1809" s="43" t="n">
        <v>306</v>
      </c>
      <c r="B1809" s="44" t="str">
        <f aca="false">'Model Inputs &amp; Assumptions'!$B$31</f>
        <v>YouTube — Finfluencer Pre-roll</v>
      </c>
      <c r="C1809" s="45" t="n">
        <f aca="false">ROUND(MAX(0,'Model Inputs &amp; Assumptions'!$S$31*EXP('Model Inputs &amp; Assumptions'!$T$31*P1809-'Model Inputs &amp; Assumptions'!$T$31^2/2)),0)</f>
        <v>414202</v>
      </c>
      <c r="D1809" s="46" t="n">
        <f aca="false">MIN(1,'Model Inputs &amp; Assumptions'!$U$31*EXP('Model Inputs &amp; Assumptions'!$V$31*Q1809-'Model Inputs &amp; Assumptions'!$V$31^2/2))</f>
        <v>0.829068977132216</v>
      </c>
      <c r="E1809" s="45" t="n">
        <f aca="false">ROUND(C1809*D1809,0)</f>
        <v>343402</v>
      </c>
      <c r="F1809" s="47" t="n">
        <f aca="false">MIN(1,'Model Inputs &amp; Assumptions'!$W$31*EXP('Model Inputs &amp; Assumptions'!$X$31*R1809-'Model Inputs &amp; Assumptions'!$X$31^2/2))</f>
        <v>0.00293966983032637</v>
      </c>
      <c r="G1809" s="45" t="n">
        <f aca="false">ROUND(C1809*F1809,0)</f>
        <v>1218</v>
      </c>
      <c r="H1809" s="48" t="n">
        <f aca="false">MAX(0,(C1809*'Model Inputs &amp; Assumptions'!$N$31+E1809*'Model Inputs &amp; Assumptions'!$O$31+G1809*'Model Inputs &amp; Assumptions'!$P$31)*EXP('Model Inputs &amp; Assumptions'!$Q$31*S1809-'Model Inputs &amp; Assumptions'!$Q$31^2/2))</f>
        <v>28.1316790852158</v>
      </c>
      <c r="I1809" s="49" t="n">
        <f aca="false">IF('Model Inputs &amp; Assumptions'!$H$31="Fixed",'Model Inputs &amp; Assumptions'!$I$31*'Model Inputs &amp; Assumptions'!$K$31,IF('Model Inputs &amp; Assumptions'!$H$31="CPM",'Model Inputs &amp; Assumptions'!$I$31*'Model Inputs &amp; Assumptions'!$K$31*C1809/1000,IF('Model Inputs &amp; Assumptions'!$H$31="CPC",'Model Inputs &amp; Assumptions'!$I$31*'Model Inputs &amp; Assumptions'!$K$31*G1809,0)))</f>
        <v>4699.535892</v>
      </c>
      <c r="J1809" s="50" t="n">
        <f aca="false">H1809*INDEX('Model Inputs &amp; Assumptions'!$D$40:$D$42,MATCH('Model Inputs &amp; Assumptions'!$L$31,'Model Inputs &amp; Assumptions'!$A$40:$A$42,0))*INDEX('Model Inputs &amp; Assumptions'!$H$40:$H$42,MATCH('Model Inputs &amp; Assumptions'!$L$31,'Model Inputs &amp; Assumptions'!$A$40:$A$42,0))</f>
        <v>202548.089413554</v>
      </c>
      <c r="K1809" s="49" t="n">
        <f aca="false">H1809*INDEX('Model Inputs &amp; Assumptions'!$G$40:$G$42,MATCH('Model Inputs &amp; Assumptions'!$L$31,'Model Inputs &amp; Assumptions'!$A$40:$A$42,0))*INDEX('Model Inputs &amp; Assumptions'!$H$40:$H$42,MATCH('Model Inputs &amp; Assumptions'!$L$31,'Model Inputs &amp; Assumptions'!$A$40:$A$42,0))</f>
        <v>4466.18537156887</v>
      </c>
      <c r="L1809" s="51" t="n">
        <f aca="false">IFERROR(K1809/I1809,0)</f>
        <v>0.950346049951791</v>
      </c>
      <c r="M1809" s="49" t="n">
        <f aca="false">IFERROR(I1809/H1809,0)</f>
        <v>167.054937523078</v>
      </c>
      <c r="N1809" s="52" t="str">
        <f aca="false">'Model Inputs &amp; Assumptions'!$L$31</f>
        <v>PRD-USIQ</v>
      </c>
      <c r="P1809" s="53" t="n">
        <v>-0.386545</v>
      </c>
      <c r="Q1809" s="53" t="n">
        <v>2.499863</v>
      </c>
      <c r="R1809" s="53" t="n">
        <v>-2.093086</v>
      </c>
      <c r="S1809" s="53" t="n">
        <v>-1.213926</v>
      </c>
    </row>
    <row r="1810" customFormat="false" ht="15" hidden="false" customHeight="false" outlineLevel="0" collapsed="false">
      <c r="A1810" s="43" t="n">
        <v>307</v>
      </c>
      <c r="B1810" s="44" t="str">
        <f aca="false">'Model Inputs &amp; Assumptions'!$B$31</f>
        <v>YouTube — Finfluencer Pre-roll</v>
      </c>
      <c r="C1810" s="45" t="n">
        <f aca="false">ROUND(MAX(0,'Model Inputs &amp; Assumptions'!$S$31*EXP('Model Inputs &amp; Assumptions'!$T$31*P1810-'Model Inputs &amp; Assumptions'!$T$31^2/2)),0)</f>
        <v>366610</v>
      </c>
      <c r="D1810" s="46" t="n">
        <f aca="false">MIN(1,'Model Inputs &amp; Assumptions'!$U$31*EXP('Model Inputs &amp; Assumptions'!$V$31*Q1810-'Model Inputs &amp; Assumptions'!$V$31^2/2))</f>
        <v>0.551495984105345</v>
      </c>
      <c r="E1810" s="45" t="n">
        <f aca="false">ROUND(C1810*D1810,0)</f>
        <v>202184</v>
      </c>
      <c r="F1810" s="47" t="n">
        <f aca="false">MIN(1,'Model Inputs &amp; Assumptions'!$W$31*EXP('Model Inputs &amp; Assumptions'!$X$31*R1810-'Model Inputs &amp; Assumptions'!$X$31^2/2))</f>
        <v>0.00323833954534606</v>
      </c>
      <c r="G1810" s="45" t="n">
        <f aca="false">ROUND(C1810*F1810,0)</f>
        <v>1187</v>
      </c>
      <c r="H1810" s="48" t="n">
        <f aca="false">MAX(0,(C1810*'Model Inputs &amp; Assumptions'!$N$31+E1810*'Model Inputs &amp; Assumptions'!$O$31+G1810*'Model Inputs &amp; Assumptions'!$P$31)*EXP('Model Inputs &amp; Assumptions'!$Q$31*S1810-'Model Inputs &amp; Assumptions'!$Q$31^2/2))</f>
        <v>19.8041879125199</v>
      </c>
      <c r="I1810" s="49" t="n">
        <f aca="false">IF('Model Inputs &amp; Assumptions'!$H$31="Fixed",'Model Inputs &amp; Assumptions'!$I$31*'Model Inputs &amp; Assumptions'!$K$31,IF('Model Inputs &amp; Assumptions'!$H$31="CPM",'Model Inputs &amp; Assumptions'!$I$31*'Model Inputs &amp; Assumptions'!$K$31*C1810/1000,IF('Model Inputs &amp; Assumptions'!$H$31="CPC",'Model Inputs &amp; Assumptions'!$I$31*'Model Inputs &amp; Assumptions'!$K$31*G1810,0)))</f>
        <v>4159.55706</v>
      </c>
      <c r="J1810" s="50" t="n">
        <f aca="false">H1810*INDEX('Model Inputs &amp; Assumptions'!$D$40:$D$42,MATCH('Model Inputs &amp; Assumptions'!$L$31,'Model Inputs &amp; Assumptions'!$A$40:$A$42,0))*INDEX('Model Inputs &amp; Assumptions'!$H$40:$H$42,MATCH('Model Inputs &amp; Assumptions'!$L$31,'Model Inputs &amp; Assumptions'!$A$40:$A$42,0))</f>
        <v>142590.152970143</v>
      </c>
      <c r="K1810" s="49" t="n">
        <f aca="false">H1810*INDEX('Model Inputs &amp; Assumptions'!$G$40:$G$42,MATCH('Model Inputs &amp; Assumptions'!$L$31,'Model Inputs &amp; Assumptions'!$A$40:$A$42,0))*INDEX('Model Inputs &amp; Assumptions'!$H$40:$H$42,MATCH('Model Inputs &amp; Assumptions'!$L$31,'Model Inputs &amp; Assumptions'!$A$40:$A$42,0))</f>
        <v>3144.11287299166</v>
      </c>
      <c r="L1810" s="51" t="n">
        <f aca="false">IFERROR(K1810/I1810,0)</f>
        <v>0.755876846413945</v>
      </c>
      <c r="M1810" s="49" t="n">
        <f aca="false">IFERROR(I1810/H1810,0)</f>
        <v>210.034214903121</v>
      </c>
      <c r="N1810" s="52" t="str">
        <f aca="false">'Model Inputs &amp; Assumptions'!$L$31</f>
        <v>PRD-USIQ</v>
      </c>
      <c r="P1810" s="53" t="n">
        <v>-0.822459</v>
      </c>
      <c r="Q1810" s="53" t="n">
        <v>-0.412057</v>
      </c>
      <c r="R1810" s="53" t="n">
        <v>-1.689905</v>
      </c>
      <c r="S1810" s="53" t="n">
        <v>-1.367487</v>
      </c>
    </row>
    <row r="1811" customFormat="false" ht="15" hidden="false" customHeight="false" outlineLevel="0" collapsed="false">
      <c r="A1811" s="43" t="n">
        <v>308</v>
      </c>
      <c r="B1811" s="44" t="str">
        <f aca="false">'Model Inputs &amp; Assumptions'!$B$31</f>
        <v>YouTube — Finfluencer Pre-roll</v>
      </c>
      <c r="C1811" s="45" t="n">
        <f aca="false">ROUND(MAX(0,'Model Inputs &amp; Assumptions'!$S$31*EXP('Model Inputs &amp; Assumptions'!$T$31*P1811-'Model Inputs &amp; Assumptions'!$T$31^2/2)),0)</f>
        <v>436421</v>
      </c>
      <c r="D1811" s="46" t="n">
        <f aca="false">MIN(1,'Model Inputs &amp; Assumptions'!$U$31*EXP('Model Inputs &amp; Assumptions'!$V$31*Q1811-'Model Inputs &amp; Assumptions'!$V$31^2/2))</f>
        <v>0.626209848955723</v>
      </c>
      <c r="E1811" s="45" t="n">
        <f aca="false">ROUND(C1811*D1811,0)</f>
        <v>273291</v>
      </c>
      <c r="F1811" s="47" t="n">
        <f aca="false">MIN(1,'Model Inputs &amp; Assumptions'!$W$31*EXP('Model Inputs &amp; Assumptions'!$X$31*R1811-'Model Inputs &amp; Assumptions'!$X$31^2/2))</f>
        <v>0.00462827316698066</v>
      </c>
      <c r="G1811" s="45" t="n">
        <f aca="false">ROUND(C1811*F1811,0)</f>
        <v>2020</v>
      </c>
      <c r="H1811" s="48" t="n">
        <f aca="false">MAX(0,(C1811*'Model Inputs &amp; Assumptions'!$N$31+E1811*'Model Inputs &amp; Assumptions'!$O$31+G1811*'Model Inputs &amp; Assumptions'!$P$31)*EXP('Model Inputs &amp; Assumptions'!$Q$31*S1811-'Model Inputs &amp; Assumptions'!$Q$31^2/2))</f>
        <v>38.6751548015521</v>
      </c>
      <c r="I1811" s="49" t="n">
        <f aca="false">IF('Model Inputs &amp; Assumptions'!$H$31="Fixed",'Model Inputs &amp; Assumptions'!$I$31*'Model Inputs &amp; Assumptions'!$K$31,IF('Model Inputs &amp; Assumptions'!$H$31="CPM",'Model Inputs &amp; Assumptions'!$I$31*'Model Inputs &amp; Assumptions'!$K$31*C1811/1000,IF('Model Inputs &amp; Assumptions'!$H$31="CPC",'Model Inputs &amp; Assumptions'!$I$31*'Model Inputs &amp; Assumptions'!$K$31*G1811,0)))</f>
        <v>4951.632666</v>
      </c>
      <c r="J1811" s="50" t="n">
        <f aca="false">H1811*INDEX('Model Inputs &amp; Assumptions'!$D$40:$D$42,MATCH('Model Inputs &amp; Assumptions'!$L$31,'Model Inputs &amp; Assumptions'!$A$40:$A$42,0))*INDEX('Model Inputs &amp; Assumptions'!$H$40:$H$42,MATCH('Model Inputs &amp; Assumptions'!$L$31,'Model Inputs &amp; Assumptions'!$A$40:$A$42,0))</f>
        <v>278461.114571175</v>
      </c>
      <c r="K1811" s="49" t="n">
        <f aca="false">H1811*INDEX('Model Inputs &amp; Assumptions'!$G$40:$G$42,MATCH('Model Inputs &amp; Assumptions'!$L$31,'Model Inputs &amp; Assumptions'!$A$40:$A$42,0))*INDEX('Model Inputs &amp; Assumptions'!$H$40:$H$42,MATCH('Model Inputs &amp; Assumptions'!$L$31,'Model Inputs &amp; Assumptions'!$A$40:$A$42,0))</f>
        <v>6140.06757629441</v>
      </c>
      <c r="L1811" s="51" t="n">
        <f aca="false">IFERROR(K1811/I1811,0)</f>
        <v>1.24000869823295</v>
      </c>
      <c r="M1811" s="49" t="n">
        <f aca="false">IFERROR(I1811/H1811,0)</f>
        <v>128.031359962424</v>
      </c>
      <c r="N1811" s="52" t="str">
        <f aca="false">'Model Inputs &amp; Assumptions'!$L$31</f>
        <v>PRD-USIQ</v>
      </c>
      <c r="P1811" s="53" t="n">
        <v>-0.199924</v>
      </c>
      <c r="Q1811" s="53" t="n">
        <v>0.49545</v>
      </c>
      <c r="R1811" s="53" t="n">
        <v>-0.201892</v>
      </c>
      <c r="S1811" s="53" t="n">
        <v>-0.679804</v>
      </c>
    </row>
    <row r="1812" customFormat="false" ht="15" hidden="false" customHeight="false" outlineLevel="0" collapsed="false">
      <c r="A1812" s="43" t="n">
        <v>309</v>
      </c>
      <c r="B1812" s="44" t="str">
        <f aca="false">'Model Inputs &amp; Assumptions'!$B$31</f>
        <v>YouTube — Finfluencer Pre-roll</v>
      </c>
      <c r="C1812" s="45" t="n">
        <f aca="false">ROUND(MAX(0,'Model Inputs &amp; Assumptions'!$S$31*EXP('Model Inputs &amp; Assumptions'!$T$31*P1812-'Model Inputs &amp; Assumptions'!$T$31^2/2)),0)</f>
        <v>375795</v>
      </c>
      <c r="D1812" s="46" t="n">
        <f aca="false">MIN(1,'Model Inputs &amp; Assumptions'!$U$31*EXP('Model Inputs &amp; Assumptions'!$V$31*Q1812-'Model Inputs &amp; Assumptions'!$V$31^2/2))</f>
        <v>0.582045868743382</v>
      </c>
      <c r="E1812" s="45" t="n">
        <f aca="false">ROUND(C1812*D1812,0)</f>
        <v>218730</v>
      </c>
      <c r="F1812" s="47" t="n">
        <f aca="false">MIN(1,'Model Inputs &amp; Assumptions'!$W$31*EXP('Model Inputs &amp; Assumptions'!$X$31*R1812-'Model Inputs &amp; Assumptions'!$X$31^2/2))</f>
        <v>0.00431044795432966</v>
      </c>
      <c r="G1812" s="45" t="n">
        <f aca="false">ROUND(C1812*F1812,0)</f>
        <v>1620</v>
      </c>
      <c r="H1812" s="48" t="n">
        <f aca="false">MAX(0,(C1812*'Model Inputs &amp; Assumptions'!$N$31+E1812*'Model Inputs &amp; Assumptions'!$O$31+G1812*'Model Inputs &amp; Assumptions'!$P$31)*EXP('Model Inputs &amp; Assumptions'!$Q$31*S1812-'Model Inputs &amp; Assumptions'!$Q$31^2/2))</f>
        <v>53.7241145525472</v>
      </c>
      <c r="I1812" s="49" t="n">
        <f aca="false">IF('Model Inputs &amp; Assumptions'!$H$31="Fixed",'Model Inputs &amp; Assumptions'!$I$31*'Model Inputs &amp; Assumptions'!$K$31,IF('Model Inputs &amp; Assumptions'!$H$31="CPM",'Model Inputs &amp; Assumptions'!$I$31*'Model Inputs &amp; Assumptions'!$K$31*C1812/1000,IF('Model Inputs &amp; Assumptions'!$H$31="CPC",'Model Inputs &amp; Assumptions'!$I$31*'Model Inputs &amp; Assumptions'!$K$31*G1812,0)))</f>
        <v>4263.77007</v>
      </c>
      <c r="J1812" s="50" t="n">
        <f aca="false">H1812*INDEX('Model Inputs &amp; Assumptions'!$D$40:$D$42,MATCH('Model Inputs &amp; Assumptions'!$L$31,'Model Inputs &amp; Assumptions'!$A$40:$A$42,0))*INDEX('Model Inputs &amp; Assumptions'!$H$40:$H$42,MATCH('Model Inputs &amp; Assumptions'!$L$31,'Model Inputs &amp; Assumptions'!$A$40:$A$42,0))</f>
        <v>386813.62477834</v>
      </c>
      <c r="K1812" s="49" t="n">
        <f aca="false">H1812*INDEX('Model Inputs &amp; Assumptions'!$G$40:$G$42,MATCH('Model Inputs &amp; Assumptions'!$L$31,'Model Inputs &amp; Assumptions'!$A$40:$A$42,0))*INDEX('Model Inputs &amp; Assumptions'!$H$40:$H$42,MATCH('Model Inputs &amp; Assumptions'!$L$31,'Model Inputs &amp; Assumptions'!$A$40:$A$42,0))</f>
        <v>8529.2404263624</v>
      </c>
      <c r="L1812" s="51" t="n">
        <f aca="false">IFERROR(K1812/I1812,0)</f>
        <v>2.00039877534072</v>
      </c>
      <c r="M1812" s="49" t="n">
        <f aca="false">IFERROR(I1812/H1812,0)</f>
        <v>79.364175761885</v>
      </c>
      <c r="N1812" s="52" t="str">
        <f aca="false">'Model Inputs &amp; Assumptions'!$L$31</f>
        <v>PRD-USIQ</v>
      </c>
      <c r="P1812" s="53" t="n">
        <v>-0.734083</v>
      </c>
      <c r="Q1812" s="53" t="n">
        <v>-0.026952</v>
      </c>
      <c r="R1812" s="53" t="n">
        <v>-0.498317</v>
      </c>
      <c r="S1812" s="53" t="n">
        <v>0.892154</v>
      </c>
    </row>
    <row r="1813" customFormat="false" ht="15" hidden="false" customHeight="false" outlineLevel="0" collapsed="false">
      <c r="A1813" s="43" t="n">
        <v>310</v>
      </c>
      <c r="B1813" s="44" t="str">
        <f aca="false">'Model Inputs &amp; Assumptions'!$B$31</f>
        <v>YouTube — Finfluencer Pre-roll</v>
      </c>
      <c r="C1813" s="45" t="n">
        <f aca="false">ROUND(MAX(0,'Model Inputs &amp; Assumptions'!$S$31*EXP('Model Inputs &amp; Assumptions'!$T$31*P1813-'Model Inputs &amp; Assumptions'!$T$31^2/2)),0)</f>
        <v>328815</v>
      </c>
      <c r="D1813" s="46" t="n">
        <f aca="false">MIN(1,'Model Inputs &amp; Assumptions'!$U$31*EXP('Model Inputs &amp; Assumptions'!$V$31*Q1813-'Model Inputs &amp; Assumptions'!$V$31^2/2))</f>
        <v>0.677179919042875</v>
      </c>
      <c r="E1813" s="45" t="n">
        <f aca="false">ROUND(C1813*D1813,0)</f>
        <v>222667</v>
      </c>
      <c r="F1813" s="47" t="n">
        <f aca="false">MIN(1,'Model Inputs &amp; Assumptions'!$W$31*EXP('Model Inputs &amp; Assumptions'!$X$31*R1813-'Model Inputs &amp; Assumptions'!$X$31^2/2))</f>
        <v>0.00400823931942001</v>
      </c>
      <c r="G1813" s="45" t="n">
        <f aca="false">ROUND(C1813*F1813,0)</f>
        <v>1318</v>
      </c>
      <c r="H1813" s="48" t="n">
        <f aca="false">MAX(0,(C1813*'Model Inputs &amp; Assumptions'!$N$31+E1813*'Model Inputs &amp; Assumptions'!$O$31+G1813*'Model Inputs &amp; Assumptions'!$P$31)*EXP('Model Inputs &amp; Assumptions'!$Q$31*S1813-'Model Inputs &amp; Assumptions'!$Q$31^2/2))</f>
        <v>44.4661555001647</v>
      </c>
      <c r="I1813" s="49" t="n">
        <f aca="false">IF('Model Inputs &amp; Assumptions'!$H$31="Fixed",'Model Inputs &amp; Assumptions'!$I$31*'Model Inputs &amp; Assumptions'!$K$31,IF('Model Inputs &amp; Assumptions'!$H$31="CPM",'Model Inputs &amp; Assumptions'!$I$31*'Model Inputs &amp; Assumptions'!$K$31*C1813/1000,IF('Model Inputs &amp; Assumptions'!$H$31="CPC",'Model Inputs &amp; Assumptions'!$I$31*'Model Inputs &amp; Assumptions'!$K$31*G1813,0)))</f>
        <v>3730.73499</v>
      </c>
      <c r="J1813" s="50" t="n">
        <f aca="false">H1813*INDEX('Model Inputs &amp; Assumptions'!$D$40:$D$42,MATCH('Model Inputs &amp; Assumptions'!$L$31,'Model Inputs &amp; Assumptions'!$A$40:$A$42,0))*INDEX('Model Inputs &amp; Assumptions'!$H$40:$H$42,MATCH('Model Inputs &amp; Assumptions'!$L$31,'Model Inputs &amp; Assumptions'!$A$40:$A$42,0))</f>
        <v>320156.319601186</v>
      </c>
      <c r="K1813" s="49" t="n">
        <f aca="false">H1813*INDEX('Model Inputs &amp; Assumptions'!$G$40:$G$42,MATCH('Model Inputs &amp; Assumptions'!$L$31,'Model Inputs &amp; Assumptions'!$A$40:$A$42,0))*INDEX('Model Inputs &amp; Assumptions'!$H$40:$H$42,MATCH('Model Inputs &amp; Assumptions'!$L$31,'Model Inputs &amp; Assumptions'!$A$40:$A$42,0))</f>
        <v>7059.44684720614</v>
      </c>
      <c r="L1813" s="51" t="n">
        <f aca="false">IFERROR(K1813/I1813,0)</f>
        <v>1.89224023312525</v>
      </c>
      <c r="M1813" s="49" t="n">
        <f aca="false">IFERROR(I1813/H1813,0)</f>
        <v>83.9005519599324</v>
      </c>
      <c r="N1813" s="52" t="str">
        <f aca="false">'Model Inputs &amp; Assumptions'!$L$31</f>
        <v>PRD-USIQ</v>
      </c>
      <c r="P1813" s="53" t="n">
        <v>-1.211043</v>
      </c>
      <c r="Q1813" s="53" t="n">
        <v>1.054389</v>
      </c>
      <c r="R1813" s="53" t="n">
        <v>-0.801191</v>
      </c>
      <c r="S1813" s="53" t="n">
        <v>0.655477</v>
      </c>
    </row>
    <row r="1814" customFormat="false" ht="15" hidden="false" customHeight="false" outlineLevel="0" collapsed="false">
      <c r="A1814" s="43" t="n">
        <v>311</v>
      </c>
      <c r="B1814" s="44" t="str">
        <f aca="false">'Model Inputs &amp; Assumptions'!$B$31</f>
        <v>YouTube — Finfluencer Pre-roll</v>
      </c>
      <c r="C1814" s="45" t="n">
        <f aca="false">ROUND(MAX(0,'Model Inputs &amp; Assumptions'!$S$31*EXP('Model Inputs &amp; Assumptions'!$T$31*P1814-'Model Inputs &amp; Assumptions'!$T$31^2/2)),0)</f>
        <v>382773</v>
      </c>
      <c r="D1814" s="46" t="n">
        <f aca="false">MIN(1,'Model Inputs &amp; Assumptions'!$U$31*EXP('Model Inputs &amp; Assumptions'!$V$31*Q1814-'Model Inputs &amp; Assumptions'!$V$31^2/2))</f>
        <v>0.577695432786871</v>
      </c>
      <c r="E1814" s="45" t="n">
        <f aca="false">ROUND(C1814*D1814,0)</f>
        <v>221126</v>
      </c>
      <c r="F1814" s="47" t="n">
        <f aca="false">MIN(1,'Model Inputs &amp; Assumptions'!$W$31*EXP('Model Inputs &amp; Assumptions'!$X$31*R1814-'Model Inputs &amp; Assumptions'!$X$31^2/2))</f>
        <v>0.00333576377932357</v>
      </c>
      <c r="G1814" s="45" t="n">
        <f aca="false">ROUND(C1814*F1814,0)</f>
        <v>1277</v>
      </c>
      <c r="H1814" s="48" t="n">
        <f aca="false">MAX(0,(C1814*'Model Inputs &amp; Assumptions'!$N$31+E1814*'Model Inputs &amp; Assumptions'!$O$31+G1814*'Model Inputs &amp; Assumptions'!$P$31)*EXP('Model Inputs &amp; Assumptions'!$Q$31*S1814-'Model Inputs &amp; Assumptions'!$Q$31^2/2))</f>
        <v>23.8446469469718</v>
      </c>
      <c r="I1814" s="49" t="n">
        <f aca="false">IF('Model Inputs &amp; Assumptions'!$H$31="Fixed",'Model Inputs &amp; Assumptions'!$I$31*'Model Inputs &amp; Assumptions'!$K$31,IF('Model Inputs &amp; Assumptions'!$H$31="CPM",'Model Inputs &amp; Assumptions'!$I$31*'Model Inputs &amp; Assumptions'!$K$31*C1814/1000,IF('Model Inputs &amp; Assumptions'!$H$31="CPC",'Model Inputs &amp; Assumptions'!$I$31*'Model Inputs &amp; Assumptions'!$K$31*G1814,0)))</f>
        <v>4342.942458</v>
      </c>
      <c r="J1814" s="50" t="n">
        <f aca="false">H1814*INDEX('Model Inputs &amp; Assumptions'!$D$40:$D$42,MATCH('Model Inputs &amp; Assumptions'!$L$31,'Model Inputs &amp; Assumptions'!$A$40:$A$42,0))*INDEX('Model Inputs &amp; Assumptions'!$H$40:$H$42,MATCH('Model Inputs &amp; Assumptions'!$L$31,'Model Inputs &amp; Assumptions'!$A$40:$A$42,0))</f>
        <v>171681.458018197</v>
      </c>
      <c r="K1814" s="49" t="n">
        <f aca="false">H1814*INDEX('Model Inputs &amp; Assumptions'!$G$40:$G$42,MATCH('Model Inputs &amp; Assumptions'!$L$31,'Model Inputs &amp; Assumptions'!$A$40:$A$42,0))*INDEX('Model Inputs &amp; Assumptions'!$H$40:$H$42,MATCH('Model Inputs &amp; Assumptions'!$L$31,'Model Inputs &amp; Assumptions'!$A$40:$A$42,0))</f>
        <v>3785.57614930124</v>
      </c>
      <c r="L1814" s="51" t="n">
        <f aca="false">IFERROR(K1814/I1814,0)</f>
        <v>0.871661594854417</v>
      </c>
      <c r="M1814" s="49" t="n">
        <f aca="false">IFERROR(I1814/H1814,0)</f>
        <v>182.134902968297</v>
      </c>
      <c r="N1814" s="52" t="str">
        <f aca="false">'Model Inputs &amp; Assumptions'!$L$31</f>
        <v>PRD-USIQ</v>
      </c>
      <c r="P1814" s="53" t="n">
        <v>-0.668369</v>
      </c>
      <c r="Q1814" s="53" t="n">
        <v>-0.080541</v>
      </c>
      <c r="R1814" s="53" t="n">
        <v>-1.566401</v>
      </c>
      <c r="S1814" s="53" t="n">
        <v>-1.068321</v>
      </c>
    </row>
    <row r="1815" customFormat="false" ht="15" hidden="false" customHeight="false" outlineLevel="0" collapsed="false">
      <c r="A1815" s="43" t="n">
        <v>312</v>
      </c>
      <c r="B1815" s="44" t="str">
        <f aca="false">'Model Inputs &amp; Assumptions'!$B$31</f>
        <v>YouTube — Finfluencer Pre-roll</v>
      </c>
      <c r="C1815" s="45" t="n">
        <f aca="false">ROUND(MAX(0,'Model Inputs &amp; Assumptions'!$S$31*EXP('Model Inputs &amp; Assumptions'!$T$31*P1815-'Model Inputs &amp; Assumptions'!$T$31^2/2)),0)</f>
        <v>383057</v>
      </c>
      <c r="D1815" s="46" t="n">
        <f aca="false">MIN(1,'Model Inputs &amp; Assumptions'!$U$31*EXP('Model Inputs &amp; Assumptions'!$V$31*Q1815-'Model Inputs &amp; Assumptions'!$V$31^2/2))</f>
        <v>0.802788520024085</v>
      </c>
      <c r="E1815" s="45" t="n">
        <f aca="false">ROUND(C1815*D1815,0)</f>
        <v>307514</v>
      </c>
      <c r="F1815" s="47" t="n">
        <f aca="false">MIN(1,'Model Inputs &amp; Assumptions'!$W$31*EXP('Model Inputs &amp; Assumptions'!$X$31*R1815-'Model Inputs &amp; Assumptions'!$X$31^2/2))</f>
        <v>0.00575276145422882</v>
      </c>
      <c r="G1815" s="45" t="n">
        <f aca="false">ROUND(C1815*F1815,0)</f>
        <v>2204</v>
      </c>
      <c r="H1815" s="48" t="n">
        <f aca="false">MAX(0,(C1815*'Model Inputs &amp; Assumptions'!$N$31+E1815*'Model Inputs &amp; Assumptions'!$O$31+G1815*'Model Inputs &amp; Assumptions'!$P$31)*EXP('Model Inputs &amp; Assumptions'!$Q$31*S1815-'Model Inputs &amp; Assumptions'!$Q$31^2/2))</f>
        <v>69.6832808686346</v>
      </c>
      <c r="I1815" s="49" t="n">
        <f aca="false">IF('Model Inputs &amp; Assumptions'!$H$31="Fixed",'Model Inputs &amp; Assumptions'!$I$31*'Model Inputs &amp; Assumptions'!$K$31,IF('Model Inputs &amp; Assumptions'!$H$31="CPM",'Model Inputs &amp; Assumptions'!$I$31*'Model Inputs &amp; Assumptions'!$K$31*C1815/1000,IF('Model Inputs &amp; Assumptions'!$H$31="CPC",'Model Inputs &amp; Assumptions'!$I$31*'Model Inputs &amp; Assumptions'!$K$31*G1815,0)))</f>
        <v>4346.164722</v>
      </c>
      <c r="J1815" s="50" t="n">
        <f aca="false">H1815*INDEX('Model Inputs &amp; Assumptions'!$D$40:$D$42,MATCH('Model Inputs &amp; Assumptions'!$L$31,'Model Inputs &amp; Assumptions'!$A$40:$A$42,0))*INDEX('Model Inputs &amp; Assumptions'!$H$40:$H$42,MATCH('Model Inputs &amp; Assumptions'!$L$31,'Model Inputs &amp; Assumptions'!$A$40:$A$42,0))</f>
        <v>501719.622254169</v>
      </c>
      <c r="K1815" s="49" t="n">
        <f aca="false">H1815*INDEX('Model Inputs &amp; Assumptions'!$G$40:$G$42,MATCH('Model Inputs &amp; Assumptions'!$L$31,'Model Inputs &amp; Assumptions'!$A$40:$A$42,0))*INDEX('Model Inputs &amp; Assumptions'!$H$40:$H$42,MATCH('Model Inputs &amp; Assumptions'!$L$31,'Model Inputs &amp; Assumptions'!$A$40:$A$42,0))</f>
        <v>11062.9176707044</v>
      </c>
      <c r="L1815" s="51" t="n">
        <f aca="false">IFERROR(K1815/I1815,0)</f>
        <v>2.54544371378854</v>
      </c>
      <c r="M1815" s="49" t="n">
        <f aca="false">IFERROR(I1815/H1815,0)</f>
        <v>62.3702654040257</v>
      </c>
      <c r="N1815" s="52" t="str">
        <f aca="false">'Model Inputs &amp; Assumptions'!$L$31</f>
        <v>PRD-USIQ</v>
      </c>
      <c r="P1815" s="53" t="n">
        <v>-0.665727</v>
      </c>
      <c r="Q1815" s="53" t="n">
        <v>2.269777</v>
      </c>
      <c r="R1815" s="53" t="n">
        <v>0.704342</v>
      </c>
      <c r="S1815" s="53" t="n">
        <v>0.716078</v>
      </c>
    </row>
    <row r="1816" customFormat="false" ht="15" hidden="false" customHeight="false" outlineLevel="0" collapsed="false">
      <c r="A1816" s="43" t="n">
        <v>313</v>
      </c>
      <c r="B1816" s="44" t="str">
        <f aca="false">'Model Inputs &amp; Assumptions'!$B$31</f>
        <v>YouTube — Finfluencer Pre-roll</v>
      </c>
      <c r="C1816" s="45" t="n">
        <f aca="false">ROUND(MAX(0,'Model Inputs &amp; Assumptions'!$S$31*EXP('Model Inputs &amp; Assumptions'!$T$31*P1816-'Model Inputs &amp; Assumptions'!$T$31^2/2)),0)</f>
        <v>567005</v>
      </c>
      <c r="D1816" s="46" t="n">
        <f aca="false">MIN(1,'Model Inputs &amp; Assumptions'!$U$31*EXP('Model Inputs &amp; Assumptions'!$V$31*Q1816-'Model Inputs &amp; Assumptions'!$V$31^2/2))</f>
        <v>0.493060022882142</v>
      </c>
      <c r="E1816" s="45" t="n">
        <f aca="false">ROUND(C1816*D1816,0)</f>
        <v>279567</v>
      </c>
      <c r="F1816" s="47" t="n">
        <f aca="false">MIN(1,'Model Inputs &amp; Assumptions'!$W$31*EXP('Model Inputs &amp; Assumptions'!$X$31*R1816-'Model Inputs &amp; Assumptions'!$X$31^2/2))</f>
        <v>0.00545663201541094</v>
      </c>
      <c r="G1816" s="45" t="n">
        <f aca="false">ROUND(C1816*F1816,0)</f>
        <v>3094</v>
      </c>
      <c r="H1816" s="48" t="n">
        <f aca="false">MAX(0,(C1816*'Model Inputs &amp; Assumptions'!$N$31+E1816*'Model Inputs &amp; Assumptions'!$O$31+G1816*'Model Inputs &amp; Assumptions'!$P$31)*EXP('Model Inputs &amp; Assumptions'!$Q$31*S1816-'Model Inputs &amp; Assumptions'!$Q$31^2/2))</f>
        <v>95.616527915258</v>
      </c>
      <c r="I1816" s="49" t="n">
        <f aca="false">IF('Model Inputs &amp; Assumptions'!$H$31="Fixed",'Model Inputs &amp; Assumptions'!$I$31*'Model Inputs &amp; Assumptions'!$K$31,IF('Model Inputs &amp; Assumptions'!$H$31="CPM",'Model Inputs &amp; Assumptions'!$I$31*'Model Inputs &amp; Assumptions'!$K$31*C1816/1000,IF('Model Inputs &amp; Assumptions'!$H$31="CPC",'Model Inputs &amp; Assumptions'!$I$31*'Model Inputs &amp; Assumptions'!$K$31*G1816,0)))</f>
        <v>6433.23873</v>
      </c>
      <c r="J1816" s="50" t="n">
        <f aca="false">H1816*INDEX('Model Inputs &amp; Assumptions'!$D$40:$D$42,MATCH('Model Inputs &amp; Assumptions'!$L$31,'Model Inputs &amp; Assumptions'!$A$40:$A$42,0))*INDEX('Model Inputs &amp; Assumptions'!$H$40:$H$42,MATCH('Model Inputs &amp; Assumptions'!$L$31,'Model Inputs &amp; Assumptions'!$A$40:$A$42,0))</f>
        <v>688439.000989858</v>
      </c>
      <c r="K1816" s="49" t="n">
        <f aca="false">H1816*INDEX('Model Inputs &amp; Assumptions'!$G$40:$G$42,MATCH('Model Inputs &amp; Assumptions'!$L$31,'Model Inputs &amp; Assumptions'!$A$40:$A$42,0))*INDEX('Model Inputs &amp; Assumptions'!$H$40:$H$42,MATCH('Model Inputs &amp; Assumptions'!$L$31,'Model Inputs &amp; Assumptions'!$A$40:$A$42,0))</f>
        <v>15180.0799718264</v>
      </c>
      <c r="L1816" s="51" t="n">
        <f aca="false">IFERROR(K1816/I1816,0)</f>
        <v>2.35963262190744</v>
      </c>
      <c r="M1816" s="49" t="n">
        <f aca="false">IFERROR(I1816/H1816,0)</f>
        <v>67.2816600881135</v>
      </c>
      <c r="N1816" s="52" t="str">
        <f aca="false">'Model Inputs &amp; Assumptions'!$L$31</f>
        <v>PRD-USIQ</v>
      </c>
      <c r="P1816" s="53" t="n">
        <v>0.734938</v>
      </c>
      <c r="Q1816" s="53" t="n">
        <v>-1.212083</v>
      </c>
      <c r="R1816" s="53" t="n">
        <v>0.484141</v>
      </c>
      <c r="S1816" s="53" t="n">
        <v>1.116429</v>
      </c>
    </row>
    <row r="1817" customFormat="false" ht="15" hidden="false" customHeight="false" outlineLevel="0" collapsed="false">
      <c r="A1817" s="43" t="n">
        <v>314</v>
      </c>
      <c r="B1817" s="44" t="str">
        <f aca="false">'Model Inputs &amp; Assumptions'!$B$31</f>
        <v>YouTube — Finfluencer Pre-roll</v>
      </c>
      <c r="C1817" s="45" t="n">
        <f aca="false">ROUND(MAX(0,'Model Inputs &amp; Assumptions'!$S$31*EXP('Model Inputs &amp; Assumptions'!$T$31*P1817-'Model Inputs &amp; Assumptions'!$T$31^2/2)),0)</f>
        <v>300536</v>
      </c>
      <c r="D1817" s="46" t="n">
        <f aca="false">MIN(1,'Model Inputs &amp; Assumptions'!$U$31*EXP('Model Inputs &amp; Assumptions'!$V$31*Q1817-'Model Inputs &amp; Assumptions'!$V$31^2/2))</f>
        <v>0.447740532855704</v>
      </c>
      <c r="E1817" s="45" t="n">
        <f aca="false">ROUND(C1817*D1817,0)</f>
        <v>134562</v>
      </c>
      <c r="F1817" s="47" t="n">
        <f aca="false">MIN(1,'Model Inputs &amp; Assumptions'!$W$31*EXP('Model Inputs &amp; Assumptions'!$X$31*R1817-'Model Inputs &amp; Assumptions'!$X$31^2/2))</f>
        <v>0.00689785319777051</v>
      </c>
      <c r="G1817" s="45" t="n">
        <f aca="false">ROUND(C1817*F1817,0)</f>
        <v>2073</v>
      </c>
      <c r="H1817" s="48" t="n">
        <f aca="false">MAX(0,(C1817*'Model Inputs &amp; Assumptions'!$N$31+E1817*'Model Inputs &amp; Assumptions'!$O$31+G1817*'Model Inputs &amp; Assumptions'!$P$31)*EXP('Model Inputs &amp; Assumptions'!$Q$31*S1817-'Model Inputs &amp; Assumptions'!$Q$31^2/2))</f>
        <v>56.6137767717036</v>
      </c>
      <c r="I1817" s="49" t="n">
        <f aca="false">IF('Model Inputs &amp; Assumptions'!$H$31="Fixed",'Model Inputs &amp; Assumptions'!$I$31*'Model Inputs &amp; Assumptions'!$K$31,IF('Model Inputs &amp; Assumptions'!$H$31="CPM",'Model Inputs &amp; Assumptions'!$I$31*'Model Inputs &amp; Assumptions'!$K$31*C1817/1000,IF('Model Inputs &amp; Assumptions'!$H$31="CPC",'Model Inputs &amp; Assumptions'!$I$31*'Model Inputs &amp; Assumptions'!$K$31*G1817,0)))</f>
        <v>3409.881456</v>
      </c>
      <c r="J1817" s="50" t="n">
        <f aca="false">H1817*INDEX('Model Inputs &amp; Assumptions'!$D$40:$D$42,MATCH('Model Inputs &amp; Assumptions'!$L$31,'Model Inputs &amp; Assumptions'!$A$40:$A$42,0))*INDEX('Model Inputs &amp; Assumptions'!$H$40:$H$42,MATCH('Model Inputs &amp; Assumptions'!$L$31,'Model Inputs &amp; Assumptions'!$A$40:$A$42,0))</f>
        <v>407619.192756266</v>
      </c>
      <c r="K1817" s="49" t="n">
        <f aca="false">H1817*INDEX('Model Inputs &amp; Assumptions'!$G$40:$G$42,MATCH('Model Inputs &amp; Assumptions'!$L$31,'Model Inputs &amp; Assumptions'!$A$40:$A$42,0))*INDEX('Model Inputs &amp; Assumptions'!$H$40:$H$42,MATCH('Model Inputs &amp; Assumptions'!$L$31,'Model Inputs &amp; Assumptions'!$A$40:$A$42,0))</f>
        <v>8988.00320027566</v>
      </c>
      <c r="L1817" s="51" t="n">
        <f aca="false">IFERROR(K1817/I1817,0)</f>
        <v>2.63586969701262</v>
      </c>
      <c r="M1817" s="49" t="n">
        <f aca="false">IFERROR(I1817/H1817,0)</f>
        <v>60.2305949265747</v>
      </c>
      <c r="N1817" s="52" t="str">
        <f aca="false">'Model Inputs &amp; Assumptions'!$L$31</f>
        <v>PRD-USIQ</v>
      </c>
      <c r="P1817" s="53" t="n">
        <v>-1.532215</v>
      </c>
      <c r="Q1817" s="53" t="n">
        <v>-1.900776</v>
      </c>
      <c r="R1817" s="53" t="n">
        <v>1.460718</v>
      </c>
      <c r="S1817" s="53" t="n">
        <v>1.037636</v>
      </c>
    </row>
    <row r="1818" customFormat="false" ht="15" hidden="false" customHeight="false" outlineLevel="0" collapsed="false">
      <c r="A1818" s="43" t="n">
        <v>315</v>
      </c>
      <c r="B1818" s="44" t="str">
        <f aca="false">'Model Inputs &amp; Assumptions'!$B$31</f>
        <v>YouTube — Finfluencer Pre-roll</v>
      </c>
      <c r="C1818" s="45" t="n">
        <f aca="false">ROUND(MAX(0,'Model Inputs &amp; Assumptions'!$S$31*EXP('Model Inputs &amp; Assumptions'!$T$31*P1818-'Model Inputs &amp; Assumptions'!$T$31^2/2)),0)</f>
        <v>251383</v>
      </c>
      <c r="D1818" s="46" t="n">
        <f aca="false">MIN(1,'Model Inputs &amp; Assumptions'!$U$31*EXP('Model Inputs &amp; Assumptions'!$V$31*Q1818-'Model Inputs &amp; Assumptions'!$V$31^2/2))</f>
        <v>0.496401014428843</v>
      </c>
      <c r="E1818" s="45" t="n">
        <f aca="false">ROUND(C1818*D1818,0)</f>
        <v>124787</v>
      </c>
      <c r="F1818" s="47" t="n">
        <f aca="false">MIN(1,'Model Inputs &amp; Assumptions'!$W$31*EXP('Model Inputs &amp; Assumptions'!$X$31*R1818-'Model Inputs &amp; Assumptions'!$X$31^2/2))</f>
        <v>0.00715342563982444</v>
      </c>
      <c r="G1818" s="45" t="n">
        <f aca="false">ROUND(C1818*F1818,0)</f>
        <v>1798</v>
      </c>
      <c r="H1818" s="48" t="n">
        <f aca="false">MAX(0,(C1818*'Model Inputs &amp; Assumptions'!$N$31+E1818*'Model Inputs &amp; Assumptions'!$O$31+G1818*'Model Inputs &amp; Assumptions'!$P$31)*EXP('Model Inputs &amp; Assumptions'!$Q$31*S1818-'Model Inputs &amp; Assumptions'!$Q$31^2/2))</f>
        <v>31.8808527541619</v>
      </c>
      <c r="I1818" s="49" t="n">
        <f aca="false">IF('Model Inputs &amp; Assumptions'!$H$31="Fixed",'Model Inputs &amp; Assumptions'!$I$31*'Model Inputs &amp; Assumptions'!$K$31,IF('Model Inputs &amp; Assumptions'!$H$31="CPM",'Model Inputs &amp; Assumptions'!$I$31*'Model Inputs &amp; Assumptions'!$K$31*C1818/1000,IF('Model Inputs &amp; Assumptions'!$H$31="CPC",'Model Inputs &amp; Assumptions'!$I$31*'Model Inputs &amp; Assumptions'!$K$31*G1818,0)))</f>
        <v>2852.191518</v>
      </c>
      <c r="J1818" s="50" t="n">
        <f aca="false">H1818*INDEX('Model Inputs &amp; Assumptions'!$D$40:$D$42,MATCH('Model Inputs &amp; Assumptions'!$L$31,'Model Inputs &amp; Assumptions'!$A$40:$A$42,0))*INDEX('Model Inputs &amp; Assumptions'!$H$40:$H$42,MATCH('Model Inputs &amp; Assumptions'!$L$31,'Model Inputs &amp; Assumptions'!$A$40:$A$42,0))</f>
        <v>229542.139829966</v>
      </c>
      <c r="K1818" s="49" t="n">
        <f aca="false">H1818*INDEX('Model Inputs &amp; Assumptions'!$G$40:$G$42,MATCH('Model Inputs &amp; Assumptions'!$L$31,'Model Inputs &amp; Assumptions'!$A$40:$A$42,0))*INDEX('Model Inputs &amp; Assumptions'!$H$40:$H$42,MATCH('Model Inputs &amp; Assumptions'!$L$31,'Model Inputs &amp; Assumptions'!$A$40:$A$42,0))</f>
        <v>5061.40418325075</v>
      </c>
      <c r="L1818" s="51" t="n">
        <f aca="false">IFERROR(K1818/I1818,0)</f>
        <v>1.77456673274166</v>
      </c>
      <c r="M1818" s="49" t="n">
        <f aca="false">IFERROR(I1818/H1818,0)</f>
        <v>89.4640911895827</v>
      </c>
      <c r="N1818" s="52" t="str">
        <f aca="false">'Model Inputs &amp; Assumptions'!$L$31</f>
        <v>PRD-USIQ</v>
      </c>
      <c r="P1818" s="53" t="n">
        <v>-2.170032</v>
      </c>
      <c r="Q1818" s="53" t="n">
        <v>-1.163846</v>
      </c>
      <c r="R1818" s="53" t="n">
        <v>1.612306</v>
      </c>
      <c r="S1818" s="53" t="n">
        <v>-0.246829</v>
      </c>
    </row>
    <row r="1819" customFormat="false" ht="15" hidden="false" customHeight="false" outlineLevel="0" collapsed="false">
      <c r="A1819" s="43" t="n">
        <v>316</v>
      </c>
      <c r="B1819" s="44" t="str">
        <f aca="false">'Model Inputs &amp; Assumptions'!$B$31</f>
        <v>YouTube — Finfluencer Pre-roll</v>
      </c>
      <c r="C1819" s="45" t="n">
        <f aca="false">ROUND(MAX(0,'Model Inputs &amp; Assumptions'!$S$31*EXP('Model Inputs &amp; Assumptions'!$T$31*P1819-'Model Inputs &amp; Assumptions'!$T$31^2/2)),0)</f>
        <v>301195</v>
      </c>
      <c r="D1819" s="46" t="n">
        <f aca="false">MIN(1,'Model Inputs &amp; Assumptions'!$U$31*EXP('Model Inputs &amp; Assumptions'!$V$31*Q1819-'Model Inputs &amp; Assumptions'!$V$31^2/2))</f>
        <v>0.510844264138074</v>
      </c>
      <c r="E1819" s="45" t="n">
        <f aca="false">ROUND(C1819*D1819,0)</f>
        <v>153864</v>
      </c>
      <c r="F1819" s="47" t="n">
        <f aca="false">MIN(1,'Model Inputs &amp; Assumptions'!$W$31*EXP('Model Inputs &amp; Assumptions'!$X$31*R1819-'Model Inputs &amp; Assumptions'!$X$31^2/2))</f>
        <v>0.0074061124975699</v>
      </c>
      <c r="G1819" s="45" t="n">
        <f aca="false">ROUND(C1819*F1819,0)</f>
        <v>2231</v>
      </c>
      <c r="H1819" s="48" t="n">
        <f aca="false">MAX(0,(C1819*'Model Inputs &amp; Assumptions'!$N$31+E1819*'Model Inputs &amp; Assumptions'!$O$31+G1819*'Model Inputs &amp; Assumptions'!$P$31)*EXP('Model Inputs &amp; Assumptions'!$Q$31*S1819-'Model Inputs &amp; Assumptions'!$Q$31^2/2))</f>
        <v>32.6125999719923</v>
      </c>
      <c r="I1819" s="49" t="n">
        <f aca="false">IF('Model Inputs &amp; Assumptions'!$H$31="Fixed",'Model Inputs &amp; Assumptions'!$I$31*'Model Inputs &amp; Assumptions'!$K$31,IF('Model Inputs &amp; Assumptions'!$H$31="CPM",'Model Inputs &amp; Assumptions'!$I$31*'Model Inputs &amp; Assumptions'!$K$31*C1819/1000,IF('Model Inputs &amp; Assumptions'!$H$31="CPC",'Model Inputs &amp; Assumptions'!$I$31*'Model Inputs &amp; Assumptions'!$K$31*G1819,0)))</f>
        <v>3417.35847</v>
      </c>
      <c r="J1819" s="50" t="n">
        <f aca="false">H1819*INDEX('Model Inputs &amp; Assumptions'!$D$40:$D$42,MATCH('Model Inputs &amp; Assumptions'!$L$31,'Model Inputs &amp; Assumptions'!$A$40:$A$42,0))*INDEX('Model Inputs &amp; Assumptions'!$H$40:$H$42,MATCH('Model Inputs &amp; Assumptions'!$L$31,'Model Inputs &amp; Assumptions'!$A$40:$A$42,0))</f>
        <v>234810.719798345</v>
      </c>
      <c r="K1819" s="49" t="n">
        <f aca="false">H1819*INDEX('Model Inputs &amp; Assumptions'!$G$40:$G$42,MATCH('Model Inputs &amp; Assumptions'!$L$31,'Model Inputs &amp; Assumptions'!$A$40:$A$42,0))*INDEX('Model Inputs &amp; Assumptions'!$H$40:$H$42,MATCH('Model Inputs &amp; Assumptions'!$L$31,'Model Inputs &amp; Assumptions'!$A$40:$A$42,0))</f>
        <v>5177.57637155351</v>
      </c>
      <c r="L1819" s="51" t="n">
        <f aca="false">IFERROR(K1819/I1819,0)</f>
        <v>1.5150814340977</v>
      </c>
      <c r="M1819" s="49" t="n">
        <f aca="false">IFERROR(I1819/H1819,0)</f>
        <v>104.786446739445</v>
      </c>
      <c r="N1819" s="52" t="str">
        <f aca="false">'Model Inputs &amp; Assumptions'!$L$31</f>
        <v>PRD-USIQ</v>
      </c>
      <c r="P1819" s="53" t="n">
        <v>-1.524388</v>
      </c>
      <c r="Q1819" s="53" t="n">
        <v>-0.958984</v>
      </c>
      <c r="R1819" s="53" t="n">
        <v>1.756949</v>
      </c>
      <c r="S1819" s="53" t="n">
        <v>-0.793629</v>
      </c>
    </row>
    <row r="1820" customFormat="false" ht="15" hidden="false" customHeight="false" outlineLevel="0" collapsed="false">
      <c r="A1820" s="43" t="n">
        <v>317</v>
      </c>
      <c r="B1820" s="44" t="str">
        <f aca="false">'Model Inputs &amp; Assumptions'!$B$31</f>
        <v>YouTube — Finfluencer Pre-roll</v>
      </c>
      <c r="C1820" s="45" t="n">
        <f aca="false">ROUND(MAX(0,'Model Inputs &amp; Assumptions'!$S$31*EXP('Model Inputs &amp; Assumptions'!$T$31*P1820-'Model Inputs &amp; Assumptions'!$T$31^2/2)),0)</f>
        <v>455764</v>
      </c>
      <c r="D1820" s="46" t="n">
        <f aca="false">MIN(1,'Model Inputs &amp; Assumptions'!$U$31*EXP('Model Inputs &amp; Assumptions'!$V$31*Q1820-'Model Inputs &amp; Assumptions'!$V$31^2/2))</f>
        <v>0.572469704943952</v>
      </c>
      <c r="E1820" s="45" t="n">
        <f aca="false">ROUND(C1820*D1820,0)</f>
        <v>260911</v>
      </c>
      <c r="F1820" s="47" t="n">
        <f aca="false">MIN(1,'Model Inputs &amp; Assumptions'!$W$31*EXP('Model Inputs &amp; Assumptions'!$X$31*R1820-'Model Inputs &amp; Assumptions'!$X$31^2/2))</f>
        <v>0.00352020009242767</v>
      </c>
      <c r="G1820" s="45" t="n">
        <f aca="false">ROUND(C1820*F1820,0)</f>
        <v>1604</v>
      </c>
      <c r="H1820" s="48" t="n">
        <f aca="false">MAX(0,(C1820*'Model Inputs &amp; Assumptions'!$N$31+E1820*'Model Inputs &amp; Assumptions'!$O$31+G1820*'Model Inputs &amp; Assumptions'!$P$31)*EXP('Model Inputs &amp; Assumptions'!$Q$31*S1820-'Model Inputs &amp; Assumptions'!$Q$31^2/2))</f>
        <v>33.4850165207134</v>
      </c>
      <c r="I1820" s="49" t="n">
        <f aca="false">IF('Model Inputs &amp; Assumptions'!$H$31="Fixed",'Model Inputs &amp; Assumptions'!$I$31*'Model Inputs &amp; Assumptions'!$K$31,IF('Model Inputs &amp; Assumptions'!$H$31="CPM",'Model Inputs &amp; Assumptions'!$I$31*'Model Inputs &amp; Assumptions'!$K$31*C1820/1000,IF('Model Inputs &amp; Assumptions'!$H$31="CPC",'Model Inputs &amp; Assumptions'!$I$31*'Model Inputs &amp; Assumptions'!$K$31*G1820,0)))</f>
        <v>5171.098344</v>
      </c>
      <c r="J1820" s="50" t="n">
        <f aca="false">H1820*INDEX('Model Inputs &amp; Assumptions'!$D$40:$D$42,MATCH('Model Inputs &amp; Assumptions'!$L$31,'Model Inputs &amp; Assumptions'!$A$40:$A$42,0))*INDEX('Model Inputs &amp; Assumptions'!$H$40:$H$42,MATCH('Model Inputs &amp; Assumptions'!$L$31,'Model Inputs &amp; Assumptions'!$A$40:$A$42,0))</f>
        <v>241092.118949137</v>
      </c>
      <c r="K1820" s="49" t="n">
        <f aca="false">H1820*INDEX('Model Inputs &amp; Assumptions'!$G$40:$G$42,MATCH('Model Inputs &amp; Assumptions'!$L$31,'Model Inputs &amp; Assumptions'!$A$40:$A$42,0))*INDEX('Model Inputs &amp; Assumptions'!$H$40:$H$42,MATCH('Model Inputs &amp; Assumptions'!$L$31,'Model Inputs &amp; Assumptions'!$A$40:$A$42,0))</f>
        <v>5316.08122282846</v>
      </c>
      <c r="L1820" s="51" t="n">
        <f aca="false">IFERROR(K1820/I1820,0)</f>
        <v>1.02803715365357</v>
      </c>
      <c r="M1820" s="49" t="n">
        <f aca="false">IFERROR(I1820/H1820,0)</f>
        <v>154.430216296929</v>
      </c>
      <c r="N1820" s="52" t="str">
        <f aca="false">'Model Inputs &amp; Assumptions'!$L$31</f>
        <v>PRD-USIQ</v>
      </c>
      <c r="P1820" s="53" t="n">
        <v>-0.045036</v>
      </c>
      <c r="Q1820" s="53" t="n">
        <v>-0.145448</v>
      </c>
      <c r="R1820" s="53" t="n">
        <v>-1.342167</v>
      </c>
      <c r="S1820" s="53" t="n">
        <v>-0.665205</v>
      </c>
    </row>
    <row r="1821" customFormat="false" ht="15" hidden="false" customHeight="false" outlineLevel="0" collapsed="false">
      <c r="A1821" s="43" t="n">
        <v>318</v>
      </c>
      <c r="B1821" s="44" t="str">
        <f aca="false">'Model Inputs &amp; Assumptions'!$B$31</f>
        <v>YouTube — Finfluencer Pre-roll</v>
      </c>
      <c r="C1821" s="45" t="n">
        <f aca="false">ROUND(MAX(0,'Model Inputs &amp; Assumptions'!$S$31*EXP('Model Inputs &amp; Assumptions'!$T$31*P1821-'Model Inputs &amp; Assumptions'!$T$31^2/2)),0)</f>
        <v>384912</v>
      </c>
      <c r="D1821" s="46" t="n">
        <f aca="false">MIN(1,'Model Inputs &amp; Assumptions'!$U$31*EXP('Model Inputs &amp; Assumptions'!$V$31*Q1821-'Model Inputs &amp; Assumptions'!$V$31^2/2))</f>
        <v>0.508674161275885</v>
      </c>
      <c r="E1821" s="45" t="n">
        <f aca="false">ROUND(C1821*D1821,0)</f>
        <v>195795</v>
      </c>
      <c r="F1821" s="47" t="n">
        <f aca="false">MIN(1,'Model Inputs &amp; Assumptions'!$W$31*EXP('Model Inputs &amp; Assumptions'!$X$31*R1821-'Model Inputs &amp; Assumptions'!$X$31^2/2))</f>
        <v>0.00589047165928262</v>
      </c>
      <c r="G1821" s="45" t="n">
        <f aca="false">ROUND(C1821*F1821,0)</f>
        <v>2267</v>
      </c>
      <c r="H1821" s="48" t="n">
        <f aca="false">MAX(0,(C1821*'Model Inputs &amp; Assumptions'!$N$31+E1821*'Model Inputs &amp; Assumptions'!$O$31+G1821*'Model Inputs &amp; Assumptions'!$P$31)*EXP('Model Inputs &amp; Assumptions'!$Q$31*S1821-'Model Inputs &amp; Assumptions'!$Q$31^2/2))</f>
        <v>48.7790561115697</v>
      </c>
      <c r="I1821" s="49" t="n">
        <f aca="false">IF('Model Inputs &amp; Assumptions'!$H$31="Fixed",'Model Inputs &amp; Assumptions'!$I$31*'Model Inputs &amp; Assumptions'!$K$31,IF('Model Inputs &amp; Assumptions'!$H$31="CPM",'Model Inputs &amp; Assumptions'!$I$31*'Model Inputs &amp; Assumptions'!$K$31*C1821/1000,IF('Model Inputs &amp; Assumptions'!$H$31="CPC",'Model Inputs &amp; Assumptions'!$I$31*'Model Inputs &amp; Assumptions'!$K$31*G1821,0)))</f>
        <v>4367.211552</v>
      </c>
      <c r="J1821" s="50" t="n">
        <f aca="false">H1821*INDEX('Model Inputs &amp; Assumptions'!$D$40:$D$42,MATCH('Model Inputs &amp; Assumptions'!$L$31,'Model Inputs &amp; Assumptions'!$A$40:$A$42,0))*INDEX('Model Inputs &amp; Assumptions'!$H$40:$H$42,MATCH('Model Inputs &amp; Assumptions'!$L$31,'Model Inputs &amp; Assumptions'!$A$40:$A$42,0))</f>
        <v>351209.204003302</v>
      </c>
      <c r="K1821" s="49" t="n">
        <f aca="false">H1821*INDEX('Model Inputs &amp; Assumptions'!$G$40:$G$42,MATCH('Model Inputs &amp; Assumptions'!$L$31,'Model Inputs &amp; Assumptions'!$A$40:$A$42,0))*INDEX('Model Inputs &amp; Assumptions'!$H$40:$H$42,MATCH('Model Inputs &amp; Assumptions'!$L$31,'Model Inputs &amp; Assumptions'!$A$40:$A$42,0))</f>
        <v>7744.16294827281</v>
      </c>
      <c r="L1821" s="51" t="n">
        <f aca="false">IFERROR(K1821/I1821,0)</f>
        <v>1.77325115947871</v>
      </c>
      <c r="M1821" s="49" t="n">
        <f aca="false">IFERROR(I1821/H1821,0)</f>
        <v>89.5304645094221</v>
      </c>
      <c r="N1821" s="52" t="str">
        <f aca="false">'Model Inputs &amp; Assumptions'!$L$31</f>
        <v>PRD-USIQ</v>
      </c>
      <c r="P1821" s="53" t="n">
        <v>-0.648471</v>
      </c>
      <c r="Q1821" s="53" t="n">
        <v>-0.989392</v>
      </c>
      <c r="R1821" s="53" t="n">
        <v>0.802909</v>
      </c>
      <c r="S1821" s="53" t="n">
        <v>0.123366</v>
      </c>
    </row>
    <row r="1822" customFormat="false" ht="15" hidden="false" customHeight="false" outlineLevel="0" collapsed="false">
      <c r="A1822" s="43" t="n">
        <v>319</v>
      </c>
      <c r="B1822" s="44" t="str">
        <f aca="false">'Model Inputs &amp; Assumptions'!$B$31</f>
        <v>YouTube — Finfluencer Pre-roll</v>
      </c>
      <c r="C1822" s="45" t="n">
        <f aca="false">ROUND(MAX(0,'Model Inputs &amp; Assumptions'!$S$31*EXP('Model Inputs &amp; Assumptions'!$T$31*P1822-'Model Inputs &amp; Assumptions'!$T$31^2/2)),0)</f>
        <v>351229</v>
      </c>
      <c r="D1822" s="46" t="n">
        <f aca="false">MIN(1,'Model Inputs &amp; Assumptions'!$U$31*EXP('Model Inputs &amp; Assumptions'!$V$31*Q1822-'Model Inputs &amp; Assumptions'!$V$31^2/2))</f>
        <v>0.505477464523372</v>
      </c>
      <c r="E1822" s="45" t="n">
        <f aca="false">ROUND(C1822*D1822,0)</f>
        <v>177538</v>
      </c>
      <c r="F1822" s="47" t="n">
        <f aca="false">MIN(1,'Model Inputs &amp; Assumptions'!$W$31*EXP('Model Inputs &amp; Assumptions'!$X$31*R1822-'Model Inputs &amp; Assumptions'!$X$31^2/2))</f>
        <v>0.00354159727296305</v>
      </c>
      <c r="G1822" s="45" t="n">
        <f aca="false">ROUND(C1822*F1822,0)</f>
        <v>1244</v>
      </c>
      <c r="H1822" s="48" t="n">
        <f aca="false">MAX(0,(C1822*'Model Inputs &amp; Assumptions'!$N$31+E1822*'Model Inputs &amp; Assumptions'!$O$31+G1822*'Model Inputs &amp; Assumptions'!$P$31)*EXP('Model Inputs &amp; Assumptions'!$Q$31*S1822-'Model Inputs &amp; Assumptions'!$Q$31^2/2))</f>
        <v>56.6048076279164</v>
      </c>
      <c r="I1822" s="49" t="n">
        <f aca="false">IF('Model Inputs &amp; Assumptions'!$H$31="Fixed",'Model Inputs &amp; Assumptions'!$I$31*'Model Inputs &amp; Assumptions'!$K$31,IF('Model Inputs &amp; Assumptions'!$H$31="CPM",'Model Inputs &amp; Assumptions'!$I$31*'Model Inputs &amp; Assumptions'!$K$31*C1822/1000,IF('Model Inputs &amp; Assumptions'!$H$31="CPC",'Model Inputs &amp; Assumptions'!$I$31*'Model Inputs &amp; Assumptions'!$K$31*G1822,0)))</f>
        <v>3985.044234</v>
      </c>
      <c r="J1822" s="50" t="n">
        <f aca="false">H1822*INDEX('Model Inputs &amp; Assumptions'!$D$40:$D$42,MATCH('Model Inputs &amp; Assumptions'!$L$31,'Model Inputs &amp; Assumptions'!$A$40:$A$42,0))*INDEX('Model Inputs &amp; Assumptions'!$H$40:$H$42,MATCH('Model Inputs &amp; Assumptions'!$L$31,'Model Inputs &amp; Assumptions'!$A$40:$A$42,0))</f>
        <v>407554.614920998</v>
      </c>
      <c r="K1822" s="49" t="n">
        <f aca="false">H1822*INDEX('Model Inputs &amp; Assumptions'!$G$40:$G$42,MATCH('Model Inputs &amp; Assumptions'!$L$31,'Model Inputs &amp; Assumptions'!$A$40:$A$42,0))*INDEX('Model Inputs &amp; Assumptions'!$H$40:$H$42,MATCH('Model Inputs &amp; Assumptions'!$L$31,'Model Inputs &amp; Assumptions'!$A$40:$A$42,0))</f>
        <v>8986.57925900801</v>
      </c>
      <c r="L1822" s="51" t="n">
        <f aca="false">IFERROR(K1822/I1822,0)</f>
        <v>2.25507641354026</v>
      </c>
      <c r="M1822" s="49" t="n">
        <f aca="false">IFERROR(I1822/H1822,0)</f>
        <v>70.4011620390112</v>
      </c>
      <c r="N1822" s="52" t="str">
        <f aca="false">'Model Inputs &amp; Assumptions'!$L$31</f>
        <v>PRD-USIQ</v>
      </c>
      <c r="P1822" s="53" t="n">
        <v>-0.97553</v>
      </c>
      <c r="Q1822" s="53" t="n">
        <v>-1.034422</v>
      </c>
      <c r="R1822" s="53" t="n">
        <v>-1.316917</v>
      </c>
      <c r="S1822" s="53" t="n">
        <v>1.728558</v>
      </c>
    </row>
    <row r="1823" customFormat="false" ht="15" hidden="false" customHeight="false" outlineLevel="0" collapsed="false">
      <c r="A1823" s="43" t="n">
        <v>320</v>
      </c>
      <c r="B1823" s="44" t="str">
        <f aca="false">'Model Inputs &amp; Assumptions'!$B$31</f>
        <v>YouTube — Finfluencer Pre-roll</v>
      </c>
      <c r="C1823" s="45" t="n">
        <f aca="false">ROUND(MAX(0,'Model Inputs &amp; Assumptions'!$S$31*EXP('Model Inputs &amp; Assumptions'!$T$31*P1823-'Model Inputs &amp; Assumptions'!$T$31^2/2)),0)</f>
        <v>415169</v>
      </c>
      <c r="D1823" s="46" t="n">
        <f aca="false">MIN(1,'Model Inputs &amp; Assumptions'!$U$31*EXP('Model Inputs &amp; Assumptions'!$V$31*Q1823-'Model Inputs &amp; Assumptions'!$V$31^2/2))</f>
        <v>0.519717906512408</v>
      </c>
      <c r="E1823" s="45" t="n">
        <f aca="false">ROUND(C1823*D1823,0)</f>
        <v>215771</v>
      </c>
      <c r="F1823" s="47" t="n">
        <f aca="false">MIN(1,'Model Inputs &amp; Assumptions'!$W$31*EXP('Model Inputs &amp; Assumptions'!$X$31*R1823-'Model Inputs &amp; Assumptions'!$X$31^2/2))</f>
        <v>0.006532556663291</v>
      </c>
      <c r="G1823" s="45" t="n">
        <f aca="false">ROUND(C1823*F1823,0)</f>
        <v>2712</v>
      </c>
      <c r="H1823" s="48" t="n">
        <f aca="false">MAX(0,(C1823*'Model Inputs &amp; Assumptions'!$N$31+E1823*'Model Inputs &amp; Assumptions'!$O$31+G1823*'Model Inputs &amp; Assumptions'!$P$31)*EXP('Model Inputs &amp; Assumptions'!$Q$31*S1823-'Model Inputs &amp; Assumptions'!$Q$31^2/2))</f>
        <v>47.690238694928</v>
      </c>
      <c r="I1823" s="49" t="n">
        <f aca="false">IF('Model Inputs &amp; Assumptions'!$H$31="Fixed",'Model Inputs &amp; Assumptions'!$I$31*'Model Inputs &amp; Assumptions'!$K$31,IF('Model Inputs &amp; Assumptions'!$H$31="CPM",'Model Inputs &amp; Assumptions'!$I$31*'Model Inputs &amp; Assumptions'!$K$31*C1823/1000,IF('Model Inputs &amp; Assumptions'!$H$31="CPC",'Model Inputs &amp; Assumptions'!$I$31*'Model Inputs &amp; Assumptions'!$K$31*G1823,0)))</f>
        <v>4710.507474</v>
      </c>
      <c r="J1823" s="50" t="n">
        <f aca="false">H1823*INDEX('Model Inputs &amp; Assumptions'!$D$40:$D$42,MATCH('Model Inputs &amp; Assumptions'!$L$31,'Model Inputs &amp; Assumptions'!$A$40:$A$42,0))*INDEX('Model Inputs &amp; Assumptions'!$H$40:$H$42,MATCH('Model Inputs &amp; Assumptions'!$L$31,'Model Inputs &amp; Assumptions'!$A$40:$A$42,0))</f>
        <v>343369.718603481</v>
      </c>
      <c r="K1823" s="49" t="n">
        <f aca="false">H1823*INDEX('Model Inputs &amp; Assumptions'!$G$40:$G$42,MATCH('Model Inputs &amp; Assumptions'!$L$31,'Model Inputs &amp; Assumptions'!$A$40:$A$42,0))*INDEX('Model Inputs &amp; Assumptions'!$H$40:$H$42,MATCH('Model Inputs &amp; Assumptions'!$L$31,'Model Inputs &amp; Assumptions'!$A$40:$A$42,0))</f>
        <v>7571.30229520676</v>
      </c>
      <c r="L1823" s="51" t="n">
        <f aca="false">IFERROR(K1823/I1823,0)</f>
        <v>1.60732200022973</v>
      </c>
      <c r="M1823" s="49" t="n">
        <f aca="false">IFERROR(I1823/H1823,0)</f>
        <v>98.7729900899192</v>
      </c>
      <c r="N1823" s="52" t="str">
        <f aca="false">'Model Inputs &amp; Assumptions'!$L$31</f>
        <v>PRD-USIQ</v>
      </c>
      <c r="P1823" s="53" t="n">
        <v>-0.378213</v>
      </c>
      <c r="Q1823" s="53" t="n">
        <v>-0.835974</v>
      </c>
      <c r="R1823" s="53" t="n">
        <v>1.234002</v>
      </c>
      <c r="S1823" s="53" t="n">
        <v>-0.381315</v>
      </c>
    </row>
    <row r="1824" customFormat="false" ht="15" hidden="false" customHeight="false" outlineLevel="0" collapsed="false">
      <c r="A1824" s="43" t="n">
        <v>321</v>
      </c>
      <c r="B1824" s="44" t="str">
        <f aca="false">'Model Inputs &amp; Assumptions'!$B$31</f>
        <v>YouTube — Finfluencer Pre-roll</v>
      </c>
      <c r="C1824" s="45" t="n">
        <f aca="false">ROUND(MAX(0,'Model Inputs &amp; Assumptions'!$S$31*EXP('Model Inputs &amp; Assumptions'!$T$31*P1824-'Model Inputs &amp; Assumptions'!$T$31^2/2)),0)</f>
        <v>401737</v>
      </c>
      <c r="D1824" s="46" t="n">
        <f aca="false">MIN(1,'Model Inputs &amp; Assumptions'!$U$31*EXP('Model Inputs &amp; Assumptions'!$V$31*Q1824-'Model Inputs &amp; Assumptions'!$V$31^2/2))</f>
        <v>0.689291181847129</v>
      </c>
      <c r="E1824" s="45" t="n">
        <f aca="false">ROUND(C1824*D1824,0)</f>
        <v>276914</v>
      </c>
      <c r="F1824" s="47" t="n">
        <f aca="false">MIN(1,'Model Inputs &amp; Assumptions'!$W$31*EXP('Model Inputs &amp; Assumptions'!$X$31*R1824-'Model Inputs &amp; Assumptions'!$X$31^2/2))</f>
        <v>0.00779966007356799</v>
      </c>
      <c r="G1824" s="45" t="n">
        <f aca="false">ROUND(C1824*F1824,0)</f>
        <v>3133</v>
      </c>
      <c r="H1824" s="48" t="n">
        <f aca="false">MAX(0,(C1824*'Model Inputs &amp; Assumptions'!$N$31+E1824*'Model Inputs &amp; Assumptions'!$O$31+G1824*'Model Inputs &amp; Assumptions'!$P$31)*EXP('Model Inputs &amp; Assumptions'!$Q$31*S1824-'Model Inputs &amp; Assumptions'!$Q$31^2/2))</f>
        <v>64.3220419091733</v>
      </c>
      <c r="I1824" s="49" t="n">
        <f aca="false">IF('Model Inputs &amp; Assumptions'!$H$31="Fixed",'Model Inputs &amp; Assumptions'!$I$31*'Model Inputs &amp; Assumptions'!$K$31,IF('Model Inputs &amp; Assumptions'!$H$31="CPM",'Model Inputs &amp; Assumptions'!$I$31*'Model Inputs &amp; Assumptions'!$K$31*C1824/1000,IF('Model Inputs &amp; Assumptions'!$H$31="CPC",'Model Inputs &amp; Assumptions'!$I$31*'Model Inputs &amp; Assumptions'!$K$31*G1824,0)))</f>
        <v>4558.108002</v>
      </c>
      <c r="J1824" s="50" t="n">
        <f aca="false">H1824*INDEX('Model Inputs &amp; Assumptions'!$D$40:$D$42,MATCH('Model Inputs &amp; Assumptions'!$L$31,'Model Inputs &amp; Assumptions'!$A$40:$A$42,0))*INDEX('Model Inputs &amp; Assumptions'!$H$40:$H$42,MATCH('Model Inputs &amp; Assumptions'!$L$31,'Model Inputs &amp; Assumptions'!$A$40:$A$42,0))</f>
        <v>463118.701746048</v>
      </c>
      <c r="K1824" s="49" t="n">
        <f aca="false">H1824*INDEX('Model Inputs &amp; Assumptions'!$G$40:$G$42,MATCH('Model Inputs &amp; Assumptions'!$L$31,'Model Inputs &amp; Assumptions'!$A$40:$A$42,0))*INDEX('Model Inputs &amp; Assumptions'!$H$40:$H$42,MATCH('Model Inputs &amp; Assumptions'!$L$31,'Model Inputs &amp; Assumptions'!$A$40:$A$42,0))</f>
        <v>10211.7673735003</v>
      </c>
      <c r="L1824" s="51" t="n">
        <f aca="false">IFERROR(K1824/I1824,0)</f>
        <v>2.24035221829313</v>
      </c>
      <c r="M1824" s="49" t="n">
        <f aca="false">IFERROR(I1824/H1824,0)</f>
        <v>70.8638573451436</v>
      </c>
      <c r="N1824" s="52" t="str">
        <f aca="false">'Model Inputs &amp; Assumptions'!$L$31</f>
        <v>PRD-USIQ</v>
      </c>
      <c r="P1824" s="53" t="n">
        <v>-0.495671</v>
      </c>
      <c r="Q1824" s="53" t="n">
        <v>1.181009</v>
      </c>
      <c r="R1824" s="53" t="n">
        <v>1.972676</v>
      </c>
      <c r="S1824" s="53" t="n">
        <v>-0.03171</v>
      </c>
    </row>
    <row r="1825" customFormat="false" ht="15" hidden="false" customHeight="false" outlineLevel="0" collapsed="false">
      <c r="A1825" s="43" t="n">
        <v>322</v>
      </c>
      <c r="B1825" s="44" t="str">
        <f aca="false">'Model Inputs &amp; Assumptions'!$B$31</f>
        <v>YouTube — Finfluencer Pre-roll</v>
      </c>
      <c r="C1825" s="45" t="n">
        <f aca="false">ROUND(MAX(0,'Model Inputs &amp; Assumptions'!$S$31*EXP('Model Inputs &amp; Assumptions'!$T$31*P1825-'Model Inputs &amp; Assumptions'!$T$31^2/2)),0)</f>
        <v>540744</v>
      </c>
      <c r="D1825" s="46" t="n">
        <f aca="false">MIN(1,'Model Inputs &amp; Assumptions'!$U$31*EXP('Model Inputs &amp; Assumptions'!$V$31*Q1825-'Model Inputs &amp; Assumptions'!$V$31^2/2))</f>
        <v>0.551725575540809</v>
      </c>
      <c r="E1825" s="45" t="n">
        <f aca="false">ROUND(C1825*D1825,0)</f>
        <v>298342</v>
      </c>
      <c r="F1825" s="47" t="n">
        <f aca="false">MIN(1,'Model Inputs &amp; Assumptions'!$W$31*EXP('Model Inputs &amp; Assumptions'!$X$31*R1825-'Model Inputs &amp; Assumptions'!$X$31^2/2))</f>
        <v>0.00677464165038039</v>
      </c>
      <c r="G1825" s="45" t="n">
        <f aca="false">ROUND(C1825*F1825,0)</f>
        <v>3663</v>
      </c>
      <c r="H1825" s="48" t="n">
        <f aca="false">MAX(0,(C1825*'Model Inputs &amp; Assumptions'!$N$31+E1825*'Model Inputs &amp; Assumptions'!$O$31+G1825*'Model Inputs &amp; Assumptions'!$P$31)*EXP('Model Inputs &amp; Assumptions'!$Q$31*S1825-'Model Inputs &amp; Assumptions'!$Q$31^2/2))</f>
        <v>70.4601595527997</v>
      </c>
      <c r="I1825" s="49" t="n">
        <f aca="false">IF('Model Inputs &amp; Assumptions'!$H$31="Fixed",'Model Inputs &amp; Assumptions'!$I$31*'Model Inputs &amp; Assumptions'!$K$31,IF('Model Inputs &amp; Assumptions'!$H$31="CPM",'Model Inputs &amp; Assumptions'!$I$31*'Model Inputs &amp; Assumptions'!$K$31*C1825/1000,IF('Model Inputs &amp; Assumptions'!$H$31="CPC",'Model Inputs &amp; Assumptions'!$I$31*'Model Inputs &amp; Assumptions'!$K$31*G1825,0)))</f>
        <v>6135.281424</v>
      </c>
      <c r="J1825" s="50" t="n">
        <f aca="false">H1825*INDEX('Model Inputs &amp; Assumptions'!$D$40:$D$42,MATCH('Model Inputs &amp; Assumptions'!$L$31,'Model Inputs &amp; Assumptions'!$A$40:$A$42,0))*INDEX('Model Inputs &amp; Assumptions'!$H$40:$H$42,MATCH('Model Inputs &amp; Assumptions'!$L$31,'Model Inputs &amp; Assumptions'!$A$40:$A$42,0))</f>
        <v>507313.148780158</v>
      </c>
      <c r="K1825" s="49" t="n">
        <f aca="false">H1825*INDEX('Model Inputs &amp; Assumptions'!$G$40:$G$42,MATCH('Model Inputs &amp; Assumptions'!$L$31,'Model Inputs &amp; Assumptions'!$A$40:$A$42,0))*INDEX('Model Inputs &amp; Assumptions'!$H$40:$H$42,MATCH('Model Inputs &amp; Assumptions'!$L$31,'Model Inputs &amp; Assumptions'!$A$40:$A$42,0))</f>
        <v>11186.2549306025</v>
      </c>
      <c r="L1825" s="51" t="n">
        <f aca="false">IFERROR(K1825/I1825,0)</f>
        <v>1.82326680025534</v>
      </c>
      <c r="M1825" s="49" t="n">
        <f aca="false">IFERROR(I1825/H1825,0)</f>
        <v>87.0744753196662</v>
      </c>
      <c r="N1825" s="52" t="str">
        <f aca="false">'Model Inputs &amp; Assumptions'!$L$31</f>
        <v>PRD-USIQ</v>
      </c>
      <c r="P1825" s="53" t="n">
        <v>0.565572</v>
      </c>
      <c r="Q1825" s="53" t="n">
        <v>-0.409084</v>
      </c>
      <c r="R1825" s="53" t="n">
        <v>1.385619</v>
      </c>
      <c r="S1825" s="53" t="n">
        <v>-0.145064</v>
      </c>
    </row>
    <row r="1826" customFormat="false" ht="15" hidden="false" customHeight="false" outlineLevel="0" collapsed="false">
      <c r="A1826" s="43" t="n">
        <v>323</v>
      </c>
      <c r="B1826" s="44" t="str">
        <f aca="false">'Model Inputs &amp; Assumptions'!$B$31</f>
        <v>YouTube — Finfluencer Pre-roll</v>
      </c>
      <c r="C1826" s="45" t="n">
        <f aca="false">ROUND(MAX(0,'Model Inputs &amp; Assumptions'!$S$31*EXP('Model Inputs &amp; Assumptions'!$T$31*P1826-'Model Inputs &amp; Assumptions'!$T$31^2/2)),0)</f>
        <v>939887</v>
      </c>
      <c r="D1826" s="46" t="n">
        <f aca="false">MIN(1,'Model Inputs &amp; Assumptions'!$U$31*EXP('Model Inputs &amp; Assumptions'!$V$31*Q1826-'Model Inputs &amp; Assumptions'!$V$31^2/2))</f>
        <v>0.582302199966567</v>
      </c>
      <c r="E1826" s="45" t="n">
        <f aca="false">ROUND(C1826*D1826,0)</f>
        <v>547298</v>
      </c>
      <c r="F1826" s="47" t="n">
        <f aca="false">MIN(1,'Model Inputs &amp; Assumptions'!$W$31*EXP('Model Inputs &amp; Assumptions'!$X$31*R1826-'Model Inputs &amp; Assumptions'!$X$31^2/2))</f>
        <v>0.0046037908983174</v>
      </c>
      <c r="G1826" s="45" t="n">
        <f aca="false">ROUND(C1826*F1826,0)</f>
        <v>4327</v>
      </c>
      <c r="H1826" s="48" t="n">
        <f aca="false">MAX(0,(C1826*'Model Inputs &amp; Assumptions'!$N$31+E1826*'Model Inputs &amp; Assumptions'!$O$31+G1826*'Model Inputs &amp; Assumptions'!$P$31)*EXP('Model Inputs &amp; Assumptions'!$Q$31*S1826-'Model Inputs &amp; Assumptions'!$Q$31^2/2))</f>
        <v>100.224394886834</v>
      </c>
      <c r="I1826" s="49" t="n">
        <f aca="false">IF('Model Inputs &amp; Assumptions'!$H$31="Fixed",'Model Inputs &amp; Assumptions'!$I$31*'Model Inputs &amp; Assumptions'!$K$31,IF('Model Inputs &amp; Assumptions'!$H$31="CPM",'Model Inputs &amp; Assumptions'!$I$31*'Model Inputs &amp; Assumptions'!$K$31*C1826/1000,IF('Model Inputs &amp; Assumptions'!$H$31="CPC",'Model Inputs &amp; Assumptions'!$I$31*'Model Inputs &amp; Assumptions'!$K$31*G1826,0)))</f>
        <v>10663.957902</v>
      </c>
      <c r="J1826" s="50" t="n">
        <f aca="false">H1826*INDEX('Model Inputs &amp; Assumptions'!$D$40:$D$42,MATCH('Model Inputs &amp; Assumptions'!$L$31,'Model Inputs &amp; Assumptions'!$A$40:$A$42,0))*INDEX('Model Inputs &amp; Assumptions'!$H$40:$H$42,MATCH('Model Inputs &amp; Assumptions'!$L$31,'Model Inputs &amp; Assumptions'!$A$40:$A$42,0))</f>
        <v>721615.643185208</v>
      </c>
      <c r="K1826" s="49" t="n">
        <f aca="false">H1826*INDEX('Model Inputs &amp; Assumptions'!$G$40:$G$42,MATCH('Model Inputs &amp; Assumptions'!$L$31,'Model Inputs &amp; Assumptions'!$A$40:$A$42,0))*INDEX('Model Inputs &amp; Assumptions'!$H$40:$H$42,MATCH('Model Inputs &amp; Assumptions'!$L$31,'Model Inputs &amp; Assumptions'!$A$40:$A$42,0))</f>
        <v>15911.6249322338</v>
      </c>
      <c r="L1826" s="51" t="n">
        <f aca="false">IFERROR(K1826/I1826,0)</f>
        <v>1.49209374966209</v>
      </c>
      <c r="M1826" s="49" t="n">
        <f aca="false">IFERROR(I1826/H1826,0)</f>
        <v>106.400821018086</v>
      </c>
      <c r="N1826" s="52" t="str">
        <f aca="false">'Model Inputs &amp; Assumptions'!$L$31</f>
        <v>PRD-USIQ</v>
      </c>
      <c r="P1826" s="53" t="n">
        <v>2.539905</v>
      </c>
      <c r="Q1826" s="53" t="n">
        <v>-0.023807</v>
      </c>
      <c r="R1826" s="53" t="n">
        <v>-0.223991</v>
      </c>
      <c r="S1826" s="53" t="n">
        <v>-0.05665</v>
      </c>
    </row>
    <row r="1827" customFormat="false" ht="15" hidden="false" customHeight="false" outlineLevel="0" collapsed="false">
      <c r="A1827" s="43" t="n">
        <v>324</v>
      </c>
      <c r="B1827" s="44" t="str">
        <f aca="false">'Model Inputs &amp; Assumptions'!$B$31</f>
        <v>YouTube — Finfluencer Pre-roll</v>
      </c>
      <c r="C1827" s="45" t="n">
        <f aca="false">ROUND(MAX(0,'Model Inputs &amp; Assumptions'!$S$31*EXP('Model Inputs &amp; Assumptions'!$T$31*P1827-'Model Inputs &amp; Assumptions'!$T$31^2/2)),0)</f>
        <v>690730</v>
      </c>
      <c r="D1827" s="46" t="n">
        <f aca="false">MIN(1,'Model Inputs &amp; Assumptions'!$U$31*EXP('Model Inputs &amp; Assumptions'!$V$31*Q1827-'Model Inputs &amp; Assumptions'!$V$31^2/2))</f>
        <v>0.631080756987548</v>
      </c>
      <c r="E1827" s="45" t="n">
        <f aca="false">ROUND(C1827*D1827,0)</f>
        <v>435906</v>
      </c>
      <c r="F1827" s="47" t="n">
        <f aca="false">MIN(1,'Model Inputs &amp; Assumptions'!$W$31*EXP('Model Inputs &amp; Assumptions'!$X$31*R1827-'Model Inputs &amp; Assumptions'!$X$31^2/2))</f>
        <v>0.00509087108485551</v>
      </c>
      <c r="G1827" s="45" t="n">
        <f aca="false">ROUND(C1827*F1827,0)</f>
        <v>3516</v>
      </c>
      <c r="H1827" s="48" t="n">
        <f aca="false">MAX(0,(C1827*'Model Inputs &amp; Assumptions'!$N$31+E1827*'Model Inputs &amp; Assumptions'!$O$31+G1827*'Model Inputs &amp; Assumptions'!$P$31)*EXP('Model Inputs &amp; Assumptions'!$Q$31*S1827-'Model Inputs &amp; Assumptions'!$Q$31^2/2))</f>
        <v>96.5806589775448</v>
      </c>
      <c r="I1827" s="49" t="n">
        <f aca="false">IF('Model Inputs &amp; Assumptions'!$H$31="Fixed",'Model Inputs &amp; Assumptions'!$I$31*'Model Inputs &amp; Assumptions'!$K$31,IF('Model Inputs &amp; Assumptions'!$H$31="CPM",'Model Inputs &amp; Assumptions'!$I$31*'Model Inputs &amp; Assumptions'!$K$31*C1827/1000,IF('Model Inputs &amp; Assumptions'!$H$31="CPC",'Model Inputs &amp; Assumptions'!$I$31*'Model Inputs &amp; Assumptions'!$K$31*G1827,0)))</f>
        <v>7837.02258</v>
      </c>
      <c r="J1827" s="50" t="n">
        <f aca="false">H1827*INDEX('Model Inputs &amp; Assumptions'!$D$40:$D$42,MATCH('Model Inputs &amp; Assumptions'!$L$31,'Model Inputs &amp; Assumptions'!$A$40:$A$42,0))*INDEX('Model Inputs &amp; Assumptions'!$H$40:$H$42,MATCH('Model Inputs &amp; Assumptions'!$L$31,'Model Inputs &amp; Assumptions'!$A$40:$A$42,0))</f>
        <v>695380.744638323</v>
      </c>
      <c r="K1827" s="49" t="n">
        <f aca="false">H1827*INDEX('Model Inputs &amp; Assumptions'!$G$40:$G$42,MATCH('Model Inputs &amp; Assumptions'!$L$31,'Model Inputs &amp; Assumptions'!$A$40:$A$42,0))*INDEX('Model Inputs &amp; Assumptions'!$H$40:$H$42,MATCH('Model Inputs &amp; Assumptions'!$L$31,'Model Inputs &amp; Assumptions'!$A$40:$A$42,0))</f>
        <v>15333.145419275</v>
      </c>
      <c r="L1827" s="51" t="n">
        <f aca="false">IFERROR(K1827/I1827,0)</f>
        <v>1.95650137061045</v>
      </c>
      <c r="M1827" s="49" t="n">
        <f aca="false">IFERROR(I1827/H1827,0)</f>
        <v>81.1448447646451</v>
      </c>
      <c r="N1827" s="52" t="str">
        <f aca="false">'Model Inputs &amp; Assumptions'!$L$31</f>
        <v>PRD-USIQ</v>
      </c>
      <c r="P1827" s="53" t="n">
        <v>1.439866</v>
      </c>
      <c r="Q1827" s="53" t="n">
        <v>0.550795</v>
      </c>
      <c r="R1827" s="53" t="n">
        <v>0.195046</v>
      </c>
      <c r="S1827" s="53" t="n">
        <v>0.453443</v>
      </c>
    </row>
    <row r="1828" customFormat="false" ht="15" hidden="false" customHeight="false" outlineLevel="0" collapsed="false">
      <c r="A1828" s="43" t="n">
        <v>325</v>
      </c>
      <c r="B1828" s="44" t="str">
        <f aca="false">'Model Inputs &amp; Assumptions'!$B$31</f>
        <v>YouTube — Finfluencer Pre-roll</v>
      </c>
      <c r="C1828" s="45" t="n">
        <f aca="false">ROUND(MAX(0,'Model Inputs &amp; Assumptions'!$S$31*EXP('Model Inputs &amp; Assumptions'!$T$31*P1828-'Model Inputs &amp; Assumptions'!$T$31^2/2)),0)</f>
        <v>676752</v>
      </c>
      <c r="D1828" s="46" t="n">
        <f aca="false">MIN(1,'Model Inputs &amp; Assumptions'!$U$31*EXP('Model Inputs &amp; Assumptions'!$V$31*Q1828-'Model Inputs &amp; Assumptions'!$V$31^2/2))</f>
        <v>0.558107600874469</v>
      </c>
      <c r="E1828" s="45" t="n">
        <f aca="false">ROUND(C1828*D1828,0)</f>
        <v>377700</v>
      </c>
      <c r="F1828" s="47" t="n">
        <f aca="false">MIN(1,'Model Inputs &amp; Assumptions'!$W$31*EXP('Model Inputs &amp; Assumptions'!$X$31*R1828-'Model Inputs &amp; Assumptions'!$X$31^2/2))</f>
        <v>0.00410453669286679</v>
      </c>
      <c r="G1828" s="45" t="n">
        <f aca="false">ROUND(C1828*F1828,0)</f>
        <v>2778</v>
      </c>
      <c r="H1828" s="48" t="n">
        <f aca="false">MAX(0,(C1828*'Model Inputs &amp; Assumptions'!$N$31+E1828*'Model Inputs &amp; Assumptions'!$O$31+G1828*'Model Inputs &amp; Assumptions'!$P$31)*EXP('Model Inputs &amp; Assumptions'!$Q$31*S1828-'Model Inputs &amp; Assumptions'!$Q$31^2/2))</f>
        <v>72.325020252711</v>
      </c>
      <c r="I1828" s="49" t="n">
        <f aca="false">IF('Model Inputs &amp; Assumptions'!$H$31="Fixed",'Model Inputs &amp; Assumptions'!$I$31*'Model Inputs &amp; Assumptions'!$K$31,IF('Model Inputs &amp; Assumptions'!$H$31="CPM",'Model Inputs &amp; Assumptions'!$I$31*'Model Inputs &amp; Assumptions'!$K$31*C1828/1000,IF('Model Inputs &amp; Assumptions'!$H$31="CPC",'Model Inputs &amp; Assumptions'!$I$31*'Model Inputs &amp; Assumptions'!$K$31*G1828,0)))</f>
        <v>7678.428192</v>
      </c>
      <c r="J1828" s="50" t="n">
        <f aca="false">H1828*INDEX('Model Inputs &amp; Assumptions'!$D$40:$D$42,MATCH('Model Inputs &amp; Assumptions'!$L$31,'Model Inputs &amp; Assumptions'!$A$40:$A$42,0))*INDEX('Model Inputs &amp; Assumptions'!$H$40:$H$42,MATCH('Model Inputs &amp; Assumptions'!$L$31,'Model Inputs &amp; Assumptions'!$A$40:$A$42,0))</f>
        <v>520740.145819519</v>
      </c>
      <c r="K1828" s="49" t="n">
        <f aca="false">H1828*INDEX('Model Inputs &amp; Assumptions'!$G$40:$G$42,MATCH('Model Inputs &amp; Assumptions'!$L$31,'Model Inputs &amp; Assumptions'!$A$40:$A$42,0))*INDEX('Model Inputs &amp; Assumptions'!$H$40:$H$42,MATCH('Model Inputs &amp; Assumptions'!$L$31,'Model Inputs &amp; Assumptions'!$A$40:$A$42,0))</f>
        <v>11482.3202153204</v>
      </c>
      <c r="L1828" s="51" t="n">
        <f aca="false">IFERROR(K1828/I1828,0)</f>
        <v>1.49539983030428</v>
      </c>
      <c r="M1828" s="49" t="n">
        <f aca="false">IFERROR(I1828/H1828,0)</f>
        <v>106.165586475756</v>
      </c>
      <c r="N1828" s="52" t="str">
        <f aca="false">'Model Inputs &amp; Assumptions'!$L$31</f>
        <v>PRD-USIQ</v>
      </c>
      <c r="P1828" s="53" t="n">
        <v>1.366851</v>
      </c>
      <c r="Q1828" s="53" t="n">
        <v>-0.326934</v>
      </c>
      <c r="R1828" s="53" t="n">
        <v>-0.702271</v>
      </c>
      <c r="S1828" s="53" t="n">
        <v>0.192396</v>
      </c>
    </row>
    <row r="1829" customFormat="false" ht="15" hidden="false" customHeight="false" outlineLevel="0" collapsed="false">
      <c r="A1829" s="43" t="n">
        <v>326</v>
      </c>
      <c r="B1829" s="44" t="str">
        <f aca="false">'Model Inputs &amp; Assumptions'!$B$31</f>
        <v>YouTube — Finfluencer Pre-roll</v>
      </c>
      <c r="C1829" s="45" t="n">
        <f aca="false">ROUND(MAX(0,'Model Inputs &amp; Assumptions'!$S$31*EXP('Model Inputs &amp; Assumptions'!$T$31*P1829-'Model Inputs &amp; Assumptions'!$T$31^2/2)),0)</f>
        <v>583335</v>
      </c>
      <c r="D1829" s="46" t="n">
        <f aca="false">MIN(1,'Model Inputs &amp; Assumptions'!$U$31*EXP('Model Inputs &amp; Assumptions'!$V$31*Q1829-'Model Inputs &amp; Assumptions'!$V$31^2/2))</f>
        <v>0.603404326498988</v>
      </c>
      <c r="E1829" s="45" t="n">
        <f aca="false">ROUND(C1829*D1829,0)</f>
        <v>351987</v>
      </c>
      <c r="F1829" s="47" t="n">
        <f aca="false">MIN(1,'Model Inputs &amp; Assumptions'!$W$31*EXP('Model Inputs &amp; Assumptions'!$X$31*R1829-'Model Inputs &amp; Assumptions'!$X$31^2/2))</f>
        <v>0.00346143759421112</v>
      </c>
      <c r="G1829" s="45" t="n">
        <f aca="false">ROUND(C1829*F1829,0)</f>
        <v>2019</v>
      </c>
      <c r="H1829" s="48" t="n">
        <f aca="false">MAX(0,(C1829*'Model Inputs &amp; Assumptions'!$N$31+E1829*'Model Inputs &amp; Assumptions'!$O$31+G1829*'Model Inputs &amp; Assumptions'!$P$31)*EXP('Model Inputs &amp; Assumptions'!$Q$31*S1829-'Model Inputs &amp; Assumptions'!$Q$31^2/2))</f>
        <v>36.5657275655726</v>
      </c>
      <c r="I1829" s="49" t="n">
        <f aca="false">IF('Model Inputs &amp; Assumptions'!$H$31="Fixed",'Model Inputs &amp; Assumptions'!$I$31*'Model Inputs &amp; Assumptions'!$K$31,IF('Model Inputs &amp; Assumptions'!$H$31="CPM",'Model Inputs &amp; Assumptions'!$I$31*'Model Inputs &amp; Assumptions'!$K$31*C1829/1000,IF('Model Inputs &amp; Assumptions'!$H$31="CPC",'Model Inputs &amp; Assumptions'!$I$31*'Model Inputs &amp; Assumptions'!$K$31*G1829,0)))</f>
        <v>6618.51891</v>
      </c>
      <c r="J1829" s="50" t="n">
        <f aca="false">H1829*INDEX('Model Inputs &amp; Assumptions'!$D$40:$D$42,MATCH('Model Inputs &amp; Assumptions'!$L$31,'Model Inputs &amp; Assumptions'!$A$40:$A$42,0))*INDEX('Model Inputs &amp; Assumptions'!$H$40:$H$42,MATCH('Model Inputs &amp; Assumptions'!$L$31,'Model Inputs &amp; Assumptions'!$A$40:$A$42,0))</f>
        <v>263273.238472123</v>
      </c>
      <c r="K1829" s="49" t="n">
        <f aca="false">H1829*INDEX('Model Inputs &amp; Assumptions'!$G$40:$G$42,MATCH('Model Inputs &amp; Assumptions'!$L$31,'Model Inputs &amp; Assumptions'!$A$40:$A$42,0))*INDEX('Model Inputs &amp; Assumptions'!$H$40:$H$42,MATCH('Model Inputs &amp; Assumptions'!$L$31,'Model Inputs &amp; Assumptions'!$A$40:$A$42,0))</f>
        <v>5805.17490831031</v>
      </c>
      <c r="L1829" s="51" t="n">
        <f aca="false">IFERROR(K1829/I1829,0)</f>
        <v>0.877110874389012</v>
      </c>
      <c r="M1829" s="49" t="n">
        <f aca="false">IFERROR(I1829/H1829,0)</f>
        <v>181.003342491439</v>
      </c>
      <c r="N1829" s="52" t="str">
        <f aca="false">'Model Inputs &amp; Assumptions'!$L$31</f>
        <v>PRD-USIQ</v>
      </c>
      <c r="P1829" s="53" t="n">
        <v>0.836343</v>
      </c>
      <c r="Q1829" s="53" t="n">
        <v>0.230464</v>
      </c>
      <c r="R1829" s="53" t="n">
        <v>-1.412308</v>
      </c>
      <c r="S1829" s="53" t="n">
        <v>-1.164877</v>
      </c>
    </row>
    <row r="1830" customFormat="false" ht="15" hidden="false" customHeight="false" outlineLevel="0" collapsed="false">
      <c r="A1830" s="43" t="n">
        <v>327</v>
      </c>
      <c r="B1830" s="44" t="str">
        <f aca="false">'Model Inputs &amp; Assumptions'!$B$31</f>
        <v>YouTube — Finfluencer Pre-roll</v>
      </c>
      <c r="C1830" s="45" t="n">
        <f aca="false">ROUND(MAX(0,'Model Inputs &amp; Assumptions'!$S$31*EXP('Model Inputs &amp; Assumptions'!$T$31*P1830-'Model Inputs &amp; Assumptions'!$T$31^2/2)),0)</f>
        <v>411917</v>
      </c>
      <c r="D1830" s="46" t="n">
        <f aca="false">MIN(1,'Model Inputs &amp; Assumptions'!$U$31*EXP('Model Inputs &amp; Assumptions'!$V$31*Q1830-'Model Inputs &amp; Assumptions'!$V$31^2/2))</f>
        <v>0.488255462153111</v>
      </c>
      <c r="E1830" s="45" t="n">
        <f aca="false">ROUND(C1830*D1830,0)</f>
        <v>201121</v>
      </c>
      <c r="F1830" s="47" t="n">
        <f aca="false">MIN(1,'Model Inputs &amp; Assumptions'!$W$31*EXP('Model Inputs &amp; Assumptions'!$X$31*R1830-'Model Inputs &amp; Assumptions'!$X$31^2/2))</f>
        <v>0.00552244906136848</v>
      </c>
      <c r="G1830" s="45" t="n">
        <f aca="false">ROUND(C1830*F1830,0)</f>
        <v>2275</v>
      </c>
      <c r="H1830" s="48" t="n">
        <f aca="false">MAX(0,(C1830*'Model Inputs &amp; Assumptions'!$N$31+E1830*'Model Inputs &amp; Assumptions'!$O$31+G1830*'Model Inputs &amp; Assumptions'!$P$31)*EXP('Model Inputs &amp; Assumptions'!$Q$31*S1830-'Model Inputs &amp; Assumptions'!$Q$31^2/2))</f>
        <v>37.6621538745813</v>
      </c>
      <c r="I1830" s="49" t="n">
        <f aca="false">IF('Model Inputs &amp; Assumptions'!$H$31="Fixed",'Model Inputs &amp; Assumptions'!$I$31*'Model Inputs &amp; Assumptions'!$K$31,IF('Model Inputs &amp; Assumptions'!$H$31="CPM",'Model Inputs &amp; Assumptions'!$I$31*'Model Inputs &amp; Assumptions'!$K$31*C1830/1000,IF('Model Inputs &amp; Assumptions'!$H$31="CPC",'Model Inputs &amp; Assumptions'!$I$31*'Model Inputs &amp; Assumptions'!$K$31*G1830,0)))</f>
        <v>4673.610282</v>
      </c>
      <c r="J1830" s="50" t="n">
        <f aca="false">H1830*INDEX('Model Inputs &amp; Assumptions'!$D$40:$D$42,MATCH('Model Inputs &amp; Assumptions'!$L$31,'Model Inputs &amp; Assumptions'!$A$40:$A$42,0))*INDEX('Model Inputs &amp; Assumptions'!$H$40:$H$42,MATCH('Model Inputs &amp; Assumptions'!$L$31,'Model Inputs &amp; Assumptions'!$A$40:$A$42,0))</f>
        <v>271167.507896985</v>
      </c>
      <c r="K1830" s="49" t="n">
        <f aca="false">H1830*INDEX('Model Inputs &amp; Assumptions'!$G$40:$G$42,MATCH('Model Inputs &amp; Assumptions'!$L$31,'Model Inputs &amp; Assumptions'!$A$40:$A$42,0))*INDEX('Model Inputs &amp; Assumptions'!$H$40:$H$42,MATCH('Model Inputs &amp; Assumptions'!$L$31,'Model Inputs &amp; Assumptions'!$A$40:$A$42,0))</f>
        <v>5979.24354912853</v>
      </c>
      <c r="L1830" s="51" t="n">
        <f aca="false">IFERROR(K1830/I1830,0)</f>
        <v>1.27936288829153</v>
      </c>
      <c r="M1830" s="49" t="n">
        <f aca="false">IFERROR(I1830/H1830,0)</f>
        <v>124.093016495116</v>
      </c>
      <c r="N1830" s="52" t="str">
        <f aca="false">'Model Inputs &amp; Assumptions'!$L$31</f>
        <v>PRD-USIQ</v>
      </c>
      <c r="P1830" s="53" t="n">
        <v>-0.406303</v>
      </c>
      <c r="Q1830" s="53" t="n">
        <v>-1.282027</v>
      </c>
      <c r="R1830" s="53" t="n">
        <v>0.534098</v>
      </c>
      <c r="S1830" s="53" t="n">
        <v>-0.646862</v>
      </c>
    </row>
    <row r="1831" customFormat="false" ht="15" hidden="false" customHeight="false" outlineLevel="0" collapsed="false">
      <c r="A1831" s="43" t="n">
        <v>328</v>
      </c>
      <c r="B1831" s="44" t="str">
        <f aca="false">'Model Inputs &amp; Assumptions'!$B$31</f>
        <v>YouTube — Finfluencer Pre-roll</v>
      </c>
      <c r="C1831" s="45" t="n">
        <f aca="false">ROUND(MAX(0,'Model Inputs &amp; Assumptions'!$S$31*EXP('Model Inputs &amp; Assumptions'!$T$31*P1831-'Model Inputs &amp; Assumptions'!$T$31^2/2)),0)</f>
        <v>463712</v>
      </c>
      <c r="D1831" s="46" t="n">
        <f aca="false">MIN(1,'Model Inputs &amp; Assumptions'!$U$31*EXP('Model Inputs &amp; Assumptions'!$V$31*Q1831-'Model Inputs &amp; Assumptions'!$V$31^2/2))</f>
        <v>0.615275353515872</v>
      </c>
      <c r="E1831" s="45" t="n">
        <f aca="false">ROUND(C1831*D1831,0)</f>
        <v>285311</v>
      </c>
      <c r="F1831" s="47" t="n">
        <f aca="false">MIN(1,'Model Inputs &amp; Assumptions'!$W$31*EXP('Model Inputs &amp; Assumptions'!$X$31*R1831-'Model Inputs &amp; Assumptions'!$X$31^2/2))</f>
        <v>0.0051336284657879</v>
      </c>
      <c r="G1831" s="45" t="n">
        <f aca="false">ROUND(C1831*F1831,0)</f>
        <v>2381</v>
      </c>
      <c r="H1831" s="48" t="n">
        <f aca="false">MAX(0,(C1831*'Model Inputs &amp; Assumptions'!$N$31+E1831*'Model Inputs &amp; Assumptions'!$O$31+G1831*'Model Inputs &amp; Assumptions'!$P$31)*EXP('Model Inputs &amp; Assumptions'!$Q$31*S1831-'Model Inputs &amp; Assumptions'!$Q$31^2/2))</f>
        <v>72.8262692441741</v>
      </c>
      <c r="I1831" s="49" t="n">
        <f aca="false">IF('Model Inputs &amp; Assumptions'!$H$31="Fixed",'Model Inputs &amp; Assumptions'!$I$31*'Model Inputs &amp; Assumptions'!$K$31,IF('Model Inputs &amp; Assumptions'!$H$31="CPM",'Model Inputs &amp; Assumptions'!$I$31*'Model Inputs &amp; Assumptions'!$K$31*C1831/1000,IF('Model Inputs &amp; Assumptions'!$H$31="CPC",'Model Inputs &amp; Assumptions'!$I$31*'Model Inputs &amp; Assumptions'!$K$31*G1831,0)))</f>
        <v>5261.276352</v>
      </c>
      <c r="J1831" s="50" t="n">
        <f aca="false">H1831*INDEX('Model Inputs &amp; Assumptions'!$D$40:$D$42,MATCH('Model Inputs &amp; Assumptions'!$L$31,'Model Inputs &amp; Assumptions'!$A$40:$A$42,0))*INDEX('Model Inputs &amp; Assumptions'!$H$40:$H$42,MATCH('Model Inputs &amp; Assumptions'!$L$31,'Model Inputs &amp; Assumptions'!$A$40:$A$42,0))</f>
        <v>524349.138558053</v>
      </c>
      <c r="K1831" s="49" t="n">
        <f aca="false">H1831*INDEX('Model Inputs &amp; Assumptions'!$G$40:$G$42,MATCH('Model Inputs &amp; Assumptions'!$L$31,'Model Inputs &amp; Assumptions'!$A$40:$A$42,0))*INDEX('Model Inputs &amp; Assumptions'!$H$40:$H$42,MATCH('Model Inputs &amp; Assumptions'!$L$31,'Model Inputs &amp; Assumptions'!$A$40:$A$42,0))</f>
        <v>11561.8985052051</v>
      </c>
      <c r="L1831" s="51" t="n">
        <f aca="false">IFERROR(K1831/I1831,0)</f>
        <v>2.19754632368056</v>
      </c>
      <c r="M1831" s="49" t="n">
        <f aca="false">IFERROR(I1831/H1831,0)</f>
        <v>72.2442108679196</v>
      </c>
      <c r="N1831" s="52" t="str">
        <f aca="false">'Model Inputs &amp; Assumptions'!$L$31</f>
        <v>PRD-USIQ</v>
      </c>
      <c r="P1831" s="53" t="n">
        <v>0.016707</v>
      </c>
      <c r="Q1831" s="53" t="n">
        <v>0.369624</v>
      </c>
      <c r="R1831" s="53" t="n">
        <v>0.229895</v>
      </c>
      <c r="S1831" s="53" t="n">
        <v>0.79891</v>
      </c>
    </row>
    <row r="1832" customFormat="false" ht="15" hidden="false" customHeight="false" outlineLevel="0" collapsed="false">
      <c r="A1832" s="43" t="n">
        <v>329</v>
      </c>
      <c r="B1832" s="44" t="str">
        <f aca="false">'Model Inputs &amp; Assumptions'!$B$31</f>
        <v>YouTube — Finfluencer Pre-roll</v>
      </c>
      <c r="C1832" s="45" t="n">
        <f aca="false">ROUND(MAX(0,'Model Inputs &amp; Assumptions'!$S$31*EXP('Model Inputs &amp; Assumptions'!$T$31*P1832-'Model Inputs &amp; Assumptions'!$T$31^2/2)),0)</f>
        <v>401918</v>
      </c>
      <c r="D1832" s="46" t="n">
        <f aca="false">MIN(1,'Model Inputs &amp; Assumptions'!$U$31*EXP('Model Inputs &amp; Assumptions'!$V$31*Q1832-'Model Inputs &amp; Assumptions'!$V$31^2/2))</f>
        <v>0.689368193759771</v>
      </c>
      <c r="E1832" s="45" t="n">
        <f aca="false">ROUND(C1832*D1832,0)</f>
        <v>277069</v>
      </c>
      <c r="F1832" s="47" t="n">
        <f aca="false">MIN(1,'Model Inputs &amp; Assumptions'!$W$31*EXP('Model Inputs &amp; Assumptions'!$X$31*R1832-'Model Inputs &amp; Assumptions'!$X$31^2/2))</f>
        <v>0.00529496258238318</v>
      </c>
      <c r="G1832" s="45" t="n">
        <f aca="false">ROUND(C1832*F1832,0)</f>
        <v>2128</v>
      </c>
      <c r="H1832" s="48" t="n">
        <f aca="false">MAX(0,(C1832*'Model Inputs &amp; Assumptions'!$N$31+E1832*'Model Inputs &amp; Assumptions'!$O$31+G1832*'Model Inputs &amp; Assumptions'!$P$31)*EXP('Model Inputs &amp; Assumptions'!$Q$31*S1832-'Model Inputs &amp; Assumptions'!$Q$31^2/2))</f>
        <v>56.3290223802161</v>
      </c>
      <c r="I1832" s="49" t="n">
        <f aca="false">IF('Model Inputs &amp; Assumptions'!$H$31="Fixed",'Model Inputs &amp; Assumptions'!$I$31*'Model Inputs &amp; Assumptions'!$K$31,IF('Model Inputs &amp; Assumptions'!$H$31="CPM",'Model Inputs &amp; Assumptions'!$I$31*'Model Inputs &amp; Assumptions'!$K$31*C1832/1000,IF('Model Inputs &amp; Assumptions'!$H$31="CPC",'Model Inputs &amp; Assumptions'!$I$31*'Model Inputs &amp; Assumptions'!$K$31*G1832,0)))</f>
        <v>4560.161628</v>
      </c>
      <c r="J1832" s="50" t="n">
        <f aca="false">H1832*INDEX('Model Inputs &amp; Assumptions'!$D$40:$D$42,MATCH('Model Inputs &amp; Assumptions'!$L$31,'Model Inputs &amp; Assumptions'!$A$40:$A$42,0))*INDEX('Model Inputs &amp; Assumptions'!$H$40:$H$42,MATCH('Model Inputs &amp; Assumptions'!$L$31,'Model Inputs &amp; Assumptions'!$A$40:$A$42,0))</f>
        <v>405568.961137556</v>
      </c>
      <c r="K1832" s="49" t="n">
        <f aca="false">H1832*INDEX('Model Inputs &amp; Assumptions'!$G$40:$G$42,MATCH('Model Inputs &amp; Assumptions'!$L$31,'Model Inputs &amp; Assumptions'!$A$40:$A$42,0))*INDEX('Model Inputs &amp; Assumptions'!$H$40:$H$42,MATCH('Model Inputs &amp; Assumptions'!$L$31,'Model Inputs &amp; Assumptions'!$A$40:$A$42,0))</f>
        <v>8942.79559308311</v>
      </c>
      <c r="L1832" s="51" t="n">
        <f aca="false">IFERROR(K1832/I1832,0)</f>
        <v>1.96106987484241</v>
      </c>
      <c r="M1832" s="49" t="n">
        <f aca="false">IFERROR(I1832/H1832,0)</f>
        <v>80.9558099059362</v>
      </c>
      <c r="N1832" s="52" t="str">
        <f aca="false">'Model Inputs &amp; Assumptions'!$L$31</f>
        <v>PRD-USIQ</v>
      </c>
      <c r="P1832" s="53" t="n">
        <v>-0.494066</v>
      </c>
      <c r="Q1832" s="53" t="n">
        <v>1.181807</v>
      </c>
      <c r="R1832" s="53" t="n">
        <v>0.358825</v>
      </c>
      <c r="S1832" s="53" t="n">
        <v>0.291124</v>
      </c>
    </row>
    <row r="1833" customFormat="false" ht="15" hidden="false" customHeight="false" outlineLevel="0" collapsed="false">
      <c r="A1833" s="43" t="n">
        <v>330</v>
      </c>
      <c r="B1833" s="44" t="str">
        <f aca="false">'Model Inputs &amp; Assumptions'!$B$31</f>
        <v>YouTube — Finfluencer Pre-roll</v>
      </c>
      <c r="C1833" s="45" t="n">
        <f aca="false">ROUND(MAX(0,'Model Inputs &amp; Assumptions'!$S$31*EXP('Model Inputs &amp; Assumptions'!$T$31*P1833-'Model Inputs &amp; Assumptions'!$T$31^2/2)),0)</f>
        <v>310906</v>
      </c>
      <c r="D1833" s="46" t="n">
        <f aca="false">MIN(1,'Model Inputs &amp; Assumptions'!$U$31*EXP('Model Inputs &amp; Assumptions'!$V$31*Q1833-'Model Inputs &amp; Assumptions'!$V$31^2/2))</f>
        <v>0.518677745935251</v>
      </c>
      <c r="E1833" s="45" t="n">
        <f aca="false">ROUND(C1833*D1833,0)</f>
        <v>161260</v>
      </c>
      <c r="F1833" s="47" t="n">
        <f aca="false">MIN(1,'Model Inputs &amp; Assumptions'!$W$31*EXP('Model Inputs &amp; Assumptions'!$X$31*R1833-'Model Inputs &amp; Assumptions'!$X$31^2/2))</f>
        <v>0.00610100549251549</v>
      </c>
      <c r="G1833" s="45" t="n">
        <f aca="false">ROUND(C1833*F1833,0)</f>
        <v>1897</v>
      </c>
      <c r="H1833" s="48" t="n">
        <f aca="false">MAX(0,(C1833*'Model Inputs &amp; Assumptions'!$N$31+E1833*'Model Inputs &amp; Assumptions'!$O$31+G1833*'Model Inputs &amp; Assumptions'!$P$31)*EXP('Model Inputs &amp; Assumptions'!$Q$31*S1833-'Model Inputs &amp; Assumptions'!$Q$31^2/2))</f>
        <v>55.3229968130642</v>
      </c>
      <c r="I1833" s="49" t="n">
        <f aca="false">IF('Model Inputs &amp; Assumptions'!$H$31="Fixed",'Model Inputs &amp; Assumptions'!$I$31*'Model Inputs &amp; Assumptions'!$K$31,IF('Model Inputs &amp; Assumptions'!$H$31="CPM",'Model Inputs &amp; Assumptions'!$I$31*'Model Inputs &amp; Assumptions'!$K$31*C1833/1000,IF('Model Inputs &amp; Assumptions'!$H$31="CPC",'Model Inputs &amp; Assumptions'!$I$31*'Model Inputs &amp; Assumptions'!$K$31*G1833,0)))</f>
        <v>3527.539476</v>
      </c>
      <c r="J1833" s="50" t="n">
        <f aca="false">H1833*INDEX('Model Inputs &amp; Assumptions'!$D$40:$D$42,MATCH('Model Inputs &amp; Assumptions'!$L$31,'Model Inputs &amp; Assumptions'!$A$40:$A$42,0))*INDEX('Model Inputs &amp; Assumptions'!$H$40:$H$42,MATCH('Model Inputs &amp; Assumptions'!$L$31,'Model Inputs &amp; Assumptions'!$A$40:$A$42,0))</f>
        <v>398325.577054062</v>
      </c>
      <c r="K1833" s="49" t="n">
        <f aca="false">H1833*INDEX('Model Inputs &amp; Assumptions'!$G$40:$G$42,MATCH('Model Inputs &amp; Assumptions'!$L$31,'Model Inputs &amp; Assumptions'!$A$40:$A$42,0))*INDEX('Model Inputs &amp; Assumptions'!$H$40:$H$42,MATCH('Model Inputs &amp; Assumptions'!$L$31,'Model Inputs &amp; Assumptions'!$A$40:$A$42,0))</f>
        <v>8783.07897404207</v>
      </c>
      <c r="L1833" s="51" t="n">
        <f aca="false">IFERROR(K1833/I1833,0)</f>
        <v>2.48985986798977</v>
      </c>
      <c r="M1833" s="49" t="n">
        <f aca="false">IFERROR(I1833/H1833,0)</f>
        <v>63.7626245721922</v>
      </c>
      <c r="N1833" s="52" t="str">
        <f aca="false">'Model Inputs &amp; Assumptions'!$L$31</f>
        <v>PRD-USIQ</v>
      </c>
      <c r="P1833" s="53" t="n">
        <v>-1.411056</v>
      </c>
      <c r="Q1833" s="53" t="n">
        <v>-0.850284</v>
      </c>
      <c r="R1833" s="53" t="n">
        <v>0.949232</v>
      </c>
      <c r="S1833" s="53" t="n">
        <v>1.00636</v>
      </c>
    </row>
    <row r="1834" customFormat="false" ht="15" hidden="false" customHeight="false" outlineLevel="0" collapsed="false">
      <c r="A1834" s="43" t="n">
        <v>331</v>
      </c>
      <c r="B1834" s="44" t="str">
        <f aca="false">'Model Inputs &amp; Assumptions'!$B$31</f>
        <v>YouTube — Finfluencer Pre-roll</v>
      </c>
      <c r="C1834" s="45" t="n">
        <f aca="false">ROUND(MAX(0,'Model Inputs &amp; Assumptions'!$S$31*EXP('Model Inputs &amp; Assumptions'!$T$31*P1834-'Model Inputs &amp; Assumptions'!$T$31^2/2)),0)</f>
        <v>356828</v>
      </c>
      <c r="D1834" s="46" t="n">
        <f aca="false">MIN(1,'Model Inputs &amp; Assumptions'!$U$31*EXP('Model Inputs &amp; Assumptions'!$V$31*Q1834-'Model Inputs &amp; Assumptions'!$V$31^2/2))</f>
        <v>0.638396802111853</v>
      </c>
      <c r="E1834" s="45" t="n">
        <f aca="false">ROUND(C1834*D1834,0)</f>
        <v>227798</v>
      </c>
      <c r="F1834" s="47" t="n">
        <f aca="false">MIN(1,'Model Inputs &amp; Assumptions'!$W$31*EXP('Model Inputs &amp; Assumptions'!$X$31*R1834-'Model Inputs &amp; Assumptions'!$X$31^2/2))</f>
        <v>0.00437432889420989</v>
      </c>
      <c r="G1834" s="45" t="n">
        <f aca="false">ROUND(C1834*F1834,0)</f>
        <v>1561</v>
      </c>
      <c r="H1834" s="48" t="n">
        <f aca="false">MAX(0,(C1834*'Model Inputs &amp; Assumptions'!$N$31+E1834*'Model Inputs &amp; Assumptions'!$O$31+G1834*'Model Inputs &amp; Assumptions'!$P$31)*EXP('Model Inputs &amp; Assumptions'!$Q$31*S1834-'Model Inputs &amp; Assumptions'!$Q$31^2/2))</f>
        <v>51.1041284499182</v>
      </c>
      <c r="I1834" s="49" t="n">
        <f aca="false">IF('Model Inputs &amp; Assumptions'!$H$31="Fixed",'Model Inputs &amp; Assumptions'!$I$31*'Model Inputs &amp; Assumptions'!$K$31,IF('Model Inputs &amp; Assumptions'!$H$31="CPM",'Model Inputs &amp; Assumptions'!$I$31*'Model Inputs &amp; Assumptions'!$K$31*C1834/1000,IF('Model Inputs &amp; Assumptions'!$H$31="CPC",'Model Inputs &amp; Assumptions'!$I$31*'Model Inputs &amp; Assumptions'!$K$31*G1834,0)))</f>
        <v>4048.570488</v>
      </c>
      <c r="J1834" s="50" t="n">
        <f aca="false">H1834*INDEX('Model Inputs &amp; Assumptions'!$D$40:$D$42,MATCH('Model Inputs &amp; Assumptions'!$L$31,'Model Inputs &amp; Assumptions'!$A$40:$A$42,0))*INDEX('Model Inputs &amp; Assumptions'!$H$40:$H$42,MATCH('Model Inputs &amp; Assumptions'!$L$31,'Model Inputs &amp; Assumptions'!$A$40:$A$42,0))</f>
        <v>367949.724839411</v>
      </c>
      <c r="K1834" s="49" t="n">
        <f aca="false">H1834*INDEX('Model Inputs &amp; Assumptions'!$G$40:$G$42,MATCH('Model Inputs &amp; Assumptions'!$L$31,'Model Inputs &amp; Assumptions'!$A$40:$A$42,0))*INDEX('Model Inputs &amp; Assumptions'!$H$40:$H$42,MATCH('Model Inputs &amp; Assumptions'!$L$31,'Model Inputs &amp; Assumptions'!$A$40:$A$42,0))</f>
        <v>8113.29143270901</v>
      </c>
      <c r="L1834" s="51" t="n">
        <f aca="false">IFERROR(K1834/I1834,0)</f>
        <v>2.00398917513154</v>
      </c>
      <c r="M1834" s="49" t="n">
        <f aca="false">IFERROR(I1834/H1834,0)</f>
        <v>79.2219848141541</v>
      </c>
      <c r="N1834" s="52" t="str">
        <f aca="false">'Model Inputs &amp; Assumptions'!$L$31</f>
        <v>PRD-USIQ</v>
      </c>
      <c r="P1834" s="53" t="n">
        <v>-0.919045</v>
      </c>
      <c r="Q1834" s="53" t="n">
        <v>0.633125</v>
      </c>
      <c r="R1834" s="53" t="n">
        <v>-0.43702</v>
      </c>
      <c r="S1834" s="53" t="n">
        <v>0.760234</v>
      </c>
    </row>
    <row r="1835" customFormat="false" ht="15" hidden="false" customHeight="false" outlineLevel="0" collapsed="false">
      <c r="A1835" s="43" t="n">
        <v>332</v>
      </c>
      <c r="B1835" s="44" t="str">
        <f aca="false">'Model Inputs &amp; Assumptions'!$B$31</f>
        <v>YouTube — Finfluencer Pre-roll</v>
      </c>
      <c r="C1835" s="45" t="n">
        <f aca="false">ROUND(MAX(0,'Model Inputs &amp; Assumptions'!$S$31*EXP('Model Inputs &amp; Assumptions'!$T$31*P1835-'Model Inputs &amp; Assumptions'!$T$31^2/2)),0)</f>
        <v>361817</v>
      </c>
      <c r="D1835" s="46" t="n">
        <f aca="false">MIN(1,'Model Inputs &amp; Assumptions'!$U$31*EXP('Model Inputs &amp; Assumptions'!$V$31*Q1835-'Model Inputs &amp; Assumptions'!$V$31^2/2))</f>
        <v>0.545908727980142</v>
      </c>
      <c r="E1835" s="45" t="n">
        <f aca="false">ROUND(C1835*D1835,0)</f>
        <v>197519</v>
      </c>
      <c r="F1835" s="47" t="n">
        <f aca="false">MIN(1,'Model Inputs &amp; Assumptions'!$W$31*EXP('Model Inputs &amp; Assumptions'!$X$31*R1835-'Model Inputs &amp; Assumptions'!$X$31^2/2))</f>
        <v>0.00361197846127247</v>
      </c>
      <c r="G1835" s="45" t="n">
        <f aca="false">ROUND(C1835*F1835,0)</f>
        <v>1307</v>
      </c>
      <c r="H1835" s="48" t="n">
        <f aca="false">MAX(0,(C1835*'Model Inputs &amp; Assumptions'!$N$31+E1835*'Model Inputs &amp; Assumptions'!$O$31+G1835*'Model Inputs &amp; Assumptions'!$P$31)*EXP('Model Inputs &amp; Assumptions'!$Q$31*S1835-'Model Inputs &amp; Assumptions'!$Q$31^2/2))</f>
        <v>14.6639988772375</v>
      </c>
      <c r="I1835" s="49" t="n">
        <f aca="false">IF('Model Inputs &amp; Assumptions'!$H$31="Fixed",'Model Inputs &amp; Assumptions'!$I$31*'Model Inputs &amp; Assumptions'!$K$31,IF('Model Inputs &amp; Assumptions'!$H$31="CPM",'Model Inputs &amp; Assumptions'!$I$31*'Model Inputs &amp; Assumptions'!$K$31*C1835/1000,IF('Model Inputs &amp; Assumptions'!$H$31="CPC",'Model Inputs &amp; Assumptions'!$I$31*'Model Inputs &amp; Assumptions'!$K$31*G1835,0)))</f>
        <v>4105.175682</v>
      </c>
      <c r="J1835" s="50" t="n">
        <f aca="false">H1835*INDEX('Model Inputs &amp; Assumptions'!$D$40:$D$42,MATCH('Model Inputs &amp; Assumptions'!$L$31,'Model Inputs &amp; Assumptions'!$A$40:$A$42,0))*INDEX('Model Inputs &amp; Assumptions'!$H$40:$H$42,MATCH('Model Inputs &amp; Assumptions'!$L$31,'Model Inputs &amp; Assumptions'!$A$40:$A$42,0))</f>
        <v>105580.79191611</v>
      </c>
      <c r="K1835" s="49" t="n">
        <f aca="false">H1835*INDEX('Model Inputs &amp; Assumptions'!$G$40:$G$42,MATCH('Model Inputs &amp; Assumptions'!$L$31,'Model Inputs &amp; Assumptions'!$A$40:$A$42,0))*INDEX('Model Inputs &amp; Assumptions'!$H$40:$H$42,MATCH('Model Inputs &amp; Assumptions'!$L$31,'Model Inputs &amp; Assumptions'!$A$40:$A$42,0))</f>
        <v>2328.05646175022</v>
      </c>
      <c r="L1835" s="51" t="n">
        <f aca="false">IFERROR(K1835/I1835,0)</f>
        <v>0.567102760536674</v>
      </c>
      <c r="M1835" s="49" t="n">
        <f aca="false">IFERROR(I1835/H1835,0)</f>
        <v>279.949263251264</v>
      </c>
      <c r="N1835" s="52" t="str">
        <f aca="false">'Model Inputs &amp; Assumptions'!$L$31</f>
        <v>PRD-USIQ</v>
      </c>
      <c r="P1835" s="53" t="n">
        <v>-0.869451</v>
      </c>
      <c r="Q1835" s="53" t="n">
        <v>-0.484791</v>
      </c>
      <c r="R1835" s="53" t="n">
        <v>-1.234926</v>
      </c>
      <c r="S1835" s="53" t="n">
        <v>-2.343573</v>
      </c>
    </row>
    <row r="1836" customFormat="false" ht="15" hidden="false" customHeight="false" outlineLevel="0" collapsed="false">
      <c r="A1836" s="43" t="n">
        <v>333</v>
      </c>
      <c r="B1836" s="44" t="str">
        <f aca="false">'Model Inputs &amp; Assumptions'!$B$31</f>
        <v>YouTube — Finfluencer Pre-roll</v>
      </c>
      <c r="C1836" s="45" t="n">
        <f aca="false">ROUND(MAX(0,'Model Inputs &amp; Assumptions'!$S$31*EXP('Model Inputs &amp; Assumptions'!$T$31*P1836-'Model Inputs &amp; Assumptions'!$T$31^2/2)),0)</f>
        <v>595727</v>
      </c>
      <c r="D1836" s="46" t="n">
        <f aca="false">MIN(1,'Model Inputs &amp; Assumptions'!$U$31*EXP('Model Inputs &amp; Assumptions'!$V$31*Q1836-'Model Inputs &amp; Assumptions'!$V$31^2/2))</f>
        <v>0.507457709748923</v>
      </c>
      <c r="E1836" s="45" t="n">
        <f aca="false">ROUND(C1836*D1836,0)</f>
        <v>302306</v>
      </c>
      <c r="F1836" s="47" t="n">
        <f aca="false">MIN(1,'Model Inputs &amp; Assumptions'!$W$31*EXP('Model Inputs &amp; Assumptions'!$X$31*R1836-'Model Inputs &amp; Assumptions'!$X$31^2/2))</f>
        <v>0.0046875005678324</v>
      </c>
      <c r="G1836" s="45" t="n">
        <f aca="false">ROUND(C1836*F1836,0)</f>
        <v>2792</v>
      </c>
      <c r="H1836" s="48" t="n">
        <f aca="false">MAX(0,(C1836*'Model Inputs &amp; Assumptions'!$N$31+E1836*'Model Inputs &amp; Assumptions'!$O$31+G1836*'Model Inputs &amp; Assumptions'!$P$31)*EXP('Model Inputs &amp; Assumptions'!$Q$31*S1836-'Model Inputs &amp; Assumptions'!$Q$31^2/2))</f>
        <v>78.0196474066173</v>
      </c>
      <c r="I1836" s="49" t="n">
        <f aca="false">IF('Model Inputs &amp; Assumptions'!$H$31="Fixed",'Model Inputs &amp; Assumptions'!$I$31*'Model Inputs &amp; Assumptions'!$K$31,IF('Model Inputs &amp; Assumptions'!$H$31="CPM",'Model Inputs &amp; Assumptions'!$I$31*'Model Inputs &amp; Assumptions'!$K$31*C1836/1000,IF('Model Inputs &amp; Assumptions'!$H$31="CPC",'Model Inputs &amp; Assumptions'!$I$31*'Model Inputs &amp; Assumptions'!$K$31*G1836,0)))</f>
        <v>6759.118542</v>
      </c>
      <c r="J1836" s="50" t="n">
        <f aca="false">H1836*INDEX('Model Inputs &amp; Assumptions'!$D$40:$D$42,MATCH('Model Inputs &amp; Assumptions'!$L$31,'Model Inputs &amp; Assumptions'!$A$40:$A$42,0))*INDEX('Model Inputs &amp; Assumptions'!$H$40:$H$42,MATCH('Model Inputs &amp; Assumptions'!$L$31,'Model Inputs &amp; Assumptions'!$A$40:$A$42,0))</f>
        <v>561741.461327645</v>
      </c>
      <c r="K1836" s="49" t="n">
        <f aca="false">H1836*INDEX('Model Inputs &amp; Assumptions'!$G$40:$G$42,MATCH('Model Inputs &amp; Assumptions'!$L$31,'Model Inputs &amp; Assumptions'!$A$40:$A$42,0))*INDEX('Model Inputs &amp; Assumptions'!$H$40:$H$42,MATCH('Model Inputs &amp; Assumptions'!$L$31,'Model Inputs &amp; Assumptions'!$A$40:$A$42,0))</f>
        <v>12386.3992222746</v>
      </c>
      <c r="L1836" s="51" t="n">
        <f aca="false">IFERROR(K1836/I1836,0)</f>
        <v>1.83254652885692</v>
      </c>
      <c r="M1836" s="49" t="n">
        <f aca="false">IFERROR(I1836/H1836,0)</f>
        <v>86.6335438145894</v>
      </c>
      <c r="N1836" s="52" t="str">
        <f aca="false">'Model Inputs &amp; Assumptions'!$L$31</f>
        <v>PRD-USIQ</v>
      </c>
      <c r="P1836" s="53" t="n">
        <v>0.911418</v>
      </c>
      <c r="Q1836" s="53" t="n">
        <v>-1.006494</v>
      </c>
      <c r="R1836" s="53" t="n">
        <v>-0.14891</v>
      </c>
      <c r="S1836" s="53" t="n">
        <v>0.650227</v>
      </c>
    </row>
    <row r="1837" customFormat="false" ht="15" hidden="false" customHeight="false" outlineLevel="0" collapsed="false">
      <c r="A1837" s="43" t="n">
        <v>334</v>
      </c>
      <c r="B1837" s="44" t="str">
        <f aca="false">'Model Inputs &amp; Assumptions'!$B$31</f>
        <v>YouTube — Finfluencer Pre-roll</v>
      </c>
      <c r="C1837" s="45" t="n">
        <f aca="false">ROUND(MAX(0,'Model Inputs &amp; Assumptions'!$S$31*EXP('Model Inputs &amp; Assumptions'!$T$31*P1837-'Model Inputs &amp; Assumptions'!$T$31^2/2)),0)</f>
        <v>617630</v>
      </c>
      <c r="D1837" s="46" t="n">
        <f aca="false">MIN(1,'Model Inputs &amp; Assumptions'!$U$31*EXP('Model Inputs &amp; Assumptions'!$V$31*Q1837-'Model Inputs &amp; Assumptions'!$V$31^2/2))</f>
        <v>0.626924762173812</v>
      </c>
      <c r="E1837" s="45" t="n">
        <f aca="false">ROUND(C1837*D1837,0)</f>
        <v>387208</v>
      </c>
      <c r="F1837" s="47" t="n">
        <f aca="false">MIN(1,'Model Inputs &amp; Assumptions'!$W$31*EXP('Model Inputs &amp; Assumptions'!$X$31*R1837-'Model Inputs &amp; Assumptions'!$X$31^2/2))</f>
        <v>0.00532551250712727</v>
      </c>
      <c r="G1837" s="45" t="n">
        <f aca="false">ROUND(C1837*F1837,0)</f>
        <v>3289</v>
      </c>
      <c r="H1837" s="48" t="n">
        <f aca="false">MAX(0,(C1837*'Model Inputs &amp; Assumptions'!$N$31+E1837*'Model Inputs &amp; Assumptions'!$O$31+G1837*'Model Inputs &amp; Assumptions'!$P$31)*EXP('Model Inputs &amp; Assumptions'!$Q$31*S1837-'Model Inputs &amp; Assumptions'!$Q$31^2/2))</f>
        <v>52.1825327300784</v>
      </c>
      <c r="I1837" s="49" t="n">
        <f aca="false">IF('Model Inputs &amp; Assumptions'!$H$31="Fixed",'Model Inputs &amp; Assumptions'!$I$31*'Model Inputs &amp; Assumptions'!$K$31,IF('Model Inputs &amp; Assumptions'!$H$31="CPM",'Model Inputs &amp; Assumptions'!$I$31*'Model Inputs &amp; Assumptions'!$K$31*C1837/1000,IF('Model Inputs &amp; Assumptions'!$H$31="CPC",'Model Inputs &amp; Assumptions'!$I$31*'Model Inputs &amp; Assumptions'!$K$31*G1837,0)))</f>
        <v>7007.62998</v>
      </c>
      <c r="J1837" s="50" t="n">
        <f aca="false">H1837*INDEX('Model Inputs &amp; Assumptions'!$D$40:$D$42,MATCH('Model Inputs &amp; Assumptions'!$L$31,'Model Inputs &amp; Assumptions'!$A$40:$A$42,0))*INDEX('Model Inputs &amp; Assumptions'!$H$40:$H$42,MATCH('Model Inputs &amp; Assumptions'!$L$31,'Model Inputs &amp; Assumptions'!$A$40:$A$42,0))</f>
        <v>375714.235656565</v>
      </c>
      <c r="K1837" s="49" t="n">
        <f aca="false">H1837*INDEX('Model Inputs &amp; Assumptions'!$G$40:$G$42,MATCH('Model Inputs &amp; Assumptions'!$L$31,'Model Inputs &amp; Assumptions'!$A$40:$A$42,0))*INDEX('Model Inputs &amp; Assumptions'!$H$40:$H$42,MATCH('Model Inputs &amp; Assumptions'!$L$31,'Model Inputs &amp; Assumptions'!$A$40:$A$42,0))</f>
        <v>8284.49889622725</v>
      </c>
      <c r="L1837" s="51" t="n">
        <f aca="false">IFERROR(K1837/I1837,0)</f>
        <v>1.18221123544928</v>
      </c>
      <c r="M1837" s="49" t="n">
        <f aca="false">IFERROR(I1837/H1837,0)</f>
        <v>134.29072169126</v>
      </c>
      <c r="N1837" s="52" t="str">
        <f aca="false">'Model Inputs &amp; Assumptions'!$L$31</f>
        <v>PRD-USIQ</v>
      </c>
      <c r="P1837" s="53" t="n">
        <v>1.040368</v>
      </c>
      <c r="Q1837" s="53" t="n">
        <v>0.5036</v>
      </c>
      <c r="R1837" s="53" t="n">
        <v>0.382796</v>
      </c>
      <c r="S1837" s="53" t="n">
        <v>-1.056905</v>
      </c>
    </row>
    <row r="1838" customFormat="false" ht="15" hidden="false" customHeight="false" outlineLevel="0" collapsed="false">
      <c r="A1838" s="43" t="n">
        <v>335</v>
      </c>
      <c r="B1838" s="44" t="str">
        <f aca="false">'Model Inputs &amp; Assumptions'!$B$31</f>
        <v>YouTube — Finfluencer Pre-roll</v>
      </c>
      <c r="C1838" s="45" t="n">
        <f aca="false">ROUND(MAX(0,'Model Inputs &amp; Assumptions'!$S$31*EXP('Model Inputs &amp; Assumptions'!$T$31*P1838-'Model Inputs &amp; Assumptions'!$T$31^2/2)),0)</f>
        <v>343134</v>
      </c>
      <c r="D1838" s="46" t="n">
        <f aca="false">MIN(1,'Model Inputs &amp; Assumptions'!$U$31*EXP('Model Inputs &amp; Assumptions'!$V$31*Q1838-'Model Inputs &amp; Assumptions'!$V$31^2/2))</f>
        <v>0.627141414644364</v>
      </c>
      <c r="E1838" s="45" t="n">
        <f aca="false">ROUND(C1838*D1838,0)</f>
        <v>215194</v>
      </c>
      <c r="F1838" s="47" t="n">
        <f aca="false">MIN(1,'Model Inputs &amp; Assumptions'!$W$31*EXP('Model Inputs &amp; Assumptions'!$X$31*R1838-'Model Inputs &amp; Assumptions'!$X$31^2/2))</f>
        <v>0.00453659382852225</v>
      </c>
      <c r="G1838" s="45" t="n">
        <f aca="false">ROUND(C1838*F1838,0)</f>
        <v>1557</v>
      </c>
      <c r="H1838" s="48" t="n">
        <f aca="false">MAX(0,(C1838*'Model Inputs &amp; Assumptions'!$N$31+E1838*'Model Inputs &amp; Assumptions'!$O$31+G1838*'Model Inputs &amp; Assumptions'!$P$31)*EXP('Model Inputs &amp; Assumptions'!$Q$31*S1838-'Model Inputs &amp; Assumptions'!$Q$31^2/2))</f>
        <v>33.5838583231945</v>
      </c>
      <c r="I1838" s="49" t="n">
        <f aca="false">IF('Model Inputs &amp; Assumptions'!$H$31="Fixed",'Model Inputs &amp; Assumptions'!$I$31*'Model Inputs &amp; Assumptions'!$K$31,IF('Model Inputs &amp; Assumptions'!$H$31="CPM",'Model Inputs &amp; Assumptions'!$I$31*'Model Inputs &amp; Assumptions'!$K$31*C1838/1000,IF('Model Inputs &amp; Assumptions'!$H$31="CPC",'Model Inputs &amp; Assumptions'!$I$31*'Model Inputs &amp; Assumptions'!$K$31*G1838,0)))</f>
        <v>3893.198364</v>
      </c>
      <c r="J1838" s="50" t="n">
        <f aca="false">H1838*INDEX('Model Inputs &amp; Assumptions'!$D$40:$D$42,MATCH('Model Inputs &amp; Assumptions'!$L$31,'Model Inputs &amp; Assumptions'!$A$40:$A$42,0))*INDEX('Model Inputs &amp; Assumptions'!$H$40:$H$42,MATCH('Model Inputs &amp; Assumptions'!$L$31,'Model Inputs &amp; Assumptions'!$A$40:$A$42,0))</f>
        <v>241803.779927</v>
      </c>
      <c r="K1838" s="49" t="n">
        <f aca="false">H1838*INDEX('Model Inputs &amp; Assumptions'!$G$40:$G$42,MATCH('Model Inputs &amp; Assumptions'!$L$31,'Model Inputs &amp; Assumptions'!$A$40:$A$42,0))*INDEX('Model Inputs &amp; Assumptions'!$H$40:$H$42,MATCH('Model Inputs &amp; Assumptions'!$L$31,'Model Inputs &amp; Assumptions'!$A$40:$A$42,0))</f>
        <v>5331.77334739035</v>
      </c>
      <c r="L1838" s="51" t="n">
        <f aca="false">IFERROR(K1838/I1838,0)</f>
        <v>1.36950980887404</v>
      </c>
      <c r="M1838" s="49" t="n">
        <f aca="false">IFERROR(I1838/H1838,0)</f>
        <v>115.924689966644</v>
      </c>
      <c r="N1838" s="52" t="str">
        <f aca="false">'Model Inputs &amp; Assumptions'!$L$31</f>
        <v>PRD-USIQ</v>
      </c>
      <c r="P1838" s="53" t="n">
        <v>-1.058803</v>
      </c>
      <c r="Q1838" s="53" t="n">
        <v>0.506068</v>
      </c>
      <c r="R1838" s="53" t="n">
        <v>-0.285256</v>
      </c>
      <c r="S1838" s="53" t="n">
        <v>-0.364989</v>
      </c>
    </row>
    <row r="1839" customFormat="false" ht="15" hidden="false" customHeight="false" outlineLevel="0" collapsed="false">
      <c r="A1839" s="43" t="n">
        <v>336</v>
      </c>
      <c r="B1839" s="44" t="str">
        <f aca="false">'Model Inputs &amp; Assumptions'!$B$31</f>
        <v>YouTube — Finfluencer Pre-roll</v>
      </c>
      <c r="C1839" s="45" t="n">
        <f aca="false">ROUND(MAX(0,'Model Inputs &amp; Assumptions'!$S$31*EXP('Model Inputs &amp; Assumptions'!$T$31*P1839-'Model Inputs &amp; Assumptions'!$T$31^2/2)),0)</f>
        <v>365289</v>
      </c>
      <c r="D1839" s="46" t="n">
        <f aca="false">MIN(1,'Model Inputs &amp; Assumptions'!$U$31*EXP('Model Inputs &amp; Assumptions'!$V$31*Q1839-'Model Inputs &amp; Assumptions'!$V$31^2/2))</f>
        <v>0.452459988895344</v>
      </c>
      <c r="E1839" s="45" t="n">
        <f aca="false">ROUND(C1839*D1839,0)</f>
        <v>165279</v>
      </c>
      <c r="F1839" s="47" t="n">
        <f aca="false">MIN(1,'Model Inputs &amp; Assumptions'!$W$31*EXP('Model Inputs &amp; Assumptions'!$X$31*R1839-'Model Inputs &amp; Assumptions'!$X$31^2/2))</f>
        <v>0.00423852949738297</v>
      </c>
      <c r="G1839" s="45" t="n">
        <f aca="false">ROUND(C1839*F1839,0)</f>
        <v>1548</v>
      </c>
      <c r="H1839" s="48" t="n">
        <f aca="false">MAX(0,(C1839*'Model Inputs &amp; Assumptions'!$N$31+E1839*'Model Inputs &amp; Assumptions'!$O$31+G1839*'Model Inputs &amp; Assumptions'!$P$31)*EXP('Model Inputs &amp; Assumptions'!$Q$31*S1839-'Model Inputs &amp; Assumptions'!$Q$31^2/2))</f>
        <v>44.8939677273563</v>
      </c>
      <c r="I1839" s="49" t="n">
        <f aca="false">IF('Model Inputs &amp; Assumptions'!$H$31="Fixed",'Model Inputs &amp; Assumptions'!$I$31*'Model Inputs &amp; Assumptions'!$K$31,IF('Model Inputs &amp; Assumptions'!$H$31="CPM",'Model Inputs &amp; Assumptions'!$I$31*'Model Inputs &amp; Assumptions'!$K$31*C1839/1000,IF('Model Inputs &amp; Assumptions'!$H$31="CPC",'Model Inputs &amp; Assumptions'!$I$31*'Model Inputs &amp; Assumptions'!$K$31*G1839,0)))</f>
        <v>4144.568994</v>
      </c>
      <c r="J1839" s="50" t="n">
        <f aca="false">H1839*INDEX('Model Inputs &amp; Assumptions'!$D$40:$D$42,MATCH('Model Inputs &amp; Assumptions'!$L$31,'Model Inputs &amp; Assumptions'!$A$40:$A$42,0))*INDEX('Model Inputs &amp; Assumptions'!$H$40:$H$42,MATCH('Model Inputs &amp; Assumptions'!$L$31,'Model Inputs &amp; Assumptions'!$A$40:$A$42,0))</f>
        <v>323236.567636965</v>
      </c>
      <c r="K1839" s="49" t="n">
        <f aca="false">H1839*INDEX('Model Inputs &amp; Assumptions'!$G$40:$G$42,MATCH('Model Inputs &amp; Assumptions'!$L$31,'Model Inputs &amp; Assumptions'!$A$40:$A$42,0))*INDEX('Model Inputs &amp; Assumptions'!$H$40:$H$42,MATCH('Model Inputs &amp; Assumptions'!$L$31,'Model Inputs &amp; Assumptions'!$A$40:$A$42,0))</f>
        <v>7127.36631639508</v>
      </c>
      <c r="L1839" s="51" t="n">
        <f aca="false">IFERROR(K1839/I1839,0)</f>
        <v>1.71968818150047</v>
      </c>
      <c r="M1839" s="49" t="n">
        <f aca="false">IFERROR(I1839/H1839,0)</f>
        <v>92.319062088034</v>
      </c>
      <c r="N1839" s="52" t="str">
        <f aca="false">'Model Inputs &amp; Assumptions'!$L$31</f>
        <v>PRD-USIQ</v>
      </c>
      <c r="P1839" s="53" t="n">
        <v>-0.835352</v>
      </c>
      <c r="Q1839" s="53" t="n">
        <v>-1.82588</v>
      </c>
      <c r="R1839" s="53" t="n">
        <v>-0.568423</v>
      </c>
      <c r="S1839" s="53" t="n">
        <v>0.770922</v>
      </c>
    </row>
    <row r="1840" customFormat="false" ht="15" hidden="false" customHeight="false" outlineLevel="0" collapsed="false">
      <c r="A1840" s="43" t="n">
        <v>337</v>
      </c>
      <c r="B1840" s="44" t="str">
        <f aca="false">'Model Inputs &amp; Assumptions'!$B$31</f>
        <v>YouTube — Finfluencer Pre-roll</v>
      </c>
      <c r="C1840" s="45" t="n">
        <f aca="false">ROUND(MAX(0,'Model Inputs &amp; Assumptions'!$S$31*EXP('Model Inputs &amp; Assumptions'!$T$31*P1840-'Model Inputs &amp; Assumptions'!$T$31^2/2)),0)</f>
        <v>306753</v>
      </c>
      <c r="D1840" s="46" t="n">
        <f aca="false">MIN(1,'Model Inputs &amp; Assumptions'!$U$31*EXP('Model Inputs &amp; Assumptions'!$V$31*Q1840-'Model Inputs &amp; Assumptions'!$V$31^2/2))</f>
        <v>0.683842396705421</v>
      </c>
      <c r="E1840" s="45" t="n">
        <f aca="false">ROUND(C1840*D1840,0)</f>
        <v>209771</v>
      </c>
      <c r="F1840" s="47" t="n">
        <f aca="false">MIN(1,'Model Inputs &amp; Assumptions'!$W$31*EXP('Model Inputs &amp; Assumptions'!$X$31*R1840-'Model Inputs &amp; Assumptions'!$X$31^2/2))</f>
        <v>0.00608240874346851</v>
      </c>
      <c r="G1840" s="45" t="n">
        <f aca="false">ROUND(C1840*F1840,0)</f>
        <v>1866</v>
      </c>
      <c r="H1840" s="48" t="n">
        <f aca="false">MAX(0,(C1840*'Model Inputs &amp; Assumptions'!$N$31+E1840*'Model Inputs &amp; Assumptions'!$O$31+G1840*'Model Inputs &amp; Assumptions'!$P$31)*EXP('Model Inputs &amp; Assumptions'!$Q$31*S1840-'Model Inputs &amp; Assumptions'!$Q$31^2/2))</f>
        <v>35.1954758261426</v>
      </c>
      <c r="I1840" s="49" t="n">
        <f aca="false">IF('Model Inputs &amp; Assumptions'!$H$31="Fixed",'Model Inputs &amp; Assumptions'!$I$31*'Model Inputs &amp; Assumptions'!$K$31,IF('Model Inputs &amp; Assumptions'!$H$31="CPM",'Model Inputs &amp; Assumptions'!$I$31*'Model Inputs &amp; Assumptions'!$K$31*C1840/1000,IF('Model Inputs &amp; Assumptions'!$H$31="CPC",'Model Inputs &amp; Assumptions'!$I$31*'Model Inputs &amp; Assumptions'!$K$31*G1840,0)))</f>
        <v>3480.419538</v>
      </c>
      <c r="J1840" s="50" t="n">
        <f aca="false">H1840*INDEX('Model Inputs &amp; Assumptions'!$D$40:$D$42,MATCH('Model Inputs &amp; Assumptions'!$L$31,'Model Inputs &amp; Assumptions'!$A$40:$A$42,0))*INDEX('Model Inputs &amp; Assumptions'!$H$40:$H$42,MATCH('Model Inputs &amp; Assumptions'!$L$31,'Model Inputs &amp; Assumptions'!$A$40:$A$42,0))</f>
        <v>253407.425948226</v>
      </c>
      <c r="K1840" s="49" t="n">
        <f aca="false">H1840*INDEX('Model Inputs &amp; Assumptions'!$G$40:$G$42,MATCH('Model Inputs &amp; Assumptions'!$L$31,'Model Inputs &amp; Assumptions'!$A$40:$A$42,0))*INDEX('Model Inputs &amp; Assumptions'!$H$40:$H$42,MATCH('Model Inputs &amp; Assumptions'!$L$31,'Model Inputs &amp; Assumptions'!$A$40:$A$42,0))</f>
        <v>5587.63374215839</v>
      </c>
      <c r="L1840" s="51" t="n">
        <f aca="false">IFERROR(K1840/I1840,0)</f>
        <v>1.60544833206209</v>
      </c>
      <c r="M1840" s="49" t="n">
        <f aca="false">IFERROR(I1840/H1840,0)</f>
        <v>98.8882649347451</v>
      </c>
      <c r="N1840" s="52" t="str">
        <f aca="false">'Model Inputs &amp; Assumptions'!$L$31</f>
        <v>PRD-USIQ</v>
      </c>
      <c r="P1840" s="53" t="n">
        <v>-1.459083</v>
      </c>
      <c r="Q1840" s="53" t="n">
        <v>1.124321</v>
      </c>
      <c r="R1840" s="53" t="n">
        <v>0.936512</v>
      </c>
      <c r="S1840" s="53" t="n">
        <v>-0.512595</v>
      </c>
    </row>
    <row r="1841" customFormat="false" ht="15" hidden="false" customHeight="false" outlineLevel="0" collapsed="false">
      <c r="A1841" s="43" t="n">
        <v>338</v>
      </c>
      <c r="B1841" s="44" t="str">
        <f aca="false">'Model Inputs &amp; Assumptions'!$B$31</f>
        <v>YouTube — Finfluencer Pre-roll</v>
      </c>
      <c r="C1841" s="45" t="n">
        <f aca="false">ROUND(MAX(0,'Model Inputs &amp; Assumptions'!$S$31*EXP('Model Inputs &amp; Assumptions'!$T$31*P1841-'Model Inputs &amp; Assumptions'!$T$31^2/2)),0)</f>
        <v>379624</v>
      </c>
      <c r="D1841" s="46" t="n">
        <f aca="false">MIN(1,'Model Inputs &amp; Assumptions'!$U$31*EXP('Model Inputs &amp; Assumptions'!$V$31*Q1841-'Model Inputs &amp; Assumptions'!$V$31^2/2))</f>
        <v>0.606642185428835</v>
      </c>
      <c r="E1841" s="45" t="n">
        <f aca="false">ROUND(C1841*D1841,0)</f>
        <v>230296</v>
      </c>
      <c r="F1841" s="47" t="n">
        <f aca="false">MIN(1,'Model Inputs &amp; Assumptions'!$W$31*EXP('Model Inputs &amp; Assumptions'!$X$31*R1841-'Model Inputs &amp; Assumptions'!$X$31^2/2))</f>
        <v>0.00518735613642081</v>
      </c>
      <c r="G1841" s="45" t="n">
        <f aca="false">ROUND(C1841*F1841,0)</f>
        <v>1969</v>
      </c>
      <c r="H1841" s="48" t="n">
        <f aca="false">MAX(0,(C1841*'Model Inputs &amp; Assumptions'!$N$31+E1841*'Model Inputs &amp; Assumptions'!$O$31+G1841*'Model Inputs &amp; Assumptions'!$P$31)*EXP('Model Inputs &amp; Assumptions'!$Q$31*S1841-'Model Inputs &amp; Assumptions'!$Q$31^2/2))</f>
        <v>102.400112050172</v>
      </c>
      <c r="I1841" s="49" t="n">
        <f aca="false">IF('Model Inputs &amp; Assumptions'!$H$31="Fixed",'Model Inputs &amp; Assumptions'!$I$31*'Model Inputs &amp; Assumptions'!$K$31,IF('Model Inputs &amp; Assumptions'!$H$31="CPM",'Model Inputs &amp; Assumptions'!$I$31*'Model Inputs &amp; Assumptions'!$K$31*C1841/1000,IF('Model Inputs &amp; Assumptions'!$H$31="CPC",'Model Inputs &amp; Assumptions'!$I$31*'Model Inputs &amp; Assumptions'!$K$31*G1841,0)))</f>
        <v>4307.213904</v>
      </c>
      <c r="J1841" s="50" t="n">
        <f aca="false">H1841*INDEX('Model Inputs &amp; Assumptions'!$D$40:$D$42,MATCH('Model Inputs &amp; Assumptions'!$L$31,'Model Inputs &amp; Assumptions'!$A$40:$A$42,0))*INDEX('Model Inputs &amp; Assumptions'!$H$40:$H$42,MATCH('Model Inputs &amp; Assumptions'!$L$31,'Model Inputs &amp; Assumptions'!$A$40:$A$42,0))</f>
        <v>737280.806761239</v>
      </c>
      <c r="K1841" s="49" t="n">
        <f aca="false">H1841*INDEX('Model Inputs &amp; Assumptions'!$G$40:$G$42,MATCH('Model Inputs &amp; Assumptions'!$L$31,'Model Inputs &amp; Assumptions'!$A$40:$A$42,0))*INDEX('Model Inputs &amp; Assumptions'!$H$40:$H$42,MATCH('Model Inputs &amp; Assumptions'!$L$31,'Model Inputs &amp; Assumptions'!$A$40:$A$42,0))</f>
        <v>16257.0417890853</v>
      </c>
      <c r="L1841" s="51" t="n">
        <f aca="false">IFERROR(K1841/I1841,0)</f>
        <v>3.77437530418163</v>
      </c>
      <c r="M1841" s="49" t="n">
        <f aca="false">IFERROR(I1841/H1841,0)</f>
        <v>42.0625897546834</v>
      </c>
      <c r="N1841" s="52" t="str">
        <f aca="false">'Model Inputs &amp; Assumptions'!$L$31</f>
        <v>PRD-USIQ</v>
      </c>
      <c r="P1841" s="53" t="n">
        <v>-0.697872</v>
      </c>
      <c r="Q1841" s="53" t="n">
        <v>0.26869</v>
      </c>
      <c r="R1841" s="53" t="n">
        <v>0.273276</v>
      </c>
      <c r="S1841" s="53" t="n">
        <v>2.34228</v>
      </c>
    </row>
    <row r="1842" customFormat="false" ht="15" hidden="false" customHeight="false" outlineLevel="0" collapsed="false">
      <c r="A1842" s="43" t="n">
        <v>339</v>
      </c>
      <c r="B1842" s="44" t="str">
        <f aca="false">'Model Inputs &amp; Assumptions'!$B$31</f>
        <v>YouTube — Finfluencer Pre-roll</v>
      </c>
      <c r="C1842" s="45" t="n">
        <f aca="false">ROUND(MAX(0,'Model Inputs &amp; Assumptions'!$S$31*EXP('Model Inputs &amp; Assumptions'!$T$31*P1842-'Model Inputs &amp; Assumptions'!$T$31^2/2)),0)</f>
        <v>595120</v>
      </c>
      <c r="D1842" s="46" t="n">
        <f aca="false">MIN(1,'Model Inputs &amp; Assumptions'!$U$31*EXP('Model Inputs &amp; Assumptions'!$V$31*Q1842-'Model Inputs &amp; Assumptions'!$V$31^2/2))</f>
        <v>0.581453438217462</v>
      </c>
      <c r="E1842" s="45" t="n">
        <f aca="false">ROUND(C1842*D1842,0)</f>
        <v>346035</v>
      </c>
      <c r="F1842" s="47" t="n">
        <f aca="false">MIN(1,'Model Inputs &amp; Assumptions'!$W$31*EXP('Model Inputs &amp; Assumptions'!$X$31*R1842-'Model Inputs &amp; Assumptions'!$X$31^2/2))</f>
        <v>0.00426093334960274</v>
      </c>
      <c r="G1842" s="45" t="n">
        <f aca="false">ROUND(C1842*F1842,0)</f>
        <v>2536</v>
      </c>
      <c r="H1842" s="48" t="n">
        <f aca="false">MAX(0,(C1842*'Model Inputs &amp; Assumptions'!$N$31+E1842*'Model Inputs &amp; Assumptions'!$O$31+G1842*'Model Inputs &amp; Assumptions'!$P$31)*EXP('Model Inputs &amp; Assumptions'!$Q$31*S1842-'Model Inputs &amp; Assumptions'!$Q$31^2/2))</f>
        <v>82.3027521225719</v>
      </c>
      <c r="I1842" s="49" t="n">
        <f aca="false">IF('Model Inputs &amp; Assumptions'!$H$31="Fixed",'Model Inputs &amp; Assumptions'!$I$31*'Model Inputs &amp; Assumptions'!$K$31,IF('Model Inputs &amp; Assumptions'!$H$31="CPM",'Model Inputs &amp; Assumptions'!$I$31*'Model Inputs &amp; Assumptions'!$K$31*C1842/1000,IF('Model Inputs &amp; Assumptions'!$H$31="CPC",'Model Inputs &amp; Assumptions'!$I$31*'Model Inputs &amp; Assumptions'!$K$31*G1842,0)))</f>
        <v>6752.23152</v>
      </c>
      <c r="J1842" s="50" t="n">
        <f aca="false">H1842*INDEX('Model Inputs &amp; Assumptions'!$D$40:$D$42,MATCH('Model Inputs &amp; Assumptions'!$L$31,'Model Inputs &amp; Assumptions'!$A$40:$A$42,0))*INDEX('Model Inputs &amp; Assumptions'!$H$40:$H$42,MATCH('Model Inputs &amp; Assumptions'!$L$31,'Model Inputs &amp; Assumptions'!$A$40:$A$42,0))</f>
        <v>592579.815282518</v>
      </c>
      <c r="K1842" s="49" t="n">
        <f aca="false">H1842*INDEX('Model Inputs &amp; Assumptions'!$G$40:$G$42,MATCH('Model Inputs &amp; Assumptions'!$L$31,'Model Inputs &amp; Assumptions'!$A$40:$A$42,0))*INDEX('Model Inputs &amp; Assumptions'!$H$40:$H$42,MATCH('Model Inputs &amp; Assumptions'!$L$31,'Model Inputs &amp; Assumptions'!$A$40:$A$42,0))</f>
        <v>13066.3849269795</v>
      </c>
      <c r="L1842" s="51" t="n">
        <f aca="false">IFERROR(K1842/I1842,0)</f>
        <v>1.93512098752495</v>
      </c>
      <c r="M1842" s="49" t="n">
        <f aca="false">IFERROR(I1842/H1842,0)</f>
        <v>82.0413819205466</v>
      </c>
      <c r="N1842" s="52" t="str">
        <f aca="false">'Model Inputs &amp; Assumptions'!$L$31</f>
        <v>PRD-USIQ</v>
      </c>
      <c r="P1842" s="53" t="n">
        <v>0.907775</v>
      </c>
      <c r="Q1842" s="53" t="n">
        <v>-0.034226</v>
      </c>
      <c r="R1842" s="53" t="n">
        <v>-0.546457</v>
      </c>
      <c r="S1842" s="53" t="n">
        <v>0.817739</v>
      </c>
    </row>
    <row r="1843" customFormat="false" ht="15" hidden="false" customHeight="false" outlineLevel="0" collapsed="false">
      <c r="A1843" s="43" t="n">
        <v>340</v>
      </c>
      <c r="B1843" s="44" t="str">
        <f aca="false">'Model Inputs &amp; Assumptions'!$B$31</f>
        <v>YouTube — Finfluencer Pre-roll</v>
      </c>
      <c r="C1843" s="45" t="n">
        <f aca="false">ROUND(MAX(0,'Model Inputs &amp; Assumptions'!$S$31*EXP('Model Inputs &amp; Assumptions'!$T$31*P1843-'Model Inputs &amp; Assumptions'!$T$31^2/2)),0)</f>
        <v>566433</v>
      </c>
      <c r="D1843" s="46" t="n">
        <f aca="false">MIN(1,'Model Inputs &amp; Assumptions'!$U$31*EXP('Model Inputs &amp; Assumptions'!$V$31*Q1843-'Model Inputs &amp; Assumptions'!$V$31^2/2))</f>
        <v>0.623298038530942</v>
      </c>
      <c r="E1843" s="45" t="n">
        <f aca="false">ROUND(C1843*D1843,0)</f>
        <v>353057</v>
      </c>
      <c r="F1843" s="47" t="n">
        <f aca="false">MIN(1,'Model Inputs &amp; Assumptions'!$W$31*EXP('Model Inputs &amp; Assumptions'!$X$31*R1843-'Model Inputs &amp; Assumptions'!$X$31^2/2))</f>
        <v>0.00468458659858452</v>
      </c>
      <c r="G1843" s="45" t="n">
        <f aca="false">ROUND(C1843*F1843,0)</f>
        <v>2654</v>
      </c>
      <c r="H1843" s="48" t="n">
        <f aca="false">MAX(0,(C1843*'Model Inputs &amp; Assumptions'!$N$31+E1843*'Model Inputs &amp; Assumptions'!$O$31+G1843*'Model Inputs &amp; Assumptions'!$P$31)*EXP('Model Inputs &amp; Assumptions'!$Q$31*S1843-'Model Inputs &amp; Assumptions'!$Q$31^2/2))</f>
        <v>39.3771160401577</v>
      </c>
      <c r="I1843" s="49" t="n">
        <f aca="false">IF('Model Inputs &amp; Assumptions'!$H$31="Fixed",'Model Inputs &amp; Assumptions'!$I$31*'Model Inputs &amp; Assumptions'!$K$31,IF('Model Inputs &amp; Assumptions'!$H$31="CPM",'Model Inputs &amp; Assumptions'!$I$31*'Model Inputs &amp; Assumptions'!$K$31*C1843/1000,IF('Model Inputs &amp; Assumptions'!$H$31="CPC",'Model Inputs &amp; Assumptions'!$I$31*'Model Inputs &amp; Assumptions'!$K$31*G1843,0)))</f>
        <v>6426.748818</v>
      </c>
      <c r="J1843" s="50" t="n">
        <f aca="false">H1843*INDEX('Model Inputs &amp; Assumptions'!$D$40:$D$42,MATCH('Model Inputs &amp; Assumptions'!$L$31,'Model Inputs &amp; Assumptions'!$A$40:$A$42,0))*INDEX('Model Inputs &amp; Assumptions'!$H$40:$H$42,MATCH('Model Inputs &amp; Assumptions'!$L$31,'Model Inputs &amp; Assumptions'!$A$40:$A$42,0))</f>
        <v>283515.235489136</v>
      </c>
      <c r="K1843" s="49" t="n">
        <f aca="false">H1843*INDEX('Model Inputs &amp; Assumptions'!$G$40:$G$42,MATCH('Model Inputs &amp; Assumptions'!$L$31,'Model Inputs &amp; Assumptions'!$A$40:$A$42,0))*INDEX('Model Inputs &amp; Assumptions'!$H$40:$H$42,MATCH('Model Inputs &amp; Assumptions'!$L$31,'Model Inputs &amp; Assumptions'!$A$40:$A$42,0))</f>
        <v>6251.51094253544</v>
      </c>
      <c r="L1843" s="51" t="n">
        <f aca="false">IFERROR(K1843/I1843,0)</f>
        <v>0.972733044276796</v>
      </c>
      <c r="M1843" s="49" t="n">
        <f aca="false">IFERROR(I1843/H1843,0)</f>
        <v>163.210246566708</v>
      </c>
      <c r="N1843" s="52" t="str">
        <f aca="false">'Model Inputs &amp; Assumptions'!$L$31</f>
        <v>PRD-USIQ</v>
      </c>
      <c r="P1843" s="53" t="n">
        <v>0.731333</v>
      </c>
      <c r="Q1843" s="53" t="n">
        <v>0.462159</v>
      </c>
      <c r="R1843" s="53" t="n">
        <v>-0.151501</v>
      </c>
      <c r="S1843" s="53" t="n">
        <v>-1.388214</v>
      </c>
    </row>
    <row r="1844" customFormat="false" ht="15" hidden="false" customHeight="false" outlineLevel="0" collapsed="false">
      <c r="A1844" s="43" t="n">
        <v>341</v>
      </c>
      <c r="B1844" s="44" t="str">
        <f aca="false">'Model Inputs &amp; Assumptions'!$B$31</f>
        <v>YouTube — Finfluencer Pre-roll</v>
      </c>
      <c r="C1844" s="45" t="n">
        <f aca="false">ROUND(MAX(0,'Model Inputs &amp; Assumptions'!$S$31*EXP('Model Inputs &amp; Assumptions'!$T$31*P1844-'Model Inputs &amp; Assumptions'!$T$31^2/2)),0)</f>
        <v>469864</v>
      </c>
      <c r="D1844" s="46" t="n">
        <f aca="false">MIN(1,'Model Inputs &amp; Assumptions'!$U$31*EXP('Model Inputs &amp; Assumptions'!$V$31*Q1844-'Model Inputs &amp; Assumptions'!$V$31^2/2))</f>
        <v>0.534978648578081</v>
      </c>
      <c r="E1844" s="45" t="n">
        <f aca="false">ROUND(C1844*D1844,0)</f>
        <v>251367</v>
      </c>
      <c r="F1844" s="47" t="n">
        <f aca="false">MIN(1,'Model Inputs &amp; Assumptions'!$W$31*EXP('Model Inputs &amp; Assumptions'!$X$31*R1844-'Model Inputs &amp; Assumptions'!$X$31^2/2))</f>
        <v>0.00420520495252819</v>
      </c>
      <c r="G1844" s="45" t="n">
        <f aca="false">ROUND(C1844*F1844,0)</f>
        <v>1976</v>
      </c>
      <c r="H1844" s="48" t="n">
        <f aca="false">MAX(0,(C1844*'Model Inputs &amp; Assumptions'!$N$31+E1844*'Model Inputs &amp; Assumptions'!$O$31+G1844*'Model Inputs &amp; Assumptions'!$P$31)*EXP('Model Inputs &amp; Assumptions'!$Q$31*S1844-'Model Inputs &amp; Assumptions'!$Q$31^2/2))</f>
        <v>51.3809021132205</v>
      </c>
      <c r="I1844" s="49" t="n">
        <f aca="false">IF('Model Inputs &amp; Assumptions'!$H$31="Fixed",'Model Inputs &amp; Assumptions'!$I$31*'Model Inputs &amp; Assumptions'!$K$31,IF('Model Inputs &amp; Assumptions'!$H$31="CPM",'Model Inputs &amp; Assumptions'!$I$31*'Model Inputs &amp; Assumptions'!$K$31*C1844/1000,IF('Model Inputs &amp; Assumptions'!$H$31="CPC",'Model Inputs &amp; Assumptions'!$I$31*'Model Inputs &amp; Assumptions'!$K$31*G1844,0)))</f>
        <v>5331.076944</v>
      </c>
      <c r="J1844" s="50" t="n">
        <f aca="false">H1844*INDEX('Model Inputs &amp; Assumptions'!$D$40:$D$42,MATCH('Model Inputs &amp; Assumptions'!$L$31,'Model Inputs &amp; Assumptions'!$A$40:$A$42,0))*INDEX('Model Inputs &amp; Assumptions'!$H$40:$H$42,MATCH('Model Inputs &amp; Assumptions'!$L$31,'Model Inputs &amp; Assumptions'!$A$40:$A$42,0))</f>
        <v>369942.495215187</v>
      </c>
      <c r="K1844" s="49" t="n">
        <f aca="false">H1844*INDEX('Model Inputs &amp; Assumptions'!$G$40:$G$42,MATCH('Model Inputs &amp; Assumptions'!$L$31,'Model Inputs &amp; Assumptions'!$A$40:$A$42,0))*INDEX('Model Inputs &amp; Assumptions'!$H$40:$H$42,MATCH('Model Inputs &amp; Assumptions'!$L$31,'Model Inputs &amp; Assumptions'!$A$40:$A$42,0))</f>
        <v>8157.23201949488</v>
      </c>
      <c r="L1844" s="51" t="n">
        <f aca="false">IFERROR(K1844/I1844,0)</f>
        <v>1.53012835965079</v>
      </c>
      <c r="M1844" s="49" t="n">
        <f aca="false">IFERROR(I1844/H1844,0)</f>
        <v>103.75600125223</v>
      </c>
      <c r="N1844" s="52" t="str">
        <f aca="false">'Model Inputs &amp; Assumptions'!$L$31</f>
        <v>PRD-USIQ</v>
      </c>
      <c r="P1844" s="53" t="n">
        <v>0.063776</v>
      </c>
      <c r="Q1844" s="53" t="n">
        <v>-0.629255</v>
      </c>
      <c r="R1844" s="53" t="n">
        <v>-0.601312</v>
      </c>
      <c r="S1844" s="53" t="n">
        <v>0.267197</v>
      </c>
    </row>
    <row r="1845" customFormat="false" ht="15" hidden="false" customHeight="false" outlineLevel="0" collapsed="false">
      <c r="A1845" s="43" t="n">
        <v>342</v>
      </c>
      <c r="B1845" s="44" t="str">
        <f aca="false">'Model Inputs &amp; Assumptions'!$B$31</f>
        <v>YouTube — Finfluencer Pre-roll</v>
      </c>
      <c r="C1845" s="45" t="n">
        <f aca="false">ROUND(MAX(0,'Model Inputs &amp; Assumptions'!$S$31*EXP('Model Inputs &amp; Assumptions'!$T$31*P1845-'Model Inputs &amp; Assumptions'!$T$31^2/2)),0)</f>
        <v>376635</v>
      </c>
      <c r="D1845" s="46" t="n">
        <f aca="false">MIN(1,'Model Inputs &amp; Assumptions'!$U$31*EXP('Model Inputs &amp; Assumptions'!$V$31*Q1845-'Model Inputs &amp; Assumptions'!$V$31^2/2))</f>
        <v>0.619437369133211</v>
      </c>
      <c r="E1845" s="45" t="n">
        <f aca="false">ROUND(C1845*D1845,0)</f>
        <v>233302</v>
      </c>
      <c r="F1845" s="47" t="n">
        <f aca="false">MIN(1,'Model Inputs &amp; Assumptions'!$W$31*EXP('Model Inputs &amp; Assumptions'!$X$31*R1845-'Model Inputs &amp; Assumptions'!$X$31^2/2))</f>
        <v>0.00615369843390688</v>
      </c>
      <c r="G1845" s="45" t="n">
        <f aca="false">ROUND(C1845*F1845,0)</f>
        <v>2318</v>
      </c>
      <c r="H1845" s="48" t="n">
        <f aca="false">MAX(0,(C1845*'Model Inputs &amp; Assumptions'!$N$31+E1845*'Model Inputs &amp; Assumptions'!$O$31+G1845*'Model Inputs &amp; Assumptions'!$P$31)*EXP('Model Inputs &amp; Assumptions'!$Q$31*S1845-'Model Inputs &amp; Assumptions'!$Q$31^2/2))</f>
        <v>50.5152308510424</v>
      </c>
      <c r="I1845" s="49" t="n">
        <f aca="false">IF('Model Inputs &amp; Assumptions'!$H$31="Fixed",'Model Inputs &amp; Assumptions'!$I$31*'Model Inputs &amp; Assumptions'!$K$31,IF('Model Inputs &amp; Assumptions'!$H$31="CPM",'Model Inputs &amp; Assumptions'!$I$31*'Model Inputs &amp; Assumptions'!$K$31*C1845/1000,IF('Model Inputs &amp; Assumptions'!$H$31="CPC",'Model Inputs &amp; Assumptions'!$I$31*'Model Inputs &amp; Assumptions'!$K$31*G1845,0)))</f>
        <v>4273.30071</v>
      </c>
      <c r="J1845" s="50" t="n">
        <f aca="false">H1845*INDEX('Model Inputs &amp; Assumptions'!$D$40:$D$42,MATCH('Model Inputs &amp; Assumptions'!$L$31,'Model Inputs &amp; Assumptions'!$A$40:$A$42,0))*INDEX('Model Inputs &amp; Assumptions'!$H$40:$H$42,MATCH('Model Inputs &amp; Assumptions'!$L$31,'Model Inputs &amp; Assumptions'!$A$40:$A$42,0))</f>
        <v>363709.662127505</v>
      </c>
      <c r="K1845" s="49" t="n">
        <f aca="false">H1845*INDEX('Model Inputs &amp; Assumptions'!$G$40:$G$42,MATCH('Model Inputs &amp; Assumptions'!$L$31,'Model Inputs &amp; Assumptions'!$A$40:$A$42,0))*INDEX('Model Inputs &amp; Assumptions'!$H$40:$H$42,MATCH('Model Inputs &amp; Assumptions'!$L$31,'Model Inputs &amp; Assumptions'!$A$40:$A$42,0))</f>
        <v>8019.7980499115</v>
      </c>
      <c r="L1845" s="51" t="n">
        <f aca="false">IFERROR(K1845/I1845,0)</f>
        <v>1.87672213919893</v>
      </c>
      <c r="M1845" s="49" t="n">
        <f aca="false">IFERROR(I1845/H1845,0)</f>
        <v>84.5943023125236</v>
      </c>
      <c r="N1845" s="52" t="str">
        <f aca="false">'Model Inputs &amp; Assumptions'!$L$31</f>
        <v>PRD-USIQ</v>
      </c>
      <c r="P1845" s="53" t="n">
        <v>-0.726107</v>
      </c>
      <c r="Q1845" s="53" t="n">
        <v>0.417779</v>
      </c>
      <c r="R1845" s="53" t="n">
        <v>0.985064</v>
      </c>
      <c r="S1845" s="53" t="n">
        <v>0.014499</v>
      </c>
    </row>
    <row r="1846" customFormat="false" ht="15" hidden="false" customHeight="false" outlineLevel="0" collapsed="false">
      <c r="A1846" s="43" t="n">
        <v>343</v>
      </c>
      <c r="B1846" s="44" t="str">
        <f aca="false">'Model Inputs &amp; Assumptions'!$B$31</f>
        <v>YouTube — Finfluencer Pre-roll</v>
      </c>
      <c r="C1846" s="45" t="n">
        <f aca="false">ROUND(MAX(0,'Model Inputs &amp; Assumptions'!$S$31*EXP('Model Inputs &amp; Assumptions'!$T$31*P1846-'Model Inputs &amp; Assumptions'!$T$31^2/2)),0)</f>
        <v>566940</v>
      </c>
      <c r="D1846" s="46" t="n">
        <f aca="false">MIN(1,'Model Inputs &amp; Assumptions'!$U$31*EXP('Model Inputs &amp; Assumptions'!$V$31*Q1846-'Model Inputs &amp; Assumptions'!$V$31^2/2))</f>
        <v>0.741691268875625</v>
      </c>
      <c r="E1846" s="45" t="n">
        <f aca="false">ROUND(C1846*D1846,0)</f>
        <v>420494</v>
      </c>
      <c r="F1846" s="47" t="n">
        <f aca="false">MIN(1,'Model Inputs &amp; Assumptions'!$W$31*EXP('Model Inputs &amp; Assumptions'!$X$31*R1846-'Model Inputs &amp; Assumptions'!$X$31^2/2))</f>
        <v>0.00513265891761029</v>
      </c>
      <c r="G1846" s="45" t="n">
        <f aca="false">ROUND(C1846*F1846,0)</f>
        <v>2910</v>
      </c>
      <c r="H1846" s="48" t="n">
        <f aca="false">MAX(0,(C1846*'Model Inputs &amp; Assumptions'!$N$31+E1846*'Model Inputs &amp; Assumptions'!$O$31+G1846*'Model Inputs &amp; Assumptions'!$P$31)*EXP('Model Inputs &amp; Assumptions'!$Q$31*S1846-'Model Inputs &amp; Assumptions'!$Q$31^2/2))</f>
        <v>109.376588797735</v>
      </c>
      <c r="I1846" s="49" t="n">
        <f aca="false">IF('Model Inputs &amp; Assumptions'!$H$31="Fixed",'Model Inputs &amp; Assumptions'!$I$31*'Model Inputs &amp; Assumptions'!$K$31,IF('Model Inputs &amp; Assumptions'!$H$31="CPM",'Model Inputs &amp; Assumptions'!$I$31*'Model Inputs &amp; Assumptions'!$K$31*C1846/1000,IF('Model Inputs &amp; Assumptions'!$H$31="CPC",'Model Inputs &amp; Assumptions'!$I$31*'Model Inputs &amp; Assumptions'!$K$31*G1846,0)))</f>
        <v>6432.50124</v>
      </c>
      <c r="J1846" s="50" t="n">
        <f aca="false">H1846*INDEX('Model Inputs &amp; Assumptions'!$D$40:$D$42,MATCH('Model Inputs &amp; Assumptions'!$L$31,'Model Inputs &amp; Assumptions'!$A$40:$A$42,0))*INDEX('Model Inputs &amp; Assumptions'!$H$40:$H$42,MATCH('Model Inputs &amp; Assumptions'!$L$31,'Model Inputs &amp; Assumptions'!$A$40:$A$42,0))</f>
        <v>787511.439343689</v>
      </c>
      <c r="K1846" s="49" t="n">
        <f aca="false">H1846*INDEX('Model Inputs &amp; Assumptions'!$G$40:$G$42,MATCH('Model Inputs &amp; Assumptions'!$L$31,'Model Inputs &amp; Assumptions'!$A$40:$A$42,0))*INDEX('Model Inputs &amp; Assumptions'!$H$40:$H$42,MATCH('Model Inputs &amp; Assumptions'!$L$31,'Model Inputs &amp; Assumptions'!$A$40:$A$42,0))</f>
        <v>17364.6272375283</v>
      </c>
      <c r="L1846" s="51" t="n">
        <f aca="false">IFERROR(K1846/I1846,0)</f>
        <v>2.69951401323451</v>
      </c>
      <c r="M1846" s="49" t="n">
        <f aca="false">IFERROR(I1846/H1846,0)</f>
        <v>58.810585617141</v>
      </c>
      <c r="N1846" s="52" t="str">
        <f aca="false">'Model Inputs &amp; Assumptions'!$L$31</f>
        <v>PRD-USIQ</v>
      </c>
      <c r="P1846" s="53" t="n">
        <v>0.734527</v>
      </c>
      <c r="Q1846" s="53" t="n">
        <v>1.704361</v>
      </c>
      <c r="R1846" s="53" t="n">
        <v>0.229108</v>
      </c>
      <c r="S1846" s="53" t="n">
        <v>1.16711</v>
      </c>
    </row>
    <row r="1847" customFormat="false" ht="15" hidden="false" customHeight="false" outlineLevel="0" collapsed="false">
      <c r="A1847" s="43" t="n">
        <v>344</v>
      </c>
      <c r="B1847" s="44" t="str">
        <f aca="false">'Model Inputs &amp; Assumptions'!$B$31</f>
        <v>YouTube — Finfluencer Pre-roll</v>
      </c>
      <c r="C1847" s="45" t="n">
        <f aca="false">ROUND(MAX(0,'Model Inputs &amp; Assumptions'!$S$31*EXP('Model Inputs &amp; Assumptions'!$T$31*P1847-'Model Inputs &amp; Assumptions'!$T$31^2/2)),0)</f>
        <v>398485</v>
      </c>
      <c r="D1847" s="46" t="n">
        <f aca="false">MIN(1,'Model Inputs &amp; Assumptions'!$U$31*EXP('Model Inputs &amp; Assumptions'!$V$31*Q1847-'Model Inputs &amp; Assumptions'!$V$31^2/2))</f>
        <v>0.483863720038425</v>
      </c>
      <c r="E1847" s="45" t="n">
        <f aca="false">ROUND(C1847*D1847,0)</f>
        <v>192812</v>
      </c>
      <c r="F1847" s="47" t="n">
        <f aca="false">MIN(1,'Model Inputs &amp; Assumptions'!$W$31*EXP('Model Inputs &amp; Assumptions'!$X$31*R1847-'Model Inputs &amp; Assumptions'!$X$31^2/2))</f>
        <v>0.00472984556769125</v>
      </c>
      <c r="G1847" s="45" t="n">
        <f aca="false">ROUND(C1847*F1847,0)</f>
        <v>1885</v>
      </c>
      <c r="H1847" s="48" t="n">
        <f aca="false">MAX(0,(C1847*'Model Inputs &amp; Assumptions'!$N$31+E1847*'Model Inputs &amp; Assumptions'!$O$31+G1847*'Model Inputs &amp; Assumptions'!$P$31)*EXP('Model Inputs &amp; Assumptions'!$Q$31*S1847-'Model Inputs &amp; Assumptions'!$Q$31^2/2))</f>
        <v>36.9338744521527</v>
      </c>
      <c r="I1847" s="49" t="n">
        <f aca="false">IF('Model Inputs &amp; Assumptions'!$H$31="Fixed",'Model Inputs &amp; Assumptions'!$I$31*'Model Inputs &amp; Assumptions'!$K$31,IF('Model Inputs &amp; Assumptions'!$H$31="CPM",'Model Inputs &amp; Assumptions'!$I$31*'Model Inputs &amp; Assumptions'!$K$31*C1847/1000,IF('Model Inputs &amp; Assumptions'!$H$31="CPC",'Model Inputs &amp; Assumptions'!$I$31*'Model Inputs &amp; Assumptions'!$K$31*G1847,0)))</f>
        <v>4521.21081</v>
      </c>
      <c r="J1847" s="50" t="n">
        <f aca="false">H1847*INDEX('Model Inputs &amp; Assumptions'!$D$40:$D$42,MATCH('Model Inputs &amp; Assumptions'!$L$31,'Model Inputs &amp; Assumptions'!$A$40:$A$42,0))*INDEX('Model Inputs &amp; Assumptions'!$H$40:$H$42,MATCH('Model Inputs &amp; Assumptions'!$L$31,'Model Inputs &amp; Assumptions'!$A$40:$A$42,0))</f>
        <v>265923.8960555</v>
      </c>
      <c r="K1847" s="49" t="n">
        <f aca="false">H1847*INDEX('Model Inputs &amp; Assumptions'!$G$40:$G$42,MATCH('Model Inputs &amp; Assumptions'!$L$31,'Model Inputs &amp; Assumptions'!$A$40:$A$42,0))*INDEX('Model Inputs &amp; Assumptions'!$H$40:$H$42,MATCH('Model Inputs &amp; Assumptions'!$L$31,'Model Inputs &amp; Assumptions'!$A$40:$A$42,0))</f>
        <v>5863.62190802377</v>
      </c>
      <c r="L1847" s="51" t="n">
        <f aca="false">IFERROR(K1847/I1847,0)</f>
        <v>1.29691406891593</v>
      </c>
      <c r="M1847" s="49" t="n">
        <f aca="false">IFERROR(I1847/H1847,0)</f>
        <v>122.4136616335</v>
      </c>
      <c r="N1847" s="52" t="str">
        <f aca="false">'Model Inputs &amp; Assumptions'!$L$31</f>
        <v>PRD-USIQ</v>
      </c>
      <c r="P1847" s="53" t="n">
        <v>-0.5247</v>
      </c>
      <c r="Q1847" s="53" t="n">
        <v>-1.346566</v>
      </c>
      <c r="R1847" s="53" t="n">
        <v>-0.111439</v>
      </c>
      <c r="S1847" s="53" t="n">
        <v>-0.305623</v>
      </c>
    </row>
    <row r="1848" customFormat="false" ht="15" hidden="false" customHeight="false" outlineLevel="0" collapsed="false">
      <c r="A1848" s="43" t="n">
        <v>345</v>
      </c>
      <c r="B1848" s="44" t="str">
        <f aca="false">'Model Inputs &amp; Assumptions'!$B$31</f>
        <v>YouTube — Finfluencer Pre-roll</v>
      </c>
      <c r="C1848" s="45" t="n">
        <f aca="false">ROUND(MAX(0,'Model Inputs &amp; Assumptions'!$S$31*EXP('Model Inputs &amp; Assumptions'!$T$31*P1848-'Model Inputs &amp; Assumptions'!$T$31^2/2)),0)</f>
        <v>555630</v>
      </c>
      <c r="D1848" s="46" t="n">
        <f aca="false">MIN(1,'Model Inputs &amp; Assumptions'!$U$31*EXP('Model Inputs &amp; Assumptions'!$V$31*Q1848-'Model Inputs &amp; Assumptions'!$V$31^2/2))</f>
        <v>0.541428326637187</v>
      </c>
      <c r="E1848" s="45" t="n">
        <f aca="false">ROUND(C1848*D1848,0)</f>
        <v>300834</v>
      </c>
      <c r="F1848" s="47" t="n">
        <f aca="false">MIN(1,'Model Inputs &amp; Assumptions'!$W$31*EXP('Model Inputs &amp; Assumptions'!$X$31*R1848-'Model Inputs &amp; Assumptions'!$X$31^2/2))</f>
        <v>0.0051733679241515</v>
      </c>
      <c r="G1848" s="45" t="n">
        <f aca="false">ROUND(C1848*F1848,0)</f>
        <v>2874</v>
      </c>
      <c r="H1848" s="48" t="n">
        <f aca="false">MAX(0,(C1848*'Model Inputs &amp; Assumptions'!$N$31+E1848*'Model Inputs &amp; Assumptions'!$O$31+G1848*'Model Inputs &amp; Assumptions'!$P$31)*EXP('Model Inputs &amp; Assumptions'!$Q$31*S1848-'Model Inputs &amp; Assumptions'!$Q$31^2/2))</f>
        <v>72.4409472259987</v>
      </c>
      <c r="I1848" s="49" t="n">
        <f aca="false">IF('Model Inputs &amp; Assumptions'!$H$31="Fixed",'Model Inputs &amp; Assumptions'!$I$31*'Model Inputs &amp; Assumptions'!$K$31,IF('Model Inputs &amp; Assumptions'!$H$31="CPM",'Model Inputs &amp; Assumptions'!$I$31*'Model Inputs &amp; Assumptions'!$K$31*C1848/1000,IF('Model Inputs &amp; Assumptions'!$H$31="CPC",'Model Inputs &amp; Assumptions'!$I$31*'Model Inputs &amp; Assumptions'!$K$31*G1848,0)))</f>
        <v>6304.17798</v>
      </c>
      <c r="J1848" s="50" t="n">
        <f aca="false">H1848*INDEX('Model Inputs &amp; Assumptions'!$D$40:$D$42,MATCH('Model Inputs &amp; Assumptions'!$L$31,'Model Inputs &amp; Assumptions'!$A$40:$A$42,0))*INDEX('Model Inputs &amp; Assumptions'!$H$40:$H$42,MATCH('Model Inputs &amp; Assumptions'!$L$31,'Model Inputs &amp; Assumptions'!$A$40:$A$42,0))</f>
        <v>521574.820027191</v>
      </c>
      <c r="K1848" s="49" t="n">
        <f aca="false">H1848*INDEX('Model Inputs &amp; Assumptions'!$G$40:$G$42,MATCH('Model Inputs &amp; Assumptions'!$L$31,'Model Inputs &amp; Assumptions'!$A$40:$A$42,0))*INDEX('Model Inputs &amp; Assumptions'!$H$40:$H$42,MATCH('Model Inputs &amp; Assumptions'!$L$31,'Model Inputs &amp; Assumptions'!$A$40:$A$42,0))</f>
        <v>11500.7247815996</v>
      </c>
      <c r="L1848" s="51" t="n">
        <f aca="false">IFERROR(K1848/I1848,0)</f>
        <v>1.82430204510177</v>
      </c>
      <c r="M1848" s="49" t="n">
        <f aca="false">IFERROR(I1848/H1848,0)</f>
        <v>87.0250627774433</v>
      </c>
      <c r="N1848" s="52" t="str">
        <f aca="false">'Model Inputs &amp; Assumptions'!$L$31</f>
        <v>PRD-USIQ</v>
      </c>
      <c r="P1848" s="53" t="n">
        <v>0.66256</v>
      </c>
      <c r="Q1848" s="53" t="n">
        <v>-0.543656</v>
      </c>
      <c r="R1848" s="53" t="n">
        <v>0.262025</v>
      </c>
      <c r="S1848" s="53" t="n">
        <v>0.390557</v>
      </c>
    </row>
    <row r="1849" customFormat="false" ht="15" hidden="false" customHeight="false" outlineLevel="0" collapsed="false">
      <c r="A1849" s="43" t="n">
        <v>346</v>
      </c>
      <c r="B1849" s="44" t="str">
        <f aca="false">'Model Inputs &amp; Assumptions'!$B$31</f>
        <v>YouTube — Finfluencer Pre-roll</v>
      </c>
      <c r="C1849" s="45" t="n">
        <f aca="false">ROUND(MAX(0,'Model Inputs &amp; Assumptions'!$S$31*EXP('Model Inputs &amp; Assumptions'!$T$31*P1849-'Model Inputs &amp; Assumptions'!$T$31^2/2)),0)</f>
        <v>572738</v>
      </c>
      <c r="D1849" s="46" t="n">
        <f aca="false">MIN(1,'Model Inputs &amp; Assumptions'!$U$31*EXP('Model Inputs &amp; Assumptions'!$V$31*Q1849-'Model Inputs &amp; Assumptions'!$V$31^2/2))</f>
        <v>0.465889274209545</v>
      </c>
      <c r="E1849" s="45" t="n">
        <f aca="false">ROUND(C1849*D1849,0)</f>
        <v>266832</v>
      </c>
      <c r="F1849" s="47" t="n">
        <f aca="false">MIN(1,'Model Inputs &amp; Assumptions'!$W$31*EXP('Model Inputs &amp; Assumptions'!$X$31*R1849-'Model Inputs &amp; Assumptions'!$X$31^2/2))</f>
        <v>0.00541159347733228</v>
      </c>
      <c r="G1849" s="45" t="n">
        <f aca="false">ROUND(C1849*F1849,0)</f>
        <v>3099</v>
      </c>
      <c r="H1849" s="48" t="n">
        <f aca="false">MAX(0,(C1849*'Model Inputs &amp; Assumptions'!$N$31+E1849*'Model Inputs &amp; Assumptions'!$O$31+G1849*'Model Inputs &amp; Assumptions'!$P$31)*EXP('Model Inputs &amp; Assumptions'!$Q$31*S1849-'Model Inputs &amp; Assumptions'!$Q$31^2/2))</f>
        <v>67.608476916931</v>
      </c>
      <c r="I1849" s="49" t="n">
        <f aca="false">IF('Model Inputs &amp; Assumptions'!$H$31="Fixed",'Model Inputs &amp; Assumptions'!$I$31*'Model Inputs &amp; Assumptions'!$K$31,IF('Model Inputs &amp; Assumptions'!$H$31="CPM",'Model Inputs &amp; Assumptions'!$I$31*'Model Inputs &amp; Assumptions'!$K$31*C1849/1000,IF('Model Inputs &amp; Assumptions'!$H$31="CPC",'Model Inputs &amp; Assumptions'!$I$31*'Model Inputs &amp; Assumptions'!$K$31*G1849,0)))</f>
        <v>6498.285348</v>
      </c>
      <c r="J1849" s="50" t="n">
        <f aca="false">H1849*INDEX('Model Inputs &amp; Assumptions'!$D$40:$D$42,MATCH('Model Inputs &amp; Assumptions'!$L$31,'Model Inputs &amp; Assumptions'!$A$40:$A$42,0))*INDEX('Model Inputs &amp; Assumptions'!$H$40:$H$42,MATCH('Model Inputs &amp; Assumptions'!$L$31,'Model Inputs &amp; Assumptions'!$A$40:$A$42,0))</f>
        <v>486781.033801903</v>
      </c>
      <c r="K1849" s="49" t="n">
        <f aca="false">H1849*INDEX('Model Inputs &amp; Assumptions'!$G$40:$G$42,MATCH('Model Inputs &amp; Assumptions'!$L$31,'Model Inputs &amp; Assumptions'!$A$40:$A$42,0))*INDEX('Model Inputs &amp; Assumptions'!$H$40:$H$42,MATCH('Model Inputs &amp; Assumptions'!$L$31,'Model Inputs &amp; Assumptions'!$A$40:$A$42,0))</f>
        <v>10733.521795332</v>
      </c>
      <c r="L1849" s="51" t="n">
        <f aca="false">IFERROR(K1849/I1849,0)</f>
        <v>1.65174676403452</v>
      </c>
      <c r="M1849" s="49" t="n">
        <f aca="false">IFERROR(I1849/H1849,0)</f>
        <v>96.1164286541213</v>
      </c>
      <c r="N1849" s="52" t="str">
        <f aca="false">'Model Inputs &amp; Assumptions'!$L$31</f>
        <v>PRD-USIQ</v>
      </c>
      <c r="P1849" s="53" t="n">
        <v>0.770866</v>
      </c>
      <c r="Q1849" s="53" t="n">
        <v>-1.616961</v>
      </c>
      <c r="R1849" s="53" t="n">
        <v>0.449607</v>
      </c>
      <c r="S1849" s="53" t="n">
        <v>0.165588</v>
      </c>
    </row>
    <row r="1850" customFormat="false" ht="15" hidden="false" customHeight="false" outlineLevel="0" collapsed="false">
      <c r="A1850" s="43" t="n">
        <v>347</v>
      </c>
      <c r="B1850" s="44" t="str">
        <f aca="false">'Model Inputs &amp; Assumptions'!$B$31</f>
        <v>YouTube — Finfluencer Pre-roll</v>
      </c>
      <c r="C1850" s="45" t="n">
        <f aca="false">ROUND(MAX(0,'Model Inputs &amp; Assumptions'!$S$31*EXP('Model Inputs &amp; Assumptions'!$T$31*P1850-'Model Inputs &amp; Assumptions'!$T$31^2/2)),0)</f>
        <v>383405</v>
      </c>
      <c r="D1850" s="46" t="n">
        <f aca="false">MIN(1,'Model Inputs &amp; Assumptions'!$U$31*EXP('Model Inputs &amp; Assumptions'!$V$31*Q1850-'Model Inputs &amp; Assumptions'!$V$31^2/2))</f>
        <v>0.616711923949533</v>
      </c>
      <c r="E1850" s="45" t="n">
        <f aca="false">ROUND(C1850*D1850,0)</f>
        <v>236450</v>
      </c>
      <c r="F1850" s="47" t="n">
        <f aca="false">MIN(1,'Model Inputs &amp; Assumptions'!$W$31*EXP('Model Inputs &amp; Assumptions'!$X$31*R1850-'Model Inputs &amp; Assumptions'!$X$31^2/2))</f>
        <v>0.00488974420564289</v>
      </c>
      <c r="G1850" s="45" t="n">
        <f aca="false">ROUND(C1850*F1850,0)</f>
        <v>1875</v>
      </c>
      <c r="H1850" s="48" t="n">
        <f aca="false">MAX(0,(C1850*'Model Inputs &amp; Assumptions'!$N$31+E1850*'Model Inputs &amp; Assumptions'!$O$31+G1850*'Model Inputs &amp; Assumptions'!$P$31)*EXP('Model Inputs &amp; Assumptions'!$Q$31*S1850-'Model Inputs &amp; Assumptions'!$Q$31^2/2))</f>
        <v>62.273860422738</v>
      </c>
      <c r="I1850" s="49" t="n">
        <f aca="false">IF('Model Inputs &amp; Assumptions'!$H$31="Fixed",'Model Inputs &amp; Assumptions'!$I$31*'Model Inputs &amp; Assumptions'!$K$31,IF('Model Inputs &amp; Assumptions'!$H$31="CPM",'Model Inputs &amp; Assumptions'!$I$31*'Model Inputs &amp; Assumptions'!$K$31*C1850/1000,IF('Model Inputs &amp; Assumptions'!$H$31="CPC",'Model Inputs &amp; Assumptions'!$I$31*'Model Inputs &amp; Assumptions'!$K$31*G1850,0)))</f>
        <v>4350.11313</v>
      </c>
      <c r="J1850" s="50" t="n">
        <f aca="false">H1850*INDEX('Model Inputs &amp; Assumptions'!$D$40:$D$42,MATCH('Model Inputs &amp; Assumptions'!$L$31,'Model Inputs &amp; Assumptions'!$A$40:$A$42,0))*INDEX('Model Inputs &amp; Assumptions'!$H$40:$H$42,MATCH('Model Inputs &amp; Assumptions'!$L$31,'Model Inputs &amp; Assumptions'!$A$40:$A$42,0))</f>
        <v>448371.795043713</v>
      </c>
      <c r="K1850" s="49" t="n">
        <f aca="false">H1850*INDEX('Model Inputs &amp; Assumptions'!$G$40:$G$42,MATCH('Model Inputs &amp; Assumptions'!$L$31,'Model Inputs &amp; Assumptions'!$A$40:$A$42,0))*INDEX('Model Inputs &amp; Assumptions'!$H$40:$H$42,MATCH('Model Inputs &amp; Assumptions'!$L$31,'Model Inputs &amp; Assumptions'!$A$40:$A$42,0))</f>
        <v>9886.59808071388</v>
      </c>
      <c r="L1850" s="51" t="n">
        <f aca="false">IFERROR(K1850/I1850,0)</f>
        <v>2.27272206153266</v>
      </c>
      <c r="M1850" s="49" t="n">
        <f aca="false">IFERROR(I1850/H1850,0)</f>
        <v>69.8545601713115</v>
      </c>
      <c r="N1850" s="52" t="str">
        <f aca="false">'Model Inputs &amp; Assumptions'!$L$31</f>
        <v>PRD-USIQ</v>
      </c>
      <c r="P1850" s="53" t="n">
        <v>-0.662477</v>
      </c>
      <c r="Q1850" s="53" t="n">
        <v>0.386282</v>
      </c>
      <c r="R1850" s="53" t="n">
        <v>0.027092</v>
      </c>
      <c r="S1850" s="53" t="n">
        <v>0.976492</v>
      </c>
    </row>
    <row r="1851" customFormat="false" ht="15" hidden="false" customHeight="false" outlineLevel="0" collapsed="false">
      <c r="A1851" s="43" t="n">
        <v>348</v>
      </c>
      <c r="B1851" s="44" t="str">
        <f aca="false">'Model Inputs &amp; Assumptions'!$B$31</f>
        <v>YouTube — Finfluencer Pre-roll</v>
      </c>
      <c r="C1851" s="45" t="n">
        <f aca="false">ROUND(MAX(0,'Model Inputs &amp; Assumptions'!$S$31*EXP('Model Inputs &amp; Assumptions'!$T$31*P1851-'Model Inputs &amp; Assumptions'!$T$31^2/2)),0)</f>
        <v>893130</v>
      </c>
      <c r="D1851" s="46" t="n">
        <f aca="false">MIN(1,'Model Inputs &amp; Assumptions'!$U$31*EXP('Model Inputs &amp; Assumptions'!$V$31*Q1851-'Model Inputs &amp; Assumptions'!$V$31^2/2))</f>
        <v>0.504496103815073</v>
      </c>
      <c r="E1851" s="45" t="n">
        <f aca="false">ROUND(C1851*D1851,0)</f>
        <v>450581</v>
      </c>
      <c r="F1851" s="47" t="n">
        <f aca="false">MIN(1,'Model Inputs &amp; Assumptions'!$W$31*EXP('Model Inputs &amp; Assumptions'!$X$31*R1851-'Model Inputs &amp; Assumptions'!$X$31^2/2))</f>
        <v>0.00730832589962175</v>
      </c>
      <c r="G1851" s="45" t="n">
        <f aca="false">ROUND(C1851*F1851,0)</f>
        <v>6527</v>
      </c>
      <c r="H1851" s="48" t="n">
        <f aca="false">MAX(0,(C1851*'Model Inputs &amp; Assumptions'!$N$31+E1851*'Model Inputs &amp; Assumptions'!$O$31+G1851*'Model Inputs &amp; Assumptions'!$P$31)*EXP('Model Inputs &amp; Assumptions'!$Q$31*S1851-'Model Inputs &amp; Assumptions'!$Q$31^2/2))</f>
        <v>167.546980884288</v>
      </c>
      <c r="I1851" s="49" t="n">
        <f aca="false">IF('Model Inputs &amp; Assumptions'!$H$31="Fixed",'Model Inputs &amp; Assumptions'!$I$31*'Model Inputs &amp; Assumptions'!$K$31,IF('Model Inputs &amp; Assumptions'!$H$31="CPM",'Model Inputs &amp; Assumptions'!$I$31*'Model Inputs &amp; Assumptions'!$K$31*C1851/1000,IF('Model Inputs &amp; Assumptions'!$H$31="CPC",'Model Inputs &amp; Assumptions'!$I$31*'Model Inputs &amp; Assumptions'!$K$31*G1851,0)))</f>
        <v>10133.45298</v>
      </c>
      <c r="J1851" s="50" t="n">
        <f aca="false">H1851*INDEX('Model Inputs &amp; Assumptions'!$D$40:$D$42,MATCH('Model Inputs &amp; Assumptions'!$L$31,'Model Inputs &amp; Assumptions'!$A$40:$A$42,0))*INDEX('Model Inputs &amp; Assumptions'!$H$40:$H$42,MATCH('Model Inputs &amp; Assumptions'!$L$31,'Model Inputs &amp; Assumptions'!$A$40:$A$42,0))</f>
        <v>1206338.26236688</v>
      </c>
      <c r="K1851" s="49" t="n">
        <f aca="false">H1851*INDEX('Model Inputs &amp; Assumptions'!$G$40:$G$42,MATCH('Model Inputs &amp; Assumptions'!$L$31,'Model Inputs &amp; Assumptions'!$A$40:$A$42,0))*INDEX('Model Inputs &amp; Assumptions'!$H$40:$H$42,MATCH('Model Inputs &amp; Assumptions'!$L$31,'Model Inputs &amp; Assumptions'!$A$40:$A$42,0))</f>
        <v>26599.7586851896</v>
      </c>
      <c r="L1851" s="51" t="n">
        <f aca="false">IFERROR(K1851/I1851,0)</f>
        <v>2.62494519268886</v>
      </c>
      <c r="M1851" s="49" t="n">
        <f aca="false">IFERROR(I1851/H1851,0)</f>
        <v>60.4812627868144</v>
      </c>
      <c r="N1851" s="52" t="str">
        <f aca="false">'Model Inputs &amp; Assumptions'!$L$31</f>
        <v>PRD-USIQ</v>
      </c>
      <c r="P1851" s="53" t="n">
        <v>2.357664</v>
      </c>
      <c r="Q1851" s="53" t="n">
        <v>-1.048303</v>
      </c>
      <c r="R1851" s="53" t="n">
        <v>1.701568</v>
      </c>
      <c r="S1851" s="53" t="n">
        <v>0.814389</v>
      </c>
    </row>
    <row r="1852" customFormat="false" ht="15" hidden="false" customHeight="false" outlineLevel="0" collapsed="false">
      <c r="A1852" s="43" t="n">
        <v>349</v>
      </c>
      <c r="B1852" s="44" t="str">
        <f aca="false">'Model Inputs &amp; Assumptions'!$B$31</f>
        <v>YouTube — Finfluencer Pre-roll</v>
      </c>
      <c r="C1852" s="45" t="n">
        <f aca="false">ROUND(MAX(0,'Model Inputs &amp; Assumptions'!$S$31*EXP('Model Inputs &amp; Assumptions'!$T$31*P1852-'Model Inputs &amp; Assumptions'!$T$31^2/2)),0)</f>
        <v>370656</v>
      </c>
      <c r="D1852" s="46" t="n">
        <f aca="false">MIN(1,'Model Inputs &amp; Assumptions'!$U$31*EXP('Model Inputs &amp; Assumptions'!$V$31*Q1852-'Model Inputs &amp; Assumptions'!$V$31^2/2))</f>
        <v>0.542632457498559</v>
      </c>
      <c r="E1852" s="45" t="n">
        <f aca="false">ROUND(C1852*D1852,0)</f>
        <v>201130</v>
      </c>
      <c r="F1852" s="47" t="n">
        <f aca="false">MIN(1,'Model Inputs &amp; Assumptions'!$W$31*EXP('Model Inputs &amp; Assumptions'!$X$31*R1852-'Model Inputs &amp; Assumptions'!$X$31^2/2))</f>
        <v>0.00334528025200576</v>
      </c>
      <c r="G1852" s="45" t="n">
        <f aca="false">ROUND(C1852*F1852,0)</f>
        <v>1240</v>
      </c>
      <c r="H1852" s="48" t="n">
        <f aca="false">MAX(0,(C1852*'Model Inputs &amp; Assumptions'!$N$31+E1852*'Model Inputs &amp; Assumptions'!$O$31+G1852*'Model Inputs &amp; Assumptions'!$P$31)*EXP('Model Inputs &amp; Assumptions'!$Q$31*S1852-'Model Inputs &amp; Assumptions'!$Q$31^2/2))</f>
        <v>12.9583963081923</v>
      </c>
      <c r="I1852" s="49" t="n">
        <f aca="false">IF('Model Inputs &amp; Assumptions'!$H$31="Fixed",'Model Inputs &amp; Assumptions'!$I$31*'Model Inputs &amp; Assumptions'!$K$31,IF('Model Inputs &amp; Assumptions'!$H$31="CPM",'Model Inputs &amp; Assumptions'!$I$31*'Model Inputs &amp; Assumptions'!$K$31*C1852/1000,IF('Model Inputs &amp; Assumptions'!$H$31="CPC",'Model Inputs &amp; Assumptions'!$I$31*'Model Inputs &amp; Assumptions'!$K$31*G1852,0)))</f>
        <v>4205.462976</v>
      </c>
      <c r="J1852" s="50" t="n">
        <f aca="false">H1852*INDEX('Model Inputs &amp; Assumptions'!$D$40:$D$42,MATCH('Model Inputs &amp; Assumptions'!$L$31,'Model Inputs &amp; Assumptions'!$A$40:$A$42,0))*INDEX('Model Inputs &amp; Assumptions'!$H$40:$H$42,MATCH('Model Inputs &amp; Assumptions'!$L$31,'Model Inputs &amp; Assumptions'!$A$40:$A$42,0))</f>
        <v>93300.4534189846</v>
      </c>
      <c r="K1852" s="49" t="n">
        <f aca="false">H1852*INDEX('Model Inputs &amp; Assumptions'!$G$40:$G$42,MATCH('Model Inputs &amp; Assumptions'!$L$31,'Model Inputs &amp; Assumptions'!$A$40:$A$42,0))*INDEX('Model Inputs &amp; Assumptions'!$H$40:$H$42,MATCH('Model Inputs &amp; Assumptions'!$L$31,'Model Inputs &amp; Assumptions'!$A$40:$A$42,0))</f>
        <v>2057.27499788861</v>
      </c>
      <c r="L1852" s="51" t="n">
        <f aca="false">IFERROR(K1852/I1852,0)</f>
        <v>0.489191085411808</v>
      </c>
      <c r="M1852" s="49" t="n">
        <f aca="false">IFERROR(I1852/H1852,0)</f>
        <v>324.535758590845</v>
      </c>
      <c r="N1852" s="52" t="str">
        <f aca="false">'Model Inputs &amp; Assumptions'!$L$31</f>
        <v>PRD-USIQ</v>
      </c>
      <c r="P1852" s="53" t="n">
        <v>-0.783256</v>
      </c>
      <c r="Q1852" s="53" t="n">
        <v>-0.527788</v>
      </c>
      <c r="R1852" s="53" t="n">
        <v>-1.554531</v>
      </c>
      <c r="S1852" s="53" t="n">
        <v>-2.638483</v>
      </c>
    </row>
    <row r="1853" customFormat="false" ht="15" hidden="false" customHeight="false" outlineLevel="0" collapsed="false">
      <c r="A1853" s="43" t="n">
        <v>350</v>
      </c>
      <c r="B1853" s="44" t="str">
        <f aca="false">'Model Inputs &amp; Assumptions'!$B$31</f>
        <v>YouTube — Finfluencer Pre-roll</v>
      </c>
      <c r="C1853" s="45" t="n">
        <f aca="false">ROUND(MAX(0,'Model Inputs &amp; Assumptions'!$S$31*EXP('Model Inputs &amp; Assumptions'!$T$31*P1853-'Model Inputs &amp; Assumptions'!$T$31^2/2)),0)</f>
        <v>639560</v>
      </c>
      <c r="D1853" s="46" t="n">
        <f aca="false">MIN(1,'Model Inputs &amp; Assumptions'!$U$31*EXP('Model Inputs &amp; Assumptions'!$V$31*Q1853-'Model Inputs &amp; Assumptions'!$V$31^2/2))</f>
        <v>0.551810702329115</v>
      </c>
      <c r="E1853" s="45" t="n">
        <f aca="false">ROUND(C1853*D1853,0)</f>
        <v>352916</v>
      </c>
      <c r="F1853" s="47" t="n">
        <f aca="false">MIN(1,'Model Inputs &amp; Assumptions'!$W$31*EXP('Model Inputs &amp; Assumptions'!$X$31*R1853-'Model Inputs &amp; Assumptions'!$X$31^2/2))</f>
        <v>0.00592438777420406</v>
      </c>
      <c r="G1853" s="45" t="n">
        <f aca="false">ROUND(C1853*F1853,0)</f>
        <v>3789</v>
      </c>
      <c r="H1853" s="48" t="n">
        <f aca="false">MAX(0,(C1853*'Model Inputs &amp; Assumptions'!$N$31+E1853*'Model Inputs &amp; Assumptions'!$O$31+G1853*'Model Inputs &amp; Assumptions'!$P$31)*EXP('Model Inputs &amp; Assumptions'!$Q$31*S1853-'Model Inputs &amp; Assumptions'!$Q$31^2/2))</f>
        <v>46.4450191028528</v>
      </c>
      <c r="I1853" s="49" t="n">
        <f aca="false">IF('Model Inputs &amp; Assumptions'!$H$31="Fixed",'Model Inputs &amp; Assumptions'!$I$31*'Model Inputs &amp; Assumptions'!$K$31,IF('Model Inputs &amp; Assumptions'!$H$31="CPM",'Model Inputs &amp; Assumptions'!$I$31*'Model Inputs &amp; Assumptions'!$K$31*C1853/1000,IF('Model Inputs &amp; Assumptions'!$H$31="CPC",'Model Inputs &amp; Assumptions'!$I$31*'Model Inputs &amp; Assumptions'!$K$31*G1853,0)))</f>
        <v>7256.44776</v>
      </c>
      <c r="J1853" s="50" t="n">
        <f aca="false">H1853*INDEX('Model Inputs &amp; Assumptions'!$D$40:$D$42,MATCH('Model Inputs &amp; Assumptions'!$L$31,'Model Inputs &amp; Assumptions'!$A$40:$A$42,0))*INDEX('Model Inputs &amp; Assumptions'!$H$40:$H$42,MATCH('Model Inputs &amp; Assumptions'!$L$31,'Model Inputs &amp; Assumptions'!$A$40:$A$42,0))</f>
        <v>334404.13754054</v>
      </c>
      <c r="K1853" s="49" t="n">
        <f aca="false">H1853*INDEX('Model Inputs &amp; Assumptions'!$G$40:$G$42,MATCH('Model Inputs &amp; Assumptions'!$L$31,'Model Inputs &amp; Assumptions'!$A$40:$A$42,0))*INDEX('Model Inputs &amp; Assumptions'!$H$40:$H$42,MATCH('Model Inputs &amp; Assumptions'!$L$31,'Model Inputs &amp; Assumptions'!$A$40:$A$42,0))</f>
        <v>7373.61123276892</v>
      </c>
      <c r="L1853" s="51" t="n">
        <f aca="false">IFERROR(K1853/I1853,0)</f>
        <v>1.01614611951246</v>
      </c>
      <c r="M1853" s="49" t="n">
        <f aca="false">IFERROR(I1853/H1853,0)</f>
        <v>156.237372707944</v>
      </c>
      <c r="N1853" s="52" t="str">
        <f aca="false">'Model Inputs &amp; Assumptions'!$L$31</f>
        <v>PRD-USIQ</v>
      </c>
      <c r="P1853" s="53" t="n">
        <v>1.164982</v>
      </c>
      <c r="Q1853" s="53" t="n">
        <v>-0.407982</v>
      </c>
      <c r="R1853" s="53" t="n">
        <v>0.826831</v>
      </c>
      <c r="S1853" s="53" t="n">
        <v>-1.5541</v>
      </c>
    </row>
    <row r="1854" customFormat="false" ht="15" hidden="false" customHeight="false" outlineLevel="0" collapsed="false">
      <c r="A1854" s="43" t="n">
        <v>351</v>
      </c>
      <c r="B1854" s="44" t="str">
        <f aca="false">'Model Inputs &amp; Assumptions'!$B$31</f>
        <v>YouTube — Finfluencer Pre-roll</v>
      </c>
      <c r="C1854" s="45" t="n">
        <f aca="false">ROUND(MAX(0,'Model Inputs &amp; Assumptions'!$S$31*EXP('Model Inputs &amp; Assumptions'!$T$31*P1854-'Model Inputs &amp; Assumptions'!$T$31^2/2)),0)</f>
        <v>397136</v>
      </c>
      <c r="D1854" s="46" t="n">
        <f aca="false">MIN(1,'Model Inputs &amp; Assumptions'!$U$31*EXP('Model Inputs &amp; Assumptions'!$V$31*Q1854-'Model Inputs &amp; Assumptions'!$V$31^2/2))</f>
        <v>0.593352226721304</v>
      </c>
      <c r="E1854" s="45" t="n">
        <f aca="false">ROUND(C1854*D1854,0)</f>
        <v>235642</v>
      </c>
      <c r="F1854" s="47" t="n">
        <f aca="false">MIN(1,'Model Inputs &amp; Assumptions'!$W$31*EXP('Model Inputs &amp; Assumptions'!$X$31*R1854-'Model Inputs &amp; Assumptions'!$X$31^2/2))</f>
        <v>0.00571715847830702</v>
      </c>
      <c r="G1854" s="45" t="n">
        <f aca="false">ROUND(C1854*F1854,0)</f>
        <v>2270</v>
      </c>
      <c r="H1854" s="48" t="n">
        <f aca="false">MAX(0,(C1854*'Model Inputs &amp; Assumptions'!$N$31+E1854*'Model Inputs &amp; Assumptions'!$O$31+G1854*'Model Inputs &amp; Assumptions'!$P$31)*EXP('Model Inputs &amp; Assumptions'!$Q$31*S1854-'Model Inputs &amp; Assumptions'!$Q$31^2/2))</f>
        <v>32.0019502872291</v>
      </c>
      <c r="I1854" s="49" t="n">
        <f aca="false">IF('Model Inputs &amp; Assumptions'!$H$31="Fixed",'Model Inputs &amp; Assumptions'!$I$31*'Model Inputs &amp; Assumptions'!$K$31,IF('Model Inputs &amp; Assumptions'!$H$31="CPM",'Model Inputs &amp; Assumptions'!$I$31*'Model Inputs &amp; Assumptions'!$K$31*C1854/1000,IF('Model Inputs &amp; Assumptions'!$H$31="CPC",'Model Inputs &amp; Assumptions'!$I$31*'Model Inputs &amp; Assumptions'!$K$31*G1854,0)))</f>
        <v>4505.905056</v>
      </c>
      <c r="J1854" s="50" t="n">
        <f aca="false">H1854*INDEX('Model Inputs &amp; Assumptions'!$D$40:$D$42,MATCH('Model Inputs &amp; Assumptions'!$L$31,'Model Inputs &amp; Assumptions'!$A$40:$A$42,0))*INDEX('Model Inputs &amp; Assumptions'!$H$40:$H$42,MATCH('Model Inputs &amp; Assumptions'!$L$31,'Model Inputs &amp; Assumptions'!$A$40:$A$42,0))</f>
        <v>230414.042068049</v>
      </c>
      <c r="K1854" s="49" t="n">
        <f aca="false">H1854*INDEX('Model Inputs &amp; Assumptions'!$G$40:$G$42,MATCH('Model Inputs &amp; Assumptions'!$L$31,'Model Inputs &amp; Assumptions'!$A$40:$A$42,0))*INDEX('Model Inputs &amp; Assumptions'!$H$40:$H$42,MATCH('Model Inputs &amp; Assumptions'!$L$31,'Model Inputs &amp; Assumptions'!$A$40:$A$42,0))</f>
        <v>5080.62962760049</v>
      </c>
      <c r="L1854" s="51" t="n">
        <f aca="false">IFERROR(K1854/I1854,0)</f>
        <v>1.12754919698878</v>
      </c>
      <c r="M1854" s="49" t="n">
        <f aca="false">IFERROR(I1854/H1854,0)</f>
        <v>140.800951678191</v>
      </c>
      <c r="N1854" s="52" t="str">
        <f aca="false">'Model Inputs &amp; Assumptions'!$L$31</f>
        <v>PRD-USIQ</v>
      </c>
      <c r="P1854" s="53" t="n">
        <v>-0.536809</v>
      </c>
      <c r="Q1854" s="53" t="n">
        <v>0.110469</v>
      </c>
      <c r="R1854" s="53" t="n">
        <v>0.678475</v>
      </c>
      <c r="S1854" s="53" t="n">
        <v>-1.261092</v>
      </c>
    </row>
    <row r="1855" customFormat="false" ht="15" hidden="false" customHeight="false" outlineLevel="0" collapsed="false">
      <c r="A1855" s="43" t="n">
        <v>352</v>
      </c>
      <c r="B1855" s="44" t="str">
        <f aca="false">'Model Inputs &amp; Assumptions'!$B$31</f>
        <v>YouTube — Finfluencer Pre-roll</v>
      </c>
      <c r="C1855" s="45" t="n">
        <f aca="false">ROUND(MAX(0,'Model Inputs &amp; Assumptions'!$S$31*EXP('Model Inputs &amp; Assumptions'!$T$31*P1855-'Model Inputs &amp; Assumptions'!$T$31^2/2)),0)</f>
        <v>489366</v>
      </c>
      <c r="D1855" s="46" t="n">
        <f aca="false">MIN(1,'Model Inputs &amp; Assumptions'!$U$31*EXP('Model Inputs &amp; Assumptions'!$V$31*Q1855-'Model Inputs &amp; Assumptions'!$V$31^2/2))</f>
        <v>0.568509359695713</v>
      </c>
      <c r="E1855" s="45" t="n">
        <f aca="false">ROUND(C1855*D1855,0)</f>
        <v>278209</v>
      </c>
      <c r="F1855" s="47" t="n">
        <f aca="false">MIN(1,'Model Inputs &amp; Assumptions'!$W$31*EXP('Model Inputs &amp; Assumptions'!$X$31*R1855-'Model Inputs &amp; Assumptions'!$X$31^2/2))</f>
        <v>0.00373222970961286</v>
      </c>
      <c r="G1855" s="45" t="n">
        <f aca="false">ROUND(C1855*F1855,0)</f>
        <v>1826</v>
      </c>
      <c r="H1855" s="48" t="n">
        <f aca="false">MAX(0,(C1855*'Model Inputs &amp; Assumptions'!$N$31+E1855*'Model Inputs &amp; Assumptions'!$O$31+G1855*'Model Inputs &amp; Assumptions'!$P$31)*EXP('Model Inputs &amp; Assumptions'!$Q$31*S1855-'Model Inputs &amp; Assumptions'!$Q$31^2/2))</f>
        <v>44.2154035894735</v>
      </c>
      <c r="I1855" s="49" t="n">
        <f aca="false">IF('Model Inputs &amp; Assumptions'!$H$31="Fixed",'Model Inputs &amp; Assumptions'!$I$31*'Model Inputs &amp; Assumptions'!$K$31,IF('Model Inputs &amp; Assumptions'!$H$31="CPM",'Model Inputs &amp; Assumptions'!$I$31*'Model Inputs &amp; Assumptions'!$K$31*C1855/1000,IF('Model Inputs &amp; Assumptions'!$H$31="CPC",'Model Inputs &amp; Assumptions'!$I$31*'Model Inputs &amp; Assumptions'!$K$31*G1855,0)))</f>
        <v>5552.346636</v>
      </c>
      <c r="J1855" s="50" t="n">
        <f aca="false">H1855*INDEX('Model Inputs &amp; Assumptions'!$D$40:$D$42,MATCH('Model Inputs &amp; Assumptions'!$L$31,'Model Inputs &amp; Assumptions'!$A$40:$A$42,0))*INDEX('Model Inputs &amp; Assumptions'!$H$40:$H$42,MATCH('Model Inputs &amp; Assumptions'!$L$31,'Model Inputs &amp; Assumptions'!$A$40:$A$42,0))</f>
        <v>318350.905844209</v>
      </c>
      <c r="K1855" s="49" t="n">
        <f aca="false">H1855*INDEX('Model Inputs &amp; Assumptions'!$G$40:$G$42,MATCH('Model Inputs &amp; Assumptions'!$L$31,'Model Inputs &amp; Assumptions'!$A$40:$A$42,0))*INDEX('Model Inputs &amp; Assumptions'!$H$40:$H$42,MATCH('Model Inputs &amp; Assumptions'!$L$31,'Model Inputs &amp; Assumptions'!$A$40:$A$42,0))</f>
        <v>7019.63747386481</v>
      </c>
      <c r="L1855" s="51" t="n">
        <f aca="false">IFERROR(K1855/I1855,0)</f>
        <v>1.26426499173363</v>
      </c>
      <c r="M1855" s="49" t="n">
        <f aca="false">IFERROR(I1855/H1855,0)</f>
        <v>125.574939619501</v>
      </c>
      <c r="N1855" s="52" t="str">
        <f aca="false">'Model Inputs &amp; Assumptions'!$L$31</f>
        <v>PRD-USIQ</v>
      </c>
      <c r="P1855" s="53" t="n">
        <v>0.209013</v>
      </c>
      <c r="Q1855" s="53" t="n">
        <v>-0.195034</v>
      </c>
      <c r="R1855" s="53" t="n">
        <v>-1.098467</v>
      </c>
      <c r="S1855" s="53" t="n">
        <v>-0.156026</v>
      </c>
    </row>
    <row r="1856" customFormat="false" ht="15" hidden="false" customHeight="false" outlineLevel="0" collapsed="false">
      <c r="A1856" s="43" t="n">
        <v>353</v>
      </c>
      <c r="B1856" s="44" t="str">
        <f aca="false">'Model Inputs &amp; Assumptions'!$B$31</f>
        <v>YouTube — Finfluencer Pre-roll</v>
      </c>
      <c r="C1856" s="45" t="n">
        <f aca="false">ROUND(MAX(0,'Model Inputs &amp; Assumptions'!$S$31*EXP('Model Inputs &amp; Assumptions'!$T$31*P1856-'Model Inputs &amp; Assumptions'!$T$31^2/2)),0)</f>
        <v>454602</v>
      </c>
      <c r="D1856" s="46" t="n">
        <f aca="false">MIN(1,'Model Inputs &amp; Assumptions'!$U$31*EXP('Model Inputs &amp; Assumptions'!$V$31*Q1856-'Model Inputs &amp; Assumptions'!$V$31^2/2))</f>
        <v>0.656329321133166</v>
      </c>
      <c r="E1856" s="45" t="n">
        <f aca="false">ROUND(C1856*D1856,0)</f>
        <v>298369</v>
      </c>
      <c r="F1856" s="47" t="n">
        <f aca="false">MIN(1,'Model Inputs &amp; Assumptions'!$W$31*EXP('Model Inputs &amp; Assumptions'!$X$31*R1856-'Model Inputs &amp; Assumptions'!$X$31^2/2))</f>
        <v>0.00633689836859655</v>
      </c>
      <c r="G1856" s="45" t="n">
        <f aca="false">ROUND(C1856*F1856,0)</f>
        <v>2881</v>
      </c>
      <c r="H1856" s="48" t="n">
        <f aca="false">MAX(0,(C1856*'Model Inputs &amp; Assumptions'!$N$31+E1856*'Model Inputs &amp; Assumptions'!$O$31+G1856*'Model Inputs &amp; Assumptions'!$P$31)*EXP('Model Inputs &amp; Assumptions'!$Q$31*S1856-'Model Inputs &amp; Assumptions'!$Q$31^2/2))</f>
        <v>73.7671283387278</v>
      </c>
      <c r="I1856" s="49" t="n">
        <f aca="false">IF('Model Inputs &amp; Assumptions'!$H$31="Fixed",'Model Inputs &amp; Assumptions'!$I$31*'Model Inputs &amp; Assumptions'!$K$31,IF('Model Inputs &amp; Assumptions'!$H$31="CPM",'Model Inputs &amp; Assumptions'!$I$31*'Model Inputs &amp; Assumptions'!$K$31*C1856/1000,IF('Model Inputs &amp; Assumptions'!$H$31="CPC",'Model Inputs &amp; Assumptions'!$I$31*'Model Inputs &amp; Assumptions'!$K$31*G1856,0)))</f>
        <v>5157.914292</v>
      </c>
      <c r="J1856" s="50" t="n">
        <f aca="false">H1856*INDEX('Model Inputs &amp; Assumptions'!$D$40:$D$42,MATCH('Model Inputs &amp; Assumptions'!$L$31,'Model Inputs &amp; Assumptions'!$A$40:$A$42,0))*INDEX('Model Inputs &amp; Assumptions'!$H$40:$H$42,MATCH('Model Inputs &amp; Assumptions'!$L$31,'Model Inputs &amp; Assumptions'!$A$40:$A$42,0))</f>
        <v>531123.324038841</v>
      </c>
      <c r="K1856" s="49" t="n">
        <f aca="false">H1856*INDEX('Model Inputs &amp; Assumptions'!$G$40:$G$42,MATCH('Model Inputs &amp; Assumptions'!$L$31,'Model Inputs &amp; Assumptions'!$A$40:$A$42,0))*INDEX('Model Inputs &amp; Assumptions'!$H$40:$H$42,MATCH('Model Inputs &amp; Assumptions'!$L$31,'Model Inputs &amp; Assumptions'!$A$40:$A$42,0))</f>
        <v>11711.2692950564</v>
      </c>
      <c r="L1856" s="51" t="n">
        <f aca="false">IFERROR(K1856/I1856,0)</f>
        <v>2.27054360194018</v>
      </c>
      <c r="M1856" s="49" t="n">
        <f aca="false">IFERROR(I1856/H1856,0)</f>
        <v>69.9215817147662</v>
      </c>
      <c r="N1856" s="52" t="str">
        <f aca="false">'Model Inputs &amp; Assumptions'!$L$31</f>
        <v>PRD-USIQ</v>
      </c>
      <c r="P1856" s="53" t="n">
        <v>-0.054158</v>
      </c>
      <c r="Q1856" s="53" t="n">
        <v>0.831001</v>
      </c>
      <c r="R1856" s="53" t="n">
        <v>1.107298</v>
      </c>
      <c r="S1856" s="53" t="n">
        <v>0.446314</v>
      </c>
    </row>
    <row r="1857" customFormat="false" ht="15" hidden="false" customHeight="false" outlineLevel="0" collapsed="false">
      <c r="A1857" s="43" t="n">
        <v>354</v>
      </c>
      <c r="B1857" s="44" t="str">
        <f aca="false">'Model Inputs &amp; Assumptions'!$B$31</f>
        <v>YouTube — Finfluencer Pre-roll</v>
      </c>
      <c r="C1857" s="45" t="n">
        <f aca="false">ROUND(MAX(0,'Model Inputs &amp; Assumptions'!$S$31*EXP('Model Inputs &amp; Assumptions'!$T$31*P1857-'Model Inputs &amp; Assumptions'!$T$31^2/2)),0)</f>
        <v>345077</v>
      </c>
      <c r="D1857" s="46" t="n">
        <f aca="false">MIN(1,'Model Inputs &amp; Assumptions'!$U$31*EXP('Model Inputs &amp; Assumptions'!$V$31*Q1857-'Model Inputs &amp; Assumptions'!$V$31^2/2))</f>
        <v>0.542665808714269</v>
      </c>
      <c r="E1857" s="45" t="n">
        <f aca="false">ROUND(C1857*D1857,0)</f>
        <v>187261</v>
      </c>
      <c r="F1857" s="47" t="n">
        <f aca="false">MIN(1,'Model Inputs &amp; Assumptions'!$W$31*EXP('Model Inputs &amp; Assumptions'!$X$31*R1857-'Model Inputs &amp; Assumptions'!$X$31^2/2))</f>
        <v>0.00403472599532752</v>
      </c>
      <c r="G1857" s="45" t="n">
        <f aca="false">ROUND(C1857*F1857,0)</f>
        <v>1392</v>
      </c>
      <c r="H1857" s="48" t="n">
        <f aca="false">MAX(0,(C1857*'Model Inputs &amp; Assumptions'!$N$31+E1857*'Model Inputs &amp; Assumptions'!$O$31+G1857*'Model Inputs &amp; Assumptions'!$P$31)*EXP('Model Inputs &amp; Assumptions'!$Q$31*S1857-'Model Inputs &amp; Assumptions'!$Q$31^2/2))</f>
        <v>27.437095764035</v>
      </c>
      <c r="I1857" s="49" t="n">
        <f aca="false">IF('Model Inputs &amp; Assumptions'!$H$31="Fixed",'Model Inputs &amp; Assumptions'!$I$31*'Model Inputs &amp; Assumptions'!$K$31,IF('Model Inputs &amp; Assumptions'!$H$31="CPM",'Model Inputs &amp; Assumptions'!$I$31*'Model Inputs &amp; Assumptions'!$K$31*C1857/1000,IF('Model Inputs &amp; Assumptions'!$H$31="CPC",'Model Inputs &amp; Assumptions'!$I$31*'Model Inputs &amp; Assumptions'!$K$31*G1857,0)))</f>
        <v>3915.243642</v>
      </c>
      <c r="J1857" s="50" t="n">
        <f aca="false">H1857*INDEX('Model Inputs &amp; Assumptions'!$D$40:$D$42,MATCH('Model Inputs &amp; Assumptions'!$L$31,'Model Inputs &amp; Assumptions'!$A$40:$A$42,0))*INDEX('Model Inputs &amp; Assumptions'!$H$40:$H$42,MATCH('Model Inputs &amp; Assumptions'!$L$31,'Model Inputs &amp; Assumptions'!$A$40:$A$42,0))</f>
        <v>197547.089501052</v>
      </c>
      <c r="K1857" s="49" t="n">
        <f aca="false">H1857*INDEX('Model Inputs &amp; Assumptions'!$G$40:$G$42,MATCH('Model Inputs &amp; Assumptions'!$L$31,'Model Inputs &amp; Assumptions'!$A$40:$A$42,0))*INDEX('Model Inputs &amp; Assumptions'!$H$40:$H$42,MATCH('Model Inputs &amp; Assumptions'!$L$31,'Model Inputs &amp; Assumptions'!$A$40:$A$42,0))</f>
        <v>4355.91332349819</v>
      </c>
      <c r="L1857" s="51" t="n">
        <f aca="false">IFERROR(K1857/I1857,0)</f>
        <v>1.1125523011572</v>
      </c>
      <c r="M1857" s="49" t="n">
        <f aca="false">IFERROR(I1857/H1857,0)</f>
        <v>142.698909376997</v>
      </c>
      <c r="N1857" s="52" t="str">
        <f aca="false">'Model Inputs &amp; Assumptions'!$L$31</f>
        <v>PRD-USIQ</v>
      </c>
      <c r="P1857" s="53" t="n">
        <v>-1.038637</v>
      </c>
      <c r="Q1857" s="53" t="n">
        <v>-0.527349</v>
      </c>
      <c r="R1857" s="53" t="n">
        <v>-0.773748</v>
      </c>
      <c r="S1857" s="53" t="n">
        <v>-0.590003</v>
      </c>
    </row>
    <row r="1858" customFormat="false" ht="15" hidden="false" customHeight="false" outlineLevel="0" collapsed="false">
      <c r="A1858" s="43" t="n">
        <v>355</v>
      </c>
      <c r="B1858" s="44" t="str">
        <f aca="false">'Model Inputs &amp; Assumptions'!$B$31</f>
        <v>YouTube — Finfluencer Pre-roll</v>
      </c>
      <c r="C1858" s="45" t="n">
        <f aca="false">ROUND(MAX(0,'Model Inputs &amp; Assumptions'!$S$31*EXP('Model Inputs &amp; Assumptions'!$T$31*P1858-'Model Inputs &amp; Assumptions'!$T$31^2/2)),0)</f>
        <v>397005</v>
      </c>
      <c r="D1858" s="46" t="n">
        <f aca="false">MIN(1,'Model Inputs &amp; Assumptions'!$U$31*EXP('Model Inputs &amp; Assumptions'!$V$31*Q1858-'Model Inputs &amp; Assumptions'!$V$31^2/2))</f>
        <v>0.596711052401569</v>
      </c>
      <c r="E1858" s="45" t="n">
        <f aca="false">ROUND(C1858*D1858,0)</f>
        <v>236897</v>
      </c>
      <c r="F1858" s="47" t="n">
        <f aca="false">MIN(1,'Model Inputs &amp; Assumptions'!$W$31*EXP('Model Inputs &amp; Assumptions'!$X$31*R1858-'Model Inputs &amp; Assumptions'!$X$31^2/2))</f>
        <v>0.00673163510927184</v>
      </c>
      <c r="G1858" s="45" t="n">
        <f aca="false">ROUND(C1858*F1858,0)</f>
        <v>2672</v>
      </c>
      <c r="H1858" s="48" t="n">
        <f aca="false">MAX(0,(C1858*'Model Inputs &amp; Assumptions'!$N$31+E1858*'Model Inputs &amp; Assumptions'!$O$31+G1858*'Model Inputs &amp; Assumptions'!$P$31)*EXP('Model Inputs &amp; Assumptions'!$Q$31*S1858-'Model Inputs &amp; Assumptions'!$Q$31^2/2))</f>
        <v>56.4205556597556</v>
      </c>
      <c r="I1858" s="49" t="n">
        <f aca="false">IF('Model Inputs &amp; Assumptions'!$H$31="Fixed",'Model Inputs &amp; Assumptions'!$I$31*'Model Inputs &amp; Assumptions'!$K$31,IF('Model Inputs &amp; Assumptions'!$H$31="CPM",'Model Inputs &amp; Assumptions'!$I$31*'Model Inputs &amp; Assumptions'!$K$31*C1858/1000,IF('Model Inputs &amp; Assumptions'!$H$31="CPC",'Model Inputs &amp; Assumptions'!$I$31*'Model Inputs &amp; Assumptions'!$K$31*G1858,0)))</f>
        <v>4504.41873</v>
      </c>
      <c r="J1858" s="50" t="n">
        <f aca="false">H1858*INDEX('Model Inputs &amp; Assumptions'!$D$40:$D$42,MATCH('Model Inputs &amp; Assumptions'!$L$31,'Model Inputs &amp; Assumptions'!$A$40:$A$42,0))*INDEX('Model Inputs &amp; Assumptions'!$H$40:$H$42,MATCH('Model Inputs &amp; Assumptions'!$L$31,'Model Inputs &amp; Assumptions'!$A$40:$A$42,0))</f>
        <v>406228.000750241</v>
      </c>
      <c r="K1858" s="49" t="n">
        <f aca="false">H1858*INDEX('Model Inputs &amp; Assumptions'!$G$40:$G$42,MATCH('Model Inputs &amp; Assumptions'!$L$31,'Model Inputs &amp; Assumptions'!$A$40:$A$42,0))*INDEX('Model Inputs &amp; Assumptions'!$H$40:$H$42,MATCH('Model Inputs &amp; Assumptions'!$L$31,'Model Inputs &amp; Assumptions'!$A$40:$A$42,0))</f>
        <v>8957.32741654281</v>
      </c>
      <c r="L1858" s="51" t="n">
        <f aca="false">IFERROR(K1858/I1858,0)</f>
        <v>1.9885645525994</v>
      </c>
      <c r="M1858" s="49" t="n">
        <f aca="false">IFERROR(I1858/H1858,0)</f>
        <v>79.8364829507159</v>
      </c>
      <c r="N1858" s="52" t="str">
        <f aca="false">'Model Inputs &amp; Assumptions'!$L$31</f>
        <v>PRD-USIQ</v>
      </c>
      <c r="P1858" s="53" t="n">
        <v>-0.537991</v>
      </c>
      <c r="Q1858" s="53" t="n">
        <v>0.150789</v>
      </c>
      <c r="R1858" s="53" t="n">
        <v>1.359084</v>
      </c>
      <c r="S1858" s="53" t="n">
        <v>0.045737</v>
      </c>
    </row>
    <row r="1859" customFormat="false" ht="15" hidden="false" customHeight="false" outlineLevel="0" collapsed="false">
      <c r="A1859" s="43" t="n">
        <v>356</v>
      </c>
      <c r="B1859" s="44" t="str">
        <f aca="false">'Model Inputs &amp; Assumptions'!$B$31</f>
        <v>YouTube — Finfluencer Pre-roll</v>
      </c>
      <c r="C1859" s="45" t="n">
        <f aca="false">ROUND(MAX(0,'Model Inputs &amp; Assumptions'!$S$31*EXP('Model Inputs &amp; Assumptions'!$T$31*P1859-'Model Inputs &amp; Assumptions'!$T$31^2/2)),0)</f>
        <v>466489</v>
      </c>
      <c r="D1859" s="46" t="n">
        <f aca="false">MIN(1,'Model Inputs &amp; Assumptions'!$U$31*EXP('Model Inputs &amp; Assumptions'!$V$31*Q1859-'Model Inputs &amp; Assumptions'!$V$31^2/2))</f>
        <v>0.623733888642061</v>
      </c>
      <c r="E1859" s="45" t="n">
        <f aca="false">ROUND(C1859*D1859,0)</f>
        <v>290965</v>
      </c>
      <c r="F1859" s="47" t="n">
        <f aca="false">MIN(1,'Model Inputs &amp; Assumptions'!$W$31*EXP('Model Inputs &amp; Assumptions'!$X$31*R1859-'Model Inputs &amp; Assumptions'!$X$31^2/2))</f>
        <v>0.00493205507660256</v>
      </c>
      <c r="G1859" s="45" t="n">
        <f aca="false">ROUND(C1859*F1859,0)</f>
        <v>2301</v>
      </c>
      <c r="H1859" s="48" t="n">
        <f aca="false">MAX(0,(C1859*'Model Inputs &amp; Assumptions'!$N$31+E1859*'Model Inputs &amp; Assumptions'!$O$31+G1859*'Model Inputs &amp; Assumptions'!$P$31)*EXP('Model Inputs &amp; Assumptions'!$Q$31*S1859-'Model Inputs &amp; Assumptions'!$Q$31^2/2))</f>
        <v>69.8614935596432</v>
      </c>
      <c r="I1859" s="49" t="n">
        <f aca="false">IF('Model Inputs &amp; Assumptions'!$H$31="Fixed",'Model Inputs &amp; Assumptions'!$I$31*'Model Inputs &amp; Assumptions'!$K$31,IF('Model Inputs &amp; Assumptions'!$H$31="CPM",'Model Inputs &amp; Assumptions'!$I$31*'Model Inputs &amp; Assumptions'!$K$31*C1859/1000,IF('Model Inputs &amp; Assumptions'!$H$31="CPC",'Model Inputs &amp; Assumptions'!$I$31*'Model Inputs &amp; Assumptions'!$K$31*G1859,0)))</f>
        <v>5292.784194</v>
      </c>
      <c r="J1859" s="50" t="n">
        <f aca="false">H1859*INDEX('Model Inputs &amp; Assumptions'!$D$40:$D$42,MATCH('Model Inputs &amp; Assumptions'!$L$31,'Model Inputs &amp; Assumptions'!$A$40:$A$42,0))*INDEX('Model Inputs &amp; Assumptions'!$H$40:$H$42,MATCH('Model Inputs &amp; Assumptions'!$L$31,'Model Inputs &amp; Assumptions'!$A$40:$A$42,0))</f>
        <v>503002.753629431</v>
      </c>
      <c r="K1859" s="49" t="n">
        <f aca="false">H1859*INDEX('Model Inputs &amp; Assumptions'!$G$40:$G$42,MATCH('Model Inputs &amp; Assumptions'!$L$31,'Model Inputs &amp; Assumptions'!$A$40:$A$42,0))*INDEX('Model Inputs &amp; Assumptions'!$H$40:$H$42,MATCH('Model Inputs &amp; Assumptions'!$L$31,'Model Inputs &amp; Assumptions'!$A$40:$A$42,0))</f>
        <v>11091.2107175289</v>
      </c>
      <c r="L1859" s="51" t="n">
        <f aca="false">IFERROR(K1859/I1859,0)</f>
        <v>2.09553428044585</v>
      </c>
      <c r="M1859" s="49" t="n">
        <f aca="false">IFERROR(I1859/H1859,0)</f>
        <v>75.7611085065247</v>
      </c>
      <c r="N1859" s="52" t="str">
        <f aca="false">'Model Inputs &amp; Assumptions'!$L$31</f>
        <v>PRD-USIQ</v>
      </c>
      <c r="P1859" s="53" t="n">
        <v>0.03803</v>
      </c>
      <c r="Q1859" s="53" t="n">
        <v>0.467152</v>
      </c>
      <c r="R1859" s="53" t="n">
        <v>0.062991</v>
      </c>
      <c r="S1859" s="53" t="n">
        <v>0.716888</v>
      </c>
    </row>
    <row r="1860" customFormat="false" ht="15" hidden="false" customHeight="false" outlineLevel="0" collapsed="false">
      <c r="A1860" s="43" t="n">
        <v>357</v>
      </c>
      <c r="B1860" s="44" t="str">
        <f aca="false">'Model Inputs &amp; Assumptions'!$B$31</f>
        <v>YouTube — Finfluencer Pre-roll</v>
      </c>
      <c r="C1860" s="45" t="n">
        <f aca="false">ROUND(MAX(0,'Model Inputs &amp; Assumptions'!$S$31*EXP('Model Inputs &amp; Assumptions'!$T$31*P1860-'Model Inputs &amp; Assumptions'!$T$31^2/2)),0)</f>
        <v>307991</v>
      </c>
      <c r="D1860" s="46" t="n">
        <f aca="false">MIN(1,'Model Inputs &amp; Assumptions'!$U$31*EXP('Model Inputs &amp; Assumptions'!$V$31*Q1860-'Model Inputs &amp; Assumptions'!$V$31^2/2))</f>
        <v>0.552215427249827</v>
      </c>
      <c r="E1860" s="45" t="n">
        <f aca="false">ROUND(C1860*D1860,0)</f>
        <v>170077</v>
      </c>
      <c r="F1860" s="47" t="n">
        <f aca="false">MIN(1,'Model Inputs &amp; Assumptions'!$W$31*EXP('Model Inputs &amp; Assumptions'!$X$31*R1860-'Model Inputs &amp; Assumptions'!$X$31^2/2))</f>
        <v>0.0045147251602921</v>
      </c>
      <c r="G1860" s="45" t="n">
        <f aca="false">ROUND(C1860*F1860,0)</f>
        <v>1390</v>
      </c>
      <c r="H1860" s="48" t="n">
        <f aca="false">MAX(0,(C1860*'Model Inputs &amp; Assumptions'!$N$31+E1860*'Model Inputs &amp; Assumptions'!$O$31+G1860*'Model Inputs &amp; Assumptions'!$P$31)*EXP('Model Inputs &amp; Assumptions'!$Q$31*S1860-'Model Inputs &amp; Assumptions'!$Q$31^2/2))</f>
        <v>30.6355558822296</v>
      </c>
      <c r="I1860" s="49" t="n">
        <f aca="false">IF('Model Inputs &amp; Assumptions'!$H$31="Fixed",'Model Inputs &amp; Assumptions'!$I$31*'Model Inputs &amp; Assumptions'!$K$31,IF('Model Inputs &amp; Assumptions'!$H$31="CPM",'Model Inputs &amp; Assumptions'!$I$31*'Model Inputs &amp; Assumptions'!$K$31*C1860/1000,IF('Model Inputs &amp; Assumptions'!$H$31="CPC",'Model Inputs &amp; Assumptions'!$I$31*'Model Inputs &amp; Assumptions'!$K$31*G1860,0)))</f>
        <v>3494.465886</v>
      </c>
      <c r="J1860" s="50" t="n">
        <f aca="false">H1860*INDEX('Model Inputs &amp; Assumptions'!$D$40:$D$42,MATCH('Model Inputs &amp; Assumptions'!$L$31,'Model Inputs &amp; Assumptions'!$A$40:$A$42,0))*INDEX('Model Inputs &amp; Assumptions'!$H$40:$H$42,MATCH('Model Inputs &amp; Assumptions'!$L$31,'Model Inputs &amp; Assumptions'!$A$40:$A$42,0))</f>
        <v>220576.002352053</v>
      </c>
      <c r="K1860" s="49" t="n">
        <f aca="false">H1860*INDEX('Model Inputs &amp; Assumptions'!$G$40:$G$42,MATCH('Model Inputs &amp; Assumptions'!$L$31,'Model Inputs &amp; Assumptions'!$A$40:$A$42,0))*INDEX('Model Inputs &amp; Assumptions'!$H$40:$H$42,MATCH('Model Inputs &amp; Assumptions'!$L$31,'Model Inputs &amp; Assumptions'!$A$40:$A$42,0))</f>
        <v>4863.70085186277</v>
      </c>
      <c r="L1860" s="51" t="n">
        <f aca="false">IFERROR(K1860/I1860,0)</f>
        <v>1.3918295414897</v>
      </c>
      <c r="M1860" s="49" t="n">
        <f aca="false">IFERROR(I1860/H1860,0)</f>
        <v>114.065692146523</v>
      </c>
      <c r="N1860" s="52" t="str">
        <f aca="false">'Model Inputs &amp; Assumptions'!$L$31</f>
        <v>PRD-USIQ</v>
      </c>
      <c r="P1860" s="53" t="n">
        <v>-1.444703</v>
      </c>
      <c r="Q1860" s="53" t="n">
        <v>-0.402745</v>
      </c>
      <c r="R1860" s="53" t="n">
        <v>-0.30539</v>
      </c>
      <c r="S1860" s="53" t="n">
        <v>-0.16079</v>
      </c>
    </row>
    <row r="1861" customFormat="false" ht="15" hidden="false" customHeight="false" outlineLevel="0" collapsed="false">
      <c r="A1861" s="43" t="n">
        <v>358</v>
      </c>
      <c r="B1861" s="44" t="str">
        <f aca="false">'Model Inputs &amp; Assumptions'!$B$31</f>
        <v>YouTube — Finfluencer Pre-roll</v>
      </c>
      <c r="C1861" s="45" t="n">
        <f aca="false">ROUND(MAX(0,'Model Inputs &amp; Assumptions'!$S$31*EXP('Model Inputs &amp; Assumptions'!$T$31*P1861-'Model Inputs &amp; Assumptions'!$T$31^2/2)),0)</f>
        <v>568239</v>
      </c>
      <c r="D1861" s="46" t="n">
        <f aca="false">MIN(1,'Model Inputs &amp; Assumptions'!$U$31*EXP('Model Inputs &amp; Assumptions'!$V$31*Q1861-'Model Inputs &amp; Assumptions'!$V$31^2/2))</f>
        <v>0.534692393917232</v>
      </c>
      <c r="E1861" s="45" t="n">
        <f aca="false">ROUND(C1861*D1861,0)</f>
        <v>303833</v>
      </c>
      <c r="F1861" s="47" t="n">
        <f aca="false">MIN(1,'Model Inputs &amp; Assumptions'!$W$31*EXP('Model Inputs &amp; Assumptions'!$X$31*R1861-'Model Inputs &amp; Assumptions'!$X$31^2/2))</f>
        <v>0.00431145775192136</v>
      </c>
      <c r="G1861" s="45" t="n">
        <f aca="false">ROUND(C1861*F1861,0)</f>
        <v>2450</v>
      </c>
      <c r="H1861" s="48" t="n">
        <f aca="false">MAX(0,(C1861*'Model Inputs &amp; Assumptions'!$N$31+E1861*'Model Inputs &amp; Assumptions'!$O$31+G1861*'Model Inputs &amp; Assumptions'!$P$31)*EXP('Model Inputs &amp; Assumptions'!$Q$31*S1861-'Model Inputs &amp; Assumptions'!$Q$31^2/2))</f>
        <v>53.8604589197328</v>
      </c>
      <c r="I1861" s="49" t="n">
        <f aca="false">IF('Model Inputs &amp; Assumptions'!$H$31="Fixed",'Model Inputs &amp; Assumptions'!$I$31*'Model Inputs &amp; Assumptions'!$K$31,IF('Model Inputs &amp; Assumptions'!$H$31="CPM",'Model Inputs &amp; Assumptions'!$I$31*'Model Inputs &amp; Assumptions'!$K$31*C1861/1000,IF('Model Inputs &amp; Assumptions'!$H$31="CPC",'Model Inputs &amp; Assumptions'!$I$31*'Model Inputs &amp; Assumptions'!$K$31*G1861,0)))</f>
        <v>6447.239694</v>
      </c>
      <c r="J1861" s="50" t="n">
        <f aca="false">H1861*INDEX('Model Inputs &amp; Assumptions'!$D$40:$D$42,MATCH('Model Inputs &amp; Assumptions'!$L$31,'Model Inputs &amp; Assumptions'!$A$40:$A$42,0))*INDEX('Model Inputs &amp; Assumptions'!$H$40:$H$42,MATCH('Model Inputs &amp; Assumptions'!$L$31,'Model Inputs &amp; Assumptions'!$A$40:$A$42,0))</f>
        <v>387795.304222076</v>
      </c>
      <c r="K1861" s="49" t="n">
        <f aca="false">H1861*INDEX('Model Inputs &amp; Assumptions'!$G$40:$G$42,MATCH('Model Inputs &amp; Assumptions'!$L$31,'Model Inputs &amp; Assumptions'!$A$40:$A$42,0))*INDEX('Model Inputs &amp; Assumptions'!$H$40:$H$42,MATCH('Model Inputs &amp; Assumptions'!$L$31,'Model Inputs &amp; Assumptions'!$A$40:$A$42,0))</f>
        <v>8550.88645809677</v>
      </c>
      <c r="L1861" s="51" t="n">
        <f aca="false">IFERROR(K1861/I1861,0)</f>
        <v>1.32628642084681</v>
      </c>
      <c r="M1861" s="49" t="n">
        <f aca="false">IFERROR(I1861/H1861,0)</f>
        <v>119.702650577267</v>
      </c>
      <c r="N1861" s="52" t="str">
        <f aca="false">'Model Inputs &amp; Assumptions'!$L$31</f>
        <v>PRD-USIQ</v>
      </c>
      <c r="P1861" s="53" t="n">
        <v>0.742698</v>
      </c>
      <c r="Q1861" s="53" t="n">
        <v>-0.633078</v>
      </c>
      <c r="R1861" s="53" t="n">
        <v>-0.497341</v>
      </c>
      <c r="S1861" s="53" t="n">
        <v>-0.183301</v>
      </c>
    </row>
    <row r="1862" customFormat="false" ht="15" hidden="false" customHeight="false" outlineLevel="0" collapsed="false">
      <c r="A1862" s="43" t="n">
        <v>359</v>
      </c>
      <c r="B1862" s="44" t="str">
        <f aca="false">'Model Inputs &amp; Assumptions'!$B$31</f>
        <v>YouTube — Finfluencer Pre-roll</v>
      </c>
      <c r="C1862" s="45" t="n">
        <f aca="false">ROUND(MAX(0,'Model Inputs &amp; Assumptions'!$S$31*EXP('Model Inputs &amp; Assumptions'!$T$31*P1862-'Model Inputs &amp; Assumptions'!$T$31^2/2)),0)</f>
        <v>579107</v>
      </c>
      <c r="D1862" s="46" t="n">
        <f aca="false">MIN(1,'Model Inputs &amp; Assumptions'!$U$31*EXP('Model Inputs &amp; Assumptions'!$V$31*Q1862-'Model Inputs &amp; Assumptions'!$V$31^2/2))</f>
        <v>0.643655752193239</v>
      </c>
      <c r="E1862" s="45" t="n">
        <f aca="false">ROUND(C1862*D1862,0)</f>
        <v>372746</v>
      </c>
      <c r="F1862" s="47" t="n">
        <f aca="false">MIN(1,'Model Inputs &amp; Assumptions'!$W$31*EXP('Model Inputs &amp; Assumptions'!$X$31*R1862-'Model Inputs &amp; Assumptions'!$X$31^2/2))</f>
        <v>0.00653827227500484</v>
      </c>
      <c r="G1862" s="45" t="n">
        <f aca="false">ROUND(C1862*F1862,0)</f>
        <v>3786</v>
      </c>
      <c r="H1862" s="48" t="n">
        <f aca="false">MAX(0,(C1862*'Model Inputs &amp; Assumptions'!$N$31+E1862*'Model Inputs &amp; Assumptions'!$O$31+G1862*'Model Inputs &amp; Assumptions'!$P$31)*EXP('Model Inputs &amp; Assumptions'!$Q$31*S1862-'Model Inputs &amp; Assumptions'!$Q$31^2/2))</f>
        <v>56.0018506557193</v>
      </c>
      <c r="I1862" s="49" t="n">
        <f aca="false">IF('Model Inputs &amp; Assumptions'!$H$31="Fixed",'Model Inputs &amp; Assumptions'!$I$31*'Model Inputs &amp; Assumptions'!$K$31,IF('Model Inputs &amp; Assumptions'!$H$31="CPM",'Model Inputs &amp; Assumptions'!$I$31*'Model Inputs &amp; Assumptions'!$K$31*C1862/1000,IF('Model Inputs &amp; Assumptions'!$H$31="CPC",'Model Inputs &amp; Assumptions'!$I$31*'Model Inputs &amp; Assumptions'!$K$31*G1862,0)))</f>
        <v>6570.548022</v>
      </c>
      <c r="J1862" s="50" t="n">
        <f aca="false">H1862*INDEX('Model Inputs &amp; Assumptions'!$D$40:$D$42,MATCH('Model Inputs &amp; Assumptions'!$L$31,'Model Inputs &amp; Assumptions'!$A$40:$A$42,0))*INDEX('Model Inputs &amp; Assumptions'!$H$40:$H$42,MATCH('Model Inputs &amp; Assumptions'!$L$31,'Model Inputs &amp; Assumptions'!$A$40:$A$42,0))</f>
        <v>403213.324721179</v>
      </c>
      <c r="K1862" s="49" t="n">
        <f aca="false">H1862*INDEX('Model Inputs &amp; Assumptions'!$G$40:$G$42,MATCH('Model Inputs &amp; Assumptions'!$L$31,'Model Inputs &amp; Assumptions'!$A$40:$A$42,0))*INDEX('Model Inputs &amp; Assumptions'!$H$40:$H$42,MATCH('Model Inputs &amp; Assumptions'!$L$31,'Model Inputs &amp; Assumptions'!$A$40:$A$42,0))</f>
        <v>8890.853810102</v>
      </c>
      <c r="L1862" s="51" t="n">
        <f aca="false">IFERROR(K1862/I1862,0)</f>
        <v>1.35313733045295</v>
      </c>
      <c r="M1862" s="49" t="n">
        <f aca="false">IFERROR(I1862/H1862,0)</f>
        <v>117.32733731236</v>
      </c>
      <c r="N1862" s="52" t="str">
        <f aca="false">'Model Inputs &amp; Assumptions'!$L$31</f>
        <v>PRD-USIQ</v>
      </c>
      <c r="P1862" s="53" t="n">
        <v>0.81036</v>
      </c>
      <c r="Q1862" s="53" t="n">
        <v>0.691725</v>
      </c>
      <c r="R1862" s="53" t="n">
        <v>1.237646</v>
      </c>
      <c r="S1862" s="53" t="n">
        <v>-1.070791</v>
      </c>
    </row>
    <row r="1863" customFormat="false" ht="15" hidden="false" customHeight="false" outlineLevel="0" collapsed="false">
      <c r="A1863" s="43" t="n">
        <v>360</v>
      </c>
      <c r="B1863" s="44" t="str">
        <f aca="false">'Model Inputs &amp; Assumptions'!$B$31</f>
        <v>YouTube — Finfluencer Pre-roll</v>
      </c>
      <c r="C1863" s="45" t="n">
        <f aca="false">ROUND(MAX(0,'Model Inputs &amp; Assumptions'!$S$31*EXP('Model Inputs &amp; Assumptions'!$T$31*P1863-'Model Inputs &amp; Assumptions'!$T$31^2/2)),0)</f>
        <v>478006</v>
      </c>
      <c r="D1863" s="46" t="n">
        <f aca="false">MIN(1,'Model Inputs &amp; Assumptions'!$U$31*EXP('Model Inputs &amp; Assumptions'!$V$31*Q1863-'Model Inputs &amp; Assumptions'!$V$31^2/2))</f>
        <v>0.769705101865211</v>
      </c>
      <c r="E1863" s="45" t="n">
        <f aca="false">ROUND(C1863*D1863,0)</f>
        <v>367924</v>
      </c>
      <c r="F1863" s="47" t="n">
        <f aca="false">MIN(1,'Model Inputs &amp; Assumptions'!$W$31*EXP('Model Inputs &amp; Assumptions'!$X$31*R1863-'Model Inputs &amp; Assumptions'!$X$31^2/2))</f>
        <v>0.00397505932464571</v>
      </c>
      <c r="G1863" s="45" t="n">
        <f aca="false">ROUND(C1863*F1863,0)</f>
        <v>1900</v>
      </c>
      <c r="H1863" s="48" t="n">
        <f aca="false">MAX(0,(C1863*'Model Inputs &amp; Assumptions'!$N$31+E1863*'Model Inputs &amp; Assumptions'!$O$31+G1863*'Model Inputs &amp; Assumptions'!$P$31)*EXP('Model Inputs &amp; Assumptions'!$Q$31*S1863-'Model Inputs &amp; Assumptions'!$Q$31^2/2))</f>
        <v>35.7158154573054</v>
      </c>
      <c r="I1863" s="49" t="n">
        <f aca="false">IF('Model Inputs &amp; Assumptions'!$H$31="Fixed",'Model Inputs &amp; Assumptions'!$I$31*'Model Inputs &amp; Assumptions'!$K$31,IF('Model Inputs &amp; Assumptions'!$H$31="CPM",'Model Inputs &amp; Assumptions'!$I$31*'Model Inputs &amp; Assumptions'!$K$31*C1863/1000,IF('Model Inputs &amp; Assumptions'!$H$31="CPC",'Model Inputs &amp; Assumptions'!$I$31*'Model Inputs &amp; Assumptions'!$K$31*G1863,0)))</f>
        <v>5423.456076</v>
      </c>
      <c r="J1863" s="50" t="n">
        <f aca="false">H1863*INDEX('Model Inputs &amp; Assumptions'!$D$40:$D$42,MATCH('Model Inputs &amp; Assumptions'!$L$31,'Model Inputs &amp; Assumptions'!$A$40:$A$42,0))*INDEX('Model Inputs &amp; Assumptions'!$H$40:$H$42,MATCH('Model Inputs &amp; Assumptions'!$L$31,'Model Inputs &amp; Assumptions'!$A$40:$A$42,0))</f>
        <v>257153.871292599</v>
      </c>
      <c r="K1863" s="49" t="n">
        <f aca="false">H1863*INDEX('Model Inputs &amp; Assumptions'!$G$40:$G$42,MATCH('Model Inputs &amp; Assumptions'!$L$31,'Model Inputs &amp; Assumptions'!$A$40:$A$42,0))*INDEX('Model Inputs &amp; Assumptions'!$H$40:$H$42,MATCH('Model Inputs &amp; Assumptions'!$L$31,'Model Inputs &amp; Assumptions'!$A$40:$A$42,0))</f>
        <v>5670.24286200181</v>
      </c>
      <c r="L1863" s="51" t="n">
        <f aca="false">IFERROR(K1863/I1863,0)</f>
        <v>1.04550360186264</v>
      </c>
      <c r="M1863" s="49" t="n">
        <f aca="false">IFERROR(I1863/H1863,0)</f>
        <v>151.850265955237</v>
      </c>
      <c r="N1863" s="52" t="str">
        <f aca="false">'Model Inputs &amp; Assumptions'!$L$31</f>
        <v>PRD-USIQ</v>
      </c>
      <c r="P1863" s="53" t="n">
        <v>0.125131</v>
      </c>
      <c r="Q1863" s="53" t="n">
        <v>1.969178</v>
      </c>
      <c r="R1863" s="53" t="n">
        <v>-0.835826</v>
      </c>
      <c r="S1863" s="53" t="n">
        <v>-1.207027</v>
      </c>
    </row>
    <row r="1864" customFormat="false" ht="15" hidden="false" customHeight="false" outlineLevel="0" collapsed="false">
      <c r="A1864" s="43" t="n">
        <v>361</v>
      </c>
      <c r="B1864" s="44" t="str">
        <f aca="false">'Model Inputs &amp; Assumptions'!$B$31</f>
        <v>YouTube — Finfluencer Pre-roll</v>
      </c>
      <c r="C1864" s="45" t="n">
        <f aca="false">ROUND(MAX(0,'Model Inputs &amp; Assumptions'!$S$31*EXP('Model Inputs &amp; Assumptions'!$T$31*P1864-'Model Inputs &amp; Assumptions'!$T$31^2/2)),0)</f>
        <v>467382</v>
      </c>
      <c r="D1864" s="46" t="n">
        <f aca="false">MIN(1,'Model Inputs &amp; Assumptions'!$U$31*EXP('Model Inputs &amp; Assumptions'!$V$31*Q1864-'Model Inputs &amp; Assumptions'!$V$31^2/2))</f>
        <v>0.575463979855905</v>
      </c>
      <c r="E1864" s="45" t="n">
        <f aca="false">ROUND(C1864*D1864,0)</f>
        <v>268962</v>
      </c>
      <c r="F1864" s="47" t="n">
        <f aca="false">MIN(1,'Model Inputs &amp; Assumptions'!$W$31*EXP('Model Inputs &amp; Assumptions'!$X$31*R1864-'Model Inputs &amp; Assumptions'!$X$31^2/2))</f>
        <v>0.00552725435608774</v>
      </c>
      <c r="G1864" s="45" t="n">
        <f aca="false">ROUND(C1864*F1864,0)</f>
        <v>2583</v>
      </c>
      <c r="H1864" s="48" t="n">
        <f aca="false">MAX(0,(C1864*'Model Inputs &amp; Assumptions'!$N$31+E1864*'Model Inputs &amp; Assumptions'!$O$31+G1864*'Model Inputs &amp; Assumptions'!$P$31)*EXP('Model Inputs &amp; Assumptions'!$Q$31*S1864-'Model Inputs &amp; Assumptions'!$Q$31^2/2))</f>
        <v>45.0392962583644</v>
      </c>
      <c r="I1864" s="49" t="n">
        <f aca="false">IF('Model Inputs &amp; Assumptions'!$H$31="Fixed",'Model Inputs &amp; Assumptions'!$I$31*'Model Inputs &amp; Assumptions'!$K$31,IF('Model Inputs &amp; Assumptions'!$H$31="CPM",'Model Inputs &amp; Assumptions'!$I$31*'Model Inputs &amp; Assumptions'!$K$31*C1864/1000,IF('Model Inputs &amp; Assumptions'!$H$31="CPC",'Model Inputs &amp; Assumptions'!$I$31*'Model Inputs &amp; Assumptions'!$K$31*G1864,0)))</f>
        <v>5302.916172</v>
      </c>
      <c r="J1864" s="50" t="n">
        <f aca="false">H1864*INDEX('Model Inputs &amp; Assumptions'!$D$40:$D$42,MATCH('Model Inputs &amp; Assumptions'!$L$31,'Model Inputs &amp; Assumptions'!$A$40:$A$42,0))*INDEX('Model Inputs &amp; Assumptions'!$H$40:$H$42,MATCH('Model Inputs &amp; Assumptions'!$L$31,'Model Inputs &amp; Assumptions'!$A$40:$A$42,0))</f>
        <v>324282.933060224</v>
      </c>
      <c r="K1864" s="49" t="n">
        <f aca="false">H1864*INDEX('Model Inputs &amp; Assumptions'!$G$40:$G$42,MATCH('Model Inputs &amp; Assumptions'!$L$31,'Model Inputs &amp; Assumptions'!$A$40:$A$42,0))*INDEX('Model Inputs &amp; Assumptions'!$H$40:$H$42,MATCH('Model Inputs &amp; Assumptions'!$L$31,'Model Inputs &amp; Assumptions'!$A$40:$A$42,0))</f>
        <v>7150.43867397794</v>
      </c>
      <c r="L1864" s="51" t="n">
        <f aca="false">IFERROR(K1864/I1864,0)</f>
        <v>1.34839745567412</v>
      </c>
      <c r="M1864" s="49" t="n">
        <f aca="false">IFERROR(I1864/H1864,0)</f>
        <v>117.739765328042</v>
      </c>
      <c r="N1864" s="52" t="str">
        <f aca="false">'Model Inputs &amp; Assumptions'!$L$31</f>
        <v>PRD-USIQ</v>
      </c>
      <c r="P1864" s="53" t="n">
        <v>0.044862</v>
      </c>
      <c r="Q1864" s="53" t="n">
        <v>-0.108185</v>
      </c>
      <c r="R1864" s="53" t="n">
        <v>0.537722</v>
      </c>
      <c r="S1864" s="53" t="n">
        <v>-0.656902</v>
      </c>
    </row>
    <row r="1865" customFormat="false" ht="15" hidden="false" customHeight="false" outlineLevel="0" collapsed="false">
      <c r="A1865" s="43" t="n">
        <v>362</v>
      </c>
      <c r="B1865" s="44" t="str">
        <f aca="false">'Model Inputs &amp; Assumptions'!$B$31</f>
        <v>YouTube — Finfluencer Pre-roll</v>
      </c>
      <c r="C1865" s="45" t="n">
        <f aca="false">ROUND(MAX(0,'Model Inputs &amp; Assumptions'!$S$31*EXP('Model Inputs &amp; Assumptions'!$T$31*P1865-'Model Inputs &amp; Assumptions'!$T$31^2/2)),0)</f>
        <v>285156</v>
      </c>
      <c r="D1865" s="46" t="n">
        <f aca="false">MIN(1,'Model Inputs &amp; Assumptions'!$U$31*EXP('Model Inputs &amp; Assumptions'!$V$31*Q1865-'Model Inputs &amp; Assumptions'!$V$31^2/2))</f>
        <v>0.51588034904637</v>
      </c>
      <c r="E1865" s="45" t="n">
        <f aca="false">ROUND(C1865*D1865,0)</f>
        <v>147106</v>
      </c>
      <c r="F1865" s="47" t="n">
        <f aca="false">MIN(1,'Model Inputs &amp; Assumptions'!$W$31*EXP('Model Inputs &amp; Assumptions'!$X$31*R1865-'Model Inputs &amp; Assumptions'!$X$31^2/2))</f>
        <v>0.00402912710174486</v>
      </c>
      <c r="G1865" s="45" t="n">
        <f aca="false">ROUND(C1865*F1865,0)</f>
        <v>1149</v>
      </c>
      <c r="H1865" s="48" t="n">
        <f aca="false">MAX(0,(C1865*'Model Inputs &amp; Assumptions'!$N$31+E1865*'Model Inputs &amp; Assumptions'!$O$31+G1865*'Model Inputs &amp; Assumptions'!$P$31)*EXP('Model Inputs &amp; Assumptions'!$Q$31*S1865-'Model Inputs &amp; Assumptions'!$Q$31^2/2))</f>
        <v>48.6245998591518</v>
      </c>
      <c r="I1865" s="49" t="n">
        <f aca="false">IF('Model Inputs &amp; Assumptions'!$H$31="Fixed",'Model Inputs &amp; Assumptions'!$I$31*'Model Inputs &amp; Assumptions'!$K$31,IF('Model Inputs &amp; Assumptions'!$H$31="CPM",'Model Inputs &amp; Assumptions'!$I$31*'Model Inputs &amp; Assumptions'!$K$31*C1865/1000,IF('Model Inputs &amp; Assumptions'!$H$31="CPC",'Model Inputs &amp; Assumptions'!$I$31*'Model Inputs &amp; Assumptions'!$K$31*G1865,0)))</f>
        <v>3235.379976</v>
      </c>
      <c r="J1865" s="50" t="n">
        <f aca="false">H1865*INDEX('Model Inputs &amp; Assumptions'!$D$40:$D$42,MATCH('Model Inputs &amp; Assumptions'!$L$31,'Model Inputs &amp; Assumptions'!$A$40:$A$42,0))*INDEX('Model Inputs &amp; Assumptions'!$H$40:$H$42,MATCH('Model Inputs &amp; Assumptions'!$L$31,'Model Inputs &amp; Assumptions'!$A$40:$A$42,0))</f>
        <v>350097.118985893</v>
      </c>
      <c r="K1865" s="49" t="n">
        <f aca="false">H1865*INDEX('Model Inputs &amp; Assumptions'!$G$40:$G$42,MATCH('Model Inputs &amp; Assumptions'!$L$31,'Model Inputs &amp; Assumptions'!$A$40:$A$42,0))*INDEX('Model Inputs &amp; Assumptions'!$H$40:$H$42,MATCH('Model Inputs &amp; Assumptions'!$L$31,'Model Inputs &amp; Assumptions'!$A$40:$A$42,0))</f>
        <v>7719.64147363894</v>
      </c>
      <c r="L1865" s="51" t="n">
        <f aca="false">IFERROR(K1865/I1865,0)</f>
        <v>2.38600768098434</v>
      </c>
      <c r="M1865" s="49" t="n">
        <f aca="false">IFERROR(I1865/H1865,0)</f>
        <v>66.5379249468736</v>
      </c>
      <c r="N1865" s="52" t="str">
        <f aca="false">'Model Inputs &amp; Assumptions'!$L$31</f>
        <v>PRD-USIQ</v>
      </c>
      <c r="P1865" s="53" t="n">
        <v>-1.71982</v>
      </c>
      <c r="Q1865" s="53" t="n">
        <v>-0.888912</v>
      </c>
      <c r="R1865" s="53" t="n">
        <v>-0.779534</v>
      </c>
      <c r="S1865" s="53" t="n">
        <v>1.651325</v>
      </c>
    </row>
    <row r="1866" customFormat="false" ht="15" hidden="false" customHeight="false" outlineLevel="0" collapsed="false">
      <c r="A1866" s="43" t="n">
        <v>363</v>
      </c>
      <c r="B1866" s="44" t="str">
        <f aca="false">'Model Inputs &amp; Assumptions'!$B$31</f>
        <v>YouTube — Finfluencer Pre-roll</v>
      </c>
      <c r="C1866" s="45" t="n">
        <f aca="false">ROUND(MAX(0,'Model Inputs &amp; Assumptions'!$S$31*EXP('Model Inputs &amp; Assumptions'!$T$31*P1866-'Model Inputs &amp; Assumptions'!$T$31^2/2)),0)</f>
        <v>575681</v>
      </c>
      <c r="D1866" s="46" t="n">
        <f aca="false">MIN(1,'Model Inputs &amp; Assumptions'!$U$31*EXP('Model Inputs &amp; Assumptions'!$V$31*Q1866-'Model Inputs &amp; Assumptions'!$V$31^2/2))</f>
        <v>0.480144680839312</v>
      </c>
      <c r="E1866" s="45" t="n">
        <f aca="false">ROUND(C1866*D1866,0)</f>
        <v>276410</v>
      </c>
      <c r="F1866" s="47" t="n">
        <f aca="false">MIN(1,'Model Inputs &amp; Assumptions'!$W$31*EXP('Model Inputs &amp; Assumptions'!$X$31*R1866-'Model Inputs &amp; Assumptions'!$X$31^2/2))</f>
        <v>0.00704086950963171</v>
      </c>
      <c r="G1866" s="45" t="n">
        <f aca="false">ROUND(C1866*F1866,0)</f>
        <v>4053</v>
      </c>
      <c r="H1866" s="48" t="n">
        <f aca="false">MAX(0,(C1866*'Model Inputs &amp; Assumptions'!$N$31+E1866*'Model Inputs &amp; Assumptions'!$O$31+G1866*'Model Inputs &amp; Assumptions'!$P$31)*EXP('Model Inputs &amp; Assumptions'!$Q$31*S1866-'Model Inputs &amp; Assumptions'!$Q$31^2/2))</f>
        <v>64.9706933691835</v>
      </c>
      <c r="I1866" s="49" t="n">
        <f aca="false">IF('Model Inputs &amp; Assumptions'!$H$31="Fixed",'Model Inputs &amp; Assumptions'!$I$31*'Model Inputs &amp; Assumptions'!$K$31,IF('Model Inputs &amp; Assumptions'!$H$31="CPM",'Model Inputs &amp; Assumptions'!$I$31*'Model Inputs &amp; Assumptions'!$K$31*C1866/1000,IF('Model Inputs &amp; Assumptions'!$H$31="CPC",'Model Inputs &amp; Assumptions'!$I$31*'Model Inputs &amp; Assumptions'!$K$31*G1866,0)))</f>
        <v>6531.676626</v>
      </c>
      <c r="J1866" s="50" t="n">
        <f aca="false">H1866*INDEX('Model Inputs &amp; Assumptions'!$D$40:$D$42,MATCH('Model Inputs &amp; Assumptions'!$L$31,'Model Inputs &amp; Assumptions'!$A$40:$A$42,0))*INDEX('Model Inputs &amp; Assumptions'!$H$40:$H$42,MATCH('Model Inputs &amp; Assumptions'!$L$31,'Model Inputs &amp; Assumptions'!$A$40:$A$42,0))</f>
        <v>467788.992258121</v>
      </c>
      <c r="K1866" s="49" t="n">
        <f aca="false">H1866*INDEX('Model Inputs &amp; Assumptions'!$G$40:$G$42,MATCH('Model Inputs &amp; Assumptions'!$L$31,'Model Inputs &amp; Assumptions'!$A$40:$A$42,0))*INDEX('Model Inputs &amp; Assumptions'!$H$40:$H$42,MATCH('Model Inputs &amp; Assumptions'!$L$31,'Model Inputs &amp; Assumptions'!$A$40:$A$42,0))</f>
        <v>10314.7472792916</v>
      </c>
      <c r="L1866" s="51" t="n">
        <f aca="false">IFERROR(K1866/I1866,0)</f>
        <v>1.57918829573293</v>
      </c>
      <c r="M1866" s="49" t="n">
        <f aca="false">IFERROR(I1866/H1866,0)</f>
        <v>100.532659993099</v>
      </c>
      <c r="N1866" s="52" t="str">
        <f aca="false">'Model Inputs &amp; Assumptions'!$L$31</f>
        <v>PRD-USIQ</v>
      </c>
      <c r="P1866" s="53" t="n">
        <v>0.78917</v>
      </c>
      <c r="Q1866" s="53" t="n">
        <v>-1.401679</v>
      </c>
      <c r="R1866" s="53" t="n">
        <v>1.546224</v>
      </c>
      <c r="S1866" s="53" t="n">
        <v>-0.521551</v>
      </c>
    </row>
    <row r="1867" customFormat="false" ht="15" hidden="false" customHeight="false" outlineLevel="0" collapsed="false">
      <c r="A1867" s="43" t="n">
        <v>364</v>
      </c>
      <c r="B1867" s="44" t="str">
        <f aca="false">'Model Inputs &amp; Assumptions'!$B$31</f>
        <v>YouTube — Finfluencer Pre-roll</v>
      </c>
      <c r="C1867" s="45" t="n">
        <f aca="false">ROUND(MAX(0,'Model Inputs &amp; Assumptions'!$S$31*EXP('Model Inputs &amp; Assumptions'!$T$31*P1867-'Model Inputs &amp; Assumptions'!$T$31^2/2)),0)</f>
        <v>423975</v>
      </c>
      <c r="D1867" s="46" t="n">
        <f aca="false">MIN(1,'Model Inputs &amp; Assumptions'!$U$31*EXP('Model Inputs &amp; Assumptions'!$V$31*Q1867-'Model Inputs &amp; Assumptions'!$V$31^2/2))</f>
        <v>0.462122217850882</v>
      </c>
      <c r="E1867" s="45" t="n">
        <f aca="false">ROUND(C1867*D1867,0)</f>
        <v>195928</v>
      </c>
      <c r="F1867" s="47" t="n">
        <f aca="false">MIN(1,'Model Inputs &amp; Assumptions'!$W$31*EXP('Model Inputs &amp; Assumptions'!$X$31*R1867-'Model Inputs &amp; Assumptions'!$X$31^2/2))</f>
        <v>0.00535639938291504</v>
      </c>
      <c r="G1867" s="45" t="n">
        <f aca="false">ROUND(C1867*F1867,0)</f>
        <v>2271</v>
      </c>
      <c r="H1867" s="48" t="n">
        <f aca="false">MAX(0,(C1867*'Model Inputs &amp; Assumptions'!$N$31+E1867*'Model Inputs &amp; Assumptions'!$O$31+G1867*'Model Inputs &amp; Assumptions'!$P$31)*EXP('Model Inputs &amp; Assumptions'!$Q$31*S1867-'Model Inputs &amp; Assumptions'!$Q$31^2/2))</f>
        <v>45.5711052467459</v>
      </c>
      <c r="I1867" s="49" t="n">
        <f aca="false">IF('Model Inputs &amp; Assumptions'!$H$31="Fixed",'Model Inputs &amp; Assumptions'!$I$31*'Model Inputs &amp; Assumptions'!$K$31,IF('Model Inputs &amp; Assumptions'!$H$31="CPM",'Model Inputs &amp; Assumptions'!$I$31*'Model Inputs &amp; Assumptions'!$K$31*C1867/1000,IF('Model Inputs &amp; Assumptions'!$H$31="CPC",'Model Inputs &amp; Assumptions'!$I$31*'Model Inputs &amp; Assumptions'!$K$31*G1867,0)))</f>
        <v>4810.42035</v>
      </c>
      <c r="J1867" s="50" t="n">
        <f aca="false">H1867*INDEX('Model Inputs &amp; Assumptions'!$D$40:$D$42,MATCH('Model Inputs &amp; Assumptions'!$L$31,'Model Inputs &amp; Assumptions'!$A$40:$A$42,0))*INDEX('Model Inputs &amp; Assumptions'!$H$40:$H$42,MATCH('Model Inputs &amp; Assumptions'!$L$31,'Model Inputs &amp; Assumptions'!$A$40:$A$42,0))</f>
        <v>328111.957776571</v>
      </c>
      <c r="K1867" s="49" t="n">
        <f aca="false">H1867*INDEX('Model Inputs &amp; Assumptions'!$G$40:$G$42,MATCH('Model Inputs &amp; Assumptions'!$L$31,'Model Inputs &amp; Assumptions'!$A$40:$A$42,0))*INDEX('Model Inputs &amp; Assumptions'!$H$40:$H$42,MATCH('Model Inputs &amp; Assumptions'!$L$31,'Model Inputs &amp; Assumptions'!$A$40:$A$42,0))</f>
        <v>7234.86866897338</v>
      </c>
      <c r="L1867" s="51" t="n">
        <f aca="false">IFERROR(K1867/I1867,0)</f>
        <v>1.50399926463254</v>
      </c>
      <c r="M1867" s="49" t="n">
        <f aca="false">IFERROR(I1867/H1867,0)</f>
        <v>105.558562250221</v>
      </c>
      <c r="N1867" s="52" t="str">
        <f aca="false">'Model Inputs &amp; Assumptions'!$L$31</f>
        <v>PRD-USIQ</v>
      </c>
      <c r="P1867" s="53" t="n">
        <v>-0.303254</v>
      </c>
      <c r="Q1867" s="53" t="n">
        <v>-1.674951</v>
      </c>
      <c r="R1867" s="53" t="n">
        <v>0.406892</v>
      </c>
      <c r="S1867" s="53" t="n">
        <v>-0.075058</v>
      </c>
    </row>
    <row r="1868" customFormat="false" ht="15" hidden="false" customHeight="false" outlineLevel="0" collapsed="false">
      <c r="A1868" s="43" t="n">
        <v>365</v>
      </c>
      <c r="B1868" s="44" t="str">
        <f aca="false">'Model Inputs &amp; Assumptions'!$B$31</f>
        <v>YouTube — Finfluencer Pre-roll</v>
      </c>
      <c r="C1868" s="45" t="n">
        <f aca="false">ROUND(MAX(0,'Model Inputs &amp; Assumptions'!$S$31*EXP('Model Inputs &amp; Assumptions'!$T$31*P1868-'Model Inputs &amp; Assumptions'!$T$31^2/2)),0)</f>
        <v>408024</v>
      </c>
      <c r="D1868" s="46" t="n">
        <f aca="false">MIN(1,'Model Inputs &amp; Assumptions'!$U$31*EXP('Model Inputs &amp; Assumptions'!$V$31*Q1868-'Model Inputs &amp; Assumptions'!$V$31^2/2))</f>
        <v>0.68877085320866</v>
      </c>
      <c r="E1868" s="45" t="n">
        <f aca="false">ROUND(C1868*D1868,0)</f>
        <v>281035</v>
      </c>
      <c r="F1868" s="47" t="n">
        <f aca="false">MIN(1,'Model Inputs &amp; Assumptions'!$W$31*EXP('Model Inputs &amp; Assumptions'!$X$31*R1868-'Model Inputs &amp; Assumptions'!$X$31^2/2))</f>
        <v>0.003538322951691</v>
      </c>
      <c r="G1868" s="45" t="n">
        <f aca="false">ROUND(C1868*F1868,0)</f>
        <v>1444</v>
      </c>
      <c r="H1868" s="48" t="n">
        <f aca="false">MAX(0,(C1868*'Model Inputs &amp; Assumptions'!$N$31+E1868*'Model Inputs &amp; Assumptions'!$O$31+G1868*'Model Inputs &amp; Assumptions'!$P$31)*EXP('Model Inputs &amp; Assumptions'!$Q$31*S1868-'Model Inputs &amp; Assumptions'!$Q$31^2/2))</f>
        <v>42.5231861374166</v>
      </c>
      <c r="I1868" s="49" t="n">
        <f aca="false">IF('Model Inputs &amp; Assumptions'!$H$31="Fixed",'Model Inputs &amp; Assumptions'!$I$31*'Model Inputs &amp; Assumptions'!$K$31,IF('Model Inputs &amp; Assumptions'!$H$31="CPM",'Model Inputs &amp; Assumptions'!$I$31*'Model Inputs &amp; Assumptions'!$K$31*C1868/1000,IF('Model Inputs &amp; Assumptions'!$H$31="CPC",'Model Inputs &amp; Assumptions'!$I$31*'Model Inputs &amp; Assumptions'!$K$31*G1868,0)))</f>
        <v>4629.440304</v>
      </c>
      <c r="J1868" s="50" t="n">
        <f aca="false">H1868*INDEX('Model Inputs &amp; Assumptions'!$D$40:$D$42,MATCH('Model Inputs &amp; Assumptions'!$L$31,'Model Inputs &amp; Assumptions'!$A$40:$A$42,0))*INDEX('Model Inputs &amp; Assumptions'!$H$40:$H$42,MATCH('Model Inputs &amp; Assumptions'!$L$31,'Model Inputs &amp; Assumptions'!$A$40:$A$42,0))</f>
        <v>306166.9401894</v>
      </c>
      <c r="K1868" s="49" t="n">
        <f aca="false">H1868*INDEX('Model Inputs &amp; Assumptions'!$G$40:$G$42,MATCH('Model Inputs &amp; Assumptions'!$L$31,'Model Inputs &amp; Assumptions'!$A$40:$A$42,0))*INDEX('Model Inputs &amp; Assumptions'!$H$40:$H$42,MATCH('Model Inputs &amp; Assumptions'!$L$31,'Model Inputs &amp; Assumptions'!$A$40:$A$42,0))</f>
        <v>6750.98103117626</v>
      </c>
      <c r="L1868" s="51" t="n">
        <f aca="false">IFERROR(K1868/I1868,0)</f>
        <v>1.45827153778032</v>
      </c>
      <c r="M1868" s="49" t="n">
        <f aca="false">IFERROR(I1868/H1868,0)</f>
        <v>108.868613208795</v>
      </c>
      <c r="N1868" s="52" t="str">
        <f aca="false">'Model Inputs &amp; Assumptions'!$L$31</f>
        <v>PRD-USIQ</v>
      </c>
      <c r="P1868" s="53" t="n">
        <v>-0.440219</v>
      </c>
      <c r="Q1868" s="53" t="n">
        <v>1.175615</v>
      </c>
      <c r="R1868" s="53" t="n">
        <v>-1.320771</v>
      </c>
      <c r="S1868" s="53" t="n">
        <v>0.068199</v>
      </c>
    </row>
    <row r="1869" customFormat="false" ht="15" hidden="false" customHeight="false" outlineLevel="0" collapsed="false">
      <c r="A1869" s="43" t="n">
        <v>366</v>
      </c>
      <c r="B1869" s="44" t="str">
        <f aca="false">'Model Inputs &amp; Assumptions'!$B$31</f>
        <v>YouTube — Finfluencer Pre-roll</v>
      </c>
      <c r="C1869" s="45" t="n">
        <f aca="false">ROUND(MAX(0,'Model Inputs &amp; Assumptions'!$S$31*EXP('Model Inputs &amp; Assumptions'!$T$31*P1869-'Model Inputs &amp; Assumptions'!$T$31^2/2)),0)</f>
        <v>414728</v>
      </c>
      <c r="D1869" s="46" t="n">
        <f aca="false">MIN(1,'Model Inputs &amp; Assumptions'!$U$31*EXP('Model Inputs &amp; Assumptions'!$V$31*Q1869-'Model Inputs &amp; Assumptions'!$V$31^2/2))</f>
        <v>0.594093751014632</v>
      </c>
      <c r="E1869" s="45" t="n">
        <f aca="false">ROUND(C1869*D1869,0)</f>
        <v>246387</v>
      </c>
      <c r="F1869" s="47" t="n">
        <f aca="false">MIN(1,'Model Inputs &amp; Assumptions'!$W$31*EXP('Model Inputs &amp; Assumptions'!$X$31*R1869-'Model Inputs &amp; Assumptions'!$X$31^2/2))</f>
        <v>0.00581851289304286</v>
      </c>
      <c r="G1869" s="45" t="n">
        <f aca="false">ROUND(C1869*F1869,0)</f>
        <v>2413</v>
      </c>
      <c r="H1869" s="48" t="n">
        <f aca="false">MAX(0,(C1869*'Model Inputs &amp; Assumptions'!$N$31+E1869*'Model Inputs &amp; Assumptions'!$O$31+G1869*'Model Inputs &amp; Assumptions'!$P$31)*EXP('Model Inputs &amp; Assumptions'!$Q$31*S1869-'Model Inputs &amp; Assumptions'!$Q$31^2/2))</f>
        <v>51.3067844253912</v>
      </c>
      <c r="I1869" s="49" t="n">
        <f aca="false">IF('Model Inputs &amp; Assumptions'!$H$31="Fixed",'Model Inputs &amp; Assumptions'!$I$31*'Model Inputs &amp; Assumptions'!$K$31,IF('Model Inputs &amp; Assumptions'!$H$31="CPM",'Model Inputs &amp; Assumptions'!$I$31*'Model Inputs &amp; Assumptions'!$K$31*C1869/1000,IF('Model Inputs &amp; Assumptions'!$H$31="CPC",'Model Inputs &amp; Assumptions'!$I$31*'Model Inputs &amp; Assumptions'!$K$31*G1869,0)))</f>
        <v>4705.503888</v>
      </c>
      <c r="J1869" s="50" t="n">
        <f aca="false">H1869*INDEX('Model Inputs &amp; Assumptions'!$D$40:$D$42,MATCH('Model Inputs &amp; Assumptions'!$L$31,'Model Inputs &amp; Assumptions'!$A$40:$A$42,0))*INDEX('Model Inputs &amp; Assumptions'!$H$40:$H$42,MATCH('Model Inputs &amp; Assumptions'!$L$31,'Model Inputs &amp; Assumptions'!$A$40:$A$42,0))</f>
        <v>369408.847862817</v>
      </c>
      <c r="K1869" s="49" t="n">
        <f aca="false">H1869*INDEX('Model Inputs &amp; Assumptions'!$G$40:$G$42,MATCH('Model Inputs &amp; Assumptions'!$L$31,'Model Inputs &amp; Assumptions'!$A$40:$A$42,0))*INDEX('Model Inputs &amp; Assumptions'!$H$40:$H$42,MATCH('Model Inputs &amp; Assumptions'!$L$31,'Model Inputs &amp; Assumptions'!$A$40:$A$42,0))</f>
        <v>8145.46509537511</v>
      </c>
      <c r="L1869" s="51" t="n">
        <f aca="false">IFERROR(K1869/I1869,0)</f>
        <v>1.73105055043047</v>
      </c>
      <c r="M1869" s="49" t="n">
        <f aca="false">IFERROR(I1869/H1869,0)</f>
        <v>91.7130929310645</v>
      </c>
      <c r="N1869" s="52" t="str">
        <f aca="false">'Model Inputs &amp; Assumptions'!$L$31</f>
        <v>PRD-USIQ</v>
      </c>
      <c r="P1869" s="53" t="n">
        <v>-0.38201</v>
      </c>
      <c r="Q1869" s="53" t="n">
        <v>0.11939</v>
      </c>
      <c r="R1869" s="53" t="n">
        <v>0.751695</v>
      </c>
      <c r="S1869" s="53" t="n">
        <v>-0.07028</v>
      </c>
    </row>
    <row r="1870" customFormat="false" ht="15" hidden="false" customHeight="false" outlineLevel="0" collapsed="false">
      <c r="A1870" s="43" t="n">
        <v>367</v>
      </c>
      <c r="B1870" s="44" t="str">
        <f aca="false">'Model Inputs &amp; Assumptions'!$B$31</f>
        <v>YouTube — Finfluencer Pre-roll</v>
      </c>
      <c r="C1870" s="45" t="n">
        <f aca="false">ROUND(MAX(0,'Model Inputs &amp; Assumptions'!$S$31*EXP('Model Inputs &amp; Assumptions'!$T$31*P1870-'Model Inputs &amp; Assumptions'!$T$31^2/2)),0)</f>
        <v>473252</v>
      </c>
      <c r="D1870" s="46" t="n">
        <f aca="false">MIN(1,'Model Inputs &amp; Assumptions'!$U$31*EXP('Model Inputs &amp; Assumptions'!$V$31*Q1870-'Model Inputs &amp; Assumptions'!$V$31^2/2))</f>
        <v>0.700420729687005</v>
      </c>
      <c r="E1870" s="45" t="n">
        <f aca="false">ROUND(C1870*D1870,0)</f>
        <v>331476</v>
      </c>
      <c r="F1870" s="47" t="n">
        <f aca="false">MIN(1,'Model Inputs &amp; Assumptions'!$W$31*EXP('Model Inputs &amp; Assumptions'!$X$31*R1870-'Model Inputs &amp; Assumptions'!$X$31^2/2))</f>
        <v>0.00647576632823864</v>
      </c>
      <c r="G1870" s="45" t="n">
        <f aca="false">ROUND(C1870*F1870,0)</f>
        <v>3065</v>
      </c>
      <c r="H1870" s="48" t="n">
        <f aca="false">MAX(0,(C1870*'Model Inputs &amp; Assumptions'!$N$31+E1870*'Model Inputs &amp; Assumptions'!$O$31+G1870*'Model Inputs &amp; Assumptions'!$P$31)*EXP('Model Inputs &amp; Assumptions'!$Q$31*S1870-'Model Inputs &amp; Assumptions'!$Q$31^2/2))</f>
        <v>75.0644635998139</v>
      </c>
      <c r="I1870" s="49" t="n">
        <f aca="false">IF('Model Inputs &amp; Assumptions'!$H$31="Fixed",'Model Inputs &amp; Assumptions'!$I$31*'Model Inputs &amp; Assumptions'!$K$31,IF('Model Inputs &amp; Assumptions'!$H$31="CPM",'Model Inputs &amp; Assumptions'!$I$31*'Model Inputs &amp; Assumptions'!$K$31*C1870/1000,IF('Model Inputs &amp; Assumptions'!$H$31="CPC",'Model Inputs &amp; Assumptions'!$I$31*'Model Inputs &amp; Assumptions'!$K$31*G1870,0)))</f>
        <v>5369.517192</v>
      </c>
      <c r="J1870" s="50" t="n">
        <f aca="false">H1870*INDEX('Model Inputs &amp; Assumptions'!$D$40:$D$42,MATCH('Model Inputs &amp; Assumptions'!$L$31,'Model Inputs &amp; Assumptions'!$A$40:$A$42,0))*INDEX('Model Inputs &amp; Assumptions'!$H$40:$H$42,MATCH('Model Inputs &amp; Assumptions'!$L$31,'Model Inputs &amp; Assumptions'!$A$40:$A$42,0))</f>
        <v>540464.13791866</v>
      </c>
      <c r="K1870" s="49" t="n">
        <f aca="false">H1870*INDEX('Model Inputs &amp; Assumptions'!$G$40:$G$42,MATCH('Model Inputs &amp; Assumptions'!$L$31,'Model Inputs &amp; Assumptions'!$A$40:$A$42,0))*INDEX('Model Inputs &amp; Assumptions'!$H$40:$H$42,MATCH('Model Inputs &amp; Assumptions'!$L$31,'Model Inputs &amp; Assumptions'!$A$40:$A$42,0))</f>
        <v>11917.2342411065</v>
      </c>
      <c r="L1870" s="51" t="n">
        <f aca="false">IFERROR(K1870/I1870,0)</f>
        <v>2.21942379826288</v>
      </c>
      <c r="M1870" s="49" t="n">
        <f aca="false">IFERROR(I1870/H1870,0)</f>
        <v>71.532079688548</v>
      </c>
      <c r="N1870" s="52" t="str">
        <f aca="false">'Model Inputs &amp; Assumptions'!$L$31</f>
        <v>PRD-USIQ</v>
      </c>
      <c r="P1870" s="53" t="n">
        <v>0.089435</v>
      </c>
      <c r="Q1870" s="53" t="n">
        <v>1.295419</v>
      </c>
      <c r="R1870" s="53" t="n">
        <v>1.197621</v>
      </c>
      <c r="S1870" s="53" t="n">
        <v>0.274589</v>
      </c>
    </row>
    <row r="1871" customFormat="false" ht="15" hidden="false" customHeight="false" outlineLevel="0" collapsed="false">
      <c r="A1871" s="43" t="n">
        <v>368</v>
      </c>
      <c r="B1871" s="44" t="str">
        <f aca="false">'Model Inputs &amp; Assumptions'!$B$31</f>
        <v>YouTube — Finfluencer Pre-roll</v>
      </c>
      <c r="C1871" s="45" t="n">
        <f aca="false">ROUND(MAX(0,'Model Inputs &amp; Assumptions'!$S$31*EXP('Model Inputs &amp; Assumptions'!$T$31*P1871-'Model Inputs &amp; Assumptions'!$T$31^2/2)),0)</f>
        <v>395482</v>
      </c>
      <c r="D1871" s="46" t="n">
        <f aca="false">MIN(1,'Model Inputs &amp; Assumptions'!$U$31*EXP('Model Inputs &amp; Assumptions'!$V$31*Q1871-'Model Inputs &amp; Assumptions'!$V$31^2/2))</f>
        <v>0.817631018247759</v>
      </c>
      <c r="E1871" s="45" t="n">
        <f aca="false">ROUND(C1871*D1871,0)</f>
        <v>323358</v>
      </c>
      <c r="F1871" s="47" t="n">
        <f aca="false">MIN(1,'Model Inputs &amp; Assumptions'!$W$31*EXP('Model Inputs &amp; Assumptions'!$X$31*R1871-'Model Inputs &amp; Assumptions'!$X$31^2/2))</f>
        <v>0.0052010588633952</v>
      </c>
      <c r="G1871" s="45" t="n">
        <f aca="false">ROUND(C1871*F1871,0)</f>
        <v>2057</v>
      </c>
      <c r="H1871" s="48" t="n">
        <f aca="false">MAX(0,(C1871*'Model Inputs &amp; Assumptions'!$N$31+E1871*'Model Inputs &amp; Assumptions'!$O$31+G1871*'Model Inputs &amp; Assumptions'!$P$31)*EXP('Model Inputs &amp; Assumptions'!$Q$31*S1871-'Model Inputs &amp; Assumptions'!$Q$31^2/2))</f>
        <v>43.7281454340276</v>
      </c>
      <c r="I1871" s="49" t="n">
        <f aca="false">IF('Model Inputs &amp; Assumptions'!$H$31="Fixed",'Model Inputs &amp; Assumptions'!$I$31*'Model Inputs &amp; Assumptions'!$K$31,IF('Model Inputs &amp; Assumptions'!$H$31="CPM",'Model Inputs &amp; Assumptions'!$I$31*'Model Inputs &amp; Assumptions'!$K$31*C1871/1000,IF('Model Inputs &amp; Assumptions'!$H$31="CPC",'Model Inputs &amp; Assumptions'!$I$31*'Model Inputs &amp; Assumptions'!$K$31*G1871,0)))</f>
        <v>4487.138772</v>
      </c>
      <c r="J1871" s="50" t="n">
        <f aca="false">H1871*INDEX('Model Inputs &amp; Assumptions'!$D$40:$D$42,MATCH('Model Inputs &amp; Assumptions'!$L$31,'Model Inputs &amp; Assumptions'!$A$40:$A$42,0))*INDEX('Model Inputs &amp; Assumptions'!$H$40:$H$42,MATCH('Model Inputs &amp; Assumptions'!$L$31,'Model Inputs &amp; Assumptions'!$A$40:$A$42,0))</f>
        <v>314842.647124999</v>
      </c>
      <c r="K1871" s="49" t="n">
        <f aca="false">H1871*INDEX('Model Inputs &amp; Assumptions'!$G$40:$G$42,MATCH('Model Inputs &amp; Assumptions'!$L$31,'Model Inputs &amp; Assumptions'!$A$40:$A$42,0))*INDEX('Model Inputs &amp; Assumptions'!$H$40:$H$42,MATCH('Model Inputs &amp; Assumptions'!$L$31,'Model Inputs &amp; Assumptions'!$A$40:$A$42,0))</f>
        <v>6942.28036910623</v>
      </c>
      <c r="L1871" s="51" t="n">
        <f aca="false">IFERROR(K1871/I1871,0)</f>
        <v>1.54715080630589</v>
      </c>
      <c r="M1871" s="49" t="n">
        <f aca="false">IFERROR(I1871/H1871,0)</f>
        <v>102.614431219584</v>
      </c>
      <c r="N1871" s="52" t="str">
        <f aca="false">'Model Inputs &amp; Assumptions'!$L$31</f>
        <v>PRD-USIQ</v>
      </c>
      <c r="P1871" s="53" t="n">
        <v>-0.551713</v>
      </c>
      <c r="Q1871" s="53" t="n">
        <v>2.400633</v>
      </c>
      <c r="R1871" s="53" t="n">
        <v>0.284268</v>
      </c>
      <c r="S1871" s="53" t="n">
        <v>-0.568426</v>
      </c>
    </row>
    <row r="1872" customFormat="false" ht="15" hidden="false" customHeight="false" outlineLevel="0" collapsed="false">
      <c r="A1872" s="43" t="n">
        <v>369</v>
      </c>
      <c r="B1872" s="44" t="str">
        <f aca="false">'Model Inputs &amp; Assumptions'!$B$31</f>
        <v>YouTube — Finfluencer Pre-roll</v>
      </c>
      <c r="C1872" s="45" t="n">
        <f aca="false">ROUND(MAX(0,'Model Inputs &amp; Assumptions'!$S$31*EXP('Model Inputs &amp; Assumptions'!$T$31*P1872-'Model Inputs &amp; Assumptions'!$T$31^2/2)),0)</f>
        <v>810447</v>
      </c>
      <c r="D1872" s="46" t="n">
        <f aca="false">MIN(1,'Model Inputs &amp; Assumptions'!$U$31*EXP('Model Inputs &amp; Assumptions'!$V$31*Q1872-'Model Inputs &amp; Assumptions'!$V$31^2/2))</f>
        <v>0.457761312673527</v>
      </c>
      <c r="E1872" s="45" t="n">
        <f aca="false">ROUND(C1872*D1872,0)</f>
        <v>370991</v>
      </c>
      <c r="F1872" s="47" t="n">
        <f aca="false">MIN(1,'Model Inputs &amp; Assumptions'!$W$31*EXP('Model Inputs &amp; Assumptions'!$X$31*R1872-'Model Inputs &amp; Assumptions'!$X$31^2/2))</f>
        <v>0.00526265889530101</v>
      </c>
      <c r="G1872" s="45" t="n">
        <f aca="false">ROUND(C1872*F1872,0)</f>
        <v>4265</v>
      </c>
      <c r="H1872" s="48" t="n">
        <f aca="false">MAX(0,(C1872*'Model Inputs &amp; Assumptions'!$N$31+E1872*'Model Inputs &amp; Assumptions'!$O$31+G1872*'Model Inputs &amp; Assumptions'!$P$31)*EXP('Model Inputs &amp; Assumptions'!$Q$31*S1872-'Model Inputs &amp; Assumptions'!$Q$31^2/2))</f>
        <v>67.8740091458491</v>
      </c>
      <c r="I1872" s="49" t="n">
        <f aca="false">IF('Model Inputs &amp; Assumptions'!$H$31="Fixed",'Model Inputs &amp; Assumptions'!$I$31*'Model Inputs &amp; Assumptions'!$K$31,IF('Model Inputs &amp; Assumptions'!$H$31="CPM",'Model Inputs &amp; Assumptions'!$I$31*'Model Inputs &amp; Assumptions'!$K$31*C1872/1000,IF('Model Inputs &amp; Assumptions'!$H$31="CPC",'Model Inputs &amp; Assumptions'!$I$31*'Model Inputs &amp; Assumptions'!$K$31*G1872,0)))</f>
        <v>9195.331662</v>
      </c>
      <c r="J1872" s="50" t="n">
        <f aca="false">H1872*INDEX('Model Inputs &amp; Assumptions'!$D$40:$D$42,MATCH('Model Inputs &amp; Assumptions'!$L$31,'Model Inputs &amp; Assumptions'!$A$40:$A$42,0))*INDEX('Model Inputs &amp; Assumptions'!$H$40:$H$42,MATCH('Model Inputs &amp; Assumptions'!$L$31,'Model Inputs &amp; Assumptions'!$A$40:$A$42,0))</f>
        <v>488692.865850114</v>
      </c>
      <c r="K1872" s="49" t="n">
        <f aca="false">H1872*INDEX('Model Inputs &amp; Assumptions'!$G$40:$G$42,MATCH('Model Inputs &amp; Assumptions'!$L$31,'Model Inputs &amp; Assumptions'!$A$40:$A$42,0))*INDEX('Model Inputs &amp; Assumptions'!$H$40:$H$42,MATCH('Model Inputs &amp; Assumptions'!$L$31,'Model Inputs &amp; Assumptions'!$A$40:$A$42,0))</f>
        <v>10775.677691995</v>
      </c>
      <c r="L1872" s="51" t="n">
        <f aca="false">IFERROR(K1872/I1872,0)</f>
        <v>1.17186395097915</v>
      </c>
      <c r="M1872" s="49" t="n">
        <f aca="false">IFERROR(I1872/H1872,0)</f>
        <v>135.476477339667</v>
      </c>
      <c r="N1872" s="52" t="str">
        <f aca="false">'Model Inputs &amp; Assumptions'!$L$31</f>
        <v>PRD-USIQ</v>
      </c>
      <c r="P1872" s="53" t="n">
        <v>2.010714</v>
      </c>
      <c r="Q1872" s="53" t="n">
        <v>-1.742676</v>
      </c>
      <c r="R1872" s="53" t="n">
        <v>0.333327</v>
      </c>
      <c r="S1872" s="53" t="n">
        <v>-0.744877</v>
      </c>
    </row>
    <row r="1873" customFormat="false" ht="15" hidden="false" customHeight="false" outlineLevel="0" collapsed="false">
      <c r="A1873" s="43" t="n">
        <v>370</v>
      </c>
      <c r="B1873" s="44" t="str">
        <f aca="false">'Model Inputs &amp; Assumptions'!$B$31</f>
        <v>YouTube — Finfluencer Pre-roll</v>
      </c>
      <c r="C1873" s="45" t="n">
        <f aca="false">ROUND(MAX(0,'Model Inputs &amp; Assumptions'!$S$31*EXP('Model Inputs &amp; Assumptions'!$T$31*P1873-'Model Inputs &amp; Assumptions'!$T$31^2/2)),0)</f>
        <v>585197</v>
      </c>
      <c r="D1873" s="46" t="n">
        <f aca="false">MIN(1,'Model Inputs &amp; Assumptions'!$U$31*EXP('Model Inputs &amp; Assumptions'!$V$31*Q1873-'Model Inputs &amp; Assumptions'!$V$31^2/2))</f>
        <v>0.641623431882798</v>
      </c>
      <c r="E1873" s="45" t="n">
        <f aca="false">ROUND(C1873*D1873,0)</f>
        <v>375476</v>
      </c>
      <c r="F1873" s="47" t="n">
        <f aca="false">MIN(1,'Model Inputs &amp; Assumptions'!$W$31*EXP('Model Inputs &amp; Assumptions'!$X$31*R1873-'Model Inputs &amp; Assumptions'!$X$31^2/2))</f>
        <v>0.00458665147839011</v>
      </c>
      <c r="G1873" s="45" t="n">
        <f aca="false">ROUND(C1873*F1873,0)</f>
        <v>2684</v>
      </c>
      <c r="H1873" s="48" t="n">
        <f aca="false">MAX(0,(C1873*'Model Inputs &amp; Assumptions'!$N$31+E1873*'Model Inputs &amp; Assumptions'!$O$31+G1873*'Model Inputs &amp; Assumptions'!$P$31)*EXP('Model Inputs &amp; Assumptions'!$Q$31*S1873-'Model Inputs &amp; Assumptions'!$Q$31^2/2))</f>
        <v>42.7859739282469</v>
      </c>
      <c r="I1873" s="49" t="n">
        <f aca="false">IF('Model Inputs &amp; Assumptions'!$H$31="Fixed",'Model Inputs &amp; Assumptions'!$I$31*'Model Inputs &amp; Assumptions'!$K$31,IF('Model Inputs &amp; Assumptions'!$H$31="CPM",'Model Inputs &amp; Assumptions'!$I$31*'Model Inputs &amp; Assumptions'!$K$31*C1873/1000,IF('Model Inputs &amp; Assumptions'!$H$31="CPC",'Model Inputs &amp; Assumptions'!$I$31*'Model Inputs &amp; Assumptions'!$K$31*G1873,0)))</f>
        <v>6639.645162</v>
      </c>
      <c r="J1873" s="50" t="n">
        <f aca="false">H1873*INDEX('Model Inputs &amp; Assumptions'!$D$40:$D$42,MATCH('Model Inputs &amp; Assumptions'!$L$31,'Model Inputs &amp; Assumptions'!$A$40:$A$42,0))*INDEX('Model Inputs &amp; Assumptions'!$H$40:$H$42,MATCH('Model Inputs &amp; Assumptions'!$L$31,'Model Inputs &amp; Assumptions'!$A$40:$A$42,0))</f>
        <v>308059.012283377</v>
      </c>
      <c r="K1873" s="49" t="n">
        <f aca="false">H1873*INDEX('Model Inputs &amp; Assumptions'!$G$40:$G$42,MATCH('Model Inputs &amp; Assumptions'!$L$31,'Model Inputs &amp; Assumptions'!$A$40:$A$42,0))*INDEX('Model Inputs &amp; Assumptions'!$H$40:$H$42,MATCH('Model Inputs &amp; Assumptions'!$L$31,'Model Inputs &amp; Assumptions'!$A$40:$A$42,0))</f>
        <v>6792.70122084847</v>
      </c>
      <c r="L1873" s="51" t="n">
        <f aca="false">IFERROR(K1873/I1873,0)</f>
        <v>1.02305184315036</v>
      </c>
      <c r="M1873" s="49" t="n">
        <f aca="false">IFERROR(I1873/H1873,0)</f>
        <v>155.182751551591</v>
      </c>
      <c r="N1873" s="52" t="str">
        <f aca="false">'Model Inputs &amp; Assumptions'!$L$31</f>
        <v>PRD-USIQ</v>
      </c>
      <c r="P1873" s="53" t="n">
        <v>0.847724</v>
      </c>
      <c r="Q1873" s="53" t="n">
        <v>0.669136</v>
      </c>
      <c r="R1873" s="53" t="n">
        <v>-0.239532</v>
      </c>
      <c r="S1873" s="53" t="n">
        <v>-1.243669</v>
      </c>
    </row>
    <row r="1874" customFormat="false" ht="15" hidden="false" customHeight="false" outlineLevel="0" collapsed="false">
      <c r="A1874" s="43" t="n">
        <v>371</v>
      </c>
      <c r="B1874" s="44" t="str">
        <f aca="false">'Model Inputs &amp; Assumptions'!$B$31</f>
        <v>YouTube — Finfluencer Pre-roll</v>
      </c>
      <c r="C1874" s="45" t="n">
        <f aca="false">ROUND(MAX(0,'Model Inputs &amp; Assumptions'!$S$31*EXP('Model Inputs &amp; Assumptions'!$T$31*P1874-'Model Inputs &amp; Assumptions'!$T$31^2/2)),0)</f>
        <v>745962</v>
      </c>
      <c r="D1874" s="46" t="n">
        <f aca="false">MIN(1,'Model Inputs &amp; Assumptions'!$U$31*EXP('Model Inputs &amp; Assumptions'!$V$31*Q1874-'Model Inputs &amp; Assumptions'!$V$31^2/2))</f>
        <v>0.574801794927828</v>
      </c>
      <c r="E1874" s="45" t="n">
        <f aca="false">ROUND(C1874*D1874,0)</f>
        <v>428780</v>
      </c>
      <c r="F1874" s="47" t="n">
        <f aca="false">MIN(1,'Model Inputs &amp; Assumptions'!$W$31*EXP('Model Inputs &amp; Assumptions'!$X$31*R1874-'Model Inputs &amp; Assumptions'!$X$31^2/2))</f>
        <v>0.00314206275453799</v>
      </c>
      <c r="G1874" s="45" t="n">
        <f aca="false">ROUND(C1874*F1874,0)</f>
        <v>2344</v>
      </c>
      <c r="H1874" s="48" t="n">
        <f aca="false">MAX(0,(C1874*'Model Inputs &amp; Assumptions'!$N$31+E1874*'Model Inputs &amp; Assumptions'!$O$31+G1874*'Model Inputs &amp; Assumptions'!$P$31)*EXP('Model Inputs &amp; Assumptions'!$Q$31*S1874-'Model Inputs &amp; Assumptions'!$Q$31^2/2))</f>
        <v>31.6466642781107</v>
      </c>
      <c r="I1874" s="49" t="n">
        <f aca="false">IF('Model Inputs &amp; Assumptions'!$H$31="Fixed",'Model Inputs &amp; Assumptions'!$I$31*'Model Inputs &amp; Assumptions'!$K$31,IF('Model Inputs &amp; Assumptions'!$H$31="CPM",'Model Inputs &amp; Assumptions'!$I$31*'Model Inputs &amp; Assumptions'!$K$31*C1874/1000,IF('Model Inputs &amp; Assumptions'!$H$31="CPC",'Model Inputs &amp; Assumptions'!$I$31*'Model Inputs &amp; Assumptions'!$K$31*G1874,0)))</f>
        <v>8463.684852</v>
      </c>
      <c r="J1874" s="50" t="n">
        <f aca="false">H1874*INDEX('Model Inputs &amp; Assumptions'!$D$40:$D$42,MATCH('Model Inputs &amp; Assumptions'!$L$31,'Model Inputs &amp; Assumptions'!$A$40:$A$42,0))*INDEX('Model Inputs &amp; Assumptions'!$H$40:$H$42,MATCH('Model Inputs &amp; Assumptions'!$L$31,'Model Inputs &amp; Assumptions'!$A$40:$A$42,0))</f>
        <v>227855.982802397</v>
      </c>
      <c r="K1874" s="49" t="n">
        <f aca="false">H1874*INDEX('Model Inputs &amp; Assumptions'!$G$40:$G$42,MATCH('Model Inputs &amp; Assumptions'!$L$31,'Model Inputs &amp; Assumptions'!$A$40:$A$42,0))*INDEX('Model Inputs &amp; Assumptions'!$H$40:$H$42,MATCH('Model Inputs &amp; Assumptions'!$L$31,'Model Inputs &amp; Assumptions'!$A$40:$A$42,0))</f>
        <v>5024.22442079285</v>
      </c>
      <c r="L1874" s="51" t="n">
        <f aca="false">IFERROR(K1874/I1874,0)</f>
        <v>0.593621396430611</v>
      </c>
      <c r="M1874" s="49" t="n">
        <f aca="false">IFERROR(I1874/H1874,0)</f>
        <v>267.443190145451</v>
      </c>
      <c r="N1874" s="52" t="str">
        <f aca="false">'Model Inputs &amp; Assumptions'!$L$31</f>
        <v>PRD-USIQ</v>
      </c>
      <c r="P1874" s="53" t="n">
        <v>1.7146</v>
      </c>
      <c r="Q1874" s="53" t="n">
        <v>-0.116409</v>
      </c>
      <c r="R1874" s="53" t="n">
        <v>-1.81566</v>
      </c>
      <c r="S1874" s="53" t="n">
        <v>-2.071151</v>
      </c>
    </row>
    <row r="1875" customFormat="false" ht="15" hidden="false" customHeight="false" outlineLevel="0" collapsed="false">
      <c r="A1875" s="43" t="n">
        <v>372</v>
      </c>
      <c r="B1875" s="44" t="str">
        <f aca="false">'Model Inputs &amp; Assumptions'!$B$31</f>
        <v>YouTube — Finfluencer Pre-roll</v>
      </c>
      <c r="C1875" s="45" t="n">
        <f aca="false">ROUND(MAX(0,'Model Inputs &amp; Assumptions'!$S$31*EXP('Model Inputs &amp; Assumptions'!$T$31*P1875-'Model Inputs &amp; Assumptions'!$T$31^2/2)),0)</f>
        <v>511106</v>
      </c>
      <c r="D1875" s="46" t="n">
        <f aca="false">MIN(1,'Model Inputs &amp; Assumptions'!$U$31*EXP('Model Inputs &amp; Assumptions'!$V$31*Q1875-'Model Inputs &amp; Assumptions'!$V$31^2/2))</f>
        <v>0.570642818357965</v>
      </c>
      <c r="E1875" s="45" t="n">
        <f aca="false">ROUND(C1875*D1875,0)</f>
        <v>291659</v>
      </c>
      <c r="F1875" s="47" t="n">
        <f aca="false">MIN(1,'Model Inputs &amp; Assumptions'!$W$31*EXP('Model Inputs &amp; Assumptions'!$X$31*R1875-'Model Inputs &amp; Assumptions'!$X$31^2/2))</f>
        <v>0.00477218481454166</v>
      </c>
      <c r="G1875" s="45" t="n">
        <f aca="false">ROUND(C1875*F1875,0)</f>
        <v>2439</v>
      </c>
      <c r="H1875" s="48" t="n">
        <f aca="false">MAX(0,(C1875*'Model Inputs &amp; Assumptions'!$N$31+E1875*'Model Inputs &amp; Assumptions'!$O$31+G1875*'Model Inputs &amp; Assumptions'!$P$31)*EXP('Model Inputs &amp; Assumptions'!$Q$31*S1875-'Model Inputs &amp; Assumptions'!$Q$31^2/2))</f>
        <v>46.1917489393154</v>
      </c>
      <c r="I1875" s="49" t="n">
        <f aca="false">IF('Model Inputs &amp; Assumptions'!$H$31="Fixed",'Model Inputs &amp; Assumptions'!$I$31*'Model Inputs &amp; Assumptions'!$K$31,IF('Model Inputs &amp; Assumptions'!$H$31="CPM",'Model Inputs &amp; Assumptions'!$I$31*'Model Inputs &amp; Assumptions'!$K$31*C1875/1000,IF('Model Inputs &amp; Assumptions'!$H$31="CPC",'Model Inputs &amp; Assumptions'!$I$31*'Model Inputs &amp; Assumptions'!$K$31*G1875,0)))</f>
        <v>5799.008676</v>
      </c>
      <c r="J1875" s="50" t="n">
        <f aca="false">H1875*INDEX('Model Inputs &amp; Assumptions'!$D$40:$D$42,MATCH('Model Inputs &amp; Assumptions'!$L$31,'Model Inputs &amp; Assumptions'!$A$40:$A$42,0))*INDEX('Model Inputs &amp; Assumptions'!$H$40:$H$42,MATCH('Model Inputs &amp; Assumptions'!$L$31,'Model Inputs &amp; Assumptions'!$A$40:$A$42,0))</f>
        <v>332580.592363071</v>
      </c>
      <c r="K1875" s="49" t="n">
        <f aca="false">H1875*INDEX('Model Inputs &amp; Assumptions'!$G$40:$G$42,MATCH('Model Inputs &amp; Assumptions'!$L$31,'Model Inputs &amp; Assumptions'!$A$40:$A$42,0))*INDEX('Model Inputs &amp; Assumptions'!$H$40:$H$42,MATCH('Model Inputs &amp; Assumptions'!$L$31,'Model Inputs &amp; Assumptions'!$A$40:$A$42,0))</f>
        <v>7333.40206160571</v>
      </c>
      <c r="L1875" s="51" t="n">
        <f aca="false">IFERROR(K1875/I1875,0)</f>
        <v>1.26459580789317</v>
      </c>
      <c r="M1875" s="49" t="n">
        <f aca="false">IFERROR(I1875/H1875,0)</f>
        <v>125.542089424206</v>
      </c>
      <c r="N1875" s="52" t="str">
        <f aca="false">'Model Inputs &amp; Assumptions'!$L$31</f>
        <v>PRD-USIQ</v>
      </c>
      <c r="P1875" s="53" t="n">
        <v>0.364253</v>
      </c>
      <c r="Q1875" s="53" t="n">
        <v>-0.168279</v>
      </c>
      <c r="R1875" s="53" t="n">
        <v>-0.074307</v>
      </c>
      <c r="S1875" s="53" t="n">
        <v>-0.568346</v>
      </c>
    </row>
    <row r="1876" customFormat="false" ht="15" hidden="false" customHeight="false" outlineLevel="0" collapsed="false">
      <c r="A1876" s="43" t="n">
        <v>373</v>
      </c>
      <c r="B1876" s="44" t="str">
        <f aca="false">'Model Inputs &amp; Assumptions'!$B$31</f>
        <v>YouTube — Finfluencer Pre-roll</v>
      </c>
      <c r="C1876" s="45" t="n">
        <f aca="false">ROUND(MAX(0,'Model Inputs &amp; Assumptions'!$S$31*EXP('Model Inputs &amp; Assumptions'!$T$31*P1876-'Model Inputs &amp; Assumptions'!$T$31^2/2)),0)</f>
        <v>512735</v>
      </c>
      <c r="D1876" s="46" t="n">
        <f aca="false">MIN(1,'Model Inputs &amp; Assumptions'!$U$31*EXP('Model Inputs &amp; Assumptions'!$V$31*Q1876-'Model Inputs &amp; Assumptions'!$V$31^2/2))</f>
        <v>0.523557256540352</v>
      </c>
      <c r="E1876" s="45" t="n">
        <f aca="false">ROUND(C1876*D1876,0)</f>
        <v>268446</v>
      </c>
      <c r="F1876" s="47" t="n">
        <f aca="false">MIN(1,'Model Inputs &amp; Assumptions'!$W$31*EXP('Model Inputs &amp; Assumptions'!$X$31*R1876-'Model Inputs &amp; Assumptions'!$X$31^2/2))</f>
        <v>0.00418112685371386</v>
      </c>
      <c r="G1876" s="45" t="n">
        <f aca="false">ROUND(C1876*F1876,0)</f>
        <v>2144</v>
      </c>
      <c r="H1876" s="48" t="n">
        <f aca="false">MAX(0,(C1876*'Model Inputs &amp; Assumptions'!$N$31+E1876*'Model Inputs &amp; Assumptions'!$O$31+G1876*'Model Inputs &amp; Assumptions'!$P$31)*EXP('Model Inputs &amp; Assumptions'!$Q$31*S1876-'Model Inputs &amp; Assumptions'!$Q$31^2/2))</f>
        <v>75.7530205057184</v>
      </c>
      <c r="I1876" s="49" t="n">
        <f aca="false">IF('Model Inputs &amp; Assumptions'!$H$31="Fixed",'Model Inputs &amp; Assumptions'!$I$31*'Model Inputs &amp; Assumptions'!$K$31,IF('Model Inputs &amp; Assumptions'!$H$31="CPM",'Model Inputs &amp; Assumptions'!$I$31*'Model Inputs &amp; Assumptions'!$K$31*C1876/1000,IF('Model Inputs &amp; Assumptions'!$H$31="CPC",'Model Inputs &amp; Assumptions'!$I$31*'Model Inputs &amp; Assumptions'!$K$31*G1876,0)))</f>
        <v>5817.49131</v>
      </c>
      <c r="J1876" s="50" t="n">
        <f aca="false">H1876*INDEX('Model Inputs &amp; Assumptions'!$D$40:$D$42,MATCH('Model Inputs &amp; Assumptions'!$L$31,'Model Inputs &amp; Assumptions'!$A$40:$A$42,0))*INDEX('Model Inputs &amp; Assumptions'!$H$40:$H$42,MATCH('Model Inputs &amp; Assumptions'!$L$31,'Model Inputs &amp; Assumptions'!$A$40:$A$42,0))</f>
        <v>545421.747641173</v>
      </c>
      <c r="K1876" s="49" t="n">
        <f aca="false">H1876*INDEX('Model Inputs &amp; Assumptions'!$G$40:$G$42,MATCH('Model Inputs &amp; Assumptions'!$L$31,'Model Inputs &amp; Assumptions'!$A$40:$A$42,0))*INDEX('Model Inputs &amp; Assumptions'!$H$40:$H$42,MATCH('Model Inputs &amp; Assumptions'!$L$31,'Model Inputs &amp; Assumptions'!$A$40:$A$42,0))</f>
        <v>12026.5495354879</v>
      </c>
      <c r="L1876" s="51" t="n">
        <f aca="false">IFERROR(K1876/I1876,0)</f>
        <v>2.06730855185203</v>
      </c>
      <c r="M1876" s="49" t="n">
        <f aca="false">IFERROR(I1876/H1876,0)</f>
        <v>76.7955029537185</v>
      </c>
      <c r="N1876" s="52" t="str">
        <f aca="false">'Model Inputs &amp; Assumptions'!$L$31</f>
        <v>PRD-USIQ</v>
      </c>
      <c r="P1876" s="53" t="n">
        <v>0.375616</v>
      </c>
      <c r="Q1876" s="53" t="n">
        <v>-0.783401</v>
      </c>
      <c r="R1876" s="53" t="n">
        <v>-0.625238</v>
      </c>
      <c r="S1876" s="53" t="n">
        <v>1.161468</v>
      </c>
    </row>
    <row r="1877" customFormat="false" ht="15" hidden="false" customHeight="false" outlineLevel="0" collapsed="false">
      <c r="A1877" s="43" t="n">
        <v>374</v>
      </c>
      <c r="B1877" s="44" t="str">
        <f aca="false">'Model Inputs &amp; Assumptions'!$B$31</f>
        <v>YouTube — Finfluencer Pre-roll</v>
      </c>
      <c r="C1877" s="45" t="n">
        <f aca="false">ROUND(MAX(0,'Model Inputs &amp; Assumptions'!$S$31*EXP('Model Inputs &amp; Assumptions'!$T$31*P1877-'Model Inputs &amp; Assumptions'!$T$31^2/2)),0)</f>
        <v>390034</v>
      </c>
      <c r="D1877" s="46" t="n">
        <f aca="false">MIN(1,'Model Inputs &amp; Assumptions'!$U$31*EXP('Model Inputs &amp; Assumptions'!$V$31*Q1877-'Model Inputs &amp; Assumptions'!$V$31^2/2))</f>
        <v>0.728242092020042</v>
      </c>
      <c r="E1877" s="45" t="n">
        <f aca="false">ROUND(C1877*D1877,0)</f>
        <v>284039</v>
      </c>
      <c r="F1877" s="47" t="n">
        <f aca="false">MIN(1,'Model Inputs &amp; Assumptions'!$W$31*EXP('Model Inputs &amp; Assumptions'!$X$31*R1877-'Model Inputs &amp; Assumptions'!$X$31^2/2))</f>
        <v>0.00426424179940848</v>
      </c>
      <c r="G1877" s="45" t="n">
        <f aca="false">ROUND(C1877*F1877,0)</f>
        <v>1663</v>
      </c>
      <c r="H1877" s="48" t="n">
        <f aca="false">MAX(0,(C1877*'Model Inputs &amp; Assumptions'!$N$31+E1877*'Model Inputs &amp; Assumptions'!$O$31+G1877*'Model Inputs &amp; Assumptions'!$P$31)*EXP('Model Inputs &amp; Assumptions'!$Q$31*S1877-'Model Inputs &amp; Assumptions'!$Q$31^2/2))</f>
        <v>29.2001115840203</v>
      </c>
      <c r="I1877" s="49" t="n">
        <f aca="false">IF('Model Inputs &amp; Assumptions'!$H$31="Fixed",'Model Inputs &amp; Assumptions'!$I$31*'Model Inputs &amp; Assumptions'!$K$31,IF('Model Inputs &amp; Assumptions'!$H$31="CPM",'Model Inputs &amp; Assumptions'!$I$31*'Model Inputs &amp; Assumptions'!$K$31*C1877/1000,IF('Model Inputs &amp; Assumptions'!$H$31="CPC",'Model Inputs &amp; Assumptions'!$I$31*'Model Inputs &amp; Assumptions'!$K$31*G1877,0)))</f>
        <v>4425.325764</v>
      </c>
      <c r="J1877" s="50" t="n">
        <f aca="false">H1877*INDEX('Model Inputs &amp; Assumptions'!$D$40:$D$42,MATCH('Model Inputs &amp; Assumptions'!$L$31,'Model Inputs &amp; Assumptions'!$A$40:$A$42,0))*INDEX('Model Inputs &amp; Assumptions'!$H$40:$H$42,MATCH('Model Inputs &amp; Assumptions'!$L$31,'Model Inputs &amp; Assumptions'!$A$40:$A$42,0))</f>
        <v>210240.803404946</v>
      </c>
      <c r="K1877" s="49" t="n">
        <f aca="false">H1877*INDEX('Model Inputs &amp; Assumptions'!$G$40:$G$42,MATCH('Model Inputs &amp; Assumptions'!$L$31,'Model Inputs &amp; Assumptions'!$A$40:$A$42,0))*INDEX('Model Inputs &amp; Assumptions'!$H$40:$H$42,MATCH('Model Inputs &amp; Assumptions'!$L$31,'Model Inputs &amp; Assumptions'!$A$40:$A$42,0))</f>
        <v>4635.80971507906</v>
      </c>
      <c r="L1877" s="51" t="n">
        <f aca="false">IFERROR(K1877/I1877,0)</f>
        <v>1.04756349301815</v>
      </c>
      <c r="M1877" s="49" t="n">
        <f aca="false">IFERROR(I1877/H1877,0)</f>
        <v>151.55167305668</v>
      </c>
      <c r="N1877" s="52" t="str">
        <f aca="false">'Model Inputs &amp; Assumptions'!$L$31</f>
        <v>PRD-USIQ</v>
      </c>
      <c r="P1877" s="53" t="n">
        <v>-0.60126</v>
      </c>
      <c r="Q1877" s="53" t="n">
        <v>1.57365</v>
      </c>
      <c r="R1877" s="53" t="n">
        <v>-0.543223</v>
      </c>
      <c r="S1877" s="53" t="n">
        <v>-1.225258</v>
      </c>
    </row>
    <row r="1878" customFormat="false" ht="15" hidden="false" customHeight="false" outlineLevel="0" collapsed="false">
      <c r="A1878" s="43" t="n">
        <v>375</v>
      </c>
      <c r="B1878" s="44" t="str">
        <f aca="false">'Model Inputs &amp; Assumptions'!$B$31</f>
        <v>YouTube — Finfluencer Pre-roll</v>
      </c>
      <c r="C1878" s="45" t="n">
        <f aca="false">ROUND(MAX(0,'Model Inputs &amp; Assumptions'!$S$31*EXP('Model Inputs &amp; Assumptions'!$T$31*P1878-'Model Inputs &amp; Assumptions'!$T$31^2/2)),0)</f>
        <v>752206</v>
      </c>
      <c r="D1878" s="46" t="n">
        <f aca="false">MIN(1,'Model Inputs &amp; Assumptions'!$U$31*EXP('Model Inputs &amp; Assumptions'!$V$31*Q1878-'Model Inputs &amp; Assumptions'!$V$31^2/2))</f>
        <v>0.545696301644058</v>
      </c>
      <c r="E1878" s="45" t="n">
        <f aca="false">ROUND(C1878*D1878,0)</f>
        <v>410476</v>
      </c>
      <c r="F1878" s="47" t="n">
        <f aca="false">MIN(1,'Model Inputs &amp; Assumptions'!$W$31*EXP('Model Inputs &amp; Assumptions'!$X$31*R1878-'Model Inputs &amp; Assumptions'!$X$31^2/2))</f>
        <v>0.00613869385563466</v>
      </c>
      <c r="G1878" s="45" t="n">
        <f aca="false">ROUND(C1878*F1878,0)</f>
        <v>4618</v>
      </c>
      <c r="H1878" s="48" t="n">
        <f aca="false">MAX(0,(C1878*'Model Inputs &amp; Assumptions'!$N$31+E1878*'Model Inputs &amp; Assumptions'!$O$31+G1878*'Model Inputs &amp; Assumptions'!$P$31)*EXP('Model Inputs &amp; Assumptions'!$Q$31*S1878-'Model Inputs &amp; Assumptions'!$Q$31^2/2))</f>
        <v>75.8409140437874</v>
      </c>
      <c r="I1878" s="49" t="n">
        <f aca="false">IF('Model Inputs &amp; Assumptions'!$H$31="Fixed",'Model Inputs &amp; Assumptions'!$I$31*'Model Inputs &amp; Assumptions'!$K$31,IF('Model Inputs &amp; Assumptions'!$H$31="CPM",'Model Inputs &amp; Assumptions'!$I$31*'Model Inputs &amp; Assumptions'!$K$31*C1878/1000,IF('Model Inputs &amp; Assumptions'!$H$31="CPC",'Model Inputs &amp; Assumptions'!$I$31*'Model Inputs &amp; Assumptions'!$K$31*G1878,0)))</f>
        <v>8534.529276</v>
      </c>
      <c r="J1878" s="50" t="n">
        <f aca="false">H1878*INDEX('Model Inputs &amp; Assumptions'!$D$40:$D$42,MATCH('Model Inputs &amp; Assumptions'!$L$31,'Model Inputs &amp; Assumptions'!$A$40:$A$42,0))*INDEX('Model Inputs &amp; Assumptions'!$H$40:$H$42,MATCH('Model Inputs &amp; Assumptions'!$L$31,'Model Inputs &amp; Assumptions'!$A$40:$A$42,0))</f>
        <v>546054.581115269</v>
      </c>
      <c r="K1878" s="49" t="n">
        <f aca="false">H1878*INDEX('Model Inputs &amp; Assumptions'!$G$40:$G$42,MATCH('Model Inputs &amp; Assumptions'!$L$31,'Model Inputs &amp; Assumptions'!$A$40:$A$42,0))*INDEX('Model Inputs &amp; Assumptions'!$H$40:$H$42,MATCH('Model Inputs &amp; Assumptions'!$L$31,'Model Inputs &amp; Assumptions'!$A$40:$A$42,0))</f>
        <v>12040.5035135917</v>
      </c>
      <c r="L1878" s="51" t="n">
        <f aca="false">IFERROR(K1878/I1878,0)</f>
        <v>1.41079878271094</v>
      </c>
      <c r="M1878" s="49" t="n">
        <f aca="false">IFERROR(I1878/H1878,0)</f>
        <v>112.531993892802</v>
      </c>
      <c r="N1878" s="52" t="str">
        <f aca="false">'Model Inputs &amp; Assumptions'!$L$31</f>
        <v>PRD-USIQ</v>
      </c>
      <c r="P1878" s="53" t="n">
        <v>1.744374</v>
      </c>
      <c r="Q1878" s="53" t="n">
        <v>-0.487571</v>
      </c>
      <c r="R1878" s="53" t="n">
        <v>0.974892</v>
      </c>
      <c r="S1878" s="53" t="n">
        <v>-0.674697</v>
      </c>
    </row>
    <row r="1879" customFormat="false" ht="15" hidden="false" customHeight="false" outlineLevel="0" collapsed="false">
      <c r="A1879" s="43" t="n">
        <v>376</v>
      </c>
      <c r="B1879" s="44" t="str">
        <f aca="false">'Model Inputs &amp; Assumptions'!$B$31</f>
        <v>YouTube — Finfluencer Pre-roll</v>
      </c>
      <c r="C1879" s="45" t="n">
        <f aca="false">ROUND(MAX(0,'Model Inputs &amp; Assumptions'!$S$31*EXP('Model Inputs &amp; Assumptions'!$T$31*P1879-'Model Inputs &amp; Assumptions'!$T$31^2/2)),0)</f>
        <v>305835</v>
      </c>
      <c r="D1879" s="46" t="n">
        <f aca="false">MIN(1,'Model Inputs &amp; Assumptions'!$U$31*EXP('Model Inputs &amp; Assumptions'!$V$31*Q1879-'Model Inputs &amp; Assumptions'!$V$31^2/2))</f>
        <v>0.571194565557304</v>
      </c>
      <c r="E1879" s="45" t="n">
        <f aca="false">ROUND(C1879*D1879,0)</f>
        <v>174691</v>
      </c>
      <c r="F1879" s="47" t="n">
        <f aca="false">MIN(1,'Model Inputs &amp; Assumptions'!$W$31*EXP('Model Inputs &amp; Assumptions'!$X$31*R1879-'Model Inputs &amp; Assumptions'!$X$31^2/2))</f>
        <v>0.00560507071262147</v>
      </c>
      <c r="G1879" s="45" t="n">
        <f aca="false">ROUND(C1879*F1879,0)</f>
        <v>1714</v>
      </c>
      <c r="H1879" s="48" t="n">
        <f aca="false">MAX(0,(C1879*'Model Inputs &amp; Assumptions'!$N$31+E1879*'Model Inputs &amp; Assumptions'!$O$31+G1879*'Model Inputs &amp; Assumptions'!$P$31)*EXP('Model Inputs &amp; Assumptions'!$Q$31*S1879-'Model Inputs &amp; Assumptions'!$Q$31^2/2))</f>
        <v>45.5470217821275</v>
      </c>
      <c r="I1879" s="49" t="n">
        <f aca="false">IF('Model Inputs &amp; Assumptions'!$H$31="Fixed",'Model Inputs &amp; Assumptions'!$I$31*'Model Inputs &amp; Assumptions'!$K$31,IF('Model Inputs &amp; Assumptions'!$H$31="CPM",'Model Inputs &amp; Assumptions'!$I$31*'Model Inputs &amp; Assumptions'!$K$31*C1879/1000,IF('Model Inputs &amp; Assumptions'!$H$31="CPC",'Model Inputs &amp; Assumptions'!$I$31*'Model Inputs &amp; Assumptions'!$K$31*G1879,0)))</f>
        <v>3470.00391</v>
      </c>
      <c r="J1879" s="50" t="n">
        <f aca="false">H1879*INDEX('Model Inputs &amp; Assumptions'!$D$40:$D$42,MATCH('Model Inputs &amp; Assumptions'!$L$31,'Model Inputs &amp; Assumptions'!$A$40:$A$42,0))*INDEX('Model Inputs &amp; Assumptions'!$H$40:$H$42,MATCH('Model Inputs &amp; Assumptions'!$L$31,'Model Inputs &amp; Assumptions'!$A$40:$A$42,0))</f>
        <v>327938.556831318</v>
      </c>
      <c r="K1879" s="49" t="n">
        <f aca="false">H1879*INDEX('Model Inputs &amp; Assumptions'!$G$40:$G$42,MATCH('Model Inputs &amp; Assumptions'!$L$31,'Model Inputs &amp; Assumptions'!$A$40:$A$42,0))*INDEX('Model Inputs &amp; Assumptions'!$H$40:$H$42,MATCH('Model Inputs &amp; Assumptions'!$L$31,'Model Inputs &amp; Assumptions'!$A$40:$A$42,0))</f>
        <v>7231.04517813056</v>
      </c>
      <c r="L1879" s="51" t="n">
        <f aca="false">IFERROR(K1879/I1879,0)</f>
        <v>2.08387234299415</v>
      </c>
      <c r="M1879" s="49" t="n">
        <f aca="false">IFERROR(I1879/H1879,0)</f>
        <v>76.1850890404786</v>
      </c>
      <c r="N1879" s="52" t="str">
        <f aca="false">'Model Inputs &amp; Assumptions'!$L$31</f>
        <v>PRD-USIQ</v>
      </c>
      <c r="P1879" s="53" t="n">
        <v>-1.469789</v>
      </c>
      <c r="Q1879" s="53" t="n">
        <v>-0.161376</v>
      </c>
      <c r="R1879" s="53" t="n">
        <v>0.595974</v>
      </c>
      <c r="S1879" s="53" t="n">
        <v>0.568614</v>
      </c>
    </row>
    <row r="1880" customFormat="false" ht="15" hidden="false" customHeight="false" outlineLevel="0" collapsed="false">
      <c r="A1880" s="43" t="n">
        <v>377</v>
      </c>
      <c r="B1880" s="44" t="str">
        <f aca="false">'Model Inputs &amp; Assumptions'!$B$31</f>
        <v>YouTube — Finfluencer Pre-roll</v>
      </c>
      <c r="C1880" s="45" t="n">
        <f aca="false">ROUND(MAX(0,'Model Inputs &amp; Assumptions'!$S$31*EXP('Model Inputs &amp; Assumptions'!$T$31*P1880-'Model Inputs &amp; Assumptions'!$T$31^2/2)),0)</f>
        <v>666246</v>
      </c>
      <c r="D1880" s="46" t="n">
        <f aca="false">MIN(1,'Model Inputs &amp; Assumptions'!$U$31*EXP('Model Inputs &amp; Assumptions'!$V$31*Q1880-'Model Inputs &amp; Assumptions'!$V$31^2/2))</f>
        <v>0.495993447969995</v>
      </c>
      <c r="E1880" s="45" t="n">
        <f aca="false">ROUND(C1880*D1880,0)</f>
        <v>330454</v>
      </c>
      <c r="F1880" s="47" t="n">
        <f aca="false">MIN(1,'Model Inputs &amp; Assumptions'!$W$31*EXP('Model Inputs &amp; Assumptions'!$X$31*R1880-'Model Inputs &amp; Assumptions'!$X$31^2/2))</f>
        <v>0.00334228208426003</v>
      </c>
      <c r="G1880" s="45" t="n">
        <f aca="false">ROUND(C1880*F1880,0)</f>
        <v>2227</v>
      </c>
      <c r="H1880" s="48" t="n">
        <f aca="false">MAX(0,(C1880*'Model Inputs &amp; Assumptions'!$N$31+E1880*'Model Inputs &amp; Assumptions'!$O$31+G1880*'Model Inputs &amp; Assumptions'!$P$31)*EXP('Model Inputs &amp; Assumptions'!$Q$31*S1880-'Model Inputs &amp; Assumptions'!$Q$31^2/2))</f>
        <v>75.1920488694366</v>
      </c>
      <c r="I1880" s="49" t="n">
        <f aca="false">IF('Model Inputs &amp; Assumptions'!$H$31="Fixed",'Model Inputs &amp; Assumptions'!$I$31*'Model Inputs &amp; Assumptions'!$K$31,IF('Model Inputs &amp; Assumptions'!$H$31="CPM",'Model Inputs &amp; Assumptions'!$I$31*'Model Inputs &amp; Assumptions'!$K$31*C1880/1000,IF('Model Inputs &amp; Assumptions'!$H$31="CPC",'Model Inputs &amp; Assumptions'!$I$31*'Model Inputs &amp; Assumptions'!$K$31*G1880,0)))</f>
        <v>7559.227116</v>
      </c>
      <c r="J1880" s="50" t="n">
        <f aca="false">H1880*INDEX('Model Inputs &amp; Assumptions'!$D$40:$D$42,MATCH('Model Inputs &amp; Assumptions'!$L$31,'Model Inputs &amp; Assumptions'!$A$40:$A$42,0))*INDEX('Model Inputs &amp; Assumptions'!$H$40:$H$42,MATCH('Model Inputs &amp; Assumptions'!$L$31,'Model Inputs &amp; Assumptions'!$A$40:$A$42,0))</f>
        <v>541382.751859943</v>
      </c>
      <c r="K1880" s="49" t="n">
        <f aca="false">H1880*INDEX('Model Inputs &amp; Assumptions'!$G$40:$G$42,MATCH('Model Inputs &amp; Assumptions'!$L$31,'Model Inputs &amp; Assumptions'!$A$40:$A$42,0))*INDEX('Model Inputs &amp; Assumptions'!$H$40:$H$42,MATCH('Model Inputs &amp; Assumptions'!$L$31,'Model Inputs &amp; Assumptions'!$A$40:$A$42,0))</f>
        <v>11937.4896785117</v>
      </c>
      <c r="L1880" s="51" t="n">
        <f aca="false">IFERROR(K1880/I1880,0)</f>
        <v>1.57919447257308</v>
      </c>
      <c r="M1880" s="49" t="n">
        <f aca="false">IFERROR(I1880/H1880,0)</f>
        <v>100.532266770996</v>
      </c>
      <c r="N1880" s="52" t="str">
        <f aca="false">'Model Inputs &amp; Assumptions'!$L$31</f>
        <v>PRD-USIQ</v>
      </c>
      <c r="P1880" s="53" t="n">
        <v>1.310973</v>
      </c>
      <c r="Q1880" s="53" t="n">
        <v>-1.169713</v>
      </c>
      <c r="R1880" s="53" t="n">
        <v>-1.558267</v>
      </c>
      <c r="S1880" s="53" t="n">
        <v>0.827426</v>
      </c>
    </row>
    <row r="1881" customFormat="false" ht="15" hidden="false" customHeight="false" outlineLevel="0" collapsed="false">
      <c r="A1881" s="43" t="n">
        <v>378</v>
      </c>
      <c r="B1881" s="44" t="str">
        <f aca="false">'Model Inputs &amp; Assumptions'!$B$31</f>
        <v>YouTube — Finfluencer Pre-roll</v>
      </c>
      <c r="C1881" s="45" t="n">
        <f aca="false">ROUND(MAX(0,'Model Inputs &amp; Assumptions'!$S$31*EXP('Model Inputs &amp; Assumptions'!$T$31*P1881-'Model Inputs &amp; Assumptions'!$T$31^2/2)),0)</f>
        <v>346671</v>
      </c>
      <c r="D1881" s="46" t="n">
        <f aca="false">MIN(1,'Model Inputs &amp; Assumptions'!$U$31*EXP('Model Inputs &amp; Assumptions'!$V$31*Q1881-'Model Inputs &amp; Assumptions'!$V$31^2/2))</f>
        <v>0.574903601340402</v>
      </c>
      <c r="E1881" s="45" t="n">
        <f aca="false">ROUND(C1881*D1881,0)</f>
        <v>199302</v>
      </c>
      <c r="F1881" s="47" t="n">
        <f aca="false">MIN(1,'Model Inputs &amp; Assumptions'!$W$31*EXP('Model Inputs &amp; Assumptions'!$X$31*R1881-'Model Inputs &amp; Assumptions'!$X$31^2/2))</f>
        <v>0.00630479410108559</v>
      </c>
      <c r="G1881" s="45" t="n">
        <f aca="false">ROUND(C1881*F1881,0)</f>
        <v>2186</v>
      </c>
      <c r="H1881" s="48" t="n">
        <f aca="false">MAX(0,(C1881*'Model Inputs &amp; Assumptions'!$N$31+E1881*'Model Inputs &amp; Assumptions'!$O$31+G1881*'Model Inputs &amp; Assumptions'!$P$31)*EXP('Model Inputs &amp; Assumptions'!$Q$31*S1881-'Model Inputs &amp; Assumptions'!$Q$31^2/2))</f>
        <v>59.0700762150487</v>
      </c>
      <c r="I1881" s="49" t="n">
        <f aca="false">IF('Model Inputs &amp; Assumptions'!$H$31="Fixed",'Model Inputs &amp; Assumptions'!$I$31*'Model Inputs &amp; Assumptions'!$K$31,IF('Model Inputs &amp; Assumptions'!$H$31="CPM",'Model Inputs &amp; Assumptions'!$I$31*'Model Inputs &amp; Assumptions'!$K$31*C1881/1000,IF('Model Inputs &amp; Assumptions'!$H$31="CPC",'Model Inputs &amp; Assumptions'!$I$31*'Model Inputs &amp; Assumptions'!$K$31*G1881,0)))</f>
        <v>3933.329166</v>
      </c>
      <c r="J1881" s="50" t="n">
        <f aca="false">H1881*INDEX('Model Inputs &amp; Assumptions'!$D$40:$D$42,MATCH('Model Inputs &amp; Assumptions'!$L$31,'Model Inputs &amp; Assumptions'!$A$40:$A$42,0))*INDEX('Model Inputs &amp; Assumptions'!$H$40:$H$42,MATCH('Model Inputs &amp; Assumptions'!$L$31,'Model Inputs &amp; Assumptions'!$A$40:$A$42,0))</f>
        <v>425304.54874835</v>
      </c>
      <c r="K1881" s="49" t="n">
        <f aca="false">H1881*INDEX('Model Inputs &amp; Assumptions'!$G$40:$G$42,MATCH('Model Inputs &amp; Assumptions'!$L$31,'Model Inputs &amp; Assumptions'!$A$40:$A$42,0))*INDEX('Model Inputs &amp; Assumptions'!$H$40:$H$42,MATCH('Model Inputs &amp; Assumptions'!$L$31,'Model Inputs &amp; Assumptions'!$A$40:$A$42,0))</f>
        <v>9377.96529990113</v>
      </c>
      <c r="L1881" s="51" t="n">
        <f aca="false">IFERROR(K1881/I1881,0)</f>
        <v>2.38423099214909</v>
      </c>
      <c r="M1881" s="49" t="n">
        <f aca="false">IFERROR(I1881/H1881,0)</f>
        <v>66.5875078894506</v>
      </c>
      <c r="N1881" s="52" t="str">
        <f aca="false">'Model Inputs &amp; Assumptions'!$L$31</f>
        <v>PRD-USIQ</v>
      </c>
      <c r="P1881" s="53" t="n">
        <v>-1.022178</v>
      </c>
      <c r="Q1881" s="53" t="n">
        <v>-0.115144</v>
      </c>
      <c r="R1881" s="53" t="n">
        <v>1.086135</v>
      </c>
      <c r="S1881" s="53" t="n">
        <v>0.724555</v>
      </c>
    </row>
    <row r="1882" customFormat="false" ht="15" hidden="false" customHeight="false" outlineLevel="0" collapsed="false">
      <c r="A1882" s="43" t="n">
        <v>379</v>
      </c>
      <c r="B1882" s="44" t="str">
        <f aca="false">'Model Inputs &amp; Assumptions'!$B$31</f>
        <v>YouTube — Finfluencer Pre-roll</v>
      </c>
      <c r="C1882" s="45" t="n">
        <f aca="false">ROUND(MAX(0,'Model Inputs &amp; Assumptions'!$S$31*EXP('Model Inputs &amp; Assumptions'!$T$31*P1882-'Model Inputs &amp; Assumptions'!$T$31^2/2)),0)</f>
        <v>358486</v>
      </c>
      <c r="D1882" s="46" t="n">
        <f aca="false">MIN(1,'Model Inputs &amp; Assumptions'!$U$31*EXP('Model Inputs &amp; Assumptions'!$V$31*Q1882-'Model Inputs &amp; Assumptions'!$V$31^2/2))</f>
        <v>0.514084041472368</v>
      </c>
      <c r="E1882" s="45" t="n">
        <f aca="false">ROUND(C1882*D1882,0)</f>
        <v>184292</v>
      </c>
      <c r="F1882" s="47" t="n">
        <f aca="false">MIN(1,'Model Inputs &amp; Assumptions'!$W$31*EXP('Model Inputs &amp; Assumptions'!$X$31*R1882-'Model Inputs &amp; Assumptions'!$X$31^2/2))</f>
        <v>0.00507322460621081</v>
      </c>
      <c r="G1882" s="45" t="n">
        <f aca="false">ROUND(C1882*F1882,0)</f>
        <v>1819</v>
      </c>
      <c r="H1882" s="48" t="n">
        <f aca="false">MAX(0,(C1882*'Model Inputs &amp; Assumptions'!$N$31+E1882*'Model Inputs &amp; Assumptions'!$O$31+G1882*'Model Inputs &amp; Assumptions'!$P$31)*EXP('Model Inputs &amp; Assumptions'!$Q$31*S1882-'Model Inputs &amp; Assumptions'!$Q$31^2/2))</f>
        <v>58.0825357114919</v>
      </c>
      <c r="I1882" s="49" t="n">
        <f aca="false">IF('Model Inputs &amp; Assumptions'!$H$31="Fixed",'Model Inputs &amp; Assumptions'!$I$31*'Model Inputs &amp; Assumptions'!$K$31,IF('Model Inputs &amp; Assumptions'!$H$31="CPM",'Model Inputs &amp; Assumptions'!$I$31*'Model Inputs &amp; Assumptions'!$K$31*C1882/1000,IF('Model Inputs &amp; Assumptions'!$H$31="CPC",'Model Inputs &amp; Assumptions'!$I$31*'Model Inputs &amp; Assumptions'!$K$31*G1882,0)))</f>
        <v>4067.382156</v>
      </c>
      <c r="J1882" s="50" t="n">
        <f aca="false">H1882*INDEX('Model Inputs &amp; Assumptions'!$D$40:$D$42,MATCH('Model Inputs &amp; Assumptions'!$L$31,'Model Inputs &amp; Assumptions'!$A$40:$A$42,0))*INDEX('Model Inputs &amp; Assumptions'!$H$40:$H$42,MATCH('Model Inputs &amp; Assumptions'!$L$31,'Model Inputs &amp; Assumptions'!$A$40:$A$42,0))</f>
        <v>418194.257122742</v>
      </c>
      <c r="K1882" s="49" t="n">
        <f aca="false">H1882*INDEX('Model Inputs &amp; Assumptions'!$G$40:$G$42,MATCH('Model Inputs &amp; Assumptions'!$L$31,'Model Inputs &amp; Assumptions'!$A$40:$A$42,0))*INDEX('Model Inputs &amp; Assumptions'!$H$40:$H$42,MATCH('Model Inputs &amp; Assumptions'!$L$31,'Model Inputs &amp; Assumptions'!$A$40:$A$42,0))</f>
        <v>9221.18336955645</v>
      </c>
      <c r="L1882" s="51" t="n">
        <f aca="false">IFERROR(K1882/I1882,0)</f>
        <v>2.26710523277333</v>
      </c>
      <c r="M1882" s="49" t="n">
        <f aca="false">IFERROR(I1882/H1882,0)</f>
        <v>70.0276271718497</v>
      </c>
      <c r="N1882" s="52" t="str">
        <f aca="false">'Model Inputs &amp; Assumptions'!$L$31</f>
        <v>PRD-USIQ</v>
      </c>
      <c r="P1882" s="53" t="n">
        <v>-0.90249</v>
      </c>
      <c r="Q1882" s="53" t="n">
        <v>-0.913827</v>
      </c>
      <c r="R1882" s="53" t="n">
        <v>0.180578</v>
      </c>
      <c r="S1882" s="53" t="n">
        <v>1.099344</v>
      </c>
    </row>
    <row r="1883" customFormat="false" ht="15" hidden="false" customHeight="false" outlineLevel="0" collapsed="false">
      <c r="A1883" s="43" t="n">
        <v>380</v>
      </c>
      <c r="B1883" s="44" t="str">
        <f aca="false">'Model Inputs &amp; Assumptions'!$B$31</f>
        <v>YouTube — Finfluencer Pre-roll</v>
      </c>
      <c r="C1883" s="45" t="n">
        <f aca="false">ROUND(MAX(0,'Model Inputs &amp; Assumptions'!$S$31*EXP('Model Inputs &amp; Assumptions'!$T$31*P1883-'Model Inputs &amp; Assumptions'!$T$31^2/2)),0)</f>
        <v>554775</v>
      </c>
      <c r="D1883" s="46" t="n">
        <f aca="false">MIN(1,'Model Inputs &amp; Assumptions'!$U$31*EXP('Model Inputs &amp; Assumptions'!$V$31*Q1883-'Model Inputs &amp; Assumptions'!$V$31^2/2))</f>
        <v>0.516607933093475</v>
      </c>
      <c r="E1883" s="45" t="n">
        <f aca="false">ROUND(C1883*D1883,0)</f>
        <v>286601</v>
      </c>
      <c r="F1883" s="47" t="n">
        <f aca="false">MIN(1,'Model Inputs &amp; Assumptions'!$W$31*EXP('Model Inputs &amp; Assumptions'!$X$31*R1883-'Model Inputs &amp; Assumptions'!$X$31^2/2))</f>
        <v>0.0041403542525866</v>
      </c>
      <c r="G1883" s="45" t="n">
        <f aca="false">ROUND(C1883*F1883,0)</f>
        <v>2297</v>
      </c>
      <c r="H1883" s="48" t="n">
        <f aca="false">MAX(0,(C1883*'Model Inputs &amp; Assumptions'!$N$31+E1883*'Model Inputs &amp; Assumptions'!$O$31+G1883*'Model Inputs &amp; Assumptions'!$P$31)*EXP('Model Inputs &amp; Assumptions'!$Q$31*S1883-'Model Inputs &amp; Assumptions'!$Q$31^2/2))</f>
        <v>55.1231920721511</v>
      </c>
      <c r="I1883" s="49" t="n">
        <f aca="false">IF('Model Inputs &amp; Assumptions'!$H$31="Fixed",'Model Inputs &amp; Assumptions'!$I$31*'Model Inputs &amp; Assumptions'!$K$31,IF('Model Inputs &amp; Assumptions'!$H$31="CPM",'Model Inputs &amp; Assumptions'!$I$31*'Model Inputs &amp; Assumptions'!$K$31*C1883/1000,IF('Model Inputs &amp; Assumptions'!$H$31="CPC",'Model Inputs &amp; Assumptions'!$I$31*'Model Inputs &amp; Assumptions'!$K$31*G1883,0)))</f>
        <v>6294.47715</v>
      </c>
      <c r="J1883" s="50" t="n">
        <f aca="false">H1883*INDEX('Model Inputs &amp; Assumptions'!$D$40:$D$42,MATCH('Model Inputs &amp; Assumptions'!$L$31,'Model Inputs &amp; Assumptions'!$A$40:$A$42,0))*INDEX('Model Inputs &amp; Assumptions'!$H$40:$H$42,MATCH('Model Inputs &amp; Assumptions'!$L$31,'Model Inputs &amp; Assumptions'!$A$40:$A$42,0))</f>
        <v>396886.982919488</v>
      </c>
      <c r="K1883" s="49" t="n">
        <f aca="false">H1883*INDEX('Model Inputs &amp; Assumptions'!$G$40:$G$42,MATCH('Model Inputs &amp; Assumptions'!$L$31,'Model Inputs &amp; Assumptions'!$A$40:$A$42,0))*INDEX('Model Inputs &amp; Assumptions'!$H$40:$H$42,MATCH('Model Inputs &amp; Assumptions'!$L$31,'Model Inputs &amp; Assumptions'!$A$40:$A$42,0))</f>
        <v>8751.35797337471</v>
      </c>
      <c r="L1883" s="51" t="n">
        <f aca="false">IFERROR(K1883/I1883,0)</f>
        <v>1.39032325717073</v>
      </c>
      <c r="M1883" s="49" t="n">
        <f aca="false">IFERROR(I1883/H1883,0)</f>
        <v>114.189271582116</v>
      </c>
      <c r="N1883" s="52" t="str">
        <f aca="false">'Model Inputs &amp; Assumptions'!$L$31</f>
        <v>PRD-USIQ</v>
      </c>
      <c r="P1883" s="53" t="n">
        <v>0.657062</v>
      </c>
      <c r="Q1883" s="53" t="n">
        <v>-0.878845</v>
      </c>
      <c r="R1883" s="53" t="n">
        <v>-0.666069</v>
      </c>
      <c r="S1883" s="53" t="n">
        <v>0.060203</v>
      </c>
    </row>
    <row r="1884" customFormat="false" ht="15" hidden="false" customHeight="false" outlineLevel="0" collapsed="false">
      <c r="A1884" s="43" t="n">
        <v>381</v>
      </c>
      <c r="B1884" s="44" t="str">
        <f aca="false">'Model Inputs &amp; Assumptions'!$B$31</f>
        <v>YouTube — Finfluencer Pre-roll</v>
      </c>
      <c r="C1884" s="45" t="n">
        <f aca="false">ROUND(MAX(0,'Model Inputs &amp; Assumptions'!$S$31*EXP('Model Inputs &amp; Assumptions'!$T$31*P1884-'Model Inputs &amp; Assumptions'!$T$31^2/2)),0)</f>
        <v>444804</v>
      </c>
      <c r="D1884" s="46" t="n">
        <f aca="false">MIN(1,'Model Inputs &amp; Assumptions'!$U$31*EXP('Model Inputs &amp; Assumptions'!$V$31*Q1884-'Model Inputs &amp; Assumptions'!$V$31^2/2))</f>
        <v>0.751858030501187</v>
      </c>
      <c r="E1884" s="45" t="n">
        <f aca="false">ROUND(C1884*D1884,0)</f>
        <v>334429</v>
      </c>
      <c r="F1884" s="47" t="n">
        <f aca="false">MIN(1,'Model Inputs &amp; Assumptions'!$W$31*EXP('Model Inputs &amp; Assumptions'!$X$31*R1884-'Model Inputs &amp; Assumptions'!$X$31^2/2))</f>
        <v>0.00532736099371858</v>
      </c>
      <c r="G1884" s="45" t="n">
        <f aca="false">ROUND(C1884*F1884,0)</f>
        <v>2370</v>
      </c>
      <c r="H1884" s="48" t="n">
        <f aca="false">MAX(0,(C1884*'Model Inputs &amp; Assumptions'!$N$31+E1884*'Model Inputs &amp; Assumptions'!$O$31+G1884*'Model Inputs &amp; Assumptions'!$P$31)*EXP('Model Inputs &amp; Assumptions'!$Q$31*S1884-'Model Inputs &amp; Assumptions'!$Q$31^2/2))</f>
        <v>60.8383663397036</v>
      </c>
      <c r="I1884" s="49" t="n">
        <f aca="false">IF('Model Inputs &amp; Assumptions'!$H$31="Fixed",'Model Inputs &amp; Assumptions'!$I$31*'Model Inputs &amp; Assumptions'!$K$31,IF('Model Inputs &amp; Assumptions'!$H$31="CPM",'Model Inputs &amp; Assumptions'!$I$31*'Model Inputs &amp; Assumptions'!$K$31*C1884/1000,IF('Model Inputs &amp; Assumptions'!$H$31="CPC",'Model Inputs &amp; Assumptions'!$I$31*'Model Inputs &amp; Assumptions'!$K$31*G1884,0)))</f>
        <v>5046.746184</v>
      </c>
      <c r="J1884" s="50" t="n">
        <f aca="false">H1884*INDEX('Model Inputs &amp; Assumptions'!$D$40:$D$42,MATCH('Model Inputs &amp; Assumptions'!$L$31,'Model Inputs &amp; Assumptions'!$A$40:$A$42,0))*INDEX('Model Inputs &amp; Assumptions'!$H$40:$H$42,MATCH('Model Inputs &amp; Assumptions'!$L$31,'Model Inputs &amp; Assumptions'!$A$40:$A$42,0))</f>
        <v>438036.237645866</v>
      </c>
      <c r="K1884" s="49" t="n">
        <f aca="false">H1884*INDEX('Model Inputs &amp; Assumptions'!$G$40:$G$42,MATCH('Model Inputs &amp; Assumptions'!$L$31,'Model Inputs &amp; Assumptions'!$A$40:$A$42,0))*INDEX('Model Inputs &amp; Assumptions'!$H$40:$H$42,MATCH('Model Inputs &amp; Assumptions'!$L$31,'Model Inputs &amp; Assumptions'!$A$40:$A$42,0))</f>
        <v>9658.69904009134</v>
      </c>
      <c r="L1884" s="51" t="n">
        <f aca="false">IFERROR(K1884/I1884,0)</f>
        <v>1.91384680107609</v>
      </c>
      <c r="M1884" s="49" t="n">
        <f aca="false">IFERROR(I1884/H1884,0)</f>
        <v>82.9533481523888</v>
      </c>
      <c r="N1884" s="52" t="str">
        <f aca="false">'Model Inputs &amp; Assumptions'!$L$31</f>
        <v>PRD-USIQ</v>
      </c>
      <c r="P1884" s="53" t="n">
        <v>-0.131972</v>
      </c>
      <c r="Q1884" s="53" t="n">
        <v>1.801607</v>
      </c>
      <c r="R1884" s="53" t="n">
        <v>0.384242</v>
      </c>
      <c r="S1884" s="53" t="n">
        <v>0.106971</v>
      </c>
    </row>
    <row r="1885" customFormat="false" ht="15" hidden="false" customHeight="false" outlineLevel="0" collapsed="false">
      <c r="A1885" s="43" t="n">
        <v>382</v>
      </c>
      <c r="B1885" s="44" t="str">
        <f aca="false">'Model Inputs &amp; Assumptions'!$B$31</f>
        <v>YouTube — Finfluencer Pre-roll</v>
      </c>
      <c r="C1885" s="45" t="n">
        <f aca="false">ROUND(MAX(0,'Model Inputs &amp; Assumptions'!$S$31*EXP('Model Inputs &amp; Assumptions'!$T$31*P1885-'Model Inputs &amp; Assumptions'!$T$31^2/2)),0)</f>
        <v>544605</v>
      </c>
      <c r="D1885" s="46" t="n">
        <f aca="false">MIN(1,'Model Inputs &amp; Assumptions'!$U$31*EXP('Model Inputs &amp; Assumptions'!$V$31*Q1885-'Model Inputs &amp; Assumptions'!$V$31^2/2))</f>
        <v>0.504248043546796</v>
      </c>
      <c r="E1885" s="45" t="n">
        <f aca="false">ROUND(C1885*D1885,0)</f>
        <v>274616</v>
      </c>
      <c r="F1885" s="47" t="n">
        <f aca="false">MIN(1,'Model Inputs &amp; Assumptions'!$W$31*EXP('Model Inputs &amp; Assumptions'!$X$31*R1885-'Model Inputs &amp; Assumptions'!$X$31^2/2))</f>
        <v>0.00421692754273553</v>
      </c>
      <c r="G1885" s="45" t="n">
        <f aca="false">ROUND(C1885*F1885,0)</f>
        <v>2297</v>
      </c>
      <c r="H1885" s="48" t="n">
        <f aca="false">MAX(0,(C1885*'Model Inputs &amp; Assumptions'!$N$31+E1885*'Model Inputs &amp; Assumptions'!$O$31+G1885*'Model Inputs &amp; Assumptions'!$P$31)*EXP('Model Inputs &amp; Assumptions'!$Q$31*S1885-'Model Inputs &amp; Assumptions'!$Q$31^2/2))</f>
        <v>74.7556139395463</v>
      </c>
      <c r="I1885" s="49" t="n">
        <f aca="false">IF('Model Inputs &amp; Assumptions'!$H$31="Fixed",'Model Inputs &amp; Assumptions'!$I$31*'Model Inputs &amp; Assumptions'!$K$31,IF('Model Inputs &amp; Assumptions'!$H$31="CPM",'Model Inputs &amp; Assumptions'!$I$31*'Model Inputs &amp; Assumptions'!$K$31*C1885/1000,IF('Model Inputs &amp; Assumptions'!$H$31="CPC",'Model Inputs &amp; Assumptions'!$I$31*'Model Inputs &amp; Assumptions'!$K$31*G1885,0)))</f>
        <v>6179.08833</v>
      </c>
      <c r="J1885" s="50" t="n">
        <f aca="false">H1885*INDEX('Model Inputs &amp; Assumptions'!$D$40:$D$42,MATCH('Model Inputs &amp; Assumptions'!$L$31,'Model Inputs &amp; Assumptions'!$A$40:$A$42,0))*INDEX('Model Inputs &amp; Assumptions'!$H$40:$H$42,MATCH('Model Inputs &amp; Assumptions'!$L$31,'Model Inputs &amp; Assumptions'!$A$40:$A$42,0))</f>
        <v>538240.420364733</v>
      </c>
      <c r="K1885" s="49" t="n">
        <f aca="false">H1885*INDEX('Model Inputs &amp; Assumptions'!$G$40:$G$42,MATCH('Model Inputs &amp; Assumptions'!$L$31,'Model Inputs &amp; Assumptions'!$A$40:$A$42,0))*INDEX('Model Inputs &amp; Assumptions'!$H$40:$H$42,MATCH('Model Inputs &amp; Assumptions'!$L$31,'Model Inputs &amp; Assumptions'!$A$40:$A$42,0))</f>
        <v>11868.2012690424</v>
      </c>
      <c r="L1885" s="51" t="n">
        <f aca="false">IFERROR(K1885/I1885,0)</f>
        <v>1.92070425849413</v>
      </c>
      <c r="M1885" s="49" t="n">
        <f aca="false">IFERROR(I1885/H1885,0)</f>
        <v>82.657181238548</v>
      </c>
      <c r="N1885" s="52" t="str">
        <f aca="false">'Model Inputs &amp; Assumptions'!$L$31</f>
        <v>PRD-USIQ</v>
      </c>
      <c r="P1885" s="53" t="n">
        <v>0.590983</v>
      </c>
      <c r="Q1885" s="53" t="n">
        <v>-1.051816</v>
      </c>
      <c r="R1885" s="53" t="n">
        <v>-0.589713</v>
      </c>
      <c r="S1885" s="53" t="n">
        <v>0.978785</v>
      </c>
    </row>
    <row r="1886" customFormat="false" ht="15" hidden="false" customHeight="false" outlineLevel="0" collapsed="false">
      <c r="A1886" s="43" t="n">
        <v>383</v>
      </c>
      <c r="B1886" s="44" t="str">
        <f aca="false">'Model Inputs &amp; Assumptions'!$B$31</f>
        <v>YouTube — Finfluencer Pre-roll</v>
      </c>
      <c r="C1886" s="45" t="n">
        <f aca="false">ROUND(MAX(0,'Model Inputs &amp; Assumptions'!$S$31*EXP('Model Inputs &amp; Assumptions'!$T$31*P1886-'Model Inputs &amp; Assumptions'!$T$31^2/2)),0)</f>
        <v>521657</v>
      </c>
      <c r="D1886" s="46" t="n">
        <f aca="false">MIN(1,'Model Inputs &amp; Assumptions'!$U$31*EXP('Model Inputs &amp; Assumptions'!$V$31*Q1886-'Model Inputs &amp; Assumptions'!$V$31^2/2))</f>
        <v>0.715226314866637</v>
      </c>
      <c r="E1886" s="45" t="n">
        <f aca="false">ROUND(C1886*D1886,0)</f>
        <v>373103</v>
      </c>
      <c r="F1886" s="47" t="n">
        <f aca="false">MIN(1,'Model Inputs &amp; Assumptions'!$W$31*EXP('Model Inputs &amp; Assumptions'!$X$31*R1886-'Model Inputs &amp; Assumptions'!$X$31^2/2))</f>
        <v>0.00416558496040973</v>
      </c>
      <c r="G1886" s="45" t="n">
        <f aca="false">ROUND(C1886*F1886,0)</f>
        <v>2173</v>
      </c>
      <c r="H1886" s="48" t="n">
        <f aca="false">MAX(0,(C1886*'Model Inputs &amp; Assumptions'!$N$31+E1886*'Model Inputs &amp; Assumptions'!$O$31+G1886*'Model Inputs &amp; Assumptions'!$P$31)*EXP('Model Inputs &amp; Assumptions'!$Q$31*S1886-'Model Inputs &amp; Assumptions'!$Q$31^2/2))</f>
        <v>44.1361967651305</v>
      </c>
      <c r="I1886" s="49" t="n">
        <f aca="false">IF('Model Inputs &amp; Assumptions'!$H$31="Fixed",'Model Inputs &amp; Assumptions'!$I$31*'Model Inputs &amp; Assumptions'!$K$31,IF('Model Inputs &amp; Assumptions'!$H$31="CPM",'Model Inputs &amp; Assumptions'!$I$31*'Model Inputs &amp; Assumptions'!$K$31*C1886/1000,IF('Model Inputs &amp; Assumptions'!$H$31="CPC",'Model Inputs &amp; Assumptions'!$I$31*'Model Inputs &amp; Assumptions'!$K$31*G1886,0)))</f>
        <v>5918.720322</v>
      </c>
      <c r="J1886" s="50" t="n">
        <f aca="false">H1886*INDEX('Model Inputs &amp; Assumptions'!$D$40:$D$42,MATCH('Model Inputs &amp; Assumptions'!$L$31,'Model Inputs &amp; Assumptions'!$A$40:$A$42,0))*INDEX('Model Inputs &amp; Assumptions'!$H$40:$H$42,MATCH('Model Inputs &amp; Assumptions'!$L$31,'Model Inputs &amp; Assumptions'!$A$40:$A$42,0))</f>
        <v>317780.616708939</v>
      </c>
      <c r="K1886" s="49" t="n">
        <f aca="false">H1886*INDEX('Model Inputs &amp; Assumptions'!$G$40:$G$42,MATCH('Model Inputs &amp; Assumptions'!$L$31,'Model Inputs &amp; Assumptions'!$A$40:$A$42,0))*INDEX('Model Inputs &amp; Assumptions'!$H$40:$H$42,MATCH('Model Inputs &amp; Assumptions'!$L$31,'Model Inputs &amp; Assumptions'!$A$40:$A$42,0))</f>
        <v>7007.06259843211</v>
      </c>
      <c r="L1886" s="51" t="n">
        <f aca="false">IFERROR(K1886/I1886,0)</f>
        <v>1.1838813488765</v>
      </c>
      <c r="M1886" s="49" t="n">
        <f aca="false">IFERROR(I1886/H1886,0)</f>
        <v>134.101276408031</v>
      </c>
      <c r="N1886" s="52" t="str">
        <f aca="false">'Model Inputs &amp; Assumptions'!$L$31</f>
        <v>PRD-USIQ</v>
      </c>
      <c r="P1886" s="53" t="n">
        <v>0.437227</v>
      </c>
      <c r="Q1886" s="53" t="n">
        <v>1.444832</v>
      </c>
      <c r="R1886" s="53" t="n">
        <v>-0.640755</v>
      </c>
      <c r="S1886" s="53" t="n">
        <v>-0.816365</v>
      </c>
    </row>
    <row r="1887" customFormat="false" ht="15" hidden="false" customHeight="false" outlineLevel="0" collapsed="false">
      <c r="A1887" s="43" t="n">
        <v>384</v>
      </c>
      <c r="B1887" s="44" t="str">
        <f aca="false">'Model Inputs &amp; Assumptions'!$B$31</f>
        <v>YouTube — Finfluencer Pre-roll</v>
      </c>
      <c r="C1887" s="45" t="n">
        <f aca="false">ROUND(MAX(0,'Model Inputs &amp; Assumptions'!$S$31*EXP('Model Inputs &amp; Assumptions'!$T$31*P1887-'Model Inputs &amp; Assumptions'!$T$31^2/2)),0)</f>
        <v>490891</v>
      </c>
      <c r="D1887" s="46" t="n">
        <f aca="false">MIN(1,'Model Inputs &amp; Assumptions'!$U$31*EXP('Model Inputs &amp; Assumptions'!$V$31*Q1887-'Model Inputs &amp; Assumptions'!$V$31^2/2))</f>
        <v>0.662804010845164</v>
      </c>
      <c r="E1887" s="45" t="n">
        <f aca="false">ROUND(C1887*D1887,0)</f>
        <v>325365</v>
      </c>
      <c r="F1887" s="47" t="n">
        <f aca="false">MIN(1,'Model Inputs &amp; Assumptions'!$W$31*EXP('Model Inputs &amp; Assumptions'!$X$31*R1887-'Model Inputs &amp; Assumptions'!$X$31^2/2))</f>
        <v>0.00545246386825854</v>
      </c>
      <c r="G1887" s="45" t="n">
        <f aca="false">ROUND(C1887*F1887,0)</f>
        <v>2677</v>
      </c>
      <c r="H1887" s="48" t="n">
        <f aca="false">MAX(0,(C1887*'Model Inputs &amp; Assumptions'!$N$31+E1887*'Model Inputs &amp; Assumptions'!$O$31+G1887*'Model Inputs &amp; Assumptions'!$P$31)*EXP('Model Inputs &amp; Assumptions'!$Q$31*S1887-'Model Inputs &amp; Assumptions'!$Q$31^2/2))</f>
        <v>53.4619835659013</v>
      </c>
      <c r="I1887" s="49" t="n">
        <f aca="false">IF('Model Inputs &amp; Assumptions'!$H$31="Fixed",'Model Inputs &amp; Assumptions'!$I$31*'Model Inputs &amp; Assumptions'!$K$31,IF('Model Inputs &amp; Assumptions'!$H$31="CPM",'Model Inputs &amp; Assumptions'!$I$31*'Model Inputs &amp; Assumptions'!$K$31*C1887/1000,IF('Model Inputs &amp; Assumptions'!$H$31="CPC",'Model Inputs &amp; Assumptions'!$I$31*'Model Inputs &amp; Assumptions'!$K$31*G1887,0)))</f>
        <v>5569.649286</v>
      </c>
      <c r="J1887" s="50" t="n">
        <f aca="false">H1887*INDEX('Model Inputs &amp; Assumptions'!$D$40:$D$42,MATCH('Model Inputs &amp; Assumptions'!$L$31,'Model Inputs &amp; Assumptions'!$A$40:$A$42,0))*INDEX('Model Inputs &amp; Assumptions'!$H$40:$H$42,MATCH('Model Inputs &amp; Assumptions'!$L$31,'Model Inputs &amp; Assumptions'!$A$40:$A$42,0))</f>
        <v>384926.28167449</v>
      </c>
      <c r="K1887" s="49" t="n">
        <f aca="false">H1887*INDEX('Model Inputs &amp; Assumptions'!$G$40:$G$42,MATCH('Model Inputs &amp; Assumptions'!$L$31,'Model Inputs &amp; Assumptions'!$A$40:$A$42,0))*INDEX('Model Inputs &amp; Assumptions'!$H$40:$H$42,MATCH('Model Inputs &amp; Assumptions'!$L$31,'Model Inputs &amp; Assumptions'!$A$40:$A$42,0))</f>
        <v>8487.6245109225</v>
      </c>
      <c r="L1887" s="51" t="n">
        <f aca="false">IFERROR(K1887/I1887,0)</f>
        <v>1.52390645713675</v>
      </c>
      <c r="M1887" s="49" t="n">
        <f aca="false">IFERROR(I1887/H1887,0)</f>
        <v>104.179622874157</v>
      </c>
      <c r="N1887" s="52" t="str">
        <f aca="false">'Model Inputs &amp; Assumptions'!$L$31</f>
        <v>PRD-USIQ</v>
      </c>
      <c r="P1887" s="53" t="n">
        <v>0.220129</v>
      </c>
      <c r="Q1887" s="53" t="n">
        <v>0.90112</v>
      </c>
      <c r="R1887" s="53" t="n">
        <v>0.480957</v>
      </c>
      <c r="S1887" s="53" t="n">
        <v>-0.434917</v>
      </c>
    </row>
    <row r="1888" customFormat="false" ht="15" hidden="false" customHeight="false" outlineLevel="0" collapsed="false">
      <c r="A1888" s="43" t="n">
        <v>385</v>
      </c>
      <c r="B1888" s="44" t="str">
        <f aca="false">'Model Inputs &amp; Assumptions'!$B$31</f>
        <v>YouTube — Finfluencer Pre-roll</v>
      </c>
      <c r="C1888" s="45" t="n">
        <f aca="false">ROUND(MAX(0,'Model Inputs &amp; Assumptions'!$S$31*EXP('Model Inputs &amp; Assumptions'!$T$31*P1888-'Model Inputs &amp; Assumptions'!$T$31^2/2)),0)</f>
        <v>1205541</v>
      </c>
      <c r="D1888" s="46" t="n">
        <f aca="false">MIN(1,'Model Inputs &amp; Assumptions'!$U$31*EXP('Model Inputs &amp; Assumptions'!$V$31*Q1888-'Model Inputs &amp; Assumptions'!$V$31^2/2))</f>
        <v>0.646612422345339</v>
      </c>
      <c r="E1888" s="45" t="n">
        <f aca="false">ROUND(C1888*D1888,0)</f>
        <v>779518</v>
      </c>
      <c r="F1888" s="47" t="n">
        <f aca="false">MIN(1,'Model Inputs &amp; Assumptions'!$W$31*EXP('Model Inputs &amp; Assumptions'!$X$31*R1888-'Model Inputs &amp; Assumptions'!$X$31^2/2))</f>
        <v>0.00494923071025948</v>
      </c>
      <c r="G1888" s="45" t="n">
        <f aca="false">ROUND(C1888*F1888,0)</f>
        <v>5967</v>
      </c>
      <c r="H1888" s="48" t="n">
        <f aca="false">MAX(0,(C1888*'Model Inputs &amp; Assumptions'!$N$31+E1888*'Model Inputs &amp; Assumptions'!$O$31+G1888*'Model Inputs &amp; Assumptions'!$P$31)*EXP('Model Inputs &amp; Assumptions'!$Q$31*S1888-'Model Inputs &amp; Assumptions'!$Q$31^2/2))</f>
        <v>65.119933491168</v>
      </c>
      <c r="I1888" s="49" t="n">
        <f aca="false">IF('Model Inputs &amp; Assumptions'!$H$31="Fixed",'Model Inputs &amp; Assumptions'!$I$31*'Model Inputs &amp; Assumptions'!$K$31,IF('Model Inputs &amp; Assumptions'!$H$31="CPM",'Model Inputs &amp; Assumptions'!$I$31*'Model Inputs &amp; Assumptions'!$K$31*C1888/1000,IF('Model Inputs &amp; Assumptions'!$H$31="CPC",'Model Inputs &amp; Assumptions'!$I$31*'Model Inputs &amp; Assumptions'!$K$31*G1888,0)))</f>
        <v>13678.068186</v>
      </c>
      <c r="J1888" s="50" t="n">
        <f aca="false">H1888*INDEX('Model Inputs &amp; Assumptions'!$D$40:$D$42,MATCH('Model Inputs &amp; Assumptions'!$L$31,'Model Inputs &amp; Assumptions'!$A$40:$A$42,0))*INDEX('Model Inputs &amp; Assumptions'!$H$40:$H$42,MATCH('Model Inputs &amp; Assumptions'!$L$31,'Model Inputs &amp; Assumptions'!$A$40:$A$42,0))</f>
        <v>468863.521136409</v>
      </c>
      <c r="K1888" s="49" t="n">
        <f aca="false">H1888*INDEX('Model Inputs &amp; Assumptions'!$G$40:$G$42,MATCH('Model Inputs &amp; Assumptions'!$L$31,'Model Inputs &amp; Assumptions'!$A$40:$A$42,0))*INDEX('Model Inputs &amp; Assumptions'!$H$40:$H$42,MATCH('Model Inputs &amp; Assumptions'!$L$31,'Model Inputs &amp; Assumptions'!$A$40:$A$42,0))</f>
        <v>10338.4406410578</v>
      </c>
      <c r="L1888" s="51" t="n">
        <f aca="false">IFERROR(K1888/I1888,0)</f>
        <v>0.755840700636337</v>
      </c>
      <c r="M1888" s="49" t="n">
        <f aca="false">IFERROR(I1888/H1888,0)</f>
        <v>210.044259149238</v>
      </c>
      <c r="N1888" s="52" t="str">
        <f aca="false">'Model Inputs &amp; Assumptions'!$L$31</f>
        <v>PRD-USIQ</v>
      </c>
      <c r="P1888" s="53" t="n">
        <v>3.428919</v>
      </c>
      <c r="Q1888" s="53" t="n">
        <v>0.724461</v>
      </c>
      <c r="R1888" s="53" t="n">
        <v>0.077476</v>
      </c>
      <c r="S1888" s="53" t="n">
        <v>-2.244345</v>
      </c>
    </row>
    <row r="1889" customFormat="false" ht="15" hidden="false" customHeight="false" outlineLevel="0" collapsed="false">
      <c r="A1889" s="43" t="n">
        <v>386</v>
      </c>
      <c r="B1889" s="44" t="str">
        <f aca="false">'Model Inputs &amp; Assumptions'!$B$31</f>
        <v>YouTube — Finfluencer Pre-roll</v>
      </c>
      <c r="C1889" s="45" t="n">
        <f aca="false">ROUND(MAX(0,'Model Inputs &amp; Assumptions'!$S$31*EXP('Model Inputs &amp; Assumptions'!$T$31*P1889-'Model Inputs &amp; Assumptions'!$T$31^2/2)),0)</f>
        <v>460087</v>
      </c>
      <c r="D1889" s="46" t="n">
        <f aca="false">MIN(1,'Model Inputs &amp; Assumptions'!$U$31*EXP('Model Inputs &amp; Assumptions'!$V$31*Q1889-'Model Inputs &amp; Assumptions'!$V$31^2/2))</f>
        <v>0.421607799534118</v>
      </c>
      <c r="E1889" s="45" t="n">
        <f aca="false">ROUND(C1889*D1889,0)</f>
        <v>193976</v>
      </c>
      <c r="F1889" s="47" t="n">
        <f aca="false">MIN(1,'Model Inputs &amp; Assumptions'!$W$31*EXP('Model Inputs &amp; Assumptions'!$X$31*R1889-'Model Inputs &amp; Assumptions'!$X$31^2/2))</f>
        <v>0.00272139199544768</v>
      </c>
      <c r="G1889" s="45" t="n">
        <f aca="false">ROUND(C1889*F1889,0)</f>
        <v>1252</v>
      </c>
      <c r="H1889" s="48" t="n">
        <f aca="false">MAX(0,(C1889*'Model Inputs &amp; Assumptions'!$N$31+E1889*'Model Inputs &amp; Assumptions'!$O$31+G1889*'Model Inputs &amp; Assumptions'!$P$31)*EXP('Model Inputs &amp; Assumptions'!$Q$31*S1889-'Model Inputs &amp; Assumptions'!$Q$31^2/2))</f>
        <v>34.3699049693847</v>
      </c>
      <c r="I1889" s="49" t="n">
        <f aca="false">IF('Model Inputs &amp; Assumptions'!$H$31="Fixed",'Model Inputs &amp; Assumptions'!$I$31*'Model Inputs &amp; Assumptions'!$K$31,IF('Model Inputs &amp; Assumptions'!$H$31="CPM",'Model Inputs &amp; Assumptions'!$I$31*'Model Inputs &amp; Assumptions'!$K$31*C1889/1000,IF('Model Inputs &amp; Assumptions'!$H$31="CPC",'Model Inputs &amp; Assumptions'!$I$31*'Model Inputs &amp; Assumptions'!$K$31*G1889,0)))</f>
        <v>5220.147102</v>
      </c>
      <c r="J1889" s="50" t="n">
        <f aca="false">H1889*INDEX('Model Inputs &amp; Assumptions'!$D$40:$D$42,MATCH('Model Inputs &amp; Assumptions'!$L$31,'Model Inputs &amp; Assumptions'!$A$40:$A$42,0))*INDEX('Model Inputs &amp; Assumptions'!$H$40:$H$42,MATCH('Model Inputs &amp; Assumptions'!$L$31,'Model Inputs &amp; Assumptions'!$A$40:$A$42,0))</f>
        <v>247463.31577957</v>
      </c>
      <c r="K1889" s="49" t="n">
        <f aca="false">H1889*INDEX('Model Inputs &amp; Assumptions'!$G$40:$G$42,MATCH('Model Inputs &amp; Assumptions'!$L$31,'Model Inputs &amp; Assumptions'!$A$40:$A$42,0))*INDEX('Model Inputs &amp; Assumptions'!$H$40:$H$42,MATCH('Model Inputs &amp; Assumptions'!$L$31,'Model Inputs &amp; Assumptions'!$A$40:$A$42,0))</f>
        <v>5456.56611293951</v>
      </c>
      <c r="L1889" s="51" t="n">
        <f aca="false">IFERROR(K1889/I1889,0)</f>
        <v>1.04528972197909</v>
      </c>
      <c r="M1889" s="49" t="n">
        <f aca="false">IFERROR(I1889/H1889,0)</f>
        <v>151.881336496272</v>
      </c>
      <c r="N1889" s="52" t="str">
        <f aca="false">'Model Inputs &amp; Assumptions'!$L$31</f>
        <v>PRD-USIQ</v>
      </c>
      <c r="P1889" s="53" t="n">
        <v>-0.011327</v>
      </c>
      <c r="Q1889" s="53" t="n">
        <v>-2.330336</v>
      </c>
      <c r="R1889" s="53" t="n">
        <v>-2.41456</v>
      </c>
      <c r="S1889" s="53" t="n">
        <v>0.180977</v>
      </c>
    </row>
    <row r="1890" customFormat="false" ht="15" hidden="false" customHeight="false" outlineLevel="0" collapsed="false">
      <c r="A1890" s="43" t="n">
        <v>387</v>
      </c>
      <c r="B1890" s="44" t="str">
        <f aca="false">'Model Inputs &amp; Assumptions'!$B$31</f>
        <v>YouTube — Finfluencer Pre-roll</v>
      </c>
      <c r="C1890" s="45" t="n">
        <f aca="false">ROUND(MAX(0,'Model Inputs &amp; Assumptions'!$S$31*EXP('Model Inputs &amp; Assumptions'!$T$31*P1890-'Model Inputs &amp; Assumptions'!$T$31^2/2)),0)</f>
        <v>774680</v>
      </c>
      <c r="D1890" s="46" t="n">
        <f aca="false">MIN(1,'Model Inputs &amp; Assumptions'!$U$31*EXP('Model Inputs &amp; Assumptions'!$V$31*Q1890-'Model Inputs &amp; Assumptions'!$V$31^2/2))</f>
        <v>0.682606676152226</v>
      </c>
      <c r="E1890" s="45" t="n">
        <f aca="false">ROUND(C1890*D1890,0)</f>
        <v>528802</v>
      </c>
      <c r="F1890" s="47" t="n">
        <f aca="false">MIN(1,'Model Inputs &amp; Assumptions'!$W$31*EXP('Model Inputs &amp; Assumptions'!$X$31*R1890-'Model Inputs &amp; Assumptions'!$X$31^2/2))</f>
        <v>0.00453841354897719</v>
      </c>
      <c r="G1890" s="45" t="n">
        <f aca="false">ROUND(C1890*F1890,0)</f>
        <v>3516</v>
      </c>
      <c r="H1890" s="48" t="n">
        <f aca="false">MAX(0,(C1890*'Model Inputs &amp; Assumptions'!$N$31+E1890*'Model Inputs &amp; Assumptions'!$O$31+G1890*'Model Inputs &amp; Assumptions'!$P$31)*EXP('Model Inputs &amp; Assumptions'!$Q$31*S1890-'Model Inputs &amp; Assumptions'!$Q$31^2/2))</f>
        <v>98.765344168992</v>
      </c>
      <c r="I1890" s="49" t="n">
        <f aca="false">IF('Model Inputs &amp; Assumptions'!$H$31="Fixed",'Model Inputs &amp; Assumptions'!$I$31*'Model Inputs &amp; Assumptions'!$K$31,IF('Model Inputs &amp; Assumptions'!$H$31="CPM",'Model Inputs &amp; Assumptions'!$I$31*'Model Inputs &amp; Assumptions'!$K$31*C1890/1000,IF('Model Inputs &amp; Assumptions'!$H$31="CPC",'Model Inputs &amp; Assumptions'!$I$31*'Model Inputs &amp; Assumptions'!$K$31*G1890,0)))</f>
        <v>8789.51928</v>
      </c>
      <c r="J1890" s="50" t="n">
        <f aca="false">H1890*INDEX('Model Inputs &amp; Assumptions'!$D$40:$D$42,MATCH('Model Inputs &amp; Assumptions'!$L$31,'Model Inputs &amp; Assumptions'!$A$40:$A$42,0))*INDEX('Model Inputs &amp; Assumptions'!$H$40:$H$42,MATCH('Model Inputs &amp; Assumptions'!$L$31,'Model Inputs &amp; Assumptions'!$A$40:$A$42,0))</f>
        <v>711110.478016742</v>
      </c>
      <c r="K1890" s="49" t="n">
        <f aca="false">H1890*INDEX('Model Inputs &amp; Assumptions'!$G$40:$G$42,MATCH('Model Inputs &amp; Assumptions'!$L$31,'Model Inputs &amp; Assumptions'!$A$40:$A$42,0))*INDEX('Model Inputs &amp; Assumptions'!$H$40:$H$42,MATCH('Model Inputs &amp; Assumptions'!$L$31,'Model Inputs &amp; Assumptions'!$A$40:$A$42,0))</f>
        <v>15679.9860402692</v>
      </c>
      <c r="L1890" s="51" t="n">
        <f aca="false">IFERROR(K1890/I1890,0)</f>
        <v>1.78394125330017</v>
      </c>
      <c r="M1890" s="49" t="n">
        <f aca="false">IFERROR(I1890/H1890,0)</f>
        <v>88.9939619403415</v>
      </c>
      <c r="N1890" s="52" t="str">
        <f aca="false">'Model Inputs &amp; Assumptions'!$L$31</f>
        <v>PRD-USIQ</v>
      </c>
      <c r="P1890" s="53" t="n">
        <v>1.849515</v>
      </c>
      <c r="Q1890" s="53" t="n">
        <v>1.111402</v>
      </c>
      <c r="R1890" s="53" t="n">
        <v>-0.283585</v>
      </c>
      <c r="S1890" s="53" t="n">
        <v>0.284729</v>
      </c>
    </row>
    <row r="1891" customFormat="false" ht="15" hidden="false" customHeight="false" outlineLevel="0" collapsed="false">
      <c r="A1891" s="43" t="n">
        <v>388</v>
      </c>
      <c r="B1891" s="44" t="str">
        <f aca="false">'Model Inputs &amp; Assumptions'!$B$31</f>
        <v>YouTube — Finfluencer Pre-roll</v>
      </c>
      <c r="C1891" s="45" t="n">
        <f aca="false">ROUND(MAX(0,'Model Inputs &amp; Assumptions'!$S$31*EXP('Model Inputs &amp; Assumptions'!$T$31*P1891-'Model Inputs &amp; Assumptions'!$T$31^2/2)),0)</f>
        <v>726995</v>
      </c>
      <c r="D1891" s="46" t="n">
        <f aca="false">MIN(1,'Model Inputs &amp; Assumptions'!$U$31*EXP('Model Inputs &amp; Assumptions'!$V$31*Q1891-'Model Inputs &amp; Assumptions'!$V$31^2/2))</f>
        <v>0.495018787750418</v>
      </c>
      <c r="E1891" s="45" t="n">
        <f aca="false">ROUND(C1891*D1891,0)</f>
        <v>359876</v>
      </c>
      <c r="F1891" s="47" t="n">
        <f aca="false">MIN(1,'Model Inputs &amp; Assumptions'!$W$31*EXP('Model Inputs &amp; Assumptions'!$X$31*R1891-'Model Inputs &amp; Assumptions'!$X$31^2/2))</f>
        <v>0.0052309037925714</v>
      </c>
      <c r="G1891" s="45" t="n">
        <f aca="false">ROUND(C1891*F1891,0)</f>
        <v>3803</v>
      </c>
      <c r="H1891" s="48" t="n">
        <f aca="false">MAX(0,(C1891*'Model Inputs &amp; Assumptions'!$N$31+E1891*'Model Inputs &amp; Assumptions'!$O$31+G1891*'Model Inputs &amp; Assumptions'!$P$31)*EXP('Model Inputs &amp; Assumptions'!$Q$31*S1891-'Model Inputs &amp; Assumptions'!$Q$31^2/2))</f>
        <v>55.6264485081437</v>
      </c>
      <c r="I1891" s="49" t="n">
        <f aca="false">IF('Model Inputs &amp; Assumptions'!$H$31="Fixed",'Model Inputs &amp; Assumptions'!$I$31*'Model Inputs &amp; Assumptions'!$K$31,IF('Model Inputs &amp; Assumptions'!$H$31="CPM",'Model Inputs &amp; Assumptions'!$I$31*'Model Inputs &amp; Assumptions'!$K$31*C1891/1000,IF('Model Inputs &amp; Assumptions'!$H$31="CPC",'Model Inputs &amp; Assumptions'!$I$31*'Model Inputs &amp; Assumptions'!$K$31*G1891,0)))</f>
        <v>8248.48527</v>
      </c>
      <c r="J1891" s="50" t="n">
        <f aca="false">H1891*INDEX('Model Inputs &amp; Assumptions'!$D$40:$D$42,MATCH('Model Inputs &amp; Assumptions'!$L$31,'Model Inputs &amp; Assumptions'!$A$40:$A$42,0))*INDEX('Model Inputs &amp; Assumptions'!$H$40:$H$42,MATCH('Model Inputs &amp; Assumptions'!$L$31,'Model Inputs &amp; Assumptions'!$A$40:$A$42,0))</f>
        <v>400510.429258635</v>
      </c>
      <c r="K1891" s="49" t="n">
        <f aca="false">H1891*INDEX('Model Inputs &amp; Assumptions'!$G$40:$G$42,MATCH('Model Inputs &amp; Assumptions'!$L$31,'Model Inputs &amp; Assumptions'!$A$40:$A$42,0))*INDEX('Model Inputs &amp; Assumptions'!$H$40:$H$42,MATCH('Model Inputs &amp; Assumptions'!$L$31,'Model Inputs &amp; Assumptions'!$A$40:$A$42,0))</f>
        <v>8831.2549651529</v>
      </c>
      <c r="L1891" s="51" t="n">
        <f aca="false">IFERROR(K1891/I1891,0)</f>
        <v>1.07065172284085</v>
      </c>
      <c r="M1891" s="49" t="n">
        <f aca="false">IFERROR(I1891/H1891,0)</f>
        <v>148.283514249385</v>
      </c>
      <c r="N1891" s="52" t="str">
        <f aca="false">'Model Inputs &amp; Assumptions'!$L$31</f>
        <v>PRD-USIQ</v>
      </c>
      <c r="P1891" s="53" t="n">
        <v>1.622622</v>
      </c>
      <c r="Q1891" s="53" t="n">
        <v>-1.183763</v>
      </c>
      <c r="R1891" s="53" t="n">
        <v>0.308109</v>
      </c>
      <c r="S1891" s="53" t="n">
        <v>-1.06434</v>
      </c>
    </row>
    <row r="1892" customFormat="false" ht="15" hidden="false" customHeight="false" outlineLevel="0" collapsed="false">
      <c r="A1892" s="43" t="n">
        <v>389</v>
      </c>
      <c r="B1892" s="44" t="str">
        <f aca="false">'Model Inputs &amp; Assumptions'!$B$31</f>
        <v>YouTube — Finfluencer Pre-roll</v>
      </c>
      <c r="C1892" s="45" t="n">
        <f aca="false">ROUND(MAX(0,'Model Inputs &amp; Assumptions'!$S$31*EXP('Model Inputs &amp; Assumptions'!$T$31*P1892-'Model Inputs &amp; Assumptions'!$T$31^2/2)),0)</f>
        <v>612823</v>
      </c>
      <c r="D1892" s="46" t="n">
        <f aca="false">MIN(1,'Model Inputs &amp; Assumptions'!$U$31*EXP('Model Inputs &amp; Assumptions'!$V$31*Q1892-'Model Inputs &amp; Assumptions'!$V$31^2/2))</f>
        <v>0.608400058719502</v>
      </c>
      <c r="E1892" s="45" t="n">
        <f aca="false">ROUND(C1892*D1892,0)</f>
        <v>372842</v>
      </c>
      <c r="F1892" s="47" t="n">
        <f aca="false">MIN(1,'Model Inputs &amp; Assumptions'!$W$31*EXP('Model Inputs &amp; Assumptions'!$X$31*R1892-'Model Inputs &amp; Assumptions'!$X$31^2/2))</f>
        <v>0.00399113923392138</v>
      </c>
      <c r="G1892" s="45" t="n">
        <f aca="false">ROUND(C1892*F1892,0)</f>
        <v>2446</v>
      </c>
      <c r="H1892" s="48" t="n">
        <f aca="false">MAX(0,(C1892*'Model Inputs &amp; Assumptions'!$N$31+E1892*'Model Inputs &amp; Assumptions'!$O$31+G1892*'Model Inputs &amp; Assumptions'!$P$31)*EXP('Model Inputs &amp; Assumptions'!$Q$31*S1892-'Model Inputs &amp; Assumptions'!$Q$31^2/2))</f>
        <v>92.9159309664566</v>
      </c>
      <c r="I1892" s="49" t="n">
        <f aca="false">IF('Model Inputs &amp; Assumptions'!$H$31="Fixed",'Model Inputs &amp; Assumptions'!$I$31*'Model Inputs &amp; Assumptions'!$K$31,IF('Model Inputs &amp; Assumptions'!$H$31="CPM",'Model Inputs &amp; Assumptions'!$I$31*'Model Inputs &amp; Assumptions'!$K$31*C1892/1000,IF('Model Inputs &amp; Assumptions'!$H$31="CPC",'Model Inputs &amp; Assumptions'!$I$31*'Model Inputs &amp; Assumptions'!$K$31*G1892,0)))</f>
        <v>6953.089758</v>
      </c>
      <c r="J1892" s="50" t="n">
        <f aca="false">H1892*INDEX('Model Inputs &amp; Assumptions'!$D$40:$D$42,MATCH('Model Inputs &amp; Assumptions'!$L$31,'Model Inputs &amp; Assumptions'!$A$40:$A$42,0))*INDEX('Model Inputs &amp; Assumptions'!$H$40:$H$42,MATCH('Model Inputs &amp; Assumptions'!$L$31,'Model Inputs &amp; Assumptions'!$A$40:$A$42,0))</f>
        <v>668994.702958488</v>
      </c>
      <c r="K1892" s="49" t="n">
        <f aca="false">H1892*INDEX('Model Inputs &amp; Assumptions'!$G$40:$G$42,MATCH('Model Inputs &amp; Assumptions'!$L$31,'Model Inputs &amp; Assumptions'!$A$40:$A$42,0))*INDEX('Model Inputs &amp; Assumptions'!$H$40:$H$42,MATCH('Model Inputs &amp; Assumptions'!$L$31,'Model Inputs &amp; Assumptions'!$A$40:$A$42,0))</f>
        <v>14751.3332002347</v>
      </c>
      <c r="L1892" s="51" t="n">
        <f aca="false">IFERROR(K1892/I1892,0)</f>
        <v>2.12155080887058</v>
      </c>
      <c r="M1892" s="49" t="n">
        <f aca="false">IFERROR(I1892/H1892,0)</f>
        <v>74.8320517878696</v>
      </c>
      <c r="N1892" s="52" t="str">
        <f aca="false">'Model Inputs &amp; Assumptions'!$L$31</f>
        <v>PRD-USIQ</v>
      </c>
      <c r="P1892" s="53" t="n">
        <v>1.012467</v>
      </c>
      <c r="Q1892" s="53" t="n">
        <v>0.289358</v>
      </c>
      <c r="R1892" s="53" t="n">
        <v>-0.819005</v>
      </c>
      <c r="S1892" s="53" t="n">
        <v>1.129949</v>
      </c>
    </row>
    <row r="1893" customFormat="false" ht="15" hidden="false" customHeight="false" outlineLevel="0" collapsed="false">
      <c r="A1893" s="43" t="n">
        <v>390</v>
      </c>
      <c r="B1893" s="44" t="str">
        <f aca="false">'Model Inputs &amp; Assumptions'!$B$31</f>
        <v>YouTube — Finfluencer Pre-roll</v>
      </c>
      <c r="C1893" s="45" t="n">
        <f aca="false">ROUND(MAX(0,'Model Inputs &amp; Assumptions'!$S$31*EXP('Model Inputs &amp; Assumptions'!$T$31*P1893-'Model Inputs &amp; Assumptions'!$T$31^2/2)),0)</f>
        <v>734449</v>
      </c>
      <c r="D1893" s="46" t="n">
        <f aca="false">MIN(1,'Model Inputs &amp; Assumptions'!$U$31*EXP('Model Inputs &amp; Assumptions'!$V$31*Q1893-'Model Inputs &amp; Assumptions'!$V$31^2/2))</f>
        <v>0.666041537290596</v>
      </c>
      <c r="E1893" s="45" t="n">
        <f aca="false">ROUND(C1893*D1893,0)</f>
        <v>489174</v>
      </c>
      <c r="F1893" s="47" t="n">
        <f aca="false">MIN(1,'Model Inputs &amp; Assumptions'!$W$31*EXP('Model Inputs &amp; Assumptions'!$X$31*R1893-'Model Inputs &amp; Assumptions'!$X$31^2/2))</f>
        <v>0.00511019023973759</v>
      </c>
      <c r="G1893" s="45" t="n">
        <f aca="false">ROUND(C1893*F1893,0)</f>
        <v>3753</v>
      </c>
      <c r="H1893" s="48" t="n">
        <f aca="false">MAX(0,(C1893*'Model Inputs &amp; Assumptions'!$N$31+E1893*'Model Inputs &amp; Assumptions'!$O$31+G1893*'Model Inputs &amp; Assumptions'!$P$31)*EXP('Model Inputs &amp; Assumptions'!$Q$31*S1893-'Model Inputs &amp; Assumptions'!$Q$31^2/2))</f>
        <v>99.5618020194413</v>
      </c>
      <c r="I1893" s="49" t="n">
        <f aca="false">IF('Model Inputs &amp; Assumptions'!$H$31="Fixed",'Model Inputs &amp; Assumptions'!$I$31*'Model Inputs &amp; Assumptions'!$K$31,IF('Model Inputs &amp; Assumptions'!$H$31="CPM",'Model Inputs &amp; Assumptions'!$I$31*'Model Inputs &amp; Assumptions'!$K$31*C1893/1000,IF('Model Inputs &amp; Assumptions'!$H$31="CPC",'Model Inputs &amp; Assumptions'!$I$31*'Model Inputs &amp; Assumptions'!$K$31*G1893,0)))</f>
        <v>8333.058354</v>
      </c>
      <c r="J1893" s="50" t="n">
        <f aca="false">H1893*INDEX('Model Inputs &amp; Assumptions'!$D$40:$D$42,MATCH('Model Inputs &amp; Assumptions'!$L$31,'Model Inputs &amp; Assumptions'!$A$40:$A$42,0))*INDEX('Model Inputs &amp; Assumptions'!$H$40:$H$42,MATCH('Model Inputs &amp; Assumptions'!$L$31,'Model Inputs &amp; Assumptions'!$A$40:$A$42,0))</f>
        <v>716844.974539977</v>
      </c>
      <c r="K1893" s="49" t="n">
        <f aca="false">H1893*INDEX('Model Inputs &amp; Assumptions'!$G$40:$G$42,MATCH('Model Inputs &amp; Assumptions'!$L$31,'Model Inputs &amp; Assumptions'!$A$40:$A$42,0))*INDEX('Model Inputs &amp; Assumptions'!$H$40:$H$42,MATCH('Model Inputs &amp; Assumptions'!$L$31,'Model Inputs &amp; Assumptions'!$A$40:$A$42,0))</f>
        <v>15806.4316886065</v>
      </c>
      <c r="L1893" s="51" t="n">
        <f aca="false">IFERROR(K1893/I1893,0)</f>
        <v>1.89683439346361</v>
      </c>
      <c r="M1893" s="49" t="n">
        <f aca="false">IFERROR(I1893/H1893,0)</f>
        <v>83.697343609478</v>
      </c>
      <c r="N1893" s="52" t="str">
        <f aca="false">'Model Inputs &amp; Assumptions'!$L$31</f>
        <v>PRD-USIQ</v>
      </c>
      <c r="P1893" s="53" t="n">
        <v>1.659054</v>
      </c>
      <c r="Q1893" s="53" t="n">
        <v>0.935925</v>
      </c>
      <c r="R1893" s="53" t="n">
        <v>0.210828</v>
      </c>
      <c r="S1893" s="53" t="n">
        <v>0.296134</v>
      </c>
    </row>
    <row r="1894" customFormat="false" ht="15" hidden="false" customHeight="false" outlineLevel="0" collapsed="false">
      <c r="A1894" s="43" t="n">
        <v>391</v>
      </c>
      <c r="B1894" s="44" t="str">
        <f aca="false">'Model Inputs &amp; Assumptions'!$B$31</f>
        <v>YouTube — Finfluencer Pre-roll</v>
      </c>
      <c r="C1894" s="45" t="n">
        <f aca="false">ROUND(MAX(0,'Model Inputs &amp; Assumptions'!$S$31*EXP('Model Inputs &amp; Assumptions'!$T$31*P1894-'Model Inputs &amp; Assumptions'!$T$31^2/2)),0)</f>
        <v>297182</v>
      </c>
      <c r="D1894" s="46" t="n">
        <f aca="false">MIN(1,'Model Inputs &amp; Assumptions'!$U$31*EXP('Model Inputs &amp; Assumptions'!$V$31*Q1894-'Model Inputs &amp; Assumptions'!$V$31^2/2))</f>
        <v>0.457131582844062</v>
      </c>
      <c r="E1894" s="45" t="n">
        <f aca="false">ROUND(C1894*D1894,0)</f>
        <v>135851</v>
      </c>
      <c r="F1894" s="47" t="n">
        <f aca="false">MIN(1,'Model Inputs &amp; Assumptions'!$W$31*EXP('Model Inputs &amp; Assumptions'!$X$31*R1894-'Model Inputs &amp; Assumptions'!$X$31^2/2))</f>
        <v>0.00525018100123055</v>
      </c>
      <c r="G1894" s="45" t="n">
        <f aca="false">ROUND(C1894*F1894,0)</f>
        <v>1560</v>
      </c>
      <c r="H1894" s="48" t="n">
        <f aca="false">MAX(0,(C1894*'Model Inputs &amp; Assumptions'!$N$31+E1894*'Model Inputs &amp; Assumptions'!$O$31+G1894*'Model Inputs &amp; Assumptions'!$P$31)*EXP('Model Inputs &amp; Assumptions'!$Q$31*S1894-'Model Inputs &amp; Assumptions'!$Q$31^2/2))</f>
        <v>40.3315789404583</v>
      </c>
      <c r="I1894" s="49" t="n">
        <f aca="false">IF('Model Inputs &amp; Assumptions'!$H$31="Fixed",'Model Inputs &amp; Assumptions'!$I$31*'Model Inputs &amp; Assumptions'!$K$31,IF('Model Inputs &amp; Assumptions'!$H$31="CPM",'Model Inputs &amp; Assumptions'!$I$31*'Model Inputs &amp; Assumptions'!$K$31*C1894/1000,IF('Model Inputs &amp; Assumptions'!$H$31="CPC",'Model Inputs &amp; Assumptions'!$I$31*'Model Inputs &amp; Assumptions'!$K$31*G1894,0)))</f>
        <v>3371.826972</v>
      </c>
      <c r="J1894" s="50" t="n">
        <f aca="false">H1894*INDEX('Model Inputs &amp; Assumptions'!$D$40:$D$42,MATCH('Model Inputs &amp; Assumptions'!$L$31,'Model Inputs &amp; Assumptions'!$A$40:$A$42,0))*INDEX('Model Inputs &amp; Assumptions'!$H$40:$H$42,MATCH('Model Inputs &amp; Assumptions'!$L$31,'Model Inputs &amp; Assumptions'!$A$40:$A$42,0))</f>
        <v>290387.3683713</v>
      </c>
      <c r="K1894" s="49" t="n">
        <f aca="false">H1894*INDEX('Model Inputs &amp; Assumptions'!$G$40:$G$42,MATCH('Model Inputs &amp; Assumptions'!$L$31,'Model Inputs &amp; Assumptions'!$A$40:$A$42,0))*INDEX('Model Inputs &amp; Assumptions'!$H$40:$H$42,MATCH('Model Inputs &amp; Assumptions'!$L$31,'Model Inputs &amp; Assumptions'!$A$40:$A$42,0))</f>
        <v>6403.04147258715</v>
      </c>
      <c r="L1894" s="51" t="n">
        <f aca="false">IFERROR(K1894/I1894,0)</f>
        <v>1.8989828142899</v>
      </c>
      <c r="M1894" s="49" t="n">
        <f aca="false">IFERROR(I1894/H1894,0)</f>
        <v>83.6026523280392</v>
      </c>
      <c r="N1894" s="52" t="str">
        <f aca="false">'Model Inputs &amp; Assumptions'!$L$31</f>
        <v>PRD-USIQ</v>
      </c>
      <c r="P1894" s="53" t="n">
        <v>-1.57229</v>
      </c>
      <c r="Q1894" s="53" t="n">
        <v>-1.752509</v>
      </c>
      <c r="R1894" s="53" t="n">
        <v>0.323436</v>
      </c>
      <c r="S1894" s="53" t="n">
        <v>0.640487</v>
      </c>
    </row>
    <row r="1895" customFormat="false" ht="15" hidden="false" customHeight="false" outlineLevel="0" collapsed="false">
      <c r="A1895" s="43" t="n">
        <v>392</v>
      </c>
      <c r="B1895" s="44" t="str">
        <f aca="false">'Model Inputs &amp; Assumptions'!$B$31</f>
        <v>YouTube — Finfluencer Pre-roll</v>
      </c>
      <c r="C1895" s="45" t="n">
        <f aca="false">ROUND(MAX(0,'Model Inputs &amp; Assumptions'!$S$31*EXP('Model Inputs &amp; Assumptions'!$T$31*P1895-'Model Inputs &amp; Assumptions'!$T$31^2/2)),0)</f>
        <v>426965</v>
      </c>
      <c r="D1895" s="46" t="n">
        <f aca="false">MIN(1,'Model Inputs &amp; Assumptions'!$U$31*EXP('Model Inputs &amp; Assumptions'!$V$31*Q1895-'Model Inputs &amp; Assumptions'!$V$31^2/2))</f>
        <v>0.542577307138368</v>
      </c>
      <c r="E1895" s="45" t="n">
        <f aca="false">ROUND(C1895*D1895,0)</f>
        <v>231662</v>
      </c>
      <c r="F1895" s="47" t="n">
        <f aca="false">MIN(1,'Model Inputs &amp; Assumptions'!$W$31*EXP('Model Inputs &amp; Assumptions'!$X$31*R1895-'Model Inputs &amp; Assumptions'!$X$31^2/2))</f>
        <v>0.0075449325496183</v>
      </c>
      <c r="G1895" s="45" t="n">
        <f aca="false">ROUND(C1895*F1895,0)</f>
        <v>3221</v>
      </c>
      <c r="H1895" s="48" t="n">
        <f aca="false">MAX(0,(C1895*'Model Inputs &amp; Assumptions'!$N$31+E1895*'Model Inputs &amp; Assumptions'!$O$31+G1895*'Model Inputs &amp; Assumptions'!$P$31)*EXP('Model Inputs &amp; Assumptions'!$Q$31*S1895-'Model Inputs &amp; Assumptions'!$Q$31^2/2))</f>
        <v>89.7751029620552</v>
      </c>
      <c r="I1895" s="49" t="n">
        <f aca="false">IF('Model Inputs &amp; Assumptions'!$H$31="Fixed",'Model Inputs &amp; Assumptions'!$I$31*'Model Inputs &amp; Assumptions'!$K$31,IF('Model Inputs &amp; Assumptions'!$H$31="CPM",'Model Inputs &amp; Assumptions'!$I$31*'Model Inputs &amp; Assumptions'!$K$31*C1895/1000,IF('Model Inputs &amp; Assumptions'!$H$31="CPC",'Model Inputs &amp; Assumptions'!$I$31*'Model Inputs &amp; Assumptions'!$K$31*G1895,0)))</f>
        <v>4844.34489</v>
      </c>
      <c r="J1895" s="50" t="n">
        <f aca="false">H1895*INDEX('Model Inputs &amp; Assumptions'!$D$40:$D$42,MATCH('Model Inputs &amp; Assumptions'!$L$31,'Model Inputs &amp; Assumptions'!$A$40:$A$42,0))*INDEX('Model Inputs &amp; Assumptions'!$H$40:$H$42,MATCH('Model Inputs &amp; Assumptions'!$L$31,'Model Inputs &amp; Assumptions'!$A$40:$A$42,0))</f>
        <v>646380.741326797</v>
      </c>
      <c r="K1895" s="49" t="n">
        <f aca="false">H1895*INDEX('Model Inputs &amp; Assumptions'!$G$40:$G$42,MATCH('Model Inputs &amp; Assumptions'!$L$31,'Model Inputs &amp; Assumptions'!$A$40:$A$42,0))*INDEX('Model Inputs &amp; Assumptions'!$H$40:$H$42,MATCH('Model Inputs &amp; Assumptions'!$L$31,'Model Inputs &amp; Assumptions'!$A$40:$A$42,0))</f>
        <v>14252.6953462559</v>
      </c>
      <c r="L1895" s="51" t="n">
        <f aca="false">IFERROR(K1895/I1895,0)</f>
        <v>2.94213060174084</v>
      </c>
      <c r="M1895" s="49" t="n">
        <f aca="false">IFERROR(I1895/H1895,0)</f>
        <v>53.9608948379323</v>
      </c>
      <c r="N1895" s="52" t="str">
        <f aca="false">'Model Inputs &amp; Assumptions'!$L$31</f>
        <v>PRD-USIQ</v>
      </c>
      <c r="P1895" s="53" t="n">
        <v>-0.278155</v>
      </c>
      <c r="Q1895" s="53" t="n">
        <v>-0.528514</v>
      </c>
      <c r="R1895" s="53" t="n">
        <v>1.834326</v>
      </c>
      <c r="S1895" s="53" t="n">
        <v>1.017534</v>
      </c>
    </row>
    <row r="1896" customFormat="false" ht="15" hidden="false" customHeight="false" outlineLevel="0" collapsed="false">
      <c r="A1896" s="43" t="n">
        <v>393</v>
      </c>
      <c r="B1896" s="44" t="str">
        <f aca="false">'Model Inputs &amp; Assumptions'!$B$31</f>
        <v>YouTube — Finfluencer Pre-roll</v>
      </c>
      <c r="C1896" s="45" t="n">
        <f aca="false">ROUND(MAX(0,'Model Inputs &amp; Assumptions'!$S$31*EXP('Model Inputs &amp; Assumptions'!$T$31*P1896-'Model Inputs &amp; Assumptions'!$T$31^2/2)),0)</f>
        <v>385194</v>
      </c>
      <c r="D1896" s="46" t="n">
        <f aca="false">MIN(1,'Model Inputs &amp; Assumptions'!$U$31*EXP('Model Inputs &amp; Assumptions'!$V$31*Q1896-'Model Inputs &amp; Assumptions'!$V$31^2/2))</f>
        <v>0.53905403529739</v>
      </c>
      <c r="E1896" s="45" t="n">
        <f aca="false">ROUND(C1896*D1896,0)</f>
        <v>207640</v>
      </c>
      <c r="F1896" s="47" t="n">
        <f aca="false">MIN(1,'Model Inputs &amp; Assumptions'!$W$31*EXP('Model Inputs &amp; Assumptions'!$X$31*R1896-'Model Inputs &amp; Assumptions'!$X$31^2/2))</f>
        <v>0.00432763426002597</v>
      </c>
      <c r="G1896" s="45" t="n">
        <f aca="false">ROUND(C1896*F1896,0)</f>
        <v>1667</v>
      </c>
      <c r="H1896" s="48" t="n">
        <f aca="false">MAX(0,(C1896*'Model Inputs &amp; Assumptions'!$N$31+E1896*'Model Inputs &amp; Assumptions'!$O$31+G1896*'Model Inputs &amp; Assumptions'!$P$31)*EXP('Model Inputs &amp; Assumptions'!$Q$31*S1896-'Model Inputs &amp; Assumptions'!$Q$31^2/2))</f>
        <v>38.9690021932521</v>
      </c>
      <c r="I1896" s="49" t="n">
        <f aca="false">IF('Model Inputs &amp; Assumptions'!$H$31="Fixed",'Model Inputs &amp; Assumptions'!$I$31*'Model Inputs &amp; Assumptions'!$K$31,IF('Model Inputs &amp; Assumptions'!$H$31="CPM",'Model Inputs &amp; Assumptions'!$I$31*'Model Inputs &amp; Assumptions'!$K$31*C1896/1000,IF('Model Inputs &amp; Assumptions'!$H$31="CPC",'Model Inputs &amp; Assumptions'!$I$31*'Model Inputs &amp; Assumptions'!$K$31*G1896,0)))</f>
        <v>4370.411124</v>
      </c>
      <c r="J1896" s="50" t="n">
        <f aca="false">H1896*INDEX('Model Inputs &amp; Assumptions'!$D$40:$D$42,MATCH('Model Inputs &amp; Assumptions'!$L$31,'Model Inputs &amp; Assumptions'!$A$40:$A$42,0))*INDEX('Model Inputs &amp; Assumptions'!$H$40:$H$42,MATCH('Model Inputs &amp; Assumptions'!$L$31,'Model Inputs &amp; Assumptions'!$A$40:$A$42,0))</f>
        <v>280576.815791415</v>
      </c>
      <c r="K1896" s="49" t="n">
        <f aca="false">H1896*INDEX('Model Inputs &amp; Assumptions'!$G$40:$G$42,MATCH('Model Inputs &amp; Assumptions'!$L$31,'Model Inputs &amp; Assumptions'!$A$40:$A$42,0))*INDEX('Model Inputs &amp; Assumptions'!$H$40:$H$42,MATCH('Model Inputs &amp; Assumptions'!$L$31,'Model Inputs &amp; Assumptions'!$A$40:$A$42,0))</f>
        <v>6186.71878820071</v>
      </c>
      <c r="L1896" s="51" t="n">
        <f aca="false">IFERROR(K1896/I1896,0)</f>
        <v>1.4155919460818</v>
      </c>
      <c r="M1896" s="49" t="n">
        <f aca="false">IFERROR(I1896/H1896,0)</f>
        <v>112.150963022522</v>
      </c>
      <c r="N1896" s="52" t="str">
        <f aca="false">'Model Inputs &amp; Assumptions'!$L$31</f>
        <v>PRD-USIQ</v>
      </c>
      <c r="P1896" s="53" t="n">
        <v>-0.645852</v>
      </c>
      <c r="Q1896" s="53" t="n">
        <v>-0.575048</v>
      </c>
      <c r="R1896" s="53" t="n">
        <v>-0.481737</v>
      </c>
      <c r="S1896" s="53" t="n">
        <v>-0.01278</v>
      </c>
    </row>
    <row r="1897" customFormat="false" ht="15" hidden="false" customHeight="false" outlineLevel="0" collapsed="false">
      <c r="A1897" s="43" t="n">
        <v>394</v>
      </c>
      <c r="B1897" s="44" t="str">
        <f aca="false">'Model Inputs &amp; Assumptions'!$B$31</f>
        <v>YouTube — Finfluencer Pre-roll</v>
      </c>
      <c r="C1897" s="45" t="n">
        <f aca="false">ROUND(MAX(0,'Model Inputs &amp; Assumptions'!$S$31*EXP('Model Inputs &amp; Assumptions'!$T$31*P1897-'Model Inputs &amp; Assumptions'!$T$31^2/2)),0)</f>
        <v>329879</v>
      </c>
      <c r="D1897" s="46" t="n">
        <f aca="false">MIN(1,'Model Inputs &amp; Assumptions'!$U$31*EXP('Model Inputs &amp; Assumptions'!$V$31*Q1897-'Model Inputs &amp; Assumptions'!$V$31^2/2))</f>
        <v>0.552373007834907</v>
      </c>
      <c r="E1897" s="45" t="n">
        <f aca="false">ROUND(C1897*D1897,0)</f>
        <v>182216</v>
      </c>
      <c r="F1897" s="47" t="n">
        <f aca="false">MIN(1,'Model Inputs &amp; Assumptions'!$W$31*EXP('Model Inputs &amp; Assumptions'!$X$31*R1897-'Model Inputs &amp; Assumptions'!$X$31^2/2))</f>
        <v>0.00386469541287793</v>
      </c>
      <c r="G1897" s="45" t="n">
        <f aca="false">ROUND(C1897*F1897,0)</f>
        <v>1275</v>
      </c>
      <c r="H1897" s="48" t="n">
        <f aca="false">MAX(0,(C1897*'Model Inputs &amp; Assumptions'!$N$31+E1897*'Model Inputs &amp; Assumptions'!$O$31+G1897*'Model Inputs &amp; Assumptions'!$P$31)*EXP('Model Inputs &amp; Assumptions'!$Q$31*S1897-'Model Inputs &amp; Assumptions'!$Q$31^2/2))</f>
        <v>35.036288577139</v>
      </c>
      <c r="I1897" s="49" t="n">
        <f aca="false">IF('Model Inputs &amp; Assumptions'!$H$31="Fixed",'Model Inputs &amp; Assumptions'!$I$31*'Model Inputs &amp; Assumptions'!$K$31,IF('Model Inputs &amp; Assumptions'!$H$31="CPM",'Model Inputs &amp; Assumptions'!$I$31*'Model Inputs &amp; Assumptions'!$K$31*C1897/1000,IF('Model Inputs &amp; Assumptions'!$H$31="CPC",'Model Inputs &amp; Assumptions'!$I$31*'Model Inputs &amp; Assumptions'!$K$31*G1897,0)))</f>
        <v>3742.807134</v>
      </c>
      <c r="J1897" s="50" t="n">
        <f aca="false">H1897*INDEX('Model Inputs &amp; Assumptions'!$D$40:$D$42,MATCH('Model Inputs &amp; Assumptions'!$L$31,'Model Inputs &amp; Assumptions'!$A$40:$A$42,0))*INDEX('Model Inputs &amp; Assumptions'!$H$40:$H$42,MATCH('Model Inputs &amp; Assumptions'!$L$31,'Model Inputs &amp; Assumptions'!$A$40:$A$42,0))</f>
        <v>252261.277755401</v>
      </c>
      <c r="K1897" s="49" t="n">
        <f aca="false">H1897*INDEX('Model Inputs &amp; Assumptions'!$G$40:$G$42,MATCH('Model Inputs &amp; Assumptions'!$L$31,'Model Inputs &amp; Assumptions'!$A$40:$A$42,0))*INDEX('Model Inputs &amp; Assumptions'!$H$40:$H$42,MATCH('Model Inputs &amp; Assumptions'!$L$31,'Model Inputs &amp; Assumptions'!$A$40:$A$42,0))</f>
        <v>5562.36117450659</v>
      </c>
      <c r="L1897" s="51" t="n">
        <f aca="false">IFERROR(K1897/I1897,0)</f>
        <v>1.48614688798084</v>
      </c>
      <c r="M1897" s="49" t="n">
        <f aca="false">IFERROR(I1897/H1897,0)</f>
        <v>106.826587118653</v>
      </c>
      <c r="N1897" s="52" t="str">
        <f aca="false">'Model Inputs &amp; Assumptions'!$L$31</f>
        <v>PRD-USIQ</v>
      </c>
      <c r="P1897" s="53" t="n">
        <v>-1.199503</v>
      </c>
      <c r="Q1897" s="53" t="n">
        <v>-0.400707</v>
      </c>
      <c r="R1897" s="53" t="n">
        <v>-0.953146</v>
      </c>
      <c r="S1897" s="53" t="n">
        <v>0.285911</v>
      </c>
    </row>
    <row r="1898" customFormat="false" ht="15" hidden="false" customHeight="false" outlineLevel="0" collapsed="false">
      <c r="A1898" s="43" t="n">
        <v>395</v>
      </c>
      <c r="B1898" s="44" t="str">
        <f aca="false">'Model Inputs &amp; Assumptions'!$B$31</f>
        <v>YouTube — Finfluencer Pre-roll</v>
      </c>
      <c r="C1898" s="45" t="n">
        <f aca="false">ROUND(MAX(0,'Model Inputs &amp; Assumptions'!$S$31*EXP('Model Inputs &amp; Assumptions'!$T$31*P1898-'Model Inputs &amp; Assumptions'!$T$31^2/2)),0)</f>
        <v>512146</v>
      </c>
      <c r="D1898" s="46" t="n">
        <f aca="false">MIN(1,'Model Inputs &amp; Assumptions'!$U$31*EXP('Model Inputs &amp; Assumptions'!$V$31*Q1898-'Model Inputs &amp; Assumptions'!$V$31^2/2))</f>
        <v>0.66422907131331</v>
      </c>
      <c r="E1898" s="45" t="n">
        <f aca="false">ROUND(C1898*D1898,0)</f>
        <v>340182</v>
      </c>
      <c r="F1898" s="47" t="n">
        <f aca="false">MIN(1,'Model Inputs &amp; Assumptions'!$W$31*EXP('Model Inputs &amp; Assumptions'!$X$31*R1898-'Model Inputs &amp; Assumptions'!$X$31^2/2))</f>
        <v>0.00561420409784153</v>
      </c>
      <c r="G1898" s="45" t="n">
        <f aca="false">ROUND(C1898*F1898,0)</f>
        <v>2875</v>
      </c>
      <c r="H1898" s="48" t="n">
        <f aca="false">MAX(0,(C1898*'Model Inputs &amp; Assumptions'!$N$31+E1898*'Model Inputs &amp; Assumptions'!$O$31+G1898*'Model Inputs &amp; Assumptions'!$P$31)*EXP('Model Inputs &amp; Assumptions'!$Q$31*S1898-'Model Inputs &amp; Assumptions'!$Q$31^2/2))</f>
        <v>53.7200376061613</v>
      </c>
      <c r="I1898" s="49" t="n">
        <f aca="false">IF('Model Inputs &amp; Assumptions'!$H$31="Fixed",'Model Inputs &amp; Assumptions'!$I$31*'Model Inputs &amp; Assumptions'!$K$31,IF('Model Inputs &amp; Assumptions'!$H$31="CPM",'Model Inputs &amp; Assumptions'!$I$31*'Model Inputs &amp; Assumptions'!$K$31*C1898/1000,IF('Model Inputs &amp; Assumptions'!$H$31="CPC",'Model Inputs &amp; Assumptions'!$I$31*'Model Inputs &amp; Assumptions'!$K$31*G1898,0)))</f>
        <v>5810.808516</v>
      </c>
      <c r="J1898" s="50" t="n">
        <f aca="false">H1898*INDEX('Model Inputs &amp; Assumptions'!$D$40:$D$42,MATCH('Model Inputs &amp; Assumptions'!$L$31,'Model Inputs &amp; Assumptions'!$A$40:$A$42,0))*INDEX('Model Inputs &amp; Assumptions'!$H$40:$H$42,MATCH('Model Inputs &amp; Assumptions'!$L$31,'Model Inputs &amp; Assumptions'!$A$40:$A$42,0))</f>
        <v>386784.270764361</v>
      </c>
      <c r="K1898" s="49" t="n">
        <f aca="false">H1898*INDEX('Model Inputs &amp; Assumptions'!$G$40:$G$42,MATCH('Model Inputs &amp; Assumptions'!$L$31,'Model Inputs &amp; Assumptions'!$A$40:$A$42,0))*INDEX('Model Inputs &amp; Assumptions'!$H$40:$H$42,MATCH('Model Inputs &amp; Assumptions'!$L$31,'Model Inputs &amp; Assumptions'!$A$40:$A$42,0))</f>
        <v>8528.59317035416</v>
      </c>
      <c r="L1898" s="51" t="n">
        <f aca="false">IFERROR(K1898/I1898,0)</f>
        <v>1.46771196243531</v>
      </c>
      <c r="M1898" s="49" t="n">
        <f aca="false">IFERROR(I1898/H1898,0)</f>
        <v>108.168362773699</v>
      </c>
      <c r="N1898" s="52" t="str">
        <f aca="false">'Model Inputs &amp; Assumptions'!$L$31</f>
        <v>PRD-USIQ</v>
      </c>
      <c r="P1898" s="53" t="n">
        <v>0.37151</v>
      </c>
      <c r="Q1898" s="53" t="n">
        <v>0.916461</v>
      </c>
      <c r="R1898" s="53" t="n">
        <v>0.602758</v>
      </c>
      <c r="S1898" s="53" t="n">
        <v>-0.595138</v>
      </c>
    </row>
    <row r="1899" customFormat="false" ht="15" hidden="false" customHeight="false" outlineLevel="0" collapsed="false">
      <c r="A1899" s="43" t="n">
        <v>396</v>
      </c>
      <c r="B1899" s="44" t="str">
        <f aca="false">'Model Inputs &amp; Assumptions'!$B$31</f>
        <v>YouTube — Finfluencer Pre-roll</v>
      </c>
      <c r="C1899" s="45" t="n">
        <f aca="false">ROUND(MAX(0,'Model Inputs &amp; Assumptions'!$S$31*EXP('Model Inputs &amp; Assumptions'!$T$31*P1899-'Model Inputs &amp; Assumptions'!$T$31^2/2)),0)</f>
        <v>727256</v>
      </c>
      <c r="D1899" s="46" t="n">
        <f aca="false">MIN(1,'Model Inputs &amp; Assumptions'!$U$31*EXP('Model Inputs &amp; Assumptions'!$V$31*Q1899-'Model Inputs &amp; Assumptions'!$V$31^2/2))</f>
        <v>0.588727681834356</v>
      </c>
      <c r="E1899" s="45" t="n">
        <f aca="false">ROUND(C1899*D1899,0)</f>
        <v>428156</v>
      </c>
      <c r="F1899" s="47" t="n">
        <f aca="false">MIN(1,'Model Inputs &amp; Assumptions'!$W$31*EXP('Model Inputs &amp; Assumptions'!$X$31*R1899-'Model Inputs &amp; Assumptions'!$X$31^2/2))</f>
        <v>0.00511504313513294</v>
      </c>
      <c r="G1899" s="45" t="n">
        <f aca="false">ROUND(C1899*F1899,0)</f>
        <v>3720</v>
      </c>
      <c r="H1899" s="48" t="n">
        <f aca="false">MAX(0,(C1899*'Model Inputs &amp; Assumptions'!$N$31+E1899*'Model Inputs &amp; Assumptions'!$O$31+G1899*'Model Inputs &amp; Assumptions'!$P$31)*EXP('Model Inputs &amp; Assumptions'!$Q$31*S1899-'Model Inputs &amp; Assumptions'!$Q$31^2/2))</f>
        <v>103.356529380774</v>
      </c>
      <c r="I1899" s="49" t="n">
        <f aca="false">IF('Model Inputs &amp; Assumptions'!$H$31="Fixed",'Model Inputs &amp; Assumptions'!$I$31*'Model Inputs &amp; Assumptions'!$K$31,IF('Model Inputs &amp; Assumptions'!$H$31="CPM",'Model Inputs &amp; Assumptions'!$I$31*'Model Inputs &amp; Assumptions'!$K$31*C1899/1000,IF('Model Inputs &amp; Assumptions'!$H$31="CPC",'Model Inputs &amp; Assumptions'!$I$31*'Model Inputs &amp; Assumptions'!$K$31*G1899,0)))</f>
        <v>8251.446576</v>
      </c>
      <c r="J1899" s="50" t="n">
        <f aca="false">H1899*INDEX('Model Inputs &amp; Assumptions'!$D$40:$D$42,MATCH('Model Inputs &amp; Assumptions'!$L$31,'Model Inputs &amp; Assumptions'!$A$40:$A$42,0))*INDEX('Model Inputs &amp; Assumptions'!$H$40:$H$42,MATCH('Model Inputs &amp; Assumptions'!$L$31,'Model Inputs &amp; Assumptions'!$A$40:$A$42,0))</f>
        <v>744167.011541574</v>
      </c>
      <c r="K1899" s="49" t="n">
        <f aca="false">H1899*INDEX('Model Inputs &amp; Assumptions'!$G$40:$G$42,MATCH('Model Inputs &amp; Assumptions'!$L$31,'Model Inputs &amp; Assumptions'!$A$40:$A$42,0))*INDEX('Model Inputs &amp; Assumptions'!$H$40:$H$42,MATCH('Model Inputs &amp; Assumptions'!$L$31,'Model Inputs &amp; Assumptions'!$A$40:$A$42,0))</f>
        <v>16408.8826044917</v>
      </c>
      <c r="L1899" s="51" t="n">
        <f aca="false">IFERROR(K1899/I1899,0)</f>
        <v>1.98860677983643</v>
      </c>
      <c r="M1899" s="49" t="n">
        <f aca="false">IFERROR(I1899/H1899,0)</f>
        <v>79.8347876562397</v>
      </c>
      <c r="N1899" s="52" t="str">
        <f aca="false">'Model Inputs &amp; Assumptions'!$L$31</f>
        <v>PRD-USIQ</v>
      </c>
      <c r="P1899" s="53" t="n">
        <v>1.623903</v>
      </c>
      <c r="Q1899" s="53" t="n">
        <v>0.05458</v>
      </c>
      <c r="R1899" s="53" t="n">
        <v>0.214783</v>
      </c>
      <c r="S1899" s="53" t="n">
        <v>0.568691</v>
      </c>
    </row>
    <row r="1900" customFormat="false" ht="15" hidden="false" customHeight="false" outlineLevel="0" collapsed="false">
      <c r="A1900" s="43" t="n">
        <v>397</v>
      </c>
      <c r="B1900" s="44" t="str">
        <f aca="false">'Model Inputs &amp; Assumptions'!$B$31</f>
        <v>YouTube — Finfluencer Pre-roll</v>
      </c>
      <c r="C1900" s="45" t="n">
        <f aca="false">ROUND(MAX(0,'Model Inputs &amp; Assumptions'!$S$31*EXP('Model Inputs &amp; Assumptions'!$T$31*P1900-'Model Inputs &amp; Assumptions'!$T$31^2/2)),0)</f>
        <v>320496</v>
      </c>
      <c r="D1900" s="46" t="n">
        <f aca="false">MIN(1,'Model Inputs &amp; Assumptions'!$U$31*EXP('Model Inputs &amp; Assumptions'!$V$31*Q1900-'Model Inputs &amp; Assumptions'!$V$31^2/2))</f>
        <v>0.471969175306878</v>
      </c>
      <c r="E1900" s="45" t="n">
        <f aca="false">ROUND(C1900*D1900,0)</f>
        <v>151264</v>
      </c>
      <c r="F1900" s="47" t="n">
        <f aca="false">MIN(1,'Model Inputs &amp; Assumptions'!$W$31*EXP('Model Inputs &amp; Assumptions'!$X$31*R1900-'Model Inputs &amp; Assumptions'!$X$31^2/2))</f>
        <v>0.00393725898623826</v>
      </c>
      <c r="G1900" s="45" t="n">
        <f aca="false">ROUND(C1900*F1900,0)</f>
        <v>1262</v>
      </c>
      <c r="H1900" s="48" t="n">
        <f aca="false">MAX(0,(C1900*'Model Inputs &amp; Assumptions'!$N$31+E1900*'Model Inputs &amp; Assumptions'!$O$31+G1900*'Model Inputs &amp; Assumptions'!$P$31)*EXP('Model Inputs &amp; Assumptions'!$Q$31*S1900-'Model Inputs &amp; Assumptions'!$Q$31^2/2))</f>
        <v>32.6804232714733</v>
      </c>
      <c r="I1900" s="49" t="n">
        <f aca="false">IF('Model Inputs &amp; Assumptions'!$H$31="Fixed",'Model Inputs &amp; Assumptions'!$I$31*'Model Inputs &amp; Assumptions'!$K$31,IF('Model Inputs &amp; Assumptions'!$H$31="CPM",'Model Inputs &amp; Assumptions'!$I$31*'Model Inputs &amp; Assumptions'!$K$31*C1900/1000,IF('Model Inputs &amp; Assumptions'!$H$31="CPC",'Model Inputs &amp; Assumptions'!$I$31*'Model Inputs &amp; Assumptions'!$K$31*G1900,0)))</f>
        <v>3636.347616</v>
      </c>
      <c r="J1900" s="50" t="n">
        <f aca="false">H1900*INDEX('Model Inputs &amp; Assumptions'!$D$40:$D$42,MATCH('Model Inputs &amp; Assumptions'!$L$31,'Model Inputs &amp; Assumptions'!$A$40:$A$42,0))*INDEX('Model Inputs &amp; Assumptions'!$H$40:$H$42,MATCH('Model Inputs &amp; Assumptions'!$L$31,'Model Inputs &amp; Assumptions'!$A$40:$A$42,0))</f>
        <v>235299.047554608</v>
      </c>
      <c r="K1900" s="49" t="n">
        <f aca="false">H1900*INDEX('Model Inputs &amp; Assumptions'!$G$40:$G$42,MATCH('Model Inputs &amp; Assumptions'!$L$31,'Model Inputs &amp; Assumptions'!$A$40:$A$42,0))*INDEX('Model Inputs &amp; Assumptions'!$H$40:$H$42,MATCH('Model Inputs &amp; Assumptions'!$L$31,'Model Inputs &amp; Assumptions'!$A$40:$A$42,0))</f>
        <v>5188.34399857911</v>
      </c>
      <c r="L1900" s="51" t="n">
        <f aca="false">IFERROR(K1900/I1900,0)</f>
        <v>1.42680088552324</v>
      </c>
      <c r="M1900" s="49" t="n">
        <f aca="false">IFERROR(I1900/H1900,0)</f>
        <v>111.26990571062</v>
      </c>
      <c r="N1900" s="52" t="str">
        <f aca="false">'Model Inputs &amp; Assumptions'!$L$31</f>
        <v>PRD-USIQ</v>
      </c>
      <c r="P1900" s="53" t="n">
        <v>-1.302559</v>
      </c>
      <c r="Q1900" s="53" t="n">
        <v>-1.524349</v>
      </c>
      <c r="R1900" s="53" t="n">
        <v>-0.875638</v>
      </c>
      <c r="S1900" s="53" t="n">
        <v>0.322959</v>
      </c>
    </row>
    <row r="1901" customFormat="false" ht="15" hidden="false" customHeight="false" outlineLevel="0" collapsed="false">
      <c r="A1901" s="43" t="n">
        <v>398</v>
      </c>
      <c r="B1901" s="44" t="str">
        <f aca="false">'Model Inputs &amp; Assumptions'!$B$31</f>
        <v>YouTube — Finfluencer Pre-roll</v>
      </c>
      <c r="C1901" s="45" t="n">
        <f aca="false">ROUND(MAX(0,'Model Inputs &amp; Assumptions'!$S$31*EXP('Model Inputs &amp; Assumptions'!$T$31*P1901-'Model Inputs &amp; Assumptions'!$T$31^2/2)),0)</f>
        <v>513752</v>
      </c>
      <c r="D1901" s="46" t="n">
        <f aca="false">MIN(1,'Model Inputs &amp; Assumptions'!$U$31*EXP('Model Inputs &amp; Assumptions'!$V$31*Q1901-'Model Inputs &amp; Assumptions'!$V$31^2/2))</f>
        <v>0.767273496163353</v>
      </c>
      <c r="E1901" s="45" t="n">
        <f aca="false">ROUND(C1901*D1901,0)</f>
        <v>394188</v>
      </c>
      <c r="F1901" s="47" t="n">
        <f aca="false">MIN(1,'Model Inputs &amp; Assumptions'!$W$31*EXP('Model Inputs &amp; Assumptions'!$X$31*R1901-'Model Inputs &amp; Assumptions'!$X$31^2/2))</f>
        <v>0.0050836601922561</v>
      </c>
      <c r="G1901" s="45" t="n">
        <f aca="false">ROUND(C1901*F1901,0)</f>
        <v>2612</v>
      </c>
      <c r="H1901" s="48" t="n">
        <f aca="false">MAX(0,(C1901*'Model Inputs &amp; Assumptions'!$N$31+E1901*'Model Inputs &amp; Assumptions'!$O$31+G1901*'Model Inputs &amp; Assumptions'!$P$31)*EXP('Model Inputs &amp; Assumptions'!$Q$31*S1901-'Model Inputs &amp; Assumptions'!$Q$31^2/2))</f>
        <v>43.9288434321361</v>
      </c>
      <c r="I1901" s="49" t="n">
        <f aca="false">IF('Model Inputs &amp; Assumptions'!$H$31="Fixed",'Model Inputs &amp; Assumptions'!$I$31*'Model Inputs &amp; Assumptions'!$K$31,IF('Model Inputs &amp; Assumptions'!$H$31="CPM",'Model Inputs &amp; Assumptions'!$I$31*'Model Inputs &amp; Assumptions'!$K$31*C1901/1000,IF('Model Inputs &amp; Assumptions'!$H$31="CPC",'Model Inputs &amp; Assumptions'!$I$31*'Model Inputs &amp; Assumptions'!$K$31*G1901,0)))</f>
        <v>5829.030192</v>
      </c>
      <c r="J1901" s="50" t="n">
        <f aca="false">H1901*INDEX('Model Inputs &amp; Assumptions'!$D$40:$D$42,MATCH('Model Inputs &amp; Assumptions'!$L$31,'Model Inputs &amp; Assumptions'!$A$40:$A$42,0))*INDEX('Model Inputs &amp; Assumptions'!$H$40:$H$42,MATCH('Model Inputs &amp; Assumptions'!$L$31,'Model Inputs &amp; Assumptions'!$A$40:$A$42,0))</f>
        <v>316287.67271138</v>
      </c>
      <c r="K1901" s="49" t="n">
        <f aca="false">H1901*INDEX('Model Inputs &amp; Assumptions'!$G$40:$G$42,MATCH('Model Inputs &amp; Assumptions'!$L$31,'Model Inputs &amp; Assumptions'!$A$40:$A$42,0))*INDEX('Model Inputs &amp; Assumptions'!$H$40:$H$42,MATCH('Model Inputs &amp; Assumptions'!$L$31,'Model Inputs &amp; Assumptions'!$A$40:$A$42,0))</f>
        <v>6974.14318328593</v>
      </c>
      <c r="L1901" s="51" t="n">
        <f aca="false">IFERROR(K1901/I1901,0)</f>
        <v>1.19645000172714</v>
      </c>
      <c r="M1901" s="49" t="n">
        <f aca="false">IFERROR(I1901/H1901,0)</f>
        <v>132.692548598623</v>
      </c>
      <c r="N1901" s="52" t="str">
        <f aca="false">'Model Inputs &amp; Assumptions'!$L$31</f>
        <v>PRD-USIQ</v>
      </c>
      <c r="P1901" s="53" t="n">
        <v>0.382694</v>
      </c>
      <c r="Q1901" s="53" t="n">
        <v>1.946577</v>
      </c>
      <c r="R1901" s="53" t="n">
        <v>0.18914</v>
      </c>
      <c r="S1901" s="53" t="n">
        <v>-1.185249</v>
      </c>
    </row>
    <row r="1902" customFormat="false" ht="15" hidden="false" customHeight="false" outlineLevel="0" collapsed="false">
      <c r="A1902" s="43" t="n">
        <v>399</v>
      </c>
      <c r="B1902" s="44" t="str">
        <f aca="false">'Model Inputs &amp; Assumptions'!$B$31</f>
        <v>YouTube — Finfluencer Pre-roll</v>
      </c>
      <c r="C1902" s="45" t="n">
        <f aca="false">ROUND(MAX(0,'Model Inputs &amp; Assumptions'!$S$31*EXP('Model Inputs &amp; Assumptions'!$T$31*P1902-'Model Inputs &amp; Assumptions'!$T$31^2/2)),0)</f>
        <v>509042</v>
      </c>
      <c r="D1902" s="46" t="n">
        <f aca="false">MIN(1,'Model Inputs &amp; Assumptions'!$U$31*EXP('Model Inputs &amp; Assumptions'!$V$31*Q1902-'Model Inputs &amp; Assumptions'!$V$31^2/2))</f>
        <v>0.457464431756961</v>
      </c>
      <c r="E1902" s="45" t="n">
        <f aca="false">ROUND(C1902*D1902,0)</f>
        <v>232869</v>
      </c>
      <c r="F1902" s="47" t="n">
        <f aca="false">MIN(1,'Model Inputs &amp; Assumptions'!$W$31*EXP('Model Inputs &amp; Assumptions'!$X$31*R1902-'Model Inputs &amp; Assumptions'!$X$31^2/2))</f>
        <v>0.00529666063140226</v>
      </c>
      <c r="G1902" s="45" t="n">
        <f aca="false">ROUND(C1902*F1902,0)</f>
        <v>2696</v>
      </c>
      <c r="H1902" s="48" t="n">
        <f aca="false">MAX(0,(C1902*'Model Inputs &amp; Assumptions'!$N$31+E1902*'Model Inputs &amp; Assumptions'!$O$31+G1902*'Model Inputs &amp; Assumptions'!$P$31)*EXP('Model Inputs &amp; Assumptions'!$Q$31*S1902-'Model Inputs &amp; Assumptions'!$Q$31^2/2))</f>
        <v>86.3477247714764</v>
      </c>
      <c r="I1902" s="49" t="n">
        <f aca="false">IF('Model Inputs &amp; Assumptions'!$H$31="Fixed",'Model Inputs &amp; Assumptions'!$I$31*'Model Inputs &amp; Assumptions'!$K$31,IF('Model Inputs &amp; Assumptions'!$H$31="CPM",'Model Inputs &amp; Assumptions'!$I$31*'Model Inputs &amp; Assumptions'!$K$31*C1902/1000,IF('Model Inputs &amp; Assumptions'!$H$31="CPC",'Model Inputs &amp; Assumptions'!$I$31*'Model Inputs &amp; Assumptions'!$K$31*G1902,0)))</f>
        <v>5775.590532</v>
      </c>
      <c r="J1902" s="50" t="n">
        <f aca="false">H1902*INDEX('Model Inputs &amp; Assumptions'!$D$40:$D$42,MATCH('Model Inputs &amp; Assumptions'!$L$31,'Model Inputs &amp; Assumptions'!$A$40:$A$42,0))*INDEX('Model Inputs &amp; Assumptions'!$H$40:$H$42,MATCH('Model Inputs &amp; Assumptions'!$L$31,'Model Inputs &amp; Assumptions'!$A$40:$A$42,0))</f>
        <v>621703.61835463</v>
      </c>
      <c r="K1902" s="49" t="n">
        <f aca="false">H1902*INDEX('Model Inputs &amp; Assumptions'!$G$40:$G$42,MATCH('Model Inputs &amp; Assumptions'!$L$31,'Model Inputs &amp; Assumptions'!$A$40:$A$42,0))*INDEX('Model Inputs &amp; Assumptions'!$H$40:$H$42,MATCH('Model Inputs &amp; Assumptions'!$L$31,'Model Inputs &amp; Assumptions'!$A$40:$A$42,0))</f>
        <v>13708.5647847196</v>
      </c>
      <c r="L1902" s="51" t="n">
        <f aca="false">IFERROR(K1902/I1902,0)</f>
        <v>2.37353474225129</v>
      </c>
      <c r="M1902" s="49" t="n">
        <f aca="false">IFERROR(I1902/H1902,0)</f>
        <v>66.8875821254746</v>
      </c>
      <c r="N1902" s="52" t="str">
        <f aca="false">'Model Inputs &amp; Assumptions'!$L$31</f>
        <v>PRD-USIQ</v>
      </c>
      <c r="P1902" s="53" t="n">
        <v>0.349805</v>
      </c>
      <c r="Q1902" s="53" t="n">
        <v>-1.74731</v>
      </c>
      <c r="R1902" s="53" t="n">
        <v>0.360161</v>
      </c>
      <c r="S1902" s="53" t="n">
        <v>1.259764</v>
      </c>
    </row>
    <row r="1903" customFormat="false" ht="15" hidden="false" customHeight="false" outlineLevel="0" collapsed="false">
      <c r="A1903" s="43" t="n">
        <v>400</v>
      </c>
      <c r="B1903" s="44" t="str">
        <f aca="false">'Model Inputs &amp; Assumptions'!$B$31</f>
        <v>YouTube — Finfluencer Pre-roll</v>
      </c>
      <c r="C1903" s="45" t="n">
        <f aca="false">ROUND(MAX(0,'Model Inputs &amp; Assumptions'!$S$31*EXP('Model Inputs &amp; Assumptions'!$T$31*P1903-'Model Inputs &amp; Assumptions'!$T$31^2/2)),0)</f>
        <v>380180</v>
      </c>
      <c r="D1903" s="46" t="n">
        <f aca="false">MIN(1,'Model Inputs &amp; Assumptions'!$U$31*EXP('Model Inputs &amp; Assumptions'!$V$31*Q1903-'Model Inputs &amp; Assumptions'!$V$31^2/2))</f>
        <v>0.620150454345887</v>
      </c>
      <c r="E1903" s="45" t="n">
        <f aca="false">ROUND(C1903*D1903,0)</f>
        <v>235769</v>
      </c>
      <c r="F1903" s="47" t="n">
        <f aca="false">MIN(1,'Model Inputs &amp; Assumptions'!$W$31*EXP('Model Inputs &amp; Assumptions'!$X$31*R1903-'Model Inputs &amp; Assumptions'!$X$31^2/2))</f>
        <v>0.00477379426659949</v>
      </c>
      <c r="G1903" s="45" t="n">
        <f aca="false">ROUND(C1903*F1903,0)</f>
        <v>1815</v>
      </c>
      <c r="H1903" s="48" t="n">
        <f aca="false">MAX(0,(C1903*'Model Inputs &amp; Assumptions'!$N$31+E1903*'Model Inputs &amp; Assumptions'!$O$31+G1903*'Model Inputs &amp; Assumptions'!$P$31)*EXP('Model Inputs &amp; Assumptions'!$Q$31*S1903-'Model Inputs &amp; Assumptions'!$Q$31^2/2))</f>
        <v>34.2478058346429</v>
      </c>
      <c r="I1903" s="49" t="n">
        <f aca="false">IF('Model Inputs &amp; Assumptions'!$H$31="Fixed",'Model Inputs &amp; Assumptions'!$I$31*'Model Inputs &amp; Assumptions'!$K$31,IF('Model Inputs &amp; Assumptions'!$H$31="CPM",'Model Inputs &amp; Assumptions'!$I$31*'Model Inputs &amp; Assumptions'!$K$31*C1903/1000,IF('Model Inputs &amp; Assumptions'!$H$31="CPC",'Model Inputs &amp; Assumptions'!$I$31*'Model Inputs &amp; Assumptions'!$K$31*G1903,0)))</f>
        <v>4313.52228</v>
      </c>
      <c r="J1903" s="50" t="n">
        <f aca="false">H1903*INDEX('Model Inputs &amp; Assumptions'!$D$40:$D$42,MATCH('Model Inputs &amp; Assumptions'!$L$31,'Model Inputs &amp; Assumptions'!$A$40:$A$42,0))*INDEX('Model Inputs &amp; Assumptions'!$H$40:$H$42,MATCH('Model Inputs &amp; Assumptions'!$L$31,'Model Inputs &amp; Assumptions'!$A$40:$A$42,0))</f>
        <v>246584.202009429</v>
      </c>
      <c r="K1903" s="49" t="n">
        <f aca="false">H1903*INDEX('Model Inputs &amp; Assumptions'!$G$40:$G$42,MATCH('Model Inputs &amp; Assumptions'!$L$31,'Model Inputs &amp; Assumptions'!$A$40:$A$42,0))*INDEX('Model Inputs &amp; Assumptions'!$H$40:$H$42,MATCH('Model Inputs &amp; Assumptions'!$L$31,'Model Inputs &amp; Assumptions'!$A$40:$A$42,0))</f>
        <v>5437.18165430791</v>
      </c>
      <c r="L1903" s="51" t="n">
        <f aca="false">IFERROR(K1903/I1903,0)</f>
        <v>1.26049694457772</v>
      </c>
      <c r="M1903" s="49" t="n">
        <f aca="false">IFERROR(I1903/H1903,0)</f>
        <v>125.950325134018</v>
      </c>
      <c r="N1903" s="52" t="str">
        <f aca="false">'Model Inputs &amp; Assumptions'!$L$31</f>
        <v>PRD-USIQ</v>
      </c>
      <c r="P1903" s="53" t="n">
        <v>-0.692647</v>
      </c>
      <c r="Q1903" s="53" t="n">
        <v>0.425997</v>
      </c>
      <c r="R1903" s="53" t="n">
        <v>-0.072902</v>
      </c>
      <c r="S1903" s="53" t="n">
        <v>-0.67328</v>
      </c>
    </row>
    <row r="1904" customFormat="false" ht="15" hidden="false" customHeight="false" outlineLevel="0" collapsed="false">
      <c r="A1904" s="43" t="n">
        <v>401</v>
      </c>
      <c r="B1904" s="44" t="str">
        <f aca="false">'Model Inputs &amp; Assumptions'!$B$31</f>
        <v>YouTube — Finfluencer Pre-roll</v>
      </c>
      <c r="C1904" s="45" t="n">
        <f aca="false">ROUND(MAX(0,'Model Inputs &amp; Assumptions'!$S$31*EXP('Model Inputs &amp; Assumptions'!$T$31*P1904-'Model Inputs &amp; Assumptions'!$T$31^2/2)),0)</f>
        <v>306720</v>
      </c>
      <c r="D1904" s="46" t="n">
        <f aca="false">MIN(1,'Model Inputs &amp; Assumptions'!$U$31*EXP('Model Inputs &amp; Assumptions'!$V$31*Q1904-'Model Inputs &amp; Assumptions'!$V$31^2/2))</f>
        <v>0.735592911917307</v>
      </c>
      <c r="E1904" s="45" t="n">
        <f aca="false">ROUND(C1904*D1904,0)</f>
        <v>225621</v>
      </c>
      <c r="F1904" s="47" t="n">
        <f aca="false">MIN(1,'Model Inputs &amp; Assumptions'!$W$31*EXP('Model Inputs &amp; Assumptions'!$X$31*R1904-'Model Inputs &amp; Assumptions'!$X$31^2/2))</f>
        <v>0.00601742166324475</v>
      </c>
      <c r="G1904" s="45" t="n">
        <f aca="false">ROUND(C1904*F1904,0)</f>
        <v>1846</v>
      </c>
      <c r="H1904" s="48" t="n">
        <f aca="false">MAX(0,(C1904*'Model Inputs &amp; Assumptions'!$N$31+E1904*'Model Inputs &amp; Assumptions'!$O$31+G1904*'Model Inputs &amp; Assumptions'!$P$31)*EXP('Model Inputs &amp; Assumptions'!$Q$31*S1904-'Model Inputs &amp; Assumptions'!$Q$31^2/2))</f>
        <v>60.16051213607</v>
      </c>
      <c r="I1904" s="49" t="n">
        <f aca="false">IF('Model Inputs &amp; Assumptions'!$H$31="Fixed",'Model Inputs &amp; Assumptions'!$I$31*'Model Inputs &amp; Assumptions'!$K$31,IF('Model Inputs &amp; Assumptions'!$H$31="CPM",'Model Inputs &amp; Assumptions'!$I$31*'Model Inputs &amp; Assumptions'!$K$31*C1904/1000,IF('Model Inputs &amp; Assumptions'!$H$31="CPC",'Model Inputs &amp; Assumptions'!$I$31*'Model Inputs &amp; Assumptions'!$K$31*G1904,0)))</f>
        <v>3480.04512</v>
      </c>
      <c r="J1904" s="50" t="n">
        <f aca="false">H1904*INDEX('Model Inputs &amp; Assumptions'!$D$40:$D$42,MATCH('Model Inputs &amp; Assumptions'!$L$31,'Model Inputs &amp; Assumptions'!$A$40:$A$42,0))*INDEX('Model Inputs &amp; Assumptions'!$H$40:$H$42,MATCH('Model Inputs &amp; Assumptions'!$L$31,'Model Inputs &amp; Assumptions'!$A$40:$A$42,0))</f>
        <v>433155.687379704</v>
      </c>
      <c r="K1904" s="49" t="n">
        <f aca="false">H1904*INDEX('Model Inputs &amp; Assumptions'!$G$40:$G$42,MATCH('Model Inputs &amp; Assumptions'!$L$31,'Model Inputs &amp; Assumptions'!$A$40:$A$42,0))*INDEX('Model Inputs &amp; Assumptions'!$H$40:$H$42,MATCH('Model Inputs &amp; Assumptions'!$L$31,'Model Inputs &amp; Assumptions'!$A$40:$A$42,0))</f>
        <v>9551.08290672247</v>
      </c>
      <c r="L1904" s="51" t="n">
        <f aca="false">IFERROR(K1904/I1904,0)</f>
        <v>2.74452846942469</v>
      </c>
      <c r="M1904" s="49" t="n">
        <f aca="false">IFERROR(I1904/H1904,0)</f>
        <v>57.8460022436128</v>
      </c>
      <c r="N1904" s="52" t="str">
        <f aca="false">'Model Inputs &amp; Assumptions'!$L$31</f>
        <v>PRD-USIQ</v>
      </c>
      <c r="P1904" s="53" t="n">
        <v>-1.459473</v>
      </c>
      <c r="Q1904" s="53" t="n">
        <v>1.645388</v>
      </c>
      <c r="R1904" s="53" t="n">
        <v>0.891754</v>
      </c>
      <c r="S1904" s="53" t="n">
        <v>0.958</v>
      </c>
    </row>
    <row r="1905" customFormat="false" ht="15" hidden="false" customHeight="false" outlineLevel="0" collapsed="false">
      <c r="A1905" s="43" t="n">
        <v>402</v>
      </c>
      <c r="B1905" s="44" t="str">
        <f aca="false">'Model Inputs &amp; Assumptions'!$B$31</f>
        <v>YouTube — Finfluencer Pre-roll</v>
      </c>
      <c r="C1905" s="45" t="n">
        <f aca="false">ROUND(MAX(0,'Model Inputs &amp; Assumptions'!$S$31*EXP('Model Inputs &amp; Assumptions'!$T$31*P1905-'Model Inputs &amp; Assumptions'!$T$31^2/2)),0)</f>
        <v>528104</v>
      </c>
      <c r="D1905" s="46" t="n">
        <f aca="false">MIN(1,'Model Inputs &amp; Assumptions'!$U$31*EXP('Model Inputs &amp; Assumptions'!$V$31*Q1905-'Model Inputs &amp; Assumptions'!$V$31^2/2))</f>
        <v>0.644888760060678</v>
      </c>
      <c r="E1905" s="45" t="n">
        <f aca="false">ROUND(C1905*D1905,0)</f>
        <v>340568</v>
      </c>
      <c r="F1905" s="47" t="n">
        <f aca="false">MIN(1,'Model Inputs &amp; Assumptions'!$W$31*EXP('Model Inputs &amp; Assumptions'!$X$31*R1905-'Model Inputs &amp; Assumptions'!$X$31^2/2))</f>
        <v>0.00225977486809289</v>
      </c>
      <c r="G1905" s="45" t="n">
        <f aca="false">ROUND(C1905*F1905,0)</f>
        <v>1193</v>
      </c>
      <c r="H1905" s="48" t="n">
        <f aca="false">MAX(0,(C1905*'Model Inputs &amp; Assumptions'!$N$31+E1905*'Model Inputs &amp; Assumptions'!$O$31+G1905*'Model Inputs &amp; Assumptions'!$P$31)*EXP('Model Inputs &amp; Assumptions'!$Q$31*S1905-'Model Inputs &amp; Assumptions'!$Q$31^2/2))</f>
        <v>57.7093998232402</v>
      </c>
      <c r="I1905" s="49" t="n">
        <f aca="false">IF('Model Inputs &amp; Assumptions'!$H$31="Fixed",'Model Inputs &amp; Assumptions'!$I$31*'Model Inputs &amp; Assumptions'!$K$31,IF('Model Inputs &amp; Assumptions'!$H$31="CPM",'Model Inputs &amp; Assumptions'!$I$31*'Model Inputs &amp; Assumptions'!$K$31*C1905/1000,IF('Model Inputs &amp; Assumptions'!$H$31="CPC",'Model Inputs &amp; Assumptions'!$I$31*'Model Inputs &amp; Assumptions'!$K$31*G1905,0)))</f>
        <v>5991.867984</v>
      </c>
      <c r="J1905" s="50" t="n">
        <f aca="false">H1905*INDEX('Model Inputs &amp; Assumptions'!$D$40:$D$42,MATCH('Model Inputs &amp; Assumptions'!$L$31,'Model Inputs &amp; Assumptions'!$A$40:$A$42,0))*INDEX('Model Inputs &amp; Assumptions'!$H$40:$H$42,MATCH('Model Inputs &amp; Assumptions'!$L$31,'Model Inputs &amp; Assumptions'!$A$40:$A$42,0))</f>
        <v>415507.678727329</v>
      </c>
      <c r="K1905" s="49" t="n">
        <f aca="false">H1905*INDEX('Model Inputs &amp; Assumptions'!$G$40:$G$42,MATCH('Model Inputs &amp; Assumptions'!$L$31,'Model Inputs &amp; Assumptions'!$A$40:$A$42,0))*INDEX('Model Inputs &amp; Assumptions'!$H$40:$H$42,MATCH('Model Inputs &amp; Assumptions'!$L$31,'Model Inputs &amp; Assumptions'!$A$40:$A$42,0))</f>
        <v>9161.94431593761</v>
      </c>
      <c r="L1905" s="51" t="n">
        <f aca="false">IFERROR(K1905/I1905,0)</f>
        <v>1.52906311360708</v>
      </c>
      <c r="M1905" s="49" t="n">
        <f aca="false">IFERROR(I1905/H1905,0)</f>
        <v>103.828284514354</v>
      </c>
      <c r="N1905" s="52" t="str">
        <f aca="false">'Model Inputs &amp; Assumptions'!$L$31</f>
        <v>PRD-USIQ</v>
      </c>
      <c r="P1905" s="53" t="n">
        <v>0.481098</v>
      </c>
      <c r="Q1905" s="53" t="n">
        <v>0.705395</v>
      </c>
      <c r="R1905" s="53" t="n">
        <v>-3.189053</v>
      </c>
      <c r="S1905" s="53" t="n">
        <v>0.876833</v>
      </c>
    </row>
    <row r="1906" customFormat="false" ht="15" hidden="false" customHeight="false" outlineLevel="0" collapsed="false">
      <c r="A1906" s="43" t="n">
        <v>403</v>
      </c>
      <c r="B1906" s="44" t="str">
        <f aca="false">'Model Inputs &amp; Assumptions'!$B$31</f>
        <v>YouTube — Finfluencer Pre-roll</v>
      </c>
      <c r="C1906" s="45" t="n">
        <f aca="false">ROUND(MAX(0,'Model Inputs &amp; Assumptions'!$S$31*EXP('Model Inputs &amp; Assumptions'!$T$31*P1906-'Model Inputs &amp; Assumptions'!$T$31^2/2)),0)</f>
        <v>368569</v>
      </c>
      <c r="D1906" s="46" t="n">
        <f aca="false">MIN(1,'Model Inputs &amp; Assumptions'!$U$31*EXP('Model Inputs &amp; Assumptions'!$V$31*Q1906-'Model Inputs &amp; Assumptions'!$V$31^2/2))</f>
        <v>0.735637916868345</v>
      </c>
      <c r="E1906" s="45" t="n">
        <f aca="false">ROUND(C1906*D1906,0)</f>
        <v>271133</v>
      </c>
      <c r="F1906" s="47" t="n">
        <f aca="false">MIN(1,'Model Inputs &amp; Assumptions'!$W$31*EXP('Model Inputs &amp; Assumptions'!$X$31*R1906-'Model Inputs &amp; Assumptions'!$X$31^2/2))</f>
        <v>0.0038114865072678</v>
      </c>
      <c r="G1906" s="45" t="n">
        <f aca="false">ROUND(C1906*F1906,0)</f>
        <v>1405</v>
      </c>
      <c r="H1906" s="48" t="n">
        <f aca="false">MAX(0,(C1906*'Model Inputs &amp; Assumptions'!$N$31+E1906*'Model Inputs &amp; Assumptions'!$O$31+G1906*'Model Inputs &amp; Assumptions'!$P$31)*EXP('Model Inputs &amp; Assumptions'!$Q$31*S1906-'Model Inputs &amp; Assumptions'!$Q$31^2/2))</f>
        <v>53.7769709584937</v>
      </c>
      <c r="I1906" s="49" t="n">
        <f aca="false">IF('Model Inputs &amp; Assumptions'!$H$31="Fixed",'Model Inputs &amp; Assumptions'!$I$31*'Model Inputs &amp; Assumptions'!$K$31,IF('Model Inputs &amp; Assumptions'!$H$31="CPM",'Model Inputs &amp; Assumptions'!$I$31*'Model Inputs &amp; Assumptions'!$K$31*C1906/1000,IF('Model Inputs &amp; Assumptions'!$H$31="CPC",'Model Inputs &amp; Assumptions'!$I$31*'Model Inputs &amp; Assumptions'!$K$31*G1906,0)))</f>
        <v>4181.783874</v>
      </c>
      <c r="J1906" s="50" t="n">
        <f aca="false">H1906*INDEX('Model Inputs &amp; Assumptions'!$D$40:$D$42,MATCH('Model Inputs &amp; Assumptions'!$L$31,'Model Inputs &amp; Assumptions'!$A$40:$A$42,0))*INDEX('Model Inputs &amp; Assumptions'!$H$40:$H$42,MATCH('Model Inputs &amp; Assumptions'!$L$31,'Model Inputs &amp; Assumptions'!$A$40:$A$42,0))</f>
        <v>387194.190901154</v>
      </c>
      <c r="K1906" s="49" t="n">
        <f aca="false">H1906*INDEX('Model Inputs &amp; Assumptions'!$G$40:$G$42,MATCH('Model Inputs &amp; Assumptions'!$L$31,'Model Inputs &amp; Assumptions'!$A$40:$A$42,0))*INDEX('Model Inputs &amp; Assumptions'!$H$40:$H$42,MATCH('Model Inputs &amp; Assumptions'!$L$31,'Model Inputs &amp; Assumptions'!$A$40:$A$42,0))</f>
        <v>8537.63190937046</v>
      </c>
      <c r="L1906" s="51" t="n">
        <f aca="false">IFERROR(K1906/I1906,0)</f>
        <v>2.04162438007681</v>
      </c>
      <c r="M1906" s="49" t="n">
        <f aca="false">IFERROR(I1906/H1906,0)</f>
        <v>77.7616105828571</v>
      </c>
      <c r="N1906" s="52" t="str">
        <f aca="false">'Model Inputs &amp; Assumptions'!$L$31</f>
        <v>PRD-USIQ</v>
      </c>
      <c r="P1906" s="53" t="n">
        <v>-0.803424</v>
      </c>
      <c r="Q1906" s="53" t="n">
        <v>1.645825</v>
      </c>
      <c r="R1906" s="53" t="n">
        <v>-1.010911</v>
      </c>
      <c r="S1906" s="53" t="n">
        <v>0.829601</v>
      </c>
    </row>
    <row r="1907" customFormat="false" ht="15" hidden="false" customHeight="false" outlineLevel="0" collapsed="false">
      <c r="A1907" s="43" t="n">
        <v>404</v>
      </c>
      <c r="B1907" s="44" t="str">
        <f aca="false">'Model Inputs &amp; Assumptions'!$B$31</f>
        <v>YouTube — Finfluencer Pre-roll</v>
      </c>
      <c r="C1907" s="45" t="n">
        <f aca="false">ROUND(MAX(0,'Model Inputs &amp; Assumptions'!$S$31*EXP('Model Inputs &amp; Assumptions'!$T$31*P1907-'Model Inputs &amp; Assumptions'!$T$31^2/2)),0)</f>
        <v>620132</v>
      </c>
      <c r="D1907" s="46" t="n">
        <f aca="false">MIN(1,'Model Inputs &amp; Assumptions'!$U$31*EXP('Model Inputs &amp; Assumptions'!$V$31*Q1907-'Model Inputs &amp; Assumptions'!$V$31^2/2))</f>
        <v>0.518161348267082</v>
      </c>
      <c r="E1907" s="45" t="n">
        <f aca="false">ROUND(C1907*D1907,0)</f>
        <v>321328</v>
      </c>
      <c r="F1907" s="47" t="n">
        <f aca="false">MIN(1,'Model Inputs &amp; Assumptions'!$W$31*EXP('Model Inputs &amp; Assumptions'!$X$31*R1907-'Model Inputs &amp; Assumptions'!$X$31^2/2))</f>
        <v>0.00671531643476704</v>
      </c>
      <c r="G1907" s="45" t="n">
        <f aca="false">ROUND(C1907*F1907,0)</f>
        <v>4164</v>
      </c>
      <c r="H1907" s="48" t="n">
        <f aca="false">MAX(0,(C1907*'Model Inputs &amp; Assumptions'!$N$31+E1907*'Model Inputs &amp; Assumptions'!$O$31+G1907*'Model Inputs &amp; Assumptions'!$P$31)*EXP('Model Inputs &amp; Assumptions'!$Q$31*S1907-'Model Inputs &amp; Assumptions'!$Q$31^2/2))</f>
        <v>66.5220833707973</v>
      </c>
      <c r="I1907" s="49" t="n">
        <f aca="false">IF('Model Inputs &amp; Assumptions'!$H$31="Fixed",'Model Inputs &amp; Assumptions'!$I$31*'Model Inputs &amp; Assumptions'!$K$31,IF('Model Inputs &amp; Assumptions'!$H$31="CPM",'Model Inputs &amp; Assumptions'!$I$31*'Model Inputs &amp; Assumptions'!$K$31*C1907/1000,IF('Model Inputs &amp; Assumptions'!$H$31="CPC",'Model Inputs &amp; Assumptions'!$I$31*'Model Inputs &amp; Assumptions'!$K$31*G1907,0)))</f>
        <v>7036.017672</v>
      </c>
      <c r="J1907" s="50" t="n">
        <f aca="false">H1907*INDEX('Model Inputs &amp; Assumptions'!$D$40:$D$42,MATCH('Model Inputs &amp; Assumptions'!$L$31,'Model Inputs &amp; Assumptions'!$A$40:$A$42,0))*INDEX('Model Inputs &amp; Assumptions'!$H$40:$H$42,MATCH('Model Inputs &amp; Assumptions'!$L$31,'Model Inputs &amp; Assumptions'!$A$40:$A$42,0))</f>
        <v>478959.00026974</v>
      </c>
      <c r="K1907" s="49" t="n">
        <f aca="false">H1907*INDEX('Model Inputs &amp; Assumptions'!$G$40:$G$42,MATCH('Model Inputs &amp; Assumptions'!$L$31,'Model Inputs &amp; Assumptions'!$A$40:$A$42,0))*INDEX('Model Inputs &amp; Assumptions'!$H$40:$H$42,MATCH('Model Inputs &amp; Assumptions'!$L$31,'Model Inputs &amp; Assumptions'!$A$40:$A$42,0))</f>
        <v>10561.0459559478</v>
      </c>
      <c r="L1907" s="51" t="n">
        <f aca="false">IFERROR(K1907/I1907,0)</f>
        <v>1.50099764501384</v>
      </c>
      <c r="M1907" s="49" t="n">
        <f aca="false">IFERROR(I1907/H1907,0)</f>
        <v>105.769652955409</v>
      </c>
      <c r="N1907" s="52" t="str">
        <f aca="false">'Model Inputs &amp; Assumptions'!$L$31</f>
        <v>PRD-USIQ</v>
      </c>
      <c r="P1907" s="53" t="n">
        <v>1.054808</v>
      </c>
      <c r="Q1907" s="53" t="n">
        <v>-0.857399</v>
      </c>
      <c r="R1907" s="53" t="n">
        <v>1.348971</v>
      </c>
      <c r="S1907" s="53" t="n">
        <v>-0.629829</v>
      </c>
    </row>
    <row r="1908" customFormat="false" ht="15" hidden="false" customHeight="false" outlineLevel="0" collapsed="false">
      <c r="A1908" s="43" t="n">
        <v>405</v>
      </c>
      <c r="B1908" s="44" t="str">
        <f aca="false">'Model Inputs &amp; Assumptions'!$B$31</f>
        <v>YouTube — Finfluencer Pre-roll</v>
      </c>
      <c r="C1908" s="45" t="n">
        <f aca="false">ROUND(MAX(0,'Model Inputs &amp; Assumptions'!$S$31*EXP('Model Inputs &amp; Assumptions'!$T$31*P1908-'Model Inputs &amp; Assumptions'!$T$31^2/2)),0)</f>
        <v>643201</v>
      </c>
      <c r="D1908" s="46" t="n">
        <f aca="false">MIN(1,'Model Inputs &amp; Assumptions'!$U$31*EXP('Model Inputs &amp; Assumptions'!$V$31*Q1908-'Model Inputs &amp; Assumptions'!$V$31^2/2))</f>
        <v>0.583535305836618</v>
      </c>
      <c r="E1908" s="45" t="n">
        <f aca="false">ROUND(C1908*D1908,0)</f>
        <v>375330</v>
      </c>
      <c r="F1908" s="47" t="n">
        <f aca="false">MIN(1,'Model Inputs &amp; Assumptions'!$W$31*EXP('Model Inputs &amp; Assumptions'!$X$31*R1908-'Model Inputs &amp; Assumptions'!$X$31^2/2))</f>
        <v>0.00510719245973959</v>
      </c>
      <c r="G1908" s="45" t="n">
        <f aca="false">ROUND(C1908*F1908,0)</f>
        <v>3285</v>
      </c>
      <c r="H1908" s="48" t="n">
        <f aca="false">MAX(0,(C1908*'Model Inputs &amp; Assumptions'!$N$31+E1908*'Model Inputs &amp; Assumptions'!$O$31+G1908*'Model Inputs &amp; Assumptions'!$P$31)*EXP('Model Inputs &amp; Assumptions'!$Q$31*S1908-'Model Inputs &amp; Assumptions'!$Q$31^2/2))</f>
        <v>77.7720516194755</v>
      </c>
      <c r="I1908" s="49" t="n">
        <f aca="false">IF('Model Inputs &amp; Assumptions'!$H$31="Fixed",'Model Inputs &amp; Assumptions'!$I$31*'Model Inputs &amp; Assumptions'!$K$31,IF('Model Inputs &amp; Assumptions'!$H$31="CPM",'Model Inputs &amp; Assumptions'!$I$31*'Model Inputs &amp; Assumptions'!$K$31*C1908/1000,IF('Model Inputs &amp; Assumptions'!$H$31="CPC",'Model Inputs &amp; Assumptions'!$I$31*'Model Inputs &amp; Assumptions'!$K$31*G1908,0)))</f>
        <v>7297.758546</v>
      </c>
      <c r="J1908" s="50" t="n">
        <f aca="false">H1908*INDEX('Model Inputs &amp; Assumptions'!$D$40:$D$42,MATCH('Model Inputs &amp; Assumptions'!$L$31,'Model Inputs &amp; Assumptions'!$A$40:$A$42,0))*INDEX('Model Inputs &amp; Assumptions'!$H$40:$H$42,MATCH('Model Inputs &amp; Assumptions'!$L$31,'Model Inputs &amp; Assumptions'!$A$40:$A$42,0))</f>
        <v>559958.771660223</v>
      </c>
      <c r="K1908" s="49" t="n">
        <f aca="false">H1908*INDEX('Model Inputs &amp; Assumptions'!$G$40:$G$42,MATCH('Model Inputs &amp; Assumptions'!$L$31,'Model Inputs &amp; Assumptions'!$A$40:$A$42,0))*INDEX('Model Inputs &amp; Assumptions'!$H$40:$H$42,MATCH('Model Inputs &amp; Assumptions'!$L$31,'Model Inputs &amp; Assumptions'!$A$40:$A$42,0))</f>
        <v>12347.0909151079</v>
      </c>
      <c r="L1908" s="51" t="n">
        <f aca="false">IFERROR(K1908/I1908,0)</f>
        <v>1.69190181304032</v>
      </c>
      <c r="M1908" s="49" t="n">
        <f aca="false">IFERROR(I1908/H1908,0)</f>
        <v>93.8352325036584</v>
      </c>
      <c r="N1908" s="52" t="str">
        <f aca="false">'Model Inputs &amp; Assumptions'!$L$31</f>
        <v>PRD-USIQ</v>
      </c>
      <c r="P1908" s="53" t="n">
        <v>1.185254</v>
      </c>
      <c r="Q1908" s="53" t="n">
        <v>-0.008697</v>
      </c>
      <c r="R1908" s="53" t="n">
        <v>0.208383</v>
      </c>
      <c r="S1908" s="53" t="n">
        <v>0.119361</v>
      </c>
    </row>
    <row r="1909" customFormat="false" ht="15" hidden="false" customHeight="false" outlineLevel="0" collapsed="false">
      <c r="A1909" s="43" t="n">
        <v>406</v>
      </c>
      <c r="B1909" s="44" t="str">
        <f aca="false">'Model Inputs &amp; Assumptions'!$B$31</f>
        <v>YouTube — Finfluencer Pre-roll</v>
      </c>
      <c r="C1909" s="45" t="n">
        <f aca="false">ROUND(MAX(0,'Model Inputs &amp; Assumptions'!$S$31*EXP('Model Inputs &amp; Assumptions'!$T$31*P1909-'Model Inputs &amp; Assumptions'!$T$31^2/2)),0)</f>
        <v>398239</v>
      </c>
      <c r="D1909" s="46" t="n">
        <f aca="false">MIN(1,'Model Inputs &amp; Assumptions'!$U$31*EXP('Model Inputs &amp; Assumptions'!$V$31*Q1909-'Model Inputs &amp; Assumptions'!$V$31^2/2))</f>
        <v>0.533288352478264</v>
      </c>
      <c r="E1909" s="45" t="n">
        <f aca="false">ROUND(C1909*D1909,0)</f>
        <v>212376</v>
      </c>
      <c r="F1909" s="47" t="n">
        <f aca="false">MIN(1,'Model Inputs &amp; Assumptions'!$W$31*EXP('Model Inputs &amp; Assumptions'!$X$31*R1909-'Model Inputs &amp; Assumptions'!$X$31^2/2))</f>
        <v>0.00531721756498869</v>
      </c>
      <c r="G1909" s="45" t="n">
        <f aca="false">ROUND(C1909*F1909,0)</f>
        <v>2118</v>
      </c>
      <c r="H1909" s="48" t="n">
        <f aca="false">MAX(0,(C1909*'Model Inputs &amp; Assumptions'!$N$31+E1909*'Model Inputs &amp; Assumptions'!$O$31+G1909*'Model Inputs &amp; Assumptions'!$P$31)*EXP('Model Inputs &amp; Assumptions'!$Q$31*S1909-'Model Inputs &amp; Assumptions'!$Q$31^2/2))</f>
        <v>77.295075351262</v>
      </c>
      <c r="I1909" s="49" t="n">
        <f aca="false">IF('Model Inputs &amp; Assumptions'!$H$31="Fixed",'Model Inputs &amp; Assumptions'!$I$31*'Model Inputs &amp; Assumptions'!$K$31,IF('Model Inputs &amp; Assumptions'!$H$31="CPM",'Model Inputs &amp; Assumptions'!$I$31*'Model Inputs &amp; Assumptions'!$K$31*C1909/1000,IF('Model Inputs &amp; Assumptions'!$H$31="CPC",'Model Inputs &amp; Assumptions'!$I$31*'Model Inputs &amp; Assumptions'!$K$31*G1909,0)))</f>
        <v>4518.419694</v>
      </c>
      <c r="J1909" s="50" t="n">
        <f aca="false">H1909*INDEX('Model Inputs &amp; Assumptions'!$D$40:$D$42,MATCH('Model Inputs &amp; Assumptions'!$L$31,'Model Inputs &amp; Assumptions'!$A$40:$A$42,0))*INDEX('Model Inputs &amp; Assumptions'!$H$40:$H$42,MATCH('Model Inputs &amp; Assumptions'!$L$31,'Model Inputs &amp; Assumptions'!$A$40:$A$42,0))</f>
        <v>556524.542529087</v>
      </c>
      <c r="K1909" s="49" t="n">
        <f aca="false">H1909*INDEX('Model Inputs &amp; Assumptions'!$G$40:$G$42,MATCH('Model Inputs &amp; Assumptions'!$L$31,'Model Inputs &amp; Assumptions'!$A$40:$A$42,0))*INDEX('Model Inputs &amp; Assumptions'!$H$40:$H$42,MATCH('Model Inputs &amp; Assumptions'!$L$31,'Model Inputs &amp; Assumptions'!$A$40:$A$42,0))</f>
        <v>12271.3661627664</v>
      </c>
      <c r="L1909" s="51" t="n">
        <f aca="false">IFERROR(K1909/I1909,0)</f>
        <v>2.71585354920914</v>
      </c>
      <c r="M1909" s="49" t="n">
        <f aca="false">IFERROR(I1909/H1909,0)</f>
        <v>58.456760323557</v>
      </c>
      <c r="N1909" s="52" t="str">
        <f aca="false">'Model Inputs &amp; Assumptions'!$L$31</f>
        <v>PRD-USIQ</v>
      </c>
      <c r="P1909" s="53" t="n">
        <v>-0.526905</v>
      </c>
      <c r="Q1909" s="53" t="n">
        <v>-0.651859</v>
      </c>
      <c r="R1909" s="53" t="n">
        <v>0.376301</v>
      </c>
      <c r="S1909" s="53" t="n">
        <v>1.491338</v>
      </c>
    </row>
    <row r="1910" customFormat="false" ht="15" hidden="false" customHeight="false" outlineLevel="0" collapsed="false">
      <c r="A1910" s="43" t="n">
        <v>407</v>
      </c>
      <c r="B1910" s="44" t="str">
        <f aca="false">'Model Inputs &amp; Assumptions'!$B$31</f>
        <v>YouTube — Finfluencer Pre-roll</v>
      </c>
      <c r="C1910" s="45" t="n">
        <f aca="false">ROUND(MAX(0,'Model Inputs &amp; Assumptions'!$S$31*EXP('Model Inputs &amp; Assumptions'!$T$31*P1910-'Model Inputs &amp; Assumptions'!$T$31^2/2)),0)</f>
        <v>665506</v>
      </c>
      <c r="D1910" s="46" t="n">
        <f aca="false">MIN(1,'Model Inputs &amp; Assumptions'!$U$31*EXP('Model Inputs &amp; Assumptions'!$V$31*Q1910-'Model Inputs &amp; Assumptions'!$V$31^2/2))</f>
        <v>0.648846283213913</v>
      </c>
      <c r="E1910" s="45" t="n">
        <f aca="false">ROUND(C1910*D1910,0)</f>
        <v>431811</v>
      </c>
      <c r="F1910" s="47" t="n">
        <f aca="false">MIN(1,'Model Inputs &amp; Assumptions'!$W$31*EXP('Model Inputs &amp; Assumptions'!$X$31*R1910-'Model Inputs &amp; Assumptions'!$X$31^2/2))</f>
        <v>0.00324858212667735</v>
      </c>
      <c r="G1910" s="45" t="n">
        <f aca="false">ROUND(C1910*F1910,0)</f>
        <v>2162</v>
      </c>
      <c r="H1910" s="48" t="n">
        <f aca="false">MAX(0,(C1910*'Model Inputs &amp; Assumptions'!$N$31+E1910*'Model Inputs &amp; Assumptions'!$O$31+G1910*'Model Inputs &amp; Assumptions'!$P$31)*EXP('Model Inputs &amp; Assumptions'!$Q$31*S1910-'Model Inputs &amp; Assumptions'!$Q$31^2/2))</f>
        <v>41.2232770482644</v>
      </c>
      <c r="I1910" s="49" t="n">
        <f aca="false">IF('Model Inputs &amp; Assumptions'!$H$31="Fixed",'Model Inputs &amp; Assumptions'!$I$31*'Model Inputs &amp; Assumptions'!$K$31,IF('Model Inputs &amp; Assumptions'!$H$31="CPM",'Model Inputs &amp; Assumptions'!$I$31*'Model Inputs &amp; Assumptions'!$K$31*C1910/1000,IF('Model Inputs &amp; Assumptions'!$H$31="CPC",'Model Inputs &amp; Assumptions'!$I$31*'Model Inputs &amp; Assumptions'!$K$31*G1910,0)))</f>
        <v>7550.831076</v>
      </c>
      <c r="J1910" s="50" t="n">
        <f aca="false">H1910*INDEX('Model Inputs &amp; Assumptions'!$D$40:$D$42,MATCH('Model Inputs &amp; Assumptions'!$L$31,'Model Inputs &amp; Assumptions'!$A$40:$A$42,0))*INDEX('Model Inputs &amp; Assumptions'!$H$40:$H$42,MATCH('Model Inputs &amp; Assumptions'!$L$31,'Model Inputs &amp; Assumptions'!$A$40:$A$42,0))</f>
        <v>296807.594747504</v>
      </c>
      <c r="K1910" s="49" t="n">
        <f aca="false">H1910*INDEX('Model Inputs &amp; Assumptions'!$G$40:$G$42,MATCH('Model Inputs &amp; Assumptions'!$L$31,'Model Inputs &amp; Assumptions'!$A$40:$A$42,0))*INDEX('Model Inputs &amp; Assumptions'!$H$40:$H$42,MATCH('Model Inputs &amp; Assumptions'!$L$31,'Model Inputs &amp; Assumptions'!$A$40:$A$42,0))</f>
        <v>6544.60746418246</v>
      </c>
      <c r="L1910" s="51" t="n">
        <f aca="false">IFERROR(K1910/I1910,0)</f>
        <v>0.866740018192728</v>
      </c>
      <c r="M1910" s="49" t="n">
        <f aca="false">IFERROR(I1910/H1910,0)</f>
        <v>183.169112614687</v>
      </c>
      <c r="N1910" s="52" t="str">
        <f aca="false">'Model Inputs &amp; Assumptions'!$L$31</f>
        <v>PRD-USIQ</v>
      </c>
      <c r="P1910" s="53" t="n">
        <v>1.307003</v>
      </c>
      <c r="Q1910" s="53" t="n">
        <v>0.749095</v>
      </c>
      <c r="R1910" s="53" t="n">
        <v>-1.676747</v>
      </c>
      <c r="S1910" s="53" t="n">
        <v>-1.211613</v>
      </c>
    </row>
    <row r="1911" customFormat="false" ht="15" hidden="false" customHeight="false" outlineLevel="0" collapsed="false">
      <c r="A1911" s="43" t="n">
        <v>408</v>
      </c>
      <c r="B1911" s="44" t="str">
        <f aca="false">'Model Inputs &amp; Assumptions'!$B$31</f>
        <v>YouTube — Finfluencer Pre-roll</v>
      </c>
      <c r="C1911" s="45" t="n">
        <f aca="false">ROUND(MAX(0,'Model Inputs &amp; Assumptions'!$S$31*EXP('Model Inputs &amp; Assumptions'!$T$31*P1911-'Model Inputs &amp; Assumptions'!$T$31^2/2)),0)</f>
        <v>349150</v>
      </c>
      <c r="D1911" s="46" t="n">
        <f aca="false">MIN(1,'Model Inputs &amp; Assumptions'!$U$31*EXP('Model Inputs &amp; Assumptions'!$V$31*Q1911-'Model Inputs &amp; Assumptions'!$V$31^2/2))</f>
        <v>0.684163768707888</v>
      </c>
      <c r="E1911" s="45" t="n">
        <f aca="false">ROUND(C1911*D1911,0)</f>
        <v>238876</v>
      </c>
      <c r="F1911" s="47" t="n">
        <f aca="false">MIN(1,'Model Inputs &amp; Assumptions'!$W$31*EXP('Model Inputs &amp; Assumptions'!$X$31*R1911-'Model Inputs &amp; Assumptions'!$X$31^2/2))</f>
        <v>0.0050947860438367</v>
      </c>
      <c r="G1911" s="45" t="n">
        <f aca="false">ROUND(C1911*F1911,0)</f>
        <v>1779</v>
      </c>
      <c r="H1911" s="48" t="n">
        <f aca="false">MAX(0,(C1911*'Model Inputs &amp; Assumptions'!$N$31+E1911*'Model Inputs &amp; Assumptions'!$O$31+G1911*'Model Inputs &amp; Assumptions'!$P$31)*EXP('Model Inputs &amp; Assumptions'!$Q$31*S1911-'Model Inputs &amp; Assumptions'!$Q$31^2/2))</f>
        <v>56.1411054543768</v>
      </c>
      <c r="I1911" s="49" t="n">
        <f aca="false">IF('Model Inputs &amp; Assumptions'!$H$31="Fixed",'Model Inputs &amp; Assumptions'!$I$31*'Model Inputs &amp; Assumptions'!$K$31,IF('Model Inputs &amp; Assumptions'!$H$31="CPM",'Model Inputs &amp; Assumptions'!$I$31*'Model Inputs &amp; Assumptions'!$K$31*C1911/1000,IF('Model Inputs &amp; Assumptions'!$H$31="CPC",'Model Inputs &amp; Assumptions'!$I$31*'Model Inputs &amp; Assumptions'!$K$31*G1911,0)))</f>
        <v>3961.4559</v>
      </c>
      <c r="J1911" s="50" t="n">
        <f aca="false">H1911*INDEX('Model Inputs &amp; Assumptions'!$D$40:$D$42,MATCH('Model Inputs &amp; Assumptions'!$L$31,'Model Inputs &amp; Assumptions'!$A$40:$A$42,0))*INDEX('Model Inputs &amp; Assumptions'!$H$40:$H$42,MATCH('Model Inputs &amp; Assumptions'!$L$31,'Model Inputs &amp; Assumptions'!$A$40:$A$42,0))</f>
        <v>404215.959271513</v>
      </c>
      <c r="K1911" s="49" t="n">
        <f aca="false">H1911*INDEX('Model Inputs &amp; Assumptions'!$G$40:$G$42,MATCH('Model Inputs &amp; Assumptions'!$L$31,'Model Inputs &amp; Assumptions'!$A$40:$A$42,0))*INDEX('Model Inputs &amp; Assumptions'!$H$40:$H$42,MATCH('Model Inputs &amp; Assumptions'!$L$31,'Model Inputs &amp; Assumptions'!$A$40:$A$42,0))</f>
        <v>8912.96190193687</v>
      </c>
      <c r="L1911" s="51" t="n">
        <f aca="false">IFERROR(K1911/I1911,0)</f>
        <v>2.24992076825514</v>
      </c>
      <c r="M1911" s="49" t="n">
        <f aca="false">IFERROR(I1911/H1911,0)</f>
        <v>70.5624847950186</v>
      </c>
      <c r="N1911" s="52" t="str">
        <f aca="false">'Model Inputs &amp; Assumptions'!$L$31</f>
        <v>PRD-USIQ</v>
      </c>
      <c r="P1911" s="53" t="n">
        <v>-0.996728</v>
      </c>
      <c r="Q1911" s="53" t="n">
        <v>1.127677</v>
      </c>
      <c r="R1911" s="53" t="n">
        <v>0.198249</v>
      </c>
      <c r="S1911" s="53" t="n">
        <v>0.756976</v>
      </c>
    </row>
    <row r="1912" customFormat="false" ht="15" hidden="false" customHeight="false" outlineLevel="0" collapsed="false">
      <c r="A1912" s="43" t="n">
        <v>409</v>
      </c>
      <c r="B1912" s="44" t="str">
        <f aca="false">'Model Inputs &amp; Assumptions'!$B$31</f>
        <v>YouTube — Finfluencer Pre-roll</v>
      </c>
      <c r="C1912" s="45" t="n">
        <f aca="false">ROUND(MAX(0,'Model Inputs &amp; Assumptions'!$S$31*EXP('Model Inputs &amp; Assumptions'!$T$31*P1912-'Model Inputs &amp; Assumptions'!$T$31^2/2)),0)</f>
        <v>813090</v>
      </c>
      <c r="D1912" s="46" t="n">
        <f aca="false">MIN(1,'Model Inputs &amp; Assumptions'!$U$31*EXP('Model Inputs &amp; Assumptions'!$V$31*Q1912-'Model Inputs &amp; Assumptions'!$V$31^2/2))</f>
        <v>0.642883237084582</v>
      </c>
      <c r="E1912" s="45" t="n">
        <f aca="false">ROUND(C1912*D1912,0)</f>
        <v>522722</v>
      </c>
      <c r="F1912" s="47" t="n">
        <f aca="false">MIN(1,'Model Inputs &amp; Assumptions'!$W$31*EXP('Model Inputs &amp; Assumptions'!$X$31*R1912-'Model Inputs &amp; Assumptions'!$X$31^2/2))</f>
        <v>0.0031147609023831</v>
      </c>
      <c r="G1912" s="45" t="n">
        <f aca="false">ROUND(C1912*F1912,0)</f>
        <v>2533</v>
      </c>
      <c r="H1912" s="48" t="n">
        <f aca="false">MAX(0,(C1912*'Model Inputs &amp; Assumptions'!$N$31+E1912*'Model Inputs &amp; Assumptions'!$O$31+G1912*'Model Inputs &amp; Assumptions'!$P$31)*EXP('Model Inputs &amp; Assumptions'!$Q$31*S1912-'Model Inputs &amp; Assumptions'!$Q$31^2/2))</f>
        <v>107.601091467102</v>
      </c>
      <c r="I1912" s="49" t="n">
        <f aca="false">IF('Model Inputs &amp; Assumptions'!$H$31="Fixed",'Model Inputs &amp; Assumptions'!$I$31*'Model Inputs &amp; Assumptions'!$K$31,IF('Model Inputs &amp; Assumptions'!$H$31="CPM",'Model Inputs &amp; Assumptions'!$I$31*'Model Inputs &amp; Assumptions'!$K$31*C1912/1000,IF('Model Inputs &amp; Assumptions'!$H$31="CPC",'Model Inputs &amp; Assumptions'!$I$31*'Model Inputs &amp; Assumptions'!$K$31*G1912,0)))</f>
        <v>9225.31914</v>
      </c>
      <c r="J1912" s="50" t="n">
        <f aca="false">H1912*INDEX('Model Inputs &amp; Assumptions'!$D$40:$D$42,MATCH('Model Inputs &amp; Assumptions'!$L$31,'Model Inputs &amp; Assumptions'!$A$40:$A$42,0))*INDEX('Model Inputs &amp; Assumptions'!$H$40:$H$42,MATCH('Model Inputs &amp; Assumptions'!$L$31,'Model Inputs &amp; Assumptions'!$A$40:$A$42,0))</f>
        <v>774727.858563132</v>
      </c>
      <c r="K1912" s="49" t="n">
        <f aca="false">H1912*INDEX('Model Inputs &amp; Assumptions'!$G$40:$G$42,MATCH('Model Inputs &amp; Assumptions'!$L$31,'Model Inputs &amp; Assumptions'!$A$40:$A$42,0))*INDEX('Model Inputs &amp; Assumptions'!$H$40:$H$42,MATCH('Model Inputs &amp; Assumptions'!$L$31,'Model Inputs &amp; Assumptions'!$A$40:$A$42,0))</f>
        <v>17082.7492813171</v>
      </c>
      <c r="L1912" s="51" t="n">
        <f aca="false">IFERROR(K1912/I1912,0)</f>
        <v>1.85172447934599</v>
      </c>
      <c r="M1912" s="49" t="n">
        <f aca="false">IFERROR(I1912/H1912,0)</f>
        <v>85.7362970413789</v>
      </c>
      <c r="N1912" s="52" t="str">
        <f aca="false">'Model Inputs &amp; Assumptions'!$L$31</f>
        <v>PRD-USIQ</v>
      </c>
      <c r="P1912" s="53" t="n">
        <v>2.022341</v>
      </c>
      <c r="Q1912" s="53" t="n">
        <v>0.683147</v>
      </c>
      <c r="R1912" s="53" t="n">
        <v>-1.852023</v>
      </c>
      <c r="S1912" s="53" t="n">
        <v>1.028564</v>
      </c>
    </row>
    <row r="1913" customFormat="false" ht="15" hidden="false" customHeight="false" outlineLevel="0" collapsed="false">
      <c r="A1913" s="43" t="n">
        <v>410</v>
      </c>
      <c r="B1913" s="44" t="str">
        <f aca="false">'Model Inputs &amp; Assumptions'!$B$31</f>
        <v>YouTube — Finfluencer Pre-roll</v>
      </c>
      <c r="C1913" s="45" t="n">
        <f aca="false">ROUND(MAX(0,'Model Inputs &amp; Assumptions'!$S$31*EXP('Model Inputs &amp; Assumptions'!$T$31*P1913-'Model Inputs &amp; Assumptions'!$T$31^2/2)),0)</f>
        <v>356053</v>
      </c>
      <c r="D1913" s="46" t="n">
        <f aca="false">MIN(1,'Model Inputs &amp; Assumptions'!$U$31*EXP('Model Inputs &amp; Assumptions'!$V$31*Q1913-'Model Inputs &amp; Assumptions'!$V$31^2/2))</f>
        <v>0.675621316844603</v>
      </c>
      <c r="E1913" s="45" t="n">
        <f aca="false">ROUND(C1913*D1913,0)</f>
        <v>240557</v>
      </c>
      <c r="F1913" s="47" t="n">
        <f aca="false">MIN(1,'Model Inputs &amp; Assumptions'!$W$31*EXP('Model Inputs &amp; Assumptions'!$X$31*R1913-'Model Inputs &amp; Assumptions'!$X$31^2/2))</f>
        <v>0.00404105514522717</v>
      </c>
      <c r="G1913" s="45" t="n">
        <f aca="false">ROUND(C1913*F1913,0)</f>
        <v>1439</v>
      </c>
      <c r="H1913" s="48" t="n">
        <f aca="false">MAX(0,(C1913*'Model Inputs &amp; Assumptions'!$N$31+E1913*'Model Inputs &amp; Assumptions'!$O$31+G1913*'Model Inputs &amp; Assumptions'!$P$31)*EXP('Model Inputs &amp; Assumptions'!$Q$31*S1913-'Model Inputs &amp; Assumptions'!$Q$31^2/2))</f>
        <v>65.7832323851205</v>
      </c>
      <c r="I1913" s="49" t="n">
        <f aca="false">IF('Model Inputs &amp; Assumptions'!$H$31="Fixed",'Model Inputs &amp; Assumptions'!$I$31*'Model Inputs &amp; Assumptions'!$K$31,IF('Model Inputs &amp; Assumptions'!$H$31="CPM",'Model Inputs &amp; Assumptions'!$I$31*'Model Inputs &amp; Assumptions'!$K$31*C1913/1000,IF('Model Inputs &amp; Assumptions'!$H$31="CPC",'Model Inputs &amp; Assumptions'!$I$31*'Model Inputs &amp; Assumptions'!$K$31*G1913,0)))</f>
        <v>4039.777338</v>
      </c>
      <c r="J1913" s="50" t="n">
        <f aca="false">H1913*INDEX('Model Inputs &amp; Assumptions'!$D$40:$D$42,MATCH('Model Inputs &amp; Assumptions'!$L$31,'Model Inputs &amp; Assumptions'!$A$40:$A$42,0))*INDEX('Model Inputs &amp; Assumptions'!$H$40:$H$42,MATCH('Model Inputs &amp; Assumptions'!$L$31,'Model Inputs &amp; Assumptions'!$A$40:$A$42,0))</f>
        <v>473639.273172868</v>
      </c>
      <c r="K1913" s="49" t="n">
        <f aca="false">H1913*INDEX('Model Inputs &amp; Assumptions'!$G$40:$G$42,MATCH('Model Inputs &amp; Assumptions'!$L$31,'Model Inputs &amp; Assumptions'!$A$40:$A$42,0))*INDEX('Model Inputs &amp; Assumptions'!$H$40:$H$42,MATCH('Model Inputs &amp; Assumptions'!$L$31,'Model Inputs &amp; Assumptions'!$A$40:$A$42,0))</f>
        <v>10443.7459734617</v>
      </c>
      <c r="L1913" s="51" t="n">
        <f aca="false">IFERROR(K1913/I1913,0)</f>
        <v>2.58522812017956</v>
      </c>
      <c r="M1913" s="49" t="n">
        <f aca="false">IFERROR(I1913/H1913,0)</f>
        <v>61.4104414077675</v>
      </c>
      <c r="N1913" s="52" t="str">
        <f aca="false">'Model Inputs &amp; Assumptions'!$L$31</f>
        <v>PRD-USIQ</v>
      </c>
      <c r="P1913" s="53" t="n">
        <v>-0.926811</v>
      </c>
      <c r="Q1913" s="53" t="n">
        <v>1.03793</v>
      </c>
      <c r="R1913" s="53" t="n">
        <v>-0.767217</v>
      </c>
      <c r="S1913" s="53" t="n">
        <v>1.537739</v>
      </c>
    </row>
    <row r="1914" customFormat="false" ht="15" hidden="false" customHeight="false" outlineLevel="0" collapsed="false">
      <c r="A1914" s="43" t="n">
        <v>411</v>
      </c>
      <c r="B1914" s="44" t="str">
        <f aca="false">'Model Inputs &amp; Assumptions'!$B$31</f>
        <v>YouTube — Finfluencer Pre-roll</v>
      </c>
      <c r="C1914" s="45" t="n">
        <f aca="false">ROUND(MAX(0,'Model Inputs &amp; Assumptions'!$S$31*EXP('Model Inputs &amp; Assumptions'!$T$31*P1914-'Model Inputs &amp; Assumptions'!$T$31^2/2)),0)</f>
        <v>401826</v>
      </c>
      <c r="D1914" s="46" t="n">
        <f aca="false">MIN(1,'Model Inputs &amp; Assumptions'!$U$31*EXP('Model Inputs &amp; Assumptions'!$V$31*Q1914-'Model Inputs &amp; Assumptions'!$V$31^2/2))</f>
        <v>0.517339874964009</v>
      </c>
      <c r="E1914" s="45" t="n">
        <f aca="false">ROUND(C1914*D1914,0)</f>
        <v>207881</v>
      </c>
      <c r="F1914" s="47" t="n">
        <f aca="false">MIN(1,'Model Inputs &amp; Assumptions'!$W$31*EXP('Model Inputs &amp; Assumptions'!$X$31*R1914-'Model Inputs &amp; Assumptions'!$X$31^2/2))</f>
        <v>0.00408930697705237</v>
      </c>
      <c r="G1914" s="45" t="n">
        <f aca="false">ROUND(C1914*F1914,0)</f>
        <v>1643</v>
      </c>
      <c r="H1914" s="48" t="n">
        <f aca="false">MAX(0,(C1914*'Model Inputs &amp; Assumptions'!$N$31+E1914*'Model Inputs &amp; Assumptions'!$O$31+G1914*'Model Inputs &amp; Assumptions'!$P$31)*EXP('Model Inputs &amp; Assumptions'!$Q$31*S1914-'Model Inputs &amp; Assumptions'!$Q$31^2/2))</f>
        <v>43.0751329572294</v>
      </c>
      <c r="I1914" s="49" t="n">
        <f aca="false">IF('Model Inputs &amp; Assumptions'!$H$31="Fixed",'Model Inputs &amp; Assumptions'!$I$31*'Model Inputs &amp; Assumptions'!$K$31,IF('Model Inputs &amp; Assumptions'!$H$31="CPM",'Model Inputs &amp; Assumptions'!$I$31*'Model Inputs &amp; Assumptions'!$K$31*C1914/1000,IF('Model Inputs &amp; Assumptions'!$H$31="CPC",'Model Inputs &amp; Assumptions'!$I$31*'Model Inputs &amp; Assumptions'!$K$31*G1914,0)))</f>
        <v>4559.117796</v>
      </c>
      <c r="J1914" s="50" t="n">
        <f aca="false">H1914*INDEX('Model Inputs &amp; Assumptions'!$D$40:$D$42,MATCH('Model Inputs &amp; Assumptions'!$L$31,'Model Inputs &amp; Assumptions'!$A$40:$A$42,0))*INDEX('Model Inputs &amp; Assumptions'!$H$40:$H$42,MATCH('Model Inputs &amp; Assumptions'!$L$31,'Model Inputs &amp; Assumptions'!$A$40:$A$42,0))</f>
        <v>310140.957292052</v>
      </c>
      <c r="K1914" s="49" t="n">
        <f aca="false">H1914*INDEX('Model Inputs &amp; Assumptions'!$G$40:$G$42,MATCH('Model Inputs &amp; Assumptions'!$L$31,'Model Inputs &amp; Assumptions'!$A$40:$A$42,0))*INDEX('Model Inputs &amp; Assumptions'!$H$40:$H$42,MATCH('Model Inputs &amp; Assumptions'!$L$31,'Model Inputs &amp; Assumptions'!$A$40:$A$42,0))</f>
        <v>6838.60810828974</v>
      </c>
      <c r="L1914" s="51" t="n">
        <f aca="false">IFERROR(K1914/I1914,0)</f>
        <v>1.49998495636364</v>
      </c>
      <c r="M1914" s="49" t="n">
        <f aca="false">IFERROR(I1914/H1914,0)</f>
        <v>105.841061489627</v>
      </c>
      <c r="N1914" s="52" t="str">
        <f aca="false">'Model Inputs &amp; Assumptions'!$L$31</f>
        <v>PRD-USIQ</v>
      </c>
      <c r="P1914" s="53" t="n">
        <v>-0.494883</v>
      </c>
      <c r="Q1914" s="53" t="n">
        <v>-0.868732</v>
      </c>
      <c r="R1914" s="53" t="n">
        <v>-0.71776</v>
      </c>
      <c r="S1914" s="53" t="n">
        <v>0.296935</v>
      </c>
    </row>
    <row r="1915" customFormat="false" ht="15" hidden="false" customHeight="false" outlineLevel="0" collapsed="false">
      <c r="A1915" s="43" t="n">
        <v>412</v>
      </c>
      <c r="B1915" s="44" t="str">
        <f aca="false">'Model Inputs &amp; Assumptions'!$B$31</f>
        <v>YouTube — Finfluencer Pre-roll</v>
      </c>
      <c r="C1915" s="45" t="n">
        <f aca="false">ROUND(MAX(0,'Model Inputs &amp; Assumptions'!$S$31*EXP('Model Inputs &amp; Assumptions'!$T$31*P1915-'Model Inputs &amp; Assumptions'!$T$31^2/2)),0)</f>
        <v>410125</v>
      </c>
      <c r="D1915" s="46" t="n">
        <f aca="false">MIN(1,'Model Inputs &amp; Assumptions'!$U$31*EXP('Model Inputs &amp; Assumptions'!$V$31*Q1915-'Model Inputs &amp; Assumptions'!$V$31^2/2))</f>
        <v>0.52562525554451</v>
      </c>
      <c r="E1915" s="45" t="n">
        <f aca="false">ROUND(C1915*D1915,0)</f>
        <v>215572</v>
      </c>
      <c r="F1915" s="47" t="n">
        <f aca="false">MIN(1,'Model Inputs &amp; Assumptions'!$W$31*EXP('Model Inputs &amp; Assumptions'!$X$31*R1915-'Model Inputs &amp; Assumptions'!$X$31^2/2))</f>
        <v>0.00615985718136986</v>
      </c>
      <c r="G1915" s="45" t="n">
        <f aca="false">ROUND(C1915*F1915,0)</f>
        <v>2526</v>
      </c>
      <c r="H1915" s="48" t="n">
        <f aca="false">MAX(0,(C1915*'Model Inputs &amp; Assumptions'!$N$31+E1915*'Model Inputs &amp; Assumptions'!$O$31+G1915*'Model Inputs &amp; Assumptions'!$P$31)*EXP('Model Inputs &amp; Assumptions'!$Q$31*S1915-'Model Inputs &amp; Assumptions'!$Q$31^2/2))</f>
        <v>26.6101695720615</v>
      </c>
      <c r="I1915" s="49" t="n">
        <f aca="false">IF('Model Inputs &amp; Assumptions'!$H$31="Fixed",'Model Inputs &amp; Assumptions'!$I$31*'Model Inputs &amp; Assumptions'!$K$31,IF('Model Inputs &amp; Assumptions'!$H$31="CPM",'Model Inputs &amp; Assumptions'!$I$31*'Model Inputs &amp; Assumptions'!$K$31*C1915/1000,IF('Model Inputs &amp; Assumptions'!$H$31="CPC",'Model Inputs &amp; Assumptions'!$I$31*'Model Inputs &amp; Assumptions'!$K$31*G1915,0)))</f>
        <v>4653.27825</v>
      </c>
      <c r="J1915" s="50" t="n">
        <f aca="false">H1915*INDEX('Model Inputs &amp; Assumptions'!$D$40:$D$42,MATCH('Model Inputs &amp; Assumptions'!$L$31,'Model Inputs &amp; Assumptions'!$A$40:$A$42,0))*INDEX('Model Inputs &amp; Assumptions'!$H$40:$H$42,MATCH('Model Inputs &amp; Assumptions'!$L$31,'Model Inputs &amp; Assumptions'!$A$40:$A$42,0))</f>
        <v>191593.220918843</v>
      </c>
      <c r="K1915" s="49" t="n">
        <f aca="false">H1915*INDEX('Model Inputs &amp; Assumptions'!$G$40:$G$42,MATCH('Model Inputs &amp; Assumptions'!$L$31,'Model Inputs &amp; Assumptions'!$A$40:$A$42,0))*INDEX('Model Inputs &amp; Assumptions'!$H$40:$H$42,MATCH('Model Inputs &amp; Assumptions'!$L$31,'Model Inputs &amp; Assumptions'!$A$40:$A$42,0))</f>
        <v>4224.63052126048</v>
      </c>
      <c r="L1915" s="51" t="n">
        <f aca="false">IFERROR(K1915/I1915,0)</f>
        <v>0.907882635486172</v>
      </c>
      <c r="M1915" s="49" t="n">
        <f aca="false">IFERROR(I1915/H1915,0)</f>
        <v>174.86841778286</v>
      </c>
      <c r="N1915" s="52" t="str">
        <f aca="false">'Model Inputs &amp; Assumptions'!$L$31</f>
        <v>PRD-USIQ</v>
      </c>
      <c r="P1915" s="53" t="n">
        <v>-0.42187</v>
      </c>
      <c r="Q1915" s="53" t="n">
        <v>-0.755243</v>
      </c>
      <c r="R1915" s="53" t="n">
        <v>0.989232</v>
      </c>
      <c r="S1915" s="53" t="n">
        <v>-1.906443</v>
      </c>
    </row>
    <row r="1916" customFormat="false" ht="15" hidden="false" customHeight="false" outlineLevel="0" collapsed="false">
      <c r="A1916" s="43" t="n">
        <v>413</v>
      </c>
      <c r="B1916" s="44" t="str">
        <f aca="false">'Model Inputs &amp; Assumptions'!$B$31</f>
        <v>YouTube — Finfluencer Pre-roll</v>
      </c>
      <c r="C1916" s="45" t="n">
        <f aca="false">ROUND(MAX(0,'Model Inputs &amp; Assumptions'!$S$31*EXP('Model Inputs &amp; Assumptions'!$T$31*P1916-'Model Inputs &amp; Assumptions'!$T$31^2/2)),0)</f>
        <v>626537</v>
      </c>
      <c r="D1916" s="46" t="n">
        <f aca="false">MIN(1,'Model Inputs &amp; Assumptions'!$U$31*EXP('Model Inputs &amp; Assumptions'!$V$31*Q1916-'Model Inputs &amp; Assumptions'!$V$31^2/2))</f>
        <v>0.591047636220459</v>
      </c>
      <c r="E1916" s="45" t="n">
        <f aca="false">ROUND(C1916*D1916,0)</f>
        <v>370313</v>
      </c>
      <c r="F1916" s="47" t="n">
        <f aca="false">MIN(1,'Model Inputs &amp; Assumptions'!$W$31*EXP('Model Inputs &amp; Assumptions'!$X$31*R1916-'Model Inputs &amp; Assumptions'!$X$31^2/2))</f>
        <v>0.00537054349251589</v>
      </c>
      <c r="G1916" s="45" t="n">
        <f aca="false">ROUND(C1916*F1916,0)</f>
        <v>3365</v>
      </c>
      <c r="H1916" s="48" t="n">
        <f aca="false">MAX(0,(C1916*'Model Inputs &amp; Assumptions'!$N$31+E1916*'Model Inputs &amp; Assumptions'!$O$31+G1916*'Model Inputs &amp; Assumptions'!$P$31)*EXP('Model Inputs &amp; Assumptions'!$Q$31*S1916-'Model Inputs &amp; Assumptions'!$Q$31^2/2))</f>
        <v>67.1612774786702</v>
      </c>
      <c r="I1916" s="49" t="n">
        <f aca="false">IF('Model Inputs &amp; Assumptions'!$H$31="Fixed",'Model Inputs &amp; Assumptions'!$I$31*'Model Inputs &amp; Assumptions'!$K$31,IF('Model Inputs &amp; Assumptions'!$H$31="CPM",'Model Inputs &amp; Assumptions'!$I$31*'Model Inputs &amp; Assumptions'!$K$31*C1916/1000,IF('Model Inputs &amp; Assumptions'!$H$31="CPC",'Model Inputs &amp; Assumptions'!$I$31*'Model Inputs &amp; Assumptions'!$K$31*G1916,0)))</f>
        <v>7108.688802</v>
      </c>
      <c r="J1916" s="50" t="n">
        <f aca="false">H1916*INDEX('Model Inputs &amp; Assumptions'!$D$40:$D$42,MATCH('Model Inputs &amp; Assumptions'!$L$31,'Model Inputs &amp; Assumptions'!$A$40:$A$42,0))*INDEX('Model Inputs &amp; Assumptions'!$H$40:$H$42,MATCH('Model Inputs &amp; Assumptions'!$L$31,'Model Inputs &amp; Assumptions'!$A$40:$A$42,0))</f>
        <v>483561.197846426</v>
      </c>
      <c r="K1916" s="49" t="n">
        <f aca="false">H1916*INDEX('Model Inputs &amp; Assumptions'!$G$40:$G$42,MATCH('Model Inputs &amp; Assumptions'!$L$31,'Model Inputs &amp; Assumptions'!$A$40:$A$42,0))*INDEX('Model Inputs &amp; Assumptions'!$H$40:$H$42,MATCH('Model Inputs &amp; Assumptions'!$L$31,'Model Inputs &amp; Assumptions'!$A$40:$A$42,0))</f>
        <v>10662.5244125137</v>
      </c>
      <c r="L1916" s="51" t="n">
        <f aca="false">IFERROR(K1916/I1916,0)</f>
        <v>1.49992842695742</v>
      </c>
      <c r="M1916" s="49" t="n">
        <f aca="false">IFERROR(I1916/H1916,0)</f>
        <v>105.845050434868</v>
      </c>
      <c r="N1916" s="52" t="str">
        <f aca="false">'Model Inputs &amp; Assumptions'!$L$31</f>
        <v>PRD-USIQ</v>
      </c>
      <c r="P1916" s="53" t="n">
        <v>1.091507</v>
      </c>
      <c r="Q1916" s="53" t="n">
        <v>0.082672</v>
      </c>
      <c r="R1916" s="53" t="n">
        <v>0.41788</v>
      </c>
      <c r="S1916" s="53" t="n">
        <v>-0.32837</v>
      </c>
    </row>
    <row r="1917" customFormat="false" ht="15" hidden="false" customHeight="false" outlineLevel="0" collapsed="false">
      <c r="A1917" s="43" t="n">
        <v>414</v>
      </c>
      <c r="B1917" s="44" t="str">
        <f aca="false">'Model Inputs &amp; Assumptions'!$B$31</f>
        <v>YouTube — Finfluencer Pre-roll</v>
      </c>
      <c r="C1917" s="45" t="n">
        <f aca="false">ROUND(MAX(0,'Model Inputs &amp; Assumptions'!$S$31*EXP('Model Inputs &amp; Assumptions'!$T$31*P1917-'Model Inputs &amp; Assumptions'!$T$31^2/2)),0)</f>
        <v>434683</v>
      </c>
      <c r="D1917" s="46" t="n">
        <f aca="false">MIN(1,'Model Inputs &amp; Assumptions'!$U$31*EXP('Model Inputs &amp; Assumptions'!$V$31*Q1917-'Model Inputs &amp; Assumptions'!$V$31^2/2))</f>
        <v>0.58669866289342</v>
      </c>
      <c r="E1917" s="45" t="n">
        <f aca="false">ROUND(C1917*D1917,0)</f>
        <v>255028</v>
      </c>
      <c r="F1917" s="47" t="n">
        <f aca="false">MIN(1,'Model Inputs &amp; Assumptions'!$W$31*EXP('Model Inputs &amp; Assumptions'!$X$31*R1917-'Model Inputs &amp; Assumptions'!$X$31^2/2))</f>
        <v>0.00506356141376081</v>
      </c>
      <c r="G1917" s="45" t="n">
        <f aca="false">ROUND(C1917*F1917,0)</f>
        <v>2201</v>
      </c>
      <c r="H1917" s="48" t="n">
        <f aca="false">MAX(0,(C1917*'Model Inputs &amp; Assumptions'!$N$31+E1917*'Model Inputs &amp; Assumptions'!$O$31+G1917*'Model Inputs &amp; Assumptions'!$P$31)*EXP('Model Inputs &amp; Assumptions'!$Q$31*S1917-'Model Inputs &amp; Assumptions'!$Q$31^2/2))</f>
        <v>80.3566651579398</v>
      </c>
      <c r="I1917" s="49" t="n">
        <f aca="false">IF('Model Inputs &amp; Assumptions'!$H$31="Fixed",'Model Inputs &amp; Assumptions'!$I$31*'Model Inputs &amp; Assumptions'!$K$31,IF('Model Inputs &amp; Assumptions'!$H$31="CPM",'Model Inputs &amp; Assumptions'!$I$31*'Model Inputs &amp; Assumptions'!$K$31*C1917/1000,IF('Model Inputs &amp; Assumptions'!$H$31="CPC",'Model Inputs &amp; Assumptions'!$I$31*'Model Inputs &amp; Assumptions'!$K$31*G1917,0)))</f>
        <v>4931.913318</v>
      </c>
      <c r="J1917" s="50" t="n">
        <f aca="false">H1917*INDEX('Model Inputs &amp; Assumptions'!$D$40:$D$42,MATCH('Model Inputs &amp; Assumptions'!$L$31,'Model Inputs &amp; Assumptions'!$A$40:$A$42,0))*INDEX('Model Inputs &amp; Assumptions'!$H$40:$H$42,MATCH('Model Inputs &amp; Assumptions'!$L$31,'Model Inputs &amp; Assumptions'!$A$40:$A$42,0))</f>
        <v>578567.989137167</v>
      </c>
      <c r="K1917" s="49" t="n">
        <f aca="false">H1917*INDEX('Model Inputs &amp; Assumptions'!$G$40:$G$42,MATCH('Model Inputs &amp; Assumptions'!$L$31,'Model Inputs &amp; Assumptions'!$A$40:$A$42,0))*INDEX('Model Inputs &amp; Assumptions'!$H$40:$H$42,MATCH('Model Inputs &amp; Assumptions'!$L$31,'Model Inputs &amp; Assumptions'!$A$40:$A$42,0))</f>
        <v>12757.4241604745</v>
      </c>
      <c r="L1917" s="51" t="n">
        <f aca="false">IFERROR(K1917/I1917,0)</f>
        <v>2.58670891759467</v>
      </c>
      <c r="M1917" s="49" t="n">
        <f aca="false">IFERROR(I1917/H1917,0)</f>
        <v>61.3752861484035</v>
      </c>
      <c r="N1917" s="52" t="str">
        <f aca="false">'Model Inputs &amp; Assumptions'!$L$31</f>
        <v>PRD-USIQ</v>
      </c>
      <c r="P1917" s="53" t="n">
        <v>-0.214174</v>
      </c>
      <c r="Q1917" s="53" t="n">
        <v>0.02992</v>
      </c>
      <c r="R1917" s="53" t="n">
        <v>0.172634</v>
      </c>
      <c r="S1917" s="53" t="n">
        <v>1.34169</v>
      </c>
    </row>
    <row r="1918" customFormat="false" ht="15" hidden="false" customHeight="false" outlineLevel="0" collapsed="false">
      <c r="A1918" s="43" t="n">
        <v>415</v>
      </c>
      <c r="B1918" s="44" t="str">
        <f aca="false">'Model Inputs &amp; Assumptions'!$B$31</f>
        <v>YouTube — Finfluencer Pre-roll</v>
      </c>
      <c r="C1918" s="45" t="n">
        <f aca="false">ROUND(MAX(0,'Model Inputs &amp; Assumptions'!$S$31*EXP('Model Inputs &amp; Assumptions'!$T$31*P1918-'Model Inputs &amp; Assumptions'!$T$31^2/2)),0)</f>
        <v>331361</v>
      </c>
      <c r="D1918" s="46" t="n">
        <f aca="false">MIN(1,'Model Inputs &amp; Assumptions'!$U$31*EXP('Model Inputs &amp; Assumptions'!$V$31*Q1918-'Model Inputs &amp; Assumptions'!$V$31^2/2))</f>
        <v>0.649106951158468</v>
      </c>
      <c r="E1918" s="45" t="n">
        <f aca="false">ROUND(C1918*D1918,0)</f>
        <v>215089</v>
      </c>
      <c r="F1918" s="47" t="n">
        <f aca="false">MIN(1,'Model Inputs &amp; Assumptions'!$W$31*EXP('Model Inputs &amp; Assumptions'!$X$31*R1918-'Model Inputs &amp; Assumptions'!$X$31^2/2))</f>
        <v>0.00423088162122158</v>
      </c>
      <c r="G1918" s="45" t="n">
        <f aca="false">ROUND(C1918*F1918,0)</f>
        <v>1402</v>
      </c>
      <c r="H1918" s="48" t="n">
        <f aca="false">MAX(0,(C1918*'Model Inputs &amp; Assumptions'!$N$31+E1918*'Model Inputs &amp; Assumptions'!$O$31+G1918*'Model Inputs &amp; Assumptions'!$P$31)*EXP('Model Inputs &amp; Assumptions'!$Q$31*S1918-'Model Inputs &amp; Assumptions'!$Q$31^2/2))</f>
        <v>36.779308629419</v>
      </c>
      <c r="I1918" s="49" t="n">
        <f aca="false">IF('Model Inputs &amp; Assumptions'!$H$31="Fixed",'Model Inputs &amp; Assumptions'!$I$31*'Model Inputs &amp; Assumptions'!$K$31,IF('Model Inputs &amp; Assumptions'!$H$31="CPM",'Model Inputs &amp; Assumptions'!$I$31*'Model Inputs &amp; Assumptions'!$K$31*C1918/1000,IF('Model Inputs &amp; Assumptions'!$H$31="CPC",'Model Inputs &amp; Assumptions'!$I$31*'Model Inputs &amp; Assumptions'!$K$31*G1918,0)))</f>
        <v>3759.621906</v>
      </c>
      <c r="J1918" s="50" t="n">
        <f aca="false">H1918*INDEX('Model Inputs &amp; Assumptions'!$D$40:$D$42,MATCH('Model Inputs &amp; Assumptions'!$L$31,'Model Inputs &amp; Assumptions'!$A$40:$A$42,0))*INDEX('Model Inputs &amp; Assumptions'!$H$40:$H$42,MATCH('Model Inputs &amp; Assumptions'!$L$31,'Model Inputs &amp; Assumptions'!$A$40:$A$42,0))</f>
        <v>264811.022131817</v>
      </c>
      <c r="K1918" s="49" t="n">
        <f aca="false">H1918*INDEX('Model Inputs &amp; Assumptions'!$G$40:$G$42,MATCH('Model Inputs &amp; Assumptions'!$L$31,'Model Inputs &amp; Assumptions'!$A$40:$A$42,0))*INDEX('Model Inputs &amp; Assumptions'!$H$40:$H$42,MATCH('Model Inputs &amp; Assumptions'!$L$31,'Model Inputs &amp; Assumptions'!$A$40:$A$42,0))</f>
        <v>5839.08303800657</v>
      </c>
      <c r="L1918" s="51" t="n">
        <f aca="false">IFERROR(K1918/I1918,0)</f>
        <v>1.55310379181692</v>
      </c>
      <c r="M1918" s="49" t="n">
        <f aca="false">IFERROR(I1918/H1918,0)</f>
        <v>102.221114156364</v>
      </c>
      <c r="N1918" s="52" t="str">
        <f aca="false">'Model Inputs &amp; Assumptions'!$L$31</f>
        <v>PRD-USIQ</v>
      </c>
      <c r="P1918" s="53" t="n">
        <v>-1.18349</v>
      </c>
      <c r="Q1918" s="53" t="n">
        <v>0.751964</v>
      </c>
      <c r="R1918" s="53" t="n">
        <v>-0.575948</v>
      </c>
      <c r="S1918" s="53" t="n">
        <v>0.063939</v>
      </c>
    </row>
    <row r="1919" customFormat="false" ht="15" hidden="false" customHeight="false" outlineLevel="0" collapsed="false">
      <c r="A1919" s="43" t="n">
        <v>416</v>
      </c>
      <c r="B1919" s="44" t="str">
        <f aca="false">'Model Inputs &amp; Assumptions'!$B$31</f>
        <v>YouTube — Finfluencer Pre-roll</v>
      </c>
      <c r="C1919" s="45" t="n">
        <f aca="false">ROUND(MAX(0,'Model Inputs &amp; Assumptions'!$S$31*EXP('Model Inputs &amp; Assumptions'!$T$31*P1919-'Model Inputs &amp; Assumptions'!$T$31^2/2)),0)</f>
        <v>1005243</v>
      </c>
      <c r="D1919" s="46" t="n">
        <f aca="false">MIN(1,'Model Inputs &amp; Assumptions'!$U$31*EXP('Model Inputs &amp; Assumptions'!$V$31*Q1919-'Model Inputs &amp; Assumptions'!$V$31^2/2))</f>
        <v>0.628139613907867</v>
      </c>
      <c r="E1919" s="45" t="n">
        <f aca="false">ROUND(C1919*D1919,0)</f>
        <v>631433</v>
      </c>
      <c r="F1919" s="47" t="n">
        <f aca="false">MIN(1,'Model Inputs &amp; Assumptions'!$W$31*EXP('Model Inputs &amp; Assumptions'!$X$31*R1919-'Model Inputs &amp; Assumptions'!$X$31^2/2))</f>
        <v>0.00401525345501663</v>
      </c>
      <c r="G1919" s="45" t="n">
        <f aca="false">ROUND(C1919*F1919,0)</f>
        <v>4036</v>
      </c>
      <c r="H1919" s="48" t="n">
        <f aca="false">MAX(0,(C1919*'Model Inputs &amp; Assumptions'!$N$31+E1919*'Model Inputs &amp; Assumptions'!$O$31+G1919*'Model Inputs &amp; Assumptions'!$P$31)*EXP('Model Inputs &amp; Assumptions'!$Q$31*S1919-'Model Inputs &amp; Assumptions'!$Q$31^2/2))</f>
        <v>108.625043326462</v>
      </c>
      <c r="I1919" s="49" t="n">
        <f aca="false">IF('Model Inputs &amp; Assumptions'!$H$31="Fixed",'Model Inputs &amp; Assumptions'!$I$31*'Model Inputs &amp; Assumptions'!$K$31,IF('Model Inputs &amp; Assumptions'!$H$31="CPM",'Model Inputs &amp; Assumptions'!$I$31*'Model Inputs &amp; Assumptions'!$K$31*C1919/1000,IF('Model Inputs &amp; Assumptions'!$H$31="CPC",'Model Inputs &amp; Assumptions'!$I$31*'Model Inputs &amp; Assumptions'!$K$31*G1919,0)))</f>
        <v>11405.487078</v>
      </c>
      <c r="J1919" s="50" t="n">
        <f aca="false">H1919*INDEX('Model Inputs &amp; Assumptions'!$D$40:$D$42,MATCH('Model Inputs &amp; Assumptions'!$L$31,'Model Inputs &amp; Assumptions'!$A$40:$A$42,0))*INDEX('Model Inputs &amp; Assumptions'!$H$40:$H$42,MATCH('Model Inputs &amp; Assumptions'!$L$31,'Model Inputs &amp; Assumptions'!$A$40:$A$42,0))</f>
        <v>782100.311950529</v>
      </c>
      <c r="K1919" s="49" t="n">
        <f aca="false">H1919*INDEX('Model Inputs &amp; Assumptions'!$G$40:$G$42,MATCH('Model Inputs &amp; Assumptions'!$L$31,'Model Inputs &amp; Assumptions'!$A$40:$A$42,0))*INDEX('Model Inputs &amp; Assumptions'!$H$40:$H$42,MATCH('Model Inputs &amp; Assumptions'!$L$31,'Model Inputs &amp; Assumptions'!$A$40:$A$42,0))</f>
        <v>17245.3118785092</v>
      </c>
      <c r="L1919" s="51" t="n">
        <f aca="false">IFERROR(K1919/I1919,0)</f>
        <v>1.51201888709984</v>
      </c>
      <c r="M1919" s="49" t="n">
        <f aca="false">IFERROR(I1919/H1919,0)</f>
        <v>104.998688412228</v>
      </c>
      <c r="N1919" s="52" t="str">
        <f aca="false">'Model Inputs &amp; Assumptions'!$L$31</f>
        <v>PRD-USIQ</v>
      </c>
      <c r="P1919" s="53" t="n">
        <v>2.779994</v>
      </c>
      <c r="Q1919" s="53" t="n">
        <v>0.517428</v>
      </c>
      <c r="R1919" s="53" t="n">
        <v>-0.793906</v>
      </c>
      <c r="S1919" s="53" t="n">
        <v>0.111799</v>
      </c>
    </row>
    <row r="1920" customFormat="false" ht="15" hidden="false" customHeight="false" outlineLevel="0" collapsed="false">
      <c r="A1920" s="43" t="n">
        <v>417</v>
      </c>
      <c r="B1920" s="44" t="str">
        <f aca="false">'Model Inputs &amp; Assumptions'!$B$31</f>
        <v>YouTube — Finfluencer Pre-roll</v>
      </c>
      <c r="C1920" s="45" t="n">
        <f aca="false">ROUND(MAX(0,'Model Inputs &amp; Assumptions'!$S$31*EXP('Model Inputs &amp; Assumptions'!$T$31*P1920-'Model Inputs &amp; Assumptions'!$T$31^2/2)),0)</f>
        <v>331302</v>
      </c>
      <c r="D1920" s="46" t="n">
        <f aca="false">MIN(1,'Model Inputs &amp; Assumptions'!$U$31*EXP('Model Inputs &amp; Assumptions'!$V$31*Q1920-'Model Inputs &amp; Assumptions'!$V$31^2/2))</f>
        <v>0.74045062746963</v>
      </c>
      <c r="E1920" s="45" t="n">
        <f aca="false">ROUND(C1920*D1920,0)</f>
        <v>245313</v>
      </c>
      <c r="F1920" s="47" t="n">
        <f aca="false">MIN(1,'Model Inputs &amp; Assumptions'!$W$31*EXP('Model Inputs &amp; Assumptions'!$X$31*R1920-'Model Inputs &amp; Assumptions'!$X$31^2/2))</f>
        <v>0.00389482329997706</v>
      </c>
      <c r="G1920" s="45" t="n">
        <f aca="false">ROUND(C1920*F1920,0)</f>
        <v>1290</v>
      </c>
      <c r="H1920" s="48" t="n">
        <f aca="false">MAX(0,(C1920*'Model Inputs &amp; Assumptions'!$N$31+E1920*'Model Inputs &amp; Assumptions'!$O$31+G1920*'Model Inputs &amp; Assumptions'!$P$31)*EXP('Model Inputs &amp; Assumptions'!$Q$31*S1920-'Model Inputs &amp; Assumptions'!$Q$31^2/2))</f>
        <v>49.545212733377</v>
      </c>
      <c r="I1920" s="49" t="n">
        <f aca="false">IF('Model Inputs &amp; Assumptions'!$H$31="Fixed",'Model Inputs &amp; Assumptions'!$I$31*'Model Inputs &amp; Assumptions'!$K$31,IF('Model Inputs &amp; Assumptions'!$H$31="CPM",'Model Inputs &amp; Assumptions'!$I$31*'Model Inputs &amp; Assumptions'!$K$31*C1920/1000,IF('Model Inputs &amp; Assumptions'!$H$31="CPC",'Model Inputs &amp; Assumptions'!$I$31*'Model Inputs &amp; Assumptions'!$K$31*G1920,0)))</f>
        <v>3758.952492</v>
      </c>
      <c r="J1920" s="50" t="n">
        <f aca="false">H1920*INDEX('Model Inputs &amp; Assumptions'!$D$40:$D$42,MATCH('Model Inputs &amp; Assumptions'!$L$31,'Model Inputs &amp; Assumptions'!$A$40:$A$42,0))*INDEX('Model Inputs &amp; Assumptions'!$H$40:$H$42,MATCH('Model Inputs &amp; Assumptions'!$L$31,'Model Inputs &amp; Assumptions'!$A$40:$A$42,0))</f>
        <v>356725.531680314</v>
      </c>
      <c r="K1920" s="49" t="n">
        <f aca="false">H1920*INDEX('Model Inputs &amp; Assumptions'!$G$40:$G$42,MATCH('Model Inputs &amp; Assumptions'!$L$31,'Model Inputs &amp; Assumptions'!$A$40:$A$42,0))*INDEX('Model Inputs &amp; Assumptions'!$H$40:$H$42,MATCH('Model Inputs &amp; Assumptions'!$L$31,'Model Inputs &amp; Assumptions'!$A$40:$A$42,0))</f>
        <v>7865.79797355093</v>
      </c>
      <c r="L1920" s="51" t="n">
        <f aca="false">IFERROR(K1920/I1920,0)</f>
        <v>2.09255051514786</v>
      </c>
      <c r="M1920" s="49" t="n">
        <f aca="false">IFERROR(I1920/H1920,0)</f>
        <v>75.8691361812989</v>
      </c>
      <c r="N1920" s="52" t="str">
        <f aca="false">'Model Inputs &amp; Assumptions'!$L$31</f>
        <v>PRD-USIQ</v>
      </c>
      <c r="P1920" s="53" t="n">
        <v>-1.184125</v>
      </c>
      <c r="Q1920" s="53" t="n">
        <v>1.692403</v>
      </c>
      <c r="R1920" s="53" t="n">
        <v>-0.92079</v>
      </c>
      <c r="S1920" s="53" t="n">
        <v>0.860612</v>
      </c>
    </row>
    <row r="1921" customFormat="false" ht="15" hidden="false" customHeight="false" outlineLevel="0" collapsed="false">
      <c r="A1921" s="43" t="n">
        <v>418</v>
      </c>
      <c r="B1921" s="44" t="str">
        <f aca="false">'Model Inputs &amp; Assumptions'!$B$31</f>
        <v>YouTube — Finfluencer Pre-roll</v>
      </c>
      <c r="C1921" s="45" t="n">
        <f aca="false">ROUND(MAX(0,'Model Inputs &amp; Assumptions'!$S$31*EXP('Model Inputs &amp; Assumptions'!$T$31*P1921-'Model Inputs &amp; Assumptions'!$T$31^2/2)),0)</f>
        <v>327630</v>
      </c>
      <c r="D1921" s="46" t="n">
        <f aca="false">MIN(1,'Model Inputs &amp; Assumptions'!$U$31*EXP('Model Inputs &amp; Assumptions'!$V$31*Q1921-'Model Inputs &amp; Assumptions'!$V$31^2/2))</f>
        <v>0.527905883515342</v>
      </c>
      <c r="E1921" s="45" t="n">
        <f aca="false">ROUND(C1921*D1921,0)</f>
        <v>172958</v>
      </c>
      <c r="F1921" s="47" t="n">
        <f aca="false">MIN(1,'Model Inputs &amp; Assumptions'!$W$31*EXP('Model Inputs &amp; Assumptions'!$X$31*R1921-'Model Inputs &amp; Assumptions'!$X$31^2/2))</f>
        <v>0.00656800197226543</v>
      </c>
      <c r="G1921" s="45" t="n">
        <f aca="false">ROUND(C1921*F1921,0)</f>
        <v>2152</v>
      </c>
      <c r="H1921" s="48" t="n">
        <f aca="false">MAX(0,(C1921*'Model Inputs &amp; Assumptions'!$N$31+E1921*'Model Inputs &amp; Assumptions'!$O$31+G1921*'Model Inputs &amp; Assumptions'!$P$31)*EXP('Model Inputs &amp; Assumptions'!$Q$31*S1921-'Model Inputs &amp; Assumptions'!$Q$31^2/2))</f>
        <v>40.8550358087859</v>
      </c>
      <c r="I1921" s="49" t="n">
        <f aca="false">IF('Model Inputs &amp; Assumptions'!$H$31="Fixed",'Model Inputs &amp; Assumptions'!$I$31*'Model Inputs &amp; Assumptions'!$K$31,IF('Model Inputs &amp; Assumptions'!$H$31="CPM",'Model Inputs &amp; Assumptions'!$I$31*'Model Inputs &amp; Assumptions'!$K$31*C1921/1000,IF('Model Inputs &amp; Assumptions'!$H$31="CPC",'Model Inputs &amp; Assumptions'!$I$31*'Model Inputs &amp; Assumptions'!$K$31*G1921,0)))</f>
        <v>3717.28998</v>
      </c>
      <c r="J1921" s="50" t="n">
        <f aca="false">H1921*INDEX('Model Inputs &amp; Assumptions'!$D$40:$D$42,MATCH('Model Inputs &amp; Assumptions'!$L$31,'Model Inputs &amp; Assumptions'!$A$40:$A$42,0))*INDEX('Model Inputs &amp; Assumptions'!$H$40:$H$42,MATCH('Model Inputs &amp; Assumptions'!$L$31,'Model Inputs &amp; Assumptions'!$A$40:$A$42,0))</f>
        <v>294156.257823259</v>
      </c>
      <c r="K1921" s="49" t="n">
        <f aca="false">H1921*INDEX('Model Inputs &amp; Assumptions'!$G$40:$G$42,MATCH('Model Inputs &amp; Assumptions'!$L$31,'Model Inputs &amp; Assumptions'!$A$40:$A$42,0))*INDEX('Model Inputs &amp; Assumptions'!$H$40:$H$42,MATCH('Model Inputs &amp; Assumptions'!$L$31,'Model Inputs &amp; Assumptions'!$A$40:$A$42,0))</f>
        <v>6486.14548500286</v>
      </c>
      <c r="L1921" s="51" t="n">
        <f aca="false">IFERROR(K1921/I1921,0)</f>
        <v>1.74485862547717</v>
      </c>
      <c r="M1921" s="49" t="n">
        <f aca="false">IFERROR(I1921/H1921,0)</f>
        <v>90.9873142052317</v>
      </c>
      <c r="N1921" s="52" t="str">
        <f aca="false">'Model Inputs &amp; Assumptions'!$L$31</f>
        <v>PRD-USIQ</v>
      </c>
      <c r="P1921" s="53" t="n">
        <v>-1.223937</v>
      </c>
      <c r="Q1921" s="53" t="n">
        <v>-0.724318</v>
      </c>
      <c r="R1921" s="53" t="n">
        <v>1.256549</v>
      </c>
      <c r="S1921" s="53" t="n">
        <v>-0.171125</v>
      </c>
    </row>
    <row r="1922" customFormat="false" ht="15" hidden="false" customHeight="false" outlineLevel="0" collapsed="false">
      <c r="A1922" s="43" t="n">
        <v>419</v>
      </c>
      <c r="B1922" s="44" t="str">
        <f aca="false">'Model Inputs &amp; Assumptions'!$B$31</f>
        <v>YouTube — Finfluencer Pre-roll</v>
      </c>
      <c r="C1922" s="45" t="n">
        <f aca="false">ROUND(MAX(0,'Model Inputs &amp; Assumptions'!$S$31*EXP('Model Inputs &amp; Assumptions'!$T$31*P1922-'Model Inputs &amp; Assumptions'!$T$31^2/2)),0)</f>
        <v>766072</v>
      </c>
      <c r="D1922" s="46" t="n">
        <f aca="false">MIN(1,'Model Inputs &amp; Assumptions'!$U$31*EXP('Model Inputs &amp; Assumptions'!$V$31*Q1922-'Model Inputs &amp; Assumptions'!$V$31^2/2))</f>
        <v>0.797200899689437</v>
      </c>
      <c r="E1922" s="45" t="n">
        <f aca="false">ROUND(C1922*D1922,0)</f>
        <v>610713</v>
      </c>
      <c r="F1922" s="47" t="n">
        <f aca="false">MIN(1,'Model Inputs &amp; Assumptions'!$W$31*EXP('Model Inputs &amp; Assumptions'!$X$31*R1922-'Model Inputs &amp; Assumptions'!$X$31^2/2))</f>
        <v>0.00512632379141308</v>
      </c>
      <c r="G1922" s="45" t="n">
        <f aca="false">ROUND(C1922*F1922,0)</f>
        <v>3927</v>
      </c>
      <c r="H1922" s="48" t="n">
        <f aca="false">MAX(0,(C1922*'Model Inputs &amp; Assumptions'!$N$31+E1922*'Model Inputs &amp; Assumptions'!$O$31+G1922*'Model Inputs &amp; Assumptions'!$P$31)*EXP('Model Inputs &amp; Assumptions'!$Q$31*S1922-'Model Inputs &amp; Assumptions'!$Q$31^2/2))</f>
        <v>70.6935234681122</v>
      </c>
      <c r="I1922" s="49" t="n">
        <f aca="false">IF('Model Inputs &amp; Assumptions'!$H$31="Fixed",'Model Inputs &amp; Assumptions'!$I$31*'Model Inputs &amp; Assumptions'!$K$31,IF('Model Inputs &amp; Assumptions'!$H$31="CPM",'Model Inputs &amp; Assumptions'!$I$31*'Model Inputs &amp; Assumptions'!$K$31*C1922/1000,IF('Model Inputs &amp; Assumptions'!$H$31="CPC",'Model Inputs &amp; Assumptions'!$I$31*'Model Inputs &amp; Assumptions'!$K$31*G1922,0)))</f>
        <v>8691.852912</v>
      </c>
      <c r="J1922" s="50" t="n">
        <f aca="false">H1922*INDEX('Model Inputs &amp; Assumptions'!$D$40:$D$42,MATCH('Model Inputs &amp; Assumptions'!$L$31,'Model Inputs &amp; Assumptions'!$A$40:$A$42,0))*INDEX('Model Inputs &amp; Assumptions'!$H$40:$H$42,MATCH('Model Inputs &amp; Assumptions'!$L$31,'Model Inputs &amp; Assumptions'!$A$40:$A$42,0))</f>
        <v>508993.368970408</v>
      </c>
      <c r="K1922" s="49" t="n">
        <f aca="false">H1922*INDEX('Model Inputs &amp; Assumptions'!$G$40:$G$42,MATCH('Model Inputs &amp; Assumptions'!$L$31,'Model Inputs &amp; Assumptions'!$A$40:$A$42,0))*INDEX('Model Inputs &amp; Assumptions'!$H$40:$H$42,MATCH('Model Inputs &amp; Assumptions'!$L$31,'Model Inputs &amp; Assumptions'!$A$40:$A$42,0))</f>
        <v>11223.3037857975</v>
      </c>
      <c r="L1922" s="51" t="n">
        <f aca="false">IFERROR(K1922/I1922,0)</f>
        <v>1.29124409943737</v>
      </c>
      <c r="M1922" s="49" t="n">
        <f aca="false">IFERROR(I1922/H1922,0)</f>
        <v>122.951191079345</v>
      </c>
      <c r="N1922" s="52" t="str">
        <f aca="false">'Model Inputs &amp; Assumptions'!$L$31</f>
        <v>PRD-USIQ</v>
      </c>
      <c r="P1922" s="53" t="n">
        <v>1.809606</v>
      </c>
      <c r="Q1922" s="53" t="n">
        <v>2.219887</v>
      </c>
      <c r="R1922" s="53" t="n">
        <v>0.223962</v>
      </c>
      <c r="S1922" s="53" t="n">
        <v>-1.02949</v>
      </c>
    </row>
    <row r="1923" customFormat="false" ht="15" hidden="false" customHeight="false" outlineLevel="0" collapsed="false">
      <c r="A1923" s="43" t="n">
        <v>420</v>
      </c>
      <c r="B1923" s="44" t="str">
        <f aca="false">'Model Inputs &amp; Assumptions'!$B$31</f>
        <v>YouTube — Finfluencer Pre-roll</v>
      </c>
      <c r="C1923" s="45" t="n">
        <f aca="false">ROUND(MAX(0,'Model Inputs &amp; Assumptions'!$S$31*EXP('Model Inputs &amp; Assumptions'!$T$31*P1923-'Model Inputs &amp; Assumptions'!$T$31^2/2)),0)</f>
        <v>560652</v>
      </c>
      <c r="D1923" s="46" t="n">
        <f aca="false">MIN(1,'Model Inputs &amp; Assumptions'!$U$31*EXP('Model Inputs &amp; Assumptions'!$V$31*Q1923-'Model Inputs &amp; Assumptions'!$V$31^2/2))</f>
        <v>0.52802747424095</v>
      </c>
      <c r="E1923" s="45" t="n">
        <f aca="false">ROUND(C1923*D1923,0)</f>
        <v>296040</v>
      </c>
      <c r="F1923" s="47" t="n">
        <f aca="false">MIN(1,'Model Inputs &amp; Assumptions'!$W$31*EXP('Model Inputs &amp; Assumptions'!$X$31*R1923-'Model Inputs &amp; Assumptions'!$X$31^2/2))</f>
        <v>0.00582562233536449</v>
      </c>
      <c r="G1923" s="45" t="n">
        <f aca="false">ROUND(C1923*F1923,0)</f>
        <v>3266</v>
      </c>
      <c r="H1923" s="48" t="n">
        <f aca="false">MAX(0,(C1923*'Model Inputs &amp; Assumptions'!$N$31+E1923*'Model Inputs &amp; Assumptions'!$O$31+G1923*'Model Inputs &amp; Assumptions'!$P$31)*EXP('Model Inputs &amp; Assumptions'!$Q$31*S1923-'Model Inputs &amp; Assumptions'!$Q$31^2/2))</f>
        <v>53.9638743050274</v>
      </c>
      <c r="I1923" s="49" t="n">
        <f aca="false">IF('Model Inputs &amp; Assumptions'!$H$31="Fixed",'Model Inputs &amp; Assumptions'!$I$31*'Model Inputs &amp; Assumptions'!$K$31,IF('Model Inputs &amp; Assumptions'!$H$31="CPM",'Model Inputs &amp; Assumptions'!$I$31*'Model Inputs &amp; Assumptions'!$K$31*C1923/1000,IF('Model Inputs &amp; Assumptions'!$H$31="CPC",'Model Inputs &amp; Assumptions'!$I$31*'Model Inputs &amp; Assumptions'!$K$31*G1923,0)))</f>
        <v>6361.157592</v>
      </c>
      <c r="J1923" s="50" t="n">
        <f aca="false">H1923*INDEX('Model Inputs &amp; Assumptions'!$D$40:$D$42,MATCH('Model Inputs &amp; Assumptions'!$L$31,'Model Inputs &amp; Assumptions'!$A$40:$A$42,0))*INDEX('Model Inputs &amp; Assumptions'!$H$40:$H$42,MATCH('Model Inputs &amp; Assumptions'!$L$31,'Model Inputs &amp; Assumptions'!$A$40:$A$42,0))</f>
        <v>388539.894996197</v>
      </c>
      <c r="K1923" s="49" t="n">
        <f aca="false">H1923*INDEX('Model Inputs &amp; Assumptions'!$G$40:$G$42,MATCH('Model Inputs &amp; Assumptions'!$L$31,'Model Inputs &amp; Assumptions'!$A$40:$A$42,0))*INDEX('Model Inputs &amp; Assumptions'!$H$40:$H$42,MATCH('Model Inputs &amp; Assumptions'!$L$31,'Model Inputs &amp; Assumptions'!$A$40:$A$42,0))</f>
        <v>8567.30468466615</v>
      </c>
      <c r="L1923" s="51" t="n">
        <f aca="false">IFERROR(K1923/I1923,0)</f>
        <v>1.34681534936985</v>
      </c>
      <c r="M1923" s="49" t="n">
        <f aca="false">IFERROR(I1923/H1923,0)</f>
        <v>117.878074432609</v>
      </c>
      <c r="N1923" s="52" t="str">
        <f aca="false">'Model Inputs &amp; Assumptions'!$L$31</f>
        <v>PRD-USIQ</v>
      </c>
      <c r="P1923" s="53" t="n">
        <v>0.694694</v>
      </c>
      <c r="Q1923" s="53" t="n">
        <v>-0.722673</v>
      </c>
      <c r="R1923" s="53" t="n">
        <v>0.756783</v>
      </c>
      <c r="S1923" s="53" t="n">
        <v>-0.675451</v>
      </c>
    </row>
    <row r="1924" customFormat="false" ht="15" hidden="false" customHeight="false" outlineLevel="0" collapsed="false">
      <c r="A1924" s="43" t="n">
        <v>421</v>
      </c>
      <c r="B1924" s="44" t="str">
        <f aca="false">'Model Inputs &amp; Assumptions'!$B$31</f>
        <v>YouTube — Finfluencer Pre-roll</v>
      </c>
      <c r="C1924" s="45" t="n">
        <f aca="false">ROUND(MAX(0,'Model Inputs &amp; Assumptions'!$S$31*EXP('Model Inputs &amp; Assumptions'!$T$31*P1924-'Model Inputs &amp; Assumptions'!$T$31^2/2)),0)</f>
        <v>416145</v>
      </c>
      <c r="D1924" s="46" t="n">
        <f aca="false">MIN(1,'Model Inputs &amp; Assumptions'!$U$31*EXP('Model Inputs &amp; Assumptions'!$V$31*Q1924-'Model Inputs &amp; Assumptions'!$V$31^2/2))</f>
        <v>0.563446629734697</v>
      </c>
      <c r="E1924" s="45" t="n">
        <f aca="false">ROUND(C1924*D1924,0)</f>
        <v>234475</v>
      </c>
      <c r="F1924" s="47" t="n">
        <f aca="false">MIN(1,'Model Inputs &amp; Assumptions'!$W$31*EXP('Model Inputs &amp; Assumptions'!$X$31*R1924-'Model Inputs &amp; Assumptions'!$X$31^2/2))</f>
        <v>0.0048277806650742</v>
      </c>
      <c r="G1924" s="45" t="n">
        <f aca="false">ROUND(C1924*F1924,0)</f>
        <v>2009</v>
      </c>
      <c r="H1924" s="48" t="n">
        <f aca="false">MAX(0,(C1924*'Model Inputs &amp; Assumptions'!$N$31+E1924*'Model Inputs &amp; Assumptions'!$O$31+G1924*'Model Inputs &amp; Assumptions'!$P$31)*EXP('Model Inputs &amp; Assumptions'!$Q$31*S1924-'Model Inputs &amp; Assumptions'!$Q$31^2/2))</f>
        <v>59.9980965138526</v>
      </c>
      <c r="I1924" s="49" t="n">
        <f aca="false">IF('Model Inputs &amp; Assumptions'!$H$31="Fixed",'Model Inputs &amp; Assumptions'!$I$31*'Model Inputs &amp; Assumptions'!$K$31,IF('Model Inputs &amp; Assumptions'!$H$31="CPM",'Model Inputs &amp; Assumptions'!$I$31*'Model Inputs &amp; Assumptions'!$K$31*C1924/1000,IF('Model Inputs &amp; Assumptions'!$H$31="CPC",'Model Inputs &amp; Assumptions'!$I$31*'Model Inputs &amp; Assumptions'!$K$31*G1924,0)))</f>
        <v>4721.58117</v>
      </c>
      <c r="J1924" s="50" t="n">
        <f aca="false">H1924*INDEX('Model Inputs &amp; Assumptions'!$D$40:$D$42,MATCH('Model Inputs &amp; Assumptions'!$L$31,'Model Inputs &amp; Assumptions'!$A$40:$A$42,0))*INDEX('Model Inputs &amp; Assumptions'!$H$40:$H$42,MATCH('Model Inputs &amp; Assumptions'!$L$31,'Model Inputs &amp; Assumptions'!$A$40:$A$42,0))</f>
        <v>431986.294899739</v>
      </c>
      <c r="K1924" s="49" t="n">
        <f aca="false">H1924*INDEX('Model Inputs &amp; Assumptions'!$G$40:$G$42,MATCH('Model Inputs &amp; Assumptions'!$L$31,'Model Inputs &amp; Assumptions'!$A$40:$A$42,0))*INDEX('Model Inputs &amp; Assumptions'!$H$40:$H$42,MATCH('Model Inputs &amp; Assumptions'!$L$31,'Model Inputs &amp; Assumptions'!$A$40:$A$42,0))</f>
        <v>9525.29780253924</v>
      </c>
      <c r="L1924" s="51" t="n">
        <f aca="false">IFERROR(K1924/I1924,0)</f>
        <v>2.01739575357957</v>
      </c>
      <c r="M1924" s="49" t="n">
        <f aca="false">IFERROR(I1924/H1924,0)</f>
        <v>78.6955160970792</v>
      </c>
      <c r="N1924" s="52" t="str">
        <f aca="false">'Model Inputs &amp; Assumptions'!$L$31</f>
        <v>PRD-USIQ</v>
      </c>
      <c r="P1924" s="53" t="n">
        <v>-0.369826</v>
      </c>
      <c r="Q1924" s="53" t="n">
        <v>-0.258928</v>
      </c>
      <c r="R1924" s="53" t="n">
        <v>-0.026046</v>
      </c>
      <c r="S1924" s="53" t="n">
        <v>0.759796</v>
      </c>
    </row>
    <row r="1925" customFormat="false" ht="15" hidden="false" customHeight="false" outlineLevel="0" collapsed="false">
      <c r="A1925" s="43" t="n">
        <v>422</v>
      </c>
      <c r="B1925" s="44" t="str">
        <f aca="false">'Model Inputs &amp; Assumptions'!$B$31</f>
        <v>YouTube — Finfluencer Pre-roll</v>
      </c>
      <c r="C1925" s="45" t="n">
        <f aca="false">ROUND(MAX(0,'Model Inputs &amp; Assumptions'!$S$31*EXP('Model Inputs &amp; Assumptions'!$T$31*P1925-'Model Inputs &amp; Assumptions'!$T$31^2/2)),0)</f>
        <v>381583</v>
      </c>
      <c r="D1925" s="46" t="n">
        <f aca="false">MIN(1,'Model Inputs &amp; Assumptions'!$U$31*EXP('Model Inputs &amp; Assumptions'!$V$31*Q1925-'Model Inputs &amp; Assumptions'!$V$31^2/2))</f>
        <v>0.601229771572516</v>
      </c>
      <c r="E1925" s="45" t="n">
        <f aca="false">ROUND(C1925*D1925,0)</f>
        <v>229419</v>
      </c>
      <c r="F1925" s="47" t="n">
        <f aca="false">MIN(1,'Model Inputs &amp; Assumptions'!$W$31*EXP('Model Inputs &amp; Assumptions'!$X$31*R1925-'Model Inputs &amp; Assumptions'!$X$31^2/2))</f>
        <v>0.00451917525927884</v>
      </c>
      <c r="G1925" s="45" t="n">
        <f aca="false">ROUND(C1925*F1925,0)</f>
        <v>1724</v>
      </c>
      <c r="H1925" s="48" t="n">
        <f aca="false">MAX(0,(C1925*'Model Inputs &amp; Assumptions'!$N$31+E1925*'Model Inputs &amp; Assumptions'!$O$31+G1925*'Model Inputs &amp; Assumptions'!$P$31)*EXP('Model Inputs &amp; Assumptions'!$Q$31*S1925-'Model Inputs &amp; Assumptions'!$Q$31^2/2))</f>
        <v>47.514906110493</v>
      </c>
      <c r="I1925" s="49" t="n">
        <f aca="false">IF('Model Inputs &amp; Assumptions'!$H$31="Fixed",'Model Inputs &amp; Assumptions'!$I$31*'Model Inputs &amp; Assumptions'!$K$31,IF('Model Inputs &amp; Assumptions'!$H$31="CPM",'Model Inputs &amp; Assumptions'!$I$31*'Model Inputs &amp; Assumptions'!$K$31*C1925/1000,IF('Model Inputs &amp; Assumptions'!$H$31="CPC",'Model Inputs &amp; Assumptions'!$I$31*'Model Inputs &amp; Assumptions'!$K$31*G1925,0)))</f>
        <v>4329.440718</v>
      </c>
      <c r="J1925" s="50" t="n">
        <f aca="false">H1925*INDEX('Model Inputs &amp; Assumptions'!$D$40:$D$42,MATCH('Model Inputs &amp; Assumptions'!$L$31,'Model Inputs &amp; Assumptions'!$A$40:$A$42,0))*INDEX('Model Inputs &amp; Assumptions'!$H$40:$H$42,MATCH('Model Inputs &amp; Assumptions'!$L$31,'Model Inputs &amp; Assumptions'!$A$40:$A$42,0))</f>
        <v>342107.323995549</v>
      </c>
      <c r="K1925" s="49" t="n">
        <f aca="false">H1925*INDEX('Model Inputs &amp; Assumptions'!$G$40:$G$42,MATCH('Model Inputs &amp; Assumptions'!$L$31,'Model Inputs &amp; Assumptions'!$A$40:$A$42,0))*INDEX('Model Inputs &amp; Assumptions'!$H$40:$H$42,MATCH('Model Inputs &amp; Assumptions'!$L$31,'Model Inputs &amp; Assumptions'!$A$40:$A$42,0))</f>
        <v>7543.46649410186</v>
      </c>
      <c r="L1925" s="51" t="n">
        <f aca="false">IFERROR(K1925/I1925,0)</f>
        <v>1.74236511952671</v>
      </c>
      <c r="M1925" s="49" t="n">
        <f aca="false">IFERROR(I1925/H1925,0)</f>
        <v>91.1175265280364</v>
      </c>
      <c r="N1925" s="52" t="str">
        <f aca="false">'Model Inputs &amp; Assumptions'!$L$31</f>
        <v>PRD-USIQ</v>
      </c>
      <c r="P1925" s="53" t="n">
        <v>-0.679493</v>
      </c>
      <c r="Q1925" s="53" t="n">
        <v>0.204676</v>
      </c>
      <c r="R1925" s="53" t="n">
        <v>-0.301285</v>
      </c>
      <c r="S1925" s="53" t="n">
        <v>0.380751</v>
      </c>
    </row>
    <row r="1926" customFormat="false" ht="15" hidden="false" customHeight="false" outlineLevel="0" collapsed="false">
      <c r="A1926" s="43" t="n">
        <v>423</v>
      </c>
      <c r="B1926" s="44" t="str">
        <f aca="false">'Model Inputs &amp; Assumptions'!$B$31</f>
        <v>YouTube — Finfluencer Pre-roll</v>
      </c>
      <c r="C1926" s="45" t="n">
        <f aca="false">ROUND(MAX(0,'Model Inputs &amp; Assumptions'!$S$31*EXP('Model Inputs &amp; Assumptions'!$T$31*P1926-'Model Inputs &amp; Assumptions'!$T$31^2/2)),0)</f>
        <v>298241</v>
      </c>
      <c r="D1926" s="46" t="n">
        <f aca="false">MIN(1,'Model Inputs &amp; Assumptions'!$U$31*EXP('Model Inputs &amp; Assumptions'!$V$31*Q1926-'Model Inputs &amp; Assumptions'!$V$31^2/2))</f>
        <v>0.675177565919589</v>
      </c>
      <c r="E1926" s="45" t="n">
        <f aca="false">ROUND(C1926*D1926,0)</f>
        <v>201366</v>
      </c>
      <c r="F1926" s="47" t="n">
        <f aca="false">MIN(1,'Model Inputs &amp; Assumptions'!$W$31*EXP('Model Inputs &amp; Assumptions'!$X$31*R1926-'Model Inputs &amp; Assumptions'!$X$31^2/2))</f>
        <v>0.0066238983578258</v>
      </c>
      <c r="G1926" s="45" t="n">
        <f aca="false">ROUND(C1926*F1926,0)</f>
        <v>1976</v>
      </c>
      <c r="H1926" s="48" t="n">
        <f aca="false">MAX(0,(C1926*'Model Inputs &amp; Assumptions'!$N$31+E1926*'Model Inputs &amp; Assumptions'!$O$31+G1926*'Model Inputs &amp; Assumptions'!$P$31)*EXP('Model Inputs &amp; Assumptions'!$Q$31*S1926-'Model Inputs &amp; Assumptions'!$Q$31^2/2))</f>
        <v>36.4231260479402</v>
      </c>
      <c r="I1926" s="49" t="n">
        <f aca="false">IF('Model Inputs &amp; Assumptions'!$H$31="Fixed",'Model Inputs &amp; Assumptions'!$I$31*'Model Inputs &amp; Assumptions'!$K$31,IF('Model Inputs &amp; Assumptions'!$H$31="CPM",'Model Inputs &amp; Assumptions'!$I$31*'Model Inputs &amp; Assumptions'!$K$31*C1926/1000,IF('Model Inputs &amp; Assumptions'!$H$31="CPC",'Model Inputs &amp; Assumptions'!$I$31*'Model Inputs &amp; Assumptions'!$K$31*G1926,0)))</f>
        <v>3383.842386</v>
      </c>
      <c r="J1926" s="50" t="n">
        <f aca="false">H1926*INDEX('Model Inputs &amp; Assumptions'!$D$40:$D$42,MATCH('Model Inputs &amp; Assumptions'!$L$31,'Model Inputs &amp; Assumptions'!$A$40:$A$42,0))*INDEX('Model Inputs &amp; Assumptions'!$H$40:$H$42,MATCH('Model Inputs &amp; Assumptions'!$L$31,'Model Inputs &amp; Assumptions'!$A$40:$A$42,0))</f>
        <v>262246.507545169</v>
      </c>
      <c r="K1926" s="49" t="n">
        <f aca="false">H1926*INDEX('Model Inputs &amp; Assumptions'!$G$40:$G$42,MATCH('Model Inputs &amp; Assumptions'!$L$31,'Model Inputs &amp; Assumptions'!$A$40:$A$42,0))*INDEX('Model Inputs &amp; Assumptions'!$H$40:$H$42,MATCH('Model Inputs &amp; Assumptions'!$L$31,'Model Inputs &amp; Assumptions'!$A$40:$A$42,0))</f>
        <v>5782.53549137099</v>
      </c>
      <c r="L1926" s="51" t="n">
        <f aca="false">IFERROR(K1926/I1926,0)</f>
        <v>1.70886667632485</v>
      </c>
      <c r="M1926" s="49" t="n">
        <f aca="false">IFERROR(I1926/H1926,0)</f>
        <v>92.9036783264067</v>
      </c>
      <c r="N1926" s="52" t="str">
        <f aca="false">'Model Inputs &amp; Assumptions'!$L$31</f>
        <v>PRD-USIQ</v>
      </c>
      <c r="P1926" s="53" t="n">
        <v>-1.559584</v>
      </c>
      <c r="Q1926" s="53" t="n">
        <v>1.033237</v>
      </c>
      <c r="R1926" s="53" t="n">
        <v>1.291859</v>
      </c>
      <c r="S1926" s="53" t="n">
        <v>-0.476349</v>
      </c>
    </row>
    <row r="1927" customFormat="false" ht="15" hidden="false" customHeight="false" outlineLevel="0" collapsed="false">
      <c r="A1927" s="43" t="n">
        <v>424</v>
      </c>
      <c r="B1927" s="44" t="str">
        <f aca="false">'Model Inputs &amp; Assumptions'!$B$31</f>
        <v>YouTube — Finfluencer Pre-roll</v>
      </c>
      <c r="C1927" s="45" t="n">
        <f aca="false">ROUND(MAX(0,'Model Inputs &amp; Assumptions'!$S$31*EXP('Model Inputs &amp; Assumptions'!$T$31*P1927-'Model Inputs &amp; Assumptions'!$T$31^2/2)),0)</f>
        <v>298078</v>
      </c>
      <c r="D1927" s="46" t="n">
        <f aca="false">MIN(1,'Model Inputs &amp; Assumptions'!$U$31*EXP('Model Inputs &amp; Assumptions'!$V$31*Q1927-'Model Inputs &amp; Assumptions'!$V$31^2/2))</f>
        <v>0.563812132102827</v>
      </c>
      <c r="E1927" s="45" t="n">
        <f aca="false">ROUND(C1927*D1927,0)</f>
        <v>168060</v>
      </c>
      <c r="F1927" s="47" t="n">
        <f aca="false">MIN(1,'Model Inputs &amp; Assumptions'!$W$31*EXP('Model Inputs &amp; Assumptions'!$X$31*R1927-'Model Inputs &amp; Assumptions'!$X$31^2/2))</f>
        <v>0.00677736072410032</v>
      </c>
      <c r="G1927" s="45" t="n">
        <f aca="false">ROUND(C1927*F1927,0)</f>
        <v>2020</v>
      </c>
      <c r="H1927" s="48" t="n">
        <f aca="false">MAX(0,(C1927*'Model Inputs &amp; Assumptions'!$N$31+E1927*'Model Inputs &amp; Assumptions'!$O$31+G1927*'Model Inputs &amp; Assumptions'!$P$31)*EXP('Model Inputs &amp; Assumptions'!$Q$31*S1927-'Model Inputs &amp; Assumptions'!$Q$31^2/2))</f>
        <v>53.4244923255522</v>
      </c>
      <c r="I1927" s="49" t="n">
        <f aca="false">IF('Model Inputs &amp; Assumptions'!$H$31="Fixed",'Model Inputs &amp; Assumptions'!$I$31*'Model Inputs &amp; Assumptions'!$K$31,IF('Model Inputs &amp; Assumptions'!$H$31="CPM",'Model Inputs &amp; Assumptions'!$I$31*'Model Inputs &amp; Assumptions'!$K$31*C1927/1000,IF('Model Inputs &amp; Assumptions'!$H$31="CPC",'Model Inputs &amp; Assumptions'!$I$31*'Model Inputs &amp; Assumptions'!$K$31*G1927,0)))</f>
        <v>3381.992988</v>
      </c>
      <c r="J1927" s="50" t="n">
        <f aca="false">H1927*INDEX('Model Inputs &amp; Assumptions'!$D$40:$D$42,MATCH('Model Inputs &amp; Assumptions'!$L$31,'Model Inputs &amp; Assumptions'!$A$40:$A$42,0))*INDEX('Model Inputs &amp; Assumptions'!$H$40:$H$42,MATCH('Model Inputs &amp; Assumptions'!$L$31,'Model Inputs &amp; Assumptions'!$A$40:$A$42,0))</f>
        <v>384656.344743976</v>
      </c>
      <c r="K1927" s="49" t="n">
        <f aca="false">H1927*INDEX('Model Inputs &amp; Assumptions'!$G$40:$G$42,MATCH('Model Inputs &amp; Assumptions'!$L$31,'Model Inputs &amp; Assumptions'!$A$40:$A$42,0))*INDEX('Model Inputs &amp; Assumptions'!$H$40:$H$42,MATCH('Model Inputs &amp; Assumptions'!$L$31,'Model Inputs &amp; Assumptions'!$A$40:$A$42,0))</f>
        <v>8481.67240160467</v>
      </c>
      <c r="L1927" s="51" t="n">
        <f aca="false">IFERROR(K1927/I1927,0)</f>
        <v>2.50789177615074</v>
      </c>
      <c r="M1927" s="49" t="n">
        <f aca="false">IFERROR(I1927/H1927,0)</f>
        <v>63.3041670736184</v>
      </c>
      <c r="N1927" s="52" t="str">
        <f aca="false">'Model Inputs &amp; Assumptions'!$L$31</f>
        <v>PRD-USIQ</v>
      </c>
      <c r="P1927" s="53" t="n">
        <v>-1.56154</v>
      </c>
      <c r="Q1927" s="53" t="n">
        <v>-0.254296</v>
      </c>
      <c r="R1927" s="53" t="n">
        <v>1.387291</v>
      </c>
      <c r="S1927" s="53" t="n">
        <v>0.746133</v>
      </c>
    </row>
    <row r="1928" customFormat="false" ht="15" hidden="false" customHeight="false" outlineLevel="0" collapsed="false">
      <c r="A1928" s="43" t="n">
        <v>425</v>
      </c>
      <c r="B1928" s="44" t="str">
        <f aca="false">'Model Inputs &amp; Assumptions'!$B$31</f>
        <v>YouTube — Finfluencer Pre-roll</v>
      </c>
      <c r="C1928" s="45" t="n">
        <f aca="false">ROUND(MAX(0,'Model Inputs &amp; Assumptions'!$S$31*EXP('Model Inputs &amp; Assumptions'!$T$31*P1928-'Model Inputs &amp; Assumptions'!$T$31^2/2)),0)</f>
        <v>312575</v>
      </c>
      <c r="D1928" s="46" t="n">
        <f aca="false">MIN(1,'Model Inputs &amp; Assumptions'!$U$31*EXP('Model Inputs &amp; Assumptions'!$V$31*Q1928-'Model Inputs &amp; Assumptions'!$V$31^2/2))</f>
        <v>0.613806895906269</v>
      </c>
      <c r="E1928" s="45" t="n">
        <f aca="false">ROUND(C1928*D1928,0)</f>
        <v>191861</v>
      </c>
      <c r="F1928" s="47" t="n">
        <f aca="false">MIN(1,'Model Inputs &amp; Assumptions'!$W$31*EXP('Model Inputs &amp; Assumptions'!$X$31*R1928-'Model Inputs &amp; Assumptions'!$X$31^2/2))</f>
        <v>0.00405030842457171</v>
      </c>
      <c r="G1928" s="45" t="n">
        <f aca="false">ROUND(C1928*F1928,0)</f>
        <v>1266</v>
      </c>
      <c r="H1928" s="48" t="n">
        <f aca="false">MAX(0,(C1928*'Model Inputs &amp; Assumptions'!$N$31+E1928*'Model Inputs &amp; Assumptions'!$O$31+G1928*'Model Inputs &amp; Assumptions'!$P$31)*EXP('Model Inputs &amp; Assumptions'!$Q$31*S1928-'Model Inputs &amp; Assumptions'!$Q$31^2/2))</f>
        <v>30.6201561526519</v>
      </c>
      <c r="I1928" s="49" t="n">
        <f aca="false">IF('Model Inputs &amp; Assumptions'!$H$31="Fixed",'Model Inputs &amp; Assumptions'!$I$31*'Model Inputs &amp; Assumptions'!$K$31,IF('Model Inputs &amp; Assumptions'!$H$31="CPM",'Model Inputs &amp; Assumptions'!$I$31*'Model Inputs &amp; Assumptions'!$K$31*C1928/1000,IF('Model Inputs &amp; Assumptions'!$H$31="CPC",'Model Inputs &amp; Assumptions'!$I$31*'Model Inputs &amp; Assumptions'!$K$31*G1928,0)))</f>
        <v>3546.47595</v>
      </c>
      <c r="J1928" s="50" t="n">
        <f aca="false">H1928*INDEX('Model Inputs &amp; Assumptions'!$D$40:$D$42,MATCH('Model Inputs &amp; Assumptions'!$L$31,'Model Inputs &amp; Assumptions'!$A$40:$A$42,0))*INDEX('Model Inputs &amp; Assumptions'!$H$40:$H$42,MATCH('Model Inputs &amp; Assumptions'!$L$31,'Model Inputs &amp; Assumptions'!$A$40:$A$42,0))</f>
        <v>220465.124299094</v>
      </c>
      <c r="K1928" s="49" t="n">
        <f aca="false">H1928*INDEX('Model Inputs &amp; Assumptions'!$G$40:$G$42,MATCH('Model Inputs &amp; Assumptions'!$L$31,'Model Inputs &amp; Assumptions'!$A$40:$A$42,0))*INDEX('Model Inputs &amp; Assumptions'!$H$40:$H$42,MATCH('Model Inputs &amp; Assumptions'!$L$31,'Model Inputs &amp; Assumptions'!$A$40:$A$42,0))</f>
        <v>4861.25599079501</v>
      </c>
      <c r="L1928" s="51" t="n">
        <f aca="false">IFERROR(K1928/I1928,0)</f>
        <v>1.37072859349152</v>
      </c>
      <c r="M1928" s="49" t="n">
        <f aca="false">IFERROR(I1928/H1928,0)</f>
        <v>115.821615419582</v>
      </c>
      <c r="N1928" s="52" t="str">
        <f aca="false">'Model Inputs &amp; Assumptions'!$L$31</f>
        <v>PRD-USIQ</v>
      </c>
      <c r="P1928" s="53" t="n">
        <v>-1.39193</v>
      </c>
      <c r="Q1928" s="53" t="n">
        <v>0.352556</v>
      </c>
      <c r="R1928" s="53" t="n">
        <v>-0.757687</v>
      </c>
      <c r="S1928" s="53" t="n">
        <v>-0.152485</v>
      </c>
    </row>
    <row r="1929" customFormat="false" ht="15" hidden="false" customHeight="false" outlineLevel="0" collapsed="false">
      <c r="A1929" s="43" t="n">
        <v>426</v>
      </c>
      <c r="B1929" s="44" t="str">
        <f aca="false">'Model Inputs &amp; Assumptions'!$B$31</f>
        <v>YouTube — Finfluencer Pre-roll</v>
      </c>
      <c r="C1929" s="45" t="n">
        <f aca="false">ROUND(MAX(0,'Model Inputs &amp; Assumptions'!$S$31*EXP('Model Inputs &amp; Assumptions'!$T$31*P1929-'Model Inputs &amp; Assumptions'!$T$31^2/2)),0)</f>
        <v>404089</v>
      </c>
      <c r="D1929" s="46" t="n">
        <f aca="false">MIN(1,'Model Inputs &amp; Assumptions'!$U$31*EXP('Model Inputs &amp; Assumptions'!$V$31*Q1929-'Model Inputs &amp; Assumptions'!$V$31^2/2))</f>
        <v>0.396707469685165</v>
      </c>
      <c r="E1929" s="45" t="n">
        <f aca="false">ROUND(C1929*D1929,0)</f>
        <v>160305</v>
      </c>
      <c r="F1929" s="47" t="n">
        <f aca="false">MIN(1,'Model Inputs &amp; Assumptions'!$W$31*EXP('Model Inputs &amp; Assumptions'!$X$31*R1929-'Model Inputs &amp; Assumptions'!$X$31^2/2))</f>
        <v>0.00431391391269019</v>
      </c>
      <c r="G1929" s="45" t="n">
        <f aca="false">ROUND(C1929*F1929,0)</f>
        <v>1743</v>
      </c>
      <c r="H1929" s="48" t="n">
        <f aca="false">MAX(0,(C1929*'Model Inputs &amp; Assumptions'!$N$31+E1929*'Model Inputs &amp; Assumptions'!$O$31+G1929*'Model Inputs &amp; Assumptions'!$P$31)*EXP('Model Inputs &amp; Assumptions'!$Q$31*S1929-'Model Inputs &amp; Assumptions'!$Q$31^2/2))</f>
        <v>28.0813111873397</v>
      </c>
      <c r="I1929" s="49" t="n">
        <f aca="false">IF('Model Inputs &amp; Assumptions'!$H$31="Fixed",'Model Inputs &amp; Assumptions'!$I$31*'Model Inputs &amp; Assumptions'!$K$31,IF('Model Inputs &amp; Assumptions'!$H$31="CPM",'Model Inputs &amp; Assumptions'!$I$31*'Model Inputs &amp; Assumptions'!$K$31*C1929/1000,IF('Model Inputs &amp; Assumptions'!$H$31="CPC",'Model Inputs &amp; Assumptions'!$I$31*'Model Inputs &amp; Assumptions'!$K$31*G1929,0)))</f>
        <v>4584.793794</v>
      </c>
      <c r="J1929" s="50" t="n">
        <f aca="false">H1929*INDEX('Model Inputs &amp; Assumptions'!$D$40:$D$42,MATCH('Model Inputs &amp; Assumptions'!$L$31,'Model Inputs &amp; Assumptions'!$A$40:$A$42,0))*INDEX('Model Inputs &amp; Assumptions'!$H$40:$H$42,MATCH('Model Inputs &amp; Assumptions'!$L$31,'Model Inputs &amp; Assumptions'!$A$40:$A$42,0))</f>
        <v>202185.440548846</v>
      </c>
      <c r="K1929" s="49" t="n">
        <f aca="false">H1929*INDEX('Model Inputs &amp; Assumptions'!$G$40:$G$42,MATCH('Model Inputs &amp; Assumptions'!$L$31,'Model Inputs &amp; Assumptions'!$A$40:$A$42,0))*INDEX('Model Inputs &amp; Assumptions'!$H$40:$H$42,MATCH('Model Inputs &amp; Assumptions'!$L$31,'Model Inputs &amp; Assumptions'!$A$40:$A$42,0))</f>
        <v>4458.18896410205</v>
      </c>
      <c r="L1929" s="51" t="n">
        <f aca="false">IFERROR(K1929/I1929,0)</f>
        <v>0.972385927135124</v>
      </c>
      <c r="M1929" s="49" t="n">
        <f aca="false">IFERROR(I1929/H1929,0)</f>
        <v>163.268508489982</v>
      </c>
      <c r="N1929" s="52" t="str">
        <f aca="false">'Model Inputs &amp; Assumptions'!$L$31</f>
        <v>PRD-USIQ</v>
      </c>
      <c r="P1929" s="53" t="n">
        <v>-0.474822</v>
      </c>
      <c r="Q1929" s="53" t="n">
        <v>-2.765167</v>
      </c>
      <c r="R1929" s="53" t="n">
        <v>-0.494968</v>
      </c>
      <c r="S1929" s="53" t="n">
        <v>-0.761207</v>
      </c>
    </row>
    <row r="1930" customFormat="false" ht="15" hidden="false" customHeight="false" outlineLevel="0" collapsed="false">
      <c r="A1930" s="43" t="n">
        <v>427</v>
      </c>
      <c r="B1930" s="44" t="str">
        <f aca="false">'Model Inputs &amp; Assumptions'!$B$31</f>
        <v>YouTube — Finfluencer Pre-roll</v>
      </c>
      <c r="C1930" s="45" t="n">
        <f aca="false">ROUND(MAX(0,'Model Inputs &amp; Assumptions'!$S$31*EXP('Model Inputs &amp; Assumptions'!$T$31*P1930-'Model Inputs &amp; Assumptions'!$T$31^2/2)),0)</f>
        <v>829814</v>
      </c>
      <c r="D1930" s="46" t="n">
        <f aca="false">MIN(1,'Model Inputs &amp; Assumptions'!$U$31*EXP('Model Inputs &amp; Assumptions'!$V$31*Q1930-'Model Inputs &amp; Assumptions'!$V$31^2/2))</f>
        <v>0.476556160647633</v>
      </c>
      <c r="E1930" s="45" t="n">
        <f aca="false">ROUND(C1930*D1930,0)</f>
        <v>395453</v>
      </c>
      <c r="F1930" s="47" t="n">
        <f aca="false">MIN(1,'Model Inputs &amp; Assumptions'!$W$31*EXP('Model Inputs &amp; Assumptions'!$X$31*R1930-'Model Inputs &amp; Assumptions'!$X$31^2/2))</f>
        <v>0.00445819543172673</v>
      </c>
      <c r="G1930" s="45" t="n">
        <f aca="false">ROUND(C1930*F1930,0)</f>
        <v>3699</v>
      </c>
      <c r="H1930" s="48" t="n">
        <f aca="false">MAX(0,(C1930*'Model Inputs &amp; Assumptions'!$N$31+E1930*'Model Inputs &amp; Assumptions'!$O$31+G1930*'Model Inputs &amp; Assumptions'!$P$31)*EXP('Model Inputs &amp; Assumptions'!$Q$31*S1930-'Model Inputs &amp; Assumptions'!$Q$31^2/2))</f>
        <v>59.0236972614036</v>
      </c>
      <c r="I1930" s="49" t="n">
        <f aca="false">IF('Model Inputs &amp; Assumptions'!$H$31="Fixed",'Model Inputs &amp; Assumptions'!$I$31*'Model Inputs &amp; Assumptions'!$K$31,IF('Model Inputs &amp; Assumptions'!$H$31="CPM",'Model Inputs &amp; Assumptions'!$I$31*'Model Inputs &amp; Assumptions'!$K$31*C1930/1000,IF('Model Inputs &amp; Assumptions'!$H$31="CPC",'Model Inputs &amp; Assumptions'!$I$31*'Model Inputs &amp; Assumptions'!$K$31*G1930,0)))</f>
        <v>9415.069644</v>
      </c>
      <c r="J1930" s="50" t="n">
        <f aca="false">H1930*INDEX('Model Inputs &amp; Assumptions'!$D$40:$D$42,MATCH('Model Inputs &amp; Assumptions'!$L$31,'Model Inputs &amp; Assumptions'!$A$40:$A$42,0))*INDEX('Model Inputs &amp; Assumptions'!$H$40:$H$42,MATCH('Model Inputs &amp; Assumptions'!$L$31,'Model Inputs &amp; Assumptions'!$A$40:$A$42,0))</f>
        <v>424970.620282106</v>
      </c>
      <c r="K1930" s="49" t="n">
        <f aca="false">H1930*INDEX('Model Inputs &amp; Assumptions'!$G$40:$G$42,MATCH('Model Inputs &amp; Assumptions'!$L$31,'Model Inputs &amp; Assumptions'!$A$40:$A$42,0))*INDEX('Model Inputs &amp; Assumptions'!$H$40:$H$42,MATCH('Model Inputs &amp; Assumptions'!$L$31,'Model Inputs &amp; Assumptions'!$A$40:$A$42,0))</f>
        <v>9370.60217722044</v>
      </c>
      <c r="L1930" s="51" t="n">
        <f aca="false">IFERROR(K1930/I1930,0)</f>
        <v>0.99527699013805</v>
      </c>
      <c r="M1930" s="49" t="n">
        <f aca="false">IFERROR(I1930/H1930,0)</f>
        <v>159.513383282356</v>
      </c>
      <c r="N1930" s="52" t="str">
        <f aca="false">'Model Inputs &amp; Assumptions'!$L$31</f>
        <v>PRD-USIQ</v>
      </c>
      <c r="P1930" s="53" t="n">
        <v>2.095056</v>
      </c>
      <c r="Q1930" s="53" t="n">
        <v>-1.455264</v>
      </c>
      <c r="R1930" s="53" t="n">
        <v>-0.357891</v>
      </c>
      <c r="S1930" s="53" t="n">
        <v>-0.937462</v>
      </c>
    </row>
    <row r="1931" customFormat="false" ht="15" hidden="false" customHeight="false" outlineLevel="0" collapsed="false">
      <c r="A1931" s="43" t="n">
        <v>428</v>
      </c>
      <c r="B1931" s="44" t="str">
        <f aca="false">'Model Inputs &amp; Assumptions'!$B$31</f>
        <v>YouTube — Finfluencer Pre-roll</v>
      </c>
      <c r="C1931" s="45" t="n">
        <f aca="false">ROUND(MAX(0,'Model Inputs &amp; Assumptions'!$S$31*EXP('Model Inputs &amp; Assumptions'!$T$31*P1931-'Model Inputs &amp; Assumptions'!$T$31^2/2)),0)</f>
        <v>620718</v>
      </c>
      <c r="D1931" s="46" t="n">
        <f aca="false">MIN(1,'Model Inputs &amp; Assumptions'!$U$31*EXP('Model Inputs &amp; Assumptions'!$V$31*Q1931-'Model Inputs &amp; Assumptions'!$V$31^2/2))</f>
        <v>0.429577263465401</v>
      </c>
      <c r="E1931" s="45" t="n">
        <f aca="false">ROUND(C1931*D1931,0)</f>
        <v>266646</v>
      </c>
      <c r="F1931" s="47" t="n">
        <f aca="false">MIN(1,'Model Inputs &amp; Assumptions'!$W$31*EXP('Model Inputs &amp; Assumptions'!$X$31*R1931-'Model Inputs &amp; Assumptions'!$X$31^2/2))</f>
        <v>0.00470107305595095</v>
      </c>
      <c r="G1931" s="45" t="n">
        <f aca="false">ROUND(C1931*F1931,0)</f>
        <v>2918</v>
      </c>
      <c r="H1931" s="48" t="n">
        <f aca="false">MAX(0,(C1931*'Model Inputs &amp; Assumptions'!$N$31+E1931*'Model Inputs &amp; Assumptions'!$O$31+G1931*'Model Inputs &amp; Assumptions'!$P$31)*EXP('Model Inputs &amp; Assumptions'!$Q$31*S1931-'Model Inputs &amp; Assumptions'!$Q$31^2/2))</f>
        <v>116.139401345051</v>
      </c>
      <c r="I1931" s="49" t="n">
        <f aca="false">IF('Model Inputs &amp; Assumptions'!$H$31="Fixed",'Model Inputs &amp; Assumptions'!$I$31*'Model Inputs &amp; Assumptions'!$K$31,IF('Model Inputs &amp; Assumptions'!$H$31="CPM",'Model Inputs &amp; Assumptions'!$I$31*'Model Inputs &amp; Assumptions'!$K$31*C1931/1000,IF('Model Inputs &amp; Assumptions'!$H$31="CPC",'Model Inputs &amp; Assumptions'!$I$31*'Model Inputs &amp; Assumptions'!$K$31*G1931,0)))</f>
        <v>7042.666428</v>
      </c>
      <c r="J1931" s="50" t="n">
        <f aca="false">H1931*INDEX('Model Inputs &amp; Assumptions'!$D$40:$D$42,MATCH('Model Inputs &amp; Assumptions'!$L$31,'Model Inputs &amp; Assumptions'!$A$40:$A$42,0))*INDEX('Model Inputs &amp; Assumptions'!$H$40:$H$42,MATCH('Model Inputs &amp; Assumptions'!$L$31,'Model Inputs &amp; Assumptions'!$A$40:$A$42,0))</f>
        <v>836203.689684365</v>
      </c>
      <c r="K1931" s="49" t="n">
        <f aca="false">H1931*INDEX('Model Inputs &amp; Assumptions'!$G$40:$G$42,MATCH('Model Inputs &amp; Assumptions'!$L$31,'Model Inputs &amp; Assumptions'!$A$40:$A$42,0))*INDEX('Model Inputs &amp; Assumptions'!$H$40:$H$42,MATCH('Model Inputs &amp; Assumptions'!$L$31,'Model Inputs &amp; Assumptions'!$A$40:$A$42,0))</f>
        <v>18438.2913575402</v>
      </c>
      <c r="L1931" s="51" t="n">
        <f aca="false">IFERROR(K1931/I1931,0)</f>
        <v>2.61808386724578</v>
      </c>
      <c r="M1931" s="49" t="n">
        <f aca="false">IFERROR(I1931/H1931,0)</f>
        <v>60.6397686438576</v>
      </c>
      <c r="N1931" s="52" t="str">
        <f aca="false">'Model Inputs &amp; Assumptions'!$L$31</f>
        <v>PRD-USIQ</v>
      </c>
      <c r="P1931" s="53" t="n">
        <v>1.05818</v>
      </c>
      <c r="Q1931" s="53" t="n">
        <v>-2.196578</v>
      </c>
      <c r="R1931" s="53" t="n">
        <v>-0.136863</v>
      </c>
      <c r="S1931" s="53" t="n">
        <v>1.828831</v>
      </c>
    </row>
    <row r="1932" customFormat="false" ht="15" hidden="false" customHeight="false" outlineLevel="0" collapsed="false">
      <c r="A1932" s="43" t="n">
        <v>429</v>
      </c>
      <c r="B1932" s="44" t="str">
        <f aca="false">'Model Inputs &amp; Assumptions'!$B$31</f>
        <v>YouTube — Finfluencer Pre-roll</v>
      </c>
      <c r="C1932" s="45" t="n">
        <f aca="false">ROUND(MAX(0,'Model Inputs &amp; Assumptions'!$S$31*EXP('Model Inputs &amp; Assumptions'!$T$31*P1932-'Model Inputs &amp; Assumptions'!$T$31^2/2)),0)</f>
        <v>330235</v>
      </c>
      <c r="D1932" s="46" t="n">
        <f aca="false">MIN(1,'Model Inputs &amp; Assumptions'!$U$31*EXP('Model Inputs &amp; Assumptions'!$V$31*Q1932-'Model Inputs &amp; Assumptions'!$V$31^2/2))</f>
        <v>0.735066445303098</v>
      </c>
      <c r="E1932" s="45" t="n">
        <f aca="false">ROUND(C1932*D1932,0)</f>
        <v>242745</v>
      </c>
      <c r="F1932" s="47" t="n">
        <f aca="false">MIN(1,'Model Inputs &amp; Assumptions'!$W$31*EXP('Model Inputs &amp; Assumptions'!$X$31*R1932-'Model Inputs &amp; Assumptions'!$X$31^2/2))</f>
        <v>0.00349483579739282</v>
      </c>
      <c r="G1932" s="45" t="n">
        <f aca="false">ROUND(C1932*F1932,0)</f>
        <v>1154</v>
      </c>
      <c r="H1932" s="48" t="n">
        <f aca="false">MAX(0,(C1932*'Model Inputs &amp; Assumptions'!$N$31+E1932*'Model Inputs &amp; Assumptions'!$O$31+G1932*'Model Inputs &amp; Assumptions'!$P$31)*EXP('Model Inputs &amp; Assumptions'!$Q$31*S1932-'Model Inputs &amp; Assumptions'!$Q$31^2/2))</f>
        <v>31.4045259006815</v>
      </c>
      <c r="I1932" s="49" t="n">
        <f aca="false">IF('Model Inputs &amp; Assumptions'!$H$31="Fixed",'Model Inputs &amp; Assumptions'!$I$31*'Model Inputs &amp; Assumptions'!$K$31,IF('Model Inputs &amp; Assumptions'!$H$31="CPM",'Model Inputs &amp; Assumptions'!$I$31*'Model Inputs &amp; Assumptions'!$K$31*C1932/1000,IF('Model Inputs &amp; Assumptions'!$H$31="CPC",'Model Inputs &amp; Assumptions'!$I$31*'Model Inputs &amp; Assumptions'!$K$31*G1932,0)))</f>
        <v>3746.84631</v>
      </c>
      <c r="J1932" s="50" t="n">
        <f aca="false">H1932*INDEX('Model Inputs &amp; Assumptions'!$D$40:$D$42,MATCH('Model Inputs &amp; Assumptions'!$L$31,'Model Inputs &amp; Assumptions'!$A$40:$A$42,0))*INDEX('Model Inputs &amp; Assumptions'!$H$40:$H$42,MATCH('Model Inputs &amp; Assumptions'!$L$31,'Model Inputs &amp; Assumptions'!$A$40:$A$42,0))</f>
        <v>226112.586484907</v>
      </c>
      <c r="K1932" s="49" t="n">
        <f aca="false">H1932*INDEX('Model Inputs &amp; Assumptions'!$G$40:$G$42,MATCH('Model Inputs &amp; Assumptions'!$L$31,'Model Inputs &amp; Assumptions'!$A$40:$A$42,0))*INDEX('Model Inputs &amp; Assumptions'!$H$40:$H$42,MATCH('Model Inputs &amp; Assumptions'!$L$31,'Model Inputs &amp; Assumptions'!$A$40:$A$42,0))</f>
        <v>4985.78253199219</v>
      </c>
      <c r="L1932" s="51" t="n">
        <f aca="false">IFERROR(K1932/I1932,0)</f>
        <v>1.33066107320324</v>
      </c>
      <c r="M1932" s="49" t="n">
        <f aca="false">IFERROR(I1932/H1932,0)</f>
        <v>119.309118750896</v>
      </c>
      <c r="N1932" s="52" t="str">
        <f aca="false">'Model Inputs &amp; Assumptions'!$L$31</f>
        <v>PRD-USIQ</v>
      </c>
      <c r="P1932" s="53" t="n">
        <v>-1.19565</v>
      </c>
      <c r="Q1932" s="53" t="n">
        <v>1.640274</v>
      </c>
      <c r="R1932" s="53" t="n">
        <v>-1.372298</v>
      </c>
      <c r="S1932" s="53" t="n">
        <v>-0.272517</v>
      </c>
    </row>
    <row r="1933" customFormat="false" ht="15" hidden="false" customHeight="false" outlineLevel="0" collapsed="false">
      <c r="A1933" s="43" t="n">
        <v>430</v>
      </c>
      <c r="B1933" s="44" t="str">
        <f aca="false">'Model Inputs &amp; Assumptions'!$B$31</f>
        <v>YouTube — Finfluencer Pre-roll</v>
      </c>
      <c r="C1933" s="45" t="n">
        <f aca="false">ROUND(MAX(0,'Model Inputs &amp; Assumptions'!$S$31*EXP('Model Inputs &amp; Assumptions'!$T$31*P1933-'Model Inputs &amp; Assumptions'!$T$31^2/2)),0)</f>
        <v>277191</v>
      </c>
      <c r="D1933" s="46" t="n">
        <f aca="false">MIN(1,'Model Inputs &amp; Assumptions'!$U$31*EXP('Model Inputs &amp; Assumptions'!$V$31*Q1933-'Model Inputs &amp; Assumptions'!$V$31^2/2))</f>
        <v>0.545145677385069</v>
      </c>
      <c r="E1933" s="45" t="n">
        <f aca="false">ROUND(C1933*D1933,0)</f>
        <v>151109</v>
      </c>
      <c r="F1933" s="47" t="n">
        <f aca="false">MIN(1,'Model Inputs &amp; Assumptions'!$W$31*EXP('Model Inputs &amp; Assumptions'!$X$31*R1933-'Model Inputs &amp; Assumptions'!$X$31^2/2))</f>
        <v>0.00646913025703448</v>
      </c>
      <c r="G1933" s="45" t="n">
        <f aca="false">ROUND(C1933*F1933,0)</f>
        <v>1793</v>
      </c>
      <c r="H1933" s="48" t="n">
        <f aca="false">MAX(0,(C1933*'Model Inputs &amp; Assumptions'!$N$31+E1933*'Model Inputs &amp; Assumptions'!$O$31+G1933*'Model Inputs &amp; Assumptions'!$P$31)*EXP('Model Inputs &amp; Assumptions'!$Q$31*S1933-'Model Inputs &amp; Assumptions'!$Q$31^2/2))</f>
        <v>27.8116799092181</v>
      </c>
      <c r="I1933" s="49" t="n">
        <f aca="false">IF('Model Inputs &amp; Assumptions'!$H$31="Fixed",'Model Inputs &amp; Assumptions'!$I$31*'Model Inputs &amp; Assumptions'!$K$31,IF('Model Inputs &amp; Assumptions'!$H$31="CPM",'Model Inputs &amp; Assumptions'!$I$31*'Model Inputs &amp; Assumptions'!$K$31*C1933/1000,IF('Model Inputs &amp; Assumptions'!$H$31="CPC",'Model Inputs &amp; Assumptions'!$I$31*'Model Inputs &amp; Assumptions'!$K$31*G1933,0)))</f>
        <v>3145.009086</v>
      </c>
      <c r="J1933" s="50" t="n">
        <f aca="false">H1933*INDEX('Model Inputs &amp; Assumptions'!$D$40:$D$42,MATCH('Model Inputs &amp; Assumptions'!$L$31,'Model Inputs &amp; Assumptions'!$A$40:$A$42,0))*INDEX('Model Inputs &amp; Assumptions'!$H$40:$H$42,MATCH('Model Inputs &amp; Assumptions'!$L$31,'Model Inputs &amp; Assumptions'!$A$40:$A$42,0))</f>
        <v>200244.095346371</v>
      </c>
      <c r="K1933" s="49" t="n">
        <f aca="false">H1933*INDEX('Model Inputs &amp; Assumptions'!$G$40:$G$42,MATCH('Model Inputs &amp; Assumptions'!$L$31,'Model Inputs &amp; Assumptions'!$A$40:$A$42,0))*INDEX('Model Inputs &amp; Assumptions'!$H$40:$H$42,MATCH('Model Inputs &amp; Assumptions'!$L$31,'Model Inputs &amp; Assumptions'!$A$40:$A$42,0))</f>
        <v>4415.38230238747</v>
      </c>
      <c r="L1933" s="51" t="n">
        <f aca="false">IFERROR(K1933/I1933,0)</f>
        <v>1.40393308306883</v>
      </c>
      <c r="M1933" s="49" t="n">
        <f aca="false">IFERROR(I1933/H1933,0)</f>
        <v>113.082312764487</v>
      </c>
      <c r="N1933" s="52" t="str">
        <f aca="false">'Model Inputs &amp; Assumptions'!$L$31</f>
        <v>PRD-USIQ</v>
      </c>
      <c r="P1933" s="53" t="n">
        <v>-1.820994</v>
      </c>
      <c r="Q1933" s="53" t="n">
        <v>-0.494782</v>
      </c>
      <c r="R1933" s="53" t="n">
        <v>1.193349</v>
      </c>
      <c r="S1933" s="53" t="n">
        <v>-0.789823</v>
      </c>
    </row>
    <row r="1934" customFormat="false" ht="15" hidden="false" customHeight="false" outlineLevel="0" collapsed="false">
      <c r="A1934" s="43" t="n">
        <v>431</v>
      </c>
      <c r="B1934" s="44" t="str">
        <f aca="false">'Model Inputs &amp; Assumptions'!$B$31</f>
        <v>YouTube — Finfluencer Pre-roll</v>
      </c>
      <c r="C1934" s="45" t="n">
        <f aca="false">ROUND(MAX(0,'Model Inputs &amp; Assumptions'!$S$31*EXP('Model Inputs &amp; Assumptions'!$T$31*P1934-'Model Inputs &amp; Assumptions'!$T$31^2/2)),0)</f>
        <v>536410</v>
      </c>
      <c r="D1934" s="46" t="n">
        <f aca="false">MIN(1,'Model Inputs &amp; Assumptions'!$U$31*EXP('Model Inputs &amp; Assumptions'!$V$31*Q1934-'Model Inputs &amp; Assumptions'!$V$31^2/2))</f>
        <v>0.511856461396653</v>
      </c>
      <c r="E1934" s="45" t="n">
        <f aca="false">ROUND(C1934*D1934,0)</f>
        <v>274565</v>
      </c>
      <c r="F1934" s="47" t="n">
        <f aca="false">MIN(1,'Model Inputs &amp; Assumptions'!$W$31*EXP('Model Inputs &amp; Assumptions'!$X$31*R1934-'Model Inputs &amp; Assumptions'!$X$31^2/2))</f>
        <v>0.00335225720820506</v>
      </c>
      <c r="G1934" s="45" t="n">
        <f aca="false">ROUND(C1934*F1934,0)</f>
        <v>1798</v>
      </c>
      <c r="H1934" s="48" t="n">
        <f aca="false">MAX(0,(C1934*'Model Inputs &amp; Assumptions'!$N$31+E1934*'Model Inputs &amp; Assumptions'!$O$31+G1934*'Model Inputs &amp; Assumptions'!$P$31)*EXP('Model Inputs &amp; Assumptions'!$Q$31*S1934-'Model Inputs &amp; Assumptions'!$Q$31^2/2))</f>
        <v>27.7823429694759</v>
      </c>
      <c r="I1934" s="49" t="n">
        <f aca="false">IF('Model Inputs &amp; Assumptions'!$H$31="Fixed",'Model Inputs &amp; Assumptions'!$I$31*'Model Inputs &amp; Assumptions'!$K$31,IF('Model Inputs &amp; Assumptions'!$H$31="CPM",'Model Inputs &amp; Assumptions'!$I$31*'Model Inputs &amp; Assumptions'!$K$31*C1934/1000,IF('Model Inputs &amp; Assumptions'!$H$31="CPC",'Model Inputs &amp; Assumptions'!$I$31*'Model Inputs &amp; Assumptions'!$K$31*G1934,0)))</f>
        <v>6086.10786</v>
      </c>
      <c r="J1934" s="50" t="n">
        <f aca="false">H1934*INDEX('Model Inputs &amp; Assumptions'!$D$40:$D$42,MATCH('Model Inputs &amp; Assumptions'!$L$31,'Model Inputs &amp; Assumptions'!$A$40:$A$42,0))*INDEX('Model Inputs &amp; Assumptions'!$H$40:$H$42,MATCH('Model Inputs &amp; Assumptions'!$L$31,'Model Inputs &amp; Assumptions'!$A$40:$A$42,0))</f>
        <v>200032.869380226</v>
      </c>
      <c r="K1934" s="49" t="n">
        <f aca="false">H1934*INDEX('Model Inputs &amp; Assumptions'!$G$40:$G$42,MATCH('Model Inputs &amp; Assumptions'!$L$31,'Model Inputs &amp; Assumptions'!$A$40:$A$42,0))*INDEX('Model Inputs &amp; Assumptions'!$H$40:$H$42,MATCH('Model Inputs &amp; Assumptions'!$L$31,'Model Inputs &amp; Assumptions'!$A$40:$A$42,0))</f>
        <v>4410.72476983399</v>
      </c>
      <c r="L1934" s="51" t="n">
        <f aca="false">IFERROR(K1934/I1934,0)</f>
        <v>0.724720111982043</v>
      </c>
      <c r="M1934" s="49" t="n">
        <f aca="false">IFERROR(I1934/H1934,0)</f>
        <v>219.063880490092</v>
      </c>
      <c r="N1934" s="52" t="str">
        <f aca="false">'Model Inputs &amp; Assumptions'!$L$31</f>
        <v>PRD-USIQ</v>
      </c>
      <c r="P1934" s="53" t="n">
        <v>0.536832</v>
      </c>
      <c r="Q1934" s="53" t="n">
        <v>-0.944845</v>
      </c>
      <c r="R1934" s="53" t="n">
        <v>-1.54585</v>
      </c>
      <c r="S1934" s="53" t="n">
        <v>-1.442418</v>
      </c>
    </row>
    <row r="1935" customFormat="false" ht="15" hidden="false" customHeight="false" outlineLevel="0" collapsed="false">
      <c r="A1935" s="43" t="n">
        <v>432</v>
      </c>
      <c r="B1935" s="44" t="str">
        <f aca="false">'Model Inputs &amp; Assumptions'!$B$31</f>
        <v>YouTube — Finfluencer Pre-roll</v>
      </c>
      <c r="C1935" s="45" t="n">
        <f aca="false">ROUND(MAX(0,'Model Inputs &amp; Assumptions'!$S$31*EXP('Model Inputs &amp; Assumptions'!$T$31*P1935-'Model Inputs &amp; Assumptions'!$T$31^2/2)),0)</f>
        <v>361742</v>
      </c>
      <c r="D1935" s="46" t="n">
        <f aca="false">MIN(1,'Model Inputs &amp; Assumptions'!$U$31*EXP('Model Inputs &amp; Assumptions'!$V$31*Q1935-'Model Inputs &amp; Assumptions'!$V$31^2/2))</f>
        <v>0.517694529488815</v>
      </c>
      <c r="E1935" s="45" t="n">
        <f aca="false">ROUND(C1935*D1935,0)</f>
        <v>187272</v>
      </c>
      <c r="F1935" s="47" t="n">
        <f aca="false">MIN(1,'Model Inputs &amp; Assumptions'!$W$31*EXP('Model Inputs &amp; Assumptions'!$X$31*R1935-'Model Inputs &amp; Assumptions'!$X$31^2/2))</f>
        <v>0.00369080515129684</v>
      </c>
      <c r="G1935" s="45" t="n">
        <f aca="false">ROUND(C1935*F1935,0)</f>
        <v>1335</v>
      </c>
      <c r="H1935" s="48" t="n">
        <f aca="false">MAX(0,(C1935*'Model Inputs &amp; Assumptions'!$N$31+E1935*'Model Inputs &amp; Assumptions'!$O$31+G1935*'Model Inputs &amp; Assumptions'!$P$31)*EXP('Model Inputs &amp; Assumptions'!$Q$31*S1935-'Model Inputs &amp; Assumptions'!$Q$31^2/2))</f>
        <v>32.7271508853389</v>
      </c>
      <c r="I1935" s="49" t="n">
        <f aca="false">IF('Model Inputs &amp; Assumptions'!$H$31="Fixed",'Model Inputs &amp; Assumptions'!$I$31*'Model Inputs &amp; Assumptions'!$K$31,IF('Model Inputs &amp; Assumptions'!$H$31="CPM",'Model Inputs &amp; Assumptions'!$I$31*'Model Inputs &amp; Assumptions'!$K$31*C1935/1000,IF('Model Inputs &amp; Assumptions'!$H$31="CPC",'Model Inputs &amp; Assumptions'!$I$31*'Model Inputs &amp; Assumptions'!$K$31*G1935,0)))</f>
        <v>4104.324732</v>
      </c>
      <c r="J1935" s="50" t="n">
        <f aca="false">H1935*INDEX('Model Inputs &amp; Assumptions'!$D$40:$D$42,MATCH('Model Inputs &amp; Assumptions'!$L$31,'Model Inputs &amp; Assumptions'!$A$40:$A$42,0))*INDEX('Model Inputs &amp; Assumptions'!$H$40:$H$42,MATCH('Model Inputs &amp; Assumptions'!$L$31,'Model Inputs &amp; Assumptions'!$A$40:$A$42,0))</f>
        <v>235635.48637444</v>
      </c>
      <c r="K1935" s="49" t="n">
        <f aca="false">H1935*INDEX('Model Inputs &amp; Assumptions'!$G$40:$G$42,MATCH('Model Inputs &amp; Assumptions'!$L$31,'Model Inputs &amp; Assumptions'!$A$40:$A$42,0))*INDEX('Model Inputs &amp; Assumptions'!$H$40:$H$42,MATCH('Model Inputs &amp; Assumptions'!$L$31,'Model Inputs &amp; Assumptions'!$A$40:$A$42,0))</f>
        <v>5195.7624745564</v>
      </c>
      <c r="L1935" s="51" t="n">
        <f aca="false">IFERROR(K1935/I1935,0)</f>
        <v>1.26592382762671</v>
      </c>
      <c r="M1935" s="49" t="n">
        <f aca="false">IFERROR(I1935/H1935,0)</f>
        <v>125.410389263022</v>
      </c>
      <c r="N1935" s="52" t="str">
        <f aca="false">'Model Inputs &amp; Assumptions'!$L$31</f>
        <v>PRD-USIQ</v>
      </c>
      <c r="P1935" s="53" t="n">
        <v>-0.870194</v>
      </c>
      <c r="Q1935" s="53" t="n">
        <v>-0.863837</v>
      </c>
      <c r="R1935" s="53" t="n">
        <v>-1.144972</v>
      </c>
      <c r="S1935" s="53" t="n">
        <v>-0.017389</v>
      </c>
    </row>
    <row r="1936" customFormat="false" ht="15" hidden="false" customHeight="false" outlineLevel="0" collapsed="false">
      <c r="A1936" s="43" t="n">
        <v>433</v>
      </c>
      <c r="B1936" s="44" t="str">
        <f aca="false">'Model Inputs &amp; Assumptions'!$B$31</f>
        <v>YouTube — Finfluencer Pre-roll</v>
      </c>
      <c r="C1936" s="45" t="n">
        <f aca="false">ROUND(MAX(0,'Model Inputs &amp; Assumptions'!$S$31*EXP('Model Inputs &amp; Assumptions'!$T$31*P1936-'Model Inputs &amp; Assumptions'!$T$31^2/2)),0)</f>
        <v>254132</v>
      </c>
      <c r="D1936" s="46" t="n">
        <f aca="false">MIN(1,'Model Inputs &amp; Assumptions'!$U$31*EXP('Model Inputs &amp; Assumptions'!$V$31*Q1936-'Model Inputs &amp; Assumptions'!$V$31^2/2))</f>
        <v>0.450204613865538</v>
      </c>
      <c r="E1936" s="45" t="n">
        <f aca="false">ROUND(C1936*D1936,0)</f>
        <v>114411</v>
      </c>
      <c r="F1936" s="47" t="n">
        <f aca="false">MIN(1,'Model Inputs &amp; Assumptions'!$W$31*EXP('Model Inputs &amp; Assumptions'!$X$31*R1936-'Model Inputs &amp; Assumptions'!$X$31^2/2))</f>
        <v>0.00706662186007337</v>
      </c>
      <c r="G1936" s="45" t="n">
        <f aca="false">ROUND(C1936*F1936,0)</f>
        <v>1796</v>
      </c>
      <c r="H1936" s="48" t="n">
        <f aca="false">MAX(0,(C1936*'Model Inputs &amp; Assumptions'!$N$31+E1936*'Model Inputs &amp; Assumptions'!$O$31+G1936*'Model Inputs &amp; Assumptions'!$P$31)*EXP('Model Inputs &amp; Assumptions'!$Q$31*S1936-'Model Inputs &amp; Assumptions'!$Q$31^2/2))</f>
        <v>48.7967477401681</v>
      </c>
      <c r="I1936" s="49" t="n">
        <f aca="false">IF('Model Inputs &amp; Assumptions'!$H$31="Fixed",'Model Inputs &amp; Assumptions'!$I$31*'Model Inputs &amp; Assumptions'!$K$31,IF('Model Inputs &amp; Assumptions'!$H$31="CPM",'Model Inputs &amp; Assumptions'!$I$31*'Model Inputs &amp; Assumptions'!$K$31*C1936/1000,IF('Model Inputs &amp; Assumptions'!$H$31="CPC",'Model Inputs &amp; Assumptions'!$I$31*'Model Inputs &amp; Assumptions'!$K$31*G1936,0)))</f>
        <v>2883.381672</v>
      </c>
      <c r="J1936" s="50" t="n">
        <f aca="false">H1936*INDEX('Model Inputs &amp; Assumptions'!$D$40:$D$42,MATCH('Model Inputs &amp; Assumptions'!$L$31,'Model Inputs &amp; Assumptions'!$A$40:$A$42,0))*INDEX('Model Inputs &amp; Assumptions'!$H$40:$H$42,MATCH('Model Inputs &amp; Assumptions'!$L$31,'Model Inputs &amp; Assumptions'!$A$40:$A$42,0))</f>
        <v>351336.58372921</v>
      </c>
      <c r="K1936" s="49" t="n">
        <f aca="false">H1936*INDEX('Model Inputs &amp; Assumptions'!$G$40:$G$42,MATCH('Model Inputs &amp; Assumptions'!$L$31,'Model Inputs &amp; Assumptions'!$A$40:$A$42,0))*INDEX('Model Inputs &amp; Assumptions'!$H$40:$H$42,MATCH('Model Inputs &amp; Assumptions'!$L$31,'Model Inputs &amp; Assumptions'!$A$40:$A$42,0))</f>
        <v>7746.97167122908</v>
      </c>
      <c r="L1936" s="51" t="n">
        <f aca="false">IFERROR(K1936/I1936,0)</f>
        <v>2.68676594099856</v>
      </c>
      <c r="M1936" s="49" t="n">
        <f aca="false">IFERROR(I1936/H1936,0)</f>
        <v>59.0896280086815</v>
      </c>
      <c r="N1936" s="52" t="str">
        <f aca="false">'Model Inputs &amp; Assumptions'!$L$31</f>
        <v>PRD-USIQ</v>
      </c>
      <c r="P1936" s="53" t="n">
        <v>-2.131186</v>
      </c>
      <c r="Q1936" s="53" t="n">
        <v>-1.861574</v>
      </c>
      <c r="R1936" s="53" t="n">
        <v>1.561436</v>
      </c>
      <c r="S1936" s="53" t="n">
        <v>1.036623</v>
      </c>
    </row>
    <row r="1937" customFormat="false" ht="15" hidden="false" customHeight="false" outlineLevel="0" collapsed="false">
      <c r="A1937" s="43" t="n">
        <v>434</v>
      </c>
      <c r="B1937" s="44" t="str">
        <f aca="false">'Model Inputs &amp; Assumptions'!$B$31</f>
        <v>YouTube — Finfluencer Pre-roll</v>
      </c>
      <c r="C1937" s="45" t="n">
        <f aca="false">ROUND(MAX(0,'Model Inputs &amp; Assumptions'!$S$31*EXP('Model Inputs &amp; Assumptions'!$T$31*P1937-'Model Inputs &amp; Assumptions'!$T$31^2/2)),0)</f>
        <v>489056</v>
      </c>
      <c r="D1937" s="46" t="n">
        <f aca="false">MIN(1,'Model Inputs &amp; Assumptions'!$U$31*EXP('Model Inputs &amp; Assumptions'!$V$31*Q1937-'Model Inputs &amp; Assumptions'!$V$31^2/2))</f>
        <v>0.626948372604937</v>
      </c>
      <c r="E1937" s="45" t="n">
        <f aca="false">ROUND(C1937*D1937,0)</f>
        <v>306613</v>
      </c>
      <c r="F1937" s="47" t="n">
        <f aca="false">MIN(1,'Model Inputs &amp; Assumptions'!$W$31*EXP('Model Inputs &amp; Assumptions'!$X$31*R1937-'Model Inputs &amp; Assumptions'!$X$31^2/2))</f>
        <v>0.00516734838705236</v>
      </c>
      <c r="G1937" s="45" t="n">
        <f aca="false">ROUND(C1937*F1937,0)</f>
        <v>2527</v>
      </c>
      <c r="H1937" s="48" t="n">
        <f aca="false">MAX(0,(C1937*'Model Inputs &amp; Assumptions'!$N$31+E1937*'Model Inputs &amp; Assumptions'!$O$31+G1937*'Model Inputs &amp; Assumptions'!$P$31)*EXP('Model Inputs &amp; Assumptions'!$Q$31*S1937-'Model Inputs &amp; Assumptions'!$Q$31^2/2))</f>
        <v>32.3776020651224</v>
      </c>
      <c r="I1937" s="49" t="n">
        <f aca="false">IF('Model Inputs &amp; Assumptions'!$H$31="Fixed",'Model Inputs &amp; Assumptions'!$I$31*'Model Inputs &amp; Assumptions'!$K$31,IF('Model Inputs &amp; Assumptions'!$H$31="CPM",'Model Inputs &amp; Assumptions'!$I$31*'Model Inputs &amp; Assumptions'!$K$31*C1937/1000,IF('Model Inputs &amp; Assumptions'!$H$31="CPC",'Model Inputs &amp; Assumptions'!$I$31*'Model Inputs &amp; Assumptions'!$K$31*G1937,0)))</f>
        <v>5548.829376</v>
      </c>
      <c r="J1937" s="50" t="n">
        <f aca="false">H1937*INDEX('Model Inputs &amp; Assumptions'!$D$40:$D$42,MATCH('Model Inputs &amp; Assumptions'!$L$31,'Model Inputs &amp; Assumptions'!$A$40:$A$42,0))*INDEX('Model Inputs &amp; Assumptions'!$H$40:$H$42,MATCH('Model Inputs &amp; Assumptions'!$L$31,'Model Inputs &amp; Assumptions'!$A$40:$A$42,0))</f>
        <v>233118.734868881</v>
      </c>
      <c r="K1937" s="49" t="n">
        <f aca="false">H1937*INDEX('Model Inputs &amp; Assumptions'!$G$40:$G$42,MATCH('Model Inputs &amp; Assumptions'!$L$31,'Model Inputs &amp; Assumptions'!$A$40:$A$42,0))*INDEX('Model Inputs &amp; Assumptions'!$H$40:$H$42,MATCH('Model Inputs &amp; Assumptions'!$L$31,'Model Inputs &amp; Assumptions'!$A$40:$A$42,0))</f>
        <v>5140.26810385884</v>
      </c>
      <c r="L1937" s="51" t="n">
        <f aca="false">IFERROR(K1937/I1937,0)</f>
        <v>0.926369826055873</v>
      </c>
      <c r="M1937" s="49" t="n">
        <f aca="false">IFERROR(I1937/H1937,0)</f>
        <v>171.378638999868</v>
      </c>
      <c r="N1937" s="52" t="str">
        <f aca="false">'Model Inputs &amp; Assumptions'!$L$31</f>
        <v>PRD-USIQ</v>
      </c>
      <c r="P1937" s="53" t="n">
        <v>0.206754</v>
      </c>
      <c r="Q1937" s="53" t="n">
        <v>0.503869</v>
      </c>
      <c r="R1937" s="53" t="n">
        <v>0.257174</v>
      </c>
      <c r="S1937" s="53" t="n">
        <v>-1.701125</v>
      </c>
    </row>
    <row r="1938" customFormat="false" ht="15" hidden="false" customHeight="false" outlineLevel="0" collapsed="false">
      <c r="A1938" s="43" t="n">
        <v>435</v>
      </c>
      <c r="B1938" s="44" t="str">
        <f aca="false">'Model Inputs &amp; Assumptions'!$B$31</f>
        <v>YouTube — Finfluencer Pre-roll</v>
      </c>
      <c r="C1938" s="45" t="n">
        <f aca="false">ROUND(MAX(0,'Model Inputs &amp; Assumptions'!$S$31*EXP('Model Inputs &amp; Assumptions'!$T$31*P1938-'Model Inputs &amp; Assumptions'!$T$31^2/2)),0)</f>
        <v>398679</v>
      </c>
      <c r="D1938" s="46" t="n">
        <f aca="false">MIN(1,'Model Inputs &amp; Assumptions'!$U$31*EXP('Model Inputs &amp; Assumptions'!$V$31*Q1938-'Model Inputs &amp; Assumptions'!$V$31^2/2))</f>
        <v>0.556683923688255</v>
      </c>
      <c r="E1938" s="45" t="n">
        <f aca="false">ROUND(C1938*D1938,0)</f>
        <v>221938</v>
      </c>
      <c r="F1938" s="47" t="n">
        <f aca="false">MIN(1,'Model Inputs &amp; Assumptions'!$W$31*EXP('Model Inputs &amp; Assumptions'!$X$31*R1938-'Model Inputs &amp; Assumptions'!$X$31^2/2))</f>
        <v>0.00518161007069567</v>
      </c>
      <c r="G1938" s="45" t="n">
        <f aca="false">ROUND(C1938*F1938,0)</f>
        <v>2066</v>
      </c>
      <c r="H1938" s="48" t="n">
        <f aca="false">MAX(0,(C1938*'Model Inputs &amp; Assumptions'!$N$31+E1938*'Model Inputs &amp; Assumptions'!$O$31+G1938*'Model Inputs &amp; Assumptions'!$P$31)*EXP('Model Inputs &amp; Assumptions'!$Q$31*S1938-'Model Inputs &amp; Assumptions'!$Q$31^2/2))</f>
        <v>32.8025415503019</v>
      </c>
      <c r="I1938" s="49" t="n">
        <f aca="false">IF('Model Inputs &amp; Assumptions'!$H$31="Fixed",'Model Inputs &amp; Assumptions'!$I$31*'Model Inputs &amp; Assumptions'!$K$31,IF('Model Inputs &amp; Assumptions'!$H$31="CPM",'Model Inputs &amp; Assumptions'!$I$31*'Model Inputs &amp; Assumptions'!$K$31*C1938/1000,IF('Model Inputs &amp; Assumptions'!$H$31="CPC",'Model Inputs &amp; Assumptions'!$I$31*'Model Inputs &amp; Assumptions'!$K$31*G1938,0)))</f>
        <v>4523.411934</v>
      </c>
      <c r="J1938" s="50" t="n">
        <f aca="false">H1938*INDEX('Model Inputs &amp; Assumptions'!$D$40:$D$42,MATCH('Model Inputs &amp; Assumptions'!$L$31,'Model Inputs &amp; Assumptions'!$A$40:$A$42,0))*INDEX('Model Inputs &amp; Assumptions'!$H$40:$H$42,MATCH('Model Inputs &amp; Assumptions'!$L$31,'Model Inputs &amp; Assumptions'!$A$40:$A$42,0))</f>
        <v>236178.299162174</v>
      </c>
      <c r="K1938" s="49" t="n">
        <f aca="false">H1938*INDEX('Model Inputs &amp; Assumptions'!$G$40:$G$42,MATCH('Model Inputs &amp; Assumptions'!$L$31,'Model Inputs &amp; Assumptions'!$A$40:$A$42,0))*INDEX('Model Inputs &amp; Assumptions'!$H$40:$H$42,MATCH('Model Inputs &amp; Assumptions'!$L$31,'Model Inputs &amp; Assumptions'!$A$40:$A$42,0))</f>
        <v>5207.73149652593</v>
      </c>
      <c r="L1938" s="51" t="n">
        <f aca="false">IFERROR(K1938/I1938,0)</f>
        <v>1.1512839362213</v>
      </c>
      <c r="M1938" s="49" t="n">
        <f aca="false">IFERROR(I1938/H1938,0)</f>
        <v>137.898215205778</v>
      </c>
      <c r="N1938" s="52" t="str">
        <f aca="false">'Model Inputs &amp; Assumptions'!$L$31</f>
        <v>PRD-USIQ</v>
      </c>
      <c r="P1938" s="53" t="n">
        <v>-0.522966</v>
      </c>
      <c r="Q1938" s="53" t="n">
        <v>-0.345178</v>
      </c>
      <c r="R1938" s="53" t="n">
        <v>0.268658</v>
      </c>
      <c r="S1938" s="53" t="n">
        <v>-0.956707</v>
      </c>
    </row>
    <row r="1939" customFormat="false" ht="15" hidden="false" customHeight="false" outlineLevel="0" collapsed="false">
      <c r="A1939" s="43" t="n">
        <v>436</v>
      </c>
      <c r="B1939" s="44" t="str">
        <f aca="false">'Model Inputs &amp; Assumptions'!$B$31</f>
        <v>YouTube — Finfluencer Pre-roll</v>
      </c>
      <c r="C1939" s="45" t="n">
        <f aca="false">ROUND(MAX(0,'Model Inputs &amp; Assumptions'!$S$31*EXP('Model Inputs &amp; Assumptions'!$T$31*P1939-'Model Inputs &amp; Assumptions'!$T$31^2/2)),0)</f>
        <v>508131</v>
      </c>
      <c r="D1939" s="46" t="n">
        <f aca="false">MIN(1,'Model Inputs &amp; Assumptions'!$U$31*EXP('Model Inputs &amp; Assumptions'!$V$31*Q1939-'Model Inputs &amp; Assumptions'!$V$31^2/2))</f>
        <v>0.49997633979861</v>
      </c>
      <c r="E1939" s="45" t="n">
        <f aca="false">ROUND(C1939*D1939,0)</f>
        <v>254053</v>
      </c>
      <c r="F1939" s="47" t="n">
        <f aca="false">MIN(1,'Model Inputs &amp; Assumptions'!$W$31*EXP('Model Inputs &amp; Assumptions'!$X$31*R1939-'Model Inputs &amp; Assumptions'!$X$31^2/2))</f>
        <v>0.0030254412615583</v>
      </c>
      <c r="G1939" s="45" t="n">
        <f aca="false">ROUND(C1939*F1939,0)</f>
        <v>1537</v>
      </c>
      <c r="H1939" s="48" t="n">
        <f aca="false">MAX(0,(C1939*'Model Inputs &amp; Assumptions'!$N$31+E1939*'Model Inputs &amp; Assumptions'!$O$31+G1939*'Model Inputs &amp; Assumptions'!$P$31)*EXP('Model Inputs &amp; Assumptions'!$Q$31*S1939-'Model Inputs &amp; Assumptions'!$Q$31^2/2))</f>
        <v>31.7895711789438</v>
      </c>
      <c r="I1939" s="49" t="n">
        <f aca="false">IF('Model Inputs &amp; Assumptions'!$H$31="Fixed",'Model Inputs &amp; Assumptions'!$I$31*'Model Inputs &amp; Assumptions'!$K$31,IF('Model Inputs &amp; Assumptions'!$H$31="CPM",'Model Inputs &amp; Assumptions'!$I$31*'Model Inputs &amp; Assumptions'!$K$31*C1939/1000,IF('Model Inputs &amp; Assumptions'!$H$31="CPC",'Model Inputs &amp; Assumptions'!$I$31*'Model Inputs &amp; Assumptions'!$K$31*G1939,0)))</f>
        <v>5765.254326</v>
      </c>
      <c r="J1939" s="50" t="n">
        <f aca="false">H1939*INDEX('Model Inputs &amp; Assumptions'!$D$40:$D$42,MATCH('Model Inputs &amp; Assumptions'!$L$31,'Model Inputs &amp; Assumptions'!$A$40:$A$42,0))*INDEX('Model Inputs &amp; Assumptions'!$H$40:$H$42,MATCH('Model Inputs &amp; Assumptions'!$L$31,'Model Inputs &amp; Assumptions'!$A$40:$A$42,0))</f>
        <v>228884.912488395</v>
      </c>
      <c r="K1939" s="49" t="n">
        <f aca="false">H1939*INDEX('Model Inputs &amp; Assumptions'!$G$40:$G$42,MATCH('Model Inputs &amp; Assumptions'!$L$31,'Model Inputs &amp; Assumptions'!$A$40:$A$42,0))*INDEX('Model Inputs &amp; Assumptions'!$H$40:$H$42,MATCH('Model Inputs &amp; Assumptions'!$L$31,'Model Inputs &amp; Assumptions'!$A$40:$A$42,0))</f>
        <v>5046.91232036911</v>
      </c>
      <c r="L1939" s="51" t="n">
        <f aca="false">IFERROR(K1939/I1939,0)</f>
        <v>0.87540150615883</v>
      </c>
      <c r="M1939" s="49" t="n">
        <f aca="false">IFERROR(I1939/H1939,0)</f>
        <v>181.356781868725</v>
      </c>
      <c r="N1939" s="52" t="str">
        <f aca="false">'Model Inputs &amp; Assumptions'!$L$31</f>
        <v>PRD-USIQ</v>
      </c>
      <c r="P1939" s="53" t="n">
        <v>0.343407</v>
      </c>
      <c r="Q1939" s="53" t="n">
        <v>-1.112584</v>
      </c>
      <c r="R1939" s="53" t="n">
        <v>-1.973254</v>
      </c>
      <c r="S1939" s="53" t="n">
        <v>-0.713122</v>
      </c>
    </row>
    <row r="1940" customFormat="false" ht="15" hidden="false" customHeight="false" outlineLevel="0" collapsed="false">
      <c r="A1940" s="43" t="n">
        <v>437</v>
      </c>
      <c r="B1940" s="44" t="str">
        <f aca="false">'Model Inputs &amp; Assumptions'!$B$31</f>
        <v>YouTube — Finfluencer Pre-roll</v>
      </c>
      <c r="C1940" s="45" t="n">
        <f aca="false">ROUND(MAX(0,'Model Inputs &amp; Assumptions'!$S$31*EXP('Model Inputs &amp; Assumptions'!$T$31*P1940-'Model Inputs &amp; Assumptions'!$T$31^2/2)),0)</f>
        <v>486230</v>
      </c>
      <c r="D1940" s="46" t="n">
        <f aca="false">MIN(1,'Model Inputs &amp; Assumptions'!$U$31*EXP('Model Inputs &amp; Assumptions'!$V$31*Q1940-'Model Inputs &amp; Assumptions'!$V$31^2/2))</f>
        <v>0.635291340047933</v>
      </c>
      <c r="E1940" s="45" t="n">
        <f aca="false">ROUND(C1940*D1940,0)</f>
        <v>308898</v>
      </c>
      <c r="F1940" s="47" t="n">
        <f aca="false">MIN(1,'Model Inputs &amp; Assumptions'!$W$31*EXP('Model Inputs &amp; Assumptions'!$X$31*R1940-'Model Inputs &amp; Assumptions'!$X$31^2/2))</f>
        <v>0.0033671129049961</v>
      </c>
      <c r="G1940" s="45" t="n">
        <f aca="false">ROUND(C1940*F1940,0)</f>
        <v>1637</v>
      </c>
      <c r="H1940" s="48" t="n">
        <f aca="false">MAX(0,(C1940*'Model Inputs &amp; Assumptions'!$N$31+E1940*'Model Inputs &amp; Assumptions'!$O$31+G1940*'Model Inputs &amp; Assumptions'!$P$31)*EXP('Model Inputs &amp; Assumptions'!$Q$31*S1940-'Model Inputs &amp; Assumptions'!$Q$31^2/2))</f>
        <v>40.3177386897892</v>
      </c>
      <c r="I1940" s="49" t="n">
        <f aca="false">IF('Model Inputs &amp; Assumptions'!$H$31="Fixed",'Model Inputs &amp; Assumptions'!$I$31*'Model Inputs &amp; Assumptions'!$K$31,IF('Model Inputs &amp; Assumptions'!$H$31="CPM",'Model Inputs &amp; Assumptions'!$I$31*'Model Inputs &amp; Assumptions'!$K$31*C1940/1000,IF('Model Inputs &amp; Assumptions'!$H$31="CPC",'Model Inputs &amp; Assumptions'!$I$31*'Model Inputs &amp; Assumptions'!$K$31*G1940,0)))</f>
        <v>5516.76558</v>
      </c>
      <c r="J1940" s="50" t="n">
        <f aca="false">H1940*INDEX('Model Inputs &amp; Assumptions'!$D$40:$D$42,MATCH('Model Inputs &amp; Assumptions'!$L$31,'Model Inputs &amp; Assumptions'!$A$40:$A$42,0))*INDEX('Model Inputs &amp; Assumptions'!$H$40:$H$42,MATCH('Model Inputs &amp; Assumptions'!$L$31,'Model Inputs &amp; Assumptions'!$A$40:$A$42,0))</f>
        <v>290287.718566482</v>
      </c>
      <c r="K1940" s="49" t="n">
        <f aca="false">H1940*INDEX('Model Inputs &amp; Assumptions'!$G$40:$G$42,MATCH('Model Inputs &amp; Assumptions'!$L$31,'Model Inputs &amp; Assumptions'!$A$40:$A$42,0))*INDEX('Model Inputs &amp; Assumptions'!$H$40:$H$42,MATCH('Model Inputs &amp; Assumptions'!$L$31,'Model Inputs &amp; Assumptions'!$A$40:$A$42,0))</f>
        <v>6400.84419439093</v>
      </c>
      <c r="L1940" s="51" t="n">
        <f aca="false">IFERROR(K1940/I1940,0)</f>
        <v>1.16025306886267</v>
      </c>
      <c r="M1940" s="49" t="n">
        <f aca="false">IFERROR(I1940/H1940,0)</f>
        <v>136.832217264139</v>
      </c>
      <c r="N1940" s="52" t="str">
        <f aca="false">'Model Inputs &amp; Assumptions'!$L$31</f>
        <v>PRD-USIQ</v>
      </c>
      <c r="P1940" s="53" t="n">
        <v>0.186055</v>
      </c>
      <c r="Q1940" s="53" t="n">
        <v>0.598294</v>
      </c>
      <c r="R1940" s="53" t="n">
        <v>-1.527426</v>
      </c>
      <c r="S1940" s="53" t="n">
        <v>-0.397742</v>
      </c>
    </row>
    <row r="1941" customFormat="false" ht="15" hidden="false" customHeight="false" outlineLevel="0" collapsed="false">
      <c r="A1941" s="43" t="n">
        <v>438</v>
      </c>
      <c r="B1941" s="44" t="str">
        <f aca="false">'Model Inputs &amp; Assumptions'!$B$31</f>
        <v>YouTube — Finfluencer Pre-roll</v>
      </c>
      <c r="C1941" s="45" t="n">
        <f aca="false">ROUND(MAX(0,'Model Inputs &amp; Assumptions'!$S$31*EXP('Model Inputs &amp; Assumptions'!$T$31*P1941-'Model Inputs &amp; Assumptions'!$T$31^2/2)),0)</f>
        <v>293285</v>
      </c>
      <c r="D1941" s="46" t="n">
        <f aca="false">MIN(1,'Model Inputs &amp; Assumptions'!$U$31*EXP('Model Inputs &amp; Assumptions'!$V$31*Q1941-'Model Inputs &amp; Assumptions'!$V$31^2/2))</f>
        <v>0.480675341683795</v>
      </c>
      <c r="E1941" s="45" t="n">
        <f aca="false">ROUND(C1941*D1941,0)</f>
        <v>140975</v>
      </c>
      <c r="F1941" s="47" t="n">
        <f aca="false">MIN(1,'Model Inputs &amp; Assumptions'!$W$31*EXP('Model Inputs &amp; Assumptions'!$X$31*R1941-'Model Inputs &amp; Assumptions'!$X$31^2/2))</f>
        <v>0.00449753195751153</v>
      </c>
      <c r="G1941" s="45" t="n">
        <f aca="false">ROUND(C1941*F1941,0)</f>
        <v>1319</v>
      </c>
      <c r="H1941" s="48" t="n">
        <f aca="false">MAX(0,(C1941*'Model Inputs &amp; Assumptions'!$N$31+E1941*'Model Inputs &amp; Assumptions'!$O$31+G1941*'Model Inputs &amp; Assumptions'!$P$31)*EXP('Model Inputs &amp; Assumptions'!$Q$31*S1941-'Model Inputs &amp; Assumptions'!$Q$31^2/2))</f>
        <v>29.499216400757</v>
      </c>
      <c r="I1941" s="49" t="n">
        <f aca="false">IF('Model Inputs &amp; Assumptions'!$H$31="Fixed",'Model Inputs &amp; Assumptions'!$I$31*'Model Inputs &amp; Assumptions'!$K$31,IF('Model Inputs &amp; Assumptions'!$H$31="CPM",'Model Inputs &amp; Assumptions'!$I$31*'Model Inputs &amp; Assumptions'!$K$31*C1941/1000,IF('Model Inputs &amp; Assumptions'!$H$31="CPC",'Model Inputs &amp; Assumptions'!$I$31*'Model Inputs &amp; Assumptions'!$K$31*G1941,0)))</f>
        <v>3327.61161</v>
      </c>
      <c r="J1941" s="50" t="n">
        <f aca="false">H1941*INDEX('Model Inputs &amp; Assumptions'!$D$40:$D$42,MATCH('Model Inputs &amp; Assumptions'!$L$31,'Model Inputs &amp; Assumptions'!$A$40:$A$42,0))*INDEX('Model Inputs &amp; Assumptions'!$H$40:$H$42,MATCH('Model Inputs &amp; Assumptions'!$L$31,'Model Inputs &amp; Assumptions'!$A$40:$A$42,0))</f>
        <v>212394.35808545</v>
      </c>
      <c r="K1941" s="49" t="n">
        <f aca="false">H1941*INDEX('Model Inputs &amp; Assumptions'!$G$40:$G$42,MATCH('Model Inputs &amp; Assumptions'!$L$31,'Model Inputs &amp; Assumptions'!$A$40:$A$42,0))*INDEX('Model Inputs &amp; Assumptions'!$H$40:$H$42,MATCH('Model Inputs &amp; Assumptions'!$L$31,'Model Inputs &amp; Assumptions'!$A$40:$A$42,0))</f>
        <v>4683.29559578418</v>
      </c>
      <c r="L1941" s="51" t="n">
        <f aca="false">IFERROR(K1941/I1941,0)</f>
        <v>1.40740451250685</v>
      </c>
      <c r="M1941" s="49" t="n">
        <f aca="false">IFERROR(I1941/H1941,0)</f>
        <v>112.803389920371</v>
      </c>
      <c r="N1941" s="52" t="str">
        <f aca="false">'Model Inputs &amp; Assumptions'!$L$31</f>
        <v>PRD-USIQ</v>
      </c>
      <c r="P1941" s="53" t="n">
        <v>-1.619434</v>
      </c>
      <c r="Q1941" s="53" t="n">
        <v>-1.393789</v>
      </c>
      <c r="R1941" s="53" t="n">
        <v>-0.321288</v>
      </c>
      <c r="S1941" s="53" t="n">
        <v>0.027418</v>
      </c>
    </row>
    <row r="1942" customFormat="false" ht="15" hidden="false" customHeight="false" outlineLevel="0" collapsed="false">
      <c r="A1942" s="43" t="n">
        <v>439</v>
      </c>
      <c r="B1942" s="44" t="str">
        <f aca="false">'Model Inputs &amp; Assumptions'!$B$31</f>
        <v>YouTube — Finfluencer Pre-roll</v>
      </c>
      <c r="C1942" s="45" t="n">
        <f aca="false">ROUND(MAX(0,'Model Inputs &amp; Assumptions'!$S$31*EXP('Model Inputs &amp; Assumptions'!$T$31*P1942-'Model Inputs &amp; Assumptions'!$T$31^2/2)),0)</f>
        <v>410566</v>
      </c>
      <c r="D1942" s="46" t="n">
        <f aca="false">MIN(1,'Model Inputs &amp; Assumptions'!$U$31*EXP('Model Inputs &amp; Assumptions'!$V$31*Q1942-'Model Inputs &amp; Assumptions'!$V$31^2/2))</f>
        <v>0.546138516557946</v>
      </c>
      <c r="E1942" s="45" t="n">
        <f aca="false">ROUND(C1942*D1942,0)</f>
        <v>224226</v>
      </c>
      <c r="F1942" s="47" t="n">
        <f aca="false">MIN(1,'Model Inputs &amp; Assumptions'!$W$31*EXP('Model Inputs &amp; Assumptions'!$X$31*R1942-'Model Inputs &amp; Assumptions'!$X$31^2/2))</f>
        <v>0.00415660598563826</v>
      </c>
      <c r="G1942" s="45" t="n">
        <f aca="false">ROUND(C1942*F1942,0)</f>
        <v>1707</v>
      </c>
      <c r="H1942" s="48" t="n">
        <f aca="false">MAX(0,(C1942*'Model Inputs &amp; Assumptions'!$N$31+E1942*'Model Inputs &amp; Assumptions'!$O$31+G1942*'Model Inputs &amp; Assumptions'!$P$31)*EXP('Model Inputs &amp; Assumptions'!$Q$31*S1942-'Model Inputs &amp; Assumptions'!$Q$31^2/2))</f>
        <v>31.2459976523196</v>
      </c>
      <c r="I1942" s="49" t="n">
        <f aca="false">IF('Model Inputs &amp; Assumptions'!$H$31="Fixed",'Model Inputs &amp; Assumptions'!$I$31*'Model Inputs &amp; Assumptions'!$K$31,IF('Model Inputs &amp; Assumptions'!$H$31="CPM",'Model Inputs &amp; Assumptions'!$I$31*'Model Inputs &amp; Assumptions'!$K$31*C1942/1000,IF('Model Inputs &amp; Assumptions'!$H$31="CPC",'Model Inputs &amp; Assumptions'!$I$31*'Model Inputs &amp; Assumptions'!$K$31*G1942,0)))</f>
        <v>4658.281836</v>
      </c>
      <c r="J1942" s="50" t="n">
        <f aca="false">H1942*INDEX('Model Inputs &amp; Assumptions'!$D$40:$D$42,MATCH('Model Inputs &amp; Assumptions'!$L$31,'Model Inputs &amp; Assumptions'!$A$40:$A$42,0))*INDEX('Model Inputs &amp; Assumptions'!$H$40:$H$42,MATCH('Model Inputs &amp; Assumptions'!$L$31,'Model Inputs &amp; Assumptions'!$A$40:$A$42,0))</f>
        <v>224971.183096701</v>
      </c>
      <c r="K1942" s="49" t="n">
        <f aca="false">H1942*INDEX('Model Inputs &amp; Assumptions'!$G$40:$G$42,MATCH('Model Inputs &amp; Assumptions'!$L$31,'Model Inputs &amp; Assumptions'!$A$40:$A$42,0))*INDEX('Model Inputs &amp; Assumptions'!$H$40:$H$42,MATCH('Model Inputs &amp; Assumptions'!$L$31,'Model Inputs &amp; Assumptions'!$A$40:$A$42,0))</f>
        <v>4960.61458728225</v>
      </c>
      <c r="L1942" s="51" t="n">
        <f aca="false">IFERROR(K1942/I1942,0)</f>
        <v>1.06490220255584</v>
      </c>
      <c r="M1942" s="49" t="n">
        <f aca="false">IFERROR(I1942/H1942,0)</f>
        <v>149.084112718487</v>
      </c>
      <c r="N1942" s="52" t="str">
        <f aca="false">'Model Inputs &amp; Assumptions'!$L$31</f>
        <v>PRD-USIQ</v>
      </c>
      <c r="P1942" s="53" t="n">
        <v>-0.418037</v>
      </c>
      <c r="Q1942" s="53" t="n">
        <v>-0.481785</v>
      </c>
      <c r="R1942" s="53" t="n">
        <v>-0.649746</v>
      </c>
      <c r="S1942" s="53" t="n">
        <v>-0.77317</v>
      </c>
    </row>
    <row r="1943" customFormat="false" ht="15" hidden="false" customHeight="false" outlineLevel="0" collapsed="false">
      <c r="A1943" s="43" t="n">
        <v>440</v>
      </c>
      <c r="B1943" s="44" t="str">
        <f aca="false">'Model Inputs &amp; Assumptions'!$B$31</f>
        <v>YouTube — Finfluencer Pre-roll</v>
      </c>
      <c r="C1943" s="45" t="n">
        <f aca="false">ROUND(MAX(0,'Model Inputs &amp; Assumptions'!$S$31*EXP('Model Inputs &amp; Assumptions'!$T$31*P1943-'Model Inputs &amp; Assumptions'!$T$31^2/2)),0)</f>
        <v>310870</v>
      </c>
      <c r="D1943" s="46" t="n">
        <f aca="false">MIN(1,'Model Inputs &amp; Assumptions'!$U$31*EXP('Model Inputs &amp; Assumptions'!$V$31*Q1943-'Model Inputs &amp; Assumptions'!$V$31^2/2))</f>
        <v>0.688971259574972</v>
      </c>
      <c r="E1943" s="45" t="n">
        <f aca="false">ROUND(C1943*D1943,0)</f>
        <v>214180</v>
      </c>
      <c r="F1943" s="47" t="n">
        <f aca="false">MIN(1,'Model Inputs &amp; Assumptions'!$W$31*EXP('Model Inputs &amp; Assumptions'!$X$31*R1943-'Model Inputs &amp; Assumptions'!$X$31^2/2))</f>
        <v>0.00501026091425381</v>
      </c>
      <c r="G1943" s="45" t="n">
        <f aca="false">ROUND(C1943*F1943,0)</f>
        <v>1558</v>
      </c>
      <c r="H1943" s="48" t="n">
        <f aca="false">MAX(0,(C1943*'Model Inputs &amp; Assumptions'!$N$31+E1943*'Model Inputs &amp; Assumptions'!$O$31+G1943*'Model Inputs &amp; Assumptions'!$P$31)*EXP('Model Inputs &amp; Assumptions'!$Q$31*S1943-'Model Inputs &amp; Assumptions'!$Q$31^2/2))</f>
        <v>30.0054298470641</v>
      </c>
      <c r="I1943" s="49" t="n">
        <f aca="false">IF('Model Inputs &amp; Assumptions'!$H$31="Fixed",'Model Inputs &amp; Assumptions'!$I$31*'Model Inputs &amp; Assumptions'!$K$31,IF('Model Inputs &amp; Assumptions'!$H$31="CPM",'Model Inputs &amp; Assumptions'!$I$31*'Model Inputs &amp; Assumptions'!$K$31*C1943/1000,IF('Model Inputs &amp; Assumptions'!$H$31="CPC",'Model Inputs &amp; Assumptions'!$I$31*'Model Inputs &amp; Assumptions'!$K$31*G1943,0)))</f>
        <v>3527.13102</v>
      </c>
      <c r="J1943" s="50" t="n">
        <f aca="false">H1943*INDEX('Model Inputs &amp; Assumptions'!$D$40:$D$42,MATCH('Model Inputs &amp; Assumptions'!$L$31,'Model Inputs &amp; Assumptions'!$A$40:$A$42,0))*INDEX('Model Inputs &amp; Assumptions'!$H$40:$H$42,MATCH('Model Inputs &amp; Assumptions'!$L$31,'Model Inputs &amp; Assumptions'!$A$40:$A$42,0))</f>
        <v>216039.094898861</v>
      </c>
      <c r="K1943" s="49" t="n">
        <f aca="false">H1943*INDEX('Model Inputs &amp; Assumptions'!$G$40:$G$42,MATCH('Model Inputs &amp; Assumptions'!$L$31,'Model Inputs &amp; Assumptions'!$A$40:$A$42,0))*INDEX('Model Inputs &amp; Assumptions'!$H$40:$H$42,MATCH('Model Inputs &amp; Assumptions'!$L$31,'Model Inputs &amp; Assumptions'!$A$40:$A$42,0))</f>
        <v>4763.66204251989</v>
      </c>
      <c r="L1943" s="51" t="n">
        <f aca="false">IFERROR(K1943/I1943,0)</f>
        <v>1.35057700309638</v>
      </c>
      <c r="M1943" s="49" t="n">
        <f aca="false">IFERROR(I1943/H1943,0)</f>
        <v>117.549758093038</v>
      </c>
      <c r="N1943" s="52" t="str">
        <f aca="false">'Model Inputs &amp; Assumptions'!$L$31</f>
        <v>PRD-USIQ</v>
      </c>
      <c r="P1943" s="53" t="n">
        <v>-1.411469</v>
      </c>
      <c r="Q1943" s="53" t="n">
        <v>1.177693</v>
      </c>
      <c r="R1943" s="53" t="n">
        <v>0.128542</v>
      </c>
      <c r="S1943" s="53" t="n">
        <v>-0.682235</v>
      </c>
    </row>
    <row r="1944" customFormat="false" ht="15" hidden="false" customHeight="false" outlineLevel="0" collapsed="false">
      <c r="A1944" s="43" t="n">
        <v>441</v>
      </c>
      <c r="B1944" s="44" t="str">
        <f aca="false">'Model Inputs &amp; Assumptions'!$B$31</f>
        <v>YouTube — Finfluencer Pre-roll</v>
      </c>
      <c r="C1944" s="45" t="n">
        <f aca="false">ROUND(MAX(0,'Model Inputs &amp; Assumptions'!$S$31*EXP('Model Inputs &amp; Assumptions'!$T$31*P1944-'Model Inputs &amp; Assumptions'!$T$31^2/2)),0)</f>
        <v>386332</v>
      </c>
      <c r="D1944" s="46" t="n">
        <f aca="false">MIN(1,'Model Inputs &amp; Assumptions'!$U$31*EXP('Model Inputs &amp; Assumptions'!$V$31*Q1944-'Model Inputs &amp; Assumptions'!$V$31^2/2))</f>
        <v>0.617729239026048</v>
      </c>
      <c r="E1944" s="45" t="n">
        <f aca="false">ROUND(C1944*D1944,0)</f>
        <v>238649</v>
      </c>
      <c r="F1944" s="47" t="n">
        <f aca="false">MIN(1,'Model Inputs &amp; Assumptions'!$W$31*EXP('Model Inputs &amp; Assumptions'!$X$31*R1944-'Model Inputs &amp; Assumptions'!$X$31^2/2))</f>
        <v>0.00503875341115863</v>
      </c>
      <c r="G1944" s="45" t="n">
        <f aca="false">ROUND(C1944*F1944,0)</f>
        <v>1947</v>
      </c>
      <c r="H1944" s="48" t="n">
        <f aca="false">MAX(0,(C1944*'Model Inputs &amp; Assumptions'!$N$31+E1944*'Model Inputs &amp; Assumptions'!$O$31+G1944*'Model Inputs &amp; Assumptions'!$P$31)*EXP('Model Inputs &amp; Assumptions'!$Q$31*S1944-'Model Inputs &amp; Assumptions'!$Q$31^2/2))</f>
        <v>42.0299933379214</v>
      </c>
      <c r="I1944" s="49" t="n">
        <f aca="false">IF('Model Inputs &amp; Assumptions'!$H$31="Fixed",'Model Inputs &amp; Assumptions'!$I$31*'Model Inputs &amp; Assumptions'!$K$31,IF('Model Inputs &amp; Assumptions'!$H$31="CPM",'Model Inputs &amp; Assumptions'!$I$31*'Model Inputs &amp; Assumptions'!$K$31*C1944/1000,IF('Model Inputs &amp; Assumptions'!$H$31="CPC",'Model Inputs &amp; Assumptions'!$I$31*'Model Inputs &amp; Assumptions'!$K$31*G1944,0)))</f>
        <v>4383.322872</v>
      </c>
      <c r="J1944" s="50" t="n">
        <f aca="false">H1944*INDEX('Model Inputs &amp; Assumptions'!$D$40:$D$42,MATCH('Model Inputs &amp; Assumptions'!$L$31,'Model Inputs &amp; Assumptions'!$A$40:$A$42,0))*INDEX('Model Inputs &amp; Assumptions'!$H$40:$H$42,MATCH('Model Inputs &amp; Assumptions'!$L$31,'Model Inputs &amp; Assumptions'!$A$40:$A$42,0))</f>
        <v>302615.952033034</v>
      </c>
      <c r="K1944" s="49" t="n">
        <f aca="false">H1944*INDEX('Model Inputs &amp; Assumptions'!$G$40:$G$42,MATCH('Model Inputs &amp; Assumptions'!$L$31,'Model Inputs &amp; Assumptions'!$A$40:$A$42,0))*INDEX('Model Inputs &amp; Assumptions'!$H$40:$H$42,MATCH('Model Inputs &amp; Assumptions'!$L$31,'Model Inputs &amp; Assumptions'!$A$40:$A$42,0))</f>
        <v>6672.68174232839</v>
      </c>
      <c r="L1944" s="51" t="n">
        <f aca="false">IFERROR(K1944/I1944,0)</f>
        <v>1.52228844125366</v>
      </c>
      <c r="M1944" s="49" t="n">
        <f aca="false">IFERROR(I1944/H1944,0)</f>
        <v>104.290353718547</v>
      </c>
      <c r="N1944" s="52" t="str">
        <f aca="false">'Model Inputs &amp; Assumptions'!$L$31</f>
        <v>PRD-USIQ</v>
      </c>
      <c r="P1944" s="53" t="n">
        <v>-0.635322</v>
      </c>
      <c r="Q1944" s="53" t="n">
        <v>0.398055</v>
      </c>
      <c r="R1944" s="53" t="n">
        <v>0.15217</v>
      </c>
      <c r="S1944" s="53" t="n">
        <v>-0.222098</v>
      </c>
    </row>
    <row r="1945" customFormat="false" ht="15" hidden="false" customHeight="false" outlineLevel="0" collapsed="false">
      <c r="A1945" s="43" t="n">
        <v>442</v>
      </c>
      <c r="B1945" s="44" t="str">
        <f aca="false">'Model Inputs &amp; Assumptions'!$B$31</f>
        <v>YouTube — Finfluencer Pre-roll</v>
      </c>
      <c r="C1945" s="45" t="n">
        <f aca="false">ROUND(MAX(0,'Model Inputs &amp; Assumptions'!$S$31*EXP('Model Inputs &amp; Assumptions'!$T$31*P1945-'Model Inputs &amp; Assumptions'!$T$31^2/2)),0)</f>
        <v>551022</v>
      </c>
      <c r="D1945" s="46" t="n">
        <f aca="false">MIN(1,'Model Inputs &amp; Assumptions'!$U$31*EXP('Model Inputs &amp; Assumptions'!$V$31*Q1945-'Model Inputs &amp; Assumptions'!$V$31^2/2))</f>
        <v>0.757458307980938</v>
      </c>
      <c r="E1945" s="45" t="n">
        <f aca="false">ROUND(C1945*D1945,0)</f>
        <v>417376</v>
      </c>
      <c r="F1945" s="47" t="n">
        <f aca="false">MIN(1,'Model Inputs &amp; Assumptions'!$W$31*EXP('Model Inputs &amp; Assumptions'!$X$31*R1945-'Model Inputs &amp; Assumptions'!$X$31^2/2))</f>
        <v>0.00720458877182569</v>
      </c>
      <c r="G1945" s="45" t="n">
        <f aca="false">ROUND(C1945*F1945,0)</f>
        <v>3970</v>
      </c>
      <c r="H1945" s="48" t="n">
        <f aca="false">MAX(0,(C1945*'Model Inputs &amp; Assumptions'!$N$31+E1945*'Model Inputs &amp; Assumptions'!$O$31+G1945*'Model Inputs &amp; Assumptions'!$P$31)*EXP('Model Inputs &amp; Assumptions'!$Q$31*S1945-'Model Inputs &amp; Assumptions'!$Q$31^2/2))</f>
        <v>126.13429017399</v>
      </c>
      <c r="I1945" s="49" t="n">
        <f aca="false">IF('Model Inputs &amp; Assumptions'!$H$31="Fixed",'Model Inputs &amp; Assumptions'!$I$31*'Model Inputs &amp; Assumptions'!$K$31,IF('Model Inputs &amp; Assumptions'!$H$31="CPM",'Model Inputs &amp; Assumptions'!$I$31*'Model Inputs &amp; Assumptions'!$K$31*C1945/1000,IF('Model Inputs &amp; Assumptions'!$H$31="CPC",'Model Inputs &amp; Assumptions'!$I$31*'Model Inputs &amp; Assumptions'!$K$31*G1945,0)))</f>
        <v>6251.895612</v>
      </c>
      <c r="J1945" s="50" t="n">
        <f aca="false">H1945*INDEX('Model Inputs &amp; Assumptions'!$D$40:$D$42,MATCH('Model Inputs &amp; Assumptions'!$L$31,'Model Inputs &amp; Assumptions'!$A$40:$A$42,0))*INDEX('Model Inputs &amp; Assumptions'!$H$40:$H$42,MATCH('Model Inputs &amp; Assumptions'!$L$31,'Model Inputs &amp; Assumptions'!$A$40:$A$42,0))</f>
        <v>908166.889252729</v>
      </c>
      <c r="K1945" s="49" t="n">
        <f aca="false">H1945*INDEX('Model Inputs &amp; Assumptions'!$G$40:$G$42,MATCH('Model Inputs &amp; Assumptions'!$L$31,'Model Inputs &amp; Assumptions'!$A$40:$A$42,0))*INDEX('Model Inputs &amp; Assumptions'!$H$40:$H$42,MATCH('Model Inputs &amp; Assumptions'!$L$31,'Model Inputs &amp; Assumptions'!$A$40:$A$42,0))</f>
        <v>20025.0799080227</v>
      </c>
      <c r="L1945" s="51" t="n">
        <f aca="false">IFERROR(K1945/I1945,0)</f>
        <v>3.20304130951678</v>
      </c>
      <c r="M1945" s="49" t="n">
        <f aca="false">IFERROR(I1945/H1945,0)</f>
        <v>49.5653925936881</v>
      </c>
      <c r="N1945" s="52" t="str">
        <f aca="false">'Model Inputs &amp; Assumptions'!$L$31</f>
        <v>PRD-USIQ</v>
      </c>
      <c r="P1945" s="53" t="n">
        <v>0.632816</v>
      </c>
      <c r="Q1945" s="53" t="n">
        <v>1.854614</v>
      </c>
      <c r="R1945" s="53" t="n">
        <v>1.642001</v>
      </c>
      <c r="S1945" s="53" t="n">
        <v>1.047549</v>
      </c>
    </row>
    <row r="1946" customFormat="false" ht="15" hidden="false" customHeight="false" outlineLevel="0" collapsed="false">
      <c r="A1946" s="43" t="n">
        <v>443</v>
      </c>
      <c r="B1946" s="44" t="str">
        <f aca="false">'Model Inputs &amp; Assumptions'!$B$31</f>
        <v>YouTube — Finfluencer Pre-roll</v>
      </c>
      <c r="C1946" s="45" t="n">
        <f aca="false">ROUND(MAX(0,'Model Inputs &amp; Assumptions'!$S$31*EXP('Model Inputs &amp; Assumptions'!$T$31*P1946-'Model Inputs &amp; Assumptions'!$T$31^2/2)),0)</f>
        <v>284466</v>
      </c>
      <c r="D1946" s="46" t="n">
        <f aca="false">MIN(1,'Model Inputs &amp; Assumptions'!$U$31*EXP('Model Inputs &amp; Assumptions'!$V$31*Q1946-'Model Inputs &amp; Assumptions'!$V$31^2/2))</f>
        <v>0.654397416179488</v>
      </c>
      <c r="E1946" s="45" t="n">
        <f aca="false">ROUND(C1946*D1946,0)</f>
        <v>186154</v>
      </c>
      <c r="F1946" s="47" t="n">
        <f aca="false">MIN(1,'Model Inputs &amp; Assumptions'!$W$31*EXP('Model Inputs &amp; Assumptions'!$X$31*R1946-'Model Inputs &amp; Assumptions'!$X$31^2/2))</f>
        <v>0.00645120562815383</v>
      </c>
      <c r="G1946" s="45" t="n">
        <f aca="false">ROUND(C1946*F1946,0)</f>
        <v>1835</v>
      </c>
      <c r="H1946" s="48" t="n">
        <f aca="false">MAX(0,(C1946*'Model Inputs &amp; Assumptions'!$N$31+E1946*'Model Inputs &amp; Assumptions'!$O$31+G1946*'Model Inputs &amp; Assumptions'!$P$31)*EXP('Model Inputs &amp; Assumptions'!$Q$31*S1946-'Model Inputs &amp; Assumptions'!$Q$31^2/2))</f>
        <v>26.4965535387932</v>
      </c>
      <c r="I1946" s="49" t="n">
        <f aca="false">IF('Model Inputs &amp; Assumptions'!$H$31="Fixed",'Model Inputs &amp; Assumptions'!$I$31*'Model Inputs &amp; Assumptions'!$K$31,IF('Model Inputs &amp; Assumptions'!$H$31="CPM",'Model Inputs &amp; Assumptions'!$I$31*'Model Inputs &amp; Assumptions'!$K$31*C1946/1000,IF('Model Inputs &amp; Assumptions'!$H$31="CPC",'Model Inputs &amp; Assumptions'!$I$31*'Model Inputs &amp; Assumptions'!$K$31*G1946,0)))</f>
        <v>3227.551236</v>
      </c>
      <c r="J1946" s="50" t="n">
        <f aca="false">H1946*INDEX('Model Inputs &amp; Assumptions'!$D$40:$D$42,MATCH('Model Inputs &amp; Assumptions'!$L$31,'Model Inputs &amp; Assumptions'!$A$40:$A$42,0))*INDEX('Model Inputs &amp; Assumptions'!$H$40:$H$42,MATCH('Model Inputs &amp; Assumptions'!$L$31,'Model Inputs &amp; Assumptions'!$A$40:$A$42,0))</f>
        <v>190775.185479311</v>
      </c>
      <c r="K1946" s="49" t="n">
        <f aca="false">H1946*INDEX('Model Inputs &amp; Assumptions'!$G$40:$G$42,MATCH('Model Inputs &amp; Assumptions'!$L$31,'Model Inputs &amp; Assumptions'!$A$40:$A$42,0))*INDEX('Model Inputs &amp; Assumptions'!$H$40:$H$42,MATCH('Model Inputs &amp; Assumptions'!$L$31,'Model Inputs &amp; Assumptions'!$A$40:$A$42,0))</f>
        <v>4206.5928398188</v>
      </c>
      <c r="L1946" s="51" t="n">
        <f aca="false">IFERROR(K1946/I1946,0)</f>
        <v>1.3033388263209</v>
      </c>
      <c r="M1946" s="49" t="n">
        <f aca="false">IFERROR(I1946/H1946,0)</f>
        <v>121.810228310433</v>
      </c>
      <c r="N1946" s="52" t="str">
        <f aca="false">'Model Inputs &amp; Assumptions'!$L$31</f>
        <v>PRD-USIQ</v>
      </c>
      <c r="P1946" s="53" t="n">
        <v>-1.728476</v>
      </c>
      <c r="Q1946" s="53" t="n">
        <v>0.809945</v>
      </c>
      <c r="R1946" s="53" t="n">
        <v>1.181788</v>
      </c>
      <c r="S1946" s="53" t="n">
        <v>-1.169406</v>
      </c>
    </row>
    <row r="1947" customFormat="false" ht="15" hidden="false" customHeight="false" outlineLevel="0" collapsed="false">
      <c r="A1947" s="43" t="n">
        <v>444</v>
      </c>
      <c r="B1947" s="44" t="str">
        <f aca="false">'Model Inputs &amp; Assumptions'!$B$31</f>
        <v>YouTube — Finfluencer Pre-roll</v>
      </c>
      <c r="C1947" s="45" t="n">
        <f aca="false">ROUND(MAX(0,'Model Inputs &amp; Assumptions'!$S$31*EXP('Model Inputs &amp; Assumptions'!$T$31*P1947-'Model Inputs &amp; Assumptions'!$T$31^2/2)),0)</f>
        <v>349339</v>
      </c>
      <c r="D1947" s="46" t="n">
        <f aca="false">MIN(1,'Model Inputs &amp; Assumptions'!$U$31*EXP('Model Inputs &amp; Assumptions'!$V$31*Q1947-'Model Inputs &amp; Assumptions'!$V$31^2/2))</f>
        <v>0.666247176051867</v>
      </c>
      <c r="E1947" s="45" t="n">
        <f aca="false">ROUND(C1947*D1947,0)</f>
        <v>232746</v>
      </c>
      <c r="F1947" s="47" t="n">
        <f aca="false">MIN(1,'Model Inputs &amp; Assumptions'!$W$31*EXP('Model Inputs &amp; Assumptions'!$X$31*R1947-'Model Inputs &amp; Assumptions'!$X$31^2/2))</f>
        <v>0.00549727520625385</v>
      </c>
      <c r="G1947" s="45" t="n">
        <f aca="false">ROUND(C1947*F1947,0)</f>
        <v>1920</v>
      </c>
      <c r="H1947" s="48" t="n">
        <f aca="false">MAX(0,(C1947*'Model Inputs &amp; Assumptions'!$N$31+E1947*'Model Inputs &amp; Assumptions'!$O$31+G1947*'Model Inputs &amp; Assumptions'!$P$31)*EXP('Model Inputs &amp; Assumptions'!$Q$31*S1947-'Model Inputs &amp; Assumptions'!$Q$31^2/2))</f>
        <v>40.842711421277</v>
      </c>
      <c r="I1947" s="49" t="n">
        <f aca="false">IF('Model Inputs &amp; Assumptions'!$H$31="Fixed",'Model Inputs &amp; Assumptions'!$I$31*'Model Inputs &amp; Assumptions'!$K$31,IF('Model Inputs &amp; Assumptions'!$H$31="CPM",'Model Inputs &amp; Assumptions'!$I$31*'Model Inputs &amp; Assumptions'!$K$31*C1947/1000,IF('Model Inputs &amp; Assumptions'!$H$31="CPC",'Model Inputs &amp; Assumptions'!$I$31*'Model Inputs &amp; Assumptions'!$K$31*G1947,0)))</f>
        <v>3963.600294</v>
      </c>
      <c r="J1947" s="50" t="n">
        <f aca="false">H1947*INDEX('Model Inputs &amp; Assumptions'!$D$40:$D$42,MATCH('Model Inputs &amp; Assumptions'!$L$31,'Model Inputs &amp; Assumptions'!$A$40:$A$42,0))*INDEX('Model Inputs &amp; Assumptions'!$H$40:$H$42,MATCH('Model Inputs &amp; Assumptions'!$L$31,'Model Inputs &amp; Assumptions'!$A$40:$A$42,0))</f>
        <v>294067.522233194</v>
      </c>
      <c r="K1947" s="49" t="n">
        <f aca="false">H1947*INDEX('Model Inputs &amp; Assumptions'!$G$40:$G$42,MATCH('Model Inputs &amp; Assumptions'!$L$31,'Model Inputs &amp; Assumptions'!$A$40:$A$42,0))*INDEX('Model Inputs &amp; Assumptions'!$H$40:$H$42,MATCH('Model Inputs &amp; Assumptions'!$L$31,'Model Inputs &amp; Assumptions'!$A$40:$A$42,0))</f>
        <v>6484.18886524193</v>
      </c>
      <c r="L1947" s="51" t="n">
        <f aca="false">IFERROR(K1947/I1947,0)</f>
        <v>1.63593409634608</v>
      </c>
      <c r="M1947" s="49" t="n">
        <f aca="false">IFERROR(I1947/H1947,0)</f>
        <v>97.0454741145116</v>
      </c>
      <c r="N1947" s="52" t="str">
        <f aca="false">'Model Inputs &amp; Assumptions'!$L$31</f>
        <v>PRD-USIQ</v>
      </c>
      <c r="P1947" s="53" t="n">
        <v>-0.994797</v>
      </c>
      <c r="Q1947" s="53" t="n">
        <v>0.93813</v>
      </c>
      <c r="R1947" s="53" t="n">
        <v>0.515061</v>
      </c>
      <c r="S1947" s="53" t="n">
        <v>-0.251597</v>
      </c>
    </row>
    <row r="1948" customFormat="false" ht="15" hidden="false" customHeight="false" outlineLevel="0" collapsed="false">
      <c r="A1948" s="43" t="n">
        <v>445</v>
      </c>
      <c r="B1948" s="44" t="str">
        <f aca="false">'Model Inputs &amp; Assumptions'!$B$31</f>
        <v>YouTube — Finfluencer Pre-roll</v>
      </c>
      <c r="C1948" s="45" t="n">
        <f aca="false">ROUND(MAX(0,'Model Inputs &amp; Assumptions'!$S$31*EXP('Model Inputs &amp; Assumptions'!$T$31*P1948-'Model Inputs &amp; Assumptions'!$T$31^2/2)),0)</f>
        <v>312056</v>
      </c>
      <c r="D1948" s="46" t="n">
        <f aca="false">MIN(1,'Model Inputs &amp; Assumptions'!$U$31*EXP('Model Inputs &amp; Assumptions'!$V$31*Q1948-'Model Inputs &amp; Assumptions'!$V$31^2/2))</f>
        <v>0.53896023727577</v>
      </c>
      <c r="E1948" s="45" t="n">
        <f aca="false">ROUND(C1948*D1948,0)</f>
        <v>168186</v>
      </c>
      <c r="F1948" s="47" t="n">
        <f aca="false">MIN(1,'Model Inputs &amp; Assumptions'!$W$31*EXP('Model Inputs &amp; Assumptions'!$X$31*R1948-'Model Inputs &amp; Assumptions'!$X$31^2/2))</f>
        <v>0.00366275117587046</v>
      </c>
      <c r="G1948" s="45" t="n">
        <f aca="false">ROUND(C1948*F1948,0)</f>
        <v>1143</v>
      </c>
      <c r="H1948" s="48" t="n">
        <f aca="false">MAX(0,(C1948*'Model Inputs &amp; Assumptions'!$N$31+E1948*'Model Inputs &amp; Assumptions'!$O$31+G1948*'Model Inputs &amp; Assumptions'!$P$31)*EXP('Model Inputs &amp; Assumptions'!$Q$31*S1948-'Model Inputs &amp; Assumptions'!$Q$31^2/2))</f>
        <v>16.8487452370558</v>
      </c>
      <c r="I1948" s="49" t="n">
        <f aca="false">IF('Model Inputs &amp; Assumptions'!$H$31="Fixed",'Model Inputs &amp; Assumptions'!$I$31*'Model Inputs &amp; Assumptions'!$K$31,IF('Model Inputs &amp; Assumptions'!$H$31="CPM",'Model Inputs &amp; Assumptions'!$I$31*'Model Inputs &amp; Assumptions'!$K$31*C1948/1000,IF('Model Inputs &amp; Assumptions'!$H$31="CPC",'Model Inputs &amp; Assumptions'!$I$31*'Model Inputs &amp; Assumptions'!$K$31*G1948,0)))</f>
        <v>3540.587376</v>
      </c>
      <c r="J1948" s="50" t="n">
        <f aca="false">H1948*INDEX('Model Inputs &amp; Assumptions'!$D$40:$D$42,MATCH('Model Inputs &amp; Assumptions'!$L$31,'Model Inputs &amp; Assumptions'!$A$40:$A$42,0))*INDEX('Model Inputs &amp; Assumptions'!$H$40:$H$42,MATCH('Model Inputs &amp; Assumptions'!$L$31,'Model Inputs &amp; Assumptions'!$A$40:$A$42,0))</f>
        <v>121310.965706802</v>
      </c>
      <c r="K1948" s="49" t="n">
        <f aca="false">H1948*INDEX('Model Inputs &amp; Assumptions'!$G$40:$G$42,MATCH('Model Inputs &amp; Assumptions'!$L$31,'Model Inputs &amp; Assumptions'!$A$40:$A$42,0))*INDEX('Model Inputs &amp; Assumptions'!$H$40:$H$42,MATCH('Model Inputs &amp; Assumptions'!$L$31,'Model Inputs &amp; Assumptions'!$A$40:$A$42,0))</f>
        <v>2674.90679383497</v>
      </c>
      <c r="L1948" s="51" t="n">
        <f aca="false">IFERROR(K1948/I1948,0)</f>
        <v>0.75549803175793</v>
      </c>
      <c r="M1948" s="49" t="n">
        <f aca="false">IFERROR(I1948/H1948,0)</f>
        <v>210.139528266658</v>
      </c>
      <c r="N1948" s="52" t="str">
        <f aca="false">'Model Inputs &amp; Assumptions'!$L$31</f>
        <v>PRD-USIQ</v>
      </c>
      <c r="P1948" s="53" t="n">
        <v>-1.397864</v>
      </c>
      <c r="Q1948" s="53" t="n">
        <v>-0.576291</v>
      </c>
      <c r="R1948" s="53" t="n">
        <v>-1.176764</v>
      </c>
      <c r="S1948" s="53" t="n">
        <v>-1.529914</v>
      </c>
    </row>
    <row r="1949" customFormat="false" ht="15" hidden="false" customHeight="false" outlineLevel="0" collapsed="false">
      <c r="A1949" s="43" t="n">
        <v>446</v>
      </c>
      <c r="B1949" s="44" t="str">
        <f aca="false">'Model Inputs &amp; Assumptions'!$B$31</f>
        <v>YouTube — Finfluencer Pre-roll</v>
      </c>
      <c r="C1949" s="45" t="n">
        <f aca="false">ROUND(MAX(0,'Model Inputs &amp; Assumptions'!$S$31*EXP('Model Inputs &amp; Assumptions'!$T$31*P1949-'Model Inputs &amp; Assumptions'!$T$31^2/2)),0)</f>
        <v>283682</v>
      </c>
      <c r="D1949" s="46" t="n">
        <f aca="false">MIN(1,'Model Inputs &amp; Assumptions'!$U$31*EXP('Model Inputs &amp; Assumptions'!$V$31*Q1949-'Model Inputs &amp; Assumptions'!$V$31^2/2))</f>
        <v>0.714711222789101</v>
      </c>
      <c r="E1949" s="45" t="n">
        <f aca="false">ROUND(C1949*D1949,0)</f>
        <v>202751</v>
      </c>
      <c r="F1949" s="47" t="n">
        <f aca="false">MIN(1,'Model Inputs &amp; Assumptions'!$W$31*EXP('Model Inputs &amp; Assumptions'!$X$31*R1949-'Model Inputs &amp; Assumptions'!$X$31^2/2))</f>
        <v>0.0066467392258548</v>
      </c>
      <c r="G1949" s="45" t="n">
        <f aca="false">ROUND(C1949*F1949,0)</f>
        <v>1886</v>
      </c>
      <c r="H1949" s="48" t="n">
        <f aca="false">MAX(0,(C1949*'Model Inputs &amp; Assumptions'!$N$31+E1949*'Model Inputs &amp; Assumptions'!$O$31+G1949*'Model Inputs &amp; Assumptions'!$P$31)*EXP('Model Inputs &amp; Assumptions'!$Q$31*S1949-'Model Inputs &amp; Assumptions'!$Q$31^2/2))</f>
        <v>61.5933235277105</v>
      </c>
      <c r="I1949" s="49" t="n">
        <f aca="false">IF('Model Inputs &amp; Assumptions'!$H$31="Fixed",'Model Inputs &amp; Assumptions'!$I$31*'Model Inputs &amp; Assumptions'!$K$31,IF('Model Inputs &amp; Assumptions'!$H$31="CPM",'Model Inputs &amp; Assumptions'!$I$31*'Model Inputs &amp; Assumptions'!$K$31*C1949/1000,IF('Model Inputs &amp; Assumptions'!$H$31="CPC",'Model Inputs &amp; Assumptions'!$I$31*'Model Inputs &amp; Assumptions'!$K$31*G1949,0)))</f>
        <v>3218.655972</v>
      </c>
      <c r="J1949" s="50" t="n">
        <f aca="false">H1949*INDEX('Model Inputs &amp; Assumptions'!$D$40:$D$42,MATCH('Model Inputs &amp; Assumptions'!$L$31,'Model Inputs &amp; Assumptions'!$A$40:$A$42,0))*INDEX('Model Inputs &amp; Assumptions'!$H$40:$H$42,MATCH('Model Inputs &amp; Assumptions'!$L$31,'Model Inputs &amp; Assumptions'!$A$40:$A$42,0))</f>
        <v>443471.929399515</v>
      </c>
      <c r="K1949" s="49" t="n">
        <f aca="false">H1949*INDEX('Model Inputs &amp; Assumptions'!$G$40:$G$42,MATCH('Model Inputs &amp; Assumptions'!$L$31,'Model Inputs &amp; Assumptions'!$A$40:$A$42,0))*INDEX('Model Inputs &amp; Assumptions'!$H$40:$H$42,MATCH('Model Inputs &amp; Assumptions'!$L$31,'Model Inputs &amp; Assumptions'!$A$40:$A$42,0))</f>
        <v>9778.55604325932</v>
      </c>
      <c r="L1949" s="51" t="n">
        <f aca="false">IFERROR(K1949/I1949,0)</f>
        <v>3.03808674438205</v>
      </c>
      <c r="M1949" s="49" t="n">
        <f aca="false">IFERROR(I1949/H1949,0)</f>
        <v>52.2565724278857</v>
      </c>
      <c r="N1949" s="52" t="str">
        <f aca="false">'Model Inputs &amp; Assumptions'!$L$31</f>
        <v>PRD-USIQ</v>
      </c>
      <c r="P1949" s="53" t="n">
        <v>-1.738329</v>
      </c>
      <c r="Q1949" s="53" t="n">
        <v>1.439686</v>
      </c>
      <c r="R1949" s="53" t="n">
        <v>1.306202</v>
      </c>
      <c r="S1949" s="53" t="n">
        <v>1.103108</v>
      </c>
    </row>
    <row r="1950" customFormat="false" ht="15" hidden="false" customHeight="false" outlineLevel="0" collapsed="false">
      <c r="A1950" s="43" t="n">
        <v>447</v>
      </c>
      <c r="B1950" s="44" t="str">
        <f aca="false">'Model Inputs &amp; Assumptions'!$B$31</f>
        <v>YouTube — Finfluencer Pre-roll</v>
      </c>
      <c r="C1950" s="45" t="n">
        <f aca="false">ROUND(MAX(0,'Model Inputs &amp; Assumptions'!$S$31*EXP('Model Inputs &amp; Assumptions'!$T$31*P1950-'Model Inputs &amp; Assumptions'!$T$31^2/2)),0)</f>
        <v>481215</v>
      </c>
      <c r="D1950" s="46" t="n">
        <f aca="false">MIN(1,'Model Inputs &amp; Assumptions'!$U$31*EXP('Model Inputs &amp; Assumptions'!$V$31*Q1950-'Model Inputs &amp; Assumptions'!$V$31^2/2))</f>
        <v>0.769947920541361</v>
      </c>
      <c r="E1950" s="45" t="n">
        <f aca="false">ROUND(C1950*D1950,0)</f>
        <v>370510</v>
      </c>
      <c r="F1950" s="47" t="n">
        <f aca="false">MIN(1,'Model Inputs &amp; Assumptions'!$W$31*EXP('Model Inputs &amp; Assumptions'!$X$31*R1950-'Model Inputs &amp; Assumptions'!$X$31^2/2))</f>
        <v>0.00665840091209667</v>
      </c>
      <c r="G1950" s="45" t="n">
        <f aca="false">ROUND(C1950*F1950,0)</f>
        <v>3204</v>
      </c>
      <c r="H1950" s="48" t="n">
        <f aca="false">MAX(0,(C1950*'Model Inputs &amp; Assumptions'!$N$31+E1950*'Model Inputs &amp; Assumptions'!$O$31+G1950*'Model Inputs &amp; Assumptions'!$P$31)*EXP('Model Inputs &amp; Assumptions'!$Q$31*S1950-'Model Inputs &amp; Assumptions'!$Q$31^2/2))</f>
        <v>89.4517392269062</v>
      </c>
      <c r="I1950" s="49" t="n">
        <f aca="false">IF('Model Inputs &amp; Assumptions'!$H$31="Fixed",'Model Inputs &amp; Assumptions'!$I$31*'Model Inputs &amp; Assumptions'!$K$31,IF('Model Inputs &amp; Assumptions'!$H$31="CPM",'Model Inputs &amp; Assumptions'!$I$31*'Model Inputs &amp; Assumptions'!$K$31*C1950/1000,IF('Model Inputs &amp; Assumptions'!$H$31="CPC",'Model Inputs &amp; Assumptions'!$I$31*'Model Inputs &amp; Assumptions'!$K$31*G1950,0)))</f>
        <v>5459.86539</v>
      </c>
      <c r="J1950" s="50" t="n">
        <f aca="false">H1950*INDEX('Model Inputs &amp; Assumptions'!$D$40:$D$42,MATCH('Model Inputs &amp; Assumptions'!$L$31,'Model Inputs &amp; Assumptions'!$A$40:$A$42,0))*INDEX('Model Inputs &amp; Assumptions'!$H$40:$H$42,MATCH('Model Inputs &amp; Assumptions'!$L$31,'Model Inputs &amp; Assumptions'!$A$40:$A$42,0))</f>
        <v>644052.522433725</v>
      </c>
      <c r="K1950" s="49" t="n">
        <f aca="false">H1950*INDEX('Model Inputs &amp; Assumptions'!$G$40:$G$42,MATCH('Model Inputs &amp; Assumptions'!$L$31,'Model Inputs &amp; Assumptions'!$A$40:$A$42,0))*INDEX('Model Inputs &amp; Assumptions'!$H$40:$H$42,MATCH('Model Inputs &amp; Assumptions'!$L$31,'Model Inputs &amp; Assumptions'!$A$40:$A$42,0))</f>
        <v>14201.3581196636</v>
      </c>
      <c r="L1950" s="51" t="n">
        <f aca="false">IFERROR(K1950/I1950,0)</f>
        <v>2.6010454663725</v>
      </c>
      <c r="M1950" s="49" t="n">
        <f aca="false">IFERROR(I1950/H1950,0)</f>
        <v>61.0369953361144</v>
      </c>
      <c r="N1950" s="52" t="str">
        <f aca="false">'Model Inputs &amp; Assumptions'!$L$31</f>
        <v>PRD-USIQ</v>
      </c>
      <c r="P1950" s="53" t="n">
        <v>0.14903</v>
      </c>
      <c r="Q1950" s="53" t="n">
        <v>1.971431</v>
      </c>
      <c r="R1950" s="53" t="n">
        <v>1.313506</v>
      </c>
      <c r="S1950" s="53" t="n">
        <v>0.577382</v>
      </c>
    </row>
    <row r="1951" customFormat="false" ht="15" hidden="false" customHeight="false" outlineLevel="0" collapsed="false">
      <c r="A1951" s="43" t="n">
        <v>448</v>
      </c>
      <c r="B1951" s="44" t="str">
        <f aca="false">'Model Inputs &amp; Assumptions'!$B$31</f>
        <v>YouTube — Finfluencer Pre-roll</v>
      </c>
      <c r="C1951" s="45" t="n">
        <f aca="false">ROUND(MAX(0,'Model Inputs &amp; Assumptions'!$S$31*EXP('Model Inputs &amp; Assumptions'!$T$31*P1951-'Model Inputs &amp; Assumptions'!$T$31^2/2)),0)</f>
        <v>464196</v>
      </c>
      <c r="D1951" s="46" t="n">
        <f aca="false">MIN(1,'Model Inputs &amp; Assumptions'!$U$31*EXP('Model Inputs &amp; Assumptions'!$V$31*Q1951-'Model Inputs &amp; Assumptions'!$V$31^2/2))</f>
        <v>0.606710897613854</v>
      </c>
      <c r="E1951" s="45" t="n">
        <f aca="false">ROUND(C1951*D1951,0)</f>
        <v>281633</v>
      </c>
      <c r="F1951" s="47" t="n">
        <f aca="false">MIN(1,'Model Inputs &amp; Assumptions'!$W$31*EXP('Model Inputs &amp; Assumptions'!$X$31*R1951-'Model Inputs &amp; Assumptions'!$X$31^2/2))</f>
        <v>0.00298428776127048</v>
      </c>
      <c r="G1951" s="45" t="n">
        <f aca="false">ROUND(C1951*F1951,0)</f>
        <v>1385</v>
      </c>
      <c r="H1951" s="48" t="n">
        <f aca="false">MAX(0,(C1951*'Model Inputs &amp; Assumptions'!$N$31+E1951*'Model Inputs &amp; Assumptions'!$O$31+G1951*'Model Inputs &amp; Assumptions'!$P$31)*EXP('Model Inputs &amp; Assumptions'!$Q$31*S1951-'Model Inputs &amp; Assumptions'!$Q$31^2/2))</f>
        <v>34.7053509309654</v>
      </c>
      <c r="I1951" s="49" t="n">
        <f aca="false">IF('Model Inputs &amp; Assumptions'!$H$31="Fixed",'Model Inputs &amp; Assumptions'!$I$31*'Model Inputs &amp; Assumptions'!$K$31,IF('Model Inputs &amp; Assumptions'!$H$31="CPM",'Model Inputs &amp; Assumptions'!$I$31*'Model Inputs &amp; Assumptions'!$K$31*C1951/1000,IF('Model Inputs &amp; Assumptions'!$H$31="CPC",'Model Inputs &amp; Assumptions'!$I$31*'Model Inputs &amp; Assumptions'!$K$31*G1951,0)))</f>
        <v>5266.767816</v>
      </c>
      <c r="J1951" s="50" t="n">
        <f aca="false">H1951*INDEX('Model Inputs &amp; Assumptions'!$D$40:$D$42,MATCH('Model Inputs &amp; Assumptions'!$L$31,'Model Inputs &amp; Assumptions'!$A$40:$A$42,0))*INDEX('Model Inputs &amp; Assumptions'!$H$40:$H$42,MATCH('Model Inputs &amp; Assumptions'!$L$31,'Model Inputs &amp; Assumptions'!$A$40:$A$42,0))</f>
        <v>249878.526702951</v>
      </c>
      <c r="K1951" s="49" t="n">
        <f aca="false">H1951*INDEX('Model Inputs &amp; Assumptions'!$G$40:$G$42,MATCH('Model Inputs &amp; Assumptions'!$L$31,'Model Inputs &amp; Assumptions'!$A$40:$A$42,0))*INDEX('Model Inputs &amp; Assumptions'!$H$40:$H$42,MATCH('Model Inputs &amp; Assumptions'!$L$31,'Model Inputs &amp; Assumptions'!$A$40:$A$42,0))</f>
        <v>5509.82151380007</v>
      </c>
      <c r="L1951" s="51" t="n">
        <f aca="false">IFERROR(K1951/I1951,0)</f>
        <v>1.04614854998196</v>
      </c>
      <c r="M1951" s="49" t="n">
        <f aca="false">IFERROR(I1951/H1951,0)</f>
        <v>151.756650623601</v>
      </c>
      <c r="N1951" s="52" t="str">
        <f aca="false">'Model Inputs &amp; Assumptions'!$L$31</f>
        <v>PRD-USIQ</v>
      </c>
      <c r="P1951" s="53" t="n">
        <v>0.020432</v>
      </c>
      <c r="Q1951" s="53" t="n">
        <v>0.269499</v>
      </c>
      <c r="R1951" s="53" t="n">
        <v>-2.03032</v>
      </c>
      <c r="S1951" s="53" t="n">
        <v>-0.45754</v>
      </c>
    </row>
    <row r="1952" customFormat="false" ht="15" hidden="false" customHeight="false" outlineLevel="0" collapsed="false">
      <c r="A1952" s="43" t="n">
        <v>449</v>
      </c>
      <c r="B1952" s="44" t="str">
        <f aca="false">'Model Inputs &amp; Assumptions'!$B$31</f>
        <v>YouTube — Finfluencer Pre-roll</v>
      </c>
      <c r="C1952" s="45" t="n">
        <f aca="false">ROUND(MAX(0,'Model Inputs &amp; Assumptions'!$S$31*EXP('Model Inputs &amp; Assumptions'!$T$31*P1952-'Model Inputs &amp; Assumptions'!$T$31^2/2)),0)</f>
        <v>563873</v>
      </c>
      <c r="D1952" s="46" t="n">
        <f aca="false">MIN(1,'Model Inputs &amp; Assumptions'!$U$31*EXP('Model Inputs &amp; Assumptions'!$V$31*Q1952-'Model Inputs &amp; Assumptions'!$V$31^2/2))</f>
        <v>0.541970264235111</v>
      </c>
      <c r="E1952" s="45" t="n">
        <f aca="false">ROUND(C1952*D1952,0)</f>
        <v>305602</v>
      </c>
      <c r="F1952" s="47" t="n">
        <f aca="false">MIN(1,'Model Inputs &amp; Assumptions'!$W$31*EXP('Model Inputs &amp; Assumptions'!$X$31*R1952-'Model Inputs &amp; Assumptions'!$X$31^2/2))</f>
        <v>0.00414148025079874</v>
      </c>
      <c r="G1952" s="45" t="n">
        <f aca="false">ROUND(C1952*F1952,0)</f>
        <v>2335</v>
      </c>
      <c r="H1952" s="48" t="n">
        <f aca="false">MAX(0,(C1952*'Model Inputs &amp; Assumptions'!$N$31+E1952*'Model Inputs &amp; Assumptions'!$O$31+G1952*'Model Inputs &amp; Assumptions'!$P$31)*EXP('Model Inputs &amp; Assumptions'!$Q$31*S1952-'Model Inputs &amp; Assumptions'!$Q$31^2/2))</f>
        <v>61.6629070837234</v>
      </c>
      <c r="I1952" s="49" t="n">
        <f aca="false">IF('Model Inputs &amp; Assumptions'!$H$31="Fixed",'Model Inputs &amp; Assumptions'!$I$31*'Model Inputs &amp; Assumptions'!$K$31,IF('Model Inputs &amp; Assumptions'!$H$31="CPM",'Model Inputs &amp; Assumptions'!$I$31*'Model Inputs &amp; Assumptions'!$K$31*C1952/1000,IF('Model Inputs &amp; Assumptions'!$H$31="CPC",'Model Inputs &amp; Assumptions'!$I$31*'Model Inputs &amp; Assumptions'!$K$31*G1952,0)))</f>
        <v>6397.703058</v>
      </c>
      <c r="J1952" s="50" t="n">
        <f aca="false">H1952*INDEX('Model Inputs &amp; Assumptions'!$D$40:$D$42,MATCH('Model Inputs &amp; Assumptions'!$L$31,'Model Inputs &amp; Assumptions'!$A$40:$A$42,0))*INDEX('Model Inputs &amp; Assumptions'!$H$40:$H$42,MATCH('Model Inputs &amp; Assumptions'!$L$31,'Model Inputs &amp; Assumptions'!$A$40:$A$42,0))</f>
        <v>443972.931002808</v>
      </c>
      <c r="K1952" s="49" t="n">
        <f aca="false">H1952*INDEX('Model Inputs &amp; Assumptions'!$G$40:$G$42,MATCH('Model Inputs &amp; Assumptions'!$L$31,'Model Inputs &amp; Assumptions'!$A$40:$A$42,0))*INDEX('Model Inputs &amp; Assumptions'!$H$40:$H$42,MATCH('Model Inputs &amp; Assumptions'!$L$31,'Model Inputs &amp; Assumptions'!$A$40:$A$42,0))</f>
        <v>9789.60312861192</v>
      </c>
      <c r="L1952" s="51" t="n">
        <f aca="false">IFERROR(K1952/I1952,0)</f>
        <v>1.53017466422899</v>
      </c>
      <c r="M1952" s="49" t="n">
        <f aca="false">IFERROR(I1952/H1952,0)</f>
        <v>103.752861494406</v>
      </c>
      <c r="N1952" s="52" t="str">
        <f aca="false">'Model Inputs &amp; Assumptions'!$L$31</f>
        <v>PRD-USIQ</v>
      </c>
      <c r="P1952" s="53" t="n">
        <v>0.715151</v>
      </c>
      <c r="Q1952" s="53" t="n">
        <v>-0.53651</v>
      </c>
      <c r="R1952" s="53" t="n">
        <v>-0.664936</v>
      </c>
      <c r="S1952" s="53" t="n">
        <v>0.278307</v>
      </c>
    </row>
    <row r="1953" customFormat="false" ht="15" hidden="false" customHeight="false" outlineLevel="0" collapsed="false">
      <c r="A1953" s="43" t="n">
        <v>450</v>
      </c>
      <c r="B1953" s="44" t="str">
        <f aca="false">'Model Inputs &amp; Assumptions'!$B$31</f>
        <v>YouTube — Finfluencer Pre-roll</v>
      </c>
      <c r="C1953" s="45" t="n">
        <f aca="false">ROUND(MAX(0,'Model Inputs &amp; Assumptions'!$S$31*EXP('Model Inputs &amp; Assumptions'!$T$31*P1953-'Model Inputs &amp; Assumptions'!$T$31^2/2)),0)</f>
        <v>445818</v>
      </c>
      <c r="D1953" s="46" t="n">
        <f aca="false">MIN(1,'Model Inputs &amp; Assumptions'!$U$31*EXP('Model Inputs &amp; Assumptions'!$V$31*Q1953-'Model Inputs &amp; Assumptions'!$V$31^2/2))</f>
        <v>0.629476484469204</v>
      </c>
      <c r="E1953" s="45" t="n">
        <f aca="false">ROUND(C1953*D1953,0)</f>
        <v>280632</v>
      </c>
      <c r="F1953" s="47" t="n">
        <f aca="false">MIN(1,'Model Inputs &amp; Assumptions'!$W$31*EXP('Model Inputs &amp; Assumptions'!$X$31*R1953-'Model Inputs &amp; Assumptions'!$X$31^2/2))</f>
        <v>0.00471111171193049</v>
      </c>
      <c r="G1953" s="45" t="n">
        <f aca="false">ROUND(C1953*F1953,0)</f>
        <v>2100</v>
      </c>
      <c r="H1953" s="48" t="n">
        <f aca="false">MAX(0,(C1953*'Model Inputs &amp; Assumptions'!$N$31+E1953*'Model Inputs &amp; Assumptions'!$O$31+G1953*'Model Inputs &amp; Assumptions'!$P$31)*EXP('Model Inputs &amp; Assumptions'!$Q$31*S1953-'Model Inputs &amp; Assumptions'!$Q$31^2/2))</f>
        <v>61.5303483148915</v>
      </c>
      <c r="I1953" s="49" t="n">
        <f aca="false">IF('Model Inputs &amp; Assumptions'!$H$31="Fixed",'Model Inputs &amp; Assumptions'!$I$31*'Model Inputs &amp; Assumptions'!$K$31,IF('Model Inputs &amp; Assumptions'!$H$31="CPM",'Model Inputs &amp; Assumptions'!$I$31*'Model Inputs &amp; Assumptions'!$K$31*C1953/1000,IF('Model Inputs &amp; Assumptions'!$H$31="CPC",'Model Inputs &amp; Assumptions'!$I$31*'Model Inputs &amp; Assumptions'!$K$31*G1953,0)))</f>
        <v>5058.251028</v>
      </c>
      <c r="J1953" s="50" t="n">
        <f aca="false">H1953*INDEX('Model Inputs &amp; Assumptions'!$D$40:$D$42,MATCH('Model Inputs &amp; Assumptions'!$L$31,'Model Inputs &amp; Assumptions'!$A$40:$A$42,0))*INDEX('Model Inputs &amp; Assumptions'!$H$40:$H$42,MATCH('Model Inputs &amp; Assumptions'!$L$31,'Model Inputs &amp; Assumptions'!$A$40:$A$42,0))</f>
        <v>443018.507867219</v>
      </c>
      <c r="K1953" s="49" t="n">
        <f aca="false">H1953*INDEX('Model Inputs &amp; Assumptions'!$G$40:$G$42,MATCH('Model Inputs &amp; Assumptions'!$L$31,'Model Inputs &amp; Assumptions'!$A$40:$A$42,0))*INDEX('Model Inputs &amp; Assumptions'!$H$40:$H$42,MATCH('Model Inputs &amp; Assumptions'!$L$31,'Model Inputs &amp; Assumptions'!$A$40:$A$42,0))</f>
        <v>9768.55809847218</v>
      </c>
      <c r="L1953" s="51" t="n">
        <f aca="false">IFERROR(K1953/I1953,0)</f>
        <v>1.93121259589495</v>
      </c>
      <c r="M1953" s="49" t="n">
        <f aca="false">IFERROR(I1953/H1953,0)</f>
        <v>82.2074174212956</v>
      </c>
      <c r="N1953" s="52" t="str">
        <f aca="false">'Model Inputs &amp; Assumptions'!$L$31</f>
        <v>PRD-USIQ</v>
      </c>
      <c r="P1953" s="53" t="n">
        <v>-0.123844</v>
      </c>
      <c r="Q1953" s="53" t="n">
        <v>0.532614</v>
      </c>
      <c r="R1953" s="53" t="n">
        <v>-0.127975</v>
      </c>
      <c r="S1953" s="53" t="n">
        <v>0.550607</v>
      </c>
    </row>
    <row r="1954" customFormat="false" ht="15" hidden="false" customHeight="false" outlineLevel="0" collapsed="false">
      <c r="A1954" s="43" t="n">
        <v>451</v>
      </c>
      <c r="B1954" s="44" t="str">
        <f aca="false">'Model Inputs &amp; Assumptions'!$B$31</f>
        <v>YouTube — Finfluencer Pre-roll</v>
      </c>
      <c r="C1954" s="45" t="n">
        <f aca="false">ROUND(MAX(0,'Model Inputs &amp; Assumptions'!$S$31*EXP('Model Inputs &amp; Assumptions'!$T$31*P1954-'Model Inputs &amp; Assumptions'!$T$31^2/2)),0)</f>
        <v>500543</v>
      </c>
      <c r="D1954" s="46" t="n">
        <f aca="false">MIN(1,'Model Inputs &amp; Assumptions'!$U$31*EXP('Model Inputs &amp; Assumptions'!$V$31*Q1954-'Model Inputs &amp; Assumptions'!$V$31^2/2))</f>
        <v>0.66121008400695</v>
      </c>
      <c r="E1954" s="45" t="n">
        <f aca="false">ROUND(C1954*D1954,0)</f>
        <v>330964</v>
      </c>
      <c r="F1954" s="47" t="n">
        <f aca="false">MIN(1,'Model Inputs &amp; Assumptions'!$W$31*EXP('Model Inputs &amp; Assumptions'!$X$31*R1954-'Model Inputs &amp; Assumptions'!$X$31^2/2))</f>
        <v>0.00628793748065845</v>
      </c>
      <c r="G1954" s="45" t="n">
        <f aca="false">ROUND(C1954*F1954,0)</f>
        <v>3147</v>
      </c>
      <c r="H1954" s="48" t="n">
        <f aca="false">MAX(0,(C1954*'Model Inputs &amp; Assumptions'!$N$31+E1954*'Model Inputs &amp; Assumptions'!$O$31+G1954*'Model Inputs &amp; Assumptions'!$P$31)*EXP('Model Inputs &amp; Assumptions'!$Q$31*S1954-'Model Inputs &amp; Assumptions'!$Q$31^2/2))</f>
        <v>60.7388128475883</v>
      </c>
      <c r="I1954" s="49" t="n">
        <f aca="false">IF('Model Inputs &amp; Assumptions'!$H$31="Fixed",'Model Inputs &amp; Assumptions'!$I$31*'Model Inputs &amp; Assumptions'!$K$31,IF('Model Inputs &amp; Assumptions'!$H$31="CPM",'Model Inputs &amp; Assumptions'!$I$31*'Model Inputs &amp; Assumptions'!$K$31*C1954/1000,IF('Model Inputs &amp; Assumptions'!$H$31="CPC",'Model Inputs &amp; Assumptions'!$I$31*'Model Inputs &amp; Assumptions'!$K$31*G1954,0)))</f>
        <v>5679.160878</v>
      </c>
      <c r="J1954" s="50" t="n">
        <f aca="false">H1954*INDEX('Model Inputs &amp; Assumptions'!$D$40:$D$42,MATCH('Model Inputs &amp; Assumptions'!$L$31,'Model Inputs &amp; Assumptions'!$A$40:$A$42,0))*INDEX('Model Inputs &amp; Assumptions'!$H$40:$H$42,MATCH('Model Inputs &amp; Assumptions'!$L$31,'Model Inputs &amp; Assumptions'!$A$40:$A$42,0))</f>
        <v>437319.452502636</v>
      </c>
      <c r="K1954" s="49" t="n">
        <f aca="false">H1954*INDEX('Model Inputs &amp; Assumptions'!$G$40:$G$42,MATCH('Model Inputs &amp; Assumptions'!$L$31,'Model Inputs &amp; Assumptions'!$A$40:$A$42,0))*INDEX('Model Inputs &amp; Assumptions'!$H$40:$H$42,MATCH('Model Inputs &amp; Assumptions'!$L$31,'Model Inputs &amp; Assumptions'!$A$40:$A$42,0))</f>
        <v>9642.89392768312</v>
      </c>
      <c r="L1954" s="51" t="n">
        <f aca="false">IFERROR(K1954/I1954,0)</f>
        <v>1.69794343474894</v>
      </c>
      <c r="M1954" s="49" t="n">
        <f aca="false">IFERROR(I1954/H1954,0)</f>
        <v>93.5013480136778</v>
      </c>
      <c r="N1954" s="52" t="str">
        <f aca="false">'Model Inputs &amp; Assumptions'!$L$31</f>
        <v>PRD-USIQ</v>
      </c>
      <c r="P1954" s="53" t="n">
        <v>0.289672</v>
      </c>
      <c r="Q1954" s="53" t="n">
        <v>0.883922</v>
      </c>
      <c r="R1954" s="53" t="n">
        <v>1.07498</v>
      </c>
      <c r="S1954" s="53" t="n">
        <v>-0.376935</v>
      </c>
    </row>
    <row r="1955" customFormat="false" ht="15" hidden="false" customHeight="false" outlineLevel="0" collapsed="false">
      <c r="A1955" s="43" t="n">
        <v>452</v>
      </c>
      <c r="B1955" s="44" t="str">
        <f aca="false">'Model Inputs &amp; Assumptions'!$B$31</f>
        <v>YouTube — Finfluencer Pre-roll</v>
      </c>
      <c r="C1955" s="45" t="n">
        <f aca="false">ROUND(MAX(0,'Model Inputs &amp; Assumptions'!$S$31*EXP('Model Inputs &amp; Assumptions'!$T$31*P1955-'Model Inputs &amp; Assumptions'!$T$31^2/2)),0)</f>
        <v>746332</v>
      </c>
      <c r="D1955" s="46" t="n">
        <f aca="false">MIN(1,'Model Inputs &amp; Assumptions'!$U$31*EXP('Model Inputs &amp; Assumptions'!$V$31*Q1955-'Model Inputs &amp; Assumptions'!$V$31^2/2))</f>
        <v>0.587742082754952</v>
      </c>
      <c r="E1955" s="45" t="n">
        <f aca="false">ROUND(C1955*D1955,0)</f>
        <v>438651</v>
      </c>
      <c r="F1955" s="47" t="n">
        <f aca="false">MIN(1,'Model Inputs &amp; Assumptions'!$W$31*EXP('Model Inputs &amp; Assumptions'!$X$31*R1955-'Model Inputs &amp; Assumptions'!$X$31^2/2))</f>
        <v>0.00475650708133847</v>
      </c>
      <c r="G1955" s="45" t="n">
        <f aca="false">ROUND(C1955*F1955,0)</f>
        <v>3550</v>
      </c>
      <c r="H1955" s="48" t="n">
        <f aca="false">MAX(0,(C1955*'Model Inputs &amp; Assumptions'!$N$31+E1955*'Model Inputs &amp; Assumptions'!$O$31+G1955*'Model Inputs &amp; Assumptions'!$P$31)*EXP('Model Inputs &amp; Assumptions'!$Q$31*S1955-'Model Inputs &amp; Assumptions'!$Q$31^2/2))</f>
        <v>98.644403627382</v>
      </c>
      <c r="I1955" s="49" t="n">
        <f aca="false">IF('Model Inputs &amp; Assumptions'!$H$31="Fixed",'Model Inputs &amp; Assumptions'!$I$31*'Model Inputs &amp; Assumptions'!$K$31,IF('Model Inputs &amp; Assumptions'!$H$31="CPM",'Model Inputs &amp; Assumptions'!$I$31*'Model Inputs &amp; Assumptions'!$K$31*C1955/1000,IF('Model Inputs &amp; Assumptions'!$H$31="CPC",'Model Inputs &amp; Assumptions'!$I$31*'Model Inputs &amp; Assumptions'!$K$31*G1955,0)))</f>
        <v>8467.882872</v>
      </c>
      <c r="J1955" s="50" t="n">
        <f aca="false">H1955*INDEX('Model Inputs &amp; Assumptions'!$D$40:$D$42,MATCH('Model Inputs &amp; Assumptions'!$L$31,'Model Inputs &amp; Assumptions'!$A$40:$A$42,0))*INDEX('Model Inputs &amp; Assumptions'!$H$40:$H$42,MATCH('Model Inputs &amp; Assumptions'!$L$31,'Model Inputs &amp; Assumptions'!$A$40:$A$42,0))</f>
        <v>710239.706117151</v>
      </c>
      <c r="K1955" s="49" t="n">
        <f aca="false">H1955*INDEX('Model Inputs &amp; Assumptions'!$G$40:$G$42,MATCH('Model Inputs &amp; Assumptions'!$L$31,'Model Inputs &amp; Assumptions'!$A$40:$A$42,0))*INDEX('Model Inputs &amp; Assumptions'!$H$40:$H$42,MATCH('Model Inputs &amp; Assumptions'!$L$31,'Model Inputs &amp; Assumptions'!$A$40:$A$42,0))</f>
        <v>15660.7855198832</v>
      </c>
      <c r="L1955" s="51" t="n">
        <f aca="false">IFERROR(K1955/I1955,0)</f>
        <v>1.84943341288615</v>
      </c>
      <c r="M1955" s="49" t="n">
        <f aca="false">IFERROR(I1955/H1955,0)</f>
        <v>85.8425066259862</v>
      </c>
      <c r="N1955" s="52" t="str">
        <f aca="false">'Model Inputs &amp; Assumptions'!$L$31</f>
        <v>PRD-USIQ</v>
      </c>
      <c r="P1955" s="53" t="n">
        <v>1.716375</v>
      </c>
      <c r="Q1955" s="53" t="n">
        <v>0.042612</v>
      </c>
      <c r="R1955" s="53" t="n">
        <v>-0.088018</v>
      </c>
      <c r="S1955" s="53" t="n">
        <v>0.490157</v>
      </c>
    </row>
    <row r="1956" customFormat="false" ht="15" hidden="false" customHeight="false" outlineLevel="0" collapsed="false">
      <c r="A1956" s="43" t="n">
        <v>453</v>
      </c>
      <c r="B1956" s="44" t="str">
        <f aca="false">'Model Inputs &amp; Assumptions'!$B$31</f>
        <v>YouTube — Finfluencer Pre-roll</v>
      </c>
      <c r="C1956" s="45" t="n">
        <f aca="false">ROUND(MAX(0,'Model Inputs &amp; Assumptions'!$S$31*EXP('Model Inputs &amp; Assumptions'!$T$31*P1956-'Model Inputs &amp; Assumptions'!$T$31^2/2)),0)</f>
        <v>491553</v>
      </c>
      <c r="D1956" s="46" t="n">
        <f aca="false">MIN(1,'Model Inputs &amp; Assumptions'!$U$31*EXP('Model Inputs &amp; Assumptions'!$V$31*Q1956-'Model Inputs &amp; Assumptions'!$V$31^2/2))</f>
        <v>0.538072342588399</v>
      </c>
      <c r="E1956" s="45" t="n">
        <f aca="false">ROUND(C1956*D1956,0)</f>
        <v>264491</v>
      </c>
      <c r="F1956" s="47" t="n">
        <f aca="false">MIN(1,'Model Inputs &amp; Assumptions'!$W$31*EXP('Model Inputs &amp; Assumptions'!$X$31*R1956-'Model Inputs &amp; Assumptions'!$X$31^2/2))</f>
        <v>0.00649444497602931</v>
      </c>
      <c r="G1956" s="45" t="n">
        <f aca="false">ROUND(C1956*F1956,0)</f>
        <v>3192</v>
      </c>
      <c r="H1956" s="48" t="n">
        <f aca="false">MAX(0,(C1956*'Model Inputs &amp; Assumptions'!$N$31+E1956*'Model Inputs &amp; Assumptions'!$O$31+G1956*'Model Inputs &amp; Assumptions'!$P$31)*EXP('Model Inputs &amp; Assumptions'!$Q$31*S1956-'Model Inputs &amp; Assumptions'!$Q$31^2/2))</f>
        <v>59.3143263557046</v>
      </c>
      <c r="I1956" s="49" t="n">
        <f aca="false">IF('Model Inputs &amp; Assumptions'!$H$31="Fixed",'Model Inputs &amp; Assumptions'!$I$31*'Model Inputs &amp; Assumptions'!$K$31,IF('Model Inputs &amp; Assumptions'!$H$31="CPM",'Model Inputs &amp; Assumptions'!$I$31*'Model Inputs &amp; Assumptions'!$K$31*C1956/1000,IF('Model Inputs &amp; Assumptions'!$H$31="CPC",'Model Inputs &amp; Assumptions'!$I$31*'Model Inputs &amp; Assumptions'!$K$31*G1956,0)))</f>
        <v>5577.160338</v>
      </c>
      <c r="J1956" s="50" t="n">
        <f aca="false">H1956*INDEX('Model Inputs &amp; Assumptions'!$D$40:$D$42,MATCH('Model Inputs &amp; Assumptions'!$L$31,'Model Inputs &amp; Assumptions'!$A$40:$A$42,0))*INDEX('Model Inputs &amp; Assumptions'!$H$40:$H$42,MATCH('Model Inputs &amp; Assumptions'!$L$31,'Model Inputs &amp; Assumptions'!$A$40:$A$42,0))</f>
        <v>427063.149761073</v>
      </c>
      <c r="K1956" s="49" t="n">
        <f aca="false">H1956*INDEX('Model Inputs &amp; Assumptions'!$G$40:$G$42,MATCH('Model Inputs &amp; Assumptions'!$L$31,'Model Inputs &amp; Assumptions'!$A$40:$A$42,0))*INDEX('Model Inputs &amp; Assumptions'!$H$40:$H$42,MATCH('Model Inputs &amp; Assumptions'!$L$31,'Model Inputs &amp; Assumptions'!$A$40:$A$42,0))</f>
        <v>9416.74245223166</v>
      </c>
      <c r="L1956" s="51" t="n">
        <f aca="false">IFERROR(K1956/I1956,0)</f>
        <v>1.68844750402291</v>
      </c>
      <c r="M1956" s="49" t="n">
        <f aca="false">IFERROR(I1956/H1956,0)</f>
        <v>94.0272052413458</v>
      </c>
      <c r="N1956" s="52" t="str">
        <f aca="false">'Model Inputs &amp; Assumptions'!$L$31</f>
        <v>PRD-USIQ</v>
      </c>
      <c r="P1956" s="53" t="n">
        <v>0.22494</v>
      </c>
      <c r="Q1956" s="53" t="n">
        <v>-0.588068</v>
      </c>
      <c r="R1956" s="53" t="n">
        <v>1.209622</v>
      </c>
      <c r="S1956" s="53" t="n">
        <v>-0.258785</v>
      </c>
    </row>
    <row r="1957" customFormat="false" ht="15" hidden="false" customHeight="false" outlineLevel="0" collapsed="false">
      <c r="A1957" s="43" t="n">
        <v>454</v>
      </c>
      <c r="B1957" s="44" t="str">
        <f aca="false">'Model Inputs &amp; Assumptions'!$B$31</f>
        <v>YouTube — Finfluencer Pre-roll</v>
      </c>
      <c r="C1957" s="45" t="n">
        <f aca="false">ROUND(MAX(0,'Model Inputs &amp; Assumptions'!$S$31*EXP('Model Inputs &amp; Assumptions'!$T$31*P1957-'Model Inputs &amp; Assumptions'!$T$31^2/2)),0)</f>
        <v>605585</v>
      </c>
      <c r="D1957" s="46" t="n">
        <f aca="false">MIN(1,'Model Inputs &amp; Assumptions'!$U$31*EXP('Model Inputs &amp; Assumptions'!$V$31*Q1957-'Model Inputs &amp; Assumptions'!$V$31^2/2))</f>
        <v>0.579310542659142</v>
      </c>
      <c r="E1957" s="45" t="n">
        <f aca="false">ROUND(C1957*D1957,0)</f>
        <v>350822</v>
      </c>
      <c r="F1957" s="47" t="n">
        <f aca="false">MIN(1,'Model Inputs &amp; Assumptions'!$W$31*EXP('Model Inputs &amp; Assumptions'!$X$31*R1957-'Model Inputs &amp; Assumptions'!$X$31^2/2))</f>
        <v>0.00452195594950573</v>
      </c>
      <c r="G1957" s="45" t="n">
        <f aca="false">ROUND(C1957*F1957,0)</f>
        <v>2738</v>
      </c>
      <c r="H1957" s="48" t="n">
        <f aca="false">MAX(0,(C1957*'Model Inputs &amp; Assumptions'!$N$31+E1957*'Model Inputs &amp; Assumptions'!$O$31+G1957*'Model Inputs &amp; Assumptions'!$P$31)*EXP('Model Inputs &amp; Assumptions'!$Q$31*S1957-'Model Inputs &amp; Assumptions'!$Q$31^2/2))</f>
        <v>67.820520253787</v>
      </c>
      <c r="I1957" s="49" t="n">
        <f aca="false">IF('Model Inputs &amp; Assumptions'!$H$31="Fixed",'Model Inputs &amp; Assumptions'!$I$31*'Model Inputs &amp; Assumptions'!$K$31,IF('Model Inputs &amp; Assumptions'!$H$31="CPM",'Model Inputs &amp; Assumptions'!$I$31*'Model Inputs &amp; Assumptions'!$K$31*C1957/1000,IF('Model Inputs &amp; Assumptions'!$H$31="CPC",'Model Inputs &amp; Assumptions'!$I$31*'Model Inputs &amp; Assumptions'!$K$31*G1957,0)))</f>
        <v>6870.96741</v>
      </c>
      <c r="J1957" s="50" t="n">
        <f aca="false">H1957*INDEX('Model Inputs &amp; Assumptions'!$D$40:$D$42,MATCH('Model Inputs &amp; Assumptions'!$L$31,'Model Inputs &amp; Assumptions'!$A$40:$A$42,0))*INDEX('Model Inputs &amp; Assumptions'!$H$40:$H$42,MATCH('Model Inputs &amp; Assumptions'!$L$31,'Model Inputs &amp; Assumptions'!$A$40:$A$42,0))</f>
        <v>488307.745827266</v>
      </c>
      <c r="K1957" s="49" t="n">
        <f aca="false">H1957*INDEX('Model Inputs &amp; Assumptions'!$G$40:$G$42,MATCH('Model Inputs &amp; Assumptions'!$L$31,'Model Inputs &amp; Assumptions'!$A$40:$A$42,0))*INDEX('Model Inputs &amp; Assumptions'!$H$40:$H$42,MATCH('Model Inputs &amp; Assumptions'!$L$31,'Model Inputs &amp; Assumptions'!$A$40:$A$42,0))</f>
        <v>10767.1857954912</v>
      </c>
      <c r="L1957" s="51" t="n">
        <f aca="false">IFERROR(K1957/I1957,0)</f>
        <v>1.56705528537665</v>
      </c>
      <c r="M1957" s="49" t="n">
        <f aca="false">IFERROR(I1957/H1957,0)</f>
        <v>101.311039553937</v>
      </c>
      <c r="N1957" s="52" t="str">
        <f aca="false">'Model Inputs &amp; Assumptions'!$L$31</f>
        <v>PRD-USIQ</v>
      </c>
      <c r="P1957" s="53" t="n">
        <v>0.970032</v>
      </c>
      <c r="Q1957" s="53" t="n">
        <v>-0.060599</v>
      </c>
      <c r="R1957" s="53" t="n">
        <v>-0.298722</v>
      </c>
      <c r="S1957" s="53" t="n">
        <v>0.120122</v>
      </c>
    </row>
    <row r="1958" customFormat="false" ht="15" hidden="false" customHeight="false" outlineLevel="0" collapsed="false">
      <c r="A1958" s="43" t="n">
        <v>455</v>
      </c>
      <c r="B1958" s="44" t="str">
        <f aca="false">'Model Inputs &amp; Assumptions'!$B$31</f>
        <v>YouTube — Finfluencer Pre-roll</v>
      </c>
      <c r="C1958" s="45" t="n">
        <f aca="false">ROUND(MAX(0,'Model Inputs &amp; Assumptions'!$S$31*EXP('Model Inputs &amp; Assumptions'!$T$31*P1958-'Model Inputs &amp; Assumptions'!$T$31^2/2)),0)</f>
        <v>452872</v>
      </c>
      <c r="D1958" s="46" t="n">
        <f aca="false">MIN(1,'Model Inputs &amp; Assumptions'!$U$31*EXP('Model Inputs &amp; Assumptions'!$V$31*Q1958-'Model Inputs &amp; Assumptions'!$V$31^2/2))</f>
        <v>0.490787270807197</v>
      </c>
      <c r="E1958" s="45" t="n">
        <f aca="false">ROUND(C1958*D1958,0)</f>
        <v>222264</v>
      </c>
      <c r="F1958" s="47" t="n">
        <f aca="false">MIN(1,'Model Inputs &amp; Assumptions'!$W$31*EXP('Model Inputs &amp; Assumptions'!$X$31*R1958-'Model Inputs &amp; Assumptions'!$X$31^2/2))</f>
        <v>0.00758011455573666</v>
      </c>
      <c r="G1958" s="45" t="n">
        <f aca="false">ROUND(C1958*F1958,0)</f>
        <v>3433</v>
      </c>
      <c r="H1958" s="48" t="n">
        <f aca="false">MAX(0,(C1958*'Model Inputs &amp; Assumptions'!$N$31+E1958*'Model Inputs &amp; Assumptions'!$O$31+G1958*'Model Inputs &amp; Assumptions'!$P$31)*EXP('Model Inputs &amp; Assumptions'!$Q$31*S1958-'Model Inputs &amp; Assumptions'!$Q$31^2/2))</f>
        <v>60.9538797213863</v>
      </c>
      <c r="I1958" s="49" t="n">
        <f aca="false">IF('Model Inputs &amp; Assumptions'!$H$31="Fixed",'Model Inputs &amp; Assumptions'!$I$31*'Model Inputs &amp; Assumptions'!$K$31,IF('Model Inputs &amp; Assumptions'!$H$31="CPM",'Model Inputs &amp; Assumptions'!$I$31*'Model Inputs &amp; Assumptions'!$K$31*C1958/1000,IF('Model Inputs &amp; Assumptions'!$H$31="CPC",'Model Inputs &amp; Assumptions'!$I$31*'Model Inputs &amp; Assumptions'!$K$31*G1958,0)))</f>
        <v>5138.285712</v>
      </c>
      <c r="J1958" s="50" t="n">
        <f aca="false">H1958*INDEX('Model Inputs &amp; Assumptions'!$D$40:$D$42,MATCH('Model Inputs &amp; Assumptions'!$L$31,'Model Inputs &amp; Assumptions'!$A$40:$A$42,0))*INDEX('Model Inputs &amp; Assumptions'!$H$40:$H$42,MATCH('Model Inputs &amp; Assumptions'!$L$31,'Model Inputs &amp; Assumptions'!$A$40:$A$42,0))</f>
        <v>438867.933993981</v>
      </c>
      <c r="K1958" s="49" t="n">
        <f aca="false">H1958*INDEX('Model Inputs &amp; Assumptions'!$G$40:$G$42,MATCH('Model Inputs &amp; Assumptions'!$L$31,'Model Inputs &amp; Assumptions'!$A$40:$A$42,0))*INDEX('Model Inputs &amp; Assumptions'!$H$40:$H$42,MATCH('Model Inputs &amp; Assumptions'!$L$31,'Model Inputs &amp; Assumptions'!$A$40:$A$42,0))</f>
        <v>9677.03794456729</v>
      </c>
      <c r="L1958" s="51" t="n">
        <f aca="false">IFERROR(K1958/I1958,0)</f>
        <v>1.88332033035209</v>
      </c>
      <c r="M1958" s="49" t="n">
        <f aca="false">IFERROR(I1958/H1958,0)</f>
        <v>84.2979271456806</v>
      </c>
      <c r="N1958" s="52" t="str">
        <f aca="false">'Model Inputs &amp; Assumptions'!$L$31</f>
        <v>PRD-USIQ</v>
      </c>
      <c r="P1958" s="53" t="n">
        <v>-0.067777</v>
      </c>
      <c r="Q1958" s="53" t="n">
        <v>-1.245084</v>
      </c>
      <c r="R1958" s="53" t="n">
        <v>1.85371</v>
      </c>
      <c r="S1958" s="53" t="n">
        <v>-0.190665</v>
      </c>
    </row>
    <row r="1959" customFormat="false" ht="15" hidden="false" customHeight="false" outlineLevel="0" collapsed="false">
      <c r="A1959" s="43" t="n">
        <v>456</v>
      </c>
      <c r="B1959" s="44" t="str">
        <f aca="false">'Model Inputs &amp; Assumptions'!$B$31</f>
        <v>YouTube — Finfluencer Pre-roll</v>
      </c>
      <c r="C1959" s="45" t="n">
        <f aca="false">ROUND(MAX(0,'Model Inputs &amp; Assumptions'!$S$31*EXP('Model Inputs &amp; Assumptions'!$T$31*P1959-'Model Inputs &amp; Assumptions'!$T$31^2/2)),0)</f>
        <v>594792</v>
      </c>
      <c r="D1959" s="46" t="n">
        <f aca="false">MIN(1,'Model Inputs &amp; Assumptions'!$U$31*EXP('Model Inputs &amp; Assumptions'!$V$31*Q1959-'Model Inputs &amp; Assumptions'!$V$31^2/2))</f>
        <v>0.449819610526553</v>
      </c>
      <c r="E1959" s="45" t="n">
        <f aca="false">ROUND(C1959*D1959,0)</f>
        <v>267549</v>
      </c>
      <c r="F1959" s="47" t="n">
        <f aca="false">MIN(1,'Model Inputs &amp; Assumptions'!$W$31*EXP('Model Inputs &amp; Assumptions'!$X$31*R1959-'Model Inputs &amp; Assumptions'!$X$31^2/2))</f>
        <v>0.00355744486434357</v>
      </c>
      <c r="G1959" s="45" t="n">
        <f aca="false">ROUND(C1959*F1959,0)</f>
        <v>2116</v>
      </c>
      <c r="H1959" s="48" t="n">
        <f aca="false">MAX(0,(C1959*'Model Inputs &amp; Assumptions'!$N$31+E1959*'Model Inputs &amp; Assumptions'!$O$31+G1959*'Model Inputs &amp; Assumptions'!$P$31)*EXP('Model Inputs &amp; Assumptions'!$Q$31*S1959-'Model Inputs &amp; Assumptions'!$Q$31^2/2))</f>
        <v>62.4821211999172</v>
      </c>
      <c r="I1959" s="49" t="n">
        <f aca="false">IF('Model Inputs &amp; Assumptions'!$H$31="Fixed",'Model Inputs &amp; Assumptions'!$I$31*'Model Inputs &amp; Assumptions'!$K$31,IF('Model Inputs &amp; Assumptions'!$H$31="CPM",'Model Inputs &amp; Assumptions'!$I$31*'Model Inputs &amp; Assumptions'!$K$31*C1959/1000,IF('Model Inputs &amp; Assumptions'!$H$31="CPC",'Model Inputs &amp; Assumptions'!$I$31*'Model Inputs &amp; Assumptions'!$K$31*G1959,0)))</f>
        <v>6748.510032</v>
      </c>
      <c r="J1959" s="50" t="n">
        <f aca="false">H1959*INDEX('Model Inputs &amp; Assumptions'!$D$40:$D$42,MATCH('Model Inputs &amp; Assumptions'!$L$31,'Model Inputs &amp; Assumptions'!$A$40:$A$42,0))*INDEX('Model Inputs &amp; Assumptions'!$H$40:$H$42,MATCH('Model Inputs &amp; Assumptions'!$L$31,'Model Inputs &amp; Assumptions'!$A$40:$A$42,0))</f>
        <v>449871.272639404</v>
      </c>
      <c r="K1959" s="49" t="n">
        <f aca="false">H1959*INDEX('Model Inputs &amp; Assumptions'!$G$40:$G$42,MATCH('Model Inputs &amp; Assumptions'!$L$31,'Model Inputs &amp; Assumptions'!$A$40:$A$42,0))*INDEX('Model Inputs &amp; Assumptions'!$H$40:$H$42,MATCH('Model Inputs &amp; Assumptions'!$L$31,'Model Inputs &amp; Assumptions'!$A$40:$A$42,0))</f>
        <v>9919.66156169886</v>
      </c>
      <c r="L1959" s="51" t="n">
        <f aca="false">IFERROR(K1959/I1959,0)</f>
        <v>1.46990395134066</v>
      </c>
      <c r="M1959" s="49" t="n">
        <f aca="false">IFERROR(I1959/H1959,0)</f>
        <v>108.007057097302</v>
      </c>
      <c r="N1959" s="52" t="str">
        <f aca="false">'Model Inputs &amp; Assumptions'!$L$31</f>
        <v>PRD-USIQ</v>
      </c>
      <c r="P1959" s="53" t="n">
        <v>0.905808</v>
      </c>
      <c r="Q1959" s="53" t="n">
        <v>-1.867685</v>
      </c>
      <c r="R1959" s="53" t="n">
        <v>-1.298314</v>
      </c>
      <c r="S1959" s="53" t="n">
        <v>0.637505</v>
      </c>
    </row>
    <row r="1960" customFormat="false" ht="15" hidden="false" customHeight="false" outlineLevel="0" collapsed="false">
      <c r="A1960" s="43" t="n">
        <v>457</v>
      </c>
      <c r="B1960" s="44" t="str">
        <f aca="false">'Model Inputs &amp; Assumptions'!$B$31</f>
        <v>YouTube — Finfluencer Pre-roll</v>
      </c>
      <c r="C1960" s="45" t="n">
        <f aca="false">ROUND(MAX(0,'Model Inputs &amp; Assumptions'!$S$31*EXP('Model Inputs &amp; Assumptions'!$T$31*P1960-'Model Inputs &amp; Assumptions'!$T$31^2/2)),0)</f>
        <v>422981</v>
      </c>
      <c r="D1960" s="46" t="n">
        <f aca="false">MIN(1,'Model Inputs &amp; Assumptions'!$U$31*EXP('Model Inputs &amp; Assumptions'!$V$31*Q1960-'Model Inputs &amp; Assumptions'!$V$31^2/2))</f>
        <v>0.563433772029314</v>
      </c>
      <c r="E1960" s="45" t="n">
        <f aca="false">ROUND(C1960*D1960,0)</f>
        <v>238322</v>
      </c>
      <c r="F1960" s="47" t="n">
        <f aca="false">MIN(1,'Model Inputs &amp; Assumptions'!$W$31*EXP('Model Inputs &amp; Assumptions'!$X$31*R1960-'Model Inputs &amp; Assumptions'!$X$31^2/2))</f>
        <v>0.00446557467402061</v>
      </c>
      <c r="G1960" s="45" t="n">
        <f aca="false">ROUND(C1960*F1960,0)</f>
        <v>1889</v>
      </c>
      <c r="H1960" s="48" t="n">
        <f aca="false">MAX(0,(C1960*'Model Inputs &amp; Assumptions'!$N$31+E1960*'Model Inputs &amp; Assumptions'!$O$31+G1960*'Model Inputs &amp; Assumptions'!$P$31)*EXP('Model Inputs &amp; Assumptions'!$Q$31*S1960-'Model Inputs &amp; Assumptions'!$Q$31^2/2))</f>
        <v>18.3722892852949</v>
      </c>
      <c r="I1960" s="49" t="n">
        <f aca="false">IF('Model Inputs &amp; Assumptions'!$H$31="Fixed",'Model Inputs &amp; Assumptions'!$I$31*'Model Inputs &amp; Assumptions'!$K$31,IF('Model Inputs &amp; Assumptions'!$H$31="CPM",'Model Inputs &amp; Assumptions'!$I$31*'Model Inputs &amp; Assumptions'!$K$31*C1960/1000,IF('Model Inputs &amp; Assumptions'!$H$31="CPC",'Model Inputs &amp; Assumptions'!$I$31*'Model Inputs &amp; Assumptions'!$K$31*G1960,0)))</f>
        <v>4799.142426</v>
      </c>
      <c r="J1960" s="50" t="n">
        <f aca="false">H1960*INDEX('Model Inputs &amp; Assumptions'!$D$40:$D$42,MATCH('Model Inputs &amp; Assumptions'!$L$31,'Model Inputs &amp; Assumptions'!$A$40:$A$42,0))*INDEX('Model Inputs &amp; Assumptions'!$H$40:$H$42,MATCH('Model Inputs &amp; Assumptions'!$L$31,'Model Inputs &amp; Assumptions'!$A$40:$A$42,0))</f>
        <v>132280.482854124</v>
      </c>
      <c r="K1960" s="49" t="n">
        <f aca="false">H1960*INDEX('Model Inputs &amp; Assumptions'!$G$40:$G$42,MATCH('Model Inputs &amp; Assumptions'!$L$31,'Model Inputs &amp; Assumptions'!$A$40:$A$42,0))*INDEX('Model Inputs &amp; Assumptions'!$H$40:$H$42,MATCH('Model Inputs &amp; Assumptions'!$L$31,'Model Inputs &amp; Assumptions'!$A$40:$A$42,0))</f>
        <v>2916.78464693343</v>
      </c>
      <c r="L1960" s="51" t="n">
        <f aca="false">IFERROR(K1960/I1960,0)</f>
        <v>0.60777205342591</v>
      </c>
      <c r="M1960" s="49" t="n">
        <f aca="false">IFERROR(I1960/H1960,0)</f>
        <v>261.216354231979</v>
      </c>
      <c r="N1960" s="52" t="str">
        <f aca="false">'Model Inputs &amp; Assumptions'!$L$31</f>
        <v>PRD-USIQ</v>
      </c>
      <c r="P1960" s="53" t="n">
        <v>-0.311635</v>
      </c>
      <c r="Q1960" s="53" t="n">
        <v>-0.259091</v>
      </c>
      <c r="R1960" s="53" t="n">
        <v>-0.351</v>
      </c>
      <c r="S1960" s="53" t="n">
        <v>-2.532985</v>
      </c>
    </row>
    <row r="1961" customFormat="false" ht="15" hidden="false" customHeight="false" outlineLevel="0" collapsed="false">
      <c r="A1961" s="43" t="n">
        <v>458</v>
      </c>
      <c r="B1961" s="44" t="str">
        <f aca="false">'Model Inputs &amp; Assumptions'!$B$31</f>
        <v>YouTube — Finfluencer Pre-roll</v>
      </c>
      <c r="C1961" s="45" t="n">
        <f aca="false">ROUND(MAX(0,'Model Inputs &amp; Assumptions'!$S$31*EXP('Model Inputs &amp; Assumptions'!$T$31*P1961-'Model Inputs &amp; Assumptions'!$T$31^2/2)),0)</f>
        <v>507639</v>
      </c>
      <c r="D1961" s="46" t="n">
        <f aca="false">MIN(1,'Model Inputs &amp; Assumptions'!$U$31*EXP('Model Inputs &amp; Assumptions'!$V$31*Q1961-'Model Inputs &amp; Assumptions'!$V$31^2/2))</f>
        <v>0.627514147707862</v>
      </c>
      <c r="E1961" s="45" t="n">
        <f aca="false">ROUND(C1961*D1961,0)</f>
        <v>318551</v>
      </c>
      <c r="F1961" s="47" t="n">
        <f aca="false">MIN(1,'Model Inputs &amp; Assumptions'!$W$31*EXP('Model Inputs &amp; Assumptions'!$X$31*R1961-'Model Inputs &amp; Assumptions'!$X$31^2/2))</f>
        <v>0.00465517429440002</v>
      </c>
      <c r="G1961" s="45" t="n">
        <f aca="false">ROUND(C1961*F1961,0)</f>
        <v>2363</v>
      </c>
      <c r="H1961" s="48" t="n">
        <f aca="false">MAX(0,(C1961*'Model Inputs &amp; Assumptions'!$N$31+E1961*'Model Inputs &amp; Assumptions'!$O$31+G1961*'Model Inputs &amp; Assumptions'!$P$31)*EXP('Model Inputs &amp; Assumptions'!$Q$31*S1961-'Model Inputs &amp; Assumptions'!$Q$31^2/2))</f>
        <v>62.5107326782788</v>
      </c>
      <c r="I1961" s="49" t="n">
        <f aca="false">IF('Model Inputs &amp; Assumptions'!$H$31="Fixed",'Model Inputs &amp; Assumptions'!$I$31*'Model Inputs &amp; Assumptions'!$K$31,IF('Model Inputs &amp; Assumptions'!$H$31="CPM",'Model Inputs &amp; Assumptions'!$I$31*'Model Inputs &amp; Assumptions'!$K$31*C1961/1000,IF('Model Inputs &amp; Assumptions'!$H$31="CPC",'Model Inputs &amp; Assumptions'!$I$31*'Model Inputs &amp; Assumptions'!$K$31*G1961,0)))</f>
        <v>5759.672094</v>
      </c>
      <c r="J1961" s="50" t="n">
        <f aca="false">H1961*INDEX('Model Inputs &amp; Assumptions'!$D$40:$D$42,MATCH('Model Inputs &amp; Assumptions'!$L$31,'Model Inputs &amp; Assumptions'!$A$40:$A$42,0))*INDEX('Model Inputs &amp; Assumptions'!$H$40:$H$42,MATCH('Model Inputs &amp; Assumptions'!$L$31,'Model Inputs &amp; Assumptions'!$A$40:$A$42,0))</f>
        <v>450077.275283607</v>
      </c>
      <c r="K1961" s="49" t="n">
        <f aca="false">H1961*INDEX('Model Inputs &amp; Assumptions'!$G$40:$G$42,MATCH('Model Inputs &amp; Assumptions'!$L$31,'Model Inputs &amp; Assumptions'!$A$40:$A$42,0))*INDEX('Model Inputs &amp; Assumptions'!$H$40:$H$42,MATCH('Model Inputs &amp; Assumptions'!$L$31,'Model Inputs &amp; Assumptions'!$A$40:$A$42,0))</f>
        <v>9924.20392000354</v>
      </c>
      <c r="L1961" s="51" t="n">
        <f aca="false">IFERROR(K1961/I1961,0)</f>
        <v>1.72305015945992</v>
      </c>
      <c r="M1961" s="49" t="n">
        <f aca="false">IFERROR(I1961/H1961,0)</f>
        <v>92.1389311439213</v>
      </c>
      <c r="N1961" s="52" t="str">
        <f aca="false">'Model Inputs &amp; Assumptions'!$L$31</f>
        <v>PRD-USIQ</v>
      </c>
      <c r="P1961" s="53" t="n">
        <v>0.339942</v>
      </c>
      <c r="Q1961" s="53" t="n">
        <v>0.510312</v>
      </c>
      <c r="R1961" s="53" t="n">
        <v>-0.177744</v>
      </c>
      <c r="S1961" s="53" t="n">
        <v>0.248222</v>
      </c>
    </row>
    <row r="1962" customFormat="false" ht="15" hidden="false" customHeight="false" outlineLevel="0" collapsed="false">
      <c r="A1962" s="43" t="n">
        <v>459</v>
      </c>
      <c r="B1962" s="44" t="str">
        <f aca="false">'Model Inputs &amp; Assumptions'!$B$31</f>
        <v>YouTube — Finfluencer Pre-roll</v>
      </c>
      <c r="C1962" s="45" t="n">
        <f aca="false">ROUND(MAX(0,'Model Inputs &amp; Assumptions'!$S$31*EXP('Model Inputs &amp; Assumptions'!$T$31*P1962-'Model Inputs &amp; Assumptions'!$T$31^2/2)),0)</f>
        <v>650382</v>
      </c>
      <c r="D1962" s="46" t="n">
        <f aca="false">MIN(1,'Model Inputs &amp; Assumptions'!$U$31*EXP('Model Inputs &amp; Assumptions'!$V$31*Q1962-'Model Inputs &amp; Assumptions'!$V$31^2/2))</f>
        <v>0.55692596679414</v>
      </c>
      <c r="E1962" s="45" t="n">
        <f aca="false">ROUND(C1962*D1962,0)</f>
        <v>362215</v>
      </c>
      <c r="F1962" s="47" t="n">
        <f aca="false">MIN(1,'Model Inputs &amp; Assumptions'!$W$31*EXP('Model Inputs &amp; Assumptions'!$X$31*R1962-'Model Inputs &amp; Assumptions'!$X$31^2/2))</f>
        <v>0.00624984580618828</v>
      </c>
      <c r="G1962" s="45" t="n">
        <f aca="false">ROUND(C1962*F1962,0)</f>
        <v>4065</v>
      </c>
      <c r="H1962" s="48" t="n">
        <f aca="false">MAX(0,(C1962*'Model Inputs &amp; Assumptions'!$N$31+E1962*'Model Inputs &amp; Assumptions'!$O$31+G1962*'Model Inputs &amp; Assumptions'!$P$31)*EXP('Model Inputs &amp; Assumptions'!$Q$31*S1962-'Model Inputs &amp; Assumptions'!$Q$31^2/2))</f>
        <v>175.709843505696</v>
      </c>
      <c r="I1962" s="49" t="n">
        <f aca="false">IF('Model Inputs &amp; Assumptions'!$H$31="Fixed",'Model Inputs &amp; Assumptions'!$I$31*'Model Inputs &amp; Assumptions'!$K$31,IF('Model Inputs &amp; Assumptions'!$H$31="CPM",'Model Inputs &amp; Assumptions'!$I$31*'Model Inputs &amp; Assumptions'!$K$31*C1962/1000,IF('Model Inputs &amp; Assumptions'!$H$31="CPC",'Model Inputs &amp; Assumptions'!$I$31*'Model Inputs &amp; Assumptions'!$K$31*G1962,0)))</f>
        <v>7379.234172</v>
      </c>
      <c r="J1962" s="50" t="n">
        <f aca="false">H1962*INDEX('Model Inputs &amp; Assumptions'!$D$40:$D$42,MATCH('Model Inputs &amp; Assumptions'!$L$31,'Model Inputs &amp; Assumptions'!$A$40:$A$42,0))*INDEX('Model Inputs &amp; Assumptions'!$H$40:$H$42,MATCH('Model Inputs &amp; Assumptions'!$L$31,'Model Inputs &amp; Assumptions'!$A$40:$A$42,0))</f>
        <v>1265110.87324101</v>
      </c>
      <c r="K1962" s="49" t="n">
        <f aca="false">H1962*INDEX('Model Inputs &amp; Assumptions'!$G$40:$G$42,MATCH('Model Inputs &amp; Assumptions'!$L$31,'Model Inputs &amp; Assumptions'!$A$40:$A$42,0))*INDEX('Model Inputs &amp; Assumptions'!$H$40:$H$42,MATCH('Model Inputs &amp; Assumptions'!$L$31,'Model Inputs &amp; Assumptions'!$A$40:$A$42,0))</f>
        <v>27895.6947549643</v>
      </c>
      <c r="L1962" s="51" t="n">
        <f aca="false">IFERROR(K1962/I1962,0)</f>
        <v>3.780296722499</v>
      </c>
      <c r="M1962" s="49" t="n">
        <f aca="false">IFERROR(I1962/H1962,0)</f>
        <v>41.9967033421255</v>
      </c>
      <c r="N1962" s="52" t="str">
        <f aca="false">'Model Inputs &amp; Assumptions'!$L$31</f>
        <v>PRD-USIQ</v>
      </c>
      <c r="P1962" s="53" t="n">
        <v>1.224905</v>
      </c>
      <c r="Q1962" s="53" t="n">
        <v>-0.342073</v>
      </c>
      <c r="R1962" s="53" t="n">
        <v>1.049662</v>
      </c>
      <c r="S1962" s="53" t="n">
        <v>2.088016</v>
      </c>
    </row>
    <row r="1963" customFormat="false" ht="15" hidden="false" customHeight="false" outlineLevel="0" collapsed="false">
      <c r="A1963" s="43" t="n">
        <v>460</v>
      </c>
      <c r="B1963" s="44" t="str">
        <f aca="false">'Model Inputs &amp; Assumptions'!$B$31</f>
        <v>YouTube — Finfluencer Pre-roll</v>
      </c>
      <c r="C1963" s="45" t="n">
        <f aca="false">ROUND(MAX(0,'Model Inputs &amp; Assumptions'!$S$31*EXP('Model Inputs &amp; Assumptions'!$T$31*P1963-'Model Inputs &amp; Assumptions'!$T$31^2/2)),0)</f>
        <v>637127</v>
      </c>
      <c r="D1963" s="46" t="n">
        <f aca="false">MIN(1,'Model Inputs &amp; Assumptions'!$U$31*EXP('Model Inputs &amp; Assumptions'!$V$31*Q1963-'Model Inputs &amp; Assumptions'!$V$31^2/2))</f>
        <v>0.437267106866845</v>
      </c>
      <c r="E1963" s="45" t="n">
        <f aca="false">ROUND(C1963*D1963,0)</f>
        <v>278595</v>
      </c>
      <c r="F1963" s="47" t="n">
        <f aca="false">MIN(1,'Model Inputs &amp; Assumptions'!$W$31*EXP('Model Inputs &amp; Assumptions'!$X$31*R1963-'Model Inputs &amp; Assumptions'!$X$31^2/2))</f>
        <v>0.00343924012274658</v>
      </c>
      <c r="G1963" s="45" t="n">
        <f aca="false">ROUND(C1963*F1963,0)</f>
        <v>2191</v>
      </c>
      <c r="H1963" s="48" t="n">
        <f aca="false">MAX(0,(C1963*'Model Inputs &amp; Assumptions'!$N$31+E1963*'Model Inputs &amp; Assumptions'!$O$31+G1963*'Model Inputs &amp; Assumptions'!$P$31)*EXP('Model Inputs &amp; Assumptions'!$Q$31*S1963-'Model Inputs &amp; Assumptions'!$Q$31^2/2))</f>
        <v>46.1105668116713</v>
      </c>
      <c r="I1963" s="49" t="n">
        <f aca="false">IF('Model Inputs &amp; Assumptions'!$H$31="Fixed",'Model Inputs &amp; Assumptions'!$I$31*'Model Inputs &amp; Assumptions'!$K$31,IF('Model Inputs &amp; Assumptions'!$H$31="CPM",'Model Inputs &amp; Assumptions'!$I$31*'Model Inputs &amp; Assumptions'!$K$31*C1963/1000,IF('Model Inputs &amp; Assumptions'!$H$31="CPC",'Model Inputs &amp; Assumptions'!$I$31*'Model Inputs &amp; Assumptions'!$K$31*G1963,0)))</f>
        <v>7228.842942</v>
      </c>
      <c r="J1963" s="50" t="n">
        <f aca="false">H1963*INDEX('Model Inputs &amp; Assumptions'!$D$40:$D$42,MATCH('Model Inputs &amp; Assumptions'!$L$31,'Model Inputs &amp; Assumptions'!$A$40:$A$42,0))*INDEX('Model Inputs &amp; Assumptions'!$H$40:$H$42,MATCH('Model Inputs &amp; Assumptions'!$L$31,'Model Inputs &amp; Assumptions'!$A$40:$A$42,0))</f>
        <v>331996.081044033</v>
      </c>
      <c r="K1963" s="49" t="n">
        <f aca="false">H1963*INDEX('Model Inputs &amp; Assumptions'!$G$40:$G$42,MATCH('Model Inputs &amp; Assumptions'!$L$31,'Model Inputs &amp; Assumptions'!$A$40:$A$42,0))*INDEX('Model Inputs &amp; Assumptions'!$H$40:$H$42,MATCH('Model Inputs &amp; Assumptions'!$L$31,'Model Inputs &amp; Assumptions'!$A$40:$A$42,0))</f>
        <v>7320.51358702093</v>
      </c>
      <c r="L1963" s="51" t="n">
        <f aca="false">IFERROR(K1963/I1963,0)</f>
        <v>1.01268123346384</v>
      </c>
      <c r="M1963" s="49" t="n">
        <f aca="false">IFERROR(I1963/H1963,0)</f>
        <v>156.771938447963</v>
      </c>
      <c r="N1963" s="52" t="str">
        <f aca="false">'Model Inputs &amp; Assumptions'!$L$31</f>
        <v>PRD-USIQ</v>
      </c>
      <c r="P1963" s="53" t="n">
        <v>1.151369</v>
      </c>
      <c r="Q1963" s="53" t="n">
        <v>-2.069845</v>
      </c>
      <c r="R1963" s="53" t="n">
        <v>-1.439114</v>
      </c>
      <c r="S1963" s="53" t="n">
        <v>-0.336605</v>
      </c>
    </row>
    <row r="1964" customFormat="false" ht="15" hidden="false" customHeight="false" outlineLevel="0" collapsed="false">
      <c r="A1964" s="43" t="n">
        <v>461</v>
      </c>
      <c r="B1964" s="44" t="str">
        <f aca="false">'Model Inputs &amp; Assumptions'!$B$31</f>
        <v>YouTube — Finfluencer Pre-roll</v>
      </c>
      <c r="C1964" s="45" t="n">
        <f aca="false">ROUND(MAX(0,'Model Inputs &amp; Assumptions'!$S$31*EXP('Model Inputs &amp; Assumptions'!$T$31*P1964-'Model Inputs &amp; Assumptions'!$T$31^2/2)),0)</f>
        <v>832774</v>
      </c>
      <c r="D1964" s="46" t="n">
        <f aca="false">MIN(1,'Model Inputs &amp; Assumptions'!$U$31*EXP('Model Inputs &amp; Assumptions'!$V$31*Q1964-'Model Inputs &amp; Assumptions'!$V$31^2/2))</f>
        <v>0.540086967166673</v>
      </c>
      <c r="E1964" s="45" t="n">
        <f aca="false">ROUND(C1964*D1964,0)</f>
        <v>449770</v>
      </c>
      <c r="F1964" s="47" t="n">
        <f aca="false">MIN(1,'Model Inputs &amp; Assumptions'!$W$31*EXP('Model Inputs &amp; Assumptions'!$X$31*R1964-'Model Inputs &amp; Assumptions'!$X$31^2/2))</f>
        <v>0.00395204383799473</v>
      </c>
      <c r="G1964" s="45" t="n">
        <f aca="false">ROUND(C1964*F1964,0)</f>
        <v>3291</v>
      </c>
      <c r="H1964" s="48" t="n">
        <f aca="false">MAX(0,(C1964*'Model Inputs &amp; Assumptions'!$N$31+E1964*'Model Inputs &amp; Assumptions'!$O$31+G1964*'Model Inputs &amp; Assumptions'!$P$31)*EXP('Model Inputs &amp; Assumptions'!$Q$31*S1964-'Model Inputs &amp; Assumptions'!$Q$31^2/2))</f>
        <v>87.9805715689296</v>
      </c>
      <c r="I1964" s="49" t="n">
        <f aca="false">IF('Model Inputs &amp; Assumptions'!$H$31="Fixed",'Model Inputs &amp; Assumptions'!$I$31*'Model Inputs &amp; Assumptions'!$K$31,IF('Model Inputs &amp; Assumptions'!$H$31="CPM",'Model Inputs &amp; Assumptions'!$I$31*'Model Inputs &amp; Assumptions'!$K$31*C1964/1000,IF('Model Inputs &amp; Assumptions'!$H$31="CPC",'Model Inputs &amp; Assumptions'!$I$31*'Model Inputs &amp; Assumptions'!$K$31*G1964,0)))</f>
        <v>9448.653804</v>
      </c>
      <c r="J1964" s="50" t="n">
        <f aca="false">H1964*INDEX('Model Inputs &amp; Assumptions'!$D$40:$D$42,MATCH('Model Inputs &amp; Assumptions'!$L$31,'Model Inputs &amp; Assumptions'!$A$40:$A$42,0))*INDEX('Model Inputs &amp; Assumptions'!$H$40:$H$42,MATCH('Model Inputs &amp; Assumptions'!$L$31,'Model Inputs &amp; Assumptions'!$A$40:$A$42,0))</f>
        <v>633460.115296293</v>
      </c>
      <c r="K1964" s="49" t="n">
        <f aca="false">H1964*INDEX('Model Inputs &amp; Assumptions'!$G$40:$G$42,MATCH('Model Inputs &amp; Assumptions'!$L$31,'Model Inputs &amp; Assumptions'!$A$40:$A$42,0))*INDEX('Model Inputs &amp; Assumptions'!$H$40:$H$42,MATCH('Model Inputs &amp; Assumptions'!$L$31,'Model Inputs &amp; Assumptions'!$A$40:$A$42,0))</f>
        <v>13967.7955422833</v>
      </c>
      <c r="L1964" s="51" t="n">
        <f aca="false">IFERROR(K1964/I1964,0)</f>
        <v>1.47828419074579</v>
      </c>
      <c r="M1964" s="49" t="n">
        <f aca="false">IFERROR(I1964/H1964,0)</f>
        <v>107.394776318284</v>
      </c>
      <c r="N1964" s="52" t="str">
        <f aca="false">'Model Inputs &amp; Assumptions'!$L$31</f>
        <v>PRD-USIQ</v>
      </c>
      <c r="P1964" s="53" t="n">
        <v>2.107773</v>
      </c>
      <c r="Q1964" s="53" t="n">
        <v>-0.561374</v>
      </c>
      <c r="R1964" s="53" t="n">
        <v>-0.860021</v>
      </c>
      <c r="S1964" s="53" t="n">
        <v>0.261844</v>
      </c>
    </row>
    <row r="1965" customFormat="false" ht="15" hidden="false" customHeight="false" outlineLevel="0" collapsed="false">
      <c r="A1965" s="43" t="n">
        <v>462</v>
      </c>
      <c r="B1965" s="44" t="str">
        <f aca="false">'Model Inputs &amp; Assumptions'!$B$31</f>
        <v>YouTube — Finfluencer Pre-roll</v>
      </c>
      <c r="C1965" s="45" t="n">
        <f aca="false">ROUND(MAX(0,'Model Inputs &amp; Assumptions'!$S$31*EXP('Model Inputs &amp; Assumptions'!$T$31*P1965-'Model Inputs &amp; Assumptions'!$T$31^2/2)),0)</f>
        <v>484168</v>
      </c>
      <c r="D1965" s="46" t="n">
        <f aca="false">MIN(1,'Model Inputs &amp; Assumptions'!$U$31*EXP('Model Inputs &amp; Assumptions'!$V$31*Q1965-'Model Inputs &amp; Assumptions'!$V$31^2/2))</f>
        <v>0.600145518653717</v>
      </c>
      <c r="E1965" s="45" t="n">
        <f aca="false">ROUND(C1965*D1965,0)</f>
        <v>290571</v>
      </c>
      <c r="F1965" s="47" t="n">
        <f aca="false">MIN(1,'Model Inputs &amp; Assumptions'!$W$31*EXP('Model Inputs &amp; Assumptions'!$X$31*R1965-'Model Inputs &amp; Assumptions'!$X$31^2/2))</f>
        <v>0.00630134354917414</v>
      </c>
      <c r="G1965" s="45" t="n">
        <f aca="false">ROUND(C1965*F1965,0)</f>
        <v>3051</v>
      </c>
      <c r="H1965" s="48" t="n">
        <f aca="false">MAX(0,(C1965*'Model Inputs &amp; Assumptions'!$N$31+E1965*'Model Inputs &amp; Assumptions'!$O$31+G1965*'Model Inputs &amp; Assumptions'!$P$31)*EXP('Model Inputs &amp; Assumptions'!$Q$31*S1965-'Model Inputs &amp; Assumptions'!$Q$31^2/2))</f>
        <v>72.5102169389955</v>
      </c>
      <c r="I1965" s="49" t="n">
        <f aca="false">IF('Model Inputs &amp; Assumptions'!$H$31="Fixed",'Model Inputs &amp; Assumptions'!$I$31*'Model Inputs &amp; Assumptions'!$K$31,IF('Model Inputs &amp; Assumptions'!$H$31="CPM",'Model Inputs &amp; Assumptions'!$I$31*'Model Inputs &amp; Assumptions'!$K$31*C1965/1000,IF('Model Inputs &amp; Assumptions'!$H$31="CPC",'Model Inputs &amp; Assumptions'!$I$31*'Model Inputs &amp; Assumptions'!$K$31*G1965,0)))</f>
        <v>5493.370128</v>
      </c>
      <c r="J1965" s="50" t="n">
        <f aca="false">H1965*INDEX('Model Inputs &amp; Assumptions'!$D$40:$D$42,MATCH('Model Inputs &amp; Assumptions'!$L$31,'Model Inputs &amp; Assumptions'!$A$40:$A$42,0))*INDEX('Model Inputs &amp; Assumptions'!$H$40:$H$42,MATCH('Model Inputs &amp; Assumptions'!$L$31,'Model Inputs &amp; Assumptions'!$A$40:$A$42,0))</f>
        <v>522073.561960767</v>
      </c>
      <c r="K1965" s="49" t="n">
        <f aca="false">H1965*INDEX('Model Inputs &amp; Assumptions'!$G$40:$G$42,MATCH('Model Inputs &amp; Assumptions'!$L$31,'Model Inputs &amp; Assumptions'!$A$40:$A$42,0))*INDEX('Model Inputs &amp; Assumptions'!$H$40:$H$42,MATCH('Model Inputs &amp; Assumptions'!$L$31,'Model Inputs &amp; Assumptions'!$A$40:$A$42,0))</f>
        <v>11511.7220412349</v>
      </c>
      <c r="L1965" s="51" t="n">
        <f aca="false">IFERROR(K1965/I1965,0)</f>
        <v>2.09556643244537</v>
      </c>
      <c r="M1965" s="49" t="n">
        <f aca="false">IFERROR(I1965/H1965,0)</f>
        <v>75.7599461138242</v>
      </c>
      <c r="N1965" s="52" t="str">
        <f aca="false">'Model Inputs &amp; Assumptions'!$L$31</f>
        <v>PRD-USIQ</v>
      </c>
      <c r="P1965" s="53" t="n">
        <v>0.170879</v>
      </c>
      <c r="Q1965" s="53" t="n">
        <v>0.191783</v>
      </c>
      <c r="R1965" s="53" t="n">
        <v>1.083854</v>
      </c>
      <c r="S1965" s="53" t="n">
        <v>0.316332</v>
      </c>
    </row>
    <row r="1966" customFormat="false" ht="15" hidden="false" customHeight="false" outlineLevel="0" collapsed="false">
      <c r="A1966" s="43" t="n">
        <v>463</v>
      </c>
      <c r="B1966" s="44" t="str">
        <f aca="false">'Model Inputs &amp; Assumptions'!$B$31</f>
        <v>YouTube — Finfluencer Pre-roll</v>
      </c>
      <c r="C1966" s="45" t="n">
        <f aca="false">ROUND(MAX(0,'Model Inputs &amp; Assumptions'!$S$31*EXP('Model Inputs &amp; Assumptions'!$T$31*P1966-'Model Inputs &amp; Assumptions'!$T$31^2/2)),0)</f>
        <v>639677</v>
      </c>
      <c r="D1966" s="46" t="n">
        <f aca="false">MIN(1,'Model Inputs &amp; Assumptions'!$U$31*EXP('Model Inputs &amp; Assumptions'!$V$31*Q1966-'Model Inputs &amp; Assumptions'!$V$31^2/2))</f>
        <v>0.489818932302442</v>
      </c>
      <c r="E1966" s="45" t="n">
        <f aca="false">ROUND(C1966*D1966,0)</f>
        <v>313326</v>
      </c>
      <c r="F1966" s="47" t="n">
        <f aca="false">MIN(1,'Model Inputs &amp; Assumptions'!$W$31*EXP('Model Inputs &amp; Assumptions'!$X$31*R1966-'Model Inputs &amp; Assumptions'!$X$31^2/2))</f>
        <v>0.0079170181002208</v>
      </c>
      <c r="G1966" s="45" t="n">
        <f aca="false">ROUND(C1966*F1966,0)</f>
        <v>5064</v>
      </c>
      <c r="H1966" s="48" t="n">
        <f aca="false">MAX(0,(C1966*'Model Inputs &amp; Assumptions'!$N$31+E1966*'Model Inputs &amp; Assumptions'!$O$31+G1966*'Model Inputs &amp; Assumptions'!$P$31)*EXP('Model Inputs &amp; Assumptions'!$Q$31*S1966-'Model Inputs &amp; Assumptions'!$Q$31^2/2))</f>
        <v>115.830255102686</v>
      </c>
      <c r="I1966" s="49" t="n">
        <f aca="false">IF('Model Inputs &amp; Assumptions'!$H$31="Fixed",'Model Inputs &amp; Assumptions'!$I$31*'Model Inputs &amp; Assumptions'!$K$31,IF('Model Inputs &amp; Assumptions'!$H$31="CPM",'Model Inputs &amp; Assumptions'!$I$31*'Model Inputs &amp; Assumptions'!$K$31*C1966/1000,IF('Model Inputs &amp; Assumptions'!$H$31="CPC",'Model Inputs &amp; Assumptions'!$I$31*'Model Inputs &amp; Assumptions'!$K$31*G1966,0)))</f>
        <v>7257.775242</v>
      </c>
      <c r="J1966" s="50" t="n">
        <f aca="false">H1966*INDEX('Model Inputs &amp; Assumptions'!$D$40:$D$42,MATCH('Model Inputs &amp; Assumptions'!$L$31,'Model Inputs &amp; Assumptions'!$A$40:$A$42,0))*INDEX('Model Inputs &amp; Assumptions'!$H$40:$H$42,MATCH('Model Inputs &amp; Assumptions'!$L$31,'Model Inputs &amp; Assumptions'!$A$40:$A$42,0))</f>
        <v>833977.836739342</v>
      </c>
      <c r="K1966" s="49" t="n">
        <f aca="false">H1966*INDEX('Model Inputs &amp; Assumptions'!$G$40:$G$42,MATCH('Model Inputs &amp; Assumptions'!$L$31,'Model Inputs &amp; Assumptions'!$A$40:$A$42,0))*INDEX('Model Inputs &amp; Assumptions'!$H$40:$H$42,MATCH('Model Inputs &amp; Assumptions'!$L$31,'Model Inputs &amp; Assumptions'!$A$40:$A$42,0))</f>
        <v>18389.2113001025</v>
      </c>
      <c r="L1966" s="51" t="n">
        <f aca="false">IFERROR(K1966/I1966,0)</f>
        <v>2.53372565103505</v>
      </c>
      <c r="M1966" s="49" t="n">
        <f aca="false">IFERROR(I1966/H1966,0)</f>
        <v>62.6587175826023</v>
      </c>
      <c r="N1966" s="52" t="str">
        <f aca="false">'Model Inputs &amp; Assumptions'!$L$31</f>
        <v>PRD-USIQ</v>
      </c>
      <c r="P1966" s="53" t="n">
        <v>1.165635</v>
      </c>
      <c r="Q1966" s="53" t="n">
        <v>-1.259191</v>
      </c>
      <c r="R1966" s="53" t="n">
        <v>2.034903</v>
      </c>
      <c r="S1966" s="53" t="n">
        <v>0.565706</v>
      </c>
    </row>
    <row r="1967" customFormat="false" ht="15" hidden="false" customHeight="false" outlineLevel="0" collapsed="false">
      <c r="A1967" s="43" t="n">
        <v>464</v>
      </c>
      <c r="B1967" s="44" t="str">
        <f aca="false">'Model Inputs &amp; Assumptions'!$B$31</f>
        <v>YouTube — Finfluencer Pre-roll</v>
      </c>
      <c r="C1967" s="45" t="n">
        <f aca="false">ROUND(MAX(0,'Model Inputs &amp; Assumptions'!$S$31*EXP('Model Inputs &amp; Assumptions'!$T$31*P1967-'Model Inputs &amp; Assumptions'!$T$31^2/2)),0)</f>
        <v>683631</v>
      </c>
      <c r="D1967" s="46" t="n">
        <f aca="false">MIN(1,'Model Inputs &amp; Assumptions'!$U$31*EXP('Model Inputs &amp; Assumptions'!$V$31*Q1967-'Model Inputs &amp; Assumptions'!$V$31^2/2))</f>
        <v>0.61534857563957</v>
      </c>
      <c r="E1967" s="45" t="n">
        <f aca="false">ROUND(C1967*D1967,0)</f>
        <v>420671</v>
      </c>
      <c r="F1967" s="47" t="n">
        <f aca="false">MIN(1,'Model Inputs &amp; Assumptions'!$W$31*EXP('Model Inputs &amp; Assumptions'!$X$31*R1967-'Model Inputs &amp; Assumptions'!$X$31^2/2))</f>
        <v>0.00638887880701944</v>
      </c>
      <c r="G1967" s="45" t="n">
        <f aca="false">ROUND(C1967*F1967,0)</f>
        <v>4368</v>
      </c>
      <c r="H1967" s="48" t="n">
        <f aca="false">MAX(0,(C1967*'Model Inputs &amp; Assumptions'!$N$31+E1967*'Model Inputs &amp; Assumptions'!$O$31+G1967*'Model Inputs &amp; Assumptions'!$P$31)*EXP('Model Inputs &amp; Assumptions'!$Q$31*S1967-'Model Inputs &amp; Assumptions'!$Q$31^2/2))</f>
        <v>92.125212440165</v>
      </c>
      <c r="I1967" s="49" t="n">
        <f aca="false">IF('Model Inputs &amp; Assumptions'!$H$31="Fixed",'Model Inputs &amp; Assumptions'!$I$31*'Model Inputs &amp; Assumptions'!$K$31,IF('Model Inputs &amp; Assumptions'!$H$31="CPM",'Model Inputs &amp; Assumptions'!$I$31*'Model Inputs &amp; Assumptions'!$K$31*C1967/1000,IF('Model Inputs &amp; Assumptions'!$H$31="CPC",'Model Inputs &amp; Assumptions'!$I$31*'Model Inputs &amp; Assumptions'!$K$31*G1967,0)))</f>
        <v>7756.477326</v>
      </c>
      <c r="J1967" s="50" t="n">
        <f aca="false">H1967*INDEX('Model Inputs &amp; Assumptions'!$D$40:$D$42,MATCH('Model Inputs &amp; Assumptions'!$L$31,'Model Inputs &amp; Assumptions'!$A$40:$A$42,0))*INDEX('Model Inputs &amp; Assumptions'!$H$40:$H$42,MATCH('Model Inputs &amp; Assumptions'!$L$31,'Model Inputs &amp; Assumptions'!$A$40:$A$42,0))</f>
        <v>663301.529569188</v>
      </c>
      <c r="K1967" s="49" t="n">
        <f aca="false">H1967*INDEX('Model Inputs &amp; Assumptions'!$G$40:$G$42,MATCH('Model Inputs &amp; Assumptions'!$L$31,'Model Inputs &amp; Assumptions'!$A$40:$A$42,0))*INDEX('Model Inputs &amp; Assumptions'!$H$40:$H$42,MATCH('Model Inputs &amp; Assumptions'!$L$31,'Model Inputs &amp; Assumptions'!$A$40:$A$42,0))</f>
        <v>14625.7987270006</v>
      </c>
      <c r="L1967" s="51" t="n">
        <f aca="false">IFERROR(K1967/I1967,0)</f>
        <v>1.88562386148856</v>
      </c>
      <c r="M1967" s="49" t="n">
        <f aca="false">IFERROR(I1967/H1967,0)</f>
        <v>84.194946427264</v>
      </c>
      <c r="N1967" s="52" t="str">
        <f aca="false">'Model Inputs &amp; Assumptions'!$L$31</f>
        <v>PRD-USIQ</v>
      </c>
      <c r="P1967" s="53" t="n">
        <v>1.40297</v>
      </c>
      <c r="Q1967" s="53" t="n">
        <v>0.370474</v>
      </c>
      <c r="R1967" s="53" t="n">
        <v>1.141337</v>
      </c>
      <c r="S1967" s="53" t="n">
        <v>-0.03564</v>
      </c>
    </row>
    <row r="1968" customFormat="false" ht="15" hidden="false" customHeight="false" outlineLevel="0" collapsed="false">
      <c r="A1968" s="43" t="n">
        <v>465</v>
      </c>
      <c r="B1968" s="44" t="str">
        <f aca="false">'Model Inputs &amp; Assumptions'!$B$31</f>
        <v>YouTube — Finfluencer Pre-roll</v>
      </c>
      <c r="C1968" s="45" t="n">
        <f aca="false">ROUND(MAX(0,'Model Inputs &amp; Assumptions'!$S$31*EXP('Model Inputs &amp; Assumptions'!$T$31*P1968-'Model Inputs &amp; Assumptions'!$T$31^2/2)),0)</f>
        <v>466951</v>
      </c>
      <c r="D1968" s="46" t="n">
        <f aca="false">MIN(1,'Model Inputs &amp; Assumptions'!$U$31*EXP('Model Inputs &amp; Assumptions'!$V$31*Q1968-'Model Inputs &amp; Assumptions'!$V$31^2/2))</f>
        <v>0.596393686548493</v>
      </c>
      <c r="E1968" s="45" t="n">
        <f aca="false">ROUND(C1968*D1968,0)</f>
        <v>278487</v>
      </c>
      <c r="F1968" s="47" t="n">
        <f aca="false">MIN(1,'Model Inputs &amp; Assumptions'!$W$31*EXP('Model Inputs &amp; Assumptions'!$X$31*R1968-'Model Inputs &amp; Assumptions'!$X$31^2/2))</f>
        <v>0.00479347909510883</v>
      </c>
      <c r="G1968" s="45" t="n">
        <f aca="false">ROUND(C1968*F1968,0)</f>
        <v>2238</v>
      </c>
      <c r="H1968" s="48" t="n">
        <f aca="false">MAX(0,(C1968*'Model Inputs &amp; Assumptions'!$N$31+E1968*'Model Inputs &amp; Assumptions'!$O$31+G1968*'Model Inputs &amp; Assumptions'!$P$31)*EXP('Model Inputs &amp; Assumptions'!$Q$31*S1968-'Model Inputs &amp; Assumptions'!$Q$31^2/2))</f>
        <v>48.2526116622302</v>
      </c>
      <c r="I1968" s="49" t="n">
        <f aca="false">IF('Model Inputs &amp; Assumptions'!$H$31="Fixed",'Model Inputs &amp; Assumptions'!$I$31*'Model Inputs &amp; Assumptions'!$K$31,IF('Model Inputs &amp; Assumptions'!$H$31="CPM",'Model Inputs &amp; Assumptions'!$I$31*'Model Inputs &amp; Assumptions'!$K$31*C1968/1000,IF('Model Inputs &amp; Assumptions'!$H$31="CPC",'Model Inputs &amp; Assumptions'!$I$31*'Model Inputs &amp; Assumptions'!$K$31*G1968,0)))</f>
        <v>5298.026046</v>
      </c>
      <c r="J1968" s="50" t="n">
        <f aca="false">H1968*INDEX('Model Inputs &amp; Assumptions'!$D$40:$D$42,MATCH('Model Inputs &amp; Assumptions'!$L$31,'Model Inputs &amp; Assumptions'!$A$40:$A$42,0))*INDEX('Model Inputs &amp; Assumptions'!$H$40:$H$42,MATCH('Model Inputs &amp; Assumptions'!$L$31,'Model Inputs &amp; Assumptions'!$A$40:$A$42,0))</f>
        <v>347418.803968057</v>
      </c>
      <c r="K1968" s="49" t="n">
        <f aca="false">H1968*INDEX('Model Inputs &amp; Assumptions'!$G$40:$G$42,MATCH('Model Inputs &amp; Assumptions'!$L$31,'Model Inputs &amp; Assumptions'!$A$40:$A$42,0))*INDEX('Model Inputs &amp; Assumptions'!$H$40:$H$42,MATCH('Model Inputs &amp; Assumptions'!$L$31,'Model Inputs &amp; Assumptions'!$A$40:$A$42,0))</f>
        <v>7660.58462749567</v>
      </c>
      <c r="L1968" s="51" t="n">
        <f aca="false">IFERROR(K1968/I1968,0)</f>
        <v>1.44593185480456</v>
      </c>
      <c r="M1968" s="49" t="n">
        <f aca="false">IFERROR(I1968/H1968,0)</f>
        <v>109.797705522892</v>
      </c>
      <c r="N1968" s="52" t="str">
        <f aca="false">'Model Inputs &amp; Assumptions'!$L$31</f>
        <v>PRD-USIQ</v>
      </c>
      <c r="P1968" s="53" t="n">
        <v>0.041568</v>
      </c>
      <c r="Q1968" s="53" t="n">
        <v>0.146989</v>
      </c>
      <c r="R1968" s="53" t="n">
        <v>-0.055756</v>
      </c>
      <c r="S1968" s="53" t="n">
        <v>-0.242717</v>
      </c>
    </row>
    <row r="1969" customFormat="false" ht="15" hidden="false" customHeight="false" outlineLevel="0" collapsed="false">
      <c r="A1969" s="43" t="n">
        <v>466</v>
      </c>
      <c r="B1969" s="44" t="str">
        <f aca="false">'Model Inputs &amp; Assumptions'!$B$31</f>
        <v>YouTube — Finfluencer Pre-roll</v>
      </c>
      <c r="C1969" s="45" t="n">
        <f aca="false">ROUND(MAX(0,'Model Inputs &amp; Assumptions'!$S$31*EXP('Model Inputs &amp; Assumptions'!$T$31*P1969-'Model Inputs &amp; Assumptions'!$T$31^2/2)),0)</f>
        <v>248450</v>
      </c>
      <c r="D1969" s="46" t="n">
        <f aca="false">MIN(1,'Model Inputs &amp; Assumptions'!$U$31*EXP('Model Inputs &amp; Assumptions'!$V$31*Q1969-'Model Inputs &amp; Assumptions'!$V$31^2/2))</f>
        <v>0.588992975185069</v>
      </c>
      <c r="E1969" s="45" t="n">
        <f aca="false">ROUND(C1969*D1969,0)</f>
        <v>146335</v>
      </c>
      <c r="F1969" s="47" t="n">
        <f aca="false">MIN(1,'Model Inputs &amp; Assumptions'!$W$31*EXP('Model Inputs &amp; Assumptions'!$X$31*R1969-'Model Inputs &amp; Assumptions'!$X$31^2/2))</f>
        <v>0.00359321962633185</v>
      </c>
      <c r="G1969" s="45" t="n">
        <f aca="false">ROUND(C1969*F1969,0)</f>
        <v>893</v>
      </c>
      <c r="H1969" s="48" t="n">
        <f aca="false">MAX(0,(C1969*'Model Inputs &amp; Assumptions'!$N$31+E1969*'Model Inputs &amp; Assumptions'!$O$31+G1969*'Model Inputs &amp; Assumptions'!$P$31)*EXP('Model Inputs &amp; Assumptions'!$Q$31*S1969-'Model Inputs &amp; Assumptions'!$Q$31^2/2))</f>
        <v>22.5368434512703</v>
      </c>
      <c r="I1969" s="49" t="n">
        <f aca="false">IF('Model Inputs &amp; Assumptions'!$H$31="Fixed",'Model Inputs &amp; Assumptions'!$I$31*'Model Inputs &amp; Assumptions'!$K$31,IF('Model Inputs &amp; Assumptions'!$H$31="CPM",'Model Inputs &amp; Assumptions'!$I$31*'Model Inputs &amp; Assumptions'!$K$31*C1969/1000,IF('Model Inputs &amp; Assumptions'!$H$31="CPC",'Model Inputs &amp; Assumptions'!$I$31*'Model Inputs &amp; Assumptions'!$K$31*G1969,0)))</f>
        <v>2818.9137</v>
      </c>
      <c r="J1969" s="50" t="n">
        <f aca="false">H1969*INDEX('Model Inputs &amp; Assumptions'!$D$40:$D$42,MATCH('Model Inputs &amp; Assumptions'!$L$31,'Model Inputs &amp; Assumptions'!$A$40:$A$42,0))*INDEX('Model Inputs &amp; Assumptions'!$H$40:$H$42,MATCH('Model Inputs &amp; Assumptions'!$L$31,'Model Inputs &amp; Assumptions'!$A$40:$A$42,0))</f>
        <v>162265.272849146</v>
      </c>
      <c r="K1969" s="49" t="n">
        <f aca="false">H1969*INDEX('Model Inputs &amp; Assumptions'!$G$40:$G$42,MATCH('Model Inputs &amp; Assumptions'!$L$31,'Model Inputs &amp; Assumptions'!$A$40:$A$42,0))*INDEX('Model Inputs &amp; Assumptions'!$H$40:$H$42,MATCH('Model Inputs &amp; Assumptions'!$L$31,'Model Inputs &amp; Assumptions'!$A$40:$A$42,0))</f>
        <v>3577.94926632367</v>
      </c>
      <c r="L1969" s="51" t="n">
        <f aca="false">IFERROR(K1969/I1969,0)</f>
        <v>1.26926527276222</v>
      </c>
      <c r="M1969" s="49" t="n">
        <f aca="false">IFERROR(I1969/H1969,0)</f>
        <v>125.080236107382</v>
      </c>
      <c r="N1969" s="52" t="str">
        <f aca="false">'Model Inputs &amp; Assumptions'!$L$31</f>
        <v>PRD-USIQ</v>
      </c>
      <c r="P1969" s="53" t="n">
        <v>-2.211939</v>
      </c>
      <c r="Q1969" s="53" t="n">
        <v>0.057798</v>
      </c>
      <c r="R1969" s="53" t="n">
        <v>-1.256622</v>
      </c>
      <c r="S1969" s="53" t="n">
        <v>-0.132966</v>
      </c>
    </row>
    <row r="1970" customFormat="false" ht="15" hidden="false" customHeight="false" outlineLevel="0" collapsed="false">
      <c r="A1970" s="43" t="n">
        <v>467</v>
      </c>
      <c r="B1970" s="44" t="str">
        <f aca="false">'Model Inputs &amp; Assumptions'!$B$31</f>
        <v>YouTube — Finfluencer Pre-roll</v>
      </c>
      <c r="C1970" s="45" t="n">
        <f aca="false">ROUND(MAX(0,'Model Inputs &amp; Assumptions'!$S$31*EXP('Model Inputs &amp; Assumptions'!$T$31*P1970-'Model Inputs &amp; Assumptions'!$T$31^2/2)),0)</f>
        <v>355902</v>
      </c>
      <c r="D1970" s="46" t="n">
        <f aca="false">MIN(1,'Model Inputs &amp; Assumptions'!$U$31*EXP('Model Inputs &amp; Assumptions'!$V$31*Q1970-'Model Inputs &amp; Assumptions'!$V$31^2/2))</f>
        <v>0.546793860591391</v>
      </c>
      <c r="E1970" s="45" t="n">
        <f aca="false">ROUND(C1970*D1970,0)</f>
        <v>194605</v>
      </c>
      <c r="F1970" s="47" t="n">
        <f aca="false">MIN(1,'Model Inputs &amp; Assumptions'!$W$31*EXP('Model Inputs &amp; Assumptions'!$X$31*R1970-'Model Inputs &amp; Assumptions'!$X$31^2/2))</f>
        <v>0.00735740723213794</v>
      </c>
      <c r="G1970" s="45" t="n">
        <f aca="false">ROUND(C1970*F1970,0)</f>
        <v>2619</v>
      </c>
      <c r="H1970" s="48" t="n">
        <f aca="false">MAX(0,(C1970*'Model Inputs &amp; Assumptions'!$N$31+E1970*'Model Inputs &amp; Assumptions'!$O$31+G1970*'Model Inputs &amp; Assumptions'!$P$31)*EXP('Model Inputs &amp; Assumptions'!$Q$31*S1970-'Model Inputs &amp; Assumptions'!$Q$31^2/2))</f>
        <v>39.0486604421051</v>
      </c>
      <c r="I1970" s="49" t="n">
        <f aca="false">IF('Model Inputs &amp; Assumptions'!$H$31="Fixed",'Model Inputs &amp; Assumptions'!$I$31*'Model Inputs &amp; Assumptions'!$K$31,IF('Model Inputs &amp; Assumptions'!$H$31="CPM",'Model Inputs &amp; Assumptions'!$I$31*'Model Inputs &amp; Assumptions'!$K$31*C1970/1000,IF('Model Inputs &amp; Assumptions'!$H$31="CPC",'Model Inputs &amp; Assumptions'!$I$31*'Model Inputs &amp; Assumptions'!$K$31*G1970,0)))</f>
        <v>4038.064092</v>
      </c>
      <c r="J1970" s="50" t="n">
        <f aca="false">H1970*INDEX('Model Inputs &amp; Assumptions'!$D$40:$D$42,MATCH('Model Inputs &amp; Assumptions'!$L$31,'Model Inputs &amp; Assumptions'!$A$40:$A$42,0))*INDEX('Model Inputs &amp; Assumptions'!$H$40:$H$42,MATCH('Model Inputs &amp; Assumptions'!$L$31,'Model Inputs &amp; Assumptions'!$A$40:$A$42,0))</f>
        <v>281150.355183157</v>
      </c>
      <c r="K1970" s="49" t="n">
        <f aca="false">H1970*INDEX('Model Inputs &amp; Assumptions'!$G$40:$G$42,MATCH('Model Inputs &amp; Assumptions'!$L$31,'Model Inputs &amp; Assumptions'!$A$40:$A$42,0))*INDEX('Model Inputs &amp; Assumptions'!$H$40:$H$42,MATCH('Model Inputs &amp; Assumptions'!$L$31,'Model Inputs &amp; Assumptions'!$A$40:$A$42,0))</f>
        <v>6199.36533178861</v>
      </c>
      <c r="L1970" s="51" t="n">
        <f aca="false">IFERROR(K1970/I1970,0)</f>
        <v>1.53523202964274</v>
      </c>
      <c r="M1970" s="49" t="n">
        <f aca="false">IFERROR(I1970/H1970,0)</f>
        <v>103.411078543577</v>
      </c>
      <c r="N1970" s="52" t="str">
        <f aca="false">'Model Inputs &amp; Assumptions'!$L$31</f>
        <v>PRD-USIQ</v>
      </c>
      <c r="P1970" s="53" t="n">
        <v>-0.928324</v>
      </c>
      <c r="Q1970" s="53" t="n">
        <v>-0.473219</v>
      </c>
      <c r="R1970" s="53" t="n">
        <v>1.729457</v>
      </c>
      <c r="S1970" s="53" t="n">
        <v>-0.796016</v>
      </c>
    </row>
    <row r="1971" customFormat="false" ht="15" hidden="false" customHeight="false" outlineLevel="0" collapsed="false">
      <c r="A1971" s="43" t="n">
        <v>468</v>
      </c>
      <c r="B1971" s="44" t="str">
        <f aca="false">'Model Inputs &amp; Assumptions'!$B$31</f>
        <v>YouTube — Finfluencer Pre-roll</v>
      </c>
      <c r="C1971" s="45" t="n">
        <f aca="false">ROUND(MAX(0,'Model Inputs &amp; Assumptions'!$S$31*EXP('Model Inputs &amp; Assumptions'!$T$31*P1971-'Model Inputs &amp; Assumptions'!$T$31^2/2)),0)</f>
        <v>377521</v>
      </c>
      <c r="D1971" s="46" t="n">
        <f aca="false">MIN(1,'Model Inputs &amp; Assumptions'!$U$31*EXP('Model Inputs &amp; Assumptions'!$V$31*Q1971-'Model Inputs &amp; Assumptions'!$V$31^2/2))</f>
        <v>0.623503311903423</v>
      </c>
      <c r="E1971" s="45" t="n">
        <f aca="false">ROUND(C1971*D1971,0)</f>
        <v>235386</v>
      </c>
      <c r="F1971" s="47" t="n">
        <f aca="false">MIN(1,'Model Inputs &amp; Assumptions'!$W$31*EXP('Model Inputs &amp; Assumptions'!$X$31*R1971-'Model Inputs &amp; Assumptions'!$X$31^2/2))</f>
        <v>0.00484092739269245</v>
      </c>
      <c r="G1971" s="45" t="n">
        <f aca="false">ROUND(C1971*F1971,0)</f>
        <v>1828</v>
      </c>
      <c r="H1971" s="48" t="n">
        <f aca="false">MAX(0,(C1971*'Model Inputs &amp; Assumptions'!$N$31+E1971*'Model Inputs &amp; Assumptions'!$O$31+G1971*'Model Inputs &amp; Assumptions'!$P$31)*EXP('Model Inputs &amp; Assumptions'!$Q$31*S1971-'Model Inputs &amp; Assumptions'!$Q$31^2/2))</f>
        <v>41.2001208994749</v>
      </c>
      <c r="I1971" s="49" t="n">
        <f aca="false">IF('Model Inputs &amp; Assumptions'!$H$31="Fixed",'Model Inputs &amp; Assumptions'!$I$31*'Model Inputs &amp; Assumptions'!$K$31,IF('Model Inputs &amp; Assumptions'!$H$31="CPM",'Model Inputs &amp; Assumptions'!$I$31*'Model Inputs &amp; Assumptions'!$K$31*C1971/1000,IF('Model Inputs &amp; Assumptions'!$H$31="CPC",'Model Inputs &amp; Assumptions'!$I$31*'Model Inputs &amp; Assumptions'!$K$31*G1971,0)))</f>
        <v>4283.353266</v>
      </c>
      <c r="J1971" s="50" t="n">
        <f aca="false">H1971*INDEX('Model Inputs &amp; Assumptions'!$D$40:$D$42,MATCH('Model Inputs &amp; Assumptions'!$L$31,'Model Inputs &amp; Assumptions'!$A$40:$A$42,0))*INDEX('Model Inputs &amp; Assumptions'!$H$40:$H$42,MATCH('Model Inputs &amp; Assumptions'!$L$31,'Model Inputs &amp; Assumptions'!$A$40:$A$42,0))</f>
        <v>296640.870476219</v>
      </c>
      <c r="K1971" s="49" t="n">
        <f aca="false">H1971*INDEX('Model Inputs &amp; Assumptions'!$G$40:$G$42,MATCH('Model Inputs &amp; Assumptions'!$L$31,'Model Inputs &amp; Assumptions'!$A$40:$A$42,0))*INDEX('Model Inputs &amp; Assumptions'!$H$40:$H$42,MATCH('Model Inputs &amp; Assumptions'!$L$31,'Model Inputs &amp; Assumptions'!$A$40:$A$42,0))</f>
        <v>6540.93119400064</v>
      </c>
      <c r="L1971" s="51" t="n">
        <f aca="false">IFERROR(K1971/I1971,0)</f>
        <v>1.5270585421755</v>
      </c>
      <c r="M1971" s="49" t="n">
        <f aca="false">IFERROR(I1971/H1971,0)</f>
        <v>103.964580017885</v>
      </c>
      <c r="N1971" s="52" t="str">
        <f aca="false">'Model Inputs &amp; Assumptions'!$L$31</f>
        <v>PRD-USIQ</v>
      </c>
      <c r="P1971" s="53" t="n">
        <v>-0.717717</v>
      </c>
      <c r="Q1971" s="53" t="n">
        <v>0.464511</v>
      </c>
      <c r="R1971" s="53" t="n">
        <v>-0.014715</v>
      </c>
      <c r="S1971" s="53" t="n">
        <v>-0.155398</v>
      </c>
    </row>
    <row r="1972" customFormat="false" ht="15" hidden="false" customHeight="false" outlineLevel="0" collapsed="false">
      <c r="A1972" s="43" t="n">
        <v>469</v>
      </c>
      <c r="B1972" s="44" t="str">
        <f aca="false">'Model Inputs &amp; Assumptions'!$B$31</f>
        <v>YouTube — Finfluencer Pre-roll</v>
      </c>
      <c r="C1972" s="45" t="n">
        <f aca="false">ROUND(MAX(0,'Model Inputs &amp; Assumptions'!$S$31*EXP('Model Inputs &amp; Assumptions'!$T$31*P1972-'Model Inputs &amp; Assumptions'!$T$31^2/2)),0)</f>
        <v>402748</v>
      </c>
      <c r="D1972" s="46" t="n">
        <f aca="false">MIN(1,'Model Inputs &amp; Assumptions'!$U$31*EXP('Model Inputs &amp; Assumptions'!$V$31*Q1972-'Model Inputs &amp; Assumptions'!$V$31^2/2))</f>
        <v>0.611132147760384</v>
      </c>
      <c r="E1972" s="45" t="n">
        <f aca="false">ROUND(C1972*D1972,0)</f>
        <v>246132</v>
      </c>
      <c r="F1972" s="47" t="n">
        <f aca="false">MIN(1,'Model Inputs &amp; Assumptions'!$W$31*EXP('Model Inputs &amp; Assumptions'!$X$31*R1972-'Model Inputs &amp; Assumptions'!$X$31^2/2))</f>
        <v>0.00686484425698191</v>
      </c>
      <c r="G1972" s="45" t="n">
        <f aca="false">ROUND(C1972*F1972,0)</f>
        <v>2765</v>
      </c>
      <c r="H1972" s="48" t="n">
        <f aca="false">MAX(0,(C1972*'Model Inputs &amp; Assumptions'!$N$31+E1972*'Model Inputs &amp; Assumptions'!$O$31+G1972*'Model Inputs &amp; Assumptions'!$P$31)*EXP('Model Inputs &amp; Assumptions'!$Q$31*S1972-'Model Inputs &amp; Assumptions'!$Q$31^2/2))</f>
        <v>63.5070666808759</v>
      </c>
      <c r="I1972" s="49" t="n">
        <f aca="false">IF('Model Inputs &amp; Assumptions'!$H$31="Fixed",'Model Inputs &amp; Assumptions'!$I$31*'Model Inputs &amp; Assumptions'!$K$31,IF('Model Inputs &amp; Assumptions'!$H$31="CPM",'Model Inputs &amp; Assumptions'!$I$31*'Model Inputs &amp; Assumptions'!$K$31*C1972/1000,IF('Model Inputs &amp; Assumptions'!$H$31="CPC",'Model Inputs &amp; Assumptions'!$I$31*'Model Inputs &amp; Assumptions'!$K$31*G1972,0)))</f>
        <v>4569.578808</v>
      </c>
      <c r="J1972" s="50" t="n">
        <f aca="false">H1972*INDEX('Model Inputs &amp; Assumptions'!$D$40:$D$42,MATCH('Model Inputs &amp; Assumptions'!$L$31,'Model Inputs &amp; Assumptions'!$A$40:$A$42,0))*INDEX('Model Inputs &amp; Assumptions'!$H$40:$H$42,MATCH('Model Inputs &amp; Assumptions'!$L$31,'Model Inputs &amp; Assumptions'!$A$40:$A$42,0))</f>
        <v>457250.880102306</v>
      </c>
      <c r="K1972" s="49" t="n">
        <f aca="false">H1972*INDEX('Model Inputs &amp; Assumptions'!$G$40:$G$42,MATCH('Model Inputs &amp; Assumptions'!$L$31,'Model Inputs &amp; Assumptions'!$A$40:$A$42,0))*INDEX('Model Inputs &amp; Assumptions'!$H$40:$H$42,MATCH('Model Inputs &amp; Assumptions'!$L$31,'Model Inputs &amp; Assumptions'!$A$40:$A$42,0))</f>
        <v>10082.3819062559</v>
      </c>
      <c r="L1972" s="51" t="n">
        <f aca="false">IFERROR(K1972/I1972,0)</f>
        <v>2.20641383591077</v>
      </c>
      <c r="M1972" s="49" t="n">
        <f aca="false">IFERROR(I1972/H1972,0)</f>
        <v>71.9538635119492</v>
      </c>
      <c r="N1972" s="52" t="str">
        <f aca="false">'Model Inputs &amp; Assumptions'!$L$31</f>
        <v>PRD-USIQ</v>
      </c>
      <c r="P1972" s="53" t="n">
        <v>-0.486698</v>
      </c>
      <c r="Q1972" s="53" t="n">
        <v>0.321362</v>
      </c>
      <c r="R1972" s="53" t="n">
        <v>1.440731</v>
      </c>
      <c r="S1972" s="53" t="n">
        <v>0.282334</v>
      </c>
    </row>
    <row r="1973" customFormat="false" ht="15" hidden="false" customHeight="false" outlineLevel="0" collapsed="false">
      <c r="A1973" s="43" t="n">
        <v>470</v>
      </c>
      <c r="B1973" s="44" t="str">
        <f aca="false">'Model Inputs &amp; Assumptions'!$B$31</f>
        <v>YouTube — Finfluencer Pre-roll</v>
      </c>
      <c r="C1973" s="45" t="n">
        <f aca="false">ROUND(MAX(0,'Model Inputs &amp; Assumptions'!$S$31*EXP('Model Inputs &amp; Assumptions'!$T$31*P1973-'Model Inputs &amp; Assumptions'!$T$31^2/2)),0)</f>
        <v>829318</v>
      </c>
      <c r="D1973" s="46" t="n">
        <f aca="false">MIN(1,'Model Inputs &amp; Assumptions'!$U$31*EXP('Model Inputs &amp; Assumptions'!$V$31*Q1973-'Model Inputs &amp; Assumptions'!$V$31^2/2))</f>
        <v>0.511994138586003</v>
      </c>
      <c r="E1973" s="45" t="n">
        <f aca="false">ROUND(C1973*D1973,0)</f>
        <v>424606</v>
      </c>
      <c r="F1973" s="47" t="n">
        <f aca="false">MIN(1,'Model Inputs &amp; Assumptions'!$W$31*EXP('Model Inputs &amp; Assumptions'!$X$31*R1973-'Model Inputs &amp; Assumptions'!$X$31^2/2))</f>
        <v>0.00409298115146665</v>
      </c>
      <c r="G1973" s="45" t="n">
        <f aca="false">ROUND(C1973*F1973,0)</f>
        <v>3394</v>
      </c>
      <c r="H1973" s="48" t="n">
        <f aca="false">MAX(0,(C1973*'Model Inputs &amp; Assumptions'!$N$31+E1973*'Model Inputs &amp; Assumptions'!$O$31+G1973*'Model Inputs &amp; Assumptions'!$P$31)*EXP('Model Inputs &amp; Assumptions'!$Q$31*S1973-'Model Inputs &amp; Assumptions'!$Q$31^2/2))</f>
        <v>66.6961971138341</v>
      </c>
      <c r="I1973" s="49" t="n">
        <f aca="false">IF('Model Inputs &amp; Assumptions'!$H$31="Fixed",'Model Inputs &amp; Assumptions'!$I$31*'Model Inputs &amp; Assumptions'!$K$31,IF('Model Inputs &amp; Assumptions'!$H$31="CPM",'Model Inputs &amp; Assumptions'!$I$31*'Model Inputs &amp; Assumptions'!$K$31*C1973/1000,IF('Model Inputs &amp; Assumptions'!$H$31="CPC",'Model Inputs &amp; Assumptions'!$I$31*'Model Inputs &amp; Assumptions'!$K$31*G1973,0)))</f>
        <v>9409.442028</v>
      </c>
      <c r="J1973" s="50" t="n">
        <f aca="false">H1973*INDEX('Model Inputs &amp; Assumptions'!$D$40:$D$42,MATCH('Model Inputs &amp; Assumptions'!$L$31,'Model Inputs &amp; Assumptions'!$A$40:$A$42,0))*INDEX('Model Inputs &amp; Assumptions'!$H$40:$H$42,MATCH('Model Inputs &amp; Assumptions'!$L$31,'Model Inputs &amp; Assumptions'!$A$40:$A$42,0))</f>
        <v>480212.619219605</v>
      </c>
      <c r="K1973" s="49" t="n">
        <f aca="false">H1973*INDEX('Model Inputs &amp; Assumptions'!$G$40:$G$42,MATCH('Model Inputs &amp; Assumptions'!$L$31,'Model Inputs &amp; Assumptions'!$A$40:$A$42,0))*INDEX('Model Inputs &amp; Assumptions'!$H$40:$H$42,MATCH('Model Inputs &amp; Assumptions'!$L$31,'Model Inputs &amp; Assumptions'!$A$40:$A$42,0))</f>
        <v>10588.6882537923</v>
      </c>
      <c r="L1973" s="51" t="n">
        <f aca="false">IFERROR(K1973/I1973,0)</f>
        <v>1.12532583996832</v>
      </c>
      <c r="M1973" s="49" t="n">
        <f aca="false">IFERROR(I1973/H1973,0)</f>
        <v>141.079138469325</v>
      </c>
      <c r="N1973" s="52" t="str">
        <f aca="false">'Model Inputs &amp; Assumptions'!$L$31</f>
        <v>PRD-USIQ</v>
      </c>
      <c r="P1973" s="53" t="n">
        <v>2.092921</v>
      </c>
      <c r="Q1973" s="53" t="n">
        <v>-0.942924</v>
      </c>
      <c r="R1973" s="53" t="n">
        <v>-0.714018</v>
      </c>
      <c r="S1973" s="53" t="n">
        <v>-0.513779</v>
      </c>
    </row>
    <row r="1974" customFormat="false" ht="15" hidden="false" customHeight="false" outlineLevel="0" collapsed="false">
      <c r="A1974" s="43" t="n">
        <v>471</v>
      </c>
      <c r="B1974" s="44" t="str">
        <f aca="false">'Model Inputs &amp; Assumptions'!$B$31</f>
        <v>YouTube — Finfluencer Pre-roll</v>
      </c>
      <c r="C1974" s="45" t="n">
        <f aca="false">ROUND(MAX(0,'Model Inputs &amp; Assumptions'!$S$31*EXP('Model Inputs &amp; Assumptions'!$T$31*P1974-'Model Inputs &amp; Assumptions'!$T$31^2/2)),0)</f>
        <v>540989</v>
      </c>
      <c r="D1974" s="46" t="n">
        <f aca="false">MIN(1,'Model Inputs &amp; Assumptions'!$U$31*EXP('Model Inputs &amp; Assumptions'!$V$31*Q1974-'Model Inputs &amp; Assumptions'!$V$31^2/2))</f>
        <v>0.647186972742941</v>
      </c>
      <c r="E1974" s="45" t="n">
        <f aca="false">ROUND(C1974*D1974,0)</f>
        <v>350121</v>
      </c>
      <c r="F1974" s="47" t="n">
        <f aca="false">MIN(1,'Model Inputs &amp; Assumptions'!$W$31*EXP('Model Inputs &amp; Assumptions'!$X$31*R1974-'Model Inputs &amp; Assumptions'!$X$31^2/2))</f>
        <v>0.00443043845160642</v>
      </c>
      <c r="G1974" s="45" t="n">
        <f aca="false">ROUND(C1974*F1974,0)</f>
        <v>2397</v>
      </c>
      <c r="H1974" s="48" t="n">
        <f aca="false">MAX(0,(C1974*'Model Inputs &amp; Assumptions'!$N$31+E1974*'Model Inputs &amp; Assumptions'!$O$31+G1974*'Model Inputs &amp; Assumptions'!$P$31)*EXP('Model Inputs &amp; Assumptions'!$Q$31*S1974-'Model Inputs &amp; Assumptions'!$Q$31^2/2))</f>
        <v>64.3426884522213</v>
      </c>
      <c r="I1974" s="49" t="n">
        <f aca="false">IF('Model Inputs &amp; Assumptions'!$H$31="Fixed",'Model Inputs &amp; Assumptions'!$I$31*'Model Inputs &amp; Assumptions'!$K$31,IF('Model Inputs &amp; Assumptions'!$H$31="CPM",'Model Inputs &amp; Assumptions'!$I$31*'Model Inputs &amp; Assumptions'!$K$31*C1974/1000,IF('Model Inputs &amp; Assumptions'!$H$31="CPC",'Model Inputs &amp; Assumptions'!$I$31*'Model Inputs &amp; Assumptions'!$K$31*G1974,0)))</f>
        <v>6138.061194</v>
      </c>
      <c r="J1974" s="50" t="n">
        <f aca="false">H1974*INDEX('Model Inputs &amp; Assumptions'!$D$40:$D$42,MATCH('Model Inputs &amp; Assumptions'!$L$31,'Model Inputs &amp; Assumptions'!$A$40:$A$42,0))*INDEX('Model Inputs &amp; Assumptions'!$H$40:$H$42,MATCH('Model Inputs &amp; Assumptions'!$L$31,'Model Inputs &amp; Assumptions'!$A$40:$A$42,0))</f>
        <v>463267.356855993</v>
      </c>
      <c r="K1974" s="49" t="n">
        <f aca="false">H1974*INDEX('Model Inputs &amp; Assumptions'!$G$40:$G$42,MATCH('Model Inputs &amp; Assumptions'!$L$31,'Model Inputs &amp; Assumptions'!$A$40:$A$42,0))*INDEX('Model Inputs &amp; Assumptions'!$H$40:$H$42,MATCH('Model Inputs &amp; Assumptions'!$L$31,'Model Inputs &amp; Assumptions'!$A$40:$A$42,0))</f>
        <v>10215.0452186746</v>
      </c>
      <c r="L1974" s="51" t="n">
        <f aca="false">IFERROR(K1974/I1974,0)</f>
        <v>1.66421364919919</v>
      </c>
      <c r="M1974" s="49" t="n">
        <f aca="false">IFERROR(I1974/H1974,0)</f>
        <v>95.3964054293118</v>
      </c>
      <c r="N1974" s="52" t="str">
        <f aca="false">'Model Inputs &amp; Assumptions'!$L$31</f>
        <v>PRD-USIQ</v>
      </c>
      <c r="P1974" s="53" t="n">
        <v>0.56719</v>
      </c>
      <c r="Q1974" s="53" t="n">
        <v>0.730805</v>
      </c>
      <c r="R1974" s="53" t="n">
        <v>-0.383914</v>
      </c>
      <c r="S1974" s="53" t="n">
        <v>0.191835</v>
      </c>
    </row>
    <row r="1975" customFormat="false" ht="15" hidden="false" customHeight="false" outlineLevel="0" collapsed="false">
      <c r="A1975" s="43" t="n">
        <v>472</v>
      </c>
      <c r="B1975" s="44" t="str">
        <f aca="false">'Model Inputs &amp; Assumptions'!$B$31</f>
        <v>YouTube — Finfluencer Pre-roll</v>
      </c>
      <c r="C1975" s="45" t="n">
        <f aca="false">ROUND(MAX(0,'Model Inputs &amp; Assumptions'!$S$31*EXP('Model Inputs &amp; Assumptions'!$T$31*P1975-'Model Inputs &amp; Assumptions'!$T$31^2/2)),0)</f>
        <v>462677</v>
      </c>
      <c r="D1975" s="46" t="n">
        <f aca="false">MIN(1,'Model Inputs &amp; Assumptions'!$U$31*EXP('Model Inputs &amp; Assumptions'!$V$31*Q1975-'Model Inputs &amp; Assumptions'!$V$31^2/2))</f>
        <v>0.62346411971706</v>
      </c>
      <c r="E1975" s="45" t="n">
        <f aca="false">ROUND(C1975*D1975,0)</f>
        <v>288463</v>
      </c>
      <c r="F1975" s="47" t="n">
        <f aca="false">MIN(1,'Model Inputs &amp; Assumptions'!$W$31*EXP('Model Inputs &amp; Assumptions'!$X$31*R1975-'Model Inputs &amp; Assumptions'!$X$31^2/2))</f>
        <v>0.00477252155178212</v>
      </c>
      <c r="G1975" s="45" t="n">
        <f aca="false">ROUND(C1975*F1975,0)</f>
        <v>2208</v>
      </c>
      <c r="H1975" s="48" t="n">
        <f aca="false">MAX(0,(C1975*'Model Inputs &amp; Assumptions'!$N$31+E1975*'Model Inputs &amp; Assumptions'!$O$31+G1975*'Model Inputs &amp; Assumptions'!$P$31)*EXP('Model Inputs &amp; Assumptions'!$Q$31*S1975-'Model Inputs &amp; Assumptions'!$Q$31^2/2))</f>
        <v>44.6955273117538</v>
      </c>
      <c r="I1975" s="49" t="n">
        <f aca="false">IF('Model Inputs &amp; Assumptions'!$H$31="Fixed",'Model Inputs &amp; Assumptions'!$I$31*'Model Inputs &amp; Assumptions'!$K$31,IF('Model Inputs &amp; Assumptions'!$H$31="CPM",'Model Inputs &amp; Assumptions'!$I$31*'Model Inputs &amp; Assumptions'!$K$31*C1975/1000,IF('Model Inputs &amp; Assumptions'!$H$31="CPC",'Model Inputs &amp; Assumptions'!$I$31*'Model Inputs &amp; Assumptions'!$K$31*G1975,0)))</f>
        <v>5249.533242</v>
      </c>
      <c r="J1975" s="50" t="n">
        <f aca="false">H1975*INDEX('Model Inputs &amp; Assumptions'!$D$40:$D$42,MATCH('Model Inputs &amp; Assumptions'!$L$31,'Model Inputs &amp; Assumptions'!$A$40:$A$42,0))*INDEX('Model Inputs &amp; Assumptions'!$H$40:$H$42,MATCH('Model Inputs &amp; Assumptions'!$L$31,'Model Inputs &amp; Assumptions'!$A$40:$A$42,0))</f>
        <v>321807.796644627</v>
      </c>
      <c r="K1975" s="49" t="n">
        <f aca="false">H1975*INDEX('Model Inputs &amp; Assumptions'!$G$40:$G$42,MATCH('Model Inputs &amp; Assumptions'!$L$31,'Model Inputs &amp; Assumptions'!$A$40:$A$42,0))*INDEX('Model Inputs &amp; Assumptions'!$H$40:$H$42,MATCH('Model Inputs &amp; Assumptions'!$L$31,'Model Inputs &amp; Assumptions'!$A$40:$A$42,0))</f>
        <v>7095.86191601403</v>
      </c>
      <c r="L1975" s="51" t="n">
        <f aca="false">IFERROR(K1975/I1975,0)</f>
        <v>1.35171292168265</v>
      </c>
      <c r="M1975" s="49" t="n">
        <f aca="false">IFERROR(I1975/H1975,0)</f>
        <v>117.450974577036</v>
      </c>
      <c r="N1975" s="52" t="str">
        <f aca="false">'Model Inputs &amp; Assumptions'!$L$31</f>
        <v>PRD-USIQ</v>
      </c>
      <c r="P1975" s="53" t="n">
        <v>0.008724</v>
      </c>
      <c r="Q1975" s="53" t="n">
        <v>0.464062</v>
      </c>
      <c r="R1975" s="53" t="n">
        <v>-0.074013</v>
      </c>
      <c r="S1975" s="53" t="n">
        <v>-0.479259</v>
      </c>
    </row>
    <row r="1976" customFormat="false" ht="15" hidden="false" customHeight="false" outlineLevel="0" collapsed="false">
      <c r="A1976" s="43" t="n">
        <v>473</v>
      </c>
      <c r="B1976" s="44" t="str">
        <f aca="false">'Model Inputs &amp; Assumptions'!$B$31</f>
        <v>YouTube — Finfluencer Pre-roll</v>
      </c>
      <c r="C1976" s="45" t="n">
        <f aca="false">ROUND(MAX(0,'Model Inputs &amp; Assumptions'!$S$31*EXP('Model Inputs &amp; Assumptions'!$T$31*P1976-'Model Inputs &amp; Assumptions'!$T$31^2/2)),0)</f>
        <v>693022</v>
      </c>
      <c r="D1976" s="46" t="n">
        <f aca="false">MIN(1,'Model Inputs &amp; Assumptions'!$U$31*EXP('Model Inputs &amp; Assumptions'!$V$31*Q1976-'Model Inputs &amp; Assumptions'!$V$31^2/2))</f>
        <v>0.671579363188357</v>
      </c>
      <c r="E1976" s="45" t="n">
        <f aca="false">ROUND(C1976*D1976,0)</f>
        <v>465419</v>
      </c>
      <c r="F1976" s="47" t="n">
        <f aca="false">MIN(1,'Model Inputs &amp; Assumptions'!$W$31*EXP('Model Inputs &amp; Assumptions'!$X$31*R1976-'Model Inputs &amp; Assumptions'!$X$31^2/2))</f>
        <v>0.00708176288971716</v>
      </c>
      <c r="G1976" s="45" t="n">
        <f aca="false">ROUND(C1976*F1976,0)</f>
        <v>4908</v>
      </c>
      <c r="H1976" s="48" t="n">
        <f aca="false">MAX(0,(C1976*'Model Inputs &amp; Assumptions'!$N$31+E1976*'Model Inputs &amp; Assumptions'!$O$31+G1976*'Model Inputs &amp; Assumptions'!$P$31)*EXP('Model Inputs &amp; Assumptions'!$Q$31*S1976-'Model Inputs &amp; Assumptions'!$Q$31^2/2))</f>
        <v>67.0833039877997</v>
      </c>
      <c r="I1976" s="49" t="n">
        <f aca="false">IF('Model Inputs &amp; Assumptions'!$H$31="Fixed",'Model Inputs &amp; Assumptions'!$I$31*'Model Inputs &amp; Assumptions'!$K$31,IF('Model Inputs &amp; Assumptions'!$H$31="CPM",'Model Inputs &amp; Assumptions'!$I$31*'Model Inputs &amp; Assumptions'!$K$31*C1976/1000,IF('Model Inputs &amp; Assumptions'!$H$31="CPC",'Model Inputs &amp; Assumptions'!$I$31*'Model Inputs &amp; Assumptions'!$K$31*G1976,0)))</f>
        <v>7863.027612</v>
      </c>
      <c r="J1976" s="50" t="n">
        <f aca="false">H1976*INDEX('Model Inputs &amp; Assumptions'!$D$40:$D$42,MATCH('Model Inputs &amp; Assumptions'!$L$31,'Model Inputs &amp; Assumptions'!$A$40:$A$42,0))*INDEX('Model Inputs &amp; Assumptions'!$H$40:$H$42,MATCH('Model Inputs &amp; Assumptions'!$L$31,'Model Inputs &amp; Assumptions'!$A$40:$A$42,0))</f>
        <v>482999.788712158</v>
      </c>
      <c r="K1976" s="49" t="n">
        <f aca="false">H1976*INDEX('Model Inputs &amp; Assumptions'!$G$40:$G$42,MATCH('Model Inputs &amp; Assumptions'!$L$31,'Model Inputs &amp; Assumptions'!$A$40:$A$42,0))*INDEX('Model Inputs &amp; Assumptions'!$H$40:$H$42,MATCH('Model Inputs &amp; Assumptions'!$L$31,'Model Inputs &amp; Assumptions'!$A$40:$A$42,0))</f>
        <v>10650.1453411031</v>
      </c>
      <c r="L1976" s="51" t="n">
        <f aca="false">IFERROR(K1976/I1976,0)</f>
        <v>1.35445859618369</v>
      </c>
      <c r="M1976" s="49" t="n">
        <f aca="false">IFERROR(I1976/H1976,0)</f>
        <v>117.212885242355</v>
      </c>
      <c r="N1976" s="52" t="str">
        <f aca="false">'Model Inputs &amp; Assumptions'!$L$31</f>
        <v>PRD-USIQ</v>
      </c>
      <c r="P1976" s="53" t="n">
        <v>1.4517</v>
      </c>
      <c r="Q1976" s="53" t="n">
        <v>0.995069</v>
      </c>
      <c r="R1976" s="53" t="n">
        <v>1.570354</v>
      </c>
      <c r="S1976" s="53" t="n">
        <v>-1.26007</v>
      </c>
    </row>
    <row r="1977" customFormat="false" ht="15" hidden="false" customHeight="false" outlineLevel="0" collapsed="false">
      <c r="A1977" s="43" t="n">
        <v>474</v>
      </c>
      <c r="B1977" s="44" t="str">
        <f aca="false">'Model Inputs &amp; Assumptions'!$B$31</f>
        <v>YouTube — Finfluencer Pre-roll</v>
      </c>
      <c r="C1977" s="45" t="n">
        <f aca="false">ROUND(MAX(0,'Model Inputs &amp; Assumptions'!$S$31*EXP('Model Inputs &amp; Assumptions'!$T$31*P1977-'Model Inputs &amp; Assumptions'!$T$31^2/2)),0)</f>
        <v>367571</v>
      </c>
      <c r="D1977" s="46" t="n">
        <f aca="false">MIN(1,'Model Inputs &amp; Assumptions'!$U$31*EXP('Model Inputs &amp; Assumptions'!$V$31*Q1977-'Model Inputs &amp; Assumptions'!$V$31^2/2))</f>
        <v>0.738240001413269</v>
      </c>
      <c r="E1977" s="45" t="n">
        <f aca="false">ROUND(C1977*D1977,0)</f>
        <v>271356</v>
      </c>
      <c r="F1977" s="47" t="n">
        <f aca="false">MIN(1,'Model Inputs &amp; Assumptions'!$W$31*EXP('Model Inputs &amp; Assumptions'!$X$31*R1977-'Model Inputs &amp; Assumptions'!$X$31^2/2))</f>
        <v>0.00487968794651455</v>
      </c>
      <c r="G1977" s="45" t="n">
        <f aca="false">ROUND(C1977*F1977,0)</f>
        <v>1794</v>
      </c>
      <c r="H1977" s="48" t="n">
        <f aca="false">MAX(0,(C1977*'Model Inputs &amp; Assumptions'!$N$31+E1977*'Model Inputs &amp; Assumptions'!$O$31+G1977*'Model Inputs &amp; Assumptions'!$P$31)*EXP('Model Inputs &amp; Assumptions'!$Q$31*S1977-'Model Inputs &amp; Assumptions'!$Q$31^2/2))</f>
        <v>56.4877531101578</v>
      </c>
      <c r="I1977" s="49" t="n">
        <f aca="false">IF('Model Inputs &amp; Assumptions'!$H$31="Fixed",'Model Inputs &amp; Assumptions'!$I$31*'Model Inputs &amp; Assumptions'!$K$31,IF('Model Inputs &amp; Assumptions'!$H$31="CPM",'Model Inputs &amp; Assumptions'!$I$31*'Model Inputs &amp; Assumptions'!$K$31*C1977/1000,IF('Model Inputs &amp; Assumptions'!$H$31="CPC",'Model Inputs &amp; Assumptions'!$I$31*'Model Inputs &amp; Assumptions'!$K$31*G1977,0)))</f>
        <v>4170.460566</v>
      </c>
      <c r="J1977" s="50" t="n">
        <f aca="false">H1977*INDEX('Model Inputs &amp; Assumptions'!$D$40:$D$42,MATCH('Model Inputs &amp; Assumptions'!$L$31,'Model Inputs &amp; Assumptions'!$A$40:$A$42,0))*INDEX('Model Inputs &amp; Assumptions'!$H$40:$H$42,MATCH('Model Inputs &amp; Assumptions'!$L$31,'Model Inputs &amp; Assumptions'!$A$40:$A$42,0))</f>
        <v>406711.822393136</v>
      </c>
      <c r="K1977" s="49" t="n">
        <f aca="false">H1977*INDEX('Model Inputs &amp; Assumptions'!$G$40:$G$42,MATCH('Model Inputs &amp; Assumptions'!$L$31,'Model Inputs &amp; Assumptions'!$A$40:$A$42,0))*INDEX('Model Inputs &amp; Assumptions'!$H$40:$H$42,MATCH('Model Inputs &amp; Assumptions'!$L$31,'Model Inputs &amp; Assumptions'!$A$40:$A$42,0))</f>
        <v>8967.99568376865</v>
      </c>
      <c r="L1977" s="51" t="n">
        <f aca="false">IFERROR(K1977/I1977,0)</f>
        <v>2.15036098336019</v>
      </c>
      <c r="M1977" s="49" t="n">
        <f aca="false">IFERROR(I1977/H1977,0)</f>
        <v>73.8294645543275</v>
      </c>
      <c r="N1977" s="52" t="str">
        <f aca="false">'Model Inputs &amp; Assumptions'!$L$31</f>
        <v>PRD-USIQ</v>
      </c>
      <c r="P1977" s="53" t="n">
        <v>-0.81311</v>
      </c>
      <c r="Q1977" s="53" t="n">
        <v>1.671046</v>
      </c>
      <c r="R1977" s="53" t="n">
        <v>0.018514</v>
      </c>
      <c r="S1977" s="53" t="n">
        <v>0.603629</v>
      </c>
    </row>
    <row r="1978" customFormat="false" ht="15" hidden="false" customHeight="false" outlineLevel="0" collapsed="false">
      <c r="A1978" s="43" t="n">
        <v>475</v>
      </c>
      <c r="B1978" s="44" t="str">
        <f aca="false">'Model Inputs &amp; Assumptions'!$B$31</f>
        <v>YouTube — Finfluencer Pre-roll</v>
      </c>
      <c r="C1978" s="45" t="n">
        <f aca="false">ROUND(MAX(0,'Model Inputs &amp; Assumptions'!$S$31*EXP('Model Inputs &amp; Assumptions'!$T$31*P1978-'Model Inputs &amp; Assumptions'!$T$31^2/2)),0)</f>
        <v>616318</v>
      </c>
      <c r="D1978" s="46" t="n">
        <f aca="false">MIN(1,'Model Inputs &amp; Assumptions'!$U$31*EXP('Model Inputs &amp; Assumptions'!$V$31*Q1978-'Model Inputs &amp; Assumptions'!$V$31^2/2))</f>
        <v>0.6650716484617</v>
      </c>
      <c r="E1978" s="45" t="n">
        <f aca="false">ROUND(C1978*D1978,0)</f>
        <v>409896</v>
      </c>
      <c r="F1978" s="47" t="n">
        <f aca="false">MIN(1,'Model Inputs &amp; Assumptions'!$W$31*EXP('Model Inputs &amp; Assumptions'!$X$31*R1978-'Model Inputs &amp; Assumptions'!$X$31^2/2))</f>
        <v>0.00450417305419608</v>
      </c>
      <c r="G1978" s="45" t="n">
        <f aca="false">ROUND(C1978*F1978,0)</f>
        <v>2776</v>
      </c>
      <c r="H1978" s="48" t="n">
        <f aca="false">MAX(0,(C1978*'Model Inputs &amp; Assumptions'!$N$31+E1978*'Model Inputs &amp; Assumptions'!$O$31+G1978*'Model Inputs &amp; Assumptions'!$P$31)*EXP('Model Inputs &amp; Assumptions'!$Q$31*S1978-'Model Inputs &amp; Assumptions'!$Q$31^2/2))</f>
        <v>95.4090137421064</v>
      </c>
      <c r="I1978" s="49" t="n">
        <f aca="false">IF('Model Inputs &amp; Assumptions'!$H$31="Fixed",'Model Inputs &amp; Assumptions'!$I$31*'Model Inputs &amp; Assumptions'!$K$31,IF('Model Inputs &amp; Assumptions'!$H$31="CPM",'Model Inputs &amp; Assumptions'!$I$31*'Model Inputs &amp; Assumptions'!$K$31*C1978/1000,IF('Model Inputs &amp; Assumptions'!$H$31="CPC",'Model Inputs &amp; Assumptions'!$I$31*'Model Inputs &amp; Assumptions'!$K$31*G1978,0)))</f>
        <v>6992.744028</v>
      </c>
      <c r="J1978" s="50" t="n">
        <f aca="false">H1978*INDEX('Model Inputs &amp; Assumptions'!$D$40:$D$42,MATCH('Model Inputs &amp; Assumptions'!$L$31,'Model Inputs &amp; Assumptions'!$A$40:$A$42,0))*INDEX('Model Inputs &amp; Assumptions'!$H$40:$H$42,MATCH('Model Inputs &amp; Assumptions'!$L$31,'Model Inputs &amp; Assumptions'!$A$40:$A$42,0))</f>
        <v>686944.898943166</v>
      </c>
      <c r="K1978" s="49" t="n">
        <f aca="false">H1978*INDEX('Model Inputs &amp; Assumptions'!$G$40:$G$42,MATCH('Model Inputs &amp; Assumptions'!$L$31,'Model Inputs &amp; Assumptions'!$A$40:$A$42,0))*INDEX('Model Inputs &amp; Assumptions'!$H$40:$H$42,MATCH('Model Inputs &amp; Assumptions'!$L$31,'Model Inputs &amp; Assumptions'!$A$40:$A$42,0))</f>
        <v>15147.1350216968</v>
      </c>
      <c r="L1978" s="51" t="n">
        <f aca="false">IFERROR(K1978/I1978,0)</f>
        <v>2.16612176293675</v>
      </c>
      <c r="M1978" s="49" t="n">
        <f aca="false">IFERROR(I1978/H1978,0)</f>
        <v>73.2922787243311</v>
      </c>
      <c r="N1978" s="52" t="str">
        <f aca="false">'Model Inputs &amp; Assumptions'!$L$31</f>
        <v>PRD-USIQ</v>
      </c>
      <c r="P1978" s="53" t="n">
        <v>1.032777</v>
      </c>
      <c r="Q1978" s="53" t="n">
        <v>0.925516</v>
      </c>
      <c r="R1978" s="53" t="n">
        <v>-0.31514</v>
      </c>
      <c r="S1978" s="53" t="n">
        <v>0.884404</v>
      </c>
    </row>
    <row r="1979" customFormat="false" ht="15" hidden="false" customHeight="false" outlineLevel="0" collapsed="false">
      <c r="A1979" s="43" t="n">
        <v>476</v>
      </c>
      <c r="B1979" s="44" t="str">
        <f aca="false">'Model Inputs &amp; Assumptions'!$B$31</f>
        <v>YouTube — Finfluencer Pre-roll</v>
      </c>
      <c r="C1979" s="45" t="n">
        <f aca="false">ROUND(MAX(0,'Model Inputs &amp; Assumptions'!$S$31*EXP('Model Inputs &amp; Assumptions'!$T$31*P1979-'Model Inputs &amp; Assumptions'!$T$31^2/2)),0)</f>
        <v>284979</v>
      </c>
      <c r="D1979" s="46" t="n">
        <f aca="false">MIN(1,'Model Inputs &amp; Assumptions'!$U$31*EXP('Model Inputs &amp; Assumptions'!$V$31*Q1979-'Model Inputs &amp; Assumptions'!$V$31^2/2))</f>
        <v>0.654771956435081</v>
      </c>
      <c r="E1979" s="45" t="n">
        <f aca="false">ROUND(C1979*D1979,0)</f>
        <v>186596</v>
      </c>
      <c r="F1979" s="47" t="n">
        <f aca="false">MIN(1,'Model Inputs &amp; Assumptions'!$W$31*EXP('Model Inputs &amp; Assumptions'!$X$31*R1979-'Model Inputs &amp; Assumptions'!$X$31^2/2))</f>
        <v>0.00779163180626277</v>
      </c>
      <c r="G1979" s="45" t="n">
        <f aca="false">ROUND(C1979*F1979,0)</f>
        <v>2220</v>
      </c>
      <c r="H1979" s="48" t="n">
        <f aca="false">MAX(0,(C1979*'Model Inputs &amp; Assumptions'!$N$31+E1979*'Model Inputs &amp; Assumptions'!$O$31+G1979*'Model Inputs &amp; Assumptions'!$P$31)*EXP('Model Inputs &amp; Assumptions'!$Q$31*S1979-'Model Inputs &amp; Assumptions'!$Q$31^2/2))</f>
        <v>42.9036918818568</v>
      </c>
      <c r="I1979" s="49" t="n">
        <f aca="false">IF('Model Inputs &amp; Assumptions'!$H$31="Fixed",'Model Inputs &amp; Assumptions'!$I$31*'Model Inputs &amp; Assumptions'!$K$31,IF('Model Inputs &amp; Assumptions'!$H$31="CPM",'Model Inputs &amp; Assumptions'!$I$31*'Model Inputs &amp; Assumptions'!$K$31*C1979/1000,IF('Model Inputs &amp; Assumptions'!$H$31="CPC",'Model Inputs &amp; Assumptions'!$I$31*'Model Inputs &amp; Assumptions'!$K$31*G1979,0)))</f>
        <v>3233.371734</v>
      </c>
      <c r="J1979" s="50" t="n">
        <f aca="false">H1979*INDEX('Model Inputs &amp; Assumptions'!$D$40:$D$42,MATCH('Model Inputs &amp; Assumptions'!$L$31,'Model Inputs &amp; Assumptions'!$A$40:$A$42,0))*INDEX('Model Inputs &amp; Assumptions'!$H$40:$H$42,MATCH('Model Inputs &amp; Assumptions'!$L$31,'Model Inputs &amp; Assumptions'!$A$40:$A$42,0))</f>
        <v>308906.581549369</v>
      </c>
      <c r="K1979" s="49" t="n">
        <f aca="false">H1979*INDEX('Model Inputs &amp; Assumptions'!$G$40:$G$42,MATCH('Model Inputs &amp; Assumptions'!$L$31,'Model Inputs &amp; Assumptions'!$A$40:$A$42,0))*INDEX('Model Inputs &amp; Assumptions'!$H$40:$H$42,MATCH('Model Inputs &amp; Assumptions'!$L$31,'Model Inputs &amp; Assumptions'!$A$40:$A$42,0))</f>
        <v>6811.39012316358</v>
      </c>
      <c r="L1979" s="51" t="n">
        <f aca="false">IFERROR(K1979/I1979,0)</f>
        <v>2.10659048309834</v>
      </c>
      <c r="M1979" s="49" t="n">
        <f aca="false">IFERROR(I1979/H1979,0)</f>
        <v>75.3634848698729</v>
      </c>
      <c r="N1979" s="52" t="str">
        <f aca="false">'Model Inputs &amp; Assumptions'!$L$31</f>
        <v>PRD-USIQ</v>
      </c>
      <c r="P1979" s="53" t="n">
        <v>-1.722038</v>
      </c>
      <c r="Q1979" s="53" t="n">
        <v>0.814032</v>
      </c>
      <c r="R1979" s="53" t="n">
        <v>1.968385</v>
      </c>
      <c r="S1979" s="53" t="n">
        <v>-0.159215</v>
      </c>
    </row>
    <row r="1980" customFormat="false" ht="15" hidden="false" customHeight="false" outlineLevel="0" collapsed="false">
      <c r="A1980" s="43" t="n">
        <v>477</v>
      </c>
      <c r="B1980" s="44" t="str">
        <f aca="false">'Model Inputs &amp; Assumptions'!$B$31</f>
        <v>YouTube — Finfluencer Pre-roll</v>
      </c>
      <c r="C1980" s="45" t="n">
        <f aca="false">ROUND(MAX(0,'Model Inputs &amp; Assumptions'!$S$31*EXP('Model Inputs &amp; Assumptions'!$T$31*P1980-'Model Inputs &amp; Assumptions'!$T$31^2/2)),0)</f>
        <v>641559</v>
      </c>
      <c r="D1980" s="46" t="n">
        <f aca="false">MIN(1,'Model Inputs &amp; Assumptions'!$U$31*EXP('Model Inputs &amp; Assumptions'!$V$31*Q1980-'Model Inputs &amp; Assumptions'!$V$31^2/2))</f>
        <v>0.608522809728826</v>
      </c>
      <c r="E1980" s="45" t="n">
        <f aca="false">ROUND(C1980*D1980,0)</f>
        <v>390403</v>
      </c>
      <c r="F1980" s="47" t="n">
        <f aca="false">MIN(1,'Model Inputs &amp; Assumptions'!$W$31*EXP('Model Inputs &amp; Assumptions'!$X$31*R1980-'Model Inputs &amp; Assumptions'!$X$31^2/2))</f>
        <v>0.00473746296249085</v>
      </c>
      <c r="G1980" s="45" t="n">
        <f aca="false">ROUND(C1980*F1980,0)</f>
        <v>3039</v>
      </c>
      <c r="H1980" s="48" t="n">
        <f aca="false">MAX(0,(C1980*'Model Inputs &amp; Assumptions'!$N$31+E1980*'Model Inputs &amp; Assumptions'!$O$31+G1980*'Model Inputs &amp; Assumptions'!$P$31)*EXP('Model Inputs &amp; Assumptions'!$Q$31*S1980-'Model Inputs &amp; Assumptions'!$Q$31^2/2))</f>
        <v>60.4412666376754</v>
      </c>
      <c r="I1980" s="49" t="n">
        <f aca="false">IF('Model Inputs &amp; Assumptions'!$H$31="Fixed",'Model Inputs &amp; Assumptions'!$I$31*'Model Inputs &amp; Assumptions'!$K$31,IF('Model Inputs &amp; Assumptions'!$H$31="CPM",'Model Inputs &amp; Assumptions'!$I$31*'Model Inputs &amp; Assumptions'!$K$31*C1980/1000,IF('Model Inputs &amp; Assumptions'!$H$31="CPC",'Model Inputs &amp; Assumptions'!$I$31*'Model Inputs &amp; Assumptions'!$K$31*G1980,0)))</f>
        <v>7279.128414</v>
      </c>
      <c r="J1980" s="50" t="n">
        <f aca="false">H1980*INDEX('Model Inputs &amp; Assumptions'!$D$40:$D$42,MATCH('Model Inputs &amp; Assumptions'!$L$31,'Model Inputs &amp; Assumptions'!$A$40:$A$42,0))*INDEX('Model Inputs &amp; Assumptions'!$H$40:$H$42,MATCH('Model Inputs &amp; Assumptions'!$L$31,'Model Inputs &amp; Assumptions'!$A$40:$A$42,0))</f>
        <v>435177.119791263</v>
      </c>
      <c r="K1980" s="49" t="n">
        <f aca="false">H1980*INDEX('Model Inputs &amp; Assumptions'!$G$40:$G$42,MATCH('Model Inputs &amp; Assumptions'!$L$31,'Model Inputs &amp; Assumptions'!$A$40:$A$42,0))*INDEX('Model Inputs &amp; Assumptions'!$H$40:$H$42,MATCH('Model Inputs &amp; Assumptions'!$L$31,'Model Inputs &amp; Assumptions'!$A$40:$A$42,0))</f>
        <v>9595.65549139735</v>
      </c>
      <c r="L1980" s="51" t="n">
        <f aca="false">IFERROR(K1980/I1980,0)</f>
        <v>1.31824236991642</v>
      </c>
      <c r="M1980" s="49" t="n">
        <f aca="false">IFERROR(I1980/H1980,0)</f>
        <v>120.433088499549</v>
      </c>
      <c r="N1980" s="52" t="str">
        <f aca="false">'Model Inputs &amp; Assumptions'!$L$31</f>
        <v>PRD-USIQ</v>
      </c>
      <c r="P1980" s="53" t="n">
        <v>1.176127</v>
      </c>
      <c r="Q1980" s="53" t="n">
        <v>0.290799</v>
      </c>
      <c r="R1980" s="53" t="n">
        <v>-0.104734</v>
      </c>
      <c r="S1980" s="53" t="n">
        <v>-0.51002</v>
      </c>
    </row>
    <row r="1981" customFormat="false" ht="15" hidden="false" customHeight="false" outlineLevel="0" collapsed="false">
      <c r="A1981" s="43" t="n">
        <v>478</v>
      </c>
      <c r="B1981" s="44" t="str">
        <f aca="false">'Model Inputs &amp; Assumptions'!$B$31</f>
        <v>YouTube — Finfluencer Pre-roll</v>
      </c>
      <c r="C1981" s="45" t="n">
        <f aca="false">ROUND(MAX(0,'Model Inputs &amp; Assumptions'!$S$31*EXP('Model Inputs &amp; Assumptions'!$T$31*P1981-'Model Inputs &amp; Assumptions'!$T$31^2/2)),0)</f>
        <v>389887</v>
      </c>
      <c r="D1981" s="46" t="n">
        <f aca="false">MIN(1,'Model Inputs &amp; Assumptions'!$U$31*EXP('Model Inputs &amp; Assumptions'!$V$31*Q1981-'Model Inputs &amp; Assumptions'!$V$31^2/2))</f>
        <v>0.606971123171943</v>
      </c>
      <c r="E1981" s="45" t="n">
        <f aca="false">ROUND(C1981*D1981,0)</f>
        <v>236650</v>
      </c>
      <c r="F1981" s="47" t="n">
        <f aca="false">MIN(1,'Model Inputs &amp; Assumptions'!$W$31*EXP('Model Inputs &amp; Assumptions'!$X$31*R1981-'Model Inputs &amp; Assumptions'!$X$31^2/2))</f>
        <v>0.00662959523916267</v>
      </c>
      <c r="G1981" s="45" t="n">
        <f aca="false">ROUND(C1981*F1981,0)</f>
        <v>2585</v>
      </c>
      <c r="H1981" s="48" t="n">
        <f aca="false">MAX(0,(C1981*'Model Inputs &amp; Assumptions'!$N$31+E1981*'Model Inputs &amp; Assumptions'!$O$31+G1981*'Model Inputs &amp; Assumptions'!$P$31)*EXP('Model Inputs &amp; Assumptions'!$Q$31*S1981-'Model Inputs &amp; Assumptions'!$Q$31^2/2))</f>
        <v>73.0264265602029</v>
      </c>
      <c r="I1981" s="49" t="n">
        <f aca="false">IF('Model Inputs &amp; Assumptions'!$H$31="Fixed",'Model Inputs &amp; Assumptions'!$I$31*'Model Inputs &amp; Assumptions'!$K$31,IF('Model Inputs &amp; Assumptions'!$H$31="CPM",'Model Inputs &amp; Assumptions'!$I$31*'Model Inputs &amp; Assumptions'!$K$31*C1981/1000,IF('Model Inputs &amp; Assumptions'!$H$31="CPC",'Model Inputs &amp; Assumptions'!$I$31*'Model Inputs &amp; Assumptions'!$K$31*G1981,0)))</f>
        <v>4423.657902</v>
      </c>
      <c r="J1981" s="50" t="n">
        <f aca="false">H1981*INDEX('Model Inputs &amp; Assumptions'!$D$40:$D$42,MATCH('Model Inputs &amp; Assumptions'!$L$31,'Model Inputs &amp; Assumptions'!$A$40:$A$42,0))*INDEX('Model Inputs &amp; Assumptions'!$H$40:$H$42,MATCH('Model Inputs &amp; Assumptions'!$L$31,'Model Inputs &amp; Assumptions'!$A$40:$A$42,0))</f>
        <v>525790.271233461</v>
      </c>
      <c r="K1981" s="49" t="n">
        <f aca="false">H1981*INDEX('Model Inputs &amp; Assumptions'!$G$40:$G$42,MATCH('Model Inputs &amp; Assumptions'!$L$31,'Model Inputs &amp; Assumptions'!$A$40:$A$42,0))*INDEX('Model Inputs &amp; Assumptions'!$H$40:$H$42,MATCH('Model Inputs &amp; Assumptions'!$L$31,'Model Inputs &amp; Assumptions'!$A$40:$A$42,0))</f>
        <v>11593.6754806978</v>
      </c>
      <c r="L1981" s="51" t="n">
        <f aca="false">IFERROR(K1981/I1981,0)</f>
        <v>2.62083455310958</v>
      </c>
      <c r="M1981" s="49" t="n">
        <f aca="false">IFERROR(I1981/H1981,0)</f>
        <v>60.5761244301492</v>
      </c>
      <c r="N1981" s="52" t="str">
        <f aca="false">'Model Inputs &amp; Assumptions'!$L$31</f>
        <v>PRD-USIQ</v>
      </c>
      <c r="P1981" s="53" t="n">
        <v>-0.602608</v>
      </c>
      <c r="Q1981" s="53" t="n">
        <v>0.272562</v>
      </c>
      <c r="R1981" s="53" t="n">
        <v>1.295441</v>
      </c>
      <c r="S1981" s="53" t="n">
        <v>0.847694</v>
      </c>
    </row>
    <row r="1982" customFormat="false" ht="15" hidden="false" customHeight="false" outlineLevel="0" collapsed="false">
      <c r="A1982" s="43" t="n">
        <v>479</v>
      </c>
      <c r="B1982" s="44" t="str">
        <f aca="false">'Model Inputs &amp; Assumptions'!$B$31</f>
        <v>YouTube — Finfluencer Pre-roll</v>
      </c>
      <c r="C1982" s="45" t="n">
        <f aca="false">ROUND(MAX(0,'Model Inputs &amp; Assumptions'!$S$31*EXP('Model Inputs &amp; Assumptions'!$T$31*P1982-'Model Inputs &amp; Assumptions'!$T$31^2/2)),0)</f>
        <v>447096</v>
      </c>
      <c r="D1982" s="46" t="n">
        <f aca="false">MIN(1,'Model Inputs &amp; Assumptions'!$U$31*EXP('Model Inputs &amp; Assumptions'!$V$31*Q1982-'Model Inputs &amp; Assumptions'!$V$31^2/2))</f>
        <v>0.510633043063501</v>
      </c>
      <c r="E1982" s="45" t="n">
        <f aca="false">ROUND(C1982*D1982,0)</f>
        <v>228302</v>
      </c>
      <c r="F1982" s="47" t="n">
        <f aca="false">MIN(1,'Model Inputs &amp; Assumptions'!$W$31*EXP('Model Inputs &amp; Assumptions'!$X$31*R1982-'Model Inputs &amp; Assumptions'!$X$31^2/2))</f>
        <v>0.00609780111007082</v>
      </c>
      <c r="G1982" s="45" t="n">
        <f aca="false">ROUND(C1982*F1982,0)</f>
        <v>2726</v>
      </c>
      <c r="H1982" s="48" t="n">
        <f aca="false">MAX(0,(C1982*'Model Inputs &amp; Assumptions'!$N$31+E1982*'Model Inputs &amp; Assumptions'!$O$31+G1982*'Model Inputs &amp; Assumptions'!$P$31)*EXP('Model Inputs &amp; Assumptions'!$Q$31*S1982-'Model Inputs &amp; Assumptions'!$Q$31^2/2))</f>
        <v>52.7528878918054</v>
      </c>
      <c r="I1982" s="49" t="n">
        <f aca="false">IF('Model Inputs &amp; Assumptions'!$H$31="Fixed",'Model Inputs &amp; Assumptions'!$I$31*'Model Inputs &amp; Assumptions'!$K$31,IF('Model Inputs &amp; Assumptions'!$H$31="CPM",'Model Inputs &amp; Assumptions'!$I$31*'Model Inputs &amp; Assumptions'!$K$31*C1982/1000,IF('Model Inputs &amp; Assumptions'!$H$31="CPC",'Model Inputs &amp; Assumptions'!$I$31*'Model Inputs &amp; Assumptions'!$K$31*G1982,0)))</f>
        <v>5072.751216</v>
      </c>
      <c r="J1982" s="50" t="n">
        <f aca="false">H1982*INDEX('Model Inputs &amp; Assumptions'!$D$40:$D$42,MATCH('Model Inputs &amp; Assumptions'!$L$31,'Model Inputs &amp; Assumptions'!$A$40:$A$42,0))*INDEX('Model Inputs &amp; Assumptions'!$H$40:$H$42,MATCH('Model Inputs &amp; Assumptions'!$L$31,'Model Inputs &amp; Assumptions'!$A$40:$A$42,0))</f>
        <v>379820.792820999</v>
      </c>
      <c r="K1982" s="49" t="n">
        <f aca="false">H1982*INDEX('Model Inputs &amp; Assumptions'!$G$40:$G$42,MATCH('Model Inputs &amp; Assumptions'!$L$31,'Model Inputs &amp; Assumptions'!$A$40:$A$42,0))*INDEX('Model Inputs &amp; Assumptions'!$H$40:$H$42,MATCH('Model Inputs &amp; Assumptions'!$L$31,'Model Inputs &amp; Assumptions'!$A$40:$A$42,0))</f>
        <v>8375.04848170303</v>
      </c>
      <c r="L1982" s="51" t="n">
        <f aca="false">IFERROR(K1982/I1982,0)</f>
        <v>1.65098742774675</v>
      </c>
      <c r="M1982" s="49" t="n">
        <f aca="false">IFERROR(I1982/H1982,0)</f>
        <v>96.1606353457665</v>
      </c>
      <c r="N1982" s="52" t="str">
        <f aca="false">'Model Inputs &amp; Assumptions'!$L$31</f>
        <v>PRD-USIQ</v>
      </c>
      <c r="P1982" s="53" t="n">
        <v>-0.113618</v>
      </c>
      <c r="Q1982" s="53" t="n">
        <v>-0.961938</v>
      </c>
      <c r="R1982" s="53" t="n">
        <v>0.947043</v>
      </c>
      <c r="S1982" s="53" t="n">
        <v>-0.152224</v>
      </c>
    </row>
    <row r="1983" customFormat="false" ht="15" hidden="false" customHeight="false" outlineLevel="0" collapsed="false">
      <c r="A1983" s="43" t="n">
        <v>480</v>
      </c>
      <c r="B1983" s="44" t="str">
        <f aca="false">'Model Inputs &amp; Assumptions'!$B$31</f>
        <v>YouTube — Finfluencer Pre-roll</v>
      </c>
      <c r="C1983" s="45" t="n">
        <f aca="false">ROUND(MAX(0,'Model Inputs &amp; Assumptions'!$S$31*EXP('Model Inputs &amp; Assumptions'!$T$31*P1983-'Model Inputs &amp; Assumptions'!$T$31^2/2)),0)</f>
        <v>415347</v>
      </c>
      <c r="D1983" s="46" t="n">
        <f aca="false">MIN(1,'Model Inputs &amp; Assumptions'!$U$31*EXP('Model Inputs &amp; Assumptions'!$V$31*Q1983-'Model Inputs &amp; Assumptions'!$V$31^2/2))</f>
        <v>0.580986451265782</v>
      </c>
      <c r="E1983" s="45" t="n">
        <f aca="false">ROUND(C1983*D1983,0)</f>
        <v>241311</v>
      </c>
      <c r="F1983" s="47" t="n">
        <f aca="false">MIN(1,'Model Inputs &amp; Assumptions'!$W$31*EXP('Model Inputs &amp; Assumptions'!$X$31*R1983-'Model Inputs &amp; Assumptions'!$X$31^2/2))</f>
        <v>0.00663281482176582</v>
      </c>
      <c r="G1983" s="45" t="n">
        <f aca="false">ROUND(C1983*F1983,0)</f>
        <v>2755</v>
      </c>
      <c r="H1983" s="48" t="n">
        <f aca="false">MAX(0,(C1983*'Model Inputs &amp; Assumptions'!$N$31+E1983*'Model Inputs &amp; Assumptions'!$O$31+G1983*'Model Inputs &amp; Assumptions'!$P$31)*EXP('Model Inputs &amp; Assumptions'!$Q$31*S1983-'Model Inputs &amp; Assumptions'!$Q$31^2/2))</f>
        <v>67.213918113194</v>
      </c>
      <c r="I1983" s="49" t="n">
        <f aca="false">IF('Model Inputs &amp; Assumptions'!$H$31="Fixed",'Model Inputs &amp; Assumptions'!$I$31*'Model Inputs &amp; Assumptions'!$K$31,IF('Model Inputs &amp; Assumptions'!$H$31="CPM",'Model Inputs &amp; Assumptions'!$I$31*'Model Inputs &amp; Assumptions'!$K$31*C1983/1000,IF('Model Inputs &amp; Assumptions'!$H$31="CPC",'Model Inputs &amp; Assumptions'!$I$31*'Model Inputs &amp; Assumptions'!$K$31*G1983,0)))</f>
        <v>4712.527062</v>
      </c>
      <c r="J1983" s="50" t="n">
        <f aca="false">H1983*INDEX('Model Inputs &amp; Assumptions'!$D$40:$D$42,MATCH('Model Inputs &amp; Assumptions'!$L$31,'Model Inputs &amp; Assumptions'!$A$40:$A$42,0))*INDEX('Model Inputs &amp; Assumptions'!$H$40:$H$42,MATCH('Model Inputs &amp; Assumptions'!$L$31,'Model Inputs &amp; Assumptions'!$A$40:$A$42,0))</f>
        <v>483940.210414997</v>
      </c>
      <c r="K1983" s="49" t="n">
        <f aca="false">H1983*INDEX('Model Inputs &amp; Assumptions'!$G$40:$G$42,MATCH('Model Inputs &amp; Assumptions'!$L$31,'Model Inputs &amp; Assumptions'!$A$40:$A$42,0))*INDEX('Model Inputs &amp; Assumptions'!$H$40:$H$42,MATCH('Model Inputs &amp; Assumptions'!$L$31,'Model Inputs &amp; Assumptions'!$A$40:$A$42,0))</f>
        <v>10670.8816396507</v>
      </c>
      <c r="L1983" s="51" t="n">
        <f aca="false">IFERROR(K1983/I1983,0)</f>
        <v>2.26436506342776</v>
      </c>
      <c r="M1983" s="49" t="n">
        <f aca="false">IFERROR(I1983/H1983,0)</f>
        <v>70.112369495611</v>
      </c>
      <c r="N1983" s="52" t="str">
        <f aca="false">'Model Inputs &amp; Assumptions'!$L$31</f>
        <v>PRD-USIQ</v>
      </c>
      <c r="P1983" s="53" t="n">
        <v>-0.376688</v>
      </c>
      <c r="Q1983" s="53" t="n">
        <v>-0.039965</v>
      </c>
      <c r="R1983" s="53" t="n">
        <v>1.297464</v>
      </c>
      <c r="S1983" s="53" t="n">
        <v>0.46955</v>
      </c>
    </row>
    <row r="1984" customFormat="false" ht="15" hidden="false" customHeight="false" outlineLevel="0" collapsed="false">
      <c r="A1984" s="43" t="n">
        <v>481</v>
      </c>
      <c r="B1984" s="44" t="str">
        <f aca="false">'Model Inputs &amp; Assumptions'!$B$31</f>
        <v>YouTube — Finfluencer Pre-roll</v>
      </c>
      <c r="C1984" s="45" t="n">
        <f aca="false">ROUND(MAX(0,'Model Inputs &amp; Assumptions'!$S$31*EXP('Model Inputs &amp; Assumptions'!$T$31*P1984-'Model Inputs &amp; Assumptions'!$T$31^2/2)),0)</f>
        <v>588452</v>
      </c>
      <c r="D1984" s="46" t="n">
        <f aca="false">MIN(1,'Model Inputs &amp; Assumptions'!$U$31*EXP('Model Inputs &amp; Assumptions'!$V$31*Q1984-'Model Inputs &amp; Assumptions'!$V$31^2/2))</f>
        <v>0.564260100843705</v>
      </c>
      <c r="E1984" s="45" t="n">
        <f aca="false">ROUND(C1984*D1984,0)</f>
        <v>332040</v>
      </c>
      <c r="F1984" s="47" t="n">
        <f aca="false">MIN(1,'Model Inputs &amp; Assumptions'!$W$31*EXP('Model Inputs &amp; Assumptions'!$X$31*R1984-'Model Inputs &amp; Assumptions'!$X$31^2/2))</f>
        <v>0.00571927330324796</v>
      </c>
      <c r="G1984" s="45" t="n">
        <f aca="false">ROUND(C1984*F1984,0)</f>
        <v>3366</v>
      </c>
      <c r="H1984" s="48" t="n">
        <f aca="false">MAX(0,(C1984*'Model Inputs &amp; Assumptions'!$N$31+E1984*'Model Inputs &amp; Assumptions'!$O$31+G1984*'Model Inputs &amp; Assumptions'!$P$31)*EXP('Model Inputs &amp; Assumptions'!$Q$31*S1984-'Model Inputs &amp; Assumptions'!$Q$31^2/2))</f>
        <v>65.2292274575564</v>
      </c>
      <c r="I1984" s="49" t="n">
        <f aca="false">IF('Model Inputs &amp; Assumptions'!$H$31="Fixed",'Model Inputs &amp; Assumptions'!$I$31*'Model Inputs &amp; Assumptions'!$K$31,IF('Model Inputs &amp; Assumptions'!$H$31="CPM",'Model Inputs &amp; Assumptions'!$I$31*'Model Inputs &amp; Assumptions'!$K$31*C1984/1000,IF('Model Inputs &amp; Assumptions'!$H$31="CPC",'Model Inputs &amp; Assumptions'!$I$31*'Model Inputs &amp; Assumptions'!$K$31*G1984,0)))</f>
        <v>6676.576392</v>
      </c>
      <c r="J1984" s="50" t="n">
        <f aca="false">H1984*INDEX('Model Inputs &amp; Assumptions'!$D$40:$D$42,MATCH('Model Inputs &amp; Assumptions'!$L$31,'Model Inputs &amp; Assumptions'!$A$40:$A$42,0))*INDEX('Model Inputs &amp; Assumptions'!$H$40:$H$42,MATCH('Model Inputs &amp; Assumptions'!$L$31,'Model Inputs &amp; Assumptions'!$A$40:$A$42,0))</f>
        <v>469650.437694406</v>
      </c>
      <c r="K1984" s="49" t="n">
        <f aca="false">H1984*INDEX('Model Inputs &amp; Assumptions'!$G$40:$G$42,MATCH('Model Inputs &amp; Assumptions'!$L$31,'Model Inputs &amp; Assumptions'!$A$40:$A$42,0))*INDEX('Model Inputs &amp; Assumptions'!$H$40:$H$42,MATCH('Model Inputs &amp; Assumptions'!$L$31,'Model Inputs &amp; Assumptions'!$A$40:$A$42,0))</f>
        <v>10355.7921511617</v>
      </c>
      <c r="L1984" s="51" t="n">
        <f aca="false">IFERROR(K1984/I1984,0)</f>
        <v>1.55106323108505</v>
      </c>
      <c r="M1984" s="49" t="n">
        <f aca="false">IFERROR(I1984/H1984,0)</f>
        <v>102.355595064258</v>
      </c>
      <c r="N1984" s="52" t="str">
        <f aca="false">'Model Inputs &amp; Assumptions'!$L$31</f>
        <v>PRD-USIQ</v>
      </c>
      <c r="P1984" s="53" t="n">
        <v>0.867531</v>
      </c>
      <c r="Q1984" s="53" t="n">
        <v>-0.248623</v>
      </c>
      <c r="R1984" s="53" t="n">
        <v>0.680016</v>
      </c>
      <c r="S1984" s="53" t="n">
        <v>-0.300967</v>
      </c>
    </row>
    <row r="1985" customFormat="false" ht="15" hidden="false" customHeight="false" outlineLevel="0" collapsed="false">
      <c r="A1985" s="43" t="n">
        <v>482</v>
      </c>
      <c r="B1985" s="44" t="str">
        <f aca="false">'Model Inputs &amp; Assumptions'!$B$31</f>
        <v>YouTube — Finfluencer Pre-roll</v>
      </c>
      <c r="C1985" s="45" t="n">
        <f aca="false">ROUND(MAX(0,'Model Inputs &amp; Assumptions'!$S$31*EXP('Model Inputs &amp; Assumptions'!$T$31*P1985-'Model Inputs &amp; Assumptions'!$T$31^2/2)),0)</f>
        <v>484886</v>
      </c>
      <c r="D1985" s="46" t="n">
        <f aca="false">MIN(1,'Model Inputs &amp; Assumptions'!$U$31*EXP('Model Inputs &amp; Assumptions'!$V$31*Q1985-'Model Inputs &amp; Assumptions'!$V$31^2/2))</f>
        <v>0.603649780948354</v>
      </c>
      <c r="E1985" s="45" t="n">
        <f aca="false">ROUND(C1985*D1985,0)</f>
        <v>292701</v>
      </c>
      <c r="F1985" s="47" t="n">
        <f aca="false">MIN(1,'Model Inputs &amp; Assumptions'!$W$31*EXP('Model Inputs &amp; Assumptions'!$X$31*R1985-'Model Inputs &amp; Assumptions'!$X$31^2/2))</f>
        <v>0.00471460450517203</v>
      </c>
      <c r="G1985" s="45" t="n">
        <f aca="false">ROUND(C1985*F1985,0)</f>
        <v>2286</v>
      </c>
      <c r="H1985" s="48" t="n">
        <f aca="false">MAX(0,(C1985*'Model Inputs &amp; Assumptions'!$N$31+E1985*'Model Inputs &amp; Assumptions'!$O$31+G1985*'Model Inputs &amp; Assumptions'!$P$31)*EXP('Model Inputs &amp; Assumptions'!$Q$31*S1985-'Model Inputs &amp; Assumptions'!$Q$31^2/2))</f>
        <v>50.1664130777631</v>
      </c>
      <c r="I1985" s="49" t="n">
        <f aca="false">IF('Model Inputs &amp; Assumptions'!$H$31="Fixed",'Model Inputs &amp; Assumptions'!$I$31*'Model Inputs &amp; Assumptions'!$K$31,IF('Model Inputs &amp; Assumptions'!$H$31="CPM",'Model Inputs &amp; Assumptions'!$I$31*'Model Inputs &amp; Assumptions'!$K$31*C1985/1000,IF('Model Inputs &amp; Assumptions'!$H$31="CPC",'Model Inputs &amp; Assumptions'!$I$31*'Model Inputs &amp; Assumptions'!$K$31*G1985,0)))</f>
        <v>5501.516556</v>
      </c>
      <c r="J1985" s="50" t="n">
        <f aca="false">H1985*INDEX('Model Inputs &amp; Assumptions'!$D$40:$D$42,MATCH('Model Inputs &amp; Assumptions'!$L$31,'Model Inputs &amp; Assumptions'!$A$40:$A$42,0))*INDEX('Model Inputs &amp; Assumptions'!$H$40:$H$42,MATCH('Model Inputs &amp; Assumptions'!$L$31,'Model Inputs &amp; Assumptions'!$A$40:$A$42,0))</f>
        <v>361198.174159894</v>
      </c>
      <c r="K1985" s="49" t="n">
        <f aca="false">H1985*INDEX('Model Inputs &amp; Assumptions'!$G$40:$G$42,MATCH('Model Inputs &amp; Assumptions'!$L$31,'Model Inputs &amp; Assumptions'!$A$40:$A$42,0))*INDEX('Model Inputs &amp; Assumptions'!$H$40:$H$42,MATCH('Model Inputs &amp; Assumptions'!$L$31,'Model Inputs &amp; Assumptions'!$A$40:$A$42,0))</f>
        <v>7964.41974022567</v>
      </c>
      <c r="L1985" s="51" t="n">
        <f aca="false">IFERROR(K1985/I1985,0)</f>
        <v>1.44767713759574</v>
      </c>
      <c r="M1985" s="49" t="n">
        <f aca="false">IFERROR(I1985/H1985,0)</f>
        <v>109.665336197589</v>
      </c>
      <c r="N1985" s="52" t="str">
        <f aca="false">'Model Inputs &amp; Assumptions'!$L$31</f>
        <v>PRD-USIQ</v>
      </c>
      <c r="P1985" s="53" t="n">
        <v>0.176167</v>
      </c>
      <c r="Q1985" s="53" t="n">
        <v>0.233369</v>
      </c>
      <c r="R1985" s="53" t="n">
        <v>-0.124887</v>
      </c>
      <c r="S1985" s="53" t="n">
        <v>-0.225048</v>
      </c>
    </row>
    <row r="1986" customFormat="false" ht="15" hidden="false" customHeight="false" outlineLevel="0" collapsed="false">
      <c r="A1986" s="43" t="n">
        <v>483</v>
      </c>
      <c r="B1986" s="44" t="str">
        <f aca="false">'Model Inputs &amp; Assumptions'!$B$31</f>
        <v>YouTube — Finfluencer Pre-roll</v>
      </c>
      <c r="C1986" s="45" t="n">
        <f aca="false">ROUND(MAX(0,'Model Inputs &amp; Assumptions'!$S$31*EXP('Model Inputs &amp; Assumptions'!$T$31*P1986-'Model Inputs &amp; Assumptions'!$T$31^2/2)),0)</f>
        <v>321588</v>
      </c>
      <c r="D1986" s="46" t="n">
        <f aca="false">MIN(1,'Model Inputs &amp; Assumptions'!$U$31*EXP('Model Inputs &amp; Assumptions'!$V$31*Q1986-'Model Inputs &amp; Assumptions'!$V$31^2/2))</f>
        <v>0.618821521124919</v>
      </c>
      <c r="E1986" s="45" t="n">
        <f aca="false">ROUND(C1986*D1986,0)</f>
        <v>199006</v>
      </c>
      <c r="F1986" s="47" t="n">
        <f aca="false">MIN(1,'Model Inputs &amp; Assumptions'!$W$31*EXP('Model Inputs &amp; Assumptions'!$X$31*R1986-'Model Inputs &amp; Assumptions'!$X$31^2/2))</f>
        <v>0.00402186189124967</v>
      </c>
      <c r="G1986" s="45" t="n">
        <f aca="false">ROUND(C1986*F1986,0)</f>
        <v>1293</v>
      </c>
      <c r="H1986" s="48" t="n">
        <f aca="false">MAX(0,(C1986*'Model Inputs &amp; Assumptions'!$N$31+E1986*'Model Inputs &amp; Assumptions'!$O$31+G1986*'Model Inputs &amp; Assumptions'!$P$31)*EXP('Model Inputs &amp; Assumptions'!$Q$31*S1986-'Model Inputs &amp; Assumptions'!$Q$31^2/2))</f>
        <v>49.2534760452573</v>
      </c>
      <c r="I1986" s="49" t="n">
        <f aca="false">IF('Model Inputs &amp; Assumptions'!$H$31="Fixed",'Model Inputs &amp; Assumptions'!$I$31*'Model Inputs &amp; Assumptions'!$K$31,IF('Model Inputs &amp; Assumptions'!$H$31="CPM",'Model Inputs &amp; Assumptions'!$I$31*'Model Inputs &amp; Assumptions'!$K$31*C1986/1000,IF('Model Inputs &amp; Assumptions'!$H$31="CPC",'Model Inputs &amp; Assumptions'!$I$31*'Model Inputs &amp; Assumptions'!$K$31*G1986,0)))</f>
        <v>3648.737448</v>
      </c>
      <c r="J1986" s="50" t="n">
        <f aca="false">H1986*INDEX('Model Inputs &amp; Assumptions'!$D$40:$D$42,MATCH('Model Inputs &amp; Assumptions'!$L$31,'Model Inputs &amp; Assumptions'!$A$40:$A$42,0))*INDEX('Model Inputs &amp; Assumptions'!$H$40:$H$42,MATCH('Model Inputs &amp; Assumptions'!$L$31,'Model Inputs &amp; Assumptions'!$A$40:$A$42,0))</f>
        <v>354625.027525852</v>
      </c>
      <c r="K1986" s="49" t="n">
        <f aca="false">H1986*INDEX('Model Inputs &amp; Assumptions'!$G$40:$G$42,MATCH('Model Inputs &amp; Assumptions'!$L$31,'Model Inputs &amp; Assumptions'!$A$40:$A$42,0))*INDEX('Model Inputs &amp; Assumptions'!$H$40:$H$42,MATCH('Model Inputs &amp; Assumptions'!$L$31,'Model Inputs &amp; Assumptions'!$A$40:$A$42,0))</f>
        <v>7819.48185694504</v>
      </c>
      <c r="L1986" s="51" t="n">
        <f aca="false">IFERROR(K1986/I1986,0)</f>
        <v>2.14306509262024</v>
      </c>
      <c r="M1986" s="49" t="n">
        <f aca="false">IFERROR(I1986/H1986,0)</f>
        <v>74.0808109593586</v>
      </c>
      <c r="N1986" s="52" t="str">
        <f aca="false">'Model Inputs &amp; Assumptions'!$L$31</f>
        <v>PRD-USIQ</v>
      </c>
      <c r="P1986" s="53" t="n">
        <v>-1.290409</v>
      </c>
      <c r="Q1986" s="53" t="n">
        <v>0.410674</v>
      </c>
      <c r="R1986" s="53" t="n">
        <v>-0.787054</v>
      </c>
      <c r="S1986" s="53" t="n">
        <v>1.125453</v>
      </c>
    </row>
    <row r="1987" customFormat="false" ht="15" hidden="false" customHeight="false" outlineLevel="0" collapsed="false">
      <c r="A1987" s="43" t="n">
        <v>484</v>
      </c>
      <c r="B1987" s="44" t="str">
        <f aca="false">'Model Inputs &amp; Assumptions'!$B$31</f>
        <v>YouTube — Finfluencer Pre-roll</v>
      </c>
      <c r="C1987" s="45" t="n">
        <f aca="false">ROUND(MAX(0,'Model Inputs &amp; Assumptions'!$S$31*EXP('Model Inputs &amp; Assumptions'!$T$31*P1987-'Model Inputs &amp; Assumptions'!$T$31^2/2)),0)</f>
        <v>570506</v>
      </c>
      <c r="D1987" s="46" t="n">
        <f aca="false">MIN(1,'Model Inputs &amp; Assumptions'!$U$31*EXP('Model Inputs &amp; Assumptions'!$V$31*Q1987-'Model Inputs &amp; Assumptions'!$V$31^2/2))</f>
        <v>0.620229206050419</v>
      </c>
      <c r="E1987" s="45" t="n">
        <f aca="false">ROUND(C1987*D1987,0)</f>
        <v>353844</v>
      </c>
      <c r="F1987" s="47" t="n">
        <f aca="false">MIN(1,'Model Inputs &amp; Assumptions'!$W$31*EXP('Model Inputs &amp; Assumptions'!$X$31*R1987-'Model Inputs &amp; Assumptions'!$X$31^2/2))</f>
        <v>0.0062884189035806</v>
      </c>
      <c r="G1987" s="45" t="n">
        <f aca="false">ROUND(C1987*F1987,0)</f>
        <v>3588</v>
      </c>
      <c r="H1987" s="48" t="n">
        <f aca="false">MAX(0,(C1987*'Model Inputs &amp; Assumptions'!$N$31+E1987*'Model Inputs &amp; Assumptions'!$O$31+G1987*'Model Inputs &amp; Assumptions'!$P$31)*EXP('Model Inputs &amp; Assumptions'!$Q$31*S1987-'Model Inputs &amp; Assumptions'!$Q$31^2/2))</f>
        <v>38.9004030310269</v>
      </c>
      <c r="I1987" s="49" t="n">
        <f aca="false">IF('Model Inputs &amp; Assumptions'!$H$31="Fixed",'Model Inputs &amp; Assumptions'!$I$31*'Model Inputs &amp; Assumptions'!$K$31,IF('Model Inputs &amp; Assumptions'!$H$31="CPM",'Model Inputs &amp; Assumptions'!$I$31*'Model Inputs &amp; Assumptions'!$K$31*C1987/1000,IF('Model Inputs &amp; Assumptions'!$H$31="CPC",'Model Inputs &amp; Assumptions'!$I$31*'Model Inputs &amp; Assumptions'!$K$31*G1987,0)))</f>
        <v>6472.961076</v>
      </c>
      <c r="J1987" s="50" t="n">
        <f aca="false">H1987*INDEX('Model Inputs &amp; Assumptions'!$D$40:$D$42,MATCH('Model Inputs &amp; Assumptions'!$L$31,'Model Inputs &amp; Assumptions'!$A$40:$A$42,0))*INDEX('Model Inputs &amp; Assumptions'!$H$40:$H$42,MATCH('Model Inputs &amp; Assumptions'!$L$31,'Model Inputs &amp; Assumptions'!$A$40:$A$42,0))</f>
        <v>280082.901823394</v>
      </c>
      <c r="K1987" s="49" t="n">
        <f aca="false">H1987*INDEX('Model Inputs &amp; Assumptions'!$G$40:$G$42,MATCH('Model Inputs &amp; Assumptions'!$L$31,'Model Inputs &amp; Assumptions'!$A$40:$A$42,0))*INDEX('Model Inputs &amp; Assumptions'!$H$40:$H$42,MATCH('Model Inputs &amp; Assumptions'!$L$31,'Model Inputs &amp; Assumptions'!$A$40:$A$42,0))</f>
        <v>6175.82798520583</v>
      </c>
      <c r="L1987" s="51" t="n">
        <f aca="false">IFERROR(K1987/I1987,0)</f>
        <v>0.954096264861555</v>
      </c>
      <c r="M1987" s="49" t="n">
        <f aca="false">IFERROR(I1987/H1987,0)</f>
        <v>166.398303658632</v>
      </c>
      <c r="N1987" s="52" t="str">
        <f aca="false">'Model Inputs &amp; Assumptions'!$L$31</f>
        <v>PRD-USIQ</v>
      </c>
      <c r="P1987" s="53" t="n">
        <v>0.756919</v>
      </c>
      <c r="Q1987" s="53" t="n">
        <v>0.426904</v>
      </c>
      <c r="R1987" s="53" t="n">
        <v>1.075299</v>
      </c>
      <c r="S1987" s="53" t="n">
        <v>-1.960053</v>
      </c>
    </row>
    <row r="1988" customFormat="false" ht="15" hidden="false" customHeight="false" outlineLevel="0" collapsed="false">
      <c r="A1988" s="43" t="n">
        <v>485</v>
      </c>
      <c r="B1988" s="44" t="str">
        <f aca="false">'Model Inputs &amp; Assumptions'!$B$31</f>
        <v>YouTube — Finfluencer Pre-roll</v>
      </c>
      <c r="C1988" s="45" t="n">
        <f aca="false">ROUND(MAX(0,'Model Inputs &amp; Assumptions'!$S$31*EXP('Model Inputs &amp; Assumptions'!$T$31*P1988-'Model Inputs &amp; Assumptions'!$T$31^2/2)),0)</f>
        <v>436866</v>
      </c>
      <c r="D1988" s="46" t="n">
        <f aca="false">MIN(1,'Model Inputs &amp; Assumptions'!$U$31*EXP('Model Inputs &amp; Assumptions'!$V$31*Q1988-'Model Inputs &amp; Assumptions'!$V$31^2/2))</f>
        <v>0.670082525306875</v>
      </c>
      <c r="E1988" s="45" t="n">
        <f aca="false">ROUND(C1988*D1988,0)</f>
        <v>292736</v>
      </c>
      <c r="F1988" s="47" t="n">
        <f aca="false">MIN(1,'Model Inputs &amp; Assumptions'!$W$31*EXP('Model Inputs &amp; Assumptions'!$X$31*R1988-'Model Inputs &amp; Assumptions'!$X$31^2/2))</f>
        <v>0.00369804651916957</v>
      </c>
      <c r="G1988" s="45" t="n">
        <f aca="false">ROUND(C1988*F1988,0)</f>
        <v>1616</v>
      </c>
      <c r="H1988" s="48" t="n">
        <f aca="false">MAX(0,(C1988*'Model Inputs &amp; Assumptions'!$N$31+E1988*'Model Inputs &amp; Assumptions'!$O$31+G1988*'Model Inputs &amp; Assumptions'!$P$31)*EXP('Model Inputs &amp; Assumptions'!$Q$31*S1988-'Model Inputs &amp; Assumptions'!$Q$31^2/2))</f>
        <v>62.5833439492297</v>
      </c>
      <c r="I1988" s="49" t="n">
        <f aca="false">IF('Model Inputs &amp; Assumptions'!$H$31="Fixed",'Model Inputs &amp; Assumptions'!$I$31*'Model Inputs &amp; Assumptions'!$K$31,IF('Model Inputs &amp; Assumptions'!$H$31="CPM",'Model Inputs &amp; Assumptions'!$I$31*'Model Inputs &amp; Assumptions'!$K$31*C1988/1000,IF('Model Inputs &amp; Assumptions'!$H$31="CPC",'Model Inputs &amp; Assumptions'!$I$31*'Model Inputs &amp; Assumptions'!$K$31*G1988,0)))</f>
        <v>4956.681636</v>
      </c>
      <c r="J1988" s="50" t="n">
        <f aca="false">H1988*INDEX('Model Inputs &amp; Assumptions'!$D$40:$D$42,MATCH('Model Inputs &amp; Assumptions'!$L$31,'Model Inputs &amp; Assumptions'!$A$40:$A$42,0))*INDEX('Model Inputs &amp; Assumptions'!$H$40:$H$42,MATCH('Model Inputs &amp; Assumptions'!$L$31,'Model Inputs &amp; Assumptions'!$A$40:$A$42,0))</f>
        <v>450600.076434454</v>
      </c>
      <c r="K1988" s="49" t="n">
        <f aca="false">H1988*INDEX('Model Inputs &amp; Assumptions'!$G$40:$G$42,MATCH('Model Inputs &amp; Assumptions'!$L$31,'Model Inputs &amp; Assumptions'!$A$40:$A$42,0))*INDEX('Model Inputs &amp; Assumptions'!$H$40:$H$42,MATCH('Model Inputs &amp; Assumptions'!$L$31,'Model Inputs &amp; Assumptions'!$A$40:$A$42,0))</f>
        <v>9935.73168537971</v>
      </c>
      <c r="L1988" s="51" t="n">
        <f aca="false">IFERROR(K1988/I1988,0)</f>
        <v>2.00451277992463</v>
      </c>
      <c r="M1988" s="49" t="n">
        <f aca="false">IFERROR(I1988/H1988,0)</f>
        <v>79.2012910019809</v>
      </c>
      <c r="N1988" s="52" t="str">
        <f aca="false">'Model Inputs &amp; Assumptions'!$L$31</f>
        <v>PRD-USIQ</v>
      </c>
      <c r="P1988" s="53" t="n">
        <v>-0.196284</v>
      </c>
      <c r="Q1988" s="53" t="n">
        <v>0.979131</v>
      </c>
      <c r="R1988" s="53" t="n">
        <v>-1.136805</v>
      </c>
      <c r="S1988" s="53" t="n">
        <v>0.953372</v>
      </c>
    </row>
    <row r="1989" customFormat="false" ht="15" hidden="false" customHeight="false" outlineLevel="0" collapsed="false">
      <c r="A1989" s="43" t="n">
        <v>486</v>
      </c>
      <c r="B1989" s="44" t="str">
        <f aca="false">'Model Inputs &amp; Assumptions'!$B$31</f>
        <v>YouTube — Finfluencer Pre-roll</v>
      </c>
      <c r="C1989" s="45" t="n">
        <f aca="false">ROUND(MAX(0,'Model Inputs &amp; Assumptions'!$S$31*EXP('Model Inputs &amp; Assumptions'!$T$31*P1989-'Model Inputs &amp; Assumptions'!$T$31^2/2)),0)</f>
        <v>480422</v>
      </c>
      <c r="D1989" s="46" t="n">
        <f aca="false">MIN(1,'Model Inputs &amp; Assumptions'!$U$31*EXP('Model Inputs &amp; Assumptions'!$V$31*Q1989-'Model Inputs &amp; Assumptions'!$V$31^2/2))</f>
        <v>0.680408978874875</v>
      </c>
      <c r="E1989" s="45" t="n">
        <f aca="false">ROUND(C1989*D1989,0)</f>
        <v>326883</v>
      </c>
      <c r="F1989" s="47" t="n">
        <f aca="false">MIN(1,'Model Inputs &amp; Assumptions'!$W$31*EXP('Model Inputs &amp; Assumptions'!$X$31*R1989-'Model Inputs &amp; Assumptions'!$X$31^2/2))</f>
        <v>0.00480067240478951</v>
      </c>
      <c r="G1989" s="45" t="n">
        <f aca="false">ROUND(C1989*F1989,0)</f>
        <v>2306</v>
      </c>
      <c r="H1989" s="48" t="n">
        <f aca="false">MAX(0,(C1989*'Model Inputs &amp; Assumptions'!$N$31+E1989*'Model Inputs &amp; Assumptions'!$O$31+G1989*'Model Inputs &amp; Assumptions'!$P$31)*EXP('Model Inputs &amp; Assumptions'!$Q$31*S1989-'Model Inputs &amp; Assumptions'!$Q$31^2/2))</f>
        <v>60.5187809794502</v>
      </c>
      <c r="I1989" s="49" t="n">
        <f aca="false">IF('Model Inputs &amp; Assumptions'!$H$31="Fixed",'Model Inputs &amp; Assumptions'!$I$31*'Model Inputs &amp; Assumptions'!$K$31,IF('Model Inputs &amp; Assumptions'!$H$31="CPM",'Model Inputs &amp; Assumptions'!$I$31*'Model Inputs &amp; Assumptions'!$K$31*C1989/1000,IF('Model Inputs &amp; Assumptions'!$H$31="CPC",'Model Inputs &amp; Assumptions'!$I$31*'Model Inputs &amp; Assumptions'!$K$31*G1989,0)))</f>
        <v>5450.868012</v>
      </c>
      <c r="J1989" s="50" t="n">
        <f aca="false">H1989*INDEX('Model Inputs &amp; Assumptions'!$D$40:$D$42,MATCH('Model Inputs &amp; Assumptions'!$L$31,'Model Inputs &amp; Assumptions'!$A$40:$A$42,0))*INDEX('Model Inputs &amp; Assumptions'!$H$40:$H$42,MATCH('Model Inputs &amp; Assumptions'!$L$31,'Model Inputs &amp; Assumptions'!$A$40:$A$42,0))</f>
        <v>435735.223052041</v>
      </c>
      <c r="K1989" s="49" t="n">
        <f aca="false">H1989*INDEX('Model Inputs &amp; Assumptions'!$G$40:$G$42,MATCH('Model Inputs &amp; Assumptions'!$L$31,'Model Inputs &amp; Assumptions'!$A$40:$A$42,0))*INDEX('Model Inputs &amp; Assumptions'!$H$40:$H$42,MATCH('Model Inputs &amp; Assumptions'!$L$31,'Model Inputs &amp; Assumptions'!$A$40:$A$42,0))</f>
        <v>9607.96166829751</v>
      </c>
      <c r="L1989" s="51" t="n">
        <f aca="false">IFERROR(K1989/I1989,0)</f>
        <v>1.76264801260015</v>
      </c>
      <c r="M1989" s="49" t="n">
        <f aca="false">IFERROR(I1989/H1989,0)</f>
        <v>90.0690318572495</v>
      </c>
      <c r="N1989" s="52" t="str">
        <f aca="false">'Model Inputs &amp; Assumptions'!$L$31</f>
        <v>PRD-USIQ</v>
      </c>
      <c r="P1989" s="53" t="n">
        <v>0.143137</v>
      </c>
      <c r="Q1989" s="53" t="n">
        <v>1.088368</v>
      </c>
      <c r="R1989" s="53" t="n">
        <v>-0.049508</v>
      </c>
      <c r="S1989" s="53" t="n">
        <v>0.164545</v>
      </c>
    </row>
    <row r="1990" customFormat="false" ht="15" hidden="false" customHeight="false" outlineLevel="0" collapsed="false">
      <c r="A1990" s="43" t="n">
        <v>487</v>
      </c>
      <c r="B1990" s="44" t="str">
        <f aca="false">'Model Inputs &amp; Assumptions'!$B$31</f>
        <v>YouTube — Finfluencer Pre-roll</v>
      </c>
      <c r="C1990" s="45" t="n">
        <f aca="false">ROUND(MAX(0,'Model Inputs &amp; Assumptions'!$S$31*EXP('Model Inputs &amp; Assumptions'!$T$31*P1990-'Model Inputs &amp; Assumptions'!$T$31^2/2)),0)</f>
        <v>938168</v>
      </c>
      <c r="D1990" s="46" t="n">
        <f aca="false">MIN(1,'Model Inputs &amp; Assumptions'!$U$31*EXP('Model Inputs &amp; Assumptions'!$V$31*Q1990-'Model Inputs &amp; Assumptions'!$V$31^2/2))</f>
        <v>0.717853677789035</v>
      </c>
      <c r="E1990" s="45" t="n">
        <f aca="false">ROUND(C1990*D1990,0)</f>
        <v>673467</v>
      </c>
      <c r="F1990" s="47" t="n">
        <f aca="false">MIN(1,'Model Inputs &amp; Assumptions'!$W$31*EXP('Model Inputs &amp; Assumptions'!$X$31*R1990-'Model Inputs &amp; Assumptions'!$X$31^2/2))</f>
        <v>0.00593196682928846</v>
      </c>
      <c r="G1990" s="45" t="n">
        <f aca="false">ROUND(C1990*F1990,0)</f>
        <v>5565</v>
      </c>
      <c r="H1990" s="48" t="n">
        <f aca="false">MAX(0,(C1990*'Model Inputs &amp; Assumptions'!$N$31+E1990*'Model Inputs &amp; Assumptions'!$O$31+G1990*'Model Inputs &amp; Assumptions'!$P$31)*EXP('Model Inputs &amp; Assumptions'!$Q$31*S1990-'Model Inputs &amp; Assumptions'!$Q$31^2/2))</f>
        <v>133.445919017797</v>
      </c>
      <c r="I1990" s="49" t="n">
        <f aca="false">IF('Model Inputs &amp; Assumptions'!$H$31="Fixed",'Model Inputs &amp; Assumptions'!$I$31*'Model Inputs &amp; Assumptions'!$K$31,IF('Model Inputs &amp; Assumptions'!$H$31="CPM",'Model Inputs &amp; Assumptions'!$I$31*'Model Inputs &amp; Assumptions'!$K$31*C1990/1000,IF('Model Inputs &amp; Assumptions'!$H$31="CPC",'Model Inputs &amp; Assumptions'!$I$31*'Model Inputs &amp; Assumptions'!$K$31*G1990,0)))</f>
        <v>10644.454128</v>
      </c>
      <c r="J1990" s="50" t="n">
        <f aca="false">H1990*INDEX('Model Inputs &amp; Assumptions'!$D$40:$D$42,MATCH('Model Inputs &amp; Assumptions'!$L$31,'Model Inputs &amp; Assumptions'!$A$40:$A$42,0))*INDEX('Model Inputs &amp; Assumptions'!$H$40:$H$42,MATCH('Model Inputs &amp; Assumptions'!$L$31,'Model Inputs &amp; Assumptions'!$A$40:$A$42,0))</f>
        <v>960810.616928138</v>
      </c>
      <c r="K1990" s="49" t="n">
        <f aca="false">H1990*INDEX('Model Inputs &amp; Assumptions'!$G$40:$G$42,MATCH('Model Inputs &amp; Assumptions'!$L$31,'Model Inputs &amp; Assumptions'!$A$40:$A$42,0))*INDEX('Model Inputs &amp; Assumptions'!$H$40:$H$42,MATCH('Model Inputs &amp; Assumptions'!$L$31,'Model Inputs &amp; Assumptions'!$A$40:$A$42,0))</f>
        <v>21185.8741032654</v>
      </c>
      <c r="L1990" s="51" t="n">
        <f aca="false">IFERROR(K1990/I1990,0)</f>
        <v>1.99032039111677</v>
      </c>
      <c r="M1990" s="49" t="n">
        <f aca="false">IFERROR(I1990/H1990,0)</f>
        <v>79.7660520932109</v>
      </c>
      <c r="N1990" s="52" t="str">
        <f aca="false">'Model Inputs &amp; Assumptions'!$L$31</f>
        <v>PRD-USIQ</v>
      </c>
      <c r="P1990" s="53" t="n">
        <v>2.533368</v>
      </c>
      <c r="Q1990" s="53" t="n">
        <v>1.471023</v>
      </c>
      <c r="R1990" s="53" t="n">
        <v>0.832158</v>
      </c>
      <c r="S1990" s="53" t="n">
        <v>0.092562</v>
      </c>
    </row>
    <row r="1991" customFormat="false" ht="15" hidden="false" customHeight="false" outlineLevel="0" collapsed="false">
      <c r="A1991" s="43" t="n">
        <v>488</v>
      </c>
      <c r="B1991" s="44" t="str">
        <f aca="false">'Model Inputs &amp; Assumptions'!$B$31</f>
        <v>YouTube — Finfluencer Pre-roll</v>
      </c>
      <c r="C1991" s="45" t="n">
        <f aca="false">ROUND(MAX(0,'Model Inputs &amp; Assumptions'!$S$31*EXP('Model Inputs &amp; Assumptions'!$T$31*P1991-'Model Inputs &amp; Assumptions'!$T$31^2/2)),0)</f>
        <v>371626</v>
      </c>
      <c r="D1991" s="46" t="n">
        <f aca="false">MIN(1,'Model Inputs &amp; Assumptions'!$U$31*EXP('Model Inputs &amp; Assumptions'!$V$31*Q1991-'Model Inputs &amp; Assumptions'!$V$31^2/2))</f>
        <v>0.584621060139879</v>
      </c>
      <c r="E1991" s="45" t="n">
        <f aca="false">ROUND(C1991*D1991,0)</f>
        <v>217260</v>
      </c>
      <c r="F1991" s="47" t="n">
        <f aca="false">MIN(1,'Model Inputs &amp; Assumptions'!$W$31*EXP('Model Inputs &amp; Assumptions'!$X$31*R1991-'Model Inputs &amp; Assumptions'!$X$31^2/2))</f>
        <v>0.00552619720398375</v>
      </c>
      <c r="G1991" s="45" t="n">
        <f aca="false">ROUND(C1991*F1991,0)</f>
        <v>2054</v>
      </c>
      <c r="H1991" s="48" t="n">
        <f aca="false">MAX(0,(C1991*'Model Inputs &amp; Assumptions'!$N$31+E1991*'Model Inputs &amp; Assumptions'!$O$31+G1991*'Model Inputs &amp; Assumptions'!$P$31)*EXP('Model Inputs &amp; Assumptions'!$Q$31*S1991-'Model Inputs &amp; Assumptions'!$Q$31^2/2))</f>
        <v>87.3762128533683</v>
      </c>
      <c r="I1991" s="49" t="n">
        <f aca="false">IF('Model Inputs &amp; Assumptions'!$H$31="Fixed",'Model Inputs &amp; Assumptions'!$I$31*'Model Inputs &amp; Assumptions'!$K$31,IF('Model Inputs &amp; Assumptions'!$H$31="CPM",'Model Inputs &amp; Assumptions'!$I$31*'Model Inputs &amp; Assumptions'!$K$31*C1991/1000,IF('Model Inputs &amp; Assumptions'!$H$31="CPC",'Model Inputs &amp; Assumptions'!$I$31*'Model Inputs &amp; Assumptions'!$K$31*G1991,0)))</f>
        <v>4216.468596</v>
      </c>
      <c r="J1991" s="50" t="n">
        <f aca="false">H1991*INDEX('Model Inputs &amp; Assumptions'!$D$40:$D$42,MATCH('Model Inputs &amp; Assumptions'!$L$31,'Model Inputs &amp; Assumptions'!$A$40:$A$42,0))*INDEX('Model Inputs &amp; Assumptions'!$H$40:$H$42,MATCH('Model Inputs &amp; Assumptions'!$L$31,'Model Inputs &amp; Assumptions'!$A$40:$A$42,0))</f>
        <v>629108.732544252</v>
      </c>
      <c r="K1991" s="49" t="n">
        <f aca="false">H1991*INDEX('Model Inputs &amp; Assumptions'!$G$40:$G$42,MATCH('Model Inputs &amp; Assumptions'!$L$31,'Model Inputs &amp; Assumptions'!$A$40:$A$42,0))*INDEX('Model Inputs &amp; Assumptions'!$H$40:$H$42,MATCH('Model Inputs &amp; Assumptions'!$L$31,'Model Inputs &amp; Assumptions'!$A$40:$A$42,0))</f>
        <v>13871.8475526007</v>
      </c>
      <c r="L1991" s="51" t="n">
        <f aca="false">IFERROR(K1991/I1991,0)</f>
        <v>3.28992075637903</v>
      </c>
      <c r="M1991" s="49" t="n">
        <f aca="false">IFERROR(I1991/H1991,0)</f>
        <v>48.2564814645369</v>
      </c>
      <c r="N1991" s="52" t="str">
        <f aca="false">'Model Inputs &amp; Assumptions'!$L$31</f>
        <v>PRD-USIQ</v>
      </c>
      <c r="P1991" s="53" t="n">
        <v>-0.773926</v>
      </c>
      <c r="Q1991" s="53" t="n">
        <v>0.004581</v>
      </c>
      <c r="R1991" s="53" t="n">
        <v>0.536925</v>
      </c>
      <c r="S1991" s="53" t="n">
        <v>1.875157</v>
      </c>
    </row>
    <row r="1992" customFormat="false" ht="15" hidden="false" customHeight="false" outlineLevel="0" collapsed="false">
      <c r="A1992" s="43" t="n">
        <v>489</v>
      </c>
      <c r="B1992" s="44" t="str">
        <f aca="false">'Model Inputs &amp; Assumptions'!$B$31</f>
        <v>YouTube — Finfluencer Pre-roll</v>
      </c>
      <c r="C1992" s="45" t="n">
        <f aca="false">ROUND(MAX(0,'Model Inputs &amp; Assumptions'!$S$31*EXP('Model Inputs &amp; Assumptions'!$T$31*P1992-'Model Inputs &amp; Assumptions'!$T$31^2/2)),0)</f>
        <v>403462</v>
      </c>
      <c r="D1992" s="46" t="n">
        <f aca="false">MIN(1,'Model Inputs &amp; Assumptions'!$U$31*EXP('Model Inputs &amp; Assumptions'!$V$31*Q1992-'Model Inputs &amp; Assumptions'!$V$31^2/2))</f>
        <v>0.518037895489765</v>
      </c>
      <c r="E1992" s="45" t="n">
        <f aca="false">ROUND(C1992*D1992,0)</f>
        <v>209009</v>
      </c>
      <c r="F1992" s="47" t="n">
        <f aca="false">MIN(1,'Model Inputs &amp; Assumptions'!$W$31*EXP('Model Inputs &amp; Assumptions'!$X$31*R1992-'Model Inputs &amp; Assumptions'!$X$31^2/2))</f>
        <v>0.00443047247750439</v>
      </c>
      <c r="G1992" s="45" t="n">
        <f aca="false">ROUND(C1992*F1992,0)</f>
        <v>1788</v>
      </c>
      <c r="H1992" s="48" t="n">
        <f aca="false">MAX(0,(C1992*'Model Inputs &amp; Assumptions'!$N$31+E1992*'Model Inputs &amp; Assumptions'!$O$31+G1992*'Model Inputs &amp; Assumptions'!$P$31)*EXP('Model Inputs &amp; Assumptions'!$Q$31*S1992-'Model Inputs &amp; Assumptions'!$Q$31^2/2))</f>
        <v>54.5845618182469</v>
      </c>
      <c r="I1992" s="49" t="n">
        <f aca="false">IF('Model Inputs &amp; Assumptions'!$H$31="Fixed",'Model Inputs &amp; Assumptions'!$I$31*'Model Inputs &amp; Assumptions'!$K$31,IF('Model Inputs &amp; Assumptions'!$H$31="CPM",'Model Inputs &amp; Assumptions'!$I$31*'Model Inputs &amp; Assumptions'!$K$31*C1992/1000,IF('Model Inputs &amp; Assumptions'!$H$31="CPC",'Model Inputs &amp; Assumptions'!$I$31*'Model Inputs &amp; Assumptions'!$K$31*G1992,0)))</f>
        <v>4577.679852</v>
      </c>
      <c r="J1992" s="50" t="n">
        <f aca="false">H1992*INDEX('Model Inputs &amp; Assumptions'!$D$40:$D$42,MATCH('Model Inputs &amp; Assumptions'!$L$31,'Model Inputs &amp; Assumptions'!$A$40:$A$42,0))*INDEX('Model Inputs &amp; Assumptions'!$H$40:$H$42,MATCH('Model Inputs &amp; Assumptions'!$L$31,'Model Inputs &amp; Assumptions'!$A$40:$A$42,0))</f>
        <v>393008.845091378</v>
      </c>
      <c r="K1992" s="49" t="n">
        <f aca="false">H1992*INDEX('Model Inputs &amp; Assumptions'!$G$40:$G$42,MATCH('Model Inputs &amp; Assumptions'!$L$31,'Model Inputs &amp; Assumptions'!$A$40:$A$42,0))*INDEX('Model Inputs &amp; Assumptions'!$H$40:$H$42,MATCH('Model Inputs &amp; Assumptions'!$L$31,'Model Inputs &amp; Assumptions'!$A$40:$A$42,0))</f>
        <v>8665.84503426488</v>
      </c>
      <c r="L1992" s="51" t="n">
        <f aca="false">IFERROR(K1992/I1992,0)</f>
        <v>1.89306489628775</v>
      </c>
      <c r="M1992" s="49" t="n">
        <f aca="false">IFERROR(I1992/H1992,0)</f>
        <v>83.8640029252693</v>
      </c>
      <c r="N1992" s="52" t="str">
        <f aca="false">'Model Inputs &amp; Assumptions'!$L$31</f>
        <v>PRD-USIQ</v>
      </c>
      <c r="P1992" s="53" t="n">
        <v>-0.480369</v>
      </c>
      <c r="Q1992" s="53" t="n">
        <v>-0.859101</v>
      </c>
      <c r="R1992" s="53" t="n">
        <v>-0.383882</v>
      </c>
      <c r="S1992" s="53" t="n">
        <v>0.82087</v>
      </c>
    </row>
    <row r="1993" customFormat="false" ht="15" hidden="false" customHeight="false" outlineLevel="0" collapsed="false">
      <c r="A1993" s="43" t="n">
        <v>490</v>
      </c>
      <c r="B1993" s="44" t="str">
        <f aca="false">'Model Inputs &amp; Assumptions'!$B$31</f>
        <v>YouTube — Finfluencer Pre-roll</v>
      </c>
      <c r="C1993" s="45" t="n">
        <f aca="false">ROUND(MAX(0,'Model Inputs &amp; Assumptions'!$S$31*EXP('Model Inputs &amp; Assumptions'!$T$31*P1993-'Model Inputs &amp; Assumptions'!$T$31^2/2)),0)</f>
        <v>596569</v>
      </c>
      <c r="D1993" s="46" t="n">
        <f aca="false">MIN(1,'Model Inputs &amp; Assumptions'!$U$31*EXP('Model Inputs &amp; Assumptions'!$V$31*Q1993-'Model Inputs &amp; Assumptions'!$V$31^2/2))</f>
        <v>0.493918516338619</v>
      </c>
      <c r="E1993" s="45" t="n">
        <f aca="false">ROUND(C1993*D1993,0)</f>
        <v>294656</v>
      </c>
      <c r="F1993" s="47" t="n">
        <f aca="false">MIN(1,'Model Inputs &amp; Assumptions'!$W$31*EXP('Model Inputs &amp; Assumptions'!$X$31*R1993-'Model Inputs &amp; Assumptions'!$X$31^2/2))</f>
        <v>0.00565454695575587</v>
      </c>
      <c r="G1993" s="45" t="n">
        <f aca="false">ROUND(C1993*F1993,0)</f>
        <v>3373</v>
      </c>
      <c r="H1993" s="48" t="n">
        <f aca="false">MAX(0,(C1993*'Model Inputs &amp; Assumptions'!$N$31+E1993*'Model Inputs &amp; Assumptions'!$O$31+G1993*'Model Inputs &amp; Assumptions'!$P$31)*EXP('Model Inputs &amp; Assumptions'!$Q$31*S1993-'Model Inputs &amp; Assumptions'!$Q$31^2/2))</f>
        <v>68.0982849921982</v>
      </c>
      <c r="I1993" s="49" t="n">
        <f aca="false">IF('Model Inputs &amp; Assumptions'!$H$31="Fixed",'Model Inputs &amp; Assumptions'!$I$31*'Model Inputs &amp; Assumptions'!$K$31,IF('Model Inputs &amp; Assumptions'!$H$31="CPM",'Model Inputs &amp; Assumptions'!$I$31*'Model Inputs &amp; Assumptions'!$K$31*C1993/1000,IF('Model Inputs &amp; Assumptions'!$H$31="CPC",'Model Inputs &amp; Assumptions'!$I$31*'Model Inputs &amp; Assumptions'!$K$31*G1993,0)))</f>
        <v>6768.671874</v>
      </c>
      <c r="J1993" s="50" t="n">
        <f aca="false">H1993*INDEX('Model Inputs &amp; Assumptions'!$D$40:$D$42,MATCH('Model Inputs &amp; Assumptions'!$L$31,'Model Inputs &amp; Assumptions'!$A$40:$A$42,0))*INDEX('Model Inputs &amp; Assumptions'!$H$40:$H$42,MATCH('Model Inputs &amp; Assumptions'!$L$31,'Model Inputs &amp; Assumptions'!$A$40:$A$42,0))</f>
        <v>490307.651943827</v>
      </c>
      <c r="K1993" s="49" t="n">
        <f aca="false">H1993*INDEX('Model Inputs &amp; Assumptions'!$G$40:$G$42,MATCH('Model Inputs &amp; Assumptions'!$L$31,'Model Inputs &amp; Assumptions'!$A$40:$A$42,0))*INDEX('Model Inputs &amp; Assumptions'!$H$40:$H$42,MATCH('Model Inputs &amp; Assumptions'!$L$31,'Model Inputs &amp; Assumptions'!$A$40:$A$42,0))</f>
        <v>10811.2837253614</v>
      </c>
      <c r="L1993" s="51" t="n">
        <f aca="false">IFERROR(K1993/I1993,0)</f>
        <v>1.59725333516165</v>
      </c>
      <c r="M1993" s="49" t="n">
        <f aca="false">IFERROR(I1993/H1993,0)</f>
        <v>99.3956290496224</v>
      </c>
      <c r="N1993" s="52" t="str">
        <f aca="false">'Model Inputs &amp; Assumptions'!$L$31</f>
        <v>PRD-USIQ</v>
      </c>
      <c r="P1993" s="53" t="n">
        <v>0.916462</v>
      </c>
      <c r="Q1993" s="53" t="n">
        <v>-1.199657</v>
      </c>
      <c r="R1993" s="53" t="n">
        <v>0.632592</v>
      </c>
      <c r="S1993" s="53" t="n">
        <v>-0.068925</v>
      </c>
    </row>
    <row r="1994" customFormat="false" ht="15" hidden="false" customHeight="false" outlineLevel="0" collapsed="false">
      <c r="A1994" s="43" t="n">
        <v>491</v>
      </c>
      <c r="B1994" s="44" t="str">
        <f aca="false">'Model Inputs &amp; Assumptions'!$B$31</f>
        <v>YouTube — Finfluencer Pre-roll</v>
      </c>
      <c r="C1994" s="45" t="n">
        <f aca="false">ROUND(MAX(0,'Model Inputs &amp; Assumptions'!$S$31*EXP('Model Inputs &amp; Assumptions'!$T$31*P1994-'Model Inputs &amp; Assumptions'!$T$31^2/2)),0)</f>
        <v>684792</v>
      </c>
      <c r="D1994" s="46" t="n">
        <f aca="false">MIN(1,'Model Inputs &amp; Assumptions'!$U$31*EXP('Model Inputs &amp; Assumptions'!$V$31*Q1994-'Model Inputs &amp; Assumptions'!$V$31^2/2))</f>
        <v>0.691714706592865</v>
      </c>
      <c r="E1994" s="45" t="n">
        <f aca="false">ROUND(C1994*D1994,0)</f>
        <v>473681</v>
      </c>
      <c r="F1994" s="47" t="n">
        <f aca="false">MIN(1,'Model Inputs &amp; Assumptions'!$W$31*EXP('Model Inputs &amp; Assumptions'!$X$31*R1994-'Model Inputs &amp; Assumptions'!$X$31^2/2))</f>
        <v>0.00357827826238934</v>
      </c>
      <c r="G1994" s="45" t="n">
        <f aca="false">ROUND(C1994*F1994,0)</f>
        <v>2450</v>
      </c>
      <c r="H1994" s="48" t="n">
        <f aca="false">MAX(0,(C1994*'Model Inputs &amp; Assumptions'!$N$31+E1994*'Model Inputs &amp; Assumptions'!$O$31+G1994*'Model Inputs &amp; Assumptions'!$P$31)*EXP('Model Inputs &amp; Assumptions'!$Q$31*S1994-'Model Inputs &amp; Assumptions'!$Q$31^2/2))</f>
        <v>66.4540928489767</v>
      </c>
      <c r="I1994" s="49" t="n">
        <f aca="false">IF('Model Inputs &amp; Assumptions'!$H$31="Fixed",'Model Inputs &amp; Assumptions'!$I$31*'Model Inputs &amp; Assumptions'!$K$31,IF('Model Inputs &amp; Assumptions'!$H$31="CPM",'Model Inputs &amp; Assumptions'!$I$31*'Model Inputs &amp; Assumptions'!$K$31*C1994/1000,IF('Model Inputs &amp; Assumptions'!$H$31="CPC",'Model Inputs &amp; Assumptions'!$I$31*'Model Inputs &amp; Assumptions'!$K$31*G1994,0)))</f>
        <v>7769.650032</v>
      </c>
      <c r="J1994" s="50" t="n">
        <f aca="false">H1994*INDEX('Model Inputs &amp; Assumptions'!$D$40:$D$42,MATCH('Model Inputs &amp; Assumptions'!$L$31,'Model Inputs &amp; Assumptions'!$A$40:$A$42,0))*INDEX('Model Inputs &amp; Assumptions'!$H$40:$H$42,MATCH('Model Inputs &amp; Assumptions'!$L$31,'Model Inputs &amp; Assumptions'!$A$40:$A$42,0))</f>
        <v>478469.468512632</v>
      </c>
      <c r="K1994" s="49" t="n">
        <f aca="false">H1994*INDEX('Model Inputs &amp; Assumptions'!$G$40:$G$42,MATCH('Model Inputs &amp; Assumptions'!$L$31,'Model Inputs &amp; Assumptions'!$A$40:$A$42,0))*INDEX('Model Inputs &amp; Assumptions'!$H$40:$H$42,MATCH('Model Inputs &amp; Assumptions'!$L$31,'Model Inputs &amp; Assumptions'!$A$40:$A$42,0))</f>
        <v>10550.2517807035</v>
      </c>
      <c r="L1994" s="51" t="n">
        <f aca="false">IFERROR(K1994/I1994,0)</f>
        <v>1.35787992216527</v>
      </c>
      <c r="M1994" s="49" t="n">
        <f aca="false">IFERROR(I1994/H1994,0)</f>
        <v>116.917554644185</v>
      </c>
      <c r="N1994" s="52" t="str">
        <f aca="false">'Model Inputs &amp; Assumptions'!$L$31</f>
        <v>PRD-USIQ</v>
      </c>
      <c r="P1994" s="53" t="n">
        <v>1.40903</v>
      </c>
      <c r="Q1994" s="53" t="n">
        <v>1.206079</v>
      </c>
      <c r="R1994" s="53" t="n">
        <v>-1.273984</v>
      </c>
      <c r="S1994" s="53" t="n">
        <v>-0.157072</v>
      </c>
    </row>
    <row r="1995" customFormat="false" ht="15" hidden="false" customHeight="false" outlineLevel="0" collapsed="false">
      <c r="A1995" s="43" t="n">
        <v>492</v>
      </c>
      <c r="B1995" s="44" t="str">
        <f aca="false">'Model Inputs &amp; Assumptions'!$B$31</f>
        <v>YouTube — Finfluencer Pre-roll</v>
      </c>
      <c r="C1995" s="45" t="n">
        <f aca="false">ROUND(MAX(0,'Model Inputs &amp; Assumptions'!$S$31*EXP('Model Inputs &amp; Assumptions'!$T$31*P1995-'Model Inputs &amp; Assumptions'!$T$31^2/2)),0)</f>
        <v>464246</v>
      </c>
      <c r="D1995" s="46" t="n">
        <f aca="false">MIN(1,'Model Inputs &amp; Assumptions'!$U$31*EXP('Model Inputs &amp; Assumptions'!$V$31*Q1995-'Model Inputs &amp; Assumptions'!$V$31^2/2))</f>
        <v>0.623656612800595</v>
      </c>
      <c r="E1995" s="45" t="n">
        <f aca="false">ROUND(C1995*D1995,0)</f>
        <v>289530</v>
      </c>
      <c r="F1995" s="47" t="n">
        <f aca="false">MIN(1,'Model Inputs &amp; Assumptions'!$W$31*EXP('Model Inputs &amp; Assumptions'!$X$31*R1995-'Model Inputs &amp; Assumptions'!$X$31^2/2))</f>
        <v>0.00505717320691662</v>
      </c>
      <c r="G1995" s="45" t="n">
        <f aca="false">ROUND(C1995*F1995,0)</f>
        <v>2348</v>
      </c>
      <c r="H1995" s="48" t="n">
        <f aca="false">MAX(0,(C1995*'Model Inputs &amp; Assumptions'!$N$31+E1995*'Model Inputs &amp; Assumptions'!$O$31+G1995*'Model Inputs &amp; Assumptions'!$P$31)*EXP('Model Inputs &amp; Assumptions'!$Q$31*S1995-'Model Inputs &amp; Assumptions'!$Q$31^2/2))</f>
        <v>79.0729365931401</v>
      </c>
      <c r="I1995" s="49" t="n">
        <f aca="false">IF('Model Inputs &amp; Assumptions'!$H$31="Fixed",'Model Inputs &amp; Assumptions'!$I$31*'Model Inputs &amp; Assumptions'!$K$31,IF('Model Inputs &amp; Assumptions'!$H$31="CPM",'Model Inputs &amp; Assumptions'!$I$31*'Model Inputs &amp; Assumptions'!$K$31*C1995/1000,IF('Model Inputs &amp; Assumptions'!$H$31="CPC",'Model Inputs &amp; Assumptions'!$I$31*'Model Inputs &amp; Assumptions'!$K$31*G1995,0)))</f>
        <v>5267.335116</v>
      </c>
      <c r="J1995" s="50" t="n">
        <f aca="false">H1995*INDEX('Model Inputs &amp; Assumptions'!$D$40:$D$42,MATCH('Model Inputs &amp; Assumptions'!$L$31,'Model Inputs &amp; Assumptions'!$A$40:$A$42,0))*INDEX('Model Inputs &amp; Assumptions'!$H$40:$H$42,MATCH('Model Inputs &amp; Assumptions'!$L$31,'Model Inputs &amp; Assumptions'!$A$40:$A$42,0))</f>
        <v>569325.143470609</v>
      </c>
      <c r="K1995" s="49" t="n">
        <f aca="false">H1995*INDEX('Model Inputs &amp; Assumptions'!$G$40:$G$42,MATCH('Model Inputs &amp; Assumptions'!$L$31,'Model Inputs &amp; Assumptions'!$A$40:$A$42,0))*INDEX('Model Inputs &amp; Assumptions'!$H$40:$H$42,MATCH('Model Inputs &amp; Assumptions'!$L$31,'Model Inputs &amp; Assumptions'!$A$40:$A$42,0))</f>
        <v>12553.6194135269</v>
      </c>
      <c r="L1995" s="51" t="n">
        <f aca="false">IFERROR(K1995/I1995,0)</f>
        <v>2.38329613306626</v>
      </c>
      <c r="M1995" s="49" t="n">
        <f aca="false">IFERROR(I1995/H1995,0)</f>
        <v>66.6136271516311</v>
      </c>
      <c r="N1995" s="52" t="str">
        <f aca="false">'Model Inputs &amp; Assumptions'!$L$31</f>
        <v>PRD-USIQ</v>
      </c>
      <c r="P1995" s="53" t="n">
        <v>0.020814</v>
      </c>
      <c r="Q1995" s="53" t="n">
        <v>0.466267</v>
      </c>
      <c r="R1995" s="53" t="n">
        <v>0.167374</v>
      </c>
      <c r="S1995" s="53" t="n">
        <v>1.041732</v>
      </c>
    </row>
    <row r="1996" customFormat="false" ht="15" hidden="false" customHeight="false" outlineLevel="0" collapsed="false">
      <c r="A1996" s="43" t="n">
        <v>493</v>
      </c>
      <c r="B1996" s="44" t="str">
        <f aca="false">'Model Inputs &amp; Assumptions'!$B$31</f>
        <v>YouTube — Finfluencer Pre-roll</v>
      </c>
      <c r="C1996" s="45" t="n">
        <f aca="false">ROUND(MAX(0,'Model Inputs &amp; Assumptions'!$S$31*EXP('Model Inputs &amp; Assumptions'!$T$31*P1996-'Model Inputs &amp; Assumptions'!$T$31^2/2)),0)</f>
        <v>711108</v>
      </c>
      <c r="D1996" s="46" t="n">
        <f aca="false">MIN(1,'Model Inputs &amp; Assumptions'!$U$31*EXP('Model Inputs &amp; Assumptions'!$V$31*Q1996-'Model Inputs &amp; Assumptions'!$V$31^2/2))</f>
        <v>0.725529372154097</v>
      </c>
      <c r="E1996" s="45" t="n">
        <f aca="false">ROUND(C1996*D1996,0)</f>
        <v>515930</v>
      </c>
      <c r="F1996" s="47" t="n">
        <f aca="false">MIN(1,'Model Inputs &amp; Assumptions'!$W$31*EXP('Model Inputs &amp; Assumptions'!$X$31*R1996-'Model Inputs &amp; Assumptions'!$X$31^2/2))</f>
        <v>0.00570062918700693</v>
      </c>
      <c r="G1996" s="45" t="n">
        <f aca="false">ROUND(C1996*F1996,0)</f>
        <v>4054</v>
      </c>
      <c r="H1996" s="48" t="n">
        <f aca="false">MAX(0,(C1996*'Model Inputs &amp; Assumptions'!$N$31+E1996*'Model Inputs &amp; Assumptions'!$O$31+G1996*'Model Inputs &amp; Assumptions'!$P$31)*EXP('Model Inputs &amp; Assumptions'!$Q$31*S1996-'Model Inputs &amp; Assumptions'!$Q$31^2/2))</f>
        <v>74.5648578718697</v>
      </c>
      <c r="I1996" s="49" t="n">
        <f aca="false">IF('Model Inputs &amp; Assumptions'!$H$31="Fixed",'Model Inputs &amp; Assumptions'!$I$31*'Model Inputs &amp; Assumptions'!$K$31,IF('Model Inputs &amp; Assumptions'!$H$31="CPM",'Model Inputs &amp; Assumptions'!$I$31*'Model Inputs &amp; Assumptions'!$K$31*C1996/1000,IF('Model Inputs &amp; Assumptions'!$H$31="CPC",'Model Inputs &amp; Assumptions'!$I$31*'Model Inputs &amp; Assumptions'!$K$31*G1996,0)))</f>
        <v>8068.231368</v>
      </c>
      <c r="J1996" s="50" t="n">
        <f aca="false">H1996*INDEX('Model Inputs &amp; Assumptions'!$D$40:$D$42,MATCH('Model Inputs &amp; Assumptions'!$L$31,'Model Inputs &amp; Assumptions'!$A$40:$A$42,0))*INDEX('Model Inputs &amp; Assumptions'!$H$40:$H$42,MATCH('Model Inputs &amp; Assumptions'!$L$31,'Model Inputs &amp; Assumptions'!$A$40:$A$42,0))</f>
        <v>536866.976677462</v>
      </c>
      <c r="K1996" s="49" t="n">
        <f aca="false">H1996*INDEX('Model Inputs &amp; Assumptions'!$G$40:$G$42,MATCH('Model Inputs &amp; Assumptions'!$L$31,'Model Inputs &amp; Assumptions'!$A$40:$A$42,0))*INDEX('Model Inputs &amp; Assumptions'!$H$40:$H$42,MATCH('Model Inputs &amp; Assumptions'!$L$31,'Model Inputs &amp; Assumptions'!$A$40:$A$42,0))</f>
        <v>11837.916835738</v>
      </c>
      <c r="L1996" s="51" t="n">
        <f aca="false">IFERROR(K1996/I1996,0)</f>
        <v>1.46722575193979</v>
      </c>
      <c r="M1996" s="49" t="n">
        <f aca="false">IFERROR(I1996/H1996,0)</f>
        <v>108.204207696127</v>
      </c>
      <c r="N1996" s="52" t="str">
        <f aca="false">'Model Inputs &amp; Assumptions'!$L$31</f>
        <v>PRD-USIQ</v>
      </c>
      <c r="P1996" s="53" t="n">
        <v>1.543709</v>
      </c>
      <c r="Q1996" s="53" t="n">
        <v>1.546993</v>
      </c>
      <c r="R1996" s="53" t="n">
        <v>0.666411</v>
      </c>
      <c r="S1996" s="53" t="n">
        <v>-0.722516</v>
      </c>
    </row>
    <row r="1997" customFormat="false" ht="15" hidden="false" customHeight="false" outlineLevel="0" collapsed="false">
      <c r="A1997" s="43" t="n">
        <v>494</v>
      </c>
      <c r="B1997" s="44" t="str">
        <f aca="false">'Model Inputs &amp; Assumptions'!$B$31</f>
        <v>YouTube — Finfluencer Pre-roll</v>
      </c>
      <c r="C1997" s="45" t="n">
        <f aca="false">ROUND(MAX(0,'Model Inputs &amp; Assumptions'!$S$31*EXP('Model Inputs &amp; Assumptions'!$T$31*P1997-'Model Inputs &amp; Assumptions'!$T$31^2/2)),0)</f>
        <v>387370</v>
      </c>
      <c r="D1997" s="46" t="n">
        <f aca="false">MIN(1,'Model Inputs &amp; Assumptions'!$U$31*EXP('Model Inputs &amp; Assumptions'!$V$31*Q1997-'Model Inputs &amp; Assumptions'!$V$31^2/2))</f>
        <v>0.764578068250947</v>
      </c>
      <c r="E1997" s="45" t="n">
        <f aca="false">ROUND(C1997*D1997,0)</f>
        <v>296175</v>
      </c>
      <c r="F1997" s="47" t="n">
        <f aca="false">MIN(1,'Model Inputs &amp; Assumptions'!$W$31*EXP('Model Inputs &amp; Assumptions'!$X$31*R1997-'Model Inputs &amp; Assumptions'!$X$31^2/2))</f>
        <v>0.00348664233841435</v>
      </c>
      <c r="G1997" s="45" t="n">
        <f aca="false">ROUND(C1997*F1997,0)</f>
        <v>1351</v>
      </c>
      <c r="H1997" s="48" t="n">
        <f aca="false">MAX(0,(C1997*'Model Inputs &amp; Assumptions'!$N$31+E1997*'Model Inputs &amp; Assumptions'!$O$31+G1997*'Model Inputs &amp; Assumptions'!$P$31)*EXP('Model Inputs &amp; Assumptions'!$Q$31*S1997-'Model Inputs &amp; Assumptions'!$Q$31^2/2))</f>
        <v>40.2029281017346</v>
      </c>
      <c r="I1997" s="49" t="n">
        <f aca="false">IF('Model Inputs &amp; Assumptions'!$H$31="Fixed",'Model Inputs &amp; Assumptions'!$I$31*'Model Inputs &amp; Assumptions'!$K$31,IF('Model Inputs &amp; Assumptions'!$H$31="CPM",'Model Inputs &amp; Assumptions'!$I$31*'Model Inputs &amp; Assumptions'!$K$31*C1997/1000,IF('Model Inputs &amp; Assumptions'!$H$31="CPC",'Model Inputs &amp; Assumptions'!$I$31*'Model Inputs &amp; Assumptions'!$K$31*G1997,0)))</f>
        <v>4395.10002</v>
      </c>
      <c r="J1997" s="50" t="n">
        <f aca="false">H1997*INDEX('Model Inputs &amp; Assumptions'!$D$40:$D$42,MATCH('Model Inputs &amp; Assumptions'!$L$31,'Model Inputs &amp; Assumptions'!$A$40:$A$42,0))*INDEX('Model Inputs &amp; Assumptions'!$H$40:$H$42,MATCH('Model Inputs &amp; Assumptions'!$L$31,'Model Inputs &amp; Assumptions'!$A$40:$A$42,0))</f>
        <v>289461.082332489</v>
      </c>
      <c r="K1997" s="49" t="n">
        <f aca="false">H1997*INDEX('Model Inputs &amp; Assumptions'!$G$40:$G$42,MATCH('Model Inputs &amp; Assumptions'!$L$31,'Model Inputs &amp; Assumptions'!$A$40:$A$42,0))*INDEX('Model Inputs &amp; Assumptions'!$H$40:$H$42,MATCH('Model Inputs &amp; Assumptions'!$L$31,'Model Inputs &amp; Assumptions'!$A$40:$A$42,0))</f>
        <v>6382.61686543138</v>
      </c>
      <c r="L1997" s="51" t="n">
        <f aca="false">IFERROR(K1997/I1997,0)</f>
        <v>1.45221197160182</v>
      </c>
      <c r="M1997" s="49" t="n">
        <f aca="false">IFERROR(I1997/H1997,0)</f>
        <v>109.322883370039</v>
      </c>
      <c r="N1997" s="52" t="str">
        <f aca="false">'Model Inputs &amp; Assumptions'!$L$31</f>
        <v>PRD-USIQ</v>
      </c>
      <c r="P1997" s="53" t="n">
        <v>-0.625736</v>
      </c>
      <c r="Q1997" s="53" t="n">
        <v>1.92144</v>
      </c>
      <c r="R1997" s="53" t="n">
        <v>-1.382078</v>
      </c>
      <c r="S1997" s="53" t="n">
        <v>-0.080193</v>
      </c>
    </row>
    <row r="1998" customFormat="false" ht="15" hidden="false" customHeight="false" outlineLevel="0" collapsed="false">
      <c r="A1998" s="43" t="n">
        <v>495</v>
      </c>
      <c r="B1998" s="44" t="str">
        <f aca="false">'Model Inputs &amp; Assumptions'!$B$31</f>
        <v>YouTube — Finfluencer Pre-roll</v>
      </c>
      <c r="C1998" s="45" t="n">
        <f aca="false">ROUND(MAX(0,'Model Inputs &amp; Assumptions'!$S$31*EXP('Model Inputs &amp; Assumptions'!$T$31*P1998-'Model Inputs &amp; Assumptions'!$T$31^2/2)),0)</f>
        <v>468756</v>
      </c>
      <c r="D1998" s="46" t="n">
        <f aca="false">MIN(1,'Model Inputs &amp; Assumptions'!$U$31*EXP('Model Inputs &amp; Assumptions'!$V$31*Q1998-'Model Inputs &amp; Assumptions'!$V$31^2/2))</f>
        <v>0.464607813041076</v>
      </c>
      <c r="E1998" s="45" t="n">
        <f aca="false">ROUND(C1998*D1998,0)</f>
        <v>217788</v>
      </c>
      <c r="F1998" s="47" t="n">
        <f aca="false">MIN(1,'Model Inputs &amp; Assumptions'!$W$31*EXP('Model Inputs &amp; Assumptions'!$X$31*R1998-'Model Inputs &amp; Assumptions'!$X$31^2/2))</f>
        <v>0.00435824037609209</v>
      </c>
      <c r="G1998" s="45" t="n">
        <f aca="false">ROUND(C1998*F1998,0)</f>
        <v>2043</v>
      </c>
      <c r="H1998" s="48" t="n">
        <f aca="false">MAX(0,(C1998*'Model Inputs &amp; Assumptions'!$N$31+E1998*'Model Inputs &amp; Assumptions'!$O$31+G1998*'Model Inputs &amp; Assumptions'!$P$31)*EXP('Model Inputs &amp; Assumptions'!$Q$31*S1998-'Model Inputs &amp; Assumptions'!$Q$31^2/2))</f>
        <v>42.4103042384146</v>
      </c>
      <c r="I1998" s="49" t="n">
        <f aca="false">IF('Model Inputs &amp; Assumptions'!$H$31="Fixed",'Model Inputs &amp; Assumptions'!$I$31*'Model Inputs &amp; Assumptions'!$K$31,IF('Model Inputs &amp; Assumptions'!$H$31="CPM",'Model Inputs &amp; Assumptions'!$I$31*'Model Inputs &amp; Assumptions'!$K$31*C1998/1000,IF('Model Inputs &amp; Assumptions'!$H$31="CPC",'Model Inputs &amp; Assumptions'!$I$31*'Model Inputs &amp; Assumptions'!$K$31*G1998,0)))</f>
        <v>5318.505576</v>
      </c>
      <c r="J1998" s="50" t="n">
        <f aca="false">H1998*INDEX('Model Inputs &amp; Assumptions'!$D$40:$D$42,MATCH('Model Inputs &amp; Assumptions'!$L$31,'Model Inputs &amp; Assumptions'!$A$40:$A$42,0))*INDEX('Model Inputs &amp; Assumptions'!$H$40:$H$42,MATCH('Model Inputs &amp; Assumptions'!$L$31,'Model Inputs &amp; Assumptions'!$A$40:$A$42,0))</f>
        <v>305354.190516585</v>
      </c>
      <c r="K1998" s="49" t="n">
        <f aca="false">H1998*INDEX('Model Inputs &amp; Assumptions'!$G$40:$G$42,MATCH('Model Inputs &amp; Assumptions'!$L$31,'Model Inputs &amp; Assumptions'!$A$40:$A$42,0))*INDEX('Model Inputs &amp; Assumptions'!$H$40:$H$42,MATCH('Model Inputs &amp; Assumptions'!$L$31,'Model Inputs &amp; Assumptions'!$A$40:$A$42,0))</f>
        <v>6733.05990089071</v>
      </c>
      <c r="L1998" s="51" t="n">
        <f aca="false">IFERROR(K1998/I1998,0)</f>
        <v>1.26596838241064</v>
      </c>
      <c r="M1998" s="49" t="n">
        <f aca="false">IFERROR(I1998/H1998,0)</f>
        <v>125.405975540788</v>
      </c>
      <c r="N1998" s="52" t="str">
        <f aca="false">'Model Inputs &amp; Assumptions'!$L$31</f>
        <v>PRD-USIQ</v>
      </c>
      <c r="P1998" s="53" t="n">
        <v>0.055345</v>
      </c>
      <c r="Q1998" s="53" t="n">
        <v>-1.636635</v>
      </c>
      <c r="R1998" s="53" t="n">
        <v>-0.452373</v>
      </c>
      <c r="S1998" s="53" t="n">
        <v>-0.182789</v>
      </c>
    </row>
    <row r="1999" customFormat="false" ht="15" hidden="false" customHeight="false" outlineLevel="0" collapsed="false">
      <c r="A1999" s="43" t="n">
        <v>496</v>
      </c>
      <c r="B1999" s="44" t="str">
        <f aca="false">'Model Inputs &amp; Assumptions'!$B$31</f>
        <v>YouTube — Finfluencer Pre-roll</v>
      </c>
      <c r="C1999" s="45" t="n">
        <f aca="false">ROUND(MAX(0,'Model Inputs &amp; Assumptions'!$S$31*EXP('Model Inputs &amp; Assumptions'!$T$31*P1999-'Model Inputs &amp; Assumptions'!$T$31^2/2)),0)</f>
        <v>287729</v>
      </c>
      <c r="D1999" s="46" t="n">
        <f aca="false">MIN(1,'Model Inputs &amp; Assumptions'!$U$31*EXP('Model Inputs &amp; Assumptions'!$V$31*Q1999-'Model Inputs &amp; Assumptions'!$V$31^2/2))</f>
        <v>0.667323127010317</v>
      </c>
      <c r="E1999" s="45" t="n">
        <f aca="false">ROUND(C1999*D1999,0)</f>
        <v>192008</v>
      </c>
      <c r="F1999" s="47" t="n">
        <f aca="false">MIN(1,'Model Inputs &amp; Assumptions'!$W$31*EXP('Model Inputs &amp; Assumptions'!$X$31*R1999-'Model Inputs &amp; Assumptions'!$X$31^2/2))</f>
        <v>0.00549796262852239</v>
      </c>
      <c r="G1999" s="45" t="n">
        <f aca="false">ROUND(C1999*F1999,0)</f>
        <v>1582</v>
      </c>
      <c r="H1999" s="48" t="n">
        <f aca="false">MAX(0,(C1999*'Model Inputs &amp; Assumptions'!$N$31+E1999*'Model Inputs &amp; Assumptions'!$O$31+G1999*'Model Inputs &amp; Assumptions'!$P$31)*EXP('Model Inputs &amp; Assumptions'!$Q$31*S1999-'Model Inputs &amp; Assumptions'!$Q$31^2/2))</f>
        <v>26.837232671376</v>
      </c>
      <c r="I1999" s="49" t="n">
        <f aca="false">IF('Model Inputs &amp; Assumptions'!$H$31="Fixed",'Model Inputs &amp; Assumptions'!$I$31*'Model Inputs &amp; Assumptions'!$K$31,IF('Model Inputs &amp; Assumptions'!$H$31="CPM",'Model Inputs &amp; Assumptions'!$I$31*'Model Inputs &amp; Assumptions'!$K$31*C1999/1000,IF('Model Inputs &amp; Assumptions'!$H$31="CPC",'Model Inputs &amp; Assumptions'!$I$31*'Model Inputs &amp; Assumptions'!$K$31*G1999,0)))</f>
        <v>3264.573234</v>
      </c>
      <c r="J1999" s="50" t="n">
        <f aca="false">H1999*INDEX('Model Inputs &amp; Assumptions'!$D$40:$D$42,MATCH('Model Inputs &amp; Assumptions'!$L$31,'Model Inputs &amp; Assumptions'!$A$40:$A$42,0))*INDEX('Model Inputs &amp; Assumptions'!$H$40:$H$42,MATCH('Model Inputs &amp; Assumptions'!$L$31,'Model Inputs &amp; Assumptions'!$A$40:$A$42,0))</f>
        <v>193228.075233908</v>
      </c>
      <c r="K1999" s="49" t="n">
        <f aca="false">H1999*INDEX('Model Inputs &amp; Assumptions'!$G$40:$G$42,MATCH('Model Inputs &amp; Assumptions'!$L$31,'Model Inputs &amp; Assumptions'!$A$40:$A$42,0))*INDEX('Model Inputs &amp; Assumptions'!$H$40:$H$42,MATCH('Model Inputs &amp; Assumptions'!$L$31,'Model Inputs &amp; Assumptions'!$A$40:$A$42,0))</f>
        <v>4260.67905890766</v>
      </c>
      <c r="L1999" s="51" t="n">
        <f aca="false">IFERROR(K1999/I1999,0)</f>
        <v>1.30512589349609</v>
      </c>
      <c r="M1999" s="49" t="n">
        <f aca="false">IFERROR(I1999/H1999,0)</f>
        <v>121.643437457764</v>
      </c>
      <c r="N1999" s="52" t="str">
        <f aca="false">'Model Inputs &amp; Assumptions'!$L$31</f>
        <v>PRD-USIQ</v>
      </c>
      <c r="P1999" s="53" t="n">
        <v>-1.687743</v>
      </c>
      <c r="Q1999" s="53" t="n">
        <v>0.949656</v>
      </c>
      <c r="R1999" s="53" t="n">
        <v>0.515582</v>
      </c>
      <c r="S1999" s="53" t="n">
        <v>-0.899551</v>
      </c>
    </row>
    <row r="2000" customFormat="false" ht="15" hidden="false" customHeight="false" outlineLevel="0" collapsed="false">
      <c r="A2000" s="43" t="n">
        <v>497</v>
      </c>
      <c r="B2000" s="44" t="str">
        <f aca="false">'Model Inputs &amp; Assumptions'!$B$31</f>
        <v>YouTube — Finfluencer Pre-roll</v>
      </c>
      <c r="C2000" s="45" t="n">
        <f aca="false">ROUND(MAX(0,'Model Inputs &amp; Assumptions'!$S$31*EXP('Model Inputs &amp; Assumptions'!$T$31*P2000-'Model Inputs &amp; Assumptions'!$T$31^2/2)),0)</f>
        <v>381492</v>
      </c>
      <c r="D2000" s="46" t="n">
        <f aca="false">MIN(1,'Model Inputs &amp; Assumptions'!$U$31*EXP('Model Inputs &amp; Assumptions'!$V$31*Q2000-'Model Inputs &amp; Assumptions'!$V$31^2/2))</f>
        <v>0.57592539912483</v>
      </c>
      <c r="E2000" s="45" t="n">
        <f aca="false">ROUND(C2000*D2000,0)</f>
        <v>219711</v>
      </c>
      <c r="F2000" s="47" t="n">
        <f aca="false">MIN(1,'Model Inputs &amp; Assumptions'!$W$31*EXP('Model Inputs &amp; Assumptions'!$X$31*R2000-'Model Inputs &amp; Assumptions'!$X$31^2/2))</f>
        <v>0.00383801855619376</v>
      </c>
      <c r="G2000" s="45" t="n">
        <f aca="false">ROUND(C2000*F2000,0)</f>
        <v>1464</v>
      </c>
      <c r="H2000" s="48" t="n">
        <f aca="false">MAX(0,(C2000*'Model Inputs &amp; Assumptions'!$N$31+E2000*'Model Inputs &amp; Assumptions'!$O$31+G2000*'Model Inputs &amp; Assumptions'!$P$31)*EXP('Model Inputs &amp; Assumptions'!$Q$31*S2000-'Model Inputs &amp; Assumptions'!$Q$31^2/2))</f>
        <v>45.8395088172733</v>
      </c>
      <c r="I2000" s="49" t="n">
        <f aca="false">IF('Model Inputs &amp; Assumptions'!$H$31="Fixed",'Model Inputs &amp; Assumptions'!$I$31*'Model Inputs &amp; Assumptions'!$K$31,IF('Model Inputs &amp; Assumptions'!$H$31="CPM",'Model Inputs &amp; Assumptions'!$I$31*'Model Inputs &amp; Assumptions'!$K$31*C2000/1000,IF('Model Inputs &amp; Assumptions'!$H$31="CPC",'Model Inputs &amp; Assumptions'!$I$31*'Model Inputs &amp; Assumptions'!$K$31*G2000,0)))</f>
        <v>4328.408232</v>
      </c>
      <c r="J2000" s="50" t="n">
        <f aca="false">H2000*INDEX('Model Inputs &amp; Assumptions'!$D$40:$D$42,MATCH('Model Inputs &amp; Assumptions'!$L$31,'Model Inputs &amp; Assumptions'!$A$40:$A$42,0))*INDEX('Model Inputs &amp; Assumptions'!$H$40:$H$42,MATCH('Model Inputs &amp; Assumptions'!$L$31,'Model Inputs &amp; Assumptions'!$A$40:$A$42,0))</f>
        <v>330044.463484368</v>
      </c>
      <c r="K2000" s="49" t="n">
        <f aca="false">H2000*INDEX('Model Inputs &amp; Assumptions'!$G$40:$G$42,MATCH('Model Inputs &amp; Assumptions'!$L$31,'Model Inputs &amp; Assumptions'!$A$40:$A$42,0))*INDEX('Model Inputs &amp; Assumptions'!$H$40:$H$42,MATCH('Model Inputs &amp; Assumptions'!$L$31,'Model Inputs &amp; Assumptions'!$A$40:$A$42,0))</f>
        <v>7277.48041983031</v>
      </c>
      <c r="L2000" s="51" t="n">
        <f aca="false">IFERROR(K2000/I2000,0)</f>
        <v>1.68132949337536</v>
      </c>
      <c r="M2000" s="49" t="n">
        <f aca="false">IFERROR(I2000/H2000,0)</f>
        <v>94.4252751322886</v>
      </c>
      <c r="N2000" s="52" t="str">
        <f aca="false">'Model Inputs &amp; Assumptions'!$L$31</f>
        <v>PRD-USIQ</v>
      </c>
      <c r="P2000" s="53" t="n">
        <v>-0.680345</v>
      </c>
      <c r="Q2000" s="53" t="n">
        <v>-0.10246</v>
      </c>
      <c r="R2000" s="53" t="n">
        <v>-0.982007</v>
      </c>
      <c r="S2000" s="53" t="n">
        <v>0.597607</v>
      </c>
    </row>
    <row r="2001" customFormat="false" ht="15" hidden="false" customHeight="false" outlineLevel="0" collapsed="false">
      <c r="A2001" s="43" t="n">
        <v>498</v>
      </c>
      <c r="B2001" s="44" t="str">
        <f aca="false">'Model Inputs &amp; Assumptions'!$B$31</f>
        <v>YouTube — Finfluencer Pre-roll</v>
      </c>
      <c r="C2001" s="45" t="n">
        <f aca="false">ROUND(MAX(0,'Model Inputs &amp; Assumptions'!$S$31*EXP('Model Inputs &amp; Assumptions'!$T$31*P2001-'Model Inputs &amp; Assumptions'!$T$31^2/2)),0)</f>
        <v>466305</v>
      </c>
      <c r="D2001" s="46" t="n">
        <f aca="false">MIN(1,'Model Inputs &amp; Assumptions'!$U$31*EXP('Model Inputs &amp; Assumptions'!$V$31*Q2001-'Model Inputs &amp; Assumptions'!$V$31^2/2))</f>
        <v>0.591535711992221</v>
      </c>
      <c r="E2001" s="45" t="n">
        <f aca="false">ROUND(C2001*D2001,0)</f>
        <v>275836</v>
      </c>
      <c r="F2001" s="47" t="n">
        <f aca="false">MIN(1,'Model Inputs &amp; Assumptions'!$W$31*EXP('Model Inputs &amp; Assumptions'!$X$31*R2001-'Model Inputs &amp; Assumptions'!$X$31^2/2))</f>
        <v>0.00280191813941884</v>
      </c>
      <c r="G2001" s="45" t="n">
        <f aca="false">ROUND(C2001*F2001,0)</f>
        <v>1307</v>
      </c>
      <c r="H2001" s="48" t="n">
        <f aca="false">MAX(0,(C2001*'Model Inputs &amp; Assumptions'!$N$31+E2001*'Model Inputs &amp; Assumptions'!$O$31+G2001*'Model Inputs &amp; Assumptions'!$P$31)*EXP('Model Inputs &amp; Assumptions'!$Q$31*S2001-'Model Inputs &amp; Assumptions'!$Q$31^2/2))</f>
        <v>61.4444405501708</v>
      </c>
      <c r="I2001" s="49" t="n">
        <f aca="false">IF('Model Inputs &amp; Assumptions'!$H$31="Fixed",'Model Inputs &amp; Assumptions'!$I$31*'Model Inputs &amp; Assumptions'!$K$31,IF('Model Inputs &amp; Assumptions'!$H$31="CPM",'Model Inputs &amp; Assumptions'!$I$31*'Model Inputs &amp; Assumptions'!$K$31*C2001/1000,IF('Model Inputs &amp; Assumptions'!$H$31="CPC",'Model Inputs &amp; Assumptions'!$I$31*'Model Inputs &amp; Assumptions'!$K$31*G2001,0)))</f>
        <v>5290.69653</v>
      </c>
      <c r="J2001" s="50" t="n">
        <f aca="false">H2001*INDEX('Model Inputs &amp; Assumptions'!$D$40:$D$42,MATCH('Model Inputs &amp; Assumptions'!$L$31,'Model Inputs &amp; Assumptions'!$A$40:$A$42,0))*INDEX('Model Inputs &amp; Assumptions'!$H$40:$H$42,MATCH('Model Inputs &amp; Assumptions'!$L$31,'Model Inputs &amp; Assumptions'!$A$40:$A$42,0))</f>
        <v>442399.971961229</v>
      </c>
      <c r="K2001" s="49" t="n">
        <f aca="false">H2001*INDEX('Model Inputs &amp; Assumptions'!$G$40:$G$42,MATCH('Model Inputs &amp; Assumptions'!$L$31,'Model Inputs &amp; Assumptions'!$A$40:$A$42,0))*INDEX('Model Inputs &amp; Assumptions'!$H$40:$H$42,MATCH('Model Inputs &amp; Assumptions'!$L$31,'Model Inputs &amp; Assumptions'!$A$40:$A$42,0))</f>
        <v>9754.91938174511</v>
      </c>
      <c r="L2001" s="51" t="n">
        <f aca="false">IFERROR(K2001/I2001,0)</f>
        <v>1.8437873588915</v>
      </c>
      <c r="M2001" s="49" t="n">
        <f aca="false">IFERROR(I2001/H2001,0)</f>
        <v>86.1053739382659</v>
      </c>
      <c r="N2001" s="52" t="str">
        <f aca="false">'Model Inputs &amp; Assumptions'!$L$31</f>
        <v>PRD-USIQ</v>
      </c>
      <c r="P2001" s="53" t="n">
        <v>0.036621</v>
      </c>
      <c r="Q2001" s="53" t="n">
        <v>0.088568</v>
      </c>
      <c r="R2001" s="53" t="n">
        <v>-2.293057</v>
      </c>
      <c r="S2001" s="53" t="n">
        <v>1.284448</v>
      </c>
    </row>
    <row r="2002" customFormat="false" ht="15" hidden="false" customHeight="false" outlineLevel="0" collapsed="false">
      <c r="A2002" s="43" t="n">
        <v>499</v>
      </c>
      <c r="B2002" s="44" t="str">
        <f aca="false">'Model Inputs &amp; Assumptions'!$B$31</f>
        <v>YouTube — Finfluencer Pre-roll</v>
      </c>
      <c r="C2002" s="45" t="n">
        <f aca="false">ROUND(MAX(0,'Model Inputs &amp; Assumptions'!$S$31*EXP('Model Inputs &amp; Assumptions'!$T$31*P2002-'Model Inputs &amp; Assumptions'!$T$31^2/2)),0)</f>
        <v>527379</v>
      </c>
      <c r="D2002" s="46" t="n">
        <f aca="false">MIN(1,'Model Inputs &amp; Assumptions'!$U$31*EXP('Model Inputs &amp; Assumptions'!$V$31*Q2002-'Model Inputs &amp; Assumptions'!$V$31^2/2))</f>
        <v>0.579710196174467</v>
      </c>
      <c r="E2002" s="45" t="n">
        <f aca="false">ROUND(C2002*D2002,0)</f>
        <v>305727</v>
      </c>
      <c r="F2002" s="47" t="n">
        <f aca="false">MIN(1,'Model Inputs &amp; Assumptions'!$W$31*EXP('Model Inputs &amp; Assumptions'!$X$31*R2002-'Model Inputs &amp; Assumptions'!$X$31^2/2))</f>
        <v>0.00432101182004385</v>
      </c>
      <c r="G2002" s="45" t="n">
        <f aca="false">ROUND(C2002*F2002,0)</f>
        <v>2279</v>
      </c>
      <c r="H2002" s="48" t="n">
        <f aca="false">MAX(0,(C2002*'Model Inputs &amp; Assumptions'!$N$31+E2002*'Model Inputs &amp; Assumptions'!$O$31+G2002*'Model Inputs &amp; Assumptions'!$P$31)*EXP('Model Inputs &amp; Assumptions'!$Q$31*S2002-'Model Inputs &amp; Assumptions'!$Q$31^2/2))</f>
        <v>33.9860006506803</v>
      </c>
      <c r="I2002" s="49" t="n">
        <f aca="false">IF('Model Inputs &amp; Assumptions'!$H$31="Fixed",'Model Inputs &amp; Assumptions'!$I$31*'Model Inputs &amp; Assumptions'!$K$31,IF('Model Inputs &amp; Assumptions'!$H$31="CPM",'Model Inputs &amp; Assumptions'!$I$31*'Model Inputs &amp; Assumptions'!$K$31*C2002/1000,IF('Model Inputs &amp; Assumptions'!$H$31="CPC",'Model Inputs &amp; Assumptions'!$I$31*'Model Inputs &amp; Assumptions'!$K$31*G2002,0)))</f>
        <v>5983.642134</v>
      </c>
      <c r="J2002" s="50" t="n">
        <f aca="false">H2002*INDEX('Model Inputs &amp; Assumptions'!$D$40:$D$42,MATCH('Model Inputs &amp; Assumptions'!$L$31,'Model Inputs &amp; Assumptions'!$A$40:$A$42,0))*INDEX('Model Inputs &amp; Assumptions'!$H$40:$H$42,MATCH('Model Inputs &amp; Assumptions'!$L$31,'Model Inputs &amp; Assumptions'!$A$40:$A$42,0))</f>
        <v>244699.204684898</v>
      </c>
      <c r="K2002" s="49" t="n">
        <f aca="false">H2002*INDEX('Model Inputs &amp; Assumptions'!$G$40:$G$42,MATCH('Model Inputs &amp; Assumptions'!$L$31,'Model Inputs &amp; Assumptions'!$A$40:$A$42,0))*INDEX('Model Inputs &amp; Assumptions'!$H$40:$H$42,MATCH('Model Inputs &amp; Assumptions'!$L$31,'Model Inputs &amp; Assumptions'!$A$40:$A$42,0))</f>
        <v>5395.617463302</v>
      </c>
      <c r="L2002" s="51" t="n">
        <f aca="false">IFERROR(K2002/I2002,0)</f>
        <v>0.901727968095426</v>
      </c>
      <c r="M2002" s="49" t="n">
        <f aca="false">IFERROR(I2002/H2002,0)</f>
        <v>176.061967264166</v>
      </c>
      <c r="N2002" s="52" t="str">
        <f aca="false">'Model Inputs &amp; Assumptions'!$L$31</f>
        <v>PRD-USIQ</v>
      </c>
      <c r="P2002" s="53" t="n">
        <v>0.476191</v>
      </c>
      <c r="Q2002" s="53" t="n">
        <v>-0.055673</v>
      </c>
      <c r="R2002" s="53" t="n">
        <v>-0.488118</v>
      </c>
      <c r="S2002" s="53" t="n">
        <v>-1.383635</v>
      </c>
    </row>
    <row r="2003" customFormat="false" ht="15" hidden="false" customHeight="false" outlineLevel="0" collapsed="false">
      <c r="A2003" s="43" t="n">
        <v>500</v>
      </c>
      <c r="B2003" s="44" t="str">
        <f aca="false">'Model Inputs &amp; Assumptions'!$B$31</f>
        <v>YouTube — Finfluencer Pre-roll</v>
      </c>
      <c r="C2003" s="45" t="n">
        <f aca="false">ROUND(MAX(0,'Model Inputs &amp; Assumptions'!$S$31*EXP('Model Inputs &amp; Assumptions'!$T$31*P2003-'Model Inputs &amp; Assumptions'!$T$31^2/2)),0)</f>
        <v>412658</v>
      </c>
      <c r="D2003" s="46" t="n">
        <f aca="false">MIN(1,'Model Inputs &amp; Assumptions'!$U$31*EXP('Model Inputs &amp; Assumptions'!$V$31*Q2003-'Model Inputs &amp; Assumptions'!$V$31^2/2))</f>
        <v>0.673753257371205</v>
      </c>
      <c r="E2003" s="45" t="n">
        <f aca="false">ROUND(C2003*D2003,0)</f>
        <v>278030</v>
      </c>
      <c r="F2003" s="47" t="n">
        <f aca="false">MIN(1,'Model Inputs &amp; Assumptions'!$W$31*EXP('Model Inputs &amp; Assumptions'!$X$31*R2003-'Model Inputs &amp; Assumptions'!$X$31^2/2))</f>
        <v>0.00464741147442955</v>
      </c>
      <c r="G2003" s="45" t="n">
        <f aca="false">ROUND(C2003*F2003,0)</f>
        <v>1918</v>
      </c>
      <c r="H2003" s="48" t="n">
        <f aca="false">MAX(0,(C2003*'Model Inputs &amp; Assumptions'!$N$31+E2003*'Model Inputs &amp; Assumptions'!$O$31+G2003*'Model Inputs &amp; Assumptions'!$P$31)*EXP('Model Inputs &amp; Assumptions'!$Q$31*S2003-'Model Inputs &amp; Assumptions'!$Q$31^2/2))</f>
        <v>58.501359332811</v>
      </c>
      <c r="I2003" s="49" t="n">
        <f aca="false">IF('Model Inputs &amp; Assumptions'!$H$31="Fixed",'Model Inputs &amp; Assumptions'!$I$31*'Model Inputs &amp; Assumptions'!$K$31,IF('Model Inputs &amp; Assumptions'!$H$31="CPM",'Model Inputs &amp; Assumptions'!$I$31*'Model Inputs &amp; Assumptions'!$K$31*C2003/1000,IF('Model Inputs &amp; Assumptions'!$H$31="CPC",'Model Inputs &amp; Assumptions'!$I$31*'Model Inputs &amp; Assumptions'!$K$31*G2003,0)))</f>
        <v>4682.017668</v>
      </c>
      <c r="J2003" s="50" t="n">
        <f aca="false">H2003*INDEX('Model Inputs &amp; Assumptions'!$D$40:$D$42,MATCH('Model Inputs &amp; Assumptions'!$L$31,'Model Inputs &amp; Assumptions'!$A$40:$A$42,0))*INDEX('Model Inputs &amp; Assumptions'!$H$40:$H$42,MATCH('Model Inputs &amp; Assumptions'!$L$31,'Model Inputs &amp; Assumptions'!$A$40:$A$42,0))</f>
        <v>421209.787196239</v>
      </c>
      <c r="K2003" s="49" t="n">
        <f aca="false">H2003*INDEX('Model Inputs &amp; Assumptions'!$G$40:$G$42,MATCH('Model Inputs &amp; Assumptions'!$L$31,'Model Inputs &amp; Assumptions'!$A$40:$A$42,0))*INDEX('Model Inputs &amp; Assumptions'!$H$40:$H$42,MATCH('Model Inputs &amp; Assumptions'!$L$31,'Model Inputs &amp; Assumptions'!$A$40:$A$42,0))</f>
        <v>9287.67580767707</v>
      </c>
      <c r="L2003" s="51" t="n">
        <f aca="false">IFERROR(K2003/I2003,0)</f>
        <v>1.98369089274378</v>
      </c>
      <c r="M2003" s="49" t="n">
        <f aca="false">IFERROR(I2003/H2003,0)</f>
        <v>80.0326303764031</v>
      </c>
      <c r="N2003" s="52" t="str">
        <f aca="false">'Model Inputs &amp; Assumptions'!$L$31</f>
        <v>PRD-USIQ</v>
      </c>
      <c r="P2003" s="53" t="n">
        <v>-0.39988</v>
      </c>
      <c r="Q2003" s="53" t="n">
        <v>1.018153</v>
      </c>
      <c r="R2003" s="53" t="n">
        <v>-0.184698</v>
      </c>
      <c r="S2003" s="53" t="n">
        <v>0.566375</v>
      </c>
    </row>
    <row r="2004" customFormat="false" ht="15" hidden="false" customHeight="false" outlineLevel="0" collapsed="false">
      <c r="A2004" s="43" t="n">
        <v>1</v>
      </c>
      <c r="B2004" s="44" t="str">
        <f aca="false">'Model Inputs &amp; Assumptions'!$B$32</f>
        <v>Trade Republic — In-App Display</v>
      </c>
      <c r="C2004" s="45" t="n">
        <f aca="false">ROUND(MAX(0,'Model Inputs &amp; Assumptions'!$S$32*EXP('Model Inputs &amp; Assumptions'!$T$32*P2004-'Model Inputs &amp; Assumptions'!$T$32^2/2)),0)</f>
        <v>1408956</v>
      </c>
      <c r="D2004" s="46" t="n">
        <f aca="false">MIN(1,'Model Inputs &amp; Assumptions'!$U$32*EXP('Model Inputs &amp; Assumptions'!$V$32*Q2004-'Model Inputs &amp; Assumptions'!$V$32^2/2))</f>
        <v>0</v>
      </c>
      <c r="E2004" s="45" t="n">
        <f aca="false">ROUND(C2004*D2004,0)</f>
        <v>0</v>
      </c>
      <c r="F2004" s="47" t="n">
        <f aca="false">MIN(1,'Model Inputs &amp; Assumptions'!$W$32*EXP('Model Inputs &amp; Assumptions'!$X$32*R2004-'Model Inputs &amp; Assumptions'!$X$32^2/2))</f>
        <v>0.00238993714992556</v>
      </c>
      <c r="G2004" s="45" t="n">
        <f aca="false">ROUND(C2004*F2004,0)</f>
        <v>3367</v>
      </c>
      <c r="H2004" s="48" t="n">
        <f aca="false">MAX(0,(C2004*'Model Inputs &amp; Assumptions'!$N$32+E2004*'Model Inputs &amp; Assumptions'!$O$32+G2004*'Model Inputs &amp; Assumptions'!$P$32)*EXP('Model Inputs &amp; Assumptions'!$Q$32*S2004-'Model Inputs &amp; Assumptions'!$Q$32^2/2))</f>
        <v>185.947175362516</v>
      </c>
      <c r="I2004" s="49" t="n">
        <f aca="false">IF('Model Inputs &amp; Assumptions'!$H$32="Fixed",'Model Inputs &amp; Assumptions'!$I$32*'Model Inputs &amp; Assumptions'!$K$32,IF('Model Inputs &amp; Assumptions'!$H$32="CPM",'Model Inputs &amp; Assumptions'!$I$32*'Model Inputs &amp; Assumptions'!$K$32*C2004/1000,IF('Model Inputs &amp; Assumptions'!$H$32="CPC",'Model Inputs &amp; Assumptions'!$I$32*'Model Inputs &amp; Assumptions'!$K$32*G2004,0)))</f>
        <v>16907.472</v>
      </c>
      <c r="J2004" s="50" t="n">
        <f aca="false">H2004*INDEX('Model Inputs &amp; Assumptions'!$D$40:$D$42,MATCH('Model Inputs &amp; Assumptions'!$L$32,'Model Inputs &amp; Assumptions'!$A$40:$A$42,0))*INDEX('Model Inputs &amp; Assumptions'!$H$40:$H$42,MATCH('Model Inputs &amp; Assumptions'!$L$32,'Model Inputs &amp; Assumptions'!$A$40:$A$42,0))</f>
        <v>1004114.74695759</v>
      </c>
      <c r="K2004" s="49" t="n">
        <f aca="false">H2004*INDEX('Model Inputs &amp; Assumptions'!$G$40:$G$42,MATCH('Model Inputs &amp; Assumptions'!$L$32,'Model Inputs &amp; Assumptions'!$A$40:$A$42,0))*INDEX('Model Inputs &amp; Assumptions'!$H$40:$H$42,MATCH('Model Inputs &amp; Assumptions'!$L$32,'Model Inputs &amp; Assumptions'!$A$40:$A$42,0))</f>
        <v>21086.4096861093</v>
      </c>
      <c r="L2004" s="51" t="n">
        <f aca="false">IFERROR(K2004/I2004,0)</f>
        <v>1.24716514012913</v>
      </c>
      <c r="M2004" s="49" t="n">
        <f aca="false">IFERROR(I2004/H2004,0)</f>
        <v>90.9262104521771</v>
      </c>
      <c r="N2004" s="52" t="str">
        <f aca="false">'Model Inputs &amp; Assumptions'!$L$32</f>
        <v>PRD-SP01</v>
      </c>
      <c r="P2004" s="53" t="n">
        <v>0.685091</v>
      </c>
      <c r="Q2004" s="53" t="n">
        <v>2.658644</v>
      </c>
      <c r="R2004" s="53" t="n">
        <v>-1.121653</v>
      </c>
      <c r="S2004" s="53" t="n">
        <v>0.87135</v>
      </c>
    </row>
    <row r="2005" customFormat="false" ht="15" hidden="false" customHeight="false" outlineLevel="0" collapsed="false">
      <c r="A2005" s="43" t="n">
        <v>2</v>
      </c>
      <c r="B2005" s="44" t="str">
        <f aca="false">'Model Inputs &amp; Assumptions'!$B$32</f>
        <v>Trade Republic — In-App Display</v>
      </c>
      <c r="C2005" s="45" t="n">
        <f aca="false">ROUND(MAX(0,'Model Inputs &amp; Assumptions'!$S$32*EXP('Model Inputs &amp; Assumptions'!$T$32*P2005-'Model Inputs &amp; Assumptions'!$T$32^2/2)),0)</f>
        <v>1033269</v>
      </c>
      <c r="D2005" s="46" t="n">
        <f aca="false">MIN(1,'Model Inputs &amp; Assumptions'!$U$32*EXP('Model Inputs &amp; Assumptions'!$V$32*Q2005-'Model Inputs &amp; Assumptions'!$V$32^2/2))</f>
        <v>0</v>
      </c>
      <c r="E2005" s="45" t="n">
        <f aca="false">ROUND(C2005*D2005,0)</f>
        <v>0</v>
      </c>
      <c r="F2005" s="47" t="n">
        <f aca="false">MIN(1,'Model Inputs &amp; Assumptions'!$W$32*EXP('Model Inputs &amp; Assumptions'!$X$32*R2005-'Model Inputs &amp; Assumptions'!$X$32^2/2))</f>
        <v>0.0016063634033801</v>
      </c>
      <c r="G2005" s="45" t="n">
        <f aca="false">ROUND(C2005*F2005,0)</f>
        <v>1660</v>
      </c>
      <c r="H2005" s="48" t="n">
        <f aca="false">MAX(0,(C2005*'Model Inputs &amp; Assumptions'!$N$32+E2005*'Model Inputs &amp; Assumptions'!$O$32+G2005*'Model Inputs &amp; Assumptions'!$P$32)*EXP('Model Inputs &amp; Assumptions'!$Q$32*S2005-'Model Inputs &amp; Assumptions'!$Q$32^2/2))</f>
        <v>43.8742458107087</v>
      </c>
      <c r="I2005" s="49" t="n">
        <f aca="false">IF('Model Inputs &amp; Assumptions'!$H$32="Fixed",'Model Inputs &amp; Assumptions'!$I$32*'Model Inputs &amp; Assumptions'!$K$32,IF('Model Inputs &amp; Assumptions'!$H$32="CPM",'Model Inputs &amp; Assumptions'!$I$32*'Model Inputs &amp; Assumptions'!$K$32*C2005/1000,IF('Model Inputs &amp; Assumptions'!$H$32="CPC",'Model Inputs &amp; Assumptions'!$I$32*'Model Inputs &amp; Assumptions'!$K$32*G2005,0)))</f>
        <v>12399.228</v>
      </c>
      <c r="J2005" s="50" t="n">
        <f aca="false">H2005*INDEX('Model Inputs &amp; Assumptions'!$D$40:$D$42,MATCH('Model Inputs &amp; Assumptions'!$L$32,'Model Inputs &amp; Assumptions'!$A$40:$A$42,0))*INDEX('Model Inputs &amp; Assumptions'!$H$40:$H$42,MATCH('Model Inputs &amp; Assumptions'!$L$32,'Model Inputs &amp; Assumptions'!$A$40:$A$42,0))</f>
        <v>236920.927377827</v>
      </c>
      <c r="K2005" s="49" t="n">
        <f aca="false">H2005*INDEX('Model Inputs &amp; Assumptions'!$G$40:$G$42,MATCH('Model Inputs &amp; Assumptions'!$L$32,'Model Inputs &amp; Assumptions'!$A$40:$A$42,0))*INDEX('Model Inputs &amp; Assumptions'!$H$40:$H$42,MATCH('Model Inputs &amp; Assumptions'!$L$32,'Model Inputs &amp; Assumptions'!$A$40:$A$42,0))</f>
        <v>4975.33947493436</v>
      </c>
      <c r="L2005" s="51" t="n">
        <f aca="false">IFERROR(K2005/I2005,0)</f>
        <v>0.40126203622793</v>
      </c>
      <c r="M2005" s="49" t="n">
        <f aca="false">IFERROR(I2005/H2005,0)</f>
        <v>282.608345075498</v>
      </c>
      <c r="N2005" s="52" t="str">
        <f aca="false">'Model Inputs &amp; Assumptions'!$L$32</f>
        <v>PRD-SP01</v>
      </c>
      <c r="P2005" s="53" t="n">
        <v>-0.348648</v>
      </c>
      <c r="Q2005" s="53" t="n">
        <v>1.741759</v>
      </c>
      <c r="R2005" s="53" t="n">
        <v>-2.445967</v>
      </c>
      <c r="S2005" s="53" t="n">
        <v>-1.760545</v>
      </c>
    </row>
    <row r="2006" customFormat="false" ht="15" hidden="false" customHeight="false" outlineLevel="0" collapsed="false">
      <c r="A2006" s="43" t="n">
        <v>3</v>
      </c>
      <c r="B2006" s="44" t="str">
        <f aca="false">'Model Inputs &amp; Assumptions'!$B$32</f>
        <v>Trade Republic — In-App Display</v>
      </c>
      <c r="C2006" s="45" t="n">
        <f aca="false">ROUND(MAX(0,'Model Inputs &amp; Assumptions'!$S$32*EXP('Model Inputs &amp; Assumptions'!$T$32*P2006-'Model Inputs &amp; Assumptions'!$T$32^2/2)),0)</f>
        <v>1055074</v>
      </c>
      <c r="D2006" s="46" t="n">
        <f aca="false">MIN(1,'Model Inputs &amp; Assumptions'!$U$32*EXP('Model Inputs &amp; Assumptions'!$V$32*Q2006-'Model Inputs &amp; Assumptions'!$V$32^2/2))</f>
        <v>0</v>
      </c>
      <c r="E2006" s="45" t="n">
        <f aca="false">ROUND(C2006*D2006,0)</f>
        <v>0</v>
      </c>
      <c r="F2006" s="47" t="n">
        <f aca="false">MIN(1,'Model Inputs &amp; Assumptions'!$W$32*EXP('Model Inputs &amp; Assumptions'!$X$32*R2006-'Model Inputs &amp; Assumptions'!$X$32^2/2))</f>
        <v>0.00427726663328557</v>
      </c>
      <c r="G2006" s="45" t="n">
        <f aca="false">ROUND(C2006*F2006,0)</f>
        <v>4513</v>
      </c>
      <c r="H2006" s="48" t="n">
        <f aca="false">MAX(0,(C2006*'Model Inputs &amp; Assumptions'!$N$32+E2006*'Model Inputs &amp; Assumptions'!$O$32+G2006*'Model Inputs &amp; Assumptions'!$P$32)*EXP('Model Inputs &amp; Assumptions'!$Q$32*S2006-'Model Inputs &amp; Assumptions'!$Q$32^2/2))</f>
        <v>126.066286331537</v>
      </c>
      <c r="I2006" s="49" t="n">
        <f aca="false">IF('Model Inputs &amp; Assumptions'!$H$32="Fixed",'Model Inputs &amp; Assumptions'!$I$32*'Model Inputs &amp; Assumptions'!$K$32,IF('Model Inputs &amp; Assumptions'!$H$32="CPM",'Model Inputs &amp; Assumptions'!$I$32*'Model Inputs &amp; Assumptions'!$K$32*C2006/1000,IF('Model Inputs &amp; Assumptions'!$H$32="CPC",'Model Inputs &amp; Assumptions'!$I$32*'Model Inputs &amp; Assumptions'!$K$32*G2006,0)))</f>
        <v>12660.888</v>
      </c>
      <c r="J2006" s="50" t="n">
        <f aca="false">H2006*INDEX('Model Inputs &amp; Assumptions'!$D$40:$D$42,MATCH('Model Inputs &amp; Assumptions'!$L$32,'Model Inputs &amp; Assumptions'!$A$40:$A$42,0))*INDEX('Model Inputs &amp; Assumptions'!$H$40:$H$42,MATCH('Model Inputs &amp; Assumptions'!$L$32,'Model Inputs &amp; Assumptions'!$A$40:$A$42,0))</f>
        <v>680757.9461903</v>
      </c>
      <c r="K2006" s="49" t="n">
        <f aca="false">H2006*INDEX('Model Inputs &amp; Assumptions'!$G$40:$G$42,MATCH('Model Inputs &amp; Assumptions'!$L$32,'Model Inputs &amp; Assumptions'!$A$40:$A$42,0))*INDEX('Model Inputs &amp; Assumptions'!$H$40:$H$42,MATCH('Model Inputs &amp; Assumptions'!$L$32,'Model Inputs &amp; Assumptions'!$A$40:$A$42,0))</f>
        <v>14295.9168699963</v>
      </c>
      <c r="L2006" s="51" t="n">
        <f aca="false">IFERROR(K2006/I2006,0)</f>
        <v>1.12914014167065</v>
      </c>
      <c r="M2006" s="49" t="n">
        <f aca="false">IFERROR(I2006/H2006,0)</f>
        <v>100.43040346809</v>
      </c>
      <c r="N2006" s="52" t="str">
        <f aca="false">'Model Inputs &amp; Assumptions'!$L$32</f>
        <v>PRD-SP01</v>
      </c>
      <c r="P2006" s="53" t="n">
        <v>-0.279037</v>
      </c>
      <c r="Q2006" s="53" t="n">
        <v>-0.494461</v>
      </c>
      <c r="R2006" s="53" t="n">
        <v>0.818504</v>
      </c>
      <c r="S2006" s="53" t="n">
        <v>-1.562917</v>
      </c>
    </row>
    <row r="2007" customFormat="false" ht="15" hidden="false" customHeight="false" outlineLevel="0" collapsed="false">
      <c r="A2007" s="43" t="n">
        <v>4</v>
      </c>
      <c r="B2007" s="44" t="str">
        <f aca="false">'Model Inputs &amp; Assumptions'!$B$32</f>
        <v>Trade Republic — In-App Display</v>
      </c>
      <c r="C2007" s="45" t="n">
        <f aca="false">ROUND(MAX(0,'Model Inputs &amp; Assumptions'!$S$32*EXP('Model Inputs &amp; Assumptions'!$T$32*P2007-'Model Inputs &amp; Assumptions'!$T$32^2/2)),0)</f>
        <v>959525</v>
      </c>
      <c r="D2007" s="46" t="n">
        <f aca="false">MIN(1,'Model Inputs &amp; Assumptions'!$U$32*EXP('Model Inputs &amp; Assumptions'!$V$32*Q2007-'Model Inputs &amp; Assumptions'!$V$32^2/2))</f>
        <v>0</v>
      </c>
      <c r="E2007" s="45" t="n">
        <f aca="false">ROUND(C2007*D2007,0)</f>
        <v>0</v>
      </c>
      <c r="F2007" s="47" t="n">
        <f aca="false">MIN(1,'Model Inputs &amp; Assumptions'!$W$32*EXP('Model Inputs &amp; Assumptions'!$X$32*R2007-'Model Inputs &amp; Assumptions'!$X$32^2/2))</f>
        <v>0.00391833715438198</v>
      </c>
      <c r="G2007" s="45" t="n">
        <f aca="false">ROUND(C2007*F2007,0)</f>
        <v>3760</v>
      </c>
      <c r="H2007" s="48" t="n">
        <f aca="false">MAX(0,(C2007*'Model Inputs &amp; Assumptions'!$N$32+E2007*'Model Inputs &amp; Assumptions'!$O$32+G2007*'Model Inputs &amp; Assumptions'!$P$32)*EXP('Model Inputs &amp; Assumptions'!$Q$32*S2007-'Model Inputs &amp; Assumptions'!$Q$32^2/2))</f>
        <v>128.686931509311</v>
      </c>
      <c r="I2007" s="49" t="n">
        <f aca="false">IF('Model Inputs &amp; Assumptions'!$H$32="Fixed",'Model Inputs &amp; Assumptions'!$I$32*'Model Inputs &amp; Assumptions'!$K$32,IF('Model Inputs &amp; Assumptions'!$H$32="CPM",'Model Inputs &amp; Assumptions'!$I$32*'Model Inputs &amp; Assumptions'!$K$32*C2007/1000,IF('Model Inputs &amp; Assumptions'!$H$32="CPC",'Model Inputs &amp; Assumptions'!$I$32*'Model Inputs &amp; Assumptions'!$K$32*G2007,0)))</f>
        <v>11514.3</v>
      </c>
      <c r="J2007" s="50" t="n">
        <f aca="false">H2007*INDEX('Model Inputs &amp; Assumptions'!$D$40:$D$42,MATCH('Model Inputs &amp; Assumptions'!$L$32,'Model Inputs &amp; Assumptions'!$A$40:$A$42,0))*INDEX('Model Inputs &amp; Assumptions'!$H$40:$H$42,MATCH('Model Inputs &amp; Assumptions'!$L$32,'Model Inputs &amp; Assumptions'!$A$40:$A$42,0))</f>
        <v>694909.430150282</v>
      </c>
      <c r="K2007" s="49" t="n">
        <f aca="false">H2007*INDEX('Model Inputs &amp; Assumptions'!$G$40:$G$42,MATCH('Model Inputs &amp; Assumptions'!$L$32,'Model Inputs &amp; Assumptions'!$A$40:$A$42,0))*INDEX('Model Inputs &amp; Assumptions'!$H$40:$H$42,MATCH('Model Inputs &amp; Assumptions'!$L$32,'Model Inputs &amp; Assumptions'!$A$40:$A$42,0))</f>
        <v>14593.0980331559</v>
      </c>
      <c r="L2007" s="51" t="n">
        <f aca="false">IFERROR(K2007/I2007,0)</f>
        <v>1.26738907559781</v>
      </c>
      <c r="M2007" s="49" t="n">
        <f aca="false">IFERROR(I2007/H2007,0)</f>
        <v>89.4752859902239</v>
      </c>
      <c r="N2007" s="52" t="str">
        <f aca="false">'Model Inputs &amp; Assumptions'!$L$32</f>
        <v>PRD-SP01</v>
      </c>
      <c r="P2007" s="53" t="n">
        <v>-0.595463</v>
      </c>
      <c r="Q2007" s="53" t="n">
        <v>-1.336665</v>
      </c>
      <c r="R2007" s="53" t="n">
        <v>0.526348</v>
      </c>
      <c r="S2007" s="53" t="n">
        <v>-0.837496</v>
      </c>
    </row>
    <row r="2008" customFormat="false" ht="15" hidden="false" customHeight="false" outlineLevel="0" collapsed="false">
      <c r="A2008" s="43" t="n">
        <v>5</v>
      </c>
      <c r="B2008" s="44" t="str">
        <f aca="false">'Model Inputs &amp; Assumptions'!$B$32</f>
        <v>Trade Republic — In-App Display</v>
      </c>
      <c r="C2008" s="45" t="n">
        <f aca="false">ROUND(MAX(0,'Model Inputs &amp; Assumptions'!$S$32*EXP('Model Inputs &amp; Assumptions'!$T$32*P2008-'Model Inputs &amp; Assumptions'!$T$32^2/2)),0)</f>
        <v>738889</v>
      </c>
      <c r="D2008" s="46" t="n">
        <f aca="false">MIN(1,'Model Inputs &amp; Assumptions'!$U$32*EXP('Model Inputs &amp; Assumptions'!$V$32*Q2008-'Model Inputs &amp; Assumptions'!$V$32^2/2))</f>
        <v>0</v>
      </c>
      <c r="E2008" s="45" t="n">
        <f aca="false">ROUND(C2008*D2008,0)</f>
        <v>0</v>
      </c>
      <c r="F2008" s="47" t="n">
        <f aca="false">MIN(1,'Model Inputs &amp; Assumptions'!$W$32*EXP('Model Inputs &amp; Assumptions'!$X$32*R2008-'Model Inputs &amp; Assumptions'!$X$32^2/2))</f>
        <v>0.00354220731626216</v>
      </c>
      <c r="G2008" s="45" t="n">
        <f aca="false">ROUND(C2008*F2008,0)</f>
        <v>2617</v>
      </c>
      <c r="H2008" s="48" t="n">
        <f aca="false">MAX(0,(C2008*'Model Inputs &amp; Assumptions'!$N$32+E2008*'Model Inputs &amp; Assumptions'!$O$32+G2008*'Model Inputs &amp; Assumptions'!$P$32)*EXP('Model Inputs &amp; Assumptions'!$Q$32*S2008-'Model Inputs &amp; Assumptions'!$Q$32^2/2))</f>
        <v>134.128631130438</v>
      </c>
      <c r="I2008" s="49" t="n">
        <f aca="false">IF('Model Inputs &amp; Assumptions'!$H$32="Fixed",'Model Inputs &amp; Assumptions'!$I$32*'Model Inputs &amp; Assumptions'!$K$32,IF('Model Inputs &amp; Assumptions'!$H$32="CPM",'Model Inputs &amp; Assumptions'!$I$32*'Model Inputs &amp; Assumptions'!$K$32*C2008/1000,IF('Model Inputs &amp; Assumptions'!$H$32="CPC",'Model Inputs &amp; Assumptions'!$I$32*'Model Inputs &amp; Assumptions'!$K$32*G2008,0)))</f>
        <v>8866.668</v>
      </c>
      <c r="J2008" s="50" t="n">
        <f aca="false">H2008*INDEX('Model Inputs &amp; Assumptions'!$D$40:$D$42,MATCH('Model Inputs &amp; Assumptions'!$L$32,'Model Inputs &amp; Assumptions'!$A$40:$A$42,0))*INDEX('Model Inputs &amp; Assumptions'!$H$40:$H$42,MATCH('Model Inputs &amp; Assumptions'!$L$32,'Model Inputs &amp; Assumptions'!$A$40:$A$42,0))</f>
        <v>724294.608104364</v>
      </c>
      <c r="K2008" s="49" t="n">
        <f aca="false">H2008*INDEX('Model Inputs &amp; Assumptions'!$G$40:$G$42,MATCH('Model Inputs &amp; Assumptions'!$L$32,'Model Inputs &amp; Assumptions'!$A$40:$A$42,0))*INDEX('Model Inputs &amp; Assumptions'!$H$40:$H$42,MATCH('Model Inputs &amp; Assumptions'!$L$32,'Model Inputs &amp; Assumptions'!$A$40:$A$42,0))</f>
        <v>15210.1867701916</v>
      </c>
      <c r="L2008" s="51" t="n">
        <f aca="false">IFERROR(K2008/I2008,0)</f>
        <v>1.71543434018186</v>
      </c>
      <c r="M2008" s="49" t="n">
        <f aca="false">IFERROR(I2008/H2008,0)</f>
        <v>66.1057070758988</v>
      </c>
      <c r="N2008" s="52" t="str">
        <f aca="false">'Model Inputs &amp; Assumptions'!$L$32</f>
        <v>PRD-SP01</v>
      </c>
      <c r="P2008" s="53" t="n">
        <v>-1.466431</v>
      </c>
      <c r="Q2008" s="53" t="n">
        <v>0.883576</v>
      </c>
      <c r="R2008" s="53" t="n">
        <v>0.189957</v>
      </c>
      <c r="S2008" s="53" t="n">
        <v>0.604672</v>
      </c>
    </row>
    <row r="2009" customFormat="false" ht="15" hidden="false" customHeight="false" outlineLevel="0" collapsed="false">
      <c r="A2009" s="43" t="n">
        <v>6</v>
      </c>
      <c r="B2009" s="44" t="str">
        <f aca="false">'Model Inputs &amp; Assumptions'!$B$32</f>
        <v>Trade Republic — In-App Display</v>
      </c>
      <c r="C2009" s="45" t="n">
        <f aca="false">ROUND(MAX(0,'Model Inputs &amp; Assumptions'!$S$32*EXP('Model Inputs &amp; Assumptions'!$T$32*P2009-'Model Inputs &amp; Assumptions'!$T$32^2/2)),0)</f>
        <v>962410</v>
      </c>
      <c r="D2009" s="46" t="n">
        <f aca="false">MIN(1,'Model Inputs &amp; Assumptions'!$U$32*EXP('Model Inputs &amp; Assumptions'!$V$32*Q2009-'Model Inputs &amp; Assumptions'!$V$32^2/2))</f>
        <v>0</v>
      </c>
      <c r="E2009" s="45" t="n">
        <f aca="false">ROUND(C2009*D2009,0)</f>
        <v>0</v>
      </c>
      <c r="F2009" s="47" t="n">
        <f aca="false">MIN(1,'Model Inputs &amp; Assumptions'!$W$32*EXP('Model Inputs &amp; Assumptions'!$X$32*R2009-'Model Inputs &amp; Assumptions'!$X$32^2/2))</f>
        <v>0.00699324210026776</v>
      </c>
      <c r="G2009" s="45" t="n">
        <f aca="false">ROUND(C2009*F2009,0)</f>
        <v>6730</v>
      </c>
      <c r="H2009" s="48" t="n">
        <f aca="false">MAX(0,(C2009*'Model Inputs &amp; Assumptions'!$N$32+E2009*'Model Inputs &amp; Assumptions'!$O$32+G2009*'Model Inputs &amp; Assumptions'!$P$32)*EXP('Model Inputs &amp; Assumptions'!$Q$32*S2009-'Model Inputs &amp; Assumptions'!$Q$32^2/2))</f>
        <v>292.430898239621</v>
      </c>
      <c r="I2009" s="49" t="n">
        <f aca="false">IF('Model Inputs &amp; Assumptions'!$H$32="Fixed",'Model Inputs &amp; Assumptions'!$I$32*'Model Inputs &amp; Assumptions'!$K$32,IF('Model Inputs &amp; Assumptions'!$H$32="CPM",'Model Inputs &amp; Assumptions'!$I$32*'Model Inputs &amp; Assumptions'!$K$32*C2009/1000,IF('Model Inputs &amp; Assumptions'!$H$32="CPC",'Model Inputs &amp; Assumptions'!$I$32*'Model Inputs &amp; Assumptions'!$K$32*G2009,0)))</f>
        <v>11548.92</v>
      </c>
      <c r="J2009" s="50" t="n">
        <f aca="false">H2009*INDEX('Model Inputs &amp; Assumptions'!$D$40:$D$42,MATCH('Model Inputs &amp; Assumptions'!$L$32,'Model Inputs &amp; Assumptions'!$A$40:$A$42,0))*INDEX('Model Inputs &amp; Assumptions'!$H$40:$H$42,MATCH('Model Inputs &amp; Assumptions'!$L$32,'Model Inputs &amp; Assumptions'!$A$40:$A$42,0))</f>
        <v>1579126.85049395</v>
      </c>
      <c r="K2009" s="49" t="n">
        <f aca="false">H2009*INDEX('Model Inputs &amp; Assumptions'!$G$40:$G$42,MATCH('Model Inputs &amp; Assumptions'!$L$32,'Model Inputs &amp; Assumptions'!$A$40:$A$42,0))*INDEX('Model Inputs &amp; Assumptions'!$H$40:$H$42,MATCH('Model Inputs &amp; Assumptions'!$L$32,'Model Inputs &amp; Assumptions'!$A$40:$A$42,0))</f>
        <v>33161.663860373</v>
      </c>
      <c r="L2009" s="51" t="n">
        <f aca="false">IFERROR(K2009/I2009,0)</f>
        <v>2.87140822348522</v>
      </c>
      <c r="M2009" s="49" t="n">
        <f aca="false">IFERROR(I2009/H2009,0)</f>
        <v>39.4928171732958</v>
      </c>
      <c r="N2009" s="52" t="str">
        <f aca="false">'Model Inputs &amp; Assumptions'!$L$32</f>
        <v>PRD-SP01</v>
      </c>
      <c r="P2009" s="53" t="n">
        <v>-0.585453</v>
      </c>
      <c r="Q2009" s="53" t="n">
        <v>-0.320931</v>
      </c>
      <c r="R2009" s="53" t="n">
        <v>2.457271</v>
      </c>
      <c r="S2009" s="53" t="n">
        <v>0.014967</v>
      </c>
    </row>
    <row r="2010" customFormat="false" ht="15" hidden="false" customHeight="false" outlineLevel="0" collapsed="false">
      <c r="A2010" s="43" t="n">
        <v>7</v>
      </c>
      <c r="B2010" s="44" t="str">
        <f aca="false">'Model Inputs &amp; Assumptions'!$B$32</f>
        <v>Trade Republic — In-App Display</v>
      </c>
      <c r="C2010" s="45" t="n">
        <f aca="false">ROUND(MAX(0,'Model Inputs &amp; Assumptions'!$S$32*EXP('Model Inputs &amp; Assumptions'!$T$32*P2010-'Model Inputs &amp; Assumptions'!$T$32^2/2)),0)</f>
        <v>1973499</v>
      </c>
      <c r="D2010" s="46" t="n">
        <f aca="false">MIN(1,'Model Inputs &amp; Assumptions'!$U$32*EXP('Model Inputs &amp; Assumptions'!$V$32*Q2010-'Model Inputs &amp; Assumptions'!$V$32^2/2))</f>
        <v>0</v>
      </c>
      <c r="E2010" s="45" t="n">
        <f aca="false">ROUND(C2010*D2010,0)</f>
        <v>0</v>
      </c>
      <c r="F2010" s="47" t="n">
        <f aca="false">MIN(1,'Model Inputs &amp; Assumptions'!$W$32*EXP('Model Inputs &amp; Assumptions'!$X$32*R2010-'Model Inputs &amp; Assumptions'!$X$32^2/2))</f>
        <v>0.00322338441615221</v>
      </c>
      <c r="G2010" s="45" t="n">
        <f aca="false">ROUND(C2010*F2010,0)</f>
        <v>6361</v>
      </c>
      <c r="H2010" s="48" t="n">
        <f aca="false">MAX(0,(C2010*'Model Inputs &amp; Assumptions'!$N$32+E2010*'Model Inputs &amp; Assumptions'!$O$32+G2010*'Model Inputs &amp; Assumptions'!$P$32)*EXP('Model Inputs &amp; Assumptions'!$Q$32*S2010-'Model Inputs &amp; Assumptions'!$Q$32^2/2))</f>
        <v>299.471869259671</v>
      </c>
      <c r="I2010" s="49" t="n">
        <f aca="false">IF('Model Inputs &amp; Assumptions'!$H$32="Fixed",'Model Inputs &amp; Assumptions'!$I$32*'Model Inputs &amp; Assumptions'!$K$32,IF('Model Inputs &amp; Assumptions'!$H$32="CPM",'Model Inputs &amp; Assumptions'!$I$32*'Model Inputs &amp; Assumptions'!$K$32*C2010/1000,IF('Model Inputs &amp; Assumptions'!$H$32="CPC",'Model Inputs &amp; Assumptions'!$I$32*'Model Inputs &amp; Assumptions'!$K$32*G2010,0)))</f>
        <v>23681.988</v>
      </c>
      <c r="J2010" s="50" t="n">
        <f aca="false">H2010*INDEX('Model Inputs &amp; Assumptions'!$D$40:$D$42,MATCH('Model Inputs &amp; Assumptions'!$L$32,'Model Inputs &amp; Assumptions'!$A$40:$A$42,0))*INDEX('Model Inputs &amp; Assumptions'!$H$40:$H$42,MATCH('Model Inputs &amp; Assumptions'!$L$32,'Model Inputs &amp; Assumptions'!$A$40:$A$42,0))</f>
        <v>1617148.09400223</v>
      </c>
      <c r="K2010" s="49" t="n">
        <f aca="false">H2010*INDEX('Model Inputs &amp; Assumptions'!$G$40:$G$42,MATCH('Model Inputs &amp; Assumptions'!$L$32,'Model Inputs &amp; Assumptions'!$A$40:$A$42,0))*INDEX('Model Inputs &amp; Assumptions'!$H$40:$H$42,MATCH('Model Inputs &amp; Assumptions'!$L$32,'Model Inputs &amp; Assumptions'!$A$40:$A$42,0))</f>
        <v>33960.1099740467</v>
      </c>
      <c r="L2010" s="51" t="n">
        <f aca="false">IFERROR(K2010/I2010,0)</f>
        <v>1.43400587712682</v>
      </c>
      <c r="M2010" s="49" t="n">
        <f aca="false">IFERROR(I2010/H2010,0)</f>
        <v>79.0791738086939</v>
      </c>
      <c r="N2010" s="52" t="str">
        <f aca="false">'Model Inputs &amp; Assumptions'!$L$32</f>
        <v>PRD-SP01</v>
      </c>
      <c r="P2010" s="53" t="n">
        <v>1.808289</v>
      </c>
      <c r="Q2010" s="53" t="n">
        <v>-0.189635</v>
      </c>
      <c r="R2010" s="53" t="n">
        <v>-0.124437</v>
      </c>
      <c r="S2010" s="53" t="n">
        <v>0.30133</v>
      </c>
    </row>
    <row r="2011" customFormat="false" ht="15" hidden="false" customHeight="false" outlineLevel="0" collapsed="false">
      <c r="A2011" s="43" t="n">
        <v>8</v>
      </c>
      <c r="B2011" s="44" t="str">
        <f aca="false">'Model Inputs &amp; Assumptions'!$B$32</f>
        <v>Trade Republic — In-App Display</v>
      </c>
      <c r="C2011" s="45" t="n">
        <f aca="false">ROUND(MAX(0,'Model Inputs &amp; Assumptions'!$S$32*EXP('Model Inputs &amp; Assumptions'!$T$32*P2011-'Model Inputs &amp; Assumptions'!$T$32^2/2)),0)</f>
        <v>1591448</v>
      </c>
      <c r="D2011" s="46" t="n">
        <f aca="false">MIN(1,'Model Inputs &amp; Assumptions'!$U$32*EXP('Model Inputs &amp; Assumptions'!$V$32*Q2011-'Model Inputs &amp; Assumptions'!$V$32^2/2))</f>
        <v>0</v>
      </c>
      <c r="E2011" s="45" t="n">
        <f aca="false">ROUND(C2011*D2011,0)</f>
        <v>0</v>
      </c>
      <c r="F2011" s="47" t="n">
        <f aca="false">MIN(1,'Model Inputs &amp; Assumptions'!$W$32*EXP('Model Inputs &amp; Assumptions'!$X$32*R2011-'Model Inputs &amp; Assumptions'!$X$32^2/2))</f>
        <v>0.0027240666849031</v>
      </c>
      <c r="G2011" s="45" t="n">
        <f aca="false">ROUND(C2011*F2011,0)</f>
        <v>4335</v>
      </c>
      <c r="H2011" s="48" t="n">
        <f aca="false">MAX(0,(C2011*'Model Inputs &amp; Assumptions'!$N$32+E2011*'Model Inputs &amp; Assumptions'!$O$32+G2011*'Model Inputs &amp; Assumptions'!$P$32)*EXP('Model Inputs &amp; Assumptions'!$Q$32*S2011-'Model Inputs &amp; Assumptions'!$Q$32^2/2))</f>
        <v>120.913679687855</v>
      </c>
      <c r="I2011" s="49" t="n">
        <f aca="false">IF('Model Inputs &amp; Assumptions'!$H$32="Fixed",'Model Inputs &amp; Assumptions'!$I$32*'Model Inputs &amp; Assumptions'!$K$32,IF('Model Inputs &amp; Assumptions'!$H$32="CPM",'Model Inputs &amp; Assumptions'!$I$32*'Model Inputs &amp; Assumptions'!$K$32*C2011/1000,IF('Model Inputs &amp; Assumptions'!$H$32="CPC",'Model Inputs &amp; Assumptions'!$I$32*'Model Inputs &amp; Assumptions'!$K$32*G2011,0)))</f>
        <v>19097.376</v>
      </c>
      <c r="J2011" s="50" t="n">
        <f aca="false">H2011*INDEX('Model Inputs &amp; Assumptions'!$D$40:$D$42,MATCH('Model Inputs &amp; Assumptions'!$L$32,'Model Inputs &amp; Assumptions'!$A$40:$A$42,0))*INDEX('Model Inputs &amp; Assumptions'!$H$40:$H$42,MATCH('Model Inputs &amp; Assumptions'!$L$32,'Model Inputs &amp; Assumptions'!$A$40:$A$42,0))</f>
        <v>652933.870314416</v>
      </c>
      <c r="K2011" s="49" t="n">
        <f aca="false">H2011*INDEX('Model Inputs &amp; Assumptions'!$G$40:$G$42,MATCH('Model Inputs &amp; Assumptions'!$L$32,'Model Inputs &amp; Assumptions'!$A$40:$A$42,0))*INDEX('Model Inputs &amp; Assumptions'!$H$40:$H$42,MATCH('Model Inputs &amp; Assumptions'!$L$32,'Model Inputs &amp; Assumptions'!$A$40:$A$42,0))</f>
        <v>13711.6112766027</v>
      </c>
      <c r="L2011" s="51" t="n">
        <f aca="false">IFERROR(K2011/I2011,0)</f>
        <v>0.717984045378943</v>
      </c>
      <c r="M2011" s="49" t="n">
        <f aca="false">IFERROR(I2011/H2011,0)</f>
        <v>157.942228284681</v>
      </c>
      <c r="N2011" s="52" t="str">
        <f aca="false">'Model Inputs &amp; Assumptions'!$L$32</f>
        <v>PRD-SP01</v>
      </c>
      <c r="P2011" s="53" t="n">
        <v>1.091076</v>
      </c>
      <c r="Q2011" s="53" t="n">
        <v>0.256358</v>
      </c>
      <c r="R2011" s="53" t="n">
        <v>-0.685457</v>
      </c>
      <c r="S2011" s="53" t="n">
        <v>-1.56824</v>
      </c>
    </row>
    <row r="2012" customFormat="false" ht="15" hidden="false" customHeight="false" outlineLevel="0" collapsed="false">
      <c r="A2012" s="43" t="n">
        <v>9</v>
      </c>
      <c r="B2012" s="44" t="str">
        <f aca="false">'Model Inputs &amp; Assumptions'!$B$32</f>
        <v>Trade Republic — In-App Display</v>
      </c>
      <c r="C2012" s="45" t="n">
        <f aca="false">ROUND(MAX(0,'Model Inputs &amp; Assumptions'!$S$32*EXP('Model Inputs &amp; Assumptions'!$T$32*P2012-'Model Inputs &amp; Assumptions'!$T$32^2/2)),0)</f>
        <v>1120949</v>
      </c>
      <c r="D2012" s="46" t="n">
        <f aca="false">MIN(1,'Model Inputs &amp; Assumptions'!$U$32*EXP('Model Inputs &amp; Assumptions'!$V$32*Q2012-'Model Inputs &amp; Assumptions'!$V$32^2/2))</f>
        <v>0</v>
      </c>
      <c r="E2012" s="45" t="n">
        <f aca="false">ROUND(C2012*D2012,0)</f>
        <v>0</v>
      </c>
      <c r="F2012" s="47" t="n">
        <f aca="false">MIN(1,'Model Inputs &amp; Assumptions'!$W$32*EXP('Model Inputs &amp; Assumptions'!$X$32*R2012-'Model Inputs &amp; Assumptions'!$X$32^2/2))</f>
        <v>0.00279747428351596</v>
      </c>
      <c r="G2012" s="45" t="n">
        <f aca="false">ROUND(C2012*F2012,0)</f>
        <v>3136</v>
      </c>
      <c r="H2012" s="48" t="n">
        <f aca="false">MAX(0,(C2012*'Model Inputs &amp; Assumptions'!$N$32+E2012*'Model Inputs &amp; Assumptions'!$O$32+G2012*'Model Inputs &amp; Assumptions'!$P$32)*EXP('Model Inputs &amp; Assumptions'!$Q$32*S2012-'Model Inputs &amp; Assumptions'!$Q$32^2/2))</f>
        <v>149.225328027318</v>
      </c>
      <c r="I2012" s="49" t="n">
        <f aca="false">IF('Model Inputs &amp; Assumptions'!$H$32="Fixed",'Model Inputs &amp; Assumptions'!$I$32*'Model Inputs &amp; Assumptions'!$K$32,IF('Model Inputs &amp; Assumptions'!$H$32="CPM",'Model Inputs &amp; Assumptions'!$I$32*'Model Inputs &amp; Assumptions'!$K$32*C2012/1000,IF('Model Inputs &amp; Assumptions'!$H$32="CPC",'Model Inputs &amp; Assumptions'!$I$32*'Model Inputs &amp; Assumptions'!$K$32*G2012,0)))</f>
        <v>13451.388</v>
      </c>
      <c r="J2012" s="50" t="n">
        <f aca="false">H2012*INDEX('Model Inputs &amp; Assumptions'!$D$40:$D$42,MATCH('Model Inputs &amp; Assumptions'!$L$32,'Model Inputs &amp; Assumptions'!$A$40:$A$42,0))*INDEX('Model Inputs &amp; Assumptions'!$H$40:$H$42,MATCH('Model Inputs &amp; Assumptions'!$L$32,'Model Inputs &amp; Assumptions'!$A$40:$A$42,0))</f>
        <v>805816.771347516</v>
      </c>
      <c r="K2012" s="49" t="n">
        <f aca="false">H2012*INDEX('Model Inputs &amp; Assumptions'!$G$40:$G$42,MATCH('Model Inputs &amp; Assumptions'!$L$32,'Model Inputs &amp; Assumptions'!$A$40:$A$42,0))*INDEX('Model Inputs &amp; Assumptions'!$H$40:$H$42,MATCH('Model Inputs &amp; Assumptions'!$L$32,'Model Inputs &amp; Assumptions'!$A$40:$A$42,0))</f>
        <v>16922.1521982978</v>
      </c>
      <c r="L2012" s="51" t="n">
        <f aca="false">IFERROR(K2012/I2012,0)</f>
        <v>1.25802275559205</v>
      </c>
      <c r="M2012" s="49" t="n">
        <f aca="false">IFERROR(I2012/H2012,0)</f>
        <v>90.1414537184836</v>
      </c>
      <c r="N2012" s="52" t="str">
        <f aca="false">'Model Inputs &amp; Assumptions'!$L$32</f>
        <v>PRD-SP01</v>
      </c>
      <c r="P2012" s="53" t="n">
        <v>-0.077152</v>
      </c>
      <c r="Q2012" s="53" t="n">
        <v>-0.049452</v>
      </c>
      <c r="R2012" s="53" t="n">
        <v>-0.59682</v>
      </c>
      <c r="S2012" s="53" t="n">
        <v>0.339453</v>
      </c>
    </row>
    <row r="2013" customFormat="false" ht="15" hidden="false" customHeight="false" outlineLevel="0" collapsed="false">
      <c r="A2013" s="43" t="n">
        <v>10</v>
      </c>
      <c r="B2013" s="44" t="str">
        <f aca="false">'Model Inputs &amp; Assumptions'!$B$32</f>
        <v>Trade Republic — In-App Display</v>
      </c>
      <c r="C2013" s="45" t="n">
        <f aca="false">ROUND(MAX(0,'Model Inputs &amp; Assumptions'!$S$32*EXP('Model Inputs &amp; Assumptions'!$T$32*P2013-'Model Inputs &amp; Assumptions'!$T$32^2/2)),0)</f>
        <v>1221668</v>
      </c>
      <c r="D2013" s="46" t="n">
        <f aca="false">MIN(1,'Model Inputs &amp; Assumptions'!$U$32*EXP('Model Inputs &amp; Assumptions'!$V$32*Q2013-'Model Inputs &amp; Assumptions'!$V$32^2/2))</f>
        <v>0</v>
      </c>
      <c r="E2013" s="45" t="n">
        <f aca="false">ROUND(C2013*D2013,0)</f>
        <v>0</v>
      </c>
      <c r="F2013" s="47" t="n">
        <f aca="false">MIN(1,'Model Inputs &amp; Assumptions'!$W$32*EXP('Model Inputs &amp; Assumptions'!$X$32*R2013-'Model Inputs &amp; Assumptions'!$X$32^2/2))</f>
        <v>0.00263187460143234</v>
      </c>
      <c r="G2013" s="45" t="n">
        <f aca="false">ROUND(C2013*F2013,0)</f>
        <v>3215</v>
      </c>
      <c r="H2013" s="48" t="n">
        <f aca="false">MAX(0,(C2013*'Model Inputs &amp; Assumptions'!$N$32+E2013*'Model Inputs &amp; Assumptions'!$O$32+G2013*'Model Inputs &amp; Assumptions'!$P$32)*EXP('Model Inputs &amp; Assumptions'!$Q$32*S2013-'Model Inputs &amp; Assumptions'!$Q$32^2/2))</f>
        <v>151.639041154768</v>
      </c>
      <c r="I2013" s="49" t="n">
        <f aca="false">IF('Model Inputs &amp; Assumptions'!$H$32="Fixed",'Model Inputs &amp; Assumptions'!$I$32*'Model Inputs &amp; Assumptions'!$K$32,IF('Model Inputs &amp; Assumptions'!$H$32="CPM",'Model Inputs &amp; Assumptions'!$I$32*'Model Inputs &amp; Assumptions'!$K$32*C2013/1000,IF('Model Inputs &amp; Assumptions'!$H$32="CPC",'Model Inputs &amp; Assumptions'!$I$32*'Model Inputs &amp; Assumptions'!$K$32*G2013,0)))</f>
        <v>14660.016</v>
      </c>
      <c r="J2013" s="50" t="n">
        <f aca="false">H2013*INDEX('Model Inputs &amp; Assumptions'!$D$40:$D$42,MATCH('Model Inputs &amp; Assumptions'!$L$32,'Model Inputs &amp; Assumptions'!$A$40:$A$42,0))*INDEX('Model Inputs &amp; Assumptions'!$H$40:$H$42,MATCH('Model Inputs &amp; Assumptions'!$L$32,'Model Inputs &amp; Assumptions'!$A$40:$A$42,0))</f>
        <v>818850.822235747</v>
      </c>
      <c r="K2013" s="49" t="n">
        <f aca="false">H2013*INDEX('Model Inputs &amp; Assumptions'!$G$40:$G$42,MATCH('Model Inputs &amp; Assumptions'!$L$32,'Model Inputs &amp; Assumptions'!$A$40:$A$42,0))*INDEX('Model Inputs &amp; Assumptions'!$H$40:$H$42,MATCH('Model Inputs &amp; Assumptions'!$L$32,'Model Inputs &amp; Assumptions'!$A$40:$A$42,0))</f>
        <v>17195.8672669507</v>
      </c>
      <c r="L2013" s="51" t="n">
        <f aca="false">IFERROR(K2013/I2013,0)</f>
        <v>1.17297738740194</v>
      </c>
      <c r="M2013" s="49" t="n">
        <f aca="false">IFERROR(I2013/H2013,0)</f>
        <v>96.677055515258</v>
      </c>
      <c r="N2013" s="52" t="str">
        <f aca="false">'Model Inputs &amp; Assumptions'!$L$32</f>
        <v>PRD-SP01</v>
      </c>
      <c r="P2013" s="53" t="n">
        <v>0.209653</v>
      </c>
      <c r="Q2013" s="53" t="n">
        <v>-0.554335</v>
      </c>
      <c r="R2013" s="53" t="n">
        <v>-0.800222</v>
      </c>
      <c r="S2013" s="53" t="n">
        <v>0.307904</v>
      </c>
    </row>
    <row r="2014" customFormat="false" ht="15" hidden="false" customHeight="false" outlineLevel="0" collapsed="false">
      <c r="A2014" s="43" t="n">
        <v>11</v>
      </c>
      <c r="B2014" s="44" t="str">
        <f aca="false">'Model Inputs &amp; Assumptions'!$B$32</f>
        <v>Trade Republic — In-App Display</v>
      </c>
      <c r="C2014" s="45" t="n">
        <f aca="false">ROUND(MAX(0,'Model Inputs &amp; Assumptions'!$S$32*EXP('Model Inputs &amp; Assumptions'!$T$32*P2014-'Model Inputs &amp; Assumptions'!$T$32^2/2)),0)</f>
        <v>1241264</v>
      </c>
      <c r="D2014" s="46" t="n">
        <f aca="false">MIN(1,'Model Inputs &amp; Assumptions'!$U$32*EXP('Model Inputs &amp; Assumptions'!$V$32*Q2014-'Model Inputs &amp; Assumptions'!$V$32^2/2))</f>
        <v>0</v>
      </c>
      <c r="E2014" s="45" t="n">
        <f aca="false">ROUND(C2014*D2014,0)</f>
        <v>0</v>
      </c>
      <c r="F2014" s="47" t="n">
        <f aca="false">MIN(1,'Model Inputs &amp; Assumptions'!$W$32*EXP('Model Inputs &amp; Assumptions'!$X$32*R2014-'Model Inputs &amp; Assumptions'!$X$32^2/2))</f>
        <v>0.00291901744581581</v>
      </c>
      <c r="G2014" s="45" t="n">
        <f aca="false">ROUND(C2014*F2014,0)</f>
        <v>3623</v>
      </c>
      <c r="H2014" s="48" t="n">
        <f aca="false">MAX(0,(C2014*'Model Inputs &amp; Assumptions'!$N$32+E2014*'Model Inputs &amp; Assumptions'!$O$32+G2014*'Model Inputs &amp; Assumptions'!$P$32)*EXP('Model Inputs &amp; Assumptions'!$Q$32*S2014-'Model Inputs &amp; Assumptions'!$Q$32^2/2))</f>
        <v>244.049272573477</v>
      </c>
      <c r="I2014" s="49" t="n">
        <f aca="false">IF('Model Inputs &amp; Assumptions'!$H$32="Fixed",'Model Inputs &amp; Assumptions'!$I$32*'Model Inputs &amp; Assumptions'!$K$32,IF('Model Inputs &amp; Assumptions'!$H$32="CPM",'Model Inputs &amp; Assumptions'!$I$32*'Model Inputs &amp; Assumptions'!$K$32*C2014/1000,IF('Model Inputs &amp; Assumptions'!$H$32="CPC",'Model Inputs &amp; Assumptions'!$I$32*'Model Inputs &amp; Assumptions'!$K$32*G2014,0)))</f>
        <v>14895.168</v>
      </c>
      <c r="J2014" s="50" t="n">
        <f aca="false">H2014*INDEX('Model Inputs &amp; Assumptions'!$D$40:$D$42,MATCH('Model Inputs &amp; Assumptions'!$L$32,'Model Inputs &amp; Assumptions'!$A$40:$A$42,0))*INDEX('Model Inputs &amp; Assumptions'!$H$40:$H$42,MATCH('Model Inputs &amp; Assumptions'!$L$32,'Model Inputs &amp; Assumptions'!$A$40:$A$42,0))</f>
        <v>1317866.07189678</v>
      </c>
      <c r="K2014" s="49" t="n">
        <f aca="false">H2014*INDEX('Model Inputs &amp; Assumptions'!$G$40:$G$42,MATCH('Model Inputs &amp; Assumptions'!$L$32,'Model Inputs &amp; Assumptions'!$A$40:$A$42,0))*INDEX('Model Inputs &amp; Assumptions'!$H$40:$H$42,MATCH('Model Inputs &amp; Assumptions'!$L$32,'Model Inputs &amp; Assumptions'!$A$40:$A$42,0))</f>
        <v>27675.1875098323</v>
      </c>
      <c r="L2014" s="51" t="n">
        <f aca="false">IFERROR(K2014/I2014,0)</f>
        <v>1.85799767480516</v>
      </c>
      <c r="M2014" s="49" t="n">
        <f aca="false">IFERROR(I2014/H2014,0)</f>
        <v>61.0334455945385</v>
      </c>
      <c r="N2014" s="52" t="str">
        <f aca="false">'Model Inputs &amp; Assumptions'!$L$32</f>
        <v>PRD-SP01</v>
      </c>
      <c r="P2014" s="53" t="n">
        <v>0.262696</v>
      </c>
      <c r="Q2014" s="53" t="n">
        <v>1.169427</v>
      </c>
      <c r="R2014" s="53" t="n">
        <v>-0.455053</v>
      </c>
      <c r="S2014" s="53" t="n">
        <v>1.580733</v>
      </c>
    </row>
    <row r="2015" customFormat="false" ht="15" hidden="false" customHeight="false" outlineLevel="0" collapsed="false">
      <c r="A2015" s="43" t="n">
        <v>12</v>
      </c>
      <c r="B2015" s="44" t="str">
        <f aca="false">'Model Inputs &amp; Assumptions'!$B$32</f>
        <v>Trade Republic — In-App Display</v>
      </c>
      <c r="C2015" s="45" t="n">
        <f aca="false">ROUND(MAX(0,'Model Inputs &amp; Assumptions'!$S$32*EXP('Model Inputs &amp; Assumptions'!$T$32*P2015-'Model Inputs &amp; Assumptions'!$T$32^2/2)),0)</f>
        <v>810135</v>
      </c>
      <c r="D2015" s="46" t="n">
        <f aca="false">MIN(1,'Model Inputs &amp; Assumptions'!$U$32*EXP('Model Inputs &amp; Assumptions'!$V$32*Q2015-'Model Inputs &amp; Assumptions'!$V$32^2/2))</f>
        <v>0</v>
      </c>
      <c r="E2015" s="45" t="n">
        <f aca="false">ROUND(C2015*D2015,0)</f>
        <v>0</v>
      </c>
      <c r="F2015" s="47" t="n">
        <f aca="false">MIN(1,'Model Inputs &amp; Assumptions'!$W$32*EXP('Model Inputs &amp; Assumptions'!$X$32*R2015-'Model Inputs &amp; Assumptions'!$X$32^2/2))</f>
        <v>0.00316548938765791</v>
      </c>
      <c r="G2015" s="45" t="n">
        <f aca="false">ROUND(C2015*F2015,0)</f>
        <v>2564</v>
      </c>
      <c r="H2015" s="48" t="n">
        <f aca="false">MAX(0,(C2015*'Model Inputs &amp; Assumptions'!$N$32+E2015*'Model Inputs &amp; Assumptions'!$O$32+G2015*'Model Inputs &amp; Assumptions'!$P$32)*EXP('Model Inputs &amp; Assumptions'!$Q$32*S2015-'Model Inputs &amp; Assumptions'!$Q$32^2/2))</f>
        <v>96.7112436115444</v>
      </c>
      <c r="I2015" s="49" t="n">
        <f aca="false">IF('Model Inputs &amp; Assumptions'!$H$32="Fixed",'Model Inputs &amp; Assumptions'!$I$32*'Model Inputs &amp; Assumptions'!$K$32,IF('Model Inputs &amp; Assumptions'!$H$32="CPM",'Model Inputs &amp; Assumptions'!$I$32*'Model Inputs &amp; Assumptions'!$K$32*C2015/1000,IF('Model Inputs &amp; Assumptions'!$H$32="CPC",'Model Inputs &amp; Assumptions'!$I$32*'Model Inputs &amp; Assumptions'!$K$32*G2015,0)))</f>
        <v>9721.62</v>
      </c>
      <c r="J2015" s="50" t="n">
        <f aca="false">H2015*INDEX('Model Inputs &amp; Assumptions'!$D$40:$D$42,MATCH('Model Inputs &amp; Assumptions'!$L$32,'Model Inputs &amp; Assumptions'!$A$40:$A$42,0))*INDEX('Model Inputs &amp; Assumptions'!$H$40:$H$42,MATCH('Model Inputs &amp; Assumptions'!$L$32,'Model Inputs &amp; Assumptions'!$A$40:$A$42,0))</f>
        <v>522240.71550234</v>
      </c>
      <c r="K2015" s="49" t="n">
        <f aca="false">H2015*INDEX('Model Inputs &amp; Assumptions'!$G$40:$G$42,MATCH('Model Inputs &amp; Assumptions'!$L$32,'Model Inputs &amp; Assumptions'!$A$40:$A$42,0))*INDEX('Model Inputs &amp; Assumptions'!$H$40:$H$42,MATCH('Model Inputs &amp; Assumptions'!$L$32,'Model Inputs &amp; Assumptions'!$A$40:$A$42,0))</f>
        <v>10967.0550255491</v>
      </c>
      <c r="L2015" s="51" t="n">
        <f aca="false">IFERROR(K2015/I2015,0)</f>
        <v>1.12810982383071</v>
      </c>
      <c r="M2015" s="49" t="n">
        <f aca="false">IFERROR(I2015/H2015,0)</f>
        <v>100.522127903229</v>
      </c>
      <c r="N2015" s="52" t="str">
        <f aca="false">'Model Inputs &amp; Assumptions'!$L$32</f>
        <v>PRD-SP01</v>
      </c>
      <c r="P2015" s="53" t="n">
        <v>-1.159586</v>
      </c>
      <c r="Q2015" s="53" t="n">
        <v>0.454346</v>
      </c>
      <c r="R2015" s="53" t="n">
        <v>-0.184851</v>
      </c>
      <c r="S2015" s="53" t="n">
        <v>-0.490362</v>
      </c>
    </row>
    <row r="2016" customFormat="false" ht="15" hidden="false" customHeight="false" outlineLevel="0" collapsed="false">
      <c r="A2016" s="43" t="n">
        <v>13</v>
      </c>
      <c r="B2016" s="44" t="str">
        <f aca="false">'Model Inputs &amp; Assumptions'!$B$32</f>
        <v>Trade Republic — In-App Display</v>
      </c>
      <c r="C2016" s="45" t="n">
        <f aca="false">ROUND(MAX(0,'Model Inputs &amp; Assumptions'!$S$32*EXP('Model Inputs &amp; Assumptions'!$T$32*P2016-'Model Inputs &amp; Assumptions'!$T$32^2/2)),0)</f>
        <v>1288380</v>
      </c>
      <c r="D2016" s="46" t="n">
        <f aca="false">MIN(1,'Model Inputs &amp; Assumptions'!$U$32*EXP('Model Inputs &amp; Assumptions'!$V$32*Q2016-'Model Inputs &amp; Assumptions'!$V$32^2/2))</f>
        <v>0</v>
      </c>
      <c r="E2016" s="45" t="n">
        <f aca="false">ROUND(C2016*D2016,0)</f>
        <v>0</v>
      </c>
      <c r="F2016" s="47" t="n">
        <f aca="false">MIN(1,'Model Inputs &amp; Assumptions'!$W$32*EXP('Model Inputs &amp; Assumptions'!$X$32*R2016-'Model Inputs &amp; Assumptions'!$X$32^2/2))</f>
        <v>0.00679742706981579</v>
      </c>
      <c r="G2016" s="45" t="n">
        <f aca="false">ROUND(C2016*F2016,0)</f>
        <v>8758</v>
      </c>
      <c r="H2016" s="48" t="n">
        <f aca="false">MAX(0,(C2016*'Model Inputs &amp; Assumptions'!$N$32+E2016*'Model Inputs &amp; Assumptions'!$O$32+G2016*'Model Inputs &amp; Assumptions'!$P$32)*EXP('Model Inputs &amp; Assumptions'!$Q$32*S2016-'Model Inputs &amp; Assumptions'!$Q$32^2/2))</f>
        <v>359.16898144573</v>
      </c>
      <c r="I2016" s="49" t="n">
        <f aca="false">IF('Model Inputs &amp; Assumptions'!$H$32="Fixed",'Model Inputs &amp; Assumptions'!$I$32*'Model Inputs &amp; Assumptions'!$K$32,IF('Model Inputs &amp; Assumptions'!$H$32="CPM",'Model Inputs &amp; Assumptions'!$I$32*'Model Inputs &amp; Assumptions'!$K$32*C2016/1000,IF('Model Inputs &amp; Assumptions'!$H$32="CPC",'Model Inputs &amp; Assumptions'!$I$32*'Model Inputs &amp; Assumptions'!$K$32*G2016,0)))</f>
        <v>15460.56</v>
      </c>
      <c r="J2016" s="50" t="n">
        <f aca="false">H2016*INDEX('Model Inputs &amp; Assumptions'!$D$40:$D$42,MATCH('Model Inputs &amp; Assumptions'!$L$32,'Model Inputs &amp; Assumptions'!$A$40:$A$42,0))*INDEX('Model Inputs &amp; Assumptions'!$H$40:$H$42,MATCH('Model Inputs &amp; Assumptions'!$L$32,'Model Inputs &amp; Assumptions'!$A$40:$A$42,0))</f>
        <v>1939512.49980694</v>
      </c>
      <c r="K2016" s="49" t="n">
        <f aca="false">H2016*INDEX('Model Inputs &amp; Assumptions'!$G$40:$G$42,MATCH('Model Inputs &amp; Assumptions'!$L$32,'Model Inputs &amp; Assumptions'!$A$40:$A$42,0))*INDEX('Model Inputs &amp; Assumptions'!$H$40:$H$42,MATCH('Model Inputs &amp; Assumptions'!$L$32,'Model Inputs &amp; Assumptions'!$A$40:$A$42,0))</f>
        <v>40729.7624959458</v>
      </c>
      <c r="L2016" s="51" t="n">
        <f aca="false">IFERROR(K2016/I2016,0)</f>
        <v>2.63442996217121</v>
      </c>
      <c r="M2016" s="49" t="n">
        <f aca="false">IFERROR(I2016/H2016,0)</f>
        <v>43.0453652700409</v>
      </c>
      <c r="N2016" s="52" t="str">
        <f aca="false">'Model Inputs &amp; Assumptions'!$L$32</f>
        <v>PRD-SP01</v>
      </c>
      <c r="P2016" s="53" t="n">
        <v>0.386881</v>
      </c>
      <c r="Q2016" s="53" t="n">
        <v>0.616251</v>
      </c>
      <c r="R2016" s="53" t="n">
        <v>2.362604</v>
      </c>
      <c r="S2016" s="53" t="n">
        <v>-0.191561</v>
      </c>
    </row>
    <row r="2017" customFormat="false" ht="15" hidden="false" customHeight="false" outlineLevel="0" collapsed="false">
      <c r="A2017" s="43" t="n">
        <v>14</v>
      </c>
      <c r="B2017" s="44" t="str">
        <f aca="false">'Model Inputs &amp; Assumptions'!$B$32</f>
        <v>Trade Republic — In-App Display</v>
      </c>
      <c r="C2017" s="45" t="n">
        <f aca="false">ROUND(MAX(0,'Model Inputs &amp; Assumptions'!$S$32*EXP('Model Inputs &amp; Assumptions'!$T$32*P2017-'Model Inputs &amp; Assumptions'!$T$32^2/2)),0)</f>
        <v>971704</v>
      </c>
      <c r="D2017" s="46" t="n">
        <f aca="false">MIN(1,'Model Inputs &amp; Assumptions'!$U$32*EXP('Model Inputs &amp; Assumptions'!$V$32*Q2017-'Model Inputs &amp; Assumptions'!$V$32^2/2))</f>
        <v>0</v>
      </c>
      <c r="E2017" s="45" t="n">
        <f aca="false">ROUND(C2017*D2017,0)</f>
        <v>0</v>
      </c>
      <c r="F2017" s="47" t="n">
        <f aca="false">MIN(1,'Model Inputs &amp; Assumptions'!$W$32*EXP('Model Inputs &amp; Assumptions'!$X$32*R2017-'Model Inputs &amp; Assumptions'!$X$32^2/2))</f>
        <v>0.00407723420859864</v>
      </c>
      <c r="G2017" s="45" t="n">
        <f aca="false">ROUND(C2017*F2017,0)</f>
        <v>3962</v>
      </c>
      <c r="H2017" s="48" t="n">
        <f aca="false">MAX(0,(C2017*'Model Inputs &amp; Assumptions'!$N$32+E2017*'Model Inputs &amp; Assumptions'!$O$32+G2017*'Model Inputs &amp; Assumptions'!$P$32)*EXP('Model Inputs &amp; Assumptions'!$Q$32*S2017-'Model Inputs &amp; Assumptions'!$Q$32^2/2))</f>
        <v>189.021680107913</v>
      </c>
      <c r="I2017" s="49" t="n">
        <f aca="false">IF('Model Inputs &amp; Assumptions'!$H$32="Fixed",'Model Inputs &amp; Assumptions'!$I$32*'Model Inputs &amp; Assumptions'!$K$32,IF('Model Inputs &amp; Assumptions'!$H$32="CPM",'Model Inputs &amp; Assumptions'!$I$32*'Model Inputs &amp; Assumptions'!$K$32*C2017/1000,IF('Model Inputs &amp; Assumptions'!$H$32="CPC",'Model Inputs &amp; Assumptions'!$I$32*'Model Inputs &amp; Assumptions'!$K$32*G2017,0)))</f>
        <v>11660.448</v>
      </c>
      <c r="J2017" s="50" t="n">
        <f aca="false">H2017*INDEX('Model Inputs &amp; Assumptions'!$D$40:$D$42,MATCH('Model Inputs &amp; Assumptions'!$L$32,'Model Inputs &amp; Assumptions'!$A$40:$A$42,0))*INDEX('Model Inputs &amp; Assumptions'!$H$40:$H$42,MATCH('Model Inputs &amp; Assumptions'!$L$32,'Model Inputs &amp; Assumptions'!$A$40:$A$42,0))</f>
        <v>1020717.07258273</v>
      </c>
      <c r="K2017" s="49" t="n">
        <f aca="false">H2017*INDEX('Model Inputs &amp; Assumptions'!$G$40:$G$42,MATCH('Model Inputs &amp; Assumptions'!$L$32,'Model Inputs &amp; Assumptions'!$A$40:$A$42,0))*INDEX('Model Inputs &amp; Assumptions'!$H$40:$H$42,MATCH('Model Inputs &amp; Assumptions'!$L$32,'Model Inputs &amp; Assumptions'!$A$40:$A$42,0))</f>
        <v>21435.0585242373</v>
      </c>
      <c r="L2017" s="51" t="n">
        <f aca="false">IFERROR(K2017/I2017,0)</f>
        <v>1.83827058139081</v>
      </c>
      <c r="M2017" s="49" t="n">
        <f aca="false">IFERROR(I2017/H2017,0)</f>
        <v>61.688415812107</v>
      </c>
      <c r="N2017" s="52" t="str">
        <f aca="false">'Model Inputs &amp; Assumptions'!$L$32</f>
        <v>PRD-SP01</v>
      </c>
      <c r="P2017" s="53" t="n">
        <v>-0.553418</v>
      </c>
      <c r="Q2017" s="53" t="n">
        <v>1.275862</v>
      </c>
      <c r="R2017" s="53" t="n">
        <v>0.658853</v>
      </c>
      <c r="S2017" s="53" t="n">
        <v>0.348751</v>
      </c>
    </row>
    <row r="2018" customFormat="false" ht="15" hidden="false" customHeight="false" outlineLevel="0" collapsed="false">
      <c r="A2018" s="43" t="n">
        <v>15</v>
      </c>
      <c r="B2018" s="44" t="str">
        <f aca="false">'Model Inputs &amp; Assumptions'!$B$32</f>
        <v>Trade Republic — In-App Display</v>
      </c>
      <c r="C2018" s="45" t="n">
        <f aca="false">ROUND(MAX(0,'Model Inputs &amp; Assumptions'!$S$32*EXP('Model Inputs &amp; Assumptions'!$T$32*P2018-'Model Inputs &amp; Assumptions'!$T$32^2/2)),0)</f>
        <v>1231559</v>
      </c>
      <c r="D2018" s="46" t="n">
        <f aca="false">MIN(1,'Model Inputs &amp; Assumptions'!$U$32*EXP('Model Inputs &amp; Assumptions'!$V$32*Q2018-'Model Inputs &amp; Assumptions'!$V$32^2/2))</f>
        <v>0</v>
      </c>
      <c r="E2018" s="45" t="n">
        <f aca="false">ROUND(C2018*D2018,0)</f>
        <v>0</v>
      </c>
      <c r="F2018" s="47" t="n">
        <f aca="false">MIN(1,'Model Inputs &amp; Assumptions'!$W$32*EXP('Model Inputs &amp; Assumptions'!$X$32*R2018-'Model Inputs &amp; Assumptions'!$X$32^2/2))</f>
        <v>0.00291496137269577</v>
      </c>
      <c r="G2018" s="45" t="n">
        <f aca="false">ROUND(C2018*F2018,0)</f>
        <v>3590</v>
      </c>
      <c r="H2018" s="48" t="n">
        <f aca="false">MAX(0,(C2018*'Model Inputs &amp; Assumptions'!$N$32+E2018*'Model Inputs &amp; Assumptions'!$O$32+G2018*'Model Inputs &amp; Assumptions'!$P$32)*EXP('Model Inputs &amp; Assumptions'!$Q$32*S2018-'Model Inputs &amp; Assumptions'!$Q$32^2/2))</f>
        <v>175.792811161003</v>
      </c>
      <c r="I2018" s="49" t="n">
        <f aca="false">IF('Model Inputs &amp; Assumptions'!$H$32="Fixed",'Model Inputs &amp; Assumptions'!$I$32*'Model Inputs &amp; Assumptions'!$K$32,IF('Model Inputs &amp; Assumptions'!$H$32="CPM",'Model Inputs &amp; Assumptions'!$I$32*'Model Inputs &amp; Assumptions'!$K$32*C2018/1000,IF('Model Inputs &amp; Assumptions'!$H$32="CPC",'Model Inputs &amp; Assumptions'!$I$32*'Model Inputs &amp; Assumptions'!$K$32*G2018,0)))</f>
        <v>14778.708</v>
      </c>
      <c r="J2018" s="50" t="n">
        <f aca="false">H2018*INDEX('Model Inputs &amp; Assumptions'!$D$40:$D$42,MATCH('Model Inputs &amp; Assumptions'!$L$32,'Model Inputs &amp; Assumptions'!$A$40:$A$42,0))*INDEX('Model Inputs &amp; Assumptions'!$H$40:$H$42,MATCH('Model Inputs &amp; Assumptions'!$L$32,'Model Inputs &amp; Assumptions'!$A$40:$A$42,0))</f>
        <v>949281.180269419</v>
      </c>
      <c r="K2018" s="49" t="n">
        <f aca="false">H2018*INDEX('Model Inputs &amp; Assumptions'!$G$40:$G$42,MATCH('Model Inputs &amp; Assumptions'!$L$32,'Model Inputs &amp; Assumptions'!$A$40:$A$42,0))*INDEX('Model Inputs &amp; Assumptions'!$H$40:$H$42,MATCH('Model Inputs &amp; Assumptions'!$L$32,'Model Inputs &amp; Assumptions'!$A$40:$A$42,0))</f>
        <v>19934.9047856578</v>
      </c>
      <c r="L2018" s="51" t="n">
        <f aca="false">IFERROR(K2018/I2018,0)</f>
        <v>1.3488936100272</v>
      </c>
      <c r="M2018" s="49" t="n">
        <f aca="false">IFERROR(I2018/H2018,0)</f>
        <v>84.0688985083959</v>
      </c>
      <c r="N2018" s="52" t="str">
        <f aca="false">'Model Inputs &amp; Assumptions'!$L$32</f>
        <v>PRD-SP01</v>
      </c>
      <c r="P2018" s="53" t="n">
        <v>0.23653</v>
      </c>
      <c r="Q2018" s="53" t="n">
        <v>-1.024171</v>
      </c>
      <c r="R2018" s="53" t="n">
        <v>-0.459688</v>
      </c>
      <c r="S2018" s="53" t="n">
        <v>0.441755</v>
      </c>
    </row>
    <row r="2019" customFormat="false" ht="15" hidden="false" customHeight="false" outlineLevel="0" collapsed="false">
      <c r="A2019" s="43" t="n">
        <v>16</v>
      </c>
      <c r="B2019" s="44" t="str">
        <f aca="false">'Model Inputs &amp; Assumptions'!$B$32</f>
        <v>Trade Republic — In-App Display</v>
      </c>
      <c r="C2019" s="45" t="n">
        <f aca="false">ROUND(MAX(0,'Model Inputs &amp; Assumptions'!$S$32*EXP('Model Inputs &amp; Assumptions'!$T$32*P2019-'Model Inputs &amp; Assumptions'!$T$32^2/2)),0)</f>
        <v>1011813</v>
      </c>
      <c r="D2019" s="46" t="n">
        <f aca="false">MIN(1,'Model Inputs &amp; Assumptions'!$U$32*EXP('Model Inputs &amp; Assumptions'!$V$32*Q2019-'Model Inputs &amp; Assumptions'!$V$32^2/2))</f>
        <v>0</v>
      </c>
      <c r="E2019" s="45" t="n">
        <f aca="false">ROUND(C2019*D2019,0)</f>
        <v>0</v>
      </c>
      <c r="F2019" s="47" t="n">
        <f aca="false">MIN(1,'Model Inputs &amp; Assumptions'!$W$32*EXP('Model Inputs &amp; Assumptions'!$X$32*R2019-'Model Inputs &amp; Assumptions'!$X$32^2/2))</f>
        <v>0.00290572743971001</v>
      </c>
      <c r="G2019" s="45" t="n">
        <f aca="false">ROUND(C2019*F2019,0)</f>
        <v>2940</v>
      </c>
      <c r="H2019" s="48" t="n">
        <f aca="false">MAX(0,(C2019*'Model Inputs &amp; Assumptions'!$N$32+E2019*'Model Inputs &amp; Assumptions'!$O$32+G2019*'Model Inputs &amp; Assumptions'!$P$32)*EXP('Model Inputs &amp; Assumptions'!$Q$32*S2019-'Model Inputs &amp; Assumptions'!$Q$32^2/2))</f>
        <v>175.930021546141</v>
      </c>
      <c r="I2019" s="49" t="n">
        <f aca="false">IF('Model Inputs &amp; Assumptions'!$H$32="Fixed",'Model Inputs &amp; Assumptions'!$I$32*'Model Inputs &amp; Assumptions'!$K$32,IF('Model Inputs &amp; Assumptions'!$H$32="CPM",'Model Inputs &amp; Assumptions'!$I$32*'Model Inputs &amp; Assumptions'!$K$32*C2019/1000,IF('Model Inputs &amp; Assumptions'!$H$32="CPC",'Model Inputs &amp; Assumptions'!$I$32*'Model Inputs &amp; Assumptions'!$K$32*G2019,0)))</f>
        <v>12141.756</v>
      </c>
      <c r="J2019" s="50" t="n">
        <f aca="false">H2019*INDEX('Model Inputs &amp; Assumptions'!$D$40:$D$42,MATCH('Model Inputs &amp; Assumptions'!$L$32,'Model Inputs &amp; Assumptions'!$A$40:$A$42,0))*INDEX('Model Inputs &amp; Assumptions'!$H$40:$H$42,MATCH('Model Inputs &amp; Assumptions'!$L$32,'Model Inputs &amp; Assumptions'!$A$40:$A$42,0))</f>
        <v>950022.116349159</v>
      </c>
      <c r="K2019" s="49" t="n">
        <f aca="false">H2019*INDEX('Model Inputs &amp; Assumptions'!$G$40:$G$42,MATCH('Model Inputs &amp; Assumptions'!$L$32,'Model Inputs &amp; Assumptions'!$A$40:$A$42,0))*INDEX('Model Inputs &amp; Assumptions'!$H$40:$H$42,MATCH('Model Inputs &amp; Assumptions'!$L$32,'Model Inputs &amp; Assumptions'!$A$40:$A$42,0))</f>
        <v>19950.4644433323</v>
      </c>
      <c r="L2019" s="51" t="n">
        <f aca="false">IFERROR(K2019/I2019,0)</f>
        <v>1.64312842749701</v>
      </c>
      <c r="M2019" s="49" t="n">
        <f aca="false">IFERROR(I2019/H2019,0)</f>
        <v>69.0146905757959</v>
      </c>
      <c r="N2019" s="52" t="str">
        <f aca="false">'Model Inputs &amp; Assumptions'!$L$32</f>
        <v>PRD-SP01</v>
      </c>
      <c r="P2019" s="53" t="n">
        <v>-0.418591</v>
      </c>
      <c r="Q2019" s="53" t="n">
        <v>-0.501431</v>
      </c>
      <c r="R2019" s="53" t="n">
        <v>-0.470264</v>
      </c>
      <c r="S2019" s="53" t="n">
        <v>1.157908</v>
      </c>
    </row>
    <row r="2020" customFormat="false" ht="15" hidden="false" customHeight="false" outlineLevel="0" collapsed="false">
      <c r="A2020" s="43" t="n">
        <v>17</v>
      </c>
      <c r="B2020" s="44" t="str">
        <f aca="false">'Model Inputs &amp; Assumptions'!$B$32</f>
        <v>Trade Republic — In-App Display</v>
      </c>
      <c r="C2020" s="45" t="n">
        <f aca="false">ROUND(MAX(0,'Model Inputs &amp; Assumptions'!$S$32*EXP('Model Inputs &amp; Assumptions'!$T$32*P2020-'Model Inputs &amp; Assumptions'!$T$32^2/2)),0)</f>
        <v>840784</v>
      </c>
      <c r="D2020" s="46" t="n">
        <f aca="false">MIN(1,'Model Inputs &amp; Assumptions'!$U$32*EXP('Model Inputs &amp; Assumptions'!$V$32*Q2020-'Model Inputs &amp; Assumptions'!$V$32^2/2))</f>
        <v>0</v>
      </c>
      <c r="E2020" s="45" t="n">
        <f aca="false">ROUND(C2020*D2020,0)</f>
        <v>0</v>
      </c>
      <c r="F2020" s="47" t="n">
        <f aca="false">MIN(1,'Model Inputs &amp; Assumptions'!$W$32*EXP('Model Inputs &amp; Assumptions'!$X$32*R2020-'Model Inputs &amp; Assumptions'!$X$32^2/2))</f>
        <v>0.00237011071322141</v>
      </c>
      <c r="G2020" s="45" t="n">
        <f aca="false">ROUND(C2020*F2020,0)</f>
        <v>1993</v>
      </c>
      <c r="H2020" s="48" t="n">
        <f aca="false">MAX(0,(C2020*'Model Inputs &amp; Assumptions'!$N$32+E2020*'Model Inputs &amp; Assumptions'!$O$32+G2020*'Model Inputs &amp; Assumptions'!$P$32)*EXP('Model Inputs &amp; Assumptions'!$Q$32*S2020-'Model Inputs &amp; Assumptions'!$Q$32^2/2))</f>
        <v>54.315448595698</v>
      </c>
      <c r="I2020" s="49" t="n">
        <f aca="false">IF('Model Inputs &amp; Assumptions'!$H$32="Fixed",'Model Inputs &amp; Assumptions'!$I$32*'Model Inputs &amp; Assumptions'!$K$32,IF('Model Inputs &amp; Assumptions'!$H$32="CPM",'Model Inputs &amp; Assumptions'!$I$32*'Model Inputs &amp; Assumptions'!$K$32*C2020/1000,IF('Model Inputs &amp; Assumptions'!$H$32="CPC",'Model Inputs &amp; Assumptions'!$I$32*'Model Inputs &amp; Assumptions'!$K$32*G2020,0)))</f>
        <v>10089.408</v>
      </c>
      <c r="J2020" s="50" t="n">
        <f aca="false">H2020*INDEX('Model Inputs &amp; Assumptions'!$D$40:$D$42,MATCH('Model Inputs &amp; Assumptions'!$L$32,'Model Inputs &amp; Assumptions'!$A$40:$A$42,0))*INDEX('Model Inputs &amp; Assumptions'!$H$40:$H$42,MATCH('Model Inputs &amp; Assumptions'!$L$32,'Model Inputs &amp; Assumptions'!$A$40:$A$42,0))</f>
        <v>293303.422416769</v>
      </c>
      <c r="K2020" s="49" t="n">
        <f aca="false">H2020*INDEX('Model Inputs &amp; Assumptions'!$G$40:$G$42,MATCH('Model Inputs &amp; Assumptions'!$L$32,'Model Inputs &amp; Assumptions'!$A$40:$A$42,0))*INDEX('Model Inputs &amp; Assumptions'!$H$40:$H$42,MATCH('Model Inputs &amp; Assumptions'!$L$32,'Model Inputs &amp; Assumptions'!$A$40:$A$42,0))</f>
        <v>6159.37187075216</v>
      </c>
      <c r="L2020" s="51" t="n">
        <f aca="false">IFERROR(K2020/I2020,0)</f>
        <v>0.610479016286402</v>
      </c>
      <c r="M2020" s="49" t="n">
        <f aca="false">IFERROR(I2020/H2020,0)</f>
        <v>185.755770427331</v>
      </c>
      <c r="N2020" s="52" t="str">
        <f aca="false">'Model Inputs &amp; Assumptions'!$L$32</f>
        <v>PRD-SP01</v>
      </c>
      <c r="P2020" s="53" t="n">
        <v>-1.035806</v>
      </c>
      <c r="Q2020" s="53" t="n">
        <v>0.012083</v>
      </c>
      <c r="R2020" s="53" t="n">
        <v>-1.149421</v>
      </c>
      <c r="S2020" s="53" t="n">
        <v>-1.651053</v>
      </c>
    </row>
    <row r="2021" customFormat="false" ht="15" hidden="false" customHeight="false" outlineLevel="0" collapsed="false">
      <c r="A2021" s="43" t="n">
        <v>18</v>
      </c>
      <c r="B2021" s="44" t="str">
        <f aca="false">'Model Inputs &amp; Assumptions'!$B$32</f>
        <v>Trade Republic — In-App Display</v>
      </c>
      <c r="C2021" s="45" t="n">
        <f aca="false">ROUND(MAX(0,'Model Inputs &amp; Assumptions'!$S$32*EXP('Model Inputs &amp; Assumptions'!$T$32*P2021-'Model Inputs &amp; Assumptions'!$T$32^2/2)),0)</f>
        <v>1265130</v>
      </c>
      <c r="D2021" s="46" t="n">
        <f aca="false">MIN(1,'Model Inputs &amp; Assumptions'!$U$32*EXP('Model Inputs &amp; Assumptions'!$V$32*Q2021-'Model Inputs &amp; Assumptions'!$V$32^2/2))</f>
        <v>0</v>
      </c>
      <c r="E2021" s="45" t="n">
        <f aca="false">ROUND(C2021*D2021,0)</f>
        <v>0</v>
      </c>
      <c r="F2021" s="47" t="n">
        <f aca="false">MIN(1,'Model Inputs &amp; Assumptions'!$W$32*EXP('Model Inputs &amp; Assumptions'!$X$32*R2021-'Model Inputs &amp; Assumptions'!$X$32^2/2))</f>
        <v>0.00327149304207557</v>
      </c>
      <c r="G2021" s="45" t="n">
        <f aca="false">ROUND(C2021*F2021,0)</f>
        <v>4139</v>
      </c>
      <c r="H2021" s="48" t="n">
        <f aca="false">MAX(0,(C2021*'Model Inputs &amp; Assumptions'!$N$32+E2021*'Model Inputs &amp; Assumptions'!$O$32+G2021*'Model Inputs &amp; Assumptions'!$P$32)*EXP('Model Inputs &amp; Assumptions'!$Q$32*S2021-'Model Inputs &amp; Assumptions'!$Q$32^2/2))</f>
        <v>273.031349666949</v>
      </c>
      <c r="I2021" s="49" t="n">
        <f aca="false">IF('Model Inputs &amp; Assumptions'!$H$32="Fixed",'Model Inputs &amp; Assumptions'!$I$32*'Model Inputs &amp; Assumptions'!$K$32,IF('Model Inputs &amp; Assumptions'!$H$32="CPM",'Model Inputs &amp; Assumptions'!$I$32*'Model Inputs &amp; Assumptions'!$K$32*C2021/1000,IF('Model Inputs &amp; Assumptions'!$H$32="CPC",'Model Inputs &amp; Assumptions'!$I$32*'Model Inputs &amp; Assumptions'!$K$32*G2021,0)))</f>
        <v>15181.56</v>
      </c>
      <c r="J2021" s="50" t="n">
        <f aca="false">H2021*INDEX('Model Inputs &amp; Assumptions'!$D$40:$D$42,MATCH('Model Inputs &amp; Assumptions'!$L$32,'Model Inputs &amp; Assumptions'!$A$40:$A$42,0))*INDEX('Model Inputs &amp; Assumptions'!$H$40:$H$42,MATCH('Model Inputs &amp; Assumptions'!$L$32,'Model Inputs &amp; Assumptions'!$A$40:$A$42,0))</f>
        <v>1474369.28820152</v>
      </c>
      <c r="K2021" s="49" t="n">
        <f aca="false">H2021*INDEX('Model Inputs &amp; Assumptions'!$G$40:$G$42,MATCH('Model Inputs &amp; Assumptions'!$L$32,'Model Inputs &amp; Assumptions'!$A$40:$A$42,0))*INDEX('Model Inputs &amp; Assumptions'!$H$40:$H$42,MATCH('Model Inputs &amp; Assumptions'!$L$32,'Model Inputs &amp; Assumptions'!$A$40:$A$42,0))</f>
        <v>30961.755052232</v>
      </c>
      <c r="L2021" s="51" t="n">
        <f aca="false">IFERROR(K2021/I2021,0)</f>
        <v>2.03943172192001</v>
      </c>
      <c r="M2021" s="49" t="n">
        <f aca="false">IFERROR(I2021/H2021,0)</f>
        <v>55.6037246950538</v>
      </c>
      <c r="N2021" s="52" t="str">
        <f aca="false">'Model Inputs &amp; Assumptions'!$L$32</f>
        <v>PRD-SP01</v>
      </c>
      <c r="P2021" s="53" t="n">
        <v>0.326179</v>
      </c>
      <c r="Q2021" s="53" t="n">
        <v>0.394588</v>
      </c>
      <c r="R2021" s="53" t="n">
        <v>-0.075055</v>
      </c>
      <c r="S2021" s="53" t="n">
        <v>1.505964</v>
      </c>
    </row>
    <row r="2022" customFormat="false" ht="15" hidden="false" customHeight="false" outlineLevel="0" collapsed="false">
      <c r="A2022" s="43" t="n">
        <v>19</v>
      </c>
      <c r="B2022" s="44" t="str">
        <f aca="false">'Model Inputs &amp; Assumptions'!$B$32</f>
        <v>Trade Republic — In-App Display</v>
      </c>
      <c r="C2022" s="45" t="n">
        <f aca="false">ROUND(MAX(0,'Model Inputs &amp; Assumptions'!$S$32*EXP('Model Inputs &amp; Assumptions'!$T$32*P2022-'Model Inputs &amp; Assumptions'!$T$32^2/2)),0)</f>
        <v>1026448</v>
      </c>
      <c r="D2022" s="46" t="n">
        <f aca="false">MIN(1,'Model Inputs &amp; Assumptions'!$U$32*EXP('Model Inputs &amp; Assumptions'!$V$32*Q2022-'Model Inputs &amp; Assumptions'!$V$32^2/2))</f>
        <v>0</v>
      </c>
      <c r="E2022" s="45" t="n">
        <f aca="false">ROUND(C2022*D2022,0)</f>
        <v>0</v>
      </c>
      <c r="F2022" s="47" t="n">
        <f aca="false">MIN(1,'Model Inputs &amp; Assumptions'!$W$32*EXP('Model Inputs &amp; Assumptions'!$X$32*R2022-'Model Inputs &amp; Assumptions'!$X$32^2/2))</f>
        <v>0.00467038480897731</v>
      </c>
      <c r="G2022" s="45" t="n">
        <f aca="false">ROUND(C2022*F2022,0)</f>
        <v>4794</v>
      </c>
      <c r="H2022" s="48" t="n">
        <f aca="false">MAX(0,(C2022*'Model Inputs &amp; Assumptions'!$N$32+E2022*'Model Inputs &amp; Assumptions'!$O$32+G2022*'Model Inputs &amp; Assumptions'!$P$32)*EXP('Model Inputs &amp; Assumptions'!$Q$32*S2022-'Model Inputs &amp; Assumptions'!$Q$32^2/2))</f>
        <v>259.597695009522</v>
      </c>
      <c r="I2022" s="49" t="n">
        <f aca="false">IF('Model Inputs &amp; Assumptions'!$H$32="Fixed",'Model Inputs &amp; Assumptions'!$I$32*'Model Inputs &amp; Assumptions'!$K$32,IF('Model Inputs &amp; Assumptions'!$H$32="CPM",'Model Inputs &amp; Assumptions'!$I$32*'Model Inputs &amp; Assumptions'!$K$32*C2022/1000,IF('Model Inputs &amp; Assumptions'!$H$32="CPC",'Model Inputs &amp; Assumptions'!$I$32*'Model Inputs &amp; Assumptions'!$K$32*G2022,0)))</f>
        <v>12317.376</v>
      </c>
      <c r="J2022" s="50" t="n">
        <f aca="false">H2022*INDEX('Model Inputs &amp; Assumptions'!$D$40:$D$42,MATCH('Model Inputs &amp; Assumptions'!$L$32,'Model Inputs &amp; Assumptions'!$A$40:$A$42,0))*INDEX('Model Inputs &amp; Assumptions'!$H$40:$H$42,MATCH('Model Inputs &amp; Assumptions'!$L$32,'Model Inputs &amp; Assumptions'!$A$40:$A$42,0))</f>
        <v>1401827.55305142</v>
      </c>
      <c r="K2022" s="49" t="n">
        <f aca="false">H2022*INDEX('Model Inputs &amp; Assumptions'!$G$40:$G$42,MATCH('Model Inputs &amp; Assumptions'!$L$32,'Model Inputs &amp; Assumptions'!$A$40:$A$42,0))*INDEX('Model Inputs &amp; Assumptions'!$H$40:$H$42,MATCH('Model Inputs &amp; Assumptions'!$L$32,'Model Inputs &amp; Assumptions'!$A$40:$A$42,0))</f>
        <v>29438.3786140798</v>
      </c>
      <c r="L2022" s="51" t="n">
        <f aca="false">IFERROR(K2022/I2022,0)</f>
        <v>2.38998781997723</v>
      </c>
      <c r="M2022" s="49" t="n">
        <f aca="false">IFERROR(I2022/H2022,0)</f>
        <v>47.4479405510445</v>
      </c>
      <c r="N2022" s="52" t="str">
        <f aca="false">'Model Inputs &amp; Assumptions'!$L$32</f>
        <v>PRD-SP01</v>
      </c>
      <c r="P2022" s="53" t="n">
        <v>-0.370724</v>
      </c>
      <c r="Q2022" s="53" t="n">
        <v>1.422254</v>
      </c>
      <c r="R2022" s="53" t="n">
        <v>1.111595</v>
      </c>
      <c r="S2022" s="53" t="n">
        <v>0.801091</v>
      </c>
    </row>
    <row r="2023" customFormat="false" ht="15" hidden="false" customHeight="false" outlineLevel="0" collapsed="false">
      <c r="A2023" s="43" t="n">
        <v>20</v>
      </c>
      <c r="B2023" s="44" t="str">
        <f aca="false">'Model Inputs &amp; Assumptions'!$B$32</f>
        <v>Trade Republic — In-App Display</v>
      </c>
      <c r="C2023" s="45" t="n">
        <f aca="false">ROUND(MAX(0,'Model Inputs &amp; Assumptions'!$S$32*EXP('Model Inputs &amp; Assumptions'!$T$32*P2023-'Model Inputs &amp; Assumptions'!$T$32^2/2)),0)</f>
        <v>1050211</v>
      </c>
      <c r="D2023" s="46" t="n">
        <f aca="false">MIN(1,'Model Inputs &amp; Assumptions'!$U$32*EXP('Model Inputs &amp; Assumptions'!$V$32*Q2023-'Model Inputs &amp; Assumptions'!$V$32^2/2))</f>
        <v>0</v>
      </c>
      <c r="E2023" s="45" t="n">
        <f aca="false">ROUND(C2023*D2023,0)</f>
        <v>0</v>
      </c>
      <c r="F2023" s="47" t="n">
        <f aca="false">MIN(1,'Model Inputs &amp; Assumptions'!$W$32*EXP('Model Inputs &amp; Assumptions'!$X$32*R2023-'Model Inputs &amp; Assumptions'!$X$32^2/2))</f>
        <v>0.00275509126333988</v>
      </c>
      <c r="G2023" s="45" t="n">
        <f aca="false">ROUND(C2023*F2023,0)</f>
        <v>2893</v>
      </c>
      <c r="H2023" s="48" t="n">
        <f aca="false">MAX(0,(C2023*'Model Inputs &amp; Assumptions'!$N$32+E2023*'Model Inputs &amp; Assumptions'!$O$32+G2023*'Model Inputs &amp; Assumptions'!$P$32)*EXP('Model Inputs &amp; Assumptions'!$Q$32*S2023-'Model Inputs &amp; Assumptions'!$Q$32^2/2))</f>
        <v>153.560458474291</v>
      </c>
      <c r="I2023" s="49" t="n">
        <f aca="false">IF('Model Inputs &amp; Assumptions'!$H$32="Fixed",'Model Inputs &amp; Assumptions'!$I$32*'Model Inputs &amp; Assumptions'!$K$32,IF('Model Inputs &amp; Assumptions'!$H$32="CPM",'Model Inputs &amp; Assumptions'!$I$32*'Model Inputs &amp; Assumptions'!$K$32*C2023/1000,IF('Model Inputs &amp; Assumptions'!$H$32="CPC",'Model Inputs &amp; Assumptions'!$I$32*'Model Inputs &amp; Assumptions'!$K$32*G2023,0)))</f>
        <v>12602.532</v>
      </c>
      <c r="J2023" s="50" t="n">
        <f aca="false">H2023*INDEX('Model Inputs &amp; Assumptions'!$D$40:$D$42,MATCH('Model Inputs &amp; Assumptions'!$L$32,'Model Inputs &amp; Assumptions'!$A$40:$A$42,0))*INDEX('Model Inputs &amp; Assumptions'!$H$40:$H$42,MATCH('Model Inputs &amp; Assumptions'!$L$32,'Model Inputs &amp; Assumptions'!$A$40:$A$42,0))</f>
        <v>829226.475761174</v>
      </c>
      <c r="K2023" s="49" t="n">
        <f aca="false">H2023*INDEX('Model Inputs &amp; Assumptions'!$G$40:$G$42,MATCH('Model Inputs &amp; Assumptions'!$L$32,'Model Inputs &amp; Assumptions'!$A$40:$A$42,0))*INDEX('Model Inputs &amp; Assumptions'!$H$40:$H$42,MATCH('Model Inputs &amp; Assumptions'!$L$32,'Model Inputs &amp; Assumptions'!$A$40:$A$42,0))</f>
        <v>17413.7559909847</v>
      </c>
      <c r="L2023" s="51" t="n">
        <f aca="false">IFERROR(K2023/I2023,0)</f>
        <v>1.38176645700917</v>
      </c>
      <c r="M2023" s="49" t="n">
        <f aca="false">IFERROR(I2023/H2023,0)</f>
        <v>82.068861510399</v>
      </c>
      <c r="N2023" s="52" t="str">
        <f aca="false">'Model Inputs &amp; Assumptions'!$L$32</f>
        <v>PRD-SP01</v>
      </c>
      <c r="P2023" s="53" t="n">
        <v>-0.294436</v>
      </c>
      <c r="Q2023" s="53" t="n">
        <v>-1.083561</v>
      </c>
      <c r="R2023" s="53" t="n">
        <v>-0.647708</v>
      </c>
      <c r="S2023" s="53" t="n">
        <v>0.729778</v>
      </c>
    </row>
    <row r="2024" customFormat="false" ht="15" hidden="false" customHeight="false" outlineLevel="0" collapsed="false">
      <c r="A2024" s="43" t="n">
        <v>21</v>
      </c>
      <c r="B2024" s="44" t="str">
        <f aca="false">'Model Inputs &amp; Assumptions'!$B$32</f>
        <v>Trade Republic — In-App Display</v>
      </c>
      <c r="C2024" s="45" t="n">
        <f aca="false">ROUND(MAX(0,'Model Inputs &amp; Assumptions'!$S$32*EXP('Model Inputs &amp; Assumptions'!$T$32*P2024-'Model Inputs &amp; Assumptions'!$T$32^2/2)),0)</f>
        <v>1165743</v>
      </c>
      <c r="D2024" s="46" t="n">
        <f aca="false">MIN(1,'Model Inputs &amp; Assumptions'!$U$32*EXP('Model Inputs &amp; Assumptions'!$V$32*Q2024-'Model Inputs &amp; Assumptions'!$V$32^2/2))</f>
        <v>0</v>
      </c>
      <c r="E2024" s="45" t="n">
        <f aca="false">ROUND(C2024*D2024,0)</f>
        <v>0</v>
      </c>
      <c r="F2024" s="47" t="n">
        <f aca="false">MIN(1,'Model Inputs &amp; Assumptions'!$W$32*EXP('Model Inputs &amp; Assumptions'!$X$32*R2024-'Model Inputs &amp; Assumptions'!$X$32^2/2))</f>
        <v>0.00292616229771685</v>
      </c>
      <c r="G2024" s="45" t="n">
        <f aca="false">ROUND(C2024*F2024,0)</f>
        <v>3411</v>
      </c>
      <c r="H2024" s="48" t="n">
        <f aca="false">MAX(0,(C2024*'Model Inputs &amp; Assumptions'!$N$32+E2024*'Model Inputs &amp; Assumptions'!$O$32+G2024*'Model Inputs &amp; Assumptions'!$P$32)*EXP('Model Inputs &amp; Assumptions'!$Q$32*S2024-'Model Inputs &amp; Assumptions'!$Q$32^2/2))</f>
        <v>144.162318017271</v>
      </c>
      <c r="I2024" s="49" t="n">
        <f aca="false">IF('Model Inputs &amp; Assumptions'!$H$32="Fixed",'Model Inputs &amp; Assumptions'!$I$32*'Model Inputs &amp; Assumptions'!$K$32,IF('Model Inputs &amp; Assumptions'!$H$32="CPM",'Model Inputs &amp; Assumptions'!$I$32*'Model Inputs &amp; Assumptions'!$K$32*C2024/1000,IF('Model Inputs &amp; Assumptions'!$H$32="CPC",'Model Inputs &amp; Assumptions'!$I$32*'Model Inputs &amp; Assumptions'!$K$32*G2024,0)))</f>
        <v>13988.916</v>
      </c>
      <c r="J2024" s="50" t="n">
        <f aca="false">H2024*INDEX('Model Inputs &amp; Assumptions'!$D$40:$D$42,MATCH('Model Inputs &amp; Assumptions'!$L$32,'Model Inputs &amp; Assumptions'!$A$40:$A$42,0))*INDEX('Model Inputs &amp; Assumptions'!$H$40:$H$42,MATCH('Model Inputs &amp; Assumptions'!$L$32,'Model Inputs &amp; Assumptions'!$A$40:$A$42,0))</f>
        <v>778476.517293263</v>
      </c>
      <c r="K2024" s="49" t="n">
        <f aca="false">H2024*INDEX('Model Inputs &amp; Assumptions'!$G$40:$G$42,MATCH('Model Inputs &amp; Assumptions'!$L$32,'Model Inputs &amp; Assumptions'!$A$40:$A$42,0))*INDEX('Model Inputs &amp; Assumptions'!$H$40:$H$42,MATCH('Model Inputs &amp; Assumptions'!$L$32,'Model Inputs &amp; Assumptions'!$A$40:$A$42,0))</f>
        <v>16348.0068631585</v>
      </c>
      <c r="L2024" s="51" t="n">
        <f aca="false">IFERROR(K2024/I2024,0)</f>
        <v>1.16864000492665</v>
      </c>
      <c r="M2024" s="49" t="n">
        <f aca="false">IFERROR(I2024/H2024,0)</f>
        <v>97.0358703466748</v>
      </c>
      <c r="N2024" s="52" t="str">
        <f aca="false">'Model Inputs &amp; Assumptions'!$L$32</f>
        <v>PRD-SP01</v>
      </c>
      <c r="P2024" s="53" t="n">
        <v>0.053457</v>
      </c>
      <c r="Q2024" s="53" t="n">
        <v>-1.069274</v>
      </c>
      <c r="R2024" s="53" t="n">
        <v>-0.446904</v>
      </c>
      <c r="S2024" s="53" t="n">
        <v>-0.084029</v>
      </c>
    </row>
    <row r="2025" customFormat="false" ht="15" hidden="false" customHeight="false" outlineLevel="0" collapsed="false">
      <c r="A2025" s="43" t="n">
        <v>22</v>
      </c>
      <c r="B2025" s="44" t="str">
        <f aca="false">'Model Inputs &amp; Assumptions'!$B$32</f>
        <v>Trade Republic — In-App Display</v>
      </c>
      <c r="C2025" s="45" t="n">
        <f aca="false">ROUND(MAX(0,'Model Inputs &amp; Assumptions'!$S$32*EXP('Model Inputs &amp; Assumptions'!$T$32*P2025-'Model Inputs &amp; Assumptions'!$T$32^2/2)),0)</f>
        <v>858646</v>
      </c>
      <c r="D2025" s="46" t="n">
        <f aca="false">MIN(1,'Model Inputs &amp; Assumptions'!$U$32*EXP('Model Inputs &amp; Assumptions'!$V$32*Q2025-'Model Inputs &amp; Assumptions'!$V$32^2/2))</f>
        <v>0</v>
      </c>
      <c r="E2025" s="45" t="n">
        <f aca="false">ROUND(C2025*D2025,0)</f>
        <v>0</v>
      </c>
      <c r="F2025" s="47" t="n">
        <f aca="false">MIN(1,'Model Inputs &amp; Assumptions'!$W$32*EXP('Model Inputs &amp; Assumptions'!$X$32*R2025-'Model Inputs &amp; Assumptions'!$X$32^2/2))</f>
        <v>0.00288850384822455</v>
      </c>
      <c r="G2025" s="45" t="n">
        <f aca="false">ROUND(C2025*F2025,0)</f>
        <v>2480</v>
      </c>
      <c r="H2025" s="48" t="n">
        <f aca="false">MAX(0,(C2025*'Model Inputs &amp; Assumptions'!$N$32+E2025*'Model Inputs &amp; Assumptions'!$O$32+G2025*'Model Inputs &amp; Assumptions'!$P$32)*EXP('Model Inputs &amp; Assumptions'!$Q$32*S2025-'Model Inputs &amp; Assumptions'!$Q$32^2/2))</f>
        <v>126.003611589222</v>
      </c>
      <c r="I2025" s="49" t="n">
        <f aca="false">IF('Model Inputs &amp; Assumptions'!$H$32="Fixed",'Model Inputs &amp; Assumptions'!$I$32*'Model Inputs &amp; Assumptions'!$K$32,IF('Model Inputs &amp; Assumptions'!$H$32="CPM",'Model Inputs &amp; Assumptions'!$I$32*'Model Inputs &amp; Assumptions'!$K$32*C2025/1000,IF('Model Inputs &amp; Assumptions'!$H$32="CPC",'Model Inputs &amp; Assumptions'!$I$32*'Model Inputs &amp; Assumptions'!$K$32*G2025,0)))</f>
        <v>10303.752</v>
      </c>
      <c r="J2025" s="50" t="n">
        <f aca="false">H2025*INDEX('Model Inputs &amp; Assumptions'!$D$40:$D$42,MATCH('Model Inputs &amp; Assumptions'!$L$32,'Model Inputs &amp; Assumptions'!$A$40:$A$42,0))*INDEX('Model Inputs &amp; Assumptions'!$H$40:$H$42,MATCH('Model Inputs &amp; Assumptions'!$L$32,'Model Inputs &amp; Assumptions'!$A$40:$A$42,0))</f>
        <v>680419.502581796</v>
      </c>
      <c r="K2025" s="49" t="n">
        <f aca="false">H2025*INDEX('Model Inputs &amp; Assumptions'!$G$40:$G$42,MATCH('Model Inputs &amp; Assumptions'!$L$32,'Model Inputs &amp; Assumptions'!$A$40:$A$42,0))*INDEX('Model Inputs &amp; Assumptions'!$H$40:$H$42,MATCH('Model Inputs &amp; Assumptions'!$L$32,'Model Inputs &amp; Assumptions'!$A$40:$A$42,0))</f>
        <v>14288.8095542177</v>
      </c>
      <c r="L2025" s="51" t="n">
        <f aca="false">IFERROR(K2025/I2025,0)</f>
        <v>1.38675790665553</v>
      </c>
      <c r="M2025" s="49" t="n">
        <f aca="false">IFERROR(I2025/H2025,0)</f>
        <v>81.773465617722</v>
      </c>
      <c r="N2025" s="52" t="str">
        <f aca="false">'Model Inputs &amp; Assumptions'!$L$32</f>
        <v>PRD-SP01</v>
      </c>
      <c r="P2025" s="53" t="n">
        <v>-0.965732</v>
      </c>
      <c r="Q2025" s="53" t="n">
        <v>-0.706444</v>
      </c>
      <c r="R2025" s="53" t="n">
        <v>-0.490081</v>
      </c>
      <c r="S2025" s="53" t="n">
        <v>0.573534</v>
      </c>
    </row>
    <row r="2026" customFormat="false" ht="15" hidden="false" customHeight="false" outlineLevel="0" collapsed="false">
      <c r="A2026" s="43" t="n">
        <v>23</v>
      </c>
      <c r="B2026" s="44" t="str">
        <f aca="false">'Model Inputs &amp; Assumptions'!$B$32</f>
        <v>Trade Republic — In-App Display</v>
      </c>
      <c r="C2026" s="45" t="n">
        <f aca="false">ROUND(MAX(0,'Model Inputs &amp; Assumptions'!$S$32*EXP('Model Inputs &amp; Assumptions'!$T$32*P2026-'Model Inputs &amp; Assumptions'!$T$32^2/2)),0)</f>
        <v>856986</v>
      </c>
      <c r="D2026" s="46" t="n">
        <f aca="false">MIN(1,'Model Inputs &amp; Assumptions'!$U$32*EXP('Model Inputs &amp; Assumptions'!$V$32*Q2026-'Model Inputs &amp; Assumptions'!$V$32^2/2))</f>
        <v>0</v>
      </c>
      <c r="E2026" s="45" t="n">
        <f aca="false">ROUND(C2026*D2026,0)</f>
        <v>0</v>
      </c>
      <c r="F2026" s="47" t="n">
        <f aca="false">MIN(1,'Model Inputs &amp; Assumptions'!$W$32*EXP('Model Inputs &amp; Assumptions'!$X$32*R2026-'Model Inputs &amp; Assumptions'!$X$32^2/2))</f>
        <v>0.00408331789906787</v>
      </c>
      <c r="G2026" s="45" t="n">
        <f aca="false">ROUND(C2026*F2026,0)</f>
        <v>3499</v>
      </c>
      <c r="H2026" s="48" t="n">
        <f aca="false">MAX(0,(C2026*'Model Inputs &amp; Assumptions'!$N$32+E2026*'Model Inputs &amp; Assumptions'!$O$32+G2026*'Model Inputs &amp; Assumptions'!$P$32)*EXP('Model Inputs &amp; Assumptions'!$Q$32*S2026-'Model Inputs &amp; Assumptions'!$Q$32^2/2))</f>
        <v>251.804205484307</v>
      </c>
      <c r="I2026" s="49" t="n">
        <f aca="false">IF('Model Inputs &amp; Assumptions'!$H$32="Fixed",'Model Inputs &amp; Assumptions'!$I$32*'Model Inputs &amp; Assumptions'!$K$32,IF('Model Inputs &amp; Assumptions'!$H$32="CPM",'Model Inputs &amp; Assumptions'!$I$32*'Model Inputs &amp; Assumptions'!$K$32*C2026/1000,IF('Model Inputs &amp; Assumptions'!$H$32="CPC",'Model Inputs &amp; Assumptions'!$I$32*'Model Inputs &amp; Assumptions'!$K$32*G2026,0)))</f>
        <v>10283.832</v>
      </c>
      <c r="J2026" s="50" t="n">
        <f aca="false">H2026*INDEX('Model Inputs &amp; Assumptions'!$D$40:$D$42,MATCH('Model Inputs &amp; Assumptions'!$L$32,'Model Inputs &amp; Assumptions'!$A$40:$A$42,0))*INDEX('Model Inputs &amp; Assumptions'!$H$40:$H$42,MATCH('Model Inputs &amp; Assumptions'!$L$32,'Model Inputs &amp; Assumptions'!$A$40:$A$42,0))</f>
        <v>1359742.70961526</v>
      </c>
      <c r="K2026" s="49" t="n">
        <f aca="false">H2026*INDEX('Model Inputs &amp; Assumptions'!$G$40:$G$42,MATCH('Model Inputs &amp; Assumptions'!$L$32,'Model Inputs &amp; Assumptions'!$A$40:$A$42,0))*INDEX('Model Inputs &amp; Assumptions'!$H$40:$H$42,MATCH('Model Inputs &amp; Assumptions'!$L$32,'Model Inputs &amp; Assumptions'!$A$40:$A$42,0))</f>
        <v>28554.5969019204</v>
      </c>
      <c r="L2026" s="51" t="n">
        <f aca="false">IFERROR(K2026/I2026,0)</f>
        <v>2.77664949232158</v>
      </c>
      <c r="M2026" s="49" t="n">
        <f aca="false">IFERROR(I2026/H2026,0)</f>
        <v>40.8405887432286</v>
      </c>
      <c r="N2026" s="52" t="str">
        <f aca="false">'Model Inputs &amp; Assumptions'!$L$32</f>
        <v>PRD-SP01</v>
      </c>
      <c r="P2026" s="53" t="n">
        <v>-0.972185</v>
      </c>
      <c r="Q2026" s="53" t="n">
        <v>0.924295</v>
      </c>
      <c r="R2026" s="53" t="n">
        <v>0.663823</v>
      </c>
      <c r="S2026" s="53" t="n">
        <v>1.816829</v>
      </c>
    </row>
    <row r="2027" customFormat="false" ht="15" hidden="false" customHeight="false" outlineLevel="0" collapsed="false">
      <c r="A2027" s="43" t="n">
        <v>24</v>
      </c>
      <c r="B2027" s="44" t="str">
        <f aca="false">'Model Inputs &amp; Assumptions'!$B$32</f>
        <v>Trade Republic — In-App Display</v>
      </c>
      <c r="C2027" s="45" t="n">
        <f aca="false">ROUND(MAX(0,'Model Inputs &amp; Assumptions'!$S$32*EXP('Model Inputs &amp; Assumptions'!$T$32*P2027-'Model Inputs &amp; Assumptions'!$T$32^2/2)),0)</f>
        <v>1935927</v>
      </c>
      <c r="D2027" s="46" t="n">
        <f aca="false">MIN(1,'Model Inputs &amp; Assumptions'!$U$32*EXP('Model Inputs &amp; Assumptions'!$V$32*Q2027-'Model Inputs &amp; Assumptions'!$V$32^2/2))</f>
        <v>0</v>
      </c>
      <c r="E2027" s="45" t="n">
        <f aca="false">ROUND(C2027*D2027,0)</f>
        <v>0</v>
      </c>
      <c r="F2027" s="47" t="n">
        <f aca="false">MIN(1,'Model Inputs &amp; Assumptions'!$W$32*EXP('Model Inputs &amp; Assumptions'!$X$32*R2027-'Model Inputs &amp; Assumptions'!$X$32^2/2))</f>
        <v>0.0042779095547749</v>
      </c>
      <c r="G2027" s="45" t="n">
        <f aca="false">ROUND(C2027*F2027,0)</f>
        <v>8282</v>
      </c>
      <c r="H2027" s="48" t="n">
        <f aca="false">MAX(0,(C2027*'Model Inputs &amp; Assumptions'!$N$32+E2027*'Model Inputs &amp; Assumptions'!$O$32+G2027*'Model Inputs &amp; Assumptions'!$P$32)*EXP('Model Inputs &amp; Assumptions'!$Q$32*S2027-'Model Inputs &amp; Assumptions'!$Q$32^2/2))</f>
        <v>528.135043333625</v>
      </c>
      <c r="I2027" s="49" t="n">
        <f aca="false">IF('Model Inputs &amp; Assumptions'!$H$32="Fixed",'Model Inputs &amp; Assumptions'!$I$32*'Model Inputs &amp; Assumptions'!$K$32,IF('Model Inputs &amp; Assumptions'!$H$32="CPM",'Model Inputs &amp; Assumptions'!$I$32*'Model Inputs &amp; Assumptions'!$K$32*C2027/1000,IF('Model Inputs &amp; Assumptions'!$H$32="CPC",'Model Inputs &amp; Assumptions'!$I$32*'Model Inputs &amp; Assumptions'!$K$32*G2027,0)))</f>
        <v>23231.124</v>
      </c>
      <c r="J2027" s="50" t="n">
        <f aca="false">H2027*INDEX('Model Inputs &amp; Assumptions'!$D$40:$D$42,MATCH('Model Inputs &amp; Assumptions'!$L$32,'Model Inputs &amp; Assumptions'!$A$40:$A$42,0))*INDEX('Model Inputs &amp; Assumptions'!$H$40:$H$42,MATCH('Model Inputs &amp; Assumptions'!$L$32,'Model Inputs &amp; Assumptions'!$A$40:$A$42,0))</f>
        <v>2851929.23400158</v>
      </c>
      <c r="K2027" s="49" t="n">
        <f aca="false">H2027*INDEX('Model Inputs &amp; Assumptions'!$G$40:$G$42,MATCH('Model Inputs &amp; Assumptions'!$L$32,'Model Inputs &amp; Assumptions'!$A$40:$A$42,0))*INDEX('Model Inputs &amp; Assumptions'!$H$40:$H$42,MATCH('Model Inputs &amp; Assumptions'!$L$32,'Model Inputs &amp; Assumptions'!$A$40:$A$42,0))</f>
        <v>59890.5139140331</v>
      </c>
      <c r="L2027" s="51" t="n">
        <f aca="false">IFERROR(K2027/I2027,0)</f>
        <v>2.57802910931185</v>
      </c>
      <c r="M2027" s="49" t="n">
        <f aca="false">IFERROR(I2027/H2027,0)</f>
        <v>43.9870905997139</v>
      </c>
      <c r="N2027" s="52" t="str">
        <f aca="false">'Model Inputs &amp; Assumptions'!$L$32</f>
        <v>PRD-SP01</v>
      </c>
      <c r="P2027" s="53" t="n">
        <v>1.744215</v>
      </c>
      <c r="Q2027" s="53" t="n">
        <v>1.801375</v>
      </c>
      <c r="R2027" s="53" t="n">
        <v>0.819005</v>
      </c>
      <c r="S2027" s="53" t="n">
        <v>1.385018</v>
      </c>
    </row>
    <row r="2028" customFormat="false" ht="15" hidden="false" customHeight="false" outlineLevel="0" collapsed="false">
      <c r="A2028" s="43" t="n">
        <v>25</v>
      </c>
      <c r="B2028" s="44" t="str">
        <f aca="false">'Model Inputs &amp; Assumptions'!$B$32</f>
        <v>Trade Republic — In-App Display</v>
      </c>
      <c r="C2028" s="45" t="n">
        <f aca="false">ROUND(MAX(0,'Model Inputs &amp; Assumptions'!$S$32*EXP('Model Inputs &amp; Assumptions'!$T$32*P2028-'Model Inputs &amp; Assumptions'!$T$32^2/2)),0)</f>
        <v>1130450</v>
      </c>
      <c r="D2028" s="46" t="n">
        <f aca="false">MIN(1,'Model Inputs &amp; Assumptions'!$U$32*EXP('Model Inputs &amp; Assumptions'!$V$32*Q2028-'Model Inputs &amp; Assumptions'!$V$32^2/2))</f>
        <v>0</v>
      </c>
      <c r="E2028" s="45" t="n">
        <f aca="false">ROUND(C2028*D2028,0)</f>
        <v>0</v>
      </c>
      <c r="F2028" s="47" t="n">
        <f aca="false">MIN(1,'Model Inputs &amp; Assumptions'!$W$32*EXP('Model Inputs &amp; Assumptions'!$X$32*R2028-'Model Inputs &amp; Assumptions'!$X$32^2/2))</f>
        <v>0.00480138956388664</v>
      </c>
      <c r="G2028" s="45" t="n">
        <f aca="false">ROUND(C2028*F2028,0)</f>
        <v>5428</v>
      </c>
      <c r="H2028" s="48" t="n">
        <f aca="false">MAX(0,(C2028*'Model Inputs &amp; Assumptions'!$N$32+E2028*'Model Inputs &amp; Assumptions'!$O$32+G2028*'Model Inputs &amp; Assumptions'!$P$32)*EXP('Model Inputs &amp; Assumptions'!$Q$32*S2028-'Model Inputs &amp; Assumptions'!$Q$32^2/2))</f>
        <v>222.019201581646</v>
      </c>
      <c r="I2028" s="49" t="n">
        <f aca="false">IF('Model Inputs &amp; Assumptions'!$H$32="Fixed",'Model Inputs &amp; Assumptions'!$I$32*'Model Inputs &amp; Assumptions'!$K$32,IF('Model Inputs &amp; Assumptions'!$H$32="CPM",'Model Inputs &amp; Assumptions'!$I$32*'Model Inputs &amp; Assumptions'!$K$32*C2028/1000,IF('Model Inputs &amp; Assumptions'!$H$32="CPC",'Model Inputs &amp; Assumptions'!$I$32*'Model Inputs &amp; Assumptions'!$K$32*G2028,0)))</f>
        <v>13565.4</v>
      </c>
      <c r="J2028" s="50" t="n">
        <f aca="false">H2028*INDEX('Model Inputs &amp; Assumptions'!$D$40:$D$42,MATCH('Model Inputs &amp; Assumptions'!$L$32,'Model Inputs &amp; Assumptions'!$A$40:$A$42,0))*INDEX('Model Inputs &amp; Assumptions'!$H$40:$H$42,MATCH('Model Inputs &amp; Assumptions'!$L$32,'Model Inputs &amp; Assumptions'!$A$40:$A$42,0))</f>
        <v>1198903.68854089</v>
      </c>
      <c r="K2028" s="49" t="n">
        <f aca="false">H2028*INDEX('Model Inputs &amp; Assumptions'!$G$40:$G$42,MATCH('Model Inputs &amp; Assumptions'!$L$32,'Model Inputs &amp; Assumptions'!$A$40:$A$42,0))*INDEX('Model Inputs &amp; Assumptions'!$H$40:$H$42,MATCH('Model Inputs &amp; Assumptions'!$L$32,'Model Inputs &amp; Assumptions'!$A$40:$A$42,0))</f>
        <v>25176.9774593587</v>
      </c>
      <c r="L2028" s="51" t="n">
        <f aca="false">IFERROR(K2028/I2028,0)</f>
        <v>1.85597014900841</v>
      </c>
      <c r="M2028" s="49" t="n">
        <f aca="false">IFERROR(I2028/H2028,0)</f>
        <v>61.1001206353379</v>
      </c>
      <c r="N2028" s="52" t="str">
        <f aca="false">'Model Inputs &amp; Assumptions'!$L$32</f>
        <v>PRD-SP01</v>
      </c>
      <c r="P2028" s="53" t="n">
        <v>-0.049018</v>
      </c>
      <c r="Q2028" s="53" t="n">
        <v>0.619584</v>
      </c>
      <c r="R2028" s="53" t="n">
        <v>1.203808</v>
      </c>
      <c r="S2028" s="53" t="n">
        <v>-0.200962</v>
      </c>
    </row>
    <row r="2029" customFormat="false" ht="15" hidden="false" customHeight="false" outlineLevel="0" collapsed="false">
      <c r="A2029" s="43" t="n">
        <v>26</v>
      </c>
      <c r="B2029" s="44" t="str">
        <f aca="false">'Model Inputs &amp; Assumptions'!$B$32</f>
        <v>Trade Republic — In-App Display</v>
      </c>
      <c r="C2029" s="45" t="n">
        <f aca="false">ROUND(MAX(0,'Model Inputs &amp; Assumptions'!$S$32*EXP('Model Inputs &amp; Assumptions'!$T$32*P2029-'Model Inputs &amp; Assumptions'!$T$32^2/2)),0)</f>
        <v>1129883</v>
      </c>
      <c r="D2029" s="46" t="n">
        <f aca="false">MIN(1,'Model Inputs &amp; Assumptions'!$U$32*EXP('Model Inputs &amp; Assumptions'!$V$32*Q2029-'Model Inputs &amp; Assumptions'!$V$32^2/2))</f>
        <v>0</v>
      </c>
      <c r="E2029" s="45" t="n">
        <f aca="false">ROUND(C2029*D2029,0)</f>
        <v>0</v>
      </c>
      <c r="F2029" s="47" t="n">
        <f aca="false">MIN(1,'Model Inputs &amp; Assumptions'!$W$32*EXP('Model Inputs &amp; Assumptions'!$X$32*R2029-'Model Inputs &amp; Assumptions'!$X$32^2/2))</f>
        <v>0.00328303063045381</v>
      </c>
      <c r="G2029" s="45" t="n">
        <f aca="false">ROUND(C2029*F2029,0)</f>
        <v>3709</v>
      </c>
      <c r="H2029" s="48" t="n">
        <f aca="false">MAX(0,(C2029*'Model Inputs &amp; Assumptions'!$N$32+E2029*'Model Inputs &amp; Assumptions'!$O$32+G2029*'Model Inputs &amp; Assumptions'!$P$32)*EXP('Model Inputs &amp; Assumptions'!$Q$32*S2029-'Model Inputs &amp; Assumptions'!$Q$32^2/2))</f>
        <v>209.260219791098</v>
      </c>
      <c r="I2029" s="49" t="n">
        <f aca="false">IF('Model Inputs &amp; Assumptions'!$H$32="Fixed",'Model Inputs &amp; Assumptions'!$I$32*'Model Inputs &amp; Assumptions'!$K$32,IF('Model Inputs &amp; Assumptions'!$H$32="CPM",'Model Inputs &amp; Assumptions'!$I$32*'Model Inputs &amp; Assumptions'!$K$32*C2029/1000,IF('Model Inputs &amp; Assumptions'!$H$32="CPC",'Model Inputs &amp; Assumptions'!$I$32*'Model Inputs &amp; Assumptions'!$K$32*G2029,0)))</f>
        <v>13558.596</v>
      </c>
      <c r="J2029" s="50" t="n">
        <f aca="false">H2029*INDEX('Model Inputs &amp; Assumptions'!$D$40:$D$42,MATCH('Model Inputs &amp; Assumptions'!$L$32,'Model Inputs &amp; Assumptions'!$A$40:$A$42,0))*INDEX('Model Inputs &amp; Assumptions'!$H$40:$H$42,MATCH('Model Inputs &amp; Assumptions'!$L$32,'Model Inputs &amp; Assumptions'!$A$40:$A$42,0))</f>
        <v>1130005.18687193</v>
      </c>
      <c r="K2029" s="49" t="n">
        <f aca="false">H2029*INDEX('Model Inputs &amp; Assumptions'!$G$40:$G$42,MATCH('Model Inputs &amp; Assumptions'!$L$32,'Model Inputs &amp; Assumptions'!$A$40:$A$42,0))*INDEX('Model Inputs &amp; Assumptions'!$H$40:$H$42,MATCH('Model Inputs &amp; Assumptions'!$L$32,'Model Inputs &amp; Assumptions'!$A$40:$A$42,0))</f>
        <v>23730.1089243105</v>
      </c>
      <c r="L2029" s="51" t="n">
        <f aca="false">IFERROR(K2029/I2029,0)</f>
        <v>1.75018924705114</v>
      </c>
      <c r="M2029" s="49" t="n">
        <f aca="false">IFERROR(I2029/H2029,0)</f>
        <v>64.7929932097719</v>
      </c>
      <c r="N2029" s="52" t="str">
        <f aca="false">'Model Inputs &amp; Assumptions'!$L$32</f>
        <v>PRD-SP01</v>
      </c>
      <c r="P2029" s="53" t="n">
        <v>-0.050693</v>
      </c>
      <c r="Q2029" s="53" t="n">
        <v>0.387016</v>
      </c>
      <c r="R2029" s="53" t="n">
        <v>-0.06332</v>
      </c>
      <c r="S2029" s="53" t="n">
        <v>0.947692</v>
      </c>
    </row>
    <row r="2030" customFormat="false" ht="15" hidden="false" customHeight="false" outlineLevel="0" collapsed="false">
      <c r="A2030" s="43" t="n">
        <v>27</v>
      </c>
      <c r="B2030" s="44" t="str">
        <f aca="false">'Model Inputs &amp; Assumptions'!$B$32</f>
        <v>Trade Republic — In-App Display</v>
      </c>
      <c r="C2030" s="45" t="n">
        <f aca="false">ROUND(MAX(0,'Model Inputs &amp; Assumptions'!$S$32*EXP('Model Inputs &amp; Assumptions'!$T$32*P2030-'Model Inputs &amp; Assumptions'!$T$32^2/2)),0)</f>
        <v>1582566</v>
      </c>
      <c r="D2030" s="46" t="n">
        <f aca="false">MIN(1,'Model Inputs &amp; Assumptions'!$U$32*EXP('Model Inputs &amp; Assumptions'!$V$32*Q2030-'Model Inputs &amp; Assumptions'!$V$32^2/2))</f>
        <v>0</v>
      </c>
      <c r="E2030" s="45" t="n">
        <f aca="false">ROUND(C2030*D2030,0)</f>
        <v>0</v>
      </c>
      <c r="F2030" s="47" t="n">
        <f aca="false">MIN(1,'Model Inputs &amp; Assumptions'!$W$32*EXP('Model Inputs &amp; Assumptions'!$X$32*R2030-'Model Inputs &amp; Assumptions'!$X$32^2/2))</f>
        <v>0.00312912517442089</v>
      </c>
      <c r="G2030" s="45" t="n">
        <f aca="false">ROUND(C2030*F2030,0)</f>
        <v>4952</v>
      </c>
      <c r="H2030" s="48" t="n">
        <f aca="false">MAX(0,(C2030*'Model Inputs &amp; Assumptions'!$N$32+E2030*'Model Inputs &amp; Assumptions'!$O$32+G2030*'Model Inputs &amp; Assumptions'!$P$32)*EXP('Model Inputs &amp; Assumptions'!$Q$32*S2030-'Model Inputs &amp; Assumptions'!$Q$32^2/2))</f>
        <v>230.3616683916</v>
      </c>
      <c r="I2030" s="49" t="n">
        <f aca="false">IF('Model Inputs &amp; Assumptions'!$H$32="Fixed",'Model Inputs &amp; Assumptions'!$I$32*'Model Inputs &amp; Assumptions'!$K$32,IF('Model Inputs &amp; Assumptions'!$H$32="CPM",'Model Inputs &amp; Assumptions'!$I$32*'Model Inputs &amp; Assumptions'!$K$32*C2030/1000,IF('Model Inputs &amp; Assumptions'!$H$32="CPC",'Model Inputs &amp; Assumptions'!$I$32*'Model Inputs &amp; Assumptions'!$K$32*G2030,0)))</f>
        <v>18990.792</v>
      </c>
      <c r="J2030" s="50" t="n">
        <f aca="false">H2030*INDEX('Model Inputs &amp; Assumptions'!$D$40:$D$42,MATCH('Model Inputs &amp; Assumptions'!$L$32,'Model Inputs &amp; Assumptions'!$A$40:$A$42,0))*INDEX('Model Inputs &amp; Assumptions'!$H$40:$H$42,MATCH('Model Inputs &amp; Assumptions'!$L$32,'Model Inputs &amp; Assumptions'!$A$40:$A$42,0))</f>
        <v>1243953.00931464</v>
      </c>
      <c r="K2030" s="49" t="n">
        <f aca="false">H2030*INDEX('Model Inputs &amp; Assumptions'!$G$40:$G$42,MATCH('Model Inputs &amp; Assumptions'!$L$32,'Model Inputs &amp; Assumptions'!$A$40:$A$42,0))*INDEX('Model Inputs &amp; Assumptions'!$H$40:$H$42,MATCH('Model Inputs &amp; Assumptions'!$L$32,'Model Inputs &amp; Assumptions'!$A$40:$A$42,0))</f>
        <v>26123.0131956074</v>
      </c>
      <c r="L2030" s="51" t="n">
        <f aca="false">IFERROR(K2030/I2030,0)</f>
        <v>1.37556207216673</v>
      </c>
      <c r="M2030" s="49" t="n">
        <f aca="false">IFERROR(I2030/H2030,0)</f>
        <v>82.4390278668971</v>
      </c>
      <c r="N2030" s="52" t="str">
        <f aca="false">'Model Inputs &amp; Assumptions'!$L$32</f>
        <v>PRD-SP01</v>
      </c>
      <c r="P2030" s="53" t="n">
        <v>1.07242</v>
      </c>
      <c r="Q2030" s="53" t="n">
        <v>-2.280535</v>
      </c>
      <c r="R2030" s="53" t="n">
        <v>-0.223365</v>
      </c>
      <c r="S2030" s="53" t="n">
        <v>0.258559</v>
      </c>
    </row>
    <row r="2031" customFormat="false" ht="15" hidden="false" customHeight="false" outlineLevel="0" collapsed="false">
      <c r="A2031" s="43" t="n">
        <v>28</v>
      </c>
      <c r="B2031" s="44" t="str">
        <f aca="false">'Model Inputs &amp; Assumptions'!$B$32</f>
        <v>Trade Republic — In-App Display</v>
      </c>
      <c r="C2031" s="45" t="n">
        <f aca="false">ROUND(MAX(0,'Model Inputs &amp; Assumptions'!$S$32*EXP('Model Inputs &amp; Assumptions'!$T$32*P2031-'Model Inputs &amp; Assumptions'!$T$32^2/2)),0)</f>
        <v>771050</v>
      </c>
      <c r="D2031" s="46" t="n">
        <f aca="false">MIN(1,'Model Inputs &amp; Assumptions'!$U$32*EXP('Model Inputs &amp; Assumptions'!$V$32*Q2031-'Model Inputs &amp; Assumptions'!$V$32^2/2))</f>
        <v>0</v>
      </c>
      <c r="E2031" s="45" t="n">
        <f aca="false">ROUND(C2031*D2031,0)</f>
        <v>0</v>
      </c>
      <c r="F2031" s="47" t="n">
        <f aca="false">MIN(1,'Model Inputs &amp; Assumptions'!$W$32*EXP('Model Inputs &amp; Assumptions'!$X$32*R2031-'Model Inputs &amp; Assumptions'!$X$32^2/2))</f>
        <v>0.00345117747009677</v>
      </c>
      <c r="G2031" s="45" t="n">
        <f aca="false">ROUND(C2031*F2031,0)</f>
        <v>2661</v>
      </c>
      <c r="H2031" s="48" t="n">
        <f aca="false">MAX(0,(C2031*'Model Inputs &amp; Assumptions'!$N$32+E2031*'Model Inputs &amp; Assumptions'!$O$32+G2031*'Model Inputs &amp; Assumptions'!$P$32)*EXP('Model Inputs &amp; Assumptions'!$Q$32*S2031-'Model Inputs &amp; Assumptions'!$Q$32^2/2))</f>
        <v>127.661613880001</v>
      </c>
      <c r="I2031" s="49" t="n">
        <f aca="false">IF('Model Inputs &amp; Assumptions'!$H$32="Fixed",'Model Inputs &amp; Assumptions'!$I$32*'Model Inputs &amp; Assumptions'!$K$32,IF('Model Inputs &amp; Assumptions'!$H$32="CPM",'Model Inputs &amp; Assumptions'!$I$32*'Model Inputs &amp; Assumptions'!$K$32*C2031/1000,IF('Model Inputs &amp; Assumptions'!$H$32="CPC",'Model Inputs &amp; Assumptions'!$I$32*'Model Inputs &amp; Assumptions'!$K$32*G2031,0)))</f>
        <v>9252.6</v>
      </c>
      <c r="J2031" s="50" t="n">
        <f aca="false">H2031*INDEX('Model Inputs &amp; Assumptions'!$D$40:$D$42,MATCH('Model Inputs &amp; Assumptions'!$L$32,'Model Inputs &amp; Assumptions'!$A$40:$A$42,0))*INDEX('Model Inputs &amp; Assumptions'!$H$40:$H$42,MATCH('Model Inputs &amp; Assumptions'!$L$32,'Model Inputs &amp; Assumptions'!$A$40:$A$42,0))</f>
        <v>689372.714952007</v>
      </c>
      <c r="K2031" s="49" t="n">
        <f aca="false">H2031*INDEX('Model Inputs &amp; Assumptions'!$G$40:$G$42,MATCH('Model Inputs &amp; Assumptions'!$L$32,'Model Inputs &amp; Assumptions'!$A$40:$A$42,0))*INDEX('Model Inputs &amp; Assumptions'!$H$40:$H$42,MATCH('Model Inputs &amp; Assumptions'!$L$32,'Model Inputs &amp; Assumptions'!$A$40:$A$42,0))</f>
        <v>14476.8270139921</v>
      </c>
      <c r="L2031" s="51" t="n">
        <f aca="false">IFERROR(K2031/I2031,0)</f>
        <v>1.56462259408081</v>
      </c>
      <c r="M2031" s="49" t="n">
        <f aca="false">IFERROR(I2031/H2031,0)</f>
        <v>72.4775421427557</v>
      </c>
      <c r="N2031" s="52" t="str">
        <f aca="false">'Model Inputs &amp; Assumptions'!$L$32</f>
        <v>PRD-SP01</v>
      </c>
      <c r="P2031" s="53" t="n">
        <v>-1.32441</v>
      </c>
      <c r="Q2031" s="53" t="n">
        <v>0.516559</v>
      </c>
      <c r="R2031" s="53" t="n">
        <v>0.103175</v>
      </c>
      <c r="S2031" s="53" t="n">
        <v>0.368638</v>
      </c>
    </row>
    <row r="2032" customFormat="false" ht="15" hidden="false" customHeight="false" outlineLevel="0" collapsed="false">
      <c r="A2032" s="43" t="n">
        <v>29</v>
      </c>
      <c r="B2032" s="44" t="str">
        <f aca="false">'Model Inputs &amp; Assumptions'!$B$32</f>
        <v>Trade Republic — In-App Display</v>
      </c>
      <c r="C2032" s="45" t="n">
        <f aca="false">ROUND(MAX(0,'Model Inputs &amp; Assumptions'!$S$32*EXP('Model Inputs &amp; Assumptions'!$T$32*P2032-'Model Inputs &amp; Assumptions'!$T$32^2/2)),0)</f>
        <v>484741</v>
      </c>
      <c r="D2032" s="46" t="n">
        <f aca="false">MIN(1,'Model Inputs &amp; Assumptions'!$U$32*EXP('Model Inputs &amp; Assumptions'!$V$32*Q2032-'Model Inputs &amp; Assumptions'!$V$32^2/2))</f>
        <v>0</v>
      </c>
      <c r="E2032" s="45" t="n">
        <f aca="false">ROUND(C2032*D2032,0)</f>
        <v>0</v>
      </c>
      <c r="F2032" s="47" t="n">
        <f aca="false">MIN(1,'Model Inputs &amp; Assumptions'!$W$32*EXP('Model Inputs &amp; Assumptions'!$X$32*R2032-'Model Inputs &amp; Assumptions'!$X$32^2/2))</f>
        <v>0.00283272024839721</v>
      </c>
      <c r="G2032" s="45" t="n">
        <f aca="false">ROUND(C2032*F2032,0)</f>
        <v>1373</v>
      </c>
      <c r="H2032" s="48" t="n">
        <f aca="false">MAX(0,(C2032*'Model Inputs &amp; Assumptions'!$N$32+E2032*'Model Inputs &amp; Assumptions'!$O$32+G2032*'Model Inputs &amp; Assumptions'!$P$32)*EXP('Model Inputs &amp; Assumptions'!$Q$32*S2032-'Model Inputs &amp; Assumptions'!$Q$32^2/2))</f>
        <v>72.8224274084188</v>
      </c>
      <c r="I2032" s="49" t="n">
        <f aca="false">IF('Model Inputs &amp; Assumptions'!$H$32="Fixed",'Model Inputs &amp; Assumptions'!$I$32*'Model Inputs &amp; Assumptions'!$K$32,IF('Model Inputs &amp; Assumptions'!$H$32="CPM",'Model Inputs &amp; Assumptions'!$I$32*'Model Inputs &amp; Assumptions'!$K$32*C2032/1000,IF('Model Inputs &amp; Assumptions'!$H$32="CPC",'Model Inputs &amp; Assumptions'!$I$32*'Model Inputs &amp; Assumptions'!$K$32*G2032,0)))</f>
        <v>5816.892</v>
      </c>
      <c r="J2032" s="50" t="n">
        <f aca="false">H2032*INDEX('Model Inputs &amp; Assumptions'!$D$40:$D$42,MATCH('Model Inputs &amp; Assumptions'!$L$32,'Model Inputs &amp; Assumptions'!$A$40:$A$42,0))*INDEX('Model Inputs &amp; Assumptions'!$H$40:$H$42,MATCH('Model Inputs &amp; Assumptions'!$L$32,'Model Inputs &amp; Assumptions'!$A$40:$A$42,0))</f>
        <v>393241.108005462</v>
      </c>
      <c r="K2032" s="49" t="n">
        <f aca="false">H2032*INDEX('Model Inputs &amp; Assumptions'!$G$40:$G$42,MATCH('Model Inputs &amp; Assumptions'!$L$32,'Model Inputs &amp; Assumptions'!$A$40:$A$42,0))*INDEX('Model Inputs &amp; Assumptions'!$H$40:$H$42,MATCH('Model Inputs &amp; Assumptions'!$L$32,'Model Inputs &amp; Assumptions'!$A$40:$A$42,0))</f>
        <v>8258.06326811469</v>
      </c>
      <c r="L2032" s="51" t="n">
        <f aca="false">IFERROR(K2032/I2032,0)</f>
        <v>1.41966934715561</v>
      </c>
      <c r="M2032" s="49" t="n">
        <f aca="false">IFERROR(I2032/H2032,0)</f>
        <v>79.8777547935394</v>
      </c>
      <c r="N2032" s="52" t="str">
        <f aca="false">'Model Inputs &amp; Assumptions'!$L$32</f>
        <v>PRD-SP01</v>
      </c>
      <c r="P2032" s="53" t="n">
        <v>-2.871539</v>
      </c>
      <c r="Q2032" s="53" t="n">
        <v>-0.438948</v>
      </c>
      <c r="R2032" s="53" t="n">
        <v>-0.555085</v>
      </c>
      <c r="S2032" s="53" t="n">
        <v>0.727012</v>
      </c>
    </row>
    <row r="2033" customFormat="false" ht="15" hidden="false" customHeight="false" outlineLevel="0" collapsed="false">
      <c r="A2033" s="43" t="n">
        <v>30</v>
      </c>
      <c r="B2033" s="44" t="str">
        <f aca="false">'Model Inputs &amp; Assumptions'!$B$32</f>
        <v>Trade Republic — In-App Display</v>
      </c>
      <c r="C2033" s="45" t="n">
        <f aca="false">ROUND(MAX(0,'Model Inputs &amp; Assumptions'!$S$32*EXP('Model Inputs &amp; Assumptions'!$T$32*P2033-'Model Inputs &amp; Assumptions'!$T$32^2/2)),0)</f>
        <v>1753118</v>
      </c>
      <c r="D2033" s="46" t="n">
        <f aca="false">MIN(1,'Model Inputs &amp; Assumptions'!$U$32*EXP('Model Inputs &amp; Assumptions'!$V$32*Q2033-'Model Inputs &amp; Assumptions'!$V$32^2/2))</f>
        <v>0</v>
      </c>
      <c r="E2033" s="45" t="n">
        <f aca="false">ROUND(C2033*D2033,0)</f>
        <v>0</v>
      </c>
      <c r="F2033" s="47" t="n">
        <f aca="false">MIN(1,'Model Inputs &amp; Assumptions'!$W$32*EXP('Model Inputs &amp; Assumptions'!$X$32*R2033-'Model Inputs &amp; Assumptions'!$X$32^2/2))</f>
        <v>0.00335370621955348</v>
      </c>
      <c r="G2033" s="45" t="n">
        <f aca="false">ROUND(C2033*F2033,0)</f>
        <v>5879</v>
      </c>
      <c r="H2033" s="48" t="n">
        <f aca="false">MAX(0,(C2033*'Model Inputs &amp; Assumptions'!$N$32+E2033*'Model Inputs &amp; Assumptions'!$O$32+G2033*'Model Inputs &amp; Assumptions'!$P$32)*EXP('Model Inputs &amp; Assumptions'!$Q$32*S2033-'Model Inputs &amp; Assumptions'!$Q$32^2/2))</f>
        <v>381.079238737007</v>
      </c>
      <c r="I2033" s="49" t="n">
        <f aca="false">IF('Model Inputs &amp; Assumptions'!$H$32="Fixed",'Model Inputs &amp; Assumptions'!$I$32*'Model Inputs &amp; Assumptions'!$K$32,IF('Model Inputs &amp; Assumptions'!$H$32="CPM",'Model Inputs &amp; Assumptions'!$I$32*'Model Inputs &amp; Assumptions'!$K$32*C2033/1000,IF('Model Inputs &amp; Assumptions'!$H$32="CPC",'Model Inputs &amp; Assumptions'!$I$32*'Model Inputs &amp; Assumptions'!$K$32*G2033,0)))</f>
        <v>21037.416</v>
      </c>
      <c r="J2033" s="50" t="n">
        <f aca="false">H2033*INDEX('Model Inputs &amp; Assumptions'!$D$40:$D$42,MATCH('Model Inputs &amp; Assumptions'!$L$32,'Model Inputs &amp; Assumptions'!$A$40:$A$42,0))*INDEX('Model Inputs &amp; Assumptions'!$H$40:$H$42,MATCH('Model Inputs &amp; Assumptions'!$L$32,'Model Inputs &amp; Assumptions'!$A$40:$A$42,0))</f>
        <v>2057827.88917984</v>
      </c>
      <c r="K2033" s="49" t="n">
        <f aca="false">H2033*INDEX('Model Inputs &amp; Assumptions'!$G$40:$G$42,MATCH('Model Inputs &amp; Assumptions'!$L$32,'Model Inputs &amp; Assumptions'!$A$40:$A$42,0))*INDEX('Model Inputs &amp; Assumptions'!$H$40:$H$42,MATCH('Model Inputs &amp; Assumptions'!$L$32,'Model Inputs &amp; Assumptions'!$A$40:$A$42,0))</f>
        <v>43214.3856727766</v>
      </c>
      <c r="L2033" s="51" t="n">
        <f aca="false">IFERROR(K2033/I2033,0)</f>
        <v>2.0541679488002</v>
      </c>
      <c r="M2033" s="49" t="n">
        <f aca="false">IFERROR(I2033/H2033,0)</f>
        <v>55.2048336973783</v>
      </c>
      <c r="N2033" s="52" t="str">
        <f aca="false">'Model Inputs &amp; Assumptions'!$L$32</f>
        <v>PRD-SP01</v>
      </c>
      <c r="P2033" s="53" t="n">
        <v>1.413582</v>
      </c>
      <c r="Q2033" s="53" t="n">
        <v>0.405989</v>
      </c>
      <c r="R2033" s="53" t="n">
        <v>0.007677</v>
      </c>
      <c r="S2033" s="53" t="n">
        <v>1.443422</v>
      </c>
    </row>
    <row r="2034" customFormat="false" ht="15" hidden="false" customHeight="false" outlineLevel="0" collapsed="false">
      <c r="A2034" s="43" t="n">
        <v>31</v>
      </c>
      <c r="B2034" s="44" t="str">
        <f aca="false">'Model Inputs &amp; Assumptions'!$B$32</f>
        <v>Trade Republic — In-App Display</v>
      </c>
      <c r="C2034" s="45" t="n">
        <f aca="false">ROUND(MAX(0,'Model Inputs &amp; Assumptions'!$S$32*EXP('Model Inputs &amp; Assumptions'!$T$32*P2034-'Model Inputs &amp; Assumptions'!$T$32^2/2)),0)</f>
        <v>1500980</v>
      </c>
      <c r="D2034" s="46" t="n">
        <f aca="false">MIN(1,'Model Inputs &amp; Assumptions'!$U$32*EXP('Model Inputs &amp; Assumptions'!$V$32*Q2034-'Model Inputs &amp; Assumptions'!$V$32^2/2))</f>
        <v>0</v>
      </c>
      <c r="E2034" s="45" t="n">
        <f aca="false">ROUND(C2034*D2034,0)</f>
        <v>0</v>
      </c>
      <c r="F2034" s="47" t="n">
        <f aca="false">MIN(1,'Model Inputs &amp; Assumptions'!$W$32*EXP('Model Inputs &amp; Assumptions'!$X$32*R2034-'Model Inputs &amp; Assumptions'!$X$32^2/2))</f>
        <v>0.00389529598907334</v>
      </c>
      <c r="G2034" s="45" t="n">
        <f aca="false">ROUND(C2034*F2034,0)</f>
        <v>5847</v>
      </c>
      <c r="H2034" s="48" t="n">
        <f aca="false">MAX(0,(C2034*'Model Inputs &amp; Assumptions'!$N$32+E2034*'Model Inputs &amp; Assumptions'!$O$32+G2034*'Model Inputs &amp; Assumptions'!$P$32)*EXP('Model Inputs &amp; Assumptions'!$Q$32*S2034-'Model Inputs &amp; Assumptions'!$Q$32^2/2))</f>
        <v>207.270337393353</v>
      </c>
      <c r="I2034" s="49" t="n">
        <f aca="false">IF('Model Inputs &amp; Assumptions'!$H$32="Fixed",'Model Inputs &amp; Assumptions'!$I$32*'Model Inputs &amp; Assumptions'!$K$32,IF('Model Inputs &amp; Assumptions'!$H$32="CPM",'Model Inputs &amp; Assumptions'!$I$32*'Model Inputs &amp; Assumptions'!$K$32*C2034/1000,IF('Model Inputs &amp; Assumptions'!$H$32="CPC",'Model Inputs &amp; Assumptions'!$I$32*'Model Inputs &amp; Assumptions'!$K$32*G2034,0)))</f>
        <v>18011.76</v>
      </c>
      <c r="J2034" s="50" t="n">
        <f aca="false">H2034*INDEX('Model Inputs &amp; Assumptions'!$D$40:$D$42,MATCH('Model Inputs &amp; Assumptions'!$L$32,'Model Inputs &amp; Assumptions'!$A$40:$A$42,0))*INDEX('Model Inputs &amp; Assumptions'!$H$40:$H$42,MATCH('Model Inputs &amp; Assumptions'!$L$32,'Model Inputs &amp; Assumptions'!$A$40:$A$42,0))</f>
        <v>1119259.8219241</v>
      </c>
      <c r="K2034" s="49" t="n">
        <f aca="false">H2034*INDEX('Model Inputs &amp; Assumptions'!$G$40:$G$42,MATCH('Model Inputs &amp; Assumptions'!$L$32,'Model Inputs &amp; Assumptions'!$A$40:$A$42,0))*INDEX('Model Inputs &amp; Assumptions'!$H$40:$H$42,MATCH('Model Inputs &amp; Assumptions'!$L$32,'Model Inputs &amp; Assumptions'!$A$40:$A$42,0))</f>
        <v>23504.4562604062</v>
      </c>
      <c r="L2034" s="51" t="n">
        <f aca="false">IFERROR(K2034/I2034,0)</f>
        <v>1.30495055788031</v>
      </c>
      <c r="M2034" s="49" t="n">
        <f aca="false">IFERROR(I2034/H2034,0)</f>
        <v>86.8998440708751</v>
      </c>
      <c r="N2034" s="52" t="str">
        <f aca="false">'Model Inputs &amp; Assumptions'!$L$32</f>
        <v>PRD-SP01</v>
      </c>
      <c r="P2034" s="53" t="n">
        <v>0.895989</v>
      </c>
      <c r="Q2034" s="53" t="n">
        <v>-1.332434</v>
      </c>
      <c r="R2034" s="53" t="n">
        <v>0.506689</v>
      </c>
      <c r="S2034" s="53" t="n">
        <v>-0.712026</v>
      </c>
    </row>
    <row r="2035" customFormat="false" ht="15" hidden="false" customHeight="false" outlineLevel="0" collapsed="false">
      <c r="A2035" s="43" t="n">
        <v>32</v>
      </c>
      <c r="B2035" s="44" t="str">
        <f aca="false">'Model Inputs &amp; Assumptions'!$B$32</f>
        <v>Trade Republic — In-App Display</v>
      </c>
      <c r="C2035" s="45" t="n">
        <f aca="false">ROUND(MAX(0,'Model Inputs &amp; Assumptions'!$S$32*EXP('Model Inputs &amp; Assumptions'!$T$32*P2035-'Model Inputs &amp; Assumptions'!$T$32^2/2)),0)</f>
        <v>2400423</v>
      </c>
      <c r="D2035" s="46" t="n">
        <f aca="false">MIN(1,'Model Inputs &amp; Assumptions'!$U$32*EXP('Model Inputs &amp; Assumptions'!$V$32*Q2035-'Model Inputs &amp; Assumptions'!$V$32^2/2))</f>
        <v>0</v>
      </c>
      <c r="E2035" s="45" t="n">
        <f aca="false">ROUND(C2035*D2035,0)</f>
        <v>0</v>
      </c>
      <c r="F2035" s="47" t="n">
        <f aca="false">MIN(1,'Model Inputs &amp; Assumptions'!$W$32*EXP('Model Inputs &amp; Assumptions'!$X$32*R2035-'Model Inputs &amp; Assumptions'!$X$32^2/2))</f>
        <v>0.00376669465854753</v>
      </c>
      <c r="G2035" s="45" t="n">
        <f aca="false">ROUND(C2035*F2035,0)</f>
        <v>9042</v>
      </c>
      <c r="H2035" s="48" t="n">
        <f aca="false">MAX(0,(C2035*'Model Inputs &amp; Assumptions'!$N$32+E2035*'Model Inputs &amp; Assumptions'!$O$32+G2035*'Model Inputs &amp; Assumptions'!$P$32)*EXP('Model Inputs &amp; Assumptions'!$Q$32*S2035-'Model Inputs &amp; Assumptions'!$Q$32^2/2))</f>
        <v>405.989021519081</v>
      </c>
      <c r="I2035" s="49" t="n">
        <f aca="false">IF('Model Inputs &amp; Assumptions'!$H$32="Fixed",'Model Inputs &amp; Assumptions'!$I$32*'Model Inputs &amp; Assumptions'!$K$32,IF('Model Inputs &amp; Assumptions'!$H$32="CPM",'Model Inputs &amp; Assumptions'!$I$32*'Model Inputs &amp; Assumptions'!$K$32*C2035/1000,IF('Model Inputs &amp; Assumptions'!$H$32="CPC",'Model Inputs &amp; Assumptions'!$I$32*'Model Inputs &amp; Assumptions'!$K$32*G2035,0)))</f>
        <v>28805.076</v>
      </c>
      <c r="J2035" s="50" t="n">
        <f aca="false">H2035*INDEX('Model Inputs &amp; Assumptions'!$D$40:$D$42,MATCH('Model Inputs &amp; Assumptions'!$L$32,'Model Inputs &amp; Assumptions'!$A$40:$A$42,0))*INDEX('Model Inputs &amp; Assumptions'!$H$40:$H$42,MATCH('Model Inputs &amp; Assumptions'!$L$32,'Model Inputs &amp; Assumptions'!$A$40:$A$42,0))</f>
        <v>2192340.71620304</v>
      </c>
      <c r="K2035" s="49" t="n">
        <f aca="false">H2035*INDEX('Model Inputs &amp; Assumptions'!$G$40:$G$42,MATCH('Model Inputs &amp; Assumptions'!$L$32,'Model Inputs &amp; Assumptions'!$A$40:$A$42,0))*INDEX('Model Inputs &amp; Assumptions'!$H$40:$H$42,MATCH('Model Inputs &amp; Assumptions'!$L$32,'Model Inputs &amp; Assumptions'!$A$40:$A$42,0))</f>
        <v>46039.1550402638</v>
      </c>
      <c r="L2035" s="51" t="n">
        <f aca="false">IFERROR(K2035/I2035,0)</f>
        <v>1.59830007184372</v>
      </c>
      <c r="M2035" s="49" t="n">
        <f aca="false">IFERROR(I2035/H2035,0)</f>
        <v>70.9503815946072</v>
      </c>
      <c r="N2035" s="52" t="str">
        <f aca="false">'Model Inputs &amp; Assumptions'!$L$32</f>
        <v>PRD-SP01</v>
      </c>
      <c r="P2035" s="53" t="n">
        <v>2.461078</v>
      </c>
      <c r="Q2035" s="53" t="n">
        <v>0.583612</v>
      </c>
      <c r="R2035" s="53" t="n">
        <v>0.394783</v>
      </c>
      <c r="S2035" s="53" t="n">
        <v>0.132083</v>
      </c>
    </row>
    <row r="2036" customFormat="false" ht="15" hidden="false" customHeight="false" outlineLevel="0" collapsed="false">
      <c r="A2036" s="43" t="n">
        <v>33</v>
      </c>
      <c r="B2036" s="44" t="str">
        <f aca="false">'Model Inputs &amp; Assumptions'!$B$32</f>
        <v>Trade Republic — In-App Display</v>
      </c>
      <c r="C2036" s="45" t="n">
        <f aca="false">ROUND(MAX(0,'Model Inputs &amp; Assumptions'!$S$32*EXP('Model Inputs &amp; Assumptions'!$T$32*P2036-'Model Inputs &amp; Assumptions'!$T$32^2/2)),0)</f>
        <v>816031</v>
      </c>
      <c r="D2036" s="46" t="n">
        <f aca="false">MIN(1,'Model Inputs &amp; Assumptions'!$U$32*EXP('Model Inputs &amp; Assumptions'!$V$32*Q2036-'Model Inputs &amp; Assumptions'!$V$32^2/2))</f>
        <v>0</v>
      </c>
      <c r="E2036" s="45" t="n">
        <f aca="false">ROUND(C2036*D2036,0)</f>
        <v>0</v>
      </c>
      <c r="F2036" s="47" t="n">
        <f aca="false">MIN(1,'Model Inputs &amp; Assumptions'!$W$32*EXP('Model Inputs &amp; Assumptions'!$X$32*R2036-'Model Inputs &amp; Assumptions'!$X$32^2/2))</f>
        <v>0.00305087937426793</v>
      </c>
      <c r="G2036" s="45" t="n">
        <f aca="false">ROUND(C2036*F2036,0)</f>
        <v>2490</v>
      </c>
      <c r="H2036" s="48" t="n">
        <f aca="false">MAX(0,(C2036*'Model Inputs &amp; Assumptions'!$N$32+E2036*'Model Inputs &amp; Assumptions'!$O$32+G2036*'Model Inputs &amp; Assumptions'!$P$32)*EXP('Model Inputs &amp; Assumptions'!$Q$32*S2036-'Model Inputs &amp; Assumptions'!$Q$32^2/2))</f>
        <v>193.69016606848</v>
      </c>
      <c r="I2036" s="49" t="n">
        <f aca="false">IF('Model Inputs &amp; Assumptions'!$H$32="Fixed",'Model Inputs &amp; Assumptions'!$I$32*'Model Inputs &amp; Assumptions'!$K$32,IF('Model Inputs &amp; Assumptions'!$H$32="CPM",'Model Inputs &amp; Assumptions'!$I$32*'Model Inputs &amp; Assumptions'!$K$32*C2036/1000,IF('Model Inputs &amp; Assumptions'!$H$32="CPC",'Model Inputs &amp; Assumptions'!$I$32*'Model Inputs &amp; Assumptions'!$K$32*G2036,0)))</f>
        <v>9792.372</v>
      </c>
      <c r="J2036" s="50" t="n">
        <f aca="false">H2036*INDEX('Model Inputs &amp; Assumptions'!$D$40:$D$42,MATCH('Model Inputs &amp; Assumptions'!$L$32,'Model Inputs &amp; Assumptions'!$A$40:$A$42,0))*INDEX('Model Inputs &amp; Assumptions'!$H$40:$H$42,MATCH('Model Inputs &amp; Assumptions'!$L$32,'Model Inputs &amp; Assumptions'!$A$40:$A$42,0))</f>
        <v>1045926.89676979</v>
      </c>
      <c r="K2036" s="49" t="n">
        <f aca="false">H2036*INDEX('Model Inputs &amp; Assumptions'!$G$40:$G$42,MATCH('Model Inputs &amp; Assumptions'!$L$32,'Model Inputs &amp; Assumptions'!$A$40:$A$42,0))*INDEX('Model Inputs &amp; Assumptions'!$H$40:$H$42,MATCH('Model Inputs &amp; Assumptions'!$L$32,'Model Inputs &amp; Assumptions'!$A$40:$A$42,0))</f>
        <v>21964.4648321657</v>
      </c>
      <c r="L2036" s="51" t="n">
        <f aca="false">IFERROR(K2036/I2036,0)</f>
        <v>2.24301781347417</v>
      </c>
      <c r="M2036" s="49" t="n">
        <f aca="false">IFERROR(I2036/H2036,0)</f>
        <v>50.556887831558</v>
      </c>
      <c r="N2036" s="52" t="str">
        <f aca="false">'Model Inputs &amp; Assumptions'!$L$32</f>
        <v>PRD-SP01</v>
      </c>
      <c r="P2036" s="53" t="n">
        <v>-1.135415</v>
      </c>
      <c r="Q2036" s="53" t="n">
        <v>-1.258011</v>
      </c>
      <c r="R2036" s="53" t="n">
        <v>-0.307777</v>
      </c>
      <c r="S2036" s="53" t="n">
        <v>2.094695</v>
      </c>
    </row>
    <row r="2037" customFormat="false" ht="15" hidden="false" customHeight="false" outlineLevel="0" collapsed="false">
      <c r="A2037" s="43" t="n">
        <v>34</v>
      </c>
      <c r="B2037" s="44" t="str">
        <f aca="false">'Model Inputs &amp; Assumptions'!$B$32</f>
        <v>Trade Republic — In-App Display</v>
      </c>
      <c r="C2037" s="45" t="n">
        <f aca="false">ROUND(MAX(0,'Model Inputs &amp; Assumptions'!$S$32*EXP('Model Inputs &amp; Assumptions'!$T$32*P2037-'Model Inputs &amp; Assumptions'!$T$32^2/2)),0)</f>
        <v>973033</v>
      </c>
      <c r="D2037" s="46" t="n">
        <f aca="false">MIN(1,'Model Inputs &amp; Assumptions'!$U$32*EXP('Model Inputs &amp; Assumptions'!$V$32*Q2037-'Model Inputs &amp; Assumptions'!$V$32^2/2))</f>
        <v>0</v>
      </c>
      <c r="E2037" s="45" t="n">
        <f aca="false">ROUND(C2037*D2037,0)</f>
        <v>0</v>
      </c>
      <c r="F2037" s="47" t="n">
        <f aca="false">MIN(1,'Model Inputs &amp; Assumptions'!$W$32*EXP('Model Inputs &amp; Assumptions'!$X$32*R2037-'Model Inputs &amp; Assumptions'!$X$32^2/2))</f>
        <v>0.00290968337230469</v>
      </c>
      <c r="G2037" s="45" t="n">
        <f aca="false">ROUND(C2037*F2037,0)</f>
        <v>2831</v>
      </c>
      <c r="H2037" s="48" t="n">
        <f aca="false">MAX(0,(C2037*'Model Inputs &amp; Assumptions'!$N$32+E2037*'Model Inputs &amp; Assumptions'!$O$32+G2037*'Model Inputs &amp; Assumptions'!$P$32)*EXP('Model Inputs &amp; Assumptions'!$Q$32*S2037-'Model Inputs &amp; Assumptions'!$Q$32^2/2))</f>
        <v>101.837362546284</v>
      </c>
      <c r="I2037" s="49" t="n">
        <f aca="false">IF('Model Inputs &amp; Assumptions'!$H$32="Fixed",'Model Inputs &amp; Assumptions'!$I$32*'Model Inputs &amp; Assumptions'!$K$32,IF('Model Inputs &amp; Assumptions'!$H$32="CPM",'Model Inputs &amp; Assumptions'!$I$32*'Model Inputs &amp; Assumptions'!$K$32*C2037/1000,IF('Model Inputs &amp; Assumptions'!$H$32="CPC",'Model Inputs &amp; Assumptions'!$I$32*'Model Inputs &amp; Assumptions'!$K$32*G2037,0)))</f>
        <v>11676.396</v>
      </c>
      <c r="J2037" s="50" t="n">
        <f aca="false">H2037*INDEX('Model Inputs &amp; Assumptions'!$D$40:$D$42,MATCH('Model Inputs &amp; Assumptions'!$L$32,'Model Inputs &amp; Assumptions'!$A$40:$A$42,0))*INDEX('Model Inputs &amp; Assumptions'!$H$40:$H$42,MATCH('Model Inputs &amp; Assumptions'!$L$32,'Model Inputs &amp; Assumptions'!$A$40:$A$42,0))</f>
        <v>549921.757749933</v>
      </c>
      <c r="K2037" s="49" t="n">
        <f aca="false">H2037*INDEX('Model Inputs &amp; Assumptions'!$G$40:$G$42,MATCH('Model Inputs &amp; Assumptions'!$L$32,'Model Inputs &amp; Assumptions'!$A$40:$A$42,0))*INDEX('Model Inputs &amp; Assumptions'!$H$40:$H$42,MATCH('Model Inputs &amp; Assumptions'!$L$32,'Model Inputs &amp; Assumptions'!$A$40:$A$42,0))</f>
        <v>11548.3569127486</v>
      </c>
      <c r="L2037" s="51" t="n">
        <f aca="false">IFERROR(K2037/I2037,0)</f>
        <v>0.989034365805047</v>
      </c>
      <c r="M2037" s="49" t="n">
        <f aca="false">IFERROR(I2037/H2037,0)</f>
        <v>114.657289898815</v>
      </c>
      <c r="N2037" s="52" t="str">
        <f aca="false">'Model Inputs &amp; Assumptions'!$L$32</f>
        <v>PRD-SP01</v>
      </c>
      <c r="P2037" s="53" t="n">
        <v>-0.548862</v>
      </c>
      <c r="Q2037" s="53" t="n">
        <v>-0.363951</v>
      </c>
      <c r="R2037" s="53" t="n">
        <v>-0.465729</v>
      </c>
      <c r="S2037" s="53" t="n">
        <v>-0.659698</v>
      </c>
    </row>
    <row r="2038" customFormat="false" ht="15" hidden="false" customHeight="false" outlineLevel="0" collapsed="false">
      <c r="A2038" s="43" t="n">
        <v>35</v>
      </c>
      <c r="B2038" s="44" t="str">
        <f aca="false">'Model Inputs &amp; Assumptions'!$B$32</f>
        <v>Trade Republic — In-App Display</v>
      </c>
      <c r="C2038" s="45" t="n">
        <f aca="false">ROUND(MAX(0,'Model Inputs &amp; Assumptions'!$S$32*EXP('Model Inputs &amp; Assumptions'!$T$32*P2038-'Model Inputs &amp; Assumptions'!$T$32^2/2)),0)</f>
        <v>960705</v>
      </c>
      <c r="D2038" s="46" t="n">
        <f aca="false">MIN(1,'Model Inputs &amp; Assumptions'!$U$32*EXP('Model Inputs &amp; Assumptions'!$V$32*Q2038-'Model Inputs &amp; Assumptions'!$V$32^2/2))</f>
        <v>0</v>
      </c>
      <c r="E2038" s="45" t="n">
        <f aca="false">ROUND(C2038*D2038,0)</f>
        <v>0</v>
      </c>
      <c r="F2038" s="47" t="n">
        <f aca="false">MIN(1,'Model Inputs &amp; Assumptions'!$W$32*EXP('Model Inputs &amp; Assumptions'!$X$32*R2038-'Model Inputs &amp; Assumptions'!$X$32^2/2))</f>
        <v>0.00198621708736848</v>
      </c>
      <c r="G2038" s="45" t="n">
        <f aca="false">ROUND(C2038*F2038,0)</f>
        <v>1908</v>
      </c>
      <c r="H2038" s="48" t="n">
        <f aca="false">MAX(0,(C2038*'Model Inputs &amp; Assumptions'!$N$32+E2038*'Model Inputs &amp; Assumptions'!$O$32+G2038*'Model Inputs &amp; Assumptions'!$P$32)*EXP('Model Inputs &amp; Assumptions'!$Q$32*S2038-'Model Inputs &amp; Assumptions'!$Q$32^2/2))</f>
        <v>83.9354812025841</v>
      </c>
      <c r="I2038" s="49" t="n">
        <f aca="false">IF('Model Inputs &amp; Assumptions'!$H$32="Fixed",'Model Inputs &amp; Assumptions'!$I$32*'Model Inputs &amp; Assumptions'!$K$32,IF('Model Inputs &amp; Assumptions'!$H$32="CPM",'Model Inputs &amp; Assumptions'!$I$32*'Model Inputs &amp; Assumptions'!$K$32*C2038/1000,IF('Model Inputs &amp; Assumptions'!$H$32="CPC",'Model Inputs &amp; Assumptions'!$I$32*'Model Inputs &amp; Assumptions'!$K$32*G2038,0)))</f>
        <v>11528.46</v>
      </c>
      <c r="J2038" s="50" t="n">
        <f aca="false">H2038*INDEX('Model Inputs &amp; Assumptions'!$D$40:$D$42,MATCH('Model Inputs &amp; Assumptions'!$L$32,'Model Inputs &amp; Assumptions'!$A$40:$A$42,0))*INDEX('Model Inputs &amp; Assumptions'!$H$40:$H$42,MATCH('Model Inputs &amp; Assumptions'!$L$32,'Model Inputs &amp; Assumptions'!$A$40:$A$42,0))</f>
        <v>453251.598493954</v>
      </c>
      <c r="K2038" s="49" t="n">
        <f aca="false">H2038*INDEX('Model Inputs &amp; Assumptions'!$G$40:$G$42,MATCH('Model Inputs &amp; Assumptions'!$L$32,'Model Inputs &amp; Assumptions'!$A$40:$A$42,0))*INDEX('Model Inputs &amp; Assumptions'!$H$40:$H$42,MATCH('Model Inputs &amp; Assumptions'!$L$32,'Model Inputs &amp; Assumptions'!$A$40:$A$42,0))</f>
        <v>9518.28356837303</v>
      </c>
      <c r="L2038" s="51" t="n">
        <f aca="false">IFERROR(K2038/I2038,0)</f>
        <v>0.825633568436117</v>
      </c>
      <c r="M2038" s="49" t="n">
        <f aca="false">IFERROR(I2038/H2038,0)</f>
        <v>137.349066626249</v>
      </c>
      <c r="N2038" s="52" t="str">
        <f aca="false">'Model Inputs &amp; Assumptions'!$L$32</f>
        <v>PRD-SP01</v>
      </c>
      <c r="P2038" s="53" t="n">
        <v>-0.591364</v>
      </c>
      <c r="Q2038" s="53" t="n">
        <v>-0.722421</v>
      </c>
      <c r="R2038" s="53" t="n">
        <v>-1.738437</v>
      </c>
      <c r="S2038" s="53" t="n">
        <v>0.059037</v>
      </c>
    </row>
    <row r="2039" customFormat="false" ht="15" hidden="false" customHeight="false" outlineLevel="0" collapsed="false">
      <c r="A2039" s="43" t="n">
        <v>36</v>
      </c>
      <c r="B2039" s="44" t="str">
        <f aca="false">'Model Inputs &amp; Assumptions'!$B$32</f>
        <v>Trade Republic — In-App Display</v>
      </c>
      <c r="C2039" s="45" t="n">
        <f aca="false">ROUND(MAX(0,'Model Inputs &amp; Assumptions'!$S$32*EXP('Model Inputs &amp; Assumptions'!$T$32*P2039-'Model Inputs &amp; Assumptions'!$T$32^2/2)),0)</f>
        <v>1350305</v>
      </c>
      <c r="D2039" s="46" t="n">
        <f aca="false">MIN(1,'Model Inputs &amp; Assumptions'!$U$32*EXP('Model Inputs &amp; Assumptions'!$V$32*Q2039-'Model Inputs &amp; Assumptions'!$V$32^2/2))</f>
        <v>0</v>
      </c>
      <c r="E2039" s="45" t="n">
        <f aca="false">ROUND(C2039*D2039,0)</f>
        <v>0</v>
      </c>
      <c r="F2039" s="47" t="n">
        <f aca="false">MIN(1,'Model Inputs &amp; Assumptions'!$W$32*EXP('Model Inputs &amp; Assumptions'!$X$32*R2039-'Model Inputs &amp; Assumptions'!$X$32^2/2))</f>
        <v>0.00279041008386206</v>
      </c>
      <c r="G2039" s="45" t="n">
        <f aca="false">ROUND(C2039*F2039,0)</f>
        <v>3768</v>
      </c>
      <c r="H2039" s="48" t="n">
        <f aca="false">MAX(0,(C2039*'Model Inputs &amp; Assumptions'!$N$32+E2039*'Model Inputs &amp; Assumptions'!$O$32+G2039*'Model Inputs &amp; Assumptions'!$P$32)*EXP('Model Inputs &amp; Assumptions'!$Q$32*S2039-'Model Inputs &amp; Assumptions'!$Q$32^2/2))</f>
        <v>145.584903623781</v>
      </c>
      <c r="I2039" s="49" t="n">
        <f aca="false">IF('Model Inputs &amp; Assumptions'!$H$32="Fixed",'Model Inputs &amp; Assumptions'!$I$32*'Model Inputs &amp; Assumptions'!$K$32,IF('Model Inputs &amp; Assumptions'!$H$32="CPM",'Model Inputs &amp; Assumptions'!$I$32*'Model Inputs &amp; Assumptions'!$K$32*C2039/1000,IF('Model Inputs &amp; Assumptions'!$H$32="CPC",'Model Inputs &amp; Assumptions'!$I$32*'Model Inputs &amp; Assumptions'!$K$32*G2039,0)))</f>
        <v>16203.66</v>
      </c>
      <c r="J2039" s="50" t="n">
        <f aca="false">H2039*INDEX('Model Inputs &amp; Assumptions'!$D$40:$D$42,MATCH('Model Inputs &amp; Assumptions'!$L$32,'Model Inputs &amp; Assumptions'!$A$40:$A$42,0))*INDEX('Model Inputs &amp; Assumptions'!$H$40:$H$42,MATCH('Model Inputs &amp; Assumptions'!$L$32,'Model Inputs &amp; Assumptions'!$A$40:$A$42,0))</f>
        <v>786158.479568418</v>
      </c>
      <c r="K2039" s="49" t="n">
        <f aca="false">H2039*INDEX('Model Inputs &amp; Assumptions'!$G$40:$G$42,MATCH('Model Inputs &amp; Assumptions'!$L$32,'Model Inputs &amp; Assumptions'!$A$40:$A$42,0))*INDEX('Model Inputs &amp; Assumptions'!$H$40:$H$42,MATCH('Model Inputs &amp; Assumptions'!$L$32,'Model Inputs &amp; Assumptions'!$A$40:$A$42,0))</f>
        <v>16509.3280709368</v>
      </c>
      <c r="L2039" s="51" t="n">
        <f aca="false">IFERROR(K2039/I2039,0)</f>
        <v>1.0188641375428</v>
      </c>
      <c r="M2039" s="49" t="n">
        <f aca="false">IFERROR(I2039/H2039,0)</f>
        <v>111.300413687626</v>
      </c>
      <c r="N2039" s="52" t="str">
        <f aca="false">'Model Inputs &amp; Assumptions'!$L$32</f>
        <v>PRD-SP01</v>
      </c>
      <c r="P2039" s="53" t="n">
        <v>0.543362</v>
      </c>
      <c r="Q2039" s="53" t="n">
        <v>1.168159</v>
      </c>
      <c r="R2039" s="53" t="n">
        <v>-0.605248</v>
      </c>
      <c r="S2039" s="53" t="n">
        <v>-0.404455</v>
      </c>
    </row>
    <row r="2040" customFormat="false" ht="15" hidden="false" customHeight="false" outlineLevel="0" collapsed="false">
      <c r="A2040" s="43" t="n">
        <v>37</v>
      </c>
      <c r="B2040" s="44" t="str">
        <f aca="false">'Model Inputs &amp; Assumptions'!$B$32</f>
        <v>Trade Republic — In-App Display</v>
      </c>
      <c r="C2040" s="45" t="n">
        <f aca="false">ROUND(MAX(0,'Model Inputs &amp; Assumptions'!$S$32*EXP('Model Inputs &amp; Assumptions'!$T$32*P2040-'Model Inputs &amp; Assumptions'!$T$32^2/2)),0)</f>
        <v>1126061</v>
      </c>
      <c r="D2040" s="46" t="n">
        <f aca="false">MIN(1,'Model Inputs &amp; Assumptions'!$U$32*EXP('Model Inputs &amp; Assumptions'!$V$32*Q2040-'Model Inputs &amp; Assumptions'!$V$32^2/2))</f>
        <v>0</v>
      </c>
      <c r="E2040" s="45" t="n">
        <f aca="false">ROUND(C2040*D2040,0)</f>
        <v>0</v>
      </c>
      <c r="F2040" s="47" t="n">
        <f aca="false">MIN(1,'Model Inputs &amp; Assumptions'!$W$32*EXP('Model Inputs &amp; Assumptions'!$X$32*R2040-'Model Inputs &amp; Assumptions'!$X$32^2/2))</f>
        <v>0.00235525916087746</v>
      </c>
      <c r="G2040" s="45" t="n">
        <f aca="false">ROUND(C2040*F2040,0)</f>
        <v>2652</v>
      </c>
      <c r="H2040" s="48" t="n">
        <f aca="false">MAX(0,(C2040*'Model Inputs &amp; Assumptions'!$N$32+E2040*'Model Inputs &amp; Assumptions'!$O$32+G2040*'Model Inputs &amp; Assumptions'!$P$32)*EXP('Model Inputs &amp; Assumptions'!$Q$32*S2040-'Model Inputs &amp; Assumptions'!$Q$32^2/2))</f>
        <v>87.3828502571884</v>
      </c>
      <c r="I2040" s="49" t="n">
        <f aca="false">IF('Model Inputs &amp; Assumptions'!$H$32="Fixed",'Model Inputs &amp; Assumptions'!$I$32*'Model Inputs &amp; Assumptions'!$K$32,IF('Model Inputs &amp; Assumptions'!$H$32="CPM",'Model Inputs &amp; Assumptions'!$I$32*'Model Inputs &amp; Assumptions'!$K$32*C2040/1000,IF('Model Inputs &amp; Assumptions'!$H$32="CPC",'Model Inputs &amp; Assumptions'!$I$32*'Model Inputs &amp; Assumptions'!$K$32*G2040,0)))</f>
        <v>13512.732</v>
      </c>
      <c r="J2040" s="50" t="n">
        <f aca="false">H2040*INDEX('Model Inputs &amp; Assumptions'!$D$40:$D$42,MATCH('Model Inputs &amp; Assumptions'!$L$32,'Model Inputs &amp; Assumptions'!$A$40:$A$42,0))*INDEX('Model Inputs &amp; Assumptions'!$H$40:$H$42,MATCH('Model Inputs &amp; Assumptions'!$L$32,'Model Inputs &amp; Assumptions'!$A$40:$A$42,0))</f>
        <v>471867.391388818</v>
      </c>
      <c r="K2040" s="49" t="n">
        <f aca="false">H2040*INDEX('Model Inputs &amp; Assumptions'!$G$40:$G$42,MATCH('Model Inputs &amp; Assumptions'!$L$32,'Model Inputs &amp; Assumptions'!$A$40:$A$42,0))*INDEX('Model Inputs &amp; Assumptions'!$H$40:$H$42,MATCH('Model Inputs &amp; Assumptions'!$L$32,'Model Inputs &amp; Assumptions'!$A$40:$A$42,0))</f>
        <v>9909.21521916517</v>
      </c>
      <c r="L2040" s="51" t="n">
        <f aca="false">IFERROR(K2040/I2040,0)</f>
        <v>0.733324335831212</v>
      </c>
      <c r="M2040" s="49" t="n">
        <f aca="false">IFERROR(I2040/H2040,0)</f>
        <v>154.638260942838</v>
      </c>
      <c r="N2040" s="52" t="str">
        <f aca="false">'Model Inputs &amp; Assumptions'!$L$32</f>
        <v>PRD-SP01</v>
      </c>
      <c r="P2040" s="53" t="n">
        <v>-0.061987</v>
      </c>
      <c r="Q2040" s="53" t="n">
        <v>-0.127283</v>
      </c>
      <c r="R2040" s="53" t="n">
        <v>-1.170374</v>
      </c>
      <c r="S2040" s="53" t="n">
        <v>-0.973134</v>
      </c>
    </row>
    <row r="2041" customFormat="false" ht="15" hidden="false" customHeight="false" outlineLevel="0" collapsed="false">
      <c r="A2041" s="43" t="n">
        <v>38</v>
      </c>
      <c r="B2041" s="44" t="str">
        <f aca="false">'Model Inputs &amp; Assumptions'!$B$32</f>
        <v>Trade Republic — In-App Display</v>
      </c>
      <c r="C2041" s="45" t="n">
        <f aca="false">ROUND(MAX(0,'Model Inputs &amp; Assumptions'!$S$32*EXP('Model Inputs &amp; Assumptions'!$T$32*P2041-'Model Inputs &amp; Assumptions'!$T$32^2/2)),0)</f>
        <v>2045810</v>
      </c>
      <c r="D2041" s="46" t="n">
        <f aca="false">MIN(1,'Model Inputs &amp; Assumptions'!$U$32*EXP('Model Inputs &amp; Assumptions'!$V$32*Q2041-'Model Inputs &amp; Assumptions'!$V$32^2/2))</f>
        <v>0</v>
      </c>
      <c r="E2041" s="45" t="n">
        <f aca="false">ROUND(C2041*D2041,0)</f>
        <v>0</v>
      </c>
      <c r="F2041" s="47" t="n">
        <f aca="false">MIN(1,'Model Inputs &amp; Assumptions'!$W$32*EXP('Model Inputs &amp; Assumptions'!$X$32*R2041-'Model Inputs &amp; Assumptions'!$X$32^2/2))</f>
        <v>0.00316935585997468</v>
      </c>
      <c r="G2041" s="45" t="n">
        <f aca="false">ROUND(C2041*F2041,0)</f>
        <v>6484</v>
      </c>
      <c r="H2041" s="48" t="n">
        <f aca="false">MAX(0,(C2041*'Model Inputs &amp; Assumptions'!$N$32+E2041*'Model Inputs &amp; Assumptions'!$O$32+G2041*'Model Inputs &amp; Assumptions'!$P$32)*EXP('Model Inputs &amp; Assumptions'!$Q$32*S2041-'Model Inputs &amp; Assumptions'!$Q$32^2/2))</f>
        <v>296.897836163286</v>
      </c>
      <c r="I2041" s="49" t="n">
        <f aca="false">IF('Model Inputs &amp; Assumptions'!$H$32="Fixed",'Model Inputs &amp; Assumptions'!$I$32*'Model Inputs &amp; Assumptions'!$K$32,IF('Model Inputs &amp; Assumptions'!$H$32="CPM",'Model Inputs &amp; Assumptions'!$I$32*'Model Inputs &amp; Assumptions'!$K$32*C2041/1000,IF('Model Inputs &amp; Assumptions'!$H$32="CPC",'Model Inputs &amp; Assumptions'!$I$32*'Model Inputs &amp; Assumptions'!$K$32*G2041,0)))</f>
        <v>24549.72</v>
      </c>
      <c r="J2041" s="50" t="n">
        <f aca="false">H2041*INDEX('Model Inputs &amp; Assumptions'!$D$40:$D$42,MATCH('Model Inputs &amp; Assumptions'!$L$32,'Model Inputs &amp; Assumptions'!$A$40:$A$42,0))*INDEX('Model Inputs &amp; Assumptions'!$H$40:$H$42,MATCH('Model Inputs &amp; Assumptions'!$L$32,'Model Inputs &amp; Assumptions'!$A$40:$A$42,0))</f>
        <v>1603248.31528175</v>
      </c>
      <c r="K2041" s="49" t="n">
        <f aca="false">H2041*INDEX('Model Inputs &amp; Assumptions'!$G$40:$G$42,MATCH('Model Inputs &amp; Assumptions'!$L$32,'Model Inputs &amp; Assumptions'!$A$40:$A$42,0))*INDEX('Model Inputs &amp; Assumptions'!$H$40:$H$42,MATCH('Model Inputs &amp; Assumptions'!$L$32,'Model Inputs &amp; Assumptions'!$A$40:$A$42,0))</f>
        <v>33668.2146209166</v>
      </c>
      <c r="L2041" s="51" t="n">
        <f aca="false">IFERROR(K2041/I2041,0)</f>
        <v>1.37142967907237</v>
      </c>
      <c r="M2041" s="49" t="n">
        <f aca="false">IFERROR(I2041/H2041,0)</f>
        <v>82.6874332169207</v>
      </c>
      <c r="N2041" s="52" t="str">
        <f aca="false">'Model Inputs &amp; Assumptions'!$L$32</f>
        <v>PRD-SP01</v>
      </c>
      <c r="P2041" s="53" t="n">
        <v>1.92824</v>
      </c>
      <c r="Q2041" s="53" t="n">
        <v>0.39406</v>
      </c>
      <c r="R2041" s="53" t="n">
        <v>-0.180782</v>
      </c>
      <c r="S2041" s="53" t="n">
        <v>0.2021</v>
      </c>
    </row>
    <row r="2042" customFormat="false" ht="15" hidden="false" customHeight="false" outlineLevel="0" collapsed="false">
      <c r="A2042" s="43" t="n">
        <v>39</v>
      </c>
      <c r="B2042" s="44" t="str">
        <f aca="false">'Model Inputs &amp; Assumptions'!$B$32</f>
        <v>Trade Republic — In-App Display</v>
      </c>
      <c r="C2042" s="45" t="n">
        <f aca="false">ROUND(MAX(0,'Model Inputs &amp; Assumptions'!$S$32*EXP('Model Inputs &amp; Assumptions'!$T$32*P2042-'Model Inputs &amp; Assumptions'!$T$32^2/2)),0)</f>
        <v>879707</v>
      </c>
      <c r="D2042" s="46" t="n">
        <f aca="false">MIN(1,'Model Inputs &amp; Assumptions'!$U$32*EXP('Model Inputs &amp; Assumptions'!$V$32*Q2042-'Model Inputs &amp; Assumptions'!$V$32^2/2))</f>
        <v>0</v>
      </c>
      <c r="E2042" s="45" t="n">
        <f aca="false">ROUND(C2042*D2042,0)</f>
        <v>0</v>
      </c>
      <c r="F2042" s="47" t="n">
        <f aca="false">MIN(1,'Model Inputs &amp; Assumptions'!$W$32*EXP('Model Inputs &amp; Assumptions'!$X$32*R2042-'Model Inputs &amp; Assumptions'!$X$32^2/2))</f>
        <v>0.00312195112984994</v>
      </c>
      <c r="G2042" s="45" t="n">
        <f aca="false">ROUND(C2042*F2042,0)</f>
        <v>2746</v>
      </c>
      <c r="H2042" s="48" t="n">
        <f aca="false">MAX(0,(C2042*'Model Inputs &amp; Assumptions'!$N$32+E2042*'Model Inputs &amp; Assumptions'!$O$32+G2042*'Model Inputs &amp; Assumptions'!$P$32)*EXP('Model Inputs &amp; Assumptions'!$Q$32*S2042-'Model Inputs &amp; Assumptions'!$Q$32^2/2))</f>
        <v>147.012450006783</v>
      </c>
      <c r="I2042" s="49" t="n">
        <f aca="false">IF('Model Inputs &amp; Assumptions'!$H$32="Fixed",'Model Inputs &amp; Assumptions'!$I$32*'Model Inputs &amp; Assumptions'!$K$32,IF('Model Inputs &amp; Assumptions'!$H$32="CPM",'Model Inputs &amp; Assumptions'!$I$32*'Model Inputs &amp; Assumptions'!$K$32*C2042/1000,IF('Model Inputs &amp; Assumptions'!$H$32="CPC",'Model Inputs &amp; Assumptions'!$I$32*'Model Inputs &amp; Assumptions'!$K$32*G2042,0)))</f>
        <v>10556.484</v>
      </c>
      <c r="J2042" s="50" t="n">
        <f aca="false">H2042*INDEX('Model Inputs &amp; Assumptions'!$D$40:$D$42,MATCH('Model Inputs &amp; Assumptions'!$L$32,'Model Inputs &amp; Assumptions'!$A$40:$A$42,0))*INDEX('Model Inputs &amp; Assumptions'!$H$40:$H$42,MATCH('Model Inputs &amp; Assumptions'!$L$32,'Model Inputs &amp; Assumptions'!$A$40:$A$42,0))</f>
        <v>793867.230036626</v>
      </c>
      <c r="K2042" s="49" t="n">
        <f aca="false">H2042*INDEX('Model Inputs &amp; Assumptions'!$G$40:$G$42,MATCH('Model Inputs &amp; Assumptions'!$L$32,'Model Inputs &amp; Assumptions'!$A$40:$A$42,0))*INDEX('Model Inputs &amp; Assumptions'!$H$40:$H$42,MATCH('Model Inputs &amp; Assumptions'!$L$32,'Model Inputs &amp; Assumptions'!$A$40:$A$42,0))</f>
        <v>16671.2118307691</v>
      </c>
      <c r="L2042" s="51" t="n">
        <f aca="false">IFERROR(K2042/I2042,0)</f>
        <v>1.57923905637229</v>
      </c>
      <c r="M2042" s="49" t="n">
        <f aca="false">IFERROR(I2042/H2042,0)</f>
        <v>71.8067347324187</v>
      </c>
      <c r="N2042" s="52" t="str">
        <f aca="false">'Model Inputs &amp; Assumptions'!$L$32</f>
        <v>PRD-SP01</v>
      </c>
      <c r="P2042" s="53" t="n">
        <v>-0.884959</v>
      </c>
      <c r="Q2042" s="53" t="n">
        <v>0.452372</v>
      </c>
      <c r="R2042" s="53" t="n">
        <v>-0.231016</v>
      </c>
      <c r="S2042" s="53" t="n">
        <v>0.760391</v>
      </c>
    </row>
    <row r="2043" customFormat="false" ht="15" hidden="false" customHeight="false" outlineLevel="0" collapsed="false">
      <c r="A2043" s="43" t="n">
        <v>40</v>
      </c>
      <c r="B2043" s="44" t="str">
        <f aca="false">'Model Inputs &amp; Assumptions'!$B$32</f>
        <v>Trade Republic — In-App Display</v>
      </c>
      <c r="C2043" s="45" t="n">
        <f aca="false">ROUND(MAX(0,'Model Inputs &amp; Assumptions'!$S$32*EXP('Model Inputs &amp; Assumptions'!$T$32*P2043-'Model Inputs &amp; Assumptions'!$T$32^2/2)),0)</f>
        <v>757742</v>
      </c>
      <c r="D2043" s="46" t="n">
        <f aca="false">MIN(1,'Model Inputs &amp; Assumptions'!$U$32*EXP('Model Inputs &amp; Assumptions'!$V$32*Q2043-'Model Inputs &amp; Assumptions'!$V$32^2/2))</f>
        <v>0</v>
      </c>
      <c r="E2043" s="45" t="n">
        <f aca="false">ROUND(C2043*D2043,0)</f>
        <v>0</v>
      </c>
      <c r="F2043" s="47" t="n">
        <f aca="false">MIN(1,'Model Inputs &amp; Assumptions'!$W$32*EXP('Model Inputs &amp; Assumptions'!$X$32*R2043-'Model Inputs &amp; Assumptions'!$X$32^2/2))</f>
        <v>0.00556345249837078</v>
      </c>
      <c r="G2043" s="45" t="n">
        <f aca="false">ROUND(C2043*F2043,0)</f>
        <v>4216</v>
      </c>
      <c r="H2043" s="48" t="n">
        <f aca="false">MAX(0,(C2043*'Model Inputs &amp; Assumptions'!$N$32+E2043*'Model Inputs &amp; Assumptions'!$O$32+G2043*'Model Inputs &amp; Assumptions'!$P$32)*EXP('Model Inputs &amp; Assumptions'!$Q$32*S2043-'Model Inputs &amp; Assumptions'!$Q$32^2/2))</f>
        <v>86.0622559718921</v>
      </c>
      <c r="I2043" s="49" t="n">
        <f aca="false">IF('Model Inputs &amp; Assumptions'!$H$32="Fixed",'Model Inputs &amp; Assumptions'!$I$32*'Model Inputs &amp; Assumptions'!$K$32,IF('Model Inputs &amp; Assumptions'!$H$32="CPM",'Model Inputs &amp; Assumptions'!$I$32*'Model Inputs &amp; Assumptions'!$K$32*C2043/1000,IF('Model Inputs &amp; Assumptions'!$H$32="CPC",'Model Inputs &amp; Assumptions'!$I$32*'Model Inputs &amp; Assumptions'!$K$32*G2043,0)))</f>
        <v>9092.904</v>
      </c>
      <c r="J2043" s="50" t="n">
        <f aca="false">H2043*INDEX('Model Inputs &amp; Assumptions'!$D$40:$D$42,MATCH('Model Inputs &amp; Assumptions'!$L$32,'Model Inputs &amp; Assumptions'!$A$40:$A$42,0))*INDEX('Model Inputs &amp; Assumptions'!$H$40:$H$42,MATCH('Model Inputs &amp; Assumptions'!$L$32,'Model Inputs &amp; Assumptions'!$A$40:$A$42,0))</f>
        <v>464736.182248218</v>
      </c>
      <c r="K2043" s="49" t="n">
        <f aca="false">H2043*INDEX('Model Inputs &amp; Assumptions'!$G$40:$G$42,MATCH('Model Inputs &amp; Assumptions'!$L$32,'Model Inputs &amp; Assumptions'!$A$40:$A$42,0))*INDEX('Model Inputs &amp; Assumptions'!$H$40:$H$42,MATCH('Model Inputs &amp; Assumptions'!$L$32,'Model Inputs &amp; Assumptions'!$A$40:$A$42,0))</f>
        <v>9759.45982721257</v>
      </c>
      <c r="L2043" s="51" t="n">
        <f aca="false">IFERROR(K2043/I2043,0)</f>
        <v>1.07330505493213</v>
      </c>
      <c r="M2043" s="49" t="n">
        <f aca="false">IFERROR(I2043/H2043,0)</f>
        <v>105.65495753411</v>
      </c>
      <c r="N2043" s="52" t="str">
        <f aca="false">'Model Inputs &amp; Assumptions'!$L$32</f>
        <v>PRD-SP01</v>
      </c>
      <c r="P2043" s="53" t="n">
        <v>-1.382445</v>
      </c>
      <c r="Q2043" s="53" t="n">
        <v>0.13806</v>
      </c>
      <c r="R2043" s="53" t="n">
        <v>1.694853</v>
      </c>
      <c r="S2043" s="53" t="n">
        <v>-2.683137</v>
      </c>
    </row>
    <row r="2044" customFormat="false" ht="15" hidden="false" customHeight="false" outlineLevel="0" collapsed="false">
      <c r="A2044" s="43" t="n">
        <v>41</v>
      </c>
      <c r="B2044" s="44" t="str">
        <f aca="false">'Model Inputs &amp; Assumptions'!$B$32</f>
        <v>Trade Republic — In-App Display</v>
      </c>
      <c r="C2044" s="45" t="n">
        <f aca="false">ROUND(MAX(0,'Model Inputs &amp; Assumptions'!$S$32*EXP('Model Inputs &amp; Assumptions'!$T$32*P2044-'Model Inputs &amp; Assumptions'!$T$32^2/2)),0)</f>
        <v>890199</v>
      </c>
      <c r="D2044" s="46" t="n">
        <f aca="false">MIN(1,'Model Inputs &amp; Assumptions'!$U$32*EXP('Model Inputs &amp; Assumptions'!$V$32*Q2044-'Model Inputs &amp; Assumptions'!$V$32^2/2))</f>
        <v>0</v>
      </c>
      <c r="E2044" s="45" t="n">
        <f aca="false">ROUND(C2044*D2044,0)</f>
        <v>0</v>
      </c>
      <c r="F2044" s="47" t="n">
        <f aca="false">MIN(1,'Model Inputs &amp; Assumptions'!$W$32*EXP('Model Inputs &amp; Assumptions'!$X$32*R2044-'Model Inputs &amp; Assumptions'!$X$32^2/2))</f>
        <v>0.00319471783218807</v>
      </c>
      <c r="G2044" s="45" t="n">
        <f aca="false">ROUND(C2044*F2044,0)</f>
        <v>2844</v>
      </c>
      <c r="H2044" s="48" t="n">
        <f aca="false">MAX(0,(C2044*'Model Inputs &amp; Assumptions'!$N$32+E2044*'Model Inputs &amp; Assumptions'!$O$32+G2044*'Model Inputs &amp; Assumptions'!$P$32)*EXP('Model Inputs &amp; Assumptions'!$Q$32*S2044-'Model Inputs &amp; Assumptions'!$Q$32^2/2))</f>
        <v>83.3921884835564</v>
      </c>
      <c r="I2044" s="49" t="n">
        <f aca="false">IF('Model Inputs &amp; Assumptions'!$H$32="Fixed",'Model Inputs &amp; Assumptions'!$I$32*'Model Inputs &amp; Assumptions'!$K$32,IF('Model Inputs &amp; Assumptions'!$H$32="CPM",'Model Inputs &amp; Assumptions'!$I$32*'Model Inputs &amp; Assumptions'!$K$32*C2044/1000,IF('Model Inputs &amp; Assumptions'!$H$32="CPC",'Model Inputs &amp; Assumptions'!$I$32*'Model Inputs &amp; Assumptions'!$K$32*G2044,0)))</f>
        <v>10682.388</v>
      </c>
      <c r="J2044" s="50" t="n">
        <f aca="false">H2044*INDEX('Model Inputs &amp; Assumptions'!$D$40:$D$42,MATCH('Model Inputs &amp; Assumptions'!$L$32,'Model Inputs &amp; Assumptions'!$A$40:$A$42,0))*INDEX('Model Inputs &amp; Assumptions'!$H$40:$H$42,MATCH('Model Inputs &amp; Assumptions'!$L$32,'Model Inputs &amp; Assumptions'!$A$40:$A$42,0))</f>
        <v>450317.817811205</v>
      </c>
      <c r="K2044" s="49" t="n">
        <f aca="false">H2044*INDEX('Model Inputs &amp; Assumptions'!$G$40:$G$42,MATCH('Model Inputs &amp; Assumptions'!$L$32,'Model Inputs &amp; Assumptions'!$A$40:$A$42,0))*INDEX('Model Inputs &amp; Assumptions'!$H$40:$H$42,MATCH('Model Inputs &amp; Assumptions'!$L$32,'Model Inputs &amp; Assumptions'!$A$40:$A$42,0))</f>
        <v>9456.6741740353</v>
      </c>
      <c r="L2044" s="51" t="n">
        <f aca="false">IFERROR(K2044/I2044,0)</f>
        <v>0.885258443527355</v>
      </c>
      <c r="M2044" s="49" t="n">
        <f aca="false">IFERROR(I2044/H2044,0)</f>
        <v>128.09818514484</v>
      </c>
      <c r="N2044" s="52" t="str">
        <f aca="false">'Model Inputs &amp; Assumptions'!$L$32</f>
        <v>PRD-SP01</v>
      </c>
      <c r="P2044" s="53" t="n">
        <v>-0.845439</v>
      </c>
      <c r="Q2044" s="53" t="n">
        <v>0.760045</v>
      </c>
      <c r="R2044" s="53" t="n">
        <v>-0.154214</v>
      </c>
      <c r="S2044" s="53" t="n">
        <v>-1.389712</v>
      </c>
    </row>
    <row r="2045" customFormat="false" ht="15" hidden="false" customHeight="false" outlineLevel="0" collapsed="false">
      <c r="A2045" s="43" t="n">
        <v>42</v>
      </c>
      <c r="B2045" s="44" t="str">
        <f aca="false">'Model Inputs &amp; Assumptions'!$B$32</f>
        <v>Trade Republic — In-App Display</v>
      </c>
      <c r="C2045" s="45" t="n">
        <f aca="false">ROUND(MAX(0,'Model Inputs &amp; Assumptions'!$S$32*EXP('Model Inputs &amp; Assumptions'!$T$32*P2045-'Model Inputs &amp; Assumptions'!$T$32^2/2)),0)</f>
        <v>844156</v>
      </c>
      <c r="D2045" s="46" t="n">
        <f aca="false">MIN(1,'Model Inputs &amp; Assumptions'!$U$32*EXP('Model Inputs &amp; Assumptions'!$V$32*Q2045-'Model Inputs &amp; Assumptions'!$V$32^2/2))</f>
        <v>0</v>
      </c>
      <c r="E2045" s="45" t="n">
        <f aca="false">ROUND(C2045*D2045,0)</f>
        <v>0</v>
      </c>
      <c r="F2045" s="47" t="n">
        <f aca="false">MIN(1,'Model Inputs &amp; Assumptions'!$W$32*EXP('Model Inputs &amp; Assumptions'!$X$32*R2045-'Model Inputs &amp; Assumptions'!$X$32^2/2))</f>
        <v>0.002758416735286</v>
      </c>
      <c r="G2045" s="45" t="n">
        <f aca="false">ROUND(C2045*F2045,0)</f>
        <v>2329</v>
      </c>
      <c r="H2045" s="48" t="n">
        <f aca="false">MAX(0,(C2045*'Model Inputs &amp; Assumptions'!$N$32+E2045*'Model Inputs &amp; Assumptions'!$O$32+G2045*'Model Inputs &amp; Assumptions'!$P$32)*EXP('Model Inputs &amp; Assumptions'!$Q$32*S2045-'Model Inputs &amp; Assumptions'!$Q$32^2/2))</f>
        <v>86.2362584304282</v>
      </c>
      <c r="I2045" s="49" t="n">
        <f aca="false">IF('Model Inputs &amp; Assumptions'!$H$32="Fixed",'Model Inputs &amp; Assumptions'!$I$32*'Model Inputs &amp; Assumptions'!$K$32,IF('Model Inputs &amp; Assumptions'!$H$32="CPM",'Model Inputs &amp; Assumptions'!$I$32*'Model Inputs &amp; Assumptions'!$K$32*C2045/1000,IF('Model Inputs &amp; Assumptions'!$H$32="CPC",'Model Inputs &amp; Assumptions'!$I$32*'Model Inputs &amp; Assumptions'!$K$32*G2045,0)))</f>
        <v>10129.872</v>
      </c>
      <c r="J2045" s="50" t="n">
        <f aca="false">H2045*INDEX('Model Inputs &amp; Assumptions'!$D$40:$D$42,MATCH('Model Inputs &amp; Assumptions'!$L$32,'Model Inputs &amp; Assumptions'!$A$40:$A$42,0))*INDEX('Model Inputs &amp; Assumptions'!$H$40:$H$42,MATCH('Model Inputs &amp; Assumptions'!$L$32,'Model Inputs &amp; Assumptions'!$A$40:$A$42,0))</f>
        <v>465675.795524312</v>
      </c>
      <c r="K2045" s="49" t="n">
        <f aca="false">H2045*INDEX('Model Inputs &amp; Assumptions'!$G$40:$G$42,MATCH('Model Inputs &amp; Assumptions'!$L$32,'Model Inputs &amp; Assumptions'!$A$40:$A$42,0))*INDEX('Model Inputs &amp; Assumptions'!$H$40:$H$42,MATCH('Model Inputs &amp; Assumptions'!$L$32,'Model Inputs &amp; Assumptions'!$A$40:$A$42,0))</f>
        <v>9779.19170601055</v>
      </c>
      <c r="L2045" s="51" t="n">
        <f aca="false">IFERROR(K2045/I2045,0)</f>
        <v>0.96538156711265</v>
      </c>
      <c r="M2045" s="49" t="n">
        <f aca="false">IFERROR(I2045/H2045,0)</f>
        <v>117.466506367184</v>
      </c>
      <c r="N2045" s="52" t="str">
        <f aca="false">'Model Inputs &amp; Assumptions'!$L$32</f>
        <v>PRD-SP01</v>
      </c>
      <c r="P2045" s="53" t="n">
        <v>-1.022466</v>
      </c>
      <c r="Q2045" s="53" t="n">
        <v>-0.415117</v>
      </c>
      <c r="R2045" s="53" t="n">
        <v>-0.643687</v>
      </c>
      <c r="S2045" s="53" t="n">
        <v>-0.556467</v>
      </c>
    </row>
    <row r="2046" customFormat="false" ht="15" hidden="false" customHeight="false" outlineLevel="0" collapsed="false">
      <c r="A2046" s="43" t="n">
        <v>43</v>
      </c>
      <c r="B2046" s="44" t="str">
        <f aca="false">'Model Inputs &amp; Assumptions'!$B$32</f>
        <v>Trade Republic — In-App Display</v>
      </c>
      <c r="C2046" s="45" t="n">
        <f aca="false">ROUND(MAX(0,'Model Inputs &amp; Assumptions'!$S$32*EXP('Model Inputs &amp; Assumptions'!$T$32*P2046-'Model Inputs &amp; Assumptions'!$T$32^2/2)),0)</f>
        <v>1015248</v>
      </c>
      <c r="D2046" s="46" t="n">
        <f aca="false">MIN(1,'Model Inputs &amp; Assumptions'!$U$32*EXP('Model Inputs &amp; Assumptions'!$V$32*Q2046-'Model Inputs &amp; Assumptions'!$V$32^2/2))</f>
        <v>0</v>
      </c>
      <c r="E2046" s="45" t="n">
        <f aca="false">ROUND(C2046*D2046,0)</f>
        <v>0</v>
      </c>
      <c r="F2046" s="47" t="n">
        <f aca="false">MIN(1,'Model Inputs &amp; Assumptions'!$W$32*EXP('Model Inputs &amp; Assumptions'!$X$32*R2046-'Model Inputs &amp; Assumptions'!$X$32^2/2))</f>
        <v>0.00227043051681434</v>
      </c>
      <c r="G2046" s="45" t="n">
        <f aca="false">ROUND(C2046*F2046,0)</f>
        <v>2305</v>
      </c>
      <c r="H2046" s="48" t="n">
        <f aca="false">MAX(0,(C2046*'Model Inputs &amp; Assumptions'!$N$32+E2046*'Model Inputs &amp; Assumptions'!$O$32+G2046*'Model Inputs &amp; Assumptions'!$P$32)*EXP('Model Inputs &amp; Assumptions'!$Q$32*S2046-'Model Inputs &amp; Assumptions'!$Q$32^2/2))</f>
        <v>96.0878470248301</v>
      </c>
      <c r="I2046" s="49" t="n">
        <f aca="false">IF('Model Inputs &amp; Assumptions'!$H$32="Fixed",'Model Inputs &amp; Assumptions'!$I$32*'Model Inputs &amp; Assumptions'!$K$32,IF('Model Inputs &amp; Assumptions'!$H$32="CPM",'Model Inputs &amp; Assumptions'!$I$32*'Model Inputs &amp; Assumptions'!$K$32*C2046/1000,IF('Model Inputs &amp; Assumptions'!$H$32="CPC",'Model Inputs &amp; Assumptions'!$I$32*'Model Inputs &amp; Assumptions'!$K$32*G2046,0)))</f>
        <v>12182.976</v>
      </c>
      <c r="J2046" s="50" t="n">
        <f aca="false">H2046*INDEX('Model Inputs &amp; Assumptions'!$D$40:$D$42,MATCH('Model Inputs &amp; Assumptions'!$L$32,'Model Inputs &amp; Assumptions'!$A$40:$A$42,0))*INDEX('Model Inputs &amp; Assumptions'!$H$40:$H$42,MATCH('Model Inputs &amp; Assumptions'!$L$32,'Model Inputs &amp; Assumptions'!$A$40:$A$42,0))</f>
        <v>518874.373934083</v>
      </c>
      <c r="K2046" s="49" t="n">
        <f aca="false">H2046*INDEX('Model Inputs &amp; Assumptions'!$G$40:$G$42,MATCH('Model Inputs &amp; Assumptions'!$L$32,'Model Inputs &amp; Assumptions'!$A$40:$A$42,0))*INDEX('Model Inputs &amp; Assumptions'!$H$40:$H$42,MATCH('Model Inputs &amp; Assumptions'!$L$32,'Model Inputs &amp; Assumptions'!$A$40:$A$42,0))</f>
        <v>10896.3618526157</v>
      </c>
      <c r="L2046" s="51" t="n">
        <f aca="false">IFERROR(K2046/I2046,0)</f>
        <v>0.894392458182281</v>
      </c>
      <c r="M2046" s="49" t="n">
        <f aca="false">IFERROR(I2046/H2046,0)</f>
        <v>126.789977892332</v>
      </c>
      <c r="N2046" s="52" t="str">
        <f aca="false">'Model Inputs &amp; Assumptions'!$L$32</f>
        <v>PRD-SP01</v>
      </c>
      <c r="P2046" s="53" t="n">
        <v>-0.407295</v>
      </c>
      <c r="Q2046" s="53" t="n">
        <v>0.107155</v>
      </c>
      <c r="R2046" s="53" t="n">
        <v>-1.292645</v>
      </c>
      <c r="S2046" s="53" t="n">
        <v>-0.133144</v>
      </c>
    </row>
    <row r="2047" customFormat="false" ht="15" hidden="false" customHeight="false" outlineLevel="0" collapsed="false">
      <c r="A2047" s="43" t="n">
        <v>44</v>
      </c>
      <c r="B2047" s="44" t="str">
        <f aca="false">'Model Inputs &amp; Assumptions'!$B$32</f>
        <v>Trade Republic — In-App Display</v>
      </c>
      <c r="C2047" s="45" t="n">
        <f aca="false">ROUND(MAX(0,'Model Inputs &amp; Assumptions'!$S$32*EXP('Model Inputs &amp; Assumptions'!$T$32*P2047-'Model Inputs &amp; Assumptions'!$T$32^2/2)),0)</f>
        <v>1245666</v>
      </c>
      <c r="D2047" s="46" t="n">
        <f aca="false">MIN(1,'Model Inputs &amp; Assumptions'!$U$32*EXP('Model Inputs &amp; Assumptions'!$V$32*Q2047-'Model Inputs &amp; Assumptions'!$V$32^2/2))</f>
        <v>0</v>
      </c>
      <c r="E2047" s="45" t="n">
        <f aca="false">ROUND(C2047*D2047,0)</f>
        <v>0</v>
      </c>
      <c r="F2047" s="47" t="n">
        <f aca="false">MIN(1,'Model Inputs &amp; Assumptions'!$W$32*EXP('Model Inputs &amp; Assumptions'!$X$32*R2047-'Model Inputs &amp; Assumptions'!$X$32^2/2))</f>
        <v>0.00439784992680412</v>
      </c>
      <c r="G2047" s="45" t="n">
        <f aca="false">ROUND(C2047*F2047,0)</f>
        <v>5478</v>
      </c>
      <c r="H2047" s="48" t="n">
        <f aca="false">MAX(0,(C2047*'Model Inputs &amp; Assumptions'!$N$32+E2047*'Model Inputs &amp; Assumptions'!$O$32+G2047*'Model Inputs &amp; Assumptions'!$P$32)*EXP('Model Inputs &amp; Assumptions'!$Q$32*S2047-'Model Inputs &amp; Assumptions'!$Q$32^2/2))</f>
        <v>235.161605460943</v>
      </c>
      <c r="I2047" s="49" t="n">
        <f aca="false">IF('Model Inputs &amp; Assumptions'!$H$32="Fixed",'Model Inputs &amp; Assumptions'!$I$32*'Model Inputs &amp; Assumptions'!$K$32,IF('Model Inputs &amp; Assumptions'!$H$32="CPM",'Model Inputs &amp; Assumptions'!$I$32*'Model Inputs &amp; Assumptions'!$K$32*C2047/1000,IF('Model Inputs &amp; Assumptions'!$H$32="CPC",'Model Inputs &amp; Assumptions'!$I$32*'Model Inputs &amp; Assumptions'!$K$32*G2047,0)))</f>
        <v>14947.992</v>
      </c>
      <c r="J2047" s="50" t="n">
        <f aca="false">H2047*INDEX('Model Inputs &amp; Assumptions'!$D$40:$D$42,MATCH('Model Inputs &amp; Assumptions'!$L$32,'Model Inputs &amp; Assumptions'!$A$40:$A$42,0))*INDEX('Model Inputs &amp; Assumptions'!$H$40:$H$42,MATCH('Model Inputs &amp; Assumptions'!$L$32,'Model Inputs &amp; Assumptions'!$A$40:$A$42,0))</f>
        <v>1269872.66948909</v>
      </c>
      <c r="K2047" s="49" t="n">
        <f aca="false">H2047*INDEX('Model Inputs &amp; Assumptions'!$G$40:$G$42,MATCH('Model Inputs &amp; Assumptions'!$L$32,'Model Inputs &amp; Assumptions'!$A$40:$A$42,0))*INDEX('Model Inputs &amp; Assumptions'!$H$40:$H$42,MATCH('Model Inputs &amp; Assumptions'!$L$32,'Model Inputs &amp; Assumptions'!$A$40:$A$42,0))</f>
        <v>26667.326059271</v>
      </c>
      <c r="L2047" s="51" t="n">
        <f aca="false">IFERROR(K2047/I2047,0)</f>
        <v>1.78400724721227</v>
      </c>
      <c r="M2047" s="49" t="n">
        <f aca="false">IFERROR(I2047/H2047,0)</f>
        <v>63.5647641999222</v>
      </c>
      <c r="N2047" s="52" t="str">
        <f aca="false">'Model Inputs &amp; Assumptions'!$L$32</f>
        <v>PRD-SP01</v>
      </c>
      <c r="P2047" s="53" t="n">
        <v>0.274495</v>
      </c>
      <c r="Q2047" s="53" t="n">
        <v>0.592656</v>
      </c>
      <c r="R2047" s="53" t="n">
        <v>0.911176</v>
      </c>
      <c r="S2047" s="53" t="n">
        <v>-0.02832</v>
      </c>
    </row>
    <row r="2048" customFormat="false" ht="15" hidden="false" customHeight="false" outlineLevel="0" collapsed="false">
      <c r="A2048" s="43" t="n">
        <v>45</v>
      </c>
      <c r="B2048" s="44" t="str">
        <f aca="false">'Model Inputs &amp; Assumptions'!$B$32</f>
        <v>Trade Republic — In-App Display</v>
      </c>
      <c r="C2048" s="45" t="n">
        <f aca="false">ROUND(MAX(0,'Model Inputs &amp; Assumptions'!$S$32*EXP('Model Inputs &amp; Assumptions'!$T$32*P2048-'Model Inputs &amp; Assumptions'!$T$32^2/2)),0)</f>
        <v>874661</v>
      </c>
      <c r="D2048" s="46" t="n">
        <f aca="false">MIN(1,'Model Inputs &amp; Assumptions'!$U$32*EXP('Model Inputs &amp; Assumptions'!$V$32*Q2048-'Model Inputs &amp; Assumptions'!$V$32^2/2))</f>
        <v>0</v>
      </c>
      <c r="E2048" s="45" t="n">
        <f aca="false">ROUND(C2048*D2048,0)</f>
        <v>0</v>
      </c>
      <c r="F2048" s="47" t="n">
        <f aca="false">MIN(1,'Model Inputs &amp; Assumptions'!$W$32*EXP('Model Inputs &amp; Assumptions'!$X$32*R2048-'Model Inputs &amp; Assumptions'!$X$32^2/2))</f>
        <v>0.00235367060348171</v>
      </c>
      <c r="G2048" s="45" t="n">
        <f aca="false">ROUND(C2048*F2048,0)</f>
        <v>2059</v>
      </c>
      <c r="H2048" s="48" t="n">
        <f aca="false">MAX(0,(C2048*'Model Inputs &amp; Assumptions'!$N$32+E2048*'Model Inputs &amp; Assumptions'!$O$32+G2048*'Model Inputs &amp; Assumptions'!$P$32)*EXP('Model Inputs &amp; Assumptions'!$Q$32*S2048-'Model Inputs &amp; Assumptions'!$Q$32^2/2))</f>
        <v>72.8479912016774</v>
      </c>
      <c r="I2048" s="49" t="n">
        <f aca="false">IF('Model Inputs &amp; Assumptions'!$H$32="Fixed",'Model Inputs &amp; Assumptions'!$I$32*'Model Inputs &amp; Assumptions'!$K$32,IF('Model Inputs &amp; Assumptions'!$H$32="CPM",'Model Inputs &amp; Assumptions'!$I$32*'Model Inputs &amp; Assumptions'!$K$32*C2048/1000,IF('Model Inputs &amp; Assumptions'!$H$32="CPC",'Model Inputs &amp; Assumptions'!$I$32*'Model Inputs &amp; Assumptions'!$K$32*G2048,0)))</f>
        <v>10495.932</v>
      </c>
      <c r="J2048" s="50" t="n">
        <f aca="false">H2048*INDEX('Model Inputs &amp; Assumptions'!$D$40:$D$42,MATCH('Model Inputs &amp; Assumptions'!$L$32,'Model Inputs &amp; Assumptions'!$A$40:$A$42,0))*INDEX('Model Inputs &amp; Assumptions'!$H$40:$H$42,MATCH('Model Inputs &amp; Assumptions'!$L$32,'Model Inputs &amp; Assumptions'!$A$40:$A$42,0))</f>
        <v>393379.152489058</v>
      </c>
      <c r="K2048" s="49" t="n">
        <f aca="false">H2048*INDEX('Model Inputs &amp; Assumptions'!$G$40:$G$42,MATCH('Model Inputs &amp; Assumptions'!$L$32,'Model Inputs &amp; Assumptions'!$A$40:$A$42,0))*INDEX('Model Inputs &amp; Assumptions'!$H$40:$H$42,MATCH('Model Inputs &amp; Assumptions'!$L$32,'Model Inputs &amp; Assumptions'!$A$40:$A$42,0))</f>
        <v>8260.96220227022</v>
      </c>
      <c r="L2048" s="51" t="n">
        <f aca="false">IFERROR(K2048/I2048,0)</f>
        <v>0.787063235763172</v>
      </c>
      <c r="M2048" s="49" t="n">
        <f aca="false">IFERROR(I2048/H2048,0)</f>
        <v>144.079909780111</v>
      </c>
      <c r="N2048" s="52" t="str">
        <f aca="false">'Model Inputs &amp; Assumptions'!$L$32</f>
        <v>PRD-SP01</v>
      </c>
      <c r="P2048" s="53" t="n">
        <v>-0.904135</v>
      </c>
      <c r="Q2048" s="53" t="n">
        <v>-1.556764</v>
      </c>
      <c r="R2048" s="53" t="n">
        <v>-1.172623</v>
      </c>
      <c r="S2048" s="53" t="n">
        <v>-0.718957</v>
      </c>
    </row>
    <row r="2049" customFormat="false" ht="15" hidden="false" customHeight="false" outlineLevel="0" collapsed="false">
      <c r="A2049" s="43" t="n">
        <v>46</v>
      </c>
      <c r="B2049" s="44" t="str">
        <f aca="false">'Model Inputs &amp; Assumptions'!$B$32</f>
        <v>Trade Republic — In-App Display</v>
      </c>
      <c r="C2049" s="45" t="n">
        <f aca="false">ROUND(MAX(0,'Model Inputs &amp; Assumptions'!$S$32*EXP('Model Inputs &amp; Assumptions'!$T$32*P2049-'Model Inputs &amp; Assumptions'!$T$32^2/2)),0)</f>
        <v>858456</v>
      </c>
      <c r="D2049" s="46" t="n">
        <f aca="false">MIN(1,'Model Inputs &amp; Assumptions'!$U$32*EXP('Model Inputs &amp; Assumptions'!$V$32*Q2049-'Model Inputs &amp; Assumptions'!$V$32^2/2))</f>
        <v>0</v>
      </c>
      <c r="E2049" s="45" t="n">
        <f aca="false">ROUND(C2049*D2049,0)</f>
        <v>0</v>
      </c>
      <c r="F2049" s="47" t="n">
        <f aca="false">MIN(1,'Model Inputs &amp; Assumptions'!$W$32*EXP('Model Inputs &amp; Assumptions'!$X$32*R2049-'Model Inputs &amp; Assumptions'!$X$32^2/2))</f>
        <v>0.00240906852464867</v>
      </c>
      <c r="G2049" s="45" t="n">
        <f aca="false">ROUND(C2049*F2049,0)</f>
        <v>2068</v>
      </c>
      <c r="H2049" s="48" t="n">
        <f aca="false">MAX(0,(C2049*'Model Inputs &amp; Assumptions'!$N$32+E2049*'Model Inputs &amp; Assumptions'!$O$32+G2049*'Model Inputs &amp; Assumptions'!$P$32)*EXP('Model Inputs &amp; Assumptions'!$Q$32*S2049-'Model Inputs &amp; Assumptions'!$Q$32^2/2))</f>
        <v>151.701025504874</v>
      </c>
      <c r="I2049" s="49" t="n">
        <f aca="false">IF('Model Inputs &amp; Assumptions'!$H$32="Fixed",'Model Inputs &amp; Assumptions'!$I$32*'Model Inputs &amp; Assumptions'!$K$32,IF('Model Inputs &amp; Assumptions'!$H$32="CPM",'Model Inputs &amp; Assumptions'!$I$32*'Model Inputs &amp; Assumptions'!$K$32*C2049/1000,IF('Model Inputs &amp; Assumptions'!$H$32="CPC",'Model Inputs &amp; Assumptions'!$I$32*'Model Inputs &amp; Assumptions'!$K$32*G2049,0)))</f>
        <v>10301.472</v>
      </c>
      <c r="J2049" s="50" t="n">
        <f aca="false">H2049*INDEX('Model Inputs &amp; Assumptions'!$D$40:$D$42,MATCH('Model Inputs &amp; Assumptions'!$L$32,'Model Inputs &amp; Assumptions'!$A$40:$A$42,0))*INDEX('Model Inputs &amp; Assumptions'!$H$40:$H$42,MATCH('Model Inputs &amp; Assumptions'!$L$32,'Model Inputs &amp; Assumptions'!$A$40:$A$42,0))</f>
        <v>819185.53772632</v>
      </c>
      <c r="K2049" s="49" t="n">
        <f aca="false">H2049*INDEX('Model Inputs &amp; Assumptions'!$G$40:$G$42,MATCH('Model Inputs &amp; Assumptions'!$L$32,'Model Inputs &amp; Assumptions'!$A$40:$A$42,0))*INDEX('Model Inputs &amp; Assumptions'!$H$40:$H$42,MATCH('Model Inputs &amp; Assumptions'!$L$32,'Model Inputs &amp; Assumptions'!$A$40:$A$42,0))</f>
        <v>17202.8962922527</v>
      </c>
      <c r="L2049" s="51" t="n">
        <f aca="false">IFERROR(K2049/I2049,0)</f>
        <v>1.6699454497622</v>
      </c>
      <c r="M2049" s="49" t="n">
        <f aca="false">IFERROR(I2049/H2049,0)</f>
        <v>67.9064097669466</v>
      </c>
      <c r="N2049" s="52" t="str">
        <f aca="false">'Model Inputs &amp; Assumptions'!$L$32</f>
        <v>PRD-SP01</v>
      </c>
      <c r="P2049" s="53" t="n">
        <v>-0.966471</v>
      </c>
      <c r="Q2049" s="53" t="n">
        <v>0.608945</v>
      </c>
      <c r="R2049" s="53" t="n">
        <v>-1.095076</v>
      </c>
      <c r="S2049" s="53" t="n">
        <v>1.88524</v>
      </c>
    </row>
    <row r="2050" customFormat="false" ht="15" hidden="false" customHeight="false" outlineLevel="0" collapsed="false">
      <c r="A2050" s="43" t="n">
        <v>47</v>
      </c>
      <c r="B2050" s="44" t="str">
        <f aca="false">'Model Inputs &amp; Assumptions'!$B$32</f>
        <v>Trade Republic — In-App Display</v>
      </c>
      <c r="C2050" s="45" t="n">
        <f aca="false">ROUND(MAX(0,'Model Inputs &amp; Assumptions'!$S$32*EXP('Model Inputs &amp; Assumptions'!$T$32*P2050-'Model Inputs &amp; Assumptions'!$T$32^2/2)),0)</f>
        <v>1371468</v>
      </c>
      <c r="D2050" s="46" t="n">
        <f aca="false">MIN(1,'Model Inputs &amp; Assumptions'!$U$32*EXP('Model Inputs &amp; Assumptions'!$V$32*Q2050-'Model Inputs &amp; Assumptions'!$V$32^2/2))</f>
        <v>0</v>
      </c>
      <c r="E2050" s="45" t="n">
        <f aca="false">ROUND(C2050*D2050,0)</f>
        <v>0</v>
      </c>
      <c r="F2050" s="47" t="n">
        <f aca="false">MIN(1,'Model Inputs &amp; Assumptions'!$W$32*EXP('Model Inputs &amp; Assumptions'!$X$32*R2050-'Model Inputs &amp; Assumptions'!$X$32^2/2))</f>
        <v>0.00293166279386121</v>
      </c>
      <c r="G2050" s="45" t="n">
        <f aca="false">ROUND(C2050*F2050,0)</f>
        <v>4021</v>
      </c>
      <c r="H2050" s="48" t="n">
        <f aca="false">MAX(0,(C2050*'Model Inputs &amp; Assumptions'!$N$32+E2050*'Model Inputs &amp; Assumptions'!$O$32+G2050*'Model Inputs &amp; Assumptions'!$P$32)*EXP('Model Inputs &amp; Assumptions'!$Q$32*S2050-'Model Inputs &amp; Assumptions'!$Q$32^2/2))</f>
        <v>229.273404535955</v>
      </c>
      <c r="I2050" s="49" t="n">
        <f aca="false">IF('Model Inputs &amp; Assumptions'!$H$32="Fixed",'Model Inputs &amp; Assumptions'!$I$32*'Model Inputs &amp; Assumptions'!$K$32,IF('Model Inputs &amp; Assumptions'!$H$32="CPM",'Model Inputs &amp; Assumptions'!$I$32*'Model Inputs &amp; Assumptions'!$K$32*C2050/1000,IF('Model Inputs &amp; Assumptions'!$H$32="CPC",'Model Inputs &amp; Assumptions'!$I$32*'Model Inputs &amp; Assumptions'!$K$32*G2050,0)))</f>
        <v>16457.616</v>
      </c>
      <c r="J2050" s="50" t="n">
        <f aca="false">H2050*INDEX('Model Inputs &amp; Assumptions'!$D$40:$D$42,MATCH('Model Inputs &amp; Assumptions'!$L$32,'Model Inputs &amp; Assumptions'!$A$40:$A$42,0))*INDEX('Model Inputs &amp; Assumptions'!$H$40:$H$42,MATCH('Model Inputs &amp; Assumptions'!$L$32,'Model Inputs &amp; Assumptions'!$A$40:$A$42,0))</f>
        <v>1238076.38449416</v>
      </c>
      <c r="K2050" s="49" t="n">
        <f aca="false">H2050*INDEX('Model Inputs &amp; Assumptions'!$G$40:$G$42,MATCH('Model Inputs &amp; Assumptions'!$L$32,'Model Inputs &amp; Assumptions'!$A$40:$A$42,0))*INDEX('Model Inputs &amp; Assumptions'!$H$40:$H$42,MATCH('Model Inputs &amp; Assumptions'!$L$32,'Model Inputs &amp; Assumptions'!$A$40:$A$42,0))</f>
        <v>25999.6040743773</v>
      </c>
      <c r="L2050" s="51" t="n">
        <f aca="false">IFERROR(K2050/I2050,0)</f>
        <v>1.57979163412108</v>
      </c>
      <c r="M2050" s="49" t="n">
        <f aca="false">IFERROR(I2050/H2050,0)</f>
        <v>71.7816182531502</v>
      </c>
      <c r="N2050" s="52" t="str">
        <f aca="false">'Model Inputs &amp; Assumptions'!$L$32</f>
        <v>PRD-SP01</v>
      </c>
      <c r="P2050" s="53" t="n">
        <v>0.595201</v>
      </c>
      <c r="Q2050" s="53" t="n">
        <v>-0.694712</v>
      </c>
      <c r="R2050" s="53" t="n">
        <v>-0.440644</v>
      </c>
      <c r="S2050" s="53" t="n">
        <v>0.985436</v>
      </c>
    </row>
    <row r="2051" customFormat="false" ht="15" hidden="false" customHeight="false" outlineLevel="0" collapsed="false">
      <c r="A2051" s="43" t="n">
        <v>48</v>
      </c>
      <c r="B2051" s="44" t="str">
        <f aca="false">'Model Inputs &amp; Assumptions'!$B$32</f>
        <v>Trade Republic — In-App Display</v>
      </c>
      <c r="C2051" s="45" t="n">
        <f aca="false">ROUND(MAX(0,'Model Inputs &amp; Assumptions'!$S$32*EXP('Model Inputs &amp; Assumptions'!$T$32*P2051-'Model Inputs &amp; Assumptions'!$T$32^2/2)),0)</f>
        <v>1331671</v>
      </c>
      <c r="D2051" s="46" t="n">
        <f aca="false">MIN(1,'Model Inputs &amp; Assumptions'!$U$32*EXP('Model Inputs &amp; Assumptions'!$V$32*Q2051-'Model Inputs &amp; Assumptions'!$V$32^2/2))</f>
        <v>0</v>
      </c>
      <c r="E2051" s="45" t="n">
        <f aca="false">ROUND(C2051*D2051,0)</f>
        <v>0</v>
      </c>
      <c r="F2051" s="47" t="n">
        <f aca="false">MIN(1,'Model Inputs &amp; Assumptions'!$W$32*EXP('Model Inputs &amp; Assumptions'!$X$32*R2051-'Model Inputs &amp; Assumptions'!$X$32^2/2))</f>
        <v>0.00376345631732</v>
      </c>
      <c r="G2051" s="45" t="n">
        <f aca="false">ROUND(C2051*F2051,0)</f>
        <v>5012</v>
      </c>
      <c r="H2051" s="48" t="n">
        <f aca="false">MAX(0,(C2051*'Model Inputs &amp; Assumptions'!$N$32+E2051*'Model Inputs &amp; Assumptions'!$O$32+G2051*'Model Inputs &amp; Assumptions'!$P$32)*EXP('Model Inputs &amp; Assumptions'!$Q$32*S2051-'Model Inputs &amp; Assumptions'!$Q$32^2/2))</f>
        <v>273.4848334622</v>
      </c>
      <c r="I2051" s="49" t="n">
        <f aca="false">IF('Model Inputs &amp; Assumptions'!$H$32="Fixed",'Model Inputs &amp; Assumptions'!$I$32*'Model Inputs &amp; Assumptions'!$K$32,IF('Model Inputs &amp; Assumptions'!$H$32="CPM",'Model Inputs &amp; Assumptions'!$I$32*'Model Inputs &amp; Assumptions'!$K$32*C2051/1000,IF('Model Inputs &amp; Assumptions'!$H$32="CPC",'Model Inputs &amp; Assumptions'!$I$32*'Model Inputs &amp; Assumptions'!$K$32*G2051,0)))</f>
        <v>15980.052</v>
      </c>
      <c r="J2051" s="50" t="n">
        <f aca="false">H2051*INDEX('Model Inputs &amp; Assumptions'!$D$40:$D$42,MATCH('Model Inputs &amp; Assumptions'!$L$32,'Model Inputs &amp; Assumptions'!$A$40:$A$42,0))*INDEX('Model Inputs &amp; Assumptions'!$H$40:$H$42,MATCH('Model Inputs &amp; Assumptions'!$L$32,'Model Inputs &amp; Assumptions'!$A$40:$A$42,0))</f>
        <v>1476818.10069588</v>
      </c>
      <c r="K2051" s="49" t="n">
        <f aca="false">H2051*INDEX('Model Inputs &amp; Assumptions'!$G$40:$G$42,MATCH('Model Inputs &amp; Assumptions'!$L$32,'Model Inputs &amp; Assumptions'!$A$40:$A$42,0))*INDEX('Model Inputs &amp; Assumptions'!$H$40:$H$42,MATCH('Model Inputs &amp; Assumptions'!$L$32,'Model Inputs &amp; Assumptions'!$A$40:$A$42,0))</f>
        <v>31013.1801146135</v>
      </c>
      <c r="L2051" s="51" t="n">
        <f aca="false">IFERROR(K2051/I2051,0)</f>
        <v>1.94074337897108</v>
      </c>
      <c r="M2051" s="49" t="n">
        <f aca="false">IFERROR(I2051/H2051,0)</f>
        <v>58.4312182789057</v>
      </c>
      <c r="N2051" s="52" t="str">
        <f aca="false">'Model Inputs &amp; Assumptions'!$L$32</f>
        <v>PRD-SP01</v>
      </c>
      <c r="P2051" s="53" t="n">
        <v>0.497043</v>
      </c>
      <c r="Q2051" s="53" t="n">
        <v>0.245813</v>
      </c>
      <c r="R2051" s="53" t="n">
        <v>0.391916</v>
      </c>
      <c r="S2051" s="53" t="n">
        <v>0.828388</v>
      </c>
    </row>
    <row r="2052" customFormat="false" ht="15" hidden="false" customHeight="false" outlineLevel="0" collapsed="false">
      <c r="A2052" s="43" t="n">
        <v>49</v>
      </c>
      <c r="B2052" s="44" t="str">
        <f aca="false">'Model Inputs &amp; Assumptions'!$B$32</f>
        <v>Trade Republic — In-App Display</v>
      </c>
      <c r="C2052" s="45" t="n">
        <f aca="false">ROUND(MAX(0,'Model Inputs &amp; Assumptions'!$S$32*EXP('Model Inputs &amp; Assumptions'!$T$32*P2052-'Model Inputs &amp; Assumptions'!$T$32^2/2)),0)</f>
        <v>1546778</v>
      </c>
      <c r="D2052" s="46" t="n">
        <f aca="false">MIN(1,'Model Inputs &amp; Assumptions'!$U$32*EXP('Model Inputs &amp; Assumptions'!$V$32*Q2052-'Model Inputs &amp; Assumptions'!$V$32^2/2))</f>
        <v>0</v>
      </c>
      <c r="E2052" s="45" t="n">
        <f aca="false">ROUND(C2052*D2052,0)</f>
        <v>0</v>
      </c>
      <c r="F2052" s="47" t="n">
        <f aca="false">MIN(1,'Model Inputs &amp; Assumptions'!$W$32*EXP('Model Inputs &amp; Assumptions'!$X$32*R2052-'Model Inputs &amp; Assumptions'!$X$32^2/2))</f>
        <v>0.00476724260963729</v>
      </c>
      <c r="G2052" s="45" t="n">
        <f aca="false">ROUND(C2052*F2052,0)</f>
        <v>7374</v>
      </c>
      <c r="H2052" s="48" t="n">
        <f aca="false">MAX(0,(C2052*'Model Inputs &amp; Assumptions'!$N$32+E2052*'Model Inputs &amp; Assumptions'!$O$32+G2052*'Model Inputs &amp; Assumptions'!$P$32)*EXP('Model Inputs &amp; Assumptions'!$Q$32*S2052-'Model Inputs &amp; Assumptions'!$Q$32^2/2))</f>
        <v>318.682130405263</v>
      </c>
      <c r="I2052" s="49" t="n">
        <f aca="false">IF('Model Inputs &amp; Assumptions'!$H$32="Fixed",'Model Inputs &amp; Assumptions'!$I$32*'Model Inputs &amp; Assumptions'!$K$32,IF('Model Inputs &amp; Assumptions'!$H$32="CPM",'Model Inputs &amp; Assumptions'!$I$32*'Model Inputs &amp; Assumptions'!$K$32*C2052/1000,IF('Model Inputs &amp; Assumptions'!$H$32="CPC",'Model Inputs &amp; Assumptions'!$I$32*'Model Inputs &amp; Assumptions'!$K$32*G2052,0)))</f>
        <v>18561.336</v>
      </c>
      <c r="J2052" s="50" t="n">
        <f aca="false">H2052*INDEX('Model Inputs &amp; Assumptions'!$D$40:$D$42,MATCH('Model Inputs &amp; Assumptions'!$L$32,'Model Inputs &amp; Assumptions'!$A$40:$A$42,0))*INDEX('Model Inputs &amp; Assumptions'!$H$40:$H$42,MATCH('Model Inputs &amp; Assumptions'!$L$32,'Model Inputs &amp; Assumptions'!$A$40:$A$42,0))</f>
        <v>1720883.50418842</v>
      </c>
      <c r="K2052" s="49" t="n">
        <f aca="false">H2052*INDEX('Model Inputs &amp; Assumptions'!$G$40:$G$42,MATCH('Model Inputs &amp; Assumptions'!$L$32,'Model Inputs &amp; Assumptions'!$A$40:$A$42,0))*INDEX('Model Inputs &amp; Assumptions'!$H$40:$H$42,MATCH('Model Inputs &amp; Assumptions'!$L$32,'Model Inputs &amp; Assumptions'!$A$40:$A$42,0))</f>
        <v>36138.5535879568</v>
      </c>
      <c r="L2052" s="51" t="n">
        <f aca="false">IFERROR(K2052/I2052,0)</f>
        <v>1.94698019517328</v>
      </c>
      <c r="M2052" s="49" t="n">
        <f aca="false">IFERROR(I2052/H2052,0)</f>
        <v>58.2440439204918</v>
      </c>
      <c r="N2052" s="52" t="str">
        <f aca="false">'Model Inputs &amp; Assumptions'!$L$32</f>
        <v>PRD-SP01</v>
      </c>
      <c r="P2052" s="53" t="n">
        <v>0.996175</v>
      </c>
      <c r="Q2052" s="53" t="n">
        <v>-0.297423</v>
      </c>
      <c r="R2052" s="53" t="n">
        <v>1.180017</v>
      </c>
      <c r="S2052" s="53" t="n">
        <v>-0.004388</v>
      </c>
    </row>
    <row r="2053" customFormat="false" ht="15" hidden="false" customHeight="false" outlineLevel="0" collapsed="false">
      <c r="A2053" s="43" t="n">
        <v>50</v>
      </c>
      <c r="B2053" s="44" t="str">
        <f aca="false">'Model Inputs &amp; Assumptions'!$B$32</f>
        <v>Trade Republic — In-App Display</v>
      </c>
      <c r="C2053" s="45" t="n">
        <f aca="false">ROUND(MAX(0,'Model Inputs &amp; Assumptions'!$S$32*EXP('Model Inputs &amp; Assumptions'!$T$32*P2053-'Model Inputs &amp; Assumptions'!$T$32^2/2)),0)</f>
        <v>1906207</v>
      </c>
      <c r="D2053" s="46" t="n">
        <f aca="false">MIN(1,'Model Inputs &amp; Assumptions'!$U$32*EXP('Model Inputs &amp; Assumptions'!$V$32*Q2053-'Model Inputs &amp; Assumptions'!$V$32^2/2))</f>
        <v>0</v>
      </c>
      <c r="E2053" s="45" t="n">
        <f aca="false">ROUND(C2053*D2053,0)</f>
        <v>0</v>
      </c>
      <c r="F2053" s="47" t="n">
        <f aca="false">MIN(1,'Model Inputs &amp; Assumptions'!$W$32*EXP('Model Inputs &amp; Assumptions'!$X$32*R2053-'Model Inputs &amp; Assumptions'!$X$32^2/2))</f>
        <v>0.00296604901290134</v>
      </c>
      <c r="G2053" s="45" t="n">
        <f aca="false">ROUND(C2053*F2053,0)</f>
        <v>5654</v>
      </c>
      <c r="H2053" s="48" t="n">
        <f aca="false">MAX(0,(C2053*'Model Inputs &amp; Assumptions'!$N$32+E2053*'Model Inputs &amp; Assumptions'!$O$32+G2053*'Model Inputs &amp; Assumptions'!$P$32)*EXP('Model Inputs &amp; Assumptions'!$Q$32*S2053-'Model Inputs &amp; Assumptions'!$Q$32^2/2))</f>
        <v>420.633113363594</v>
      </c>
      <c r="I2053" s="49" t="n">
        <f aca="false">IF('Model Inputs &amp; Assumptions'!$H$32="Fixed",'Model Inputs &amp; Assumptions'!$I$32*'Model Inputs &amp; Assumptions'!$K$32,IF('Model Inputs &amp; Assumptions'!$H$32="CPM",'Model Inputs &amp; Assumptions'!$I$32*'Model Inputs &amp; Assumptions'!$K$32*C2053/1000,IF('Model Inputs &amp; Assumptions'!$H$32="CPC",'Model Inputs &amp; Assumptions'!$I$32*'Model Inputs &amp; Assumptions'!$K$32*G2053,0)))</f>
        <v>22874.484</v>
      </c>
      <c r="J2053" s="50" t="n">
        <f aca="false">H2053*INDEX('Model Inputs &amp; Assumptions'!$D$40:$D$42,MATCH('Model Inputs &amp; Assumptions'!$L$32,'Model Inputs &amp; Assumptions'!$A$40:$A$42,0))*INDEX('Model Inputs &amp; Assumptions'!$H$40:$H$42,MATCH('Model Inputs &amp; Assumptions'!$L$32,'Model Inputs &amp; Assumptions'!$A$40:$A$42,0))</f>
        <v>2271418.81216341</v>
      </c>
      <c r="K2053" s="49" t="n">
        <f aca="false">H2053*INDEX('Model Inputs &amp; Assumptions'!$G$40:$G$42,MATCH('Model Inputs &amp; Assumptions'!$L$32,'Model Inputs &amp; Assumptions'!$A$40:$A$42,0))*INDEX('Model Inputs &amp; Assumptions'!$H$40:$H$42,MATCH('Model Inputs &amp; Assumptions'!$L$32,'Model Inputs &amp; Assumptions'!$A$40:$A$42,0))</f>
        <v>47699.7950554316</v>
      </c>
      <c r="L2053" s="51" t="n">
        <f aca="false">IFERROR(K2053/I2053,0)</f>
        <v>2.08528398085096</v>
      </c>
      <c r="M2053" s="49" t="n">
        <f aca="false">IFERROR(I2053/H2053,0)</f>
        <v>54.3810824047686</v>
      </c>
      <c r="N2053" s="52" t="str">
        <f aca="false">'Model Inputs &amp; Assumptions'!$L$32</f>
        <v>PRD-SP01</v>
      </c>
      <c r="P2053" s="53" t="n">
        <v>1.692646</v>
      </c>
      <c r="Q2053" s="53" t="n">
        <v>0.277698</v>
      </c>
      <c r="R2053" s="53" t="n">
        <v>-0.401774</v>
      </c>
      <c r="S2053" s="53" t="n">
        <v>1.935483</v>
      </c>
    </row>
    <row r="2054" customFormat="false" ht="15" hidden="false" customHeight="false" outlineLevel="0" collapsed="false">
      <c r="A2054" s="43" t="n">
        <v>51</v>
      </c>
      <c r="B2054" s="44" t="str">
        <f aca="false">'Model Inputs &amp; Assumptions'!$B$32</f>
        <v>Trade Republic — In-App Display</v>
      </c>
      <c r="C2054" s="45" t="n">
        <f aca="false">ROUND(MAX(0,'Model Inputs &amp; Assumptions'!$S$32*EXP('Model Inputs &amp; Assumptions'!$T$32*P2054-'Model Inputs &amp; Assumptions'!$T$32^2/2)),0)</f>
        <v>714468</v>
      </c>
      <c r="D2054" s="46" t="n">
        <f aca="false">MIN(1,'Model Inputs &amp; Assumptions'!$U$32*EXP('Model Inputs &amp; Assumptions'!$V$32*Q2054-'Model Inputs &amp; Assumptions'!$V$32^2/2))</f>
        <v>0</v>
      </c>
      <c r="E2054" s="45" t="n">
        <f aca="false">ROUND(C2054*D2054,0)</f>
        <v>0</v>
      </c>
      <c r="F2054" s="47" t="n">
        <f aca="false">MIN(1,'Model Inputs &amp; Assumptions'!$W$32*EXP('Model Inputs &amp; Assumptions'!$X$32*R2054-'Model Inputs &amp; Assumptions'!$X$32^2/2))</f>
        <v>0.00475417732540278</v>
      </c>
      <c r="G2054" s="45" t="n">
        <f aca="false">ROUND(C2054*F2054,0)</f>
        <v>3397</v>
      </c>
      <c r="H2054" s="48" t="n">
        <f aca="false">MAX(0,(C2054*'Model Inputs &amp; Assumptions'!$N$32+E2054*'Model Inputs &amp; Assumptions'!$O$32+G2054*'Model Inputs &amp; Assumptions'!$P$32)*EXP('Model Inputs &amp; Assumptions'!$Q$32*S2054-'Model Inputs &amp; Assumptions'!$Q$32^2/2))</f>
        <v>221.073560471943</v>
      </c>
      <c r="I2054" s="49" t="n">
        <f aca="false">IF('Model Inputs &amp; Assumptions'!$H$32="Fixed",'Model Inputs &amp; Assumptions'!$I$32*'Model Inputs &amp; Assumptions'!$K$32,IF('Model Inputs &amp; Assumptions'!$H$32="CPM",'Model Inputs &amp; Assumptions'!$I$32*'Model Inputs &amp; Assumptions'!$K$32*C2054/1000,IF('Model Inputs &amp; Assumptions'!$H$32="CPC",'Model Inputs &amp; Assumptions'!$I$32*'Model Inputs &amp; Assumptions'!$K$32*G2054,0)))</f>
        <v>8573.616</v>
      </c>
      <c r="J2054" s="50" t="n">
        <f aca="false">H2054*INDEX('Model Inputs &amp; Assumptions'!$D$40:$D$42,MATCH('Model Inputs &amp; Assumptions'!$L$32,'Model Inputs &amp; Assumptions'!$A$40:$A$42,0))*INDEX('Model Inputs &amp; Assumptions'!$H$40:$H$42,MATCH('Model Inputs &amp; Assumptions'!$L$32,'Model Inputs &amp; Assumptions'!$A$40:$A$42,0))</f>
        <v>1193797.22654849</v>
      </c>
      <c r="K2054" s="49" t="n">
        <f aca="false">H2054*INDEX('Model Inputs &amp; Assumptions'!$G$40:$G$42,MATCH('Model Inputs &amp; Assumptions'!$L$32,'Model Inputs &amp; Assumptions'!$A$40:$A$42,0))*INDEX('Model Inputs &amp; Assumptions'!$H$40:$H$42,MATCH('Model Inputs &amp; Assumptions'!$L$32,'Model Inputs &amp; Assumptions'!$A$40:$A$42,0))</f>
        <v>25069.7417575184</v>
      </c>
      <c r="L2054" s="51" t="n">
        <f aca="false">IFERROR(K2054/I2054,0)</f>
        <v>2.92405698570106</v>
      </c>
      <c r="M2054" s="49" t="n">
        <f aca="false">IFERROR(I2054/H2054,0)</f>
        <v>38.7817339246594</v>
      </c>
      <c r="N2054" s="52" t="str">
        <f aca="false">'Model Inputs &amp; Assumptions'!$L$32</f>
        <v>PRD-SP01</v>
      </c>
      <c r="P2054" s="53" t="n">
        <v>-1.578461</v>
      </c>
      <c r="Q2054" s="53" t="n">
        <v>-0.37951</v>
      </c>
      <c r="R2054" s="53" t="n">
        <v>1.170869</v>
      </c>
      <c r="S2054" s="53" t="n">
        <v>1.457644</v>
      </c>
    </row>
    <row r="2055" customFormat="false" ht="15" hidden="false" customHeight="false" outlineLevel="0" collapsed="false">
      <c r="A2055" s="43" t="n">
        <v>52</v>
      </c>
      <c r="B2055" s="44" t="str">
        <f aca="false">'Model Inputs &amp; Assumptions'!$B$32</f>
        <v>Trade Republic — In-App Display</v>
      </c>
      <c r="C2055" s="45" t="n">
        <f aca="false">ROUND(MAX(0,'Model Inputs &amp; Assumptions'!$S$32*EXP('Model Inputs &amp; Assumptions'!$T$32*P2055-'Model Inputs &amp; Assumptions'!$T$32^2/2)),0)</f>
        <v>750673</v>
      </c>
      <c r="D2055" s="46" t="n">
        <f aca="false">MIN(1,'Model Inputs &amp; Assumptions'!$U$32*EXP('Model Inputs &amp; Assumptions'!$V$32*Q2055-'Model Inputs &amp; Assumptions'!$V$32^2/2))</f>
        <v>0</v>
      </c>
      <c r="E2055" s="45" t="n">
        <f aca="false">ROUND(C2055*D2055,0)</f>
        <v>0</v>
      </c>
      <c r="F2055" s="47" t="n">
        <f aca="false">MIN(1,'Model Inputs &amp; Assumptions'!$W$32*EXP('Model Inputs &amp; Assumptions'!$X$32*R2055-'Model Inputs &amp; Assumptions'!$X$32^2/2))</f>
        <v>0.00226247595405928</v>
      </c>
      <c r="G2055" s="45" t="n">
        <f aca="false">ROUND(C2055*F2055,0)</f>
        <v>1698</v>
      </c>
      <c r="H2055" s="48" t="n">
        <f aca="false">MAX(0,(C2055*'Model Inputs &amp; Assumptions'!$N$32+E2055*'Model Inputs &amp; Assumptions'!$O$32+G2055*'Model Inputs &amp; Assumptions'!$P$32)*EXP('Model Inputs &amp; Assumptions'!$Q$32*S2055-'Model Inputs &amp; Assumptions'!$Q$32^2/2))</f>
        <v>90.7705213045846</v>
      </c>
      <c r="I2055" s="49" t="n">
        <f aca="false">IF('Model Inputs &amp; Assumptions'!$H$32="Fixed",'Model Inputs &amp; Assumptions'!$I$32*'Model Inputs &amp; Assumptions'!$K$32,IF('Model Inputs &amp; Assumptions'!$H$32="CPM",'Model Inputs &amp; Assumptions'!$I$32*'Model Inputs &amp; Assumptions'!$K$32*C2055/1000,IF('Model Inputs &amp; Assumptions'!$H$32="CPC",'Model Inputs &amp; Assumptions'!$I$32*'Model Inputs &amp; Assumptions'!$K$32*G2055,0)))</f>
        <v>9008.076</v>
      </c>
      <c r="J2055" s="50" t="n">
        <f aca="false">H2055*INDEX('Model Inputs &amp; Assumptions'!$D$40:$D$42,MATCH('Model Inputs &amp; Assumptions'!$L$32,'Model Inputs &amp; Assumptions'!$A$40:$A$42,0))*INDEX('Model Inputs &amp; Assumptions'!$H$40:$H$42,MATCH('Model Inputs &amp; Assumptions'!$L$32,'Model Inputs &amp; Assumptions'!$A$40:$A$42,0))</f>
        <v>490160.815044757</v>
      </c>
      <c r="K2055" s="49" t="n">
        <f aca="false">H2055*INDEX('Model Inputs &amp; Assumptions'!$G$40:$G$42,MATCH('Model Inputs &amp; Assumptions'!$L$32,'Model Inputs &amp; Assumptions'!$A$40:$A$42,0))*INDEX('Model Inputs &amp; Assumptions'!$H$40:$H$42,MATCH('Model Inputs &amp; Assumptions'!$L$32,'Model Inputs &amp; Assumptions'!$A$40:$A$42,0))</f>
        <v>10293.3771159399</v>
      </c>
      <c r="L2055" s="51" t="n">
        <f aca="false">IFERROR(K2055/I2055,0)</f>
        <v>1.14268320071233</v>
      </c>
      <c r="M2055" s="49" t="n">
        <f aca="false">IFERROR(I2055/H2055,0)</f>
        <v>99.2401042820167</v>
      </c>
      <c r="N2055" s="52" t="str">
        <f aca="false">'Model Inputs &amp; Assumptions'!$L$32</f>
        <v>PRD-SP01</v>
      </c>
      <c r="P2055" s="53" t="n">
        <v>-1.413688</v>
      </c>
      <c r="Q2055" s="53" t="n">
        <v>-1.757613</v>
      </c>
      <c r="R2055" s="53" t="n">
        <v>-1.304344</v>
      </c>
      <c r="S2055" s="53" t="n">
        <v>0.755075</v>
      </c>
    </row>
    <row r="2056" customFormat="false" ht="15" hidden="false" customHeight="false" outlineLevel="0" collapsed="false">
      <c r="A2056" s="43" t="n">
        <v>53</v>
      </c>
      <c r="B2056" s="44" t="str">
        <f aca="false">'Model Inputs &amp; Assumptions'!$B$32</f>
        <v>Trade Republic — In-App Display</v>
      </c>
      <c r="C2056" s="45" t="n">
        <f aca="false">ROUND(MAX(0,'Model Inputs &amp; Assumptions'!$S$32*EXP('Model Inputs &amp; Assumptions'!$T$32*P2056-'Model Inputs &amp; Assumptions'!$T$32^2/2)),0)</f>
        <v>907985</v>
      </c>
      <c r="D2056" s="46" t="n">
        <f aca="false">MIN(1,'Model Inputs &amp; Assumptions'!$U$32*EXP('Model Inputs &amp; Assumptions'!$V$32*Q2056-'Model Inputs &amp; Assumptions'!$V$32^2/2))</f>
        <v>0</v>
      </c>
      <c r="E2056" s="45" t="n">
        <f aca="false">ROUND(C2056*D2056,0)</f>
        <v>0</v>
      </c>
      <c r="F2056" s="47" t="n">
        <f aca="false">MIN(1,'Model Inputs &amp; Assumptions'!$W$32*EXP('Model Inputs &amp; Assumptions'!$X$32*R2056-'Model Inputs &amp; Assumptions'!$X$32^2/2))</f>
        <v>0.00288134721712573</v>
      </c>
      <c r="G2056" s="45" t="n">
        <f aca="false">ROUND(C2056*F2056,0)</f>
        <v>2616</v>
      </c>
      <c r="H2056" s="48" t="n">
        <f aca="false">MAX(0,(C2056*'Model Inputs &amp; Assumptions'!$N$32+E2056*'Model Inputs &amp; Assumptions'!$O$32+G2056*'Model Inputs &amp; Assumptions'!$P$32)*EXP('Model Inputs &amp; Assumptions'!$Q$32*S2056-'Model Inputs &amp; Assumptions'!$Q$32^2/2))</f>
        <v>86.2316606679124</v>
      </c>
      <c r="I2056" s="49" t="n">
        <f aca="false">IF('Model Inputs &amp; Assumptions'!$H$32="Fixed",'Model Inputs &amp; Assumptions'!$I$32*'Model Inputs &amp; Assumptions'!$K$32,IF('Model Inputs &amp; Assumptions'!$H$32="CPM",'Model Inputs &amp; Assumptions'!$I$32*'Model Inputs &amp; Assumptions'!$K$32*C2056/1000,IF('Model Inputs &amp; Assumptions'!$H$32="CPC",'Model Inputs &amp; Assumptions'!$I$32*'Model Inputs &amp; Assumptions'!$K$32*G2056,0)))</f>
        <v>10895.82</v>
      </c>
      <c r="J2056" s="50" t="n">
        <f aca="false">H2056*INDEX('Model Inputs &amp; Assumptions'!$D$40:$D$42,MATCH('Model Inputs &amp; Assumptions'!$L$32,'Model Inputs &amp; Assumptions'!$A$40:$A$42,0))*INDEX('Model Inputs &amp; Assumptions'!$H$40:$H$42,MATCH('Model Inputs &amp; Assumptions'!$L$32,'Model Inputs &amp; Assumptions'!$A$40:$A$42,0))</f>
        <v>465650.967606727</v>
      </c>
      <c r="K2056" s="49" t="n">
        <f aca="false">H2056*INDEX('Model Inputs &amp; Assumptions'!$G$40:$G$42,MATCH('Model Inputs &amp; Assumptions'!$L$32,'Model Inputs &amp; Assumptions'!$A$40:$A$42,0))*INDEX('Model Inputs &amp; Assumptions'!$H$40:$H$42,MATCH('Model Inputs &amp; Assumptions'!$L$32,'Model Inputs &amp; Assumptions'!$A$40:$A$42,0))</f>
        <v>9778.67031974127</v>
      </c>
      <c r="L2056" s="51" t="n">
        <f aca="false">IFERROR(K2056/I2056,0)</f>
        <v>0.897469884757758</v>
      </c>
      <c r="M2056" s="49" t="n">
        <f aca="false">IFERROR(I2056/H2056,0)</f>
        <v>126.355214727465</v>
      </c>
      <c r="N2056" s="52" t="str">
        <f aca="false">'Model Inputs &amp; Assumptions'!$L$32</f>
        <v>PRD-SP01</v>
      </c>
      <c r="P2056" s="53" t="n">
        <v>-0.779497</v>
      </c>
      <c r="Q2056" s="53" t="n">
        <v>0.862184</v>
      </c>
      <c r="R2056" s="53" t="n">
        <v>-0.49835</v>
      </c>
      <c r="S2056" s="53" t="n">
        <v>-0.971684</v>
      </c>
    </row>
    <row r="2057" customFormat="false" ht="15" hidden="false" customHeight="false" outlineLevel="0" collapsed="false">
      <c r="A2057" s="43" t="n">
        <v>54</v>
      </c>
      <c r="B2057" s="44" t="str">
        <f aca="false">'Model Inputs &amp; Assumptions'!$B$32</f>
        <v>Trade Republic — In-App Display</v>
      </c>
      <c r="C2057" s="45" t="n">
        <f aca="false">ROUND(MAX(0,'Model Inputs &amp; Assumptions'!$S$32*EXP('Model Inputs &amp; Assumptions'!$T$32*P2057-'Model Inputs &amp; Assumptions'!$T$32^2/2)),0)</f>
        <v>914842</v>
      </c>
      <c r="D2057" s="46" t="n">
        <f aca="false">MIN(1,'Model Inputs &amp; Assumptions'!$U$32*EXP('Model Inputs &amp; Assumptions'!$V$32*Q2057-'Model Inputs &amp; Assumptions'!$V$32^2/2))</f>
        <v>0</v>
      </c>
      <c r="E2057" s="45" t="n">
        <f aca="false">ROUND(C2057*D2057,0)</f>
        <v>0</v>
      </c>
      <c r="F2057" s="47" t="n">
        <f aca="false">MIN(1,'Model Inputs &amp; Assumptions'!$W$32*EXP('Model Inputs &amp; Assumptions'!$X$32*R2057-'Model Inputs &amp; Assumptions'!$X$32^2/2))</f>
        <v>0.00288734636785675</v>
      </c>
      <c r="G2057" s="45" t="n">
        <f aca="false">ROUND(C2057*F2057,0)</f>
        <v>2641</v>
      </c>
      <c r="H2057" s="48" t="n">
        <f aca="false">MAX(0,(C2057*'Model Inputs &amp; Assumptions'!$N$32+E2057*'Model Inputs &amp; Assumptions'!$O$32+G2057*'Model Inputs &amp; Assumptions'!$P$32)*EXP('Model Inputs &amp; Assumptions'!$Q$32*S2057-'Model Inputs &amp; Assumptions'!$Q$32^2/2))</f>
        <v>60.0731101581026</v>
      </c>
      <c r="I2057" s="49" t="n">
        <f aca="false">IF('Model Inputs &amp; Assumptions'!$H$32="Fixed",'Model Inputs &amp; Assumptions'!$I$32*'Model Inputs &amp; Assumptions'!$K$32,IF('Model Inputs &amp; Assumptions'!$H$32="CPM",'Model Inputs &amp; Assumptions'!$I$32*'Model Inputs &amp; Assumptions'!$K$32*C2057/1000,IF('Model Inputs &amp; Assumptions'!$H$32="CPC",'Model Inputs &amp; Assumptions'!$I$32*'Model Inputs &amp; Assumptions'!$K$32*G2057,0)))</f>
        <v>10978.104</v>
      </c>
      <c r="J2057" s="50" t="n">
        <f aca="false">H2057*INDEX('Model Inputs &amp; Assumptions'!$D$40:$D$42,MATCH('Model Inputs &amp; Assumptions'!$L$32,'Model Inputs &amp; Assumptions'!$A$40:$A$42,0))*INDEX('Model Inputs &amp; Assumptions'!$H$40:$H$42,MATCH('Model Inputs &amp; Assumptions'!$L$32,'Model Inputs &amp; Assumptions'!$A$40:$A$42,0))</f>
        <v>324394.794853754</v>
      </c>
      <c r="K2057" s="49" t="n">
        <f aca="false">H2057*INDEX('Model Inputs &amp; Assumptions'!$G$40:$G$42,MATCH('Model Inputs &amp; Assumptions'!$L$32,'Model Inputs &amp; Assumptions'!$A$40:$A$42,0))*INDEX('Model Inputs &amp; Assumptions'!$H$40:$H$42,MATCH('Model Inputs &amp; Assumptions'!$L$32,'Model Inputs &amp; Assumptions'!$A$40:$A$42,0))</f>
        <v>6812.29069192884</v>
      </c>
      <c r="L2057" s="51" t="n">
        <f aca="false">IFERROR(K2057/I2057,0)</f>
        <v>0.620534355652746</v>
      </c>
      <c r="M2057" s="49" t="n">
        <f aca="false">IFERROR(I2057/H2057,0)</f>
        <v>182.745723853941</v>
      </c>
      <c r="N2057" s="52" t="str">
        <f aca="false">'Model Inputs &amp; Assumptions'!$L$32</f>
        <v>PRD-SP01</v>
      </c>
      <c r="P2057" s="53" t="n">
        <v>-0.754417</v>
      </c>
      <c r="Q2057" s="53" t="n">
        <v>-1.586814</v>
      </c>
      <c r="R2057" s="53" t="n">
        <v>-0.491417</v>
      </c>
      <c r="S2057" s="53" t="n">
        <v>-2.296635</v>
      </c>
    </row>
    <row r="2058" customFormat="false" ht="15" hidden="false" customHeight="false" outlineLevel="0" collapsed="false">
      <c r="A2058" s="43" t="n">
        <v>55</v>
      </c>
      <c r="B2058" s="44" t="str">
        <f aca="false">'Model Inputs &amp; Assumptions'!$B$32</f>
        <v>Trade Republic — In-App Display</v>
      </c>
      <c r="C2058" s="45" t="n">
        <f aca="false">ROUND(MAX(0,'Model Inputs &amp; Assumptions'!$S$32*EXP('Model Inputs &amp; Assumptions'!$T$32*P2058-'Model Inputs &amp; Assumptions'!$T$32^2/2)),0)</f>
        <v>1106750</v>
      </c>
      <c r="D2058" s="46" t="n">
        <f aca="false">MIN(1,'Model Inputs &amp; Assumptions'!$U$32*EXP('Model Inputs &amp; Assumptions'!$V$32*Q2058-'Model Inputs &amp; Assumptions'!$V$32^2/2))</f>
        <v>0</v>
      </c>
      <c r="E2058" s="45" t="n">
        <f aca="false">ROUND(C2058*D2058,0)</f>
        <v>0</v>
      </c>
      <c r="F2058" s="47" t="n">
        <f aca="false">MIN(1,'Model Inputs &amp; Assumptions'!$W$32*EXP('Model Inputs &amp; Assumptions'!$X$32*R2058-'Model Inputs &amp; Assumptions'!$X$32^2/2))</f>
        <v>0.00261480772867758</v>
      </c>
      <c r="G2058" s="45" t="n">
        <f aca="false">ROUND(C2058*F2058,0)</f>
        <v>2894</v>
      </c>
      <c r="H2058" s="48" t="n">
        <f aca="false">MAX(0,(C2058*'Model Inputs &amp; Assumptions'!$N$32+E2058*'Model Inputs &amp; Assumptions'!$O$32+G2058*'Model Inputs &amp; Assumptions'!$P$32)*EXP('Model Inputs &amp; Assumptions'!$Q$32*S2058-'Model Inputs &amp; Assumptions'!$Q$32^2/2))</f>
        <v>96.3257501307172</v>
      </c>
      <c r="I2058" s="49" t="n">
        <f aca="false">IF('Model Inputs &amp; Assumptions'!$H$32="Fixed",'Model Inputs &amp; Assumptions'!$I$32*'Model Inputs &amp; Assumptions'!$K$32,IF('Model Inputs &amp; Assumptions'!$H$32="CPM",'Model Inputs &amp; Assumptions'!$I$32*'Model Inputs &amp; Assumptions'!$K$32*C2058/1000,IF('Model Inputs &amp; Assumptions'!$H$32="CPC",'Model Inputs &amp; Assumptions'!$I$32*'Model Inputs &amp; Assumptions'!$K$32*G2058,0)))</f>
        <v>13281</v>
      </c>
      <c r="J2058" s="50" t="n">
        <f aca="false">H2058*INDEX('Model Inputs &amp; Assumptions'!$D$40:$D$42,MATCH('Model Inputs &amp; Assumptions'!$L$32,'Model Inputs &amp; Assumptions'!$A$40:$A$42,0))*INDEX('Model Inputs &amp; Assumptions'!$H$40:$H$42,MATCH('Model Inputs &amp; Assumptions'!$L$32,'Model Inputs &amp; Assumptions'!$A$40:$A$42,0))</f>
        <v>520159.050705873</v>
      </c>
      <c r="K2058" s="49" t="n">
        <f aca="false">H2058*INDEX('Model Inputs &amp; Assumptions'!$G$40:$G$42,MATCH('Model Inputs &amp; Assumptions'!$L$32,'Model Inputs &amp; Assumptions'!$A$40:$A$42,0))*INDEX('Model Inputs &amp; Assumptions'!$H$40:$H$42,MATCH('Model Inputs &amp; Assumptions'!$L$32,'Model Inputs &amp; Assumptions'!$A$40:$A$42,0))</f>
        <v>10923.3400648233</v>
      </c>
      <c r="L2058" s="51" t="n">
        <f aca="false">IFERROR(K2058/I2058,0)</f>
        <v>0.822478733892277</v>
      </c>
      <c r="M2058" s="49" t="n">
        <f aca="false">IFERROR(I2058/H2058,0)</f>
        <v>137.875905269123</v>
      </c>
      <c r="N2058" s="52" t="str">
        <f aca="false">'Model Inputs &amp; Assumptions'!$L$32</f>
        <v>PRD-SP01</v>
      </c>
      <c r="P2058" s="53" t="n">
        <v>-0.119646</v>
      </c>
      <c r="Q2058" s="53" t="n">
        <v>-0.991157</v>
      </c>
      <c r="R2058" s="53" t="n">
        <v>-0.821908</v>
      </c>
      <c r="S2058" s="53" t="n">
        <v>-0.937023</v>
      </c>
    </row>
    <row r="2059" customFormat="false" ht="15" hidden="false" customHeight="false" outlineLevel="0" collapsed="false">
      <c r="A2059" s="43" t="n">
        <v>56</v>
      </c>
      <c r="B2059" s="44" t="str">
        <f aca="false">'Model Inputs &amp; Assumptions'!$B$32</f>
        <v>Trade Republic — In-App Display</v>
      </c>
      <c r="C2059" s="45" t="n">
        <f aca="false">ROUND(MAX(0,'Model Inputs &amp; Assumptions'!$S$32*EXP('Model Inputs &amp; Assumptions'!$T$32*P2059-'Model Inputs &amp; Assumptions'!$T$32^2/2)),0)</f>
        <v>1260115</v>
      </c>
      <c r="D2059" s="46" t="n">
        <f aca="false">MIN(1,'Model Inputs &amp; Assumptions'!$U$32*EXP('Model Inputs &amp; Assumptions'!$V$32*Q2059-'Model Inputs &amp; Assumptions'!$V$32^2/2))</f>
        <v>0</v>
      </c>
      <c r="E2059" s="45" t="n">
        <f aca="false">ROUND(C2059*D2059,0)</f>
        <v>0</v>
      </c>
      <c r="F2059" s="47" t="n">
        <f aca="false">MIN(1,'Model Inputs &amp; Assumptions'!$W$32*EXP('Model Inputs &amp; Assumptions'!$X$32*R2059-'Model Inputs &amp; Assumptions'!$X$32^2/2))</f>
        <v>0.00451529069240081</v>
      </c>
      <c r="G2059" s="45" t="n">
        <f aca="false">ROUND(C2059*F2059,0)</f>
        <v>5690</v>
      </c>
      <c r="H2059" s="48" t="n">
        <f aca="false">MAX(0,(C2059*'Model Inputs &amp; Assumptions'!$N$32+E2059*'Model Inputs &amp; Assumptions'!$O$32+G2059*'Model Inputs &amp; Assumptions'!$P$32)*EXP('Model Inputs &amp; Assumptions'!$Q$32*S2059-'Model Inputs &amp; Assumptions'!$Q$32^2/2))</f>
        <v>249.896796319442</v>
      </c>
      <c r="I2059" s="49" t="n">
        <f aca="false">IF('Model Inputs &amp; Assumptions'!$H$32="Fixed",'Model Inputs &amp; Assumptions'!$I$32*'Model Inputs &amp; Assumptions'!$K$32,IF('Model Inputs &amp; Assumptions'!$H$32="CPM",'Model Inputs &amp; Assumptions'!$I$32*'Model Inputs &amp; Assumptions'!$K$32*C2059/1000,IF('Model Inputs &amp; Assumptions'!$H$32="CPC",'Model Inputs &amp; Assumptions'!$I$32*'Model Inputs &amp; Assumptions'!$K$32*G2059,0)))</f>
        <v>15121.38</v>
      </c>
      <c r="J2059" s="50" t="n">
        <f aca="false">H2059*INDEX('Model Inputs &amp; Assumptions'!$D$40:$D$42,MATCH('Model Inputs &amp; Assumptions'!$L$32,'Model Inputs &amp; Assumptions'!$A$40:$A$42,0))*INDEX('Model Inputs &amp; Assumptions'!$H$40:$H$42,MATCH('Model Inputs &amp; Assumptions'!$L$32,'Model Inputs &amp; Assumptions'!$A$40:$A$42,0))</f>
        <v>1349442.70012499</v>
      </c>
      <c r="K2059" s="49" t="n">
        <f aca="false">H2059*INDEX('Model Inputs &amp; Assumptions'!$G$40:$G$42,MATCH('Model Inputs &amp; Assumptions'!$L$32,'Model Inputs &amp; Assumptions'!$A$40:$A$42,0))*INDEX('Model Inputs &amp; Assumptions'!$H$40:$H$42,MATCH('Model Inputs &amp; Assumptions'!$L$32,'Model Inputs &amp; Assumptions'!$A$40:$A$42,0))</f>
        <v>28338.2967026247</v>
      </c>
      <c r="L2059" s="51" t="n">
        <f aca="false">IFERROR(K2059/I2059,0)</f>
        <v>1.87405492770003</v>
      </c>
      <c r="M2059" s="49" t="n">
        <f aca="false">IFERROR(I2059/H2059,0)</f>
        <v>60.5104996250949</v>
      </c>
      <c r="N2059" s="52" t="str">
        <f aca="false">'Model Inputs &amp; Assumptions'!$L$32</f>
        <v>PRD-SP01</v>
      </c>
      <c r="P2059" s="53" t="n">
        <v>0.312938</v>
      </c>
      <c r="Q2059" s="53" t="n">
        <v>-1.179411</v>
      </c>
      <c r="R2059" s="53" t="n">
        <v>0.999022</v>
      </c>
      <c r="S2059" s="53" t="n">
        <v>0.053126</v>
      </c>
    </row>
    <row r="2060" customFormat="false" ht="15" hidden="false" customHeight="false" outlineLevel="0" collapsed="false">
      <c r="A2060" s="43" t="n">
        <v>57</v>
      </c>
      <c r="B2060" s="44" t="str">
        <f aca="false">'Model Inputs &amp; Assumptions'!$B$32</f>
        <v>Trade Republic — In-App Display</v>
      </c>
      <c r="C2060" s="45" t="n">
        <f aca="false">ROUND(MAX(0,'Model Inputs &amp; Assumptions'!$S$32*EXP('Model Inputs &amp; Assumptions'!$T$32*P2060-'Model Inputs &amp; Assumptions'!$T$32^2/2)),0)</f>
        <v>775135</v>
      </c>
      <c r="D2060" s="46" t="n">
        <f aca="false">MIN(1,'Model Inputs &amp; Assumptions'!$U$32*EXP('Model Inputs &amp; Assumptions'!$V$32*Q2060-'Model Inputs &amp; Assumptions'!$V$32^2/2))</f>
        <v>0</v>
      </c>
      <c r="E2060" s="45" t="n">
        <f aca="false">ROUND(C2060*D2060,0)</f>
        <v>0</v>
      </c>
      <c r="F2060" s="47" t="n">
        <f aca="false">MIN(1,'Model Inputs &amp; Assumptions'!$W$32*EXP('Model Inputs &amp; Assumptions'!$X$32*R2060-'Model Inputs &amp; Assumptions'!$X$32^2/2))</f>
        <v>0.00391080825901601</v>
      </c>
      <c r="G2060" s="45" t="n">
        <f aca="false">ROUND(C2060*F2060,0)</f>
        <v>3031</v>
      </c>
      <c r="H2060" s="48" t="n">
        <f aca="false">MAX(0,(C2060*'Model Inputs &amp; Assumptions'!$N$32+E2060*'Model Inputs &amp; Assumptions'!$O$32+G2060*'Model Inputs &amp; Assumptions'!$P$32)*EXP('Model Inputs &amp; Assumptions'!$Q$32*S2060-'Model Inputs &amp; Assumptions'!$Q$32^2/2))</f>
        <v>187.827969459858</v>
      </c>
      <c r="I2060" s="49" t="n">
        <f aca="false">IF('Model Inputs &amp; Assumptions'!$H$32="Fixed",'Model Inputs &amp; Assumptions'!$I$32*'Model Inputs &amp; Assumptions'!$K$32,IF('Model Inputs &amp; Assumptions'!$H$32="CPM",'Model Inputs &amp; Assumptions'!$I$32*'Model Inputs &amp; Assumptions'!$K$32*C2060/1000,IF('Model Inputs &amp; Assumptions'!$H$32="CPC",'Model Inputs &amp; Assumptions'!$I$32*'Model Inputs &amp; Assumptions'!$K$32*G2060,0)))</f>
        <v>9301.62</v>
      </c>
      <c r="J2060" s="50" t="n">
        <f aca="false">H2060*INDEX('Model Inputs &amp; Assumptions'!$D$40:$D$42,MATCH('Model Inputs &amp; Assumptions'!$L$32,'Model Inputs &amp; Assumptions'!$A$40:$A$42,0))*INDEX('Model Inputs &amp; Assumptions'!$H$40:$H$42,MATCH('Model Inputs &amp; Assumptions'!$L$32,'Model Inputs &amp; Assumptions'!$A$40:$A$42,0))</f>
        <v>1014271.03508323</v>
      </c>
      <c r="K2060" s="49" t="n">
        <f aca="false">H2060*INDEX('Model Inputs &amp; Assumptions'!$G$40:$G$42,MATCH('Model Inputs &amp; Assumptions'!$L$32,'Model Inputs &amp; Assumptions'!$A$40:$A$42,0))*INDEX('Model Inputs &amp; Assumptions'!$H$40:$H$42,MATCH('Model Inputs &amp; Assumptions'!$L$32,'Model Inputs &amp; Assumptions'!$A$40:$A$42,0))</f>
        <v>21299.6917367479</v>
      </c>
      <c r="L2060" s="51" t="n">
        <f aca="false">IFERROR(K2060/I2060,0)</f>
        <v>2.28989054989861</v>
      </c>
      <c r="M2060" s="49" t="n">
        <f aca="false">IFERROR(I2060/H2060,0)</f>
        <v>49.5220175501494</v>
      </c>
      <c r="N2060" s="52" t="str">
        <f aca="false">'Model Inputs &amp; Assumptions'!$L$32</f>
        <v>PRD-SP01</v>
      </c>
      <c r="P2060" s="53" t="n">
        <v>-1.306798</v>
      </c>
      <c r="Q2060" s="53" t="n">
        <v>1.238431</v>
      </c>
      <c r="R2060" s="53" t="n">
        <v>0.519937</v>
      </c>
      <c r="S2060" s="53" t="n">
        <v>1.282755</v>
      </c>
    </row>
    <row r="2061" customFormat="false" ht="15" hidden="false" customHeight="false" outlineLevel="0" collapsed="false">
      <c r="A2061" s="43" t="n">
        <v>58</v>
      </c>
      <c r="B2061" s="44" t="str">
        <f aca="false">'Model Inputs &amp; Assumptions'!$B$32</f>
        <v>Trade Republic — In-App Display</v>
      </c>
      <c r="C2061" s="45" t="n">
        <f aca="false">ROUND(MAX(0,'Model Inputs &amp; Assumptions'!$S$32*EXP('Model Inputs &amp; Assumptions'!$T$32*P2061-'Model Inputs &amp; Assumptions'!$T$32^2/2)),0)</f>
        <v>786410</v>
      </c>
      <c r="D2061" s="46" t="n">
        <f aca="false">MIN(1,'Model Inputs &amp; Assumptions'!$U$32*EXP('Model Inputs &amp; Assumptions'!$V$32*Q2061-'Model Inputs &amp; Assumptions'!$V$32^2/2))</f>
        <v>0</v>
      </c>
      <c r="E2061" s="45" t="n">
        <f aca="false">ROUND(C2061*D2061,0)</f>
        <v>0</v>
      </c>
      <c r="F2061" s="47" t="n">
        <f aca="false">MIN(1,'Model Inputs &amp; Assumptions'!$W$32*EXP('Model Inputs &amp; Assumptions'!$X$32*R2061-'Model Inputs &amp; Assumptions'!$X$32^2/2))</f>
        <v>0.00340190091656575</v>
      </c>
      <c r="G2061" s="45" t="n">
        <f aca="false">ROUND(C2061*F2061,0)</f>
        <v>2675</v>
      </c>
      <c r="H2061" s="48" t="n">
        <f aca="false">MAX(0,(C2061*'Model Inputs &amp; Assumptions'!$N$32+E2061*'Model Inputs &amp; Assumptions'!$O$32+G2061*'Model Inputs &amp; Assumptions'!$P$32)*EXP('Model Inputs &amp; Assumptions'!$Q$32*S2061-'Model Inputs &amp; Assumptions'!$Q$32^2/2))</f>
        <v>195.950537976104</v>
      </c>
      <c r="I2061" s="49" t="n">
        <f aca="false">IF('Model Inputs &amp; Assumptions'!$H$32="Fixed",'Model Inputs &amp; Assumptions'!$I$32*'Model Inputs &amp; Assumptions'!$K$32,IF('Model Inputs &amp; Assumptions'!$H$32="CPM",'Model Inputs &amp; Assumptions'!$I$32*'Model Inputs &amp; Assumptions'!$K$32*C2061/1000,IF('Model Inputs &amp; Assumptions'!$H$32="CPC",'Model Inputs &amp; Assumptions'!$I$32*'Model Inputs &amp; Assumptions'!$K$32*G2061,0)))</f>
        <v>9436.92</v>
      </c>
      <c r="J2061" s="50" t="n">
        <f aca="false">H2061*INDEX('Model Inputs &amp; Assumptions'!$D$40:$D$42,MATCH('Model Inputs &amp; Assumptions'!$L$32,'Model Inputs &amp; Assumptions'!$A$40:$A$42,0))*INDEX('Model Inputs &amp; Assumptions'!$H$40:$H$42,MATCH('Model Inputs &amp; Assumptions'!$L$32,'Model Inputs &amp; Assumptions'!$A$40:$A$42,0))</f>
        <v>1058132.90507096</v>
      </c>
      <c r="K2061" s="49" t="n">
        <f aca="false">H2061*INDEX('Model Inputs &amp; Assumptions'!$G$40:$G$42,MATCH('Model Inputs &amp; Assumptions'!$L$32,'Model Inputs &amp; Assumptions'!$A$40:$A$42,0))*INDEX('Model Inputs &amp; Assumptions'!$H$40:$H$42,MATCH('Model Inputs &amp; Assumptions'!$L$32,'Model Inputs &amp; Assumptions'!$A$40:$A$42,0))</f>
        <v>22220.7910064902</v>
      </c>
      <c r="L2061" s="51" t="n">
        <f aca="false">IFERROR(K2061/I2061,0)</f>
        <v>2.35466561192531</v>
      </c>
      <c r="M2061" s="49" t="n">
        <f aca="false">IFERROR(I2061/H2061,0)</f>
        <v>48.159704471701</v>
      </c>
      <c r="N2061" s="52" t="str">
        <f aca="false">'Model Inputs &amp; Assumptions'!$L$32</f>
        <v>PRD-SP01</v>
      </c>
      <c r="P2061" s="53" t="n">
        <v>-1.258662</v>
      </c>
      <c r="Q2061" s="53" t="n">
        <v>-1.436238</v>
      </c>
      <c r="R2061" s="53" t="n">
        <v>0.055238</v>
      </c>
      <c r="S2061" s="53" t="n">
        <v>1.88018</v>
      </c>
    </row>
    <row r="2062" customFormat="false" ht="15" hidden="false" customHeight="false" outlineLevel="0" collapsed="false">
      <c r="A2062" s="43" t="n">
        <v>59</v>
      </c>
      <c r="B2062" s="44" t="str">
        <f aca="false">'Model Inputs &amp; Assumptions'!$B$32</f>
        <v>Trade Republic — In-App Display</v>
      </c>
      <c r="C2062" s="45" t="n">
        <f aca="false">ROUND(MAX(0,'Model Inputs &amp; Assumptions'!$S$32*EXP('Model Inputs &amp; Assumptions'!$T$32*P2062-'Model Inputs &amp; Assumptions'!$T$32^2/2)),0)</f>
        <v>1596703</v>
      </c>
      <c r="D2062" s="46" t="n">
        <f aca="false">MIN(1,'Model Inputs &amp; Assumptions'!$U$32*EXP('Model Inputs &amp; Assumptions'!$V$32*Q2062-'Model Inputs &amp; Assumptions'!$V$32^2/2))</f>
        <v>0</v>
      </c>
      <c r="E2062" s="45" t="n">
        <f aca="false">ROUND(C2062*D2062,0)</f>
        <v>0</v>
      </c>
      <c r="F2062" s="47" t="n">
        <f aca="false">MIN(1,'Model Inputs &amp; Assumptions'!$W$32*EXP('Model Inputs &amp; Assumptions'!$X$32*R2062-'Model Inputs &amp; Assumptions'!$X$32^2/2))</f>
        <v>0.00368023853176776</v>
      </c>
      <c r="G2062" s="45" t="n">
        <f aca="false">ROUND(C2062*F2062,0)</f>
        <v>5876</v>
      </c>
      <c r="H2062" s="48" t="n">
        <f aca="false">MAX(0,(C2062*'Model Inputs &amp; Assumptions'!$N$32+E2062*'Model Inputs &amp; Assumptions'!$O$32+G2062*'Model Inputs &amp; Assumptions'!$P$32)*EXP('Model Inputs &amp; Assumptions'!$Q$32*S2062-'Model Inputs &amp; Assumptions'!$Q$32^2/2))</f>
        <v>306.303532959074</v>
      </c>
      <c r="I2062" s="49" t="n">
        <f aca="false">IF('Model Inputs &amp; Assumptions'!$H$32="Fixed",'Model Inputs &amp; Assumptions'!$I$32*'Model Inputs &amp; Assumptions'!$K$32,IF('Model Inputs &amp; Assumptions'!$H$32="CPM",'Model Inputs &amp; Assumptions'!$I$32*'Model Inputs &amp; Assumptions'!$K$32*C2062/1000,IF('Model Inputs &amp; Assumptions'!$H$32="CPC",'Model Inputs &amp; Assumptions'!$I$32*'Model Inputs &amp; Assumptions'!$K$32*G2062,0)))</f>
        <v>19160.436</v>
      </c>
      <c r="J2062" s="50" t="n">
        <f aca="false">H2062*INDEX('Model Inputs &amp; Assumptions'!$D$40:$D$42,MATCH('Model Inputs &amp; Assumptions'!$L$32,'Model Inputs &amp; Assumptions'!$A$40:$A$42,0))*INDEX('Model Inputs &amp; Assumptions'!$H$40:$H$42,MATCH('Model Inputs &amp; Assumptions'!$L$32,'Model Inputs &amp; Assumptions'!$A$40:$A$42,0))</f>
        <v>1654039.077979</v>
      </c>
      <c r="K2062" s="49" t="n">
        <f aca="false">H2062*INDEX('Model Inputs &amp; Assumptions'!$G$40:$G$42,MATCH('Model Inputs &amp; Assumptions'!$L$32,'Model Inputs &amp; Assumptions'!$A$40:$A$42,0))*INDEX('Model Inputs &amp; Assumptions'!$H$40:$H$42,MATCH('Model Inputs &amp; Assumptions'!$L$32,'Model Inputs &amp; Assumptions'!$A$40:$A$42,0))</f>
        <v>34734.8206375589</v>
      </c>
      <c r="L2062" s="51" t="n">
        <f aca="false">IFERROR(K2062/I2062,0)</f>
        <v>1.81284082666798</v>
      </c>
      <c r="M2062" s="49" t="n">
        <f aca="false">IFERROR(I2062/H2062,0)</f>
        <v>62.553754489538</v>
      </c>
      <c r="N2062" s="52" t="str">
        <f aca="false">'Model Inputs &amp; Assumptions'!$L$32</f>
        <v>PRD-SP01</v>
      </c>
      <c r="P2062" s="53" t="n">
        <v>1.102064</v>
      </c>
      <c r="Q2062" s="53" t="n">
        <v>1.588158</v>
      </c>
      <c r="R2062" s="53" t="n">
        <v>0.317382</v>
      </c>
      <c r="S2062" s="53" t="n">
        <v>0.665135</v>
      </c>
    </row>
    <row r="2063" customFormat="false" ht="15" hidden="false" customHeight="false" outlineLevel="0" collapsed="false">
      <c r="A2063" s="43" t="n">
        <v>60</v>
      </c>
      <c r="B2063" s="44" t="str">
        <f aca="false">'Model Inputs &amp; Assumptions'!$B$32</f>
        <v>Trade Republic — In-App Display</v>
      </c>
      <c r="C2063" s="45" t="n">
        <f aca="false">ROUND(MAX(0,'Model Inputs &amp; Assumptions'!$S$32*EXP('Model Inputs &amp; Assumptions'!$T$32*P2063-'Model Inputs &amp; Assumptions'!$T$32^2/2)),0)</f>
        <v>1861611</v>
      </c>
      <c r="D2063" s="46" t="n">
        <f aca="false">MIN(1,'Model Inputs &amp; Assumptions'!$U$32*EXP('Model Inputs &amp; Assumptions'!$V$32*Q2063-'Model Inputs &amp; Assumptions'!$V$32^2/2))</f>
        <v>0</v>
      </c>
      <c r="E2063" s="45" t="n">
        <f aca="false">ROUND(C2063*D2063,0)</f>
        <v>0</v>
      </c>
      <c r="F2063" s="47" t="n">
        <f aca="false">MIN(1,'Model Inputs &amp; Assumptions'!$W$32*EXP('Model Inputs &amp; Assumptions'!$X$32*R2063-'Model Inputs &amp; Assumptions'!$X$32^2/2))</f>
        <v>0.0024408381111319</v>
      </c>
      <c r="G2063" s="45" t="n">
        <f aca="false">ROUND(C2063*F2063,0)</f>
        <v>4544</v>
      </c>
      <c r="H2063" s="48" t="n">
        <f aca="false">MAX(0,(C2063*'Model Inputs &amp; Assumptions'!$N$32+E2063*'Model Inputs &amp; Assumptions'!$O$32+G2063*'Model Inputs &amp; Assumptions'!$P$32)*EXP('Model Inputs &amp; Assumptions'!$Q$32*S2063-'Model Inputs &amp; Assumptions'!$Q$32^2/2))</f>
        <v>184.244192553585</v>
      </c>
      <c r="I2063" s="49" t="n">
        <f aca="false">IF('Model Inputs &amp; Assumptions'!$H$32="Fixed",'Model Inputs &amp; Assumptions'!$I$32*'Model Inputs &amp; Assumptions'!$K$32,IF('Model Inputs &amp; Assumptions'!$H$32="CPM",'Model Inputs &amp; Assumptions'!$I$32*'Model Inputs &amp; Assumptions'!$K$32*C2063/1000,IF('Model Inputs &amp; Assumptions'!$H$32="CPC",'Model Inputs &amp; Assumptions'!$I$32*'Model Inputs &amp; Assumptions'!$K$32*G2063,0)))</f>
        <v>22339.332</v>
      </c>
      <c r="J2063" s="50" t="n">
        <f aca="false">H2063*INDEX('Model Inputs &amp; Assumptions'!$D$40:$D$42,MATCH('Model Inputs &amp; Assumptions'!$L$32,'Model Inputs &amp; Assumptions'!$A$40:$A$42,0))*INDEX('Model Inputs &amp; Assumptions'!$H$40:$H$42,MATCH('Model Inputs &amp; Assumptions'!$L$32,'Model Inputs &amp; Assumptions'!$A$40:$A$42,0))</f>
        <v>994918.639789357</v>
      </c>
      <c r="K2063" s="49" t="n">
        <f aca="false">H2063*INDEX('Model Inputs &amp; Assumptions'!$G$40:$G$42,MATCH('Model Inputs &amp; Assumptions'!$L$32,'Model Inputs &amp; Assumptions'!$A$40:$A$42,0))*INDEX('Model Inputs &amp; Assumptions'!$H$40:$H$42,MATCH('Model Inputs &amp; Assumptions'!$L$32,'Model Inputs &amp; Assumptions'!$A$40:$A$42,0))</f>
        <v>20893.2914355765</v>
      </c>
      <c r="L2063" s="51" t="n">
        <f aca="false">IFERROR(K2063/I2063,0)</f>
        <v>0.935269301498205</v>
      </c>
      <c r="M2063" s="49" t="n">
        <f aca="false">IFERROR(I2063/H2063,0)</f>
        <v>121.248500104029</v>
      </c>
      <c r="N2063" s="52" t="str">
        <f aca="false">'Model Inputs &amp; Assumptions'!$L$32</f>
        <v>PRD-SP01</v>
      </c>
      <c r="P2063" s="53" t="n">
        <v>1.613735</v>
      </c>
      <c r="Q2063" s="53" t="n">
        <v>0.261128</v>
      </c>
      <c r="R2063" s="53" t="n">
        <v>-1.051405</v>
      </c>
      <c r="S2063" s="53" t="n">
        <v>-0.232172</v>
      </c>
    </row>
    <row r="2064" customFormat="false" ht="15" hidden="false" customHeight="false" outlineLevel="0" collapsed="false">
      <c r="A2064" s="43" t="n">
        <v>61</v>
      </c>
      <c r="B2064" s="44" t="str">
        <f aca="false">'Model Inputs &amp; Assumptions'!$B$32</f>
        <v>Trade Republic — In-App Display</v>
      </c>
      <c r="C2064" s="45" t="n">
        <f aca="false">ROUND(MAX(0,'Model Inputs &amp; Assumptions'!$S$32*EXP('Model Inputs &amp; Assumptions'!$T$32*P2064-'Model Inputs &amp; Assumptions'!$T$32^2/2)),0)</f>
        <v>1166582</v>
      </c>
      <c r="D2064" s="46" t="n">
        <f aca="false">MIN(1,'Model Inputs &amp; Assumptions'!$U$32*EXP('Model Inputs &amp; Assumptions'!$V$32*Q2064-'Model Inputs &amp; Assumptions'!$V$32^2/2))</f>
        <v>0</v>
      </c>
      <c r="E2064" s="45" t="n">
        <f aca="false">ROUND(C2064*D2064,0)</f>
        <v>0</v>
      </c>
      <c r="F2064" s="47" t="n">
        <f aca="false">MIN(1,'Model Inputs &amp; Assumptions'!$W$32*EXP('Model Inputs &amp; Assumptions'!$X$32*R2064-'Model Inputs &amp; Assumptions'!$X$32^2/2))</f>
        <v>0.00211850800246009</v>
      </c>
      <c r="G2064" s="45" t="n">
        <f aca="false">ROUND(C2064*F2064,0)</f>
        <v>2471</v>
      </c>
      <c r="H2064" s="48" t="n">
        <f aca="false">MAX(0,(C2064*'Model Inputs &amp; Assumptions'!$N$32+E2064*'Model Inputs &amp; Assumptions'!$O$32+G2064*'Model Inputs &amp; Assumptions'!$P$32)*EXP('Model Inputs &amp; Assumptions'!$Q$32*S2064-'Model Inputs &amp; Assumptions'!$Q$32^2/2))</f>
        <v>101.843847845305</v>
      </c>
      <c r="I2064" s="49" t="n">
        <f aca="false">IF('Model Inputs &amp; Assumptions'!$H$32="Fixed",'Model Inputs &amp; Assumptions'!$I$32*'Model Inputs &amp; Assumptions'!$K$32,IF('Model Inputs &amp; Assumptions'!$H$32="CPM",'Model Inputs &amp; Assumptions'!$I$32*'Model Inputs &amp; Assumptions'!$K$32*C2064/1000,IF('Model Inputs &amp; Assumptions'!$H$32="CPC",'Model Inputs &amp; Assumptions'!$I$32*'Model Inputs &amp; Assumptions'!$K$32*G2064,0)))</f>
        <v>13998.984</v>
      </c>
      <c r="J2064" s="50" t="n">
        <f aca="false">H2064*INDEX('Model Inputs &amp; Assumptions'!$D$40:$D$42,MATCH('Model Inputs &amp; Assumptions'!$L$32,'Model Inputs &amp; Assumptions'!$A$40:$A$42,0))*INDEX('Model Inputs &amp; Assumptions'!$H$40:$H$42,MATCH('Model Inputs &amp; Assumptions'!$L$32,'Model Inputs &amp; Assumptions'!$A$40:$A$42,0))</f>
        <v>549956.778364648</v>
      </c>
      <c r="K2064" s="49" t="n">
        <f aca="false">H2064*INDEX('Model Inputs &amp; Assumptions'!$G$40:$G$42,MATCH('Model Inputs &amp; Assumptions'!$L$32,'Model Inputs &amp; Assumptions'!$A$40:$A$42,0))*INDEX('Model Inputs &amp; Assumptions'!$H$40:$H$42,MATCH('Model Inputs &amp; Assumptions'!$L$32,'Model Inputs &amp; Assumptions'!$A$40:$A$42,0))</f>
        <v>11549.0923456576</v>
      </c>
      <c r="L2064" s="51" t="n">
        <f aca="false">IFERROR(K2064/I2064,0)</f>
        <v>0.824995038615489</v>
      </c>
      <c r="M2064" s="49" t="n">
        <f aca="false">IFERROR(I2064/H2064,0)</f>
        <v>137.455372083581</v>
      </c>
      <c r="N2064" s="52" t="str">
        <f aca="false">'Model Inputs &amp; Assumptions'!$L$32</f>
        <v>PRD-SP01</v>
      </c>
      <c r="P2064" s="53" t="n">
        <v>0.055855</v>
      </c>
      <c r="Q2064" s="53" t="n">
        <v>-0.052148</v>
      </c>
      <c r="R2064" s="53" t="n">
        <v>-1.523503</v>
      </c>
      <c r="S2064" s="53" t="n">
        <v>-0.173731</v>
      </c>
    </row>
    <row r="2065" customFormat="false" ht="15" hidden="false" customHeight="false" outlineLevel="0" collapsed="false">
      <c r="A2065" s="43" t="n">
        <v>62</v>
      </c>
      <c r="B2065" s="44" t="str">
        <f aca="false">'Model Inputs &amp; Assumptions'!$B$32</f>
        <v>Trade Republic — In-App Display</v>
      </c>
      <c r="C2065" s="45" t="n">
        <f aca="false">ROUND(MAX(0,'Model Inputs &amp; Assumptions'!$S$32*EXP('Model Inputs &amp; Assumptions'!$T$32*P2065-'Model Inputs &amp; Assumptions'!$T$32^2/2)),0)</f>
        <v>1445460</v>
      </c>
      <c r="D2065" s="46" t="n">
        <f aca="false">MIN(1,'Model Inputs &amp; Assumptions'!$U$32*EXP('Model Inputs &amp; Assumptions'!$V$32*Q2065-'Model Inputs &amp; Assumptions'!$V$32^2/2))</f>
        <v>0</v>
      </c>
      <c r="E2065" s="45" t="n">
        <f aca="false">ROUND(C2065*D2065,0)</f>
        <v>0</v>
      </c>
      <c r="F2065" s="47" t="n">
        <f aca="false">MIN(1,'Model Inputs &amp; Assumptions'!$W$32*EXP('Model Inputs &amp; Assumptions'!$X$32*R2065-'Model Inputs &amp; Assumptions'!$X$32^2/2))</f>
        <v>0.00557929245679197</v>
      </c>
      <c r="G2065" s="45" t="n">
        <f aca="false">ROUND(C2065*F2065,0)</f>
        <v>8065</v>
      </c>
      <c r="H2065" s="48" t="n">
        <f aca="false">MAX(0,(C2065*'Model Inputs &amp; Assumptions'!$N$32+E2065*'Model Inputs &amp; Assumptions'!$O$32+G2065*'Model Inputs &amp; Assumptions'!$P$32)*EXP('Model Inputs &amp; Assumptions'!$Q$32*S2065-'Model Inputs &amp; Assumptions'!$Q$32^2/2))</f>
        <v>408.311695113358</v>
      </c>
      <c r="I2065" s="49" t="n">
        <f aca="false">IF('Model Inputs &amp; Assumptions'!$H$32="Fixed",'Model Inputs &amp; Assumptions'!$I$32*'Model Inputs &amp; Assumptions'!$K$32,IF('Model Inputs &amp; Assumptions'!$H$32="CPM",'Model Inputs &amp; Assumptions'!$I$32*'Model Inputs &amp; Assumptions'!$K$32*C2065/1000,IF('Model Inputs &amp; Assumptions'!$H$32="CPC",'Model Inputs &amp; Assumptions'!$I$32*'Model Inputs &amp; Assumptions'!$K$32*G2065,0)))</f>
        <v>17345.52</v>
      </c>
      <c r="J2065" s="50" t="n">
        <f aca="false">H2065*INDEX('Model Inputs &amp; Assumptions'!$D$40:$D$42,MATCH('Model Inputs &amp; Assumptions'!$L$32,'Model Inputs &amp; Assumptions'!$A$40:$A$42,0))*INDEX('Model Inputs &amp; Assumptions'!$H$40:$H$42,MATCH('Model Inputs &amp; Assumptions'!$L$32,'Model Inputs &amp; Assumptions'!$A$40:$A$42,0))</f>
        <v>2204883.15361213</v>
      </c>
      <c r="K2065" s="49" t="n">
        <f aca="false">H2065*INDEX('Model Inputs &amp; Assumptions'!$G$40:$G$42,MATCH('Model Inputs &amp; Assumptions'!$L$32,'Model Inputs &amp; Assumptions'!$A$40:$A$42,0))*INDEX('Model Inputs &amp; Assumptions'!$H$40:$H$42,MATCH('Model Inputs &amp; Assumptions'!$L$32,'Model Inputs &amp; Assumptions'!$A$40:$A$42,0))</f>
        <v>46302.5462258548</v>
      </c>
      <c r="L2065" s="51" t="n">
        <f aca="false">IFERROR(K2065/I2065,0)</f>
        <v>2.66942393343381</v>
      </c>
      <c r="M2065" s="49" t="n">
        <f aca="false">IFERROR(I2065/H2065,0)</f>
        <v>42.4810756282267</v>
      </c>
      <c r="N2065" s="52" t="str">
        <f aca="false">'Model Inputs &amp; Assumptions'!$L$32</f>
        <v>PRD-SP01</v>
      </c>
      <c r="P2065" s="53" t="n">
        <v>0.770353</v>
      </c>
      <c r="Q2065" s="53" t="n">
        <v>0.032338</v>
      </c>
      <c r="R2065" s="53" t="n">
        <v>1.70433</v>
      </c>
      <c r="S2065" s="53" t="n">
        <v>0.560838</v>
      </c>
    </row>
    <row r="2066" customFormat="false" ht="15" hidden="false" customHeight="false" outlineLevel="0" collapsed="false">
      <c r="A2066" s="43" t="n">
        <v>63</v>
      </c>
      <c r="B2066" s="44" t="str">
        <f aca="false">'Model Inputs &amp; Assumptions'!$B$32</f>
        <v>Trade Republic — In-App Display</v>
      </c>
      <c r="C2066" s="45" t="n">
        <f aca="false">ROUND(MAX(0,'Model Inputs &amp; Assumptions'!$S$32*EXP('Model Inputs &amp; Assumptions'!$T$32*P2066-'Model Inputs &amp; Assumptions'!$T$32^2/2)),0)</f>
        <v>848349</v>
      </c>
      <c r="D2066" s="46" t="n">
        <f aca="false">MIN(1,'Model Inputs &amp; Assumptions'!$U$32*EXP('Model Inputs &amp; Assumptions'!$V$32*Q2066-'Model Inputs &amp; Assumptions'!$V$32^2/2))</f>
        <v>0</v>
      </c>
      <c r="E2066" s="45" t="n">
        <f aca="false">ROUND(C2066*D2066,0)</f>
        <v>0</v>
      </c>
      <c r="F2066" s="47" t="n">
        <f aca="false">MIN(1,'Model Inputs &amp; Assumptions'!$W$32*EXP('Model Inputs &amp; Assumptions'!$X$32*R2066-'Model Inputs &amp; Assumptions'!$X$32^2/2))</f>
        <v>0.0016660565195934</v>
      </c>
      <c r="G2066" s="45" t="n">
        <f aca="false">ROUND(C2066*F2066,0)</f>
        <v>1413</v>
      </c>
      <c r="H2066" s="48" t="n">
        <f aca="false">MAX(0,(C2066*'Model Inputs &amp; Assumptions'!$N$32+E2066*'Model Inputs &amp; Assumptions'!$O$32+G2066*'Model Inputs &amp; Assumptions'!$P$32)*EXP('Model Inputs &amp; Assumptions'!$Q$32*S2066-'Model Inputs &amp; Assumptions'!$Q$32^2/2))</f>
        <v>48.0826340506063</v>
      </c>
      <c r="I2066" s="49" t="n">
        <f aca="false">IF('Model Inputs &amp; Assumptions'!$H$32="Fixed",'Model Inputs &amp; Assumptions'!$I$32*'Model Inputs &amp; Assumptions'!$K$32,IF('Model Inputs &amp; Assumptions'!$H$32="CPM",'Model Inputs &amp; Assumptions'!$I$32*'Model Inputs &amp; Assumptions'!$K$32*C2066/1000,IF('Model Inputs &amp; Assumptions'!$H$32="CPC",'Model Inputs &amp; Assumptions'!$I$32*'Model Inputs &amp; Assumptions'!$K$32*G2066,0)))</f>
        <v>10180.188</v>
      </c>
      <c r="J2066" s="50" t="n">
        <f aca="false">H2066*INDEX('Model Inputs &amp; Assumptions'!$D$40:$D$42,MATCH('Model Inputs &amp; Assumptions'!$L$32,'Model Inputs &amp; Assumptions'!$A$40:$A$42,0))*INDEX('Model Inputs &amp; Assumptions'!$H$40:$H$42,MATCH('Model Inputs &amp; Assumptions'!$L$32,'Model Inputs &amp; Assumptions'!$A$40:$A$42,0))</f>
        <v>259646.223873274</v>
      </c>
      <c r="K2066" s="49" t="n">
        <f aca="false">H2066*INDEX('Model Inputs &amp; Assumptions'!$G$40:$G$42,MATCH('Model Inputs &amp; Assumptions'!$L$32,'Model Inputs &amp; Assumptions'!$A$40:$A$42,0))*INDEX('Model Inputs &amp; Assumptions'!$H$40:$H$42,MATCH('Model Inputs &amp; Assumptions'!$L$32,'Model Inputs &amp; Assumptions'!$A$40:$A$42,0))</f>
        <v>5452.57070133876</v>
      </c>
      <c r="L2066" s="51" t="n">
        <f aca="false">IFERROR(K2066/I2066,0)</f>
        <v>0.535606091099571</v>
      </c>
      <c r="M2066" s="49" t="n">
        <f aca="false">IFERROR(I2066/H2066,0)</f>
        <v>211.722760223275</v>
      </c>
      <c r="N2066" s="52" t="str">
        <f aca="false">'Model Inputs &amp; Assumptions'!$L$32</f>
        <v>PRD-SP01</v>
      </c>
      <c r="P2066" s="53" t="n">
        <v>-1.005951</v>
      </c>
      <c r="Q2066" s="53" t="n">
        <v>-0.932883</v>
      </c>
      <c r="R2066" s="53" t="n">
        <v>-2.324345</v>
      </c>
      <c r="S2066" s="53" t="n">
        <v>-0.858059</v>
      </c>
    </row>
    <row r="2067" customFormat="false" ht="15" hidden="false" customHeight="false" outlineLevel="0" collapsed="false">
      <c r="A2067" s="43" t="n">
        <v>64</v>
      </c>
      <c r="B2067" s="44" t="str">
        <f aca="false">'Model Inputs &amp; Assumptions'!$B$32</f>
        <v>Trade Republic — In-App Display</v>
      </c>
      <c r="C2067" s="45" t="n">
        <f aca="false">ROUND(MAX(0,'Model Inputs &amp; Assumptions'!$S$32*EXP('Model Inputs &amp; Assumptions'!$T$32*P2067-'Model Inputs &amp; Assumptions'!$T$32^2/2)),0)</f>
        <v>1323181</v>
      </c>
      <c r="D2067" s="46" t="n">
        <f aca="false">MIN(1,'Model Inputs &amp; Assumptions'!$U$32*EXP('Model Inputs &amp; Assumptions'!$V$32*Q2067-'Model Inputs &amp; Assumptions'!$V$32^2/2))</f>
        <v>0</v>
      </c>
      <c r="E2067" s="45" t="n">
        <f aca="false">ROUND(C2067*D2067,0)</f>
        <v>0</v>
      </c>
      <c r="F2067" s="47" t="n">
        <f aca="false">MIN(1,'Model Inputs &amp; Assumptions'!$W$32*EXP('Model Inputs &amp; Assumptions'!$X$32*R2067-'Model Inputs &amp; Assumptions'!$X$32^2/2))</f>
        <v>0.00251952116226846</v>
      </c>
      <c r="G2067" s="45" t="n">
        <f aca="false">ROUND(C2067*F2067,0)</f>
        <v>3334</v>
      </c>
      <c r="H2067" s="48" t="n">
        <f aca="false">MAX(0,(C2067*'Model Inputs &amp; Assumptions'!$N$32+E2067*'Model Inputs &amp; Assumptions'!$O$32+G2067*'Model Inputs &amp; Assumptions'!$P$32)*EXP('Model Inputs &amp; Assumptions'!$Q$32*S2067-'Model Inputs &amp; Assumptions'!$Q$32^2/2))</f>
        <v>135.528977575159</v>
      </c>
      <c r="I2067" s="49" t="n">
        <f aca="false">IF('Model Inputs &amp; Assumptions'!$H$32="Fixed",'Model Inputs &amp; Assumptions'!$I$32*'Model Inputs &amp; Assumptions'!$K$32,IF('Model Inputs &amp; Assumptions'!$H$32="CPM",'Model Inputs &amp; Assumptions'!$I$32*'Model Inputs &amp; Assumptions'!$K$32*C2067/1000,IF('Model Inputs &amp; Assumptions'!$H$32="CPC",'Model Inputs &amp; Assumptions'!$I$32*'Model Inputs &amp; Assumptions'!$K$32*G2067,0)))</f>
        <v>15878.172</v>
      </c>
      <c r="J2067" s="50" t="n">
        <f aca="false">H2067*INDEX('Model Inputs &amp; Assumptions'!$D$40:$D$42,MATCH('Model Inputs &amp; Assumptions'!$L$32,'Model Inputs &amp; Assumptions'!$A$40:$A$42,0))*INDEX('Model Inputs &amp; Assumptions'!$H$40:$H$42,MATCH('Model Inputs &amp; Assumptions'!$L$32,'Model Inputs &amp; Assumptions'!$A$40:$A$42,0))</f>
        <v>731856.478905858</v>
      </c>
      <c r="K2067" s="49" t="n">
        <f aca="false">H2067*INDEX('Model Inputs &amp; Assumptions'!$G$40:$G$42,MATCH('Model Inputs &amp; Assumptions'!$L$32,'Model Inputs &amp; Assumptions'!$A$40:$A$42,0))*INDEX('Model Inputs &amp; Assumptions'!$H$40:$H$42,MATCH('Model Inputs &amp; Assumptions'!$L$32,'Model Inputs &amp; Assumptions'!$A$40:$A$42,0))</f>
        <v>15368.986057023</v>
      </c>
      <c r="L2067" s="51" t="n">
        <f aca="false">IFERROR(K2067/I2067,0)</f>
        <v>0.967931702529927</v>
      </c>
      <c r="M2067" s="49" t="n">
        <f aca="false">IFERROR(I2067/H2067,0)</f>
        <v>117.15702637242</v>
      </c>
      <c r="N2067" s="52" t="str">
        <f aca="false">'Model Inputs &amp; Assumptions'!$L$32</f>
        <v>PRD-SP01</v>
      </c>
      <c r="P2067" s="53" t="n">
        <v>0.475724</v>
      </c>
      <c r="Q2067" s="53" t="n">
        <v>1.795472</v>
      </c>
      <c r="R2067" s="53" t="n">
        <v>-0.945647</v>
      </c>
      <c r="S2067" s="53" t="n">
        <v>-0.223035</v>
      </c>
    </row>
    <row r="2068" customFormat="false" ht="15" hidden="false" customHeight="false" outlineLevel="0" collapsed="false">
      <c r="A2068" s="43" t="n">
        <v>65</v>
      </c>
      <c r="B2068" s="44" t="str">
        <f aca="false">'Model Inputs &amp; Assumptions'!$B$32</f>
        <v>Trade Republic — In-App Display</v>
      </c>
      <c r="C2068" s="45" t="n">
        <f aca="false">ROUND(MAX(0,'Model Inputs &amp; Assumptions'!$S$32*EXP('Model Inputs &amp; Assumptions'!$T$32*P2068-'Model Inputs &amp; Assumptions'!$T$32^2/2)),0)</f>
        <v>1941555</v>
      </c>
      <c r="D2068" s="46" t="n">
        <f aca="false">MIN(1,'Model Inputs &amp; Assumptions'!$U$32*EXP('Model Inputs &amp; Assumptions'!$V$32*Q2068-'Model Inputs &amp; Assumptions'!$V$32^2/2))</f>
        <v>0</v>
      </c>
      <c r="E2068" s="45" t="n">
        <f aca="false">ROUND(C2068*D2068,0)</f>
        <v>0</v>
      </c>
      <c r="F2068" s="47" t="n">
        <f aca="false">MIN(1,'Model Inputs &amp; Assumptions'!$W$32*EXP('Model Inputs &amp; Assumptions'!$X$32*R2068-'Model Inputs &amp; Assumptions'!$X$32^2/2))</f>
        <v>0.0023955268085602</v>
      </c>
      <c r="G2068" s="45" t="n">
        <f aca="false">ROUND(C2068*F2068,0)</f>
        <v>4651</v>
      </c>
      <c r="H2068" s="48" t="n">
        <f aca="false">MAX(0,(C2068*'Model Inputs &amp; Assumptions'!$N$32+E2068*'Model Inputs &amp; Assumptions'!$O$32+G2068*'Model Inputs &amp; Assumptions'!$P$32)*EXP('Model Inputs &amp; Assumptions'!$Q$32*S2068-'Model Inputs &amp; Assumptions'!$Q$32^2/2))</f>
        <v>168.117984232331</v>
      </c>
      <c r="I2068" s="49" t="n">
        <f aca="false">IF('Model Inputs &amp; Assumptions'!$H$32="Fixed",'Model Inputs &amp; Assumptions'!$I$32*'Model Inputs &amp; Assumptions'!$K$32,IF('Model Inputs &amp; Assumptions'!$H$32="CPM",'Model Inputs &amp; Assumptions'!$I$32*'Model Inputs &amp; Assumptions'!$K$32*C2068/1000,IF('Model Inputs &amp; Assumptions'!$H$32="CPC",'Model Inputs &amp; Assumptions'!$I$32*'Model Inputs &amp; Assumptions'!$K$32*G2068,0)))</f>
        <v>23298.66</v>
      </c>
      <c r="J2068" s="50" t="n">
        <f aca="false">H2068*INDEX('Model Inputs &amp; Assumptions'!$D$40:$D$42,MATCH('Model Inputs &amp; Assumptions'!$L$32,'Model Inputs &amp; Assumptions'!$A$40:$A$42,0))*INDEX('Model Inputs &amp; Assumptions'!$H$40:$H$42,MATCH('Model Inputs &amp; Assumptions'!$L$32,'Model Inputs &amp; Assumptions'!$A$40:$A$42,0))</f>
        <v>907837.114854586</v>
      </c>
      <c r="K2068" s="49" t="n">
        <f aca="false">H2068*INDEX('Model Inputs &amp; Assumptions'!$G$40:$G$42,MATCH('Model Inputs &amp; Assumptions'!$L$32,'Model Inputs &amp; Assumptions'!$A$40:$A$42,0))*INDEX('Model Inputs &amp; Assumptions'!$H$40:$H$42,MATCH('Model Inputs &amp; Assumptions'!$L$32,'Model Inputs &amp; Assumptions'!$A$40:$A$42,0))</f>
        <v>19064.5794119463</v>
      </c>
      <c r="L2068" s="51" t="n">
        <f aca="false">IFERROR(K2068/I2068,0)</f>
        <v>0.818269351625643</v>
      </c>
      <c r="M2068" s="49" t="n">
        <f aca="false">IFERROR(I2068/H2068,0)</f>
        <v>138.585173420842</v>
      </c>
      <c r="N2068" s="52" t="str">
        <f aca="false">'Model Inputs &amp; Assumptions'!$L$32</f>
        <v>PRD-SP01</v>
      </c>
      <c r="P2068" s="53" t="n">
        <v>1.753892</v>
      </c>
      <c r="Q2068" s="53" t="n">
        <v>0.01129</v>
      </c>
      <c r="R2068" s="53" t="n">
        <v>-1.113866</v>
      </c>
      <c r="S2068" s="53" t="n">
        <v>-0.642424</v>
      </c>
    </row>
    <row r="2069" customFormat="false" ht="15" hidden="false" customHeight="false" outlineLevel="0" collapsed="false">
      <c r="A2069" s="43" t="n">
        <v>66</v>
      </c>
      <c r="B2069" s="44" t="str">
        <f aca="false">'Model Inputs &amp; Assumptions'!$B$32</f>
        <v>Trade Republic — In-App Display</v>
      </c>
      <c r="C2069" s="45" t="n">
        <f aca="false">ROUND(MAX(0,'Model Inputs &amp; Assumptions'!$S$32*EXP('Model Inputs &amp; Assumptions'!$T$32*P2069-'Model Inputs &amp; Assumptions'!$T$32^2/2)),0)</f>
        <v>1215440</v>
      </c>
      <c r="D2069" s="46" t="n">
        <f aca="false">MIN(1,'Model Inputs &amp; Assumptions'!$U$32*EXP('Model Inputs &amp; Assumptions'!$V$32*Q2069-'Model Inputs &amp; Assumptions'!$V$32^2/2))</f>
        <v>0</v>
      </c>
      <c r="E2069" s="45" t="n">
        <f aca="false">ROUND(C2069*D2069,0)</f>
        <v>0</v>
      </c>
      <c r="F2069" s="47" t="n">
        <f aca="false">MIN(1,'Model Inputs &amp; Assumptions'!$W$32*EXP('Model Inputs &amp; Assumptions'!$X$32*R2069-'Model Inputs &amp; Assumptions'!$X$32^2/2))</f>
        <v>0.00288354710069063</v>
      </c>
      <c r="G2069" s="45" t="n">
        <f aca="false">ROUND(C2069*F2069,0)</f>
        <v>3505</v>
      </c>
      <c r="H2069" s="48" t="n">
        <f aca="false">MAX(0,(C2069*'Model Inputs &amp; Assumptions'!$N$32+E2069*'Model Inputs &amp; Assumptions'!$O$32+G2069*'Model Inputs &amp; Assumptions'!$P$32)*EXP('Model Inputs &amp; Assumptions'!$Q$32*S2069-'Model Inputs &amp; Assumptions'!$Q$32^2/2))</f>
        <v>143.172713796553</v>
      </c>
      <c r="I2069" s="49" t="n">
        <f aca="false">IF('Model Inputs &amp; Assumptions'!$H$32="Fixed",'Model Inputs &amp; Assumptions'!$I$32*'Model Inputs &amp; Assumptions'!$K$32,IF('Model Inputs &amp; Assumptions'!$H$32="CPM",'Model Inputs &amp; Assumptions'!$I$32*'Model Inputs &amp; Assumptions'!$K$32*C2069/1000,IF('Model Inputs &amp; Assumptions'!$H$32="CPC",'Model Inputs &amp; Assumptions'!$I$32*'Model Inputs &amp; Assumptions'!$K$32*G2069,0)))</f>
        <v>14585.28</v>
      </c>
      <c r="J2069" s="50" t="n">
        <f aca="false">H2069*INDEX('Model Inputs &amp; Assumptions'!$D$40:$D$42,MATCH('Model Inputs &amp; Assumptions'!$L$32,'Model Inputs &amp; Assumptions'!$A$40:$A$42,0))*INDEX('Model Inputs &amp; Assumptions'!$H$40:$H$42,MATCH('Model Inputs &amp; Assumptions'!$L$32,'Model Inputs &amp; Assumptions'!$A$40:$A$42,0))</f>
        <v>773132.654501388</v>
      </c>
      <c r="K2069" s="49" t="n">
        <f aca="false">H2069*INDEX('Model Inputs &amp; Assumptions'!$G$40:$G$42,MATCH('Model Inputs &amp; Assumptions'!$L$32,'Model Inputs &amp; Assumptions'!$A$40:$A$42,0))*INDEX('Model Inputs &amp; Assumptions'!$H$40:$H$42,MATCH('Model Inputs &amp; Assumptions'!$L$32,'Model Inputs &amp; Assumptions'!$A$40:$A$42,0))</f>
        <v>16235.7857445291</v>
      </c>
      <c r="L2069" s="51" t="n">
        <f aca="false">IFERROR(K2069/I2069,0)</f>
        <v>1.11316243119975</v>
      </c>
      <c r="M2069" s="49" t="n">
        <f aca="false">IFERROR(I2069/H2069,0)</f>
        <v>101.87192526591</v>
      </c>
      <c r="N2069" s="52" t="str">
        <f aca="false">'Model Inputs &amp; Assumptions'!$L$32</f>
        <v>PRD-SP01</v>
      </c>
      <c r="P2069" s="53" t="n">
        <v>0.192615</v>
      </c>
      <c r="Q2069" s="53" t="n">
        <v>0.281887</v>
      </c>
      <c r="R2069" s="53" t="n">
        <v>-0.495806</v>
      </c>
      <c r="S2069" s="53" t="n">
        <v>-0.205719</v>
      </c>
    </row>
    <row r="2070" customFormat="false" ht="15" hidden="false" customHeight="false" outlineLevel="0" collapsed="false">
      <c r="A2070" s="43" t="n">
        <v>67</v>
      </c>
      <c r="B2070" s="44" t="str">
        <f aca="false">'Model Inputs &amp; Assumptions'!$B$32</f>
        <v>Trade Republic — In-App Display</v>
      </c>
      <c r="C2070" s="45" t="n">
        <f aca="false">ROUND(MAX(0,'Model Inputs &amp; Assumptions'!$S$32*EXP('Model Inputs &amp; Assumptions'!$T$32*P2070-'Model Inputs &amp; Assumptions'!$T$32^2/2)),0)</f>
        <v>1397538</v>
      </c>
      <c r="D2070" s="46" t="n">
        <f aca="false">MIN(1,'Model Inputs &amp; Assumptions'!$U$32*EXP('Model Inputs &amp; Assumptions'!$V$32*Q2070-'Model Inputs &amp; Assumptions'!$V$32^2/2))</f>
        <v>0</v>
      </c>
      <c r="E2070" s="45" t="n">
        <f aca="false">ROUND(C2070*D2070,0)</f>
        <v>0</v>
      </c>
      <c r="F2070" s="47" t="n">
        <f aca="false">MIN(1,'Model Inputs &amp; Assumptions'!$W$32*EXP('Model Inputs &amp; Assumptions'!$X$32*R2070-'Model Inputs &amp; Assumptions'!$X$32^2/2))</f>
        <v>0.00282063537116452</v>
      </c>
      <c r="G2070" s="45" t="n">
        <f aca="false">ROUND(C2070*F2070,0)</f>
        <v>3942</v>
      </c>
      <c r="H2070" s="48" t="n">
        <f aca="false">MAX(0,(C2070*'Model Inputs &amp; Assumptions'!$N$32+E2070*'Model Inputs &amp; Assumptions'!$O$32+G2070*'Model Inputs &amp; Assumptions'!$P$32)*EXP('Model Inputs &amp; Assumptions'!$Q$32*S2070-'Model Inputs &amp; Assumptions'!$Q$32^2/2))</f>
        <v>242.832206961712</v>
      </c>
      <c r="I2070" s="49" t="n">
        <f aca="false">IF('Model Inputs &amp; Assumptions'!$H$32="Fixed",'Model Inputs &amp; Assumptions'!$I$32*'Model Inputs &amp; Assumptions'!$K$32,IF('Model Inputs &amp; Assumptions'!$H$32="CPM",'Model Inputs &amp; Assumptions'!$I$32*'Model Inputs &amp; Assumptions'!$K$32*C2070/1000,IF('Model Inputs &amp; Assumptions'!$H$32="CPC",'Model Inputs &amp; Assumptions'!$I$32*'Model Inputs &amp; Assumptions'!$K$32*G2070,0)))</f>
        <v>16770.456</v>
      </c>
      <c r="J2070" s="50" t="n">
        <f aca="false">H2070*INDEX('Model Inputs &amp; Assumptions'!$D$40:$D$42,MATCH('Model Inputs &amp; Assumptions'!$L$32,'Model Inputs &amp; Assumptions'!$A$40:$A$42,0))*INDEX('Model Inputs &amp; Assumptions'!$H$40:$H$42,MATCH('Model Inputs &amp; Assumptions'!$L$32,'Model Inputs &amp; Assumptions'!$A$40:$A$42,0))</f>
        <v>1311293.91759325</v>
      </c>
      <c r="K2070" s="49" t="n">
        <f aca="false">H2070*INDEX('Model Inputs &amp; Assumptions'!$G$40:$G$42,MATCH('Model Inputs &amp; Assumptions'!$L$32,'Model Inputs &amp; Assumptions'!$A$40:$A$42,0))*INDEX('Model Inputs &amp; Assumptions'!$H$40:$H$42,MATCH('Model Inputs &amp; Assumptions'!$L$32,'Model Inputs &amp; Assumptions'!$A$40:$A$42,0))</f>
        <v>27537.1722694581</v>
      </c>
      <c r="L2070" s="51" t="n">
        <f aca="false">IFERROR(K2070/I2070,0)</f>
        <v>1.64200498003502</v>
      </c>
      <c r="M2070" s="49" t="n">
        <f aca="false">IFERROR(I2070/H2070,0)</f>
        <v>69.0619099082036</v>
      </c>
      <c r="N2070" s="52" t="str">
        <f aca="false">'Model Inputs &amp; Assumptions'!$L$32</f>
        <v>PRD-SP01</v>
      </c>
      <c r="P2070" s="53" t="n">
        <v>0.657968</v>
      </c>
      <c r="Q2070" s="53" t="n">
        <v>2.355502</v>
      </c>
      <c r="R2070" s="53" t="n">
        <v>-0.569336</v>
      </c>
      <c r="S2070" s="53" t="n">
        <v>1.2615</v>
      </c>
    </row>
    <row r="2071" customFormat="false" ht="15" hidden="false" customHeight="false" outlineLevel="0" collapsed="false">
      <c r="A2071" s="43" t="n">
        <v>68</v>
      </c>
      <c r="B2071" s="44" t="str">
        <f aca="false">'Model Inputs &amp; Assumptions'!$B$32</f>
        <v>Trade Republic — In-App Display</v>
      </c>
      <c r="C2071" s="45" t="n">
        <f aca="false">ROUND(MAX(0,'Model Inputs &amp; Assumptions'!$S$32*EXP('Model Inputs &amp; Assumptions'!$T$32*P2071-'Model Inputs &amp; Assumptions'!$T$32^2/2)),0)</f>
        <v>1179389</v>
      </c>
      <c r="D2071" s="46" t="n">
        <f aca="false">MIN(1,'Model Inputs &amp; Assumptions'!$U$32*EXP('Model Inputs &amp; Assumptions'!$V$32*Q2071-'Model Inputs &amp; Assumptions'!$V$32^2/2))</f>
        <v>0</v>
      </c>
      <c r="E2071" s="45" t="n">
        <f aca="false">ROUND(C2071*D2071,0)</f>
        <v>0</v>
      </c>
      <c r="F2071" s="47" t="n">
        <f aca="false">MIN(1,'Model Inputs &amp; Assumptions'!$W$32*EXP('Model Inputs &amp; Assumptions'!$X$32*R2071-'Model Inputs &amp; Assumptions'!$X$32^2/2))</f>
        <v>0.00235957818642135</v>
      </c>
      <c r="G2071" s="45" t="n">
        <f aca="false">ROUND(C2071*F2071,0)</f>
        <v>2783</v>
      </c>
      <c r="H2071" s="48" t="n">
        <f aca="false">MAX(0,(C2071*'Model Inputs &amp; Assumptions'!$N$32+E2071*'Model Inputs &amp; Assumptions'!$O$32+G2071*'Model Inputs &amp; Assumptions'!$P$32)*EXP('Model Inputs &amp; Assumptions'!$Q$32*S2071-'Model Inputs &amp; Assumptions'!$Q$32^2/2))</f>
        <v>101.839321550792</v>
      </c>
      <c r="I2071" s="49" t="n">
        <f aca="false">IF('Model Inputs &amp; Assumptions'!$H$32="Fixed",'Model Inputs &amp; Assumptions'!$I$32*'Model Inputs &amp; Assumptions'!$K$32,IF('Model Inputs &amp; Assumptions'!$H$32="CPM",'Model Inputs &amp; Assumptions'!$I$32*'Model Inputs &amp; Assumptions'!$K$32*C2071/1000,IF('Model Inputs &amp; Assumptions'!$H$32="CPC",'Model Inputs &amp; Assumptions'!$I$32*'Model Inputs &amp; Assumptions'!$K$32*G2071,0)))</f>
        <v>14152.668</v>
      </c>
      <c r="J2071" s="50" t="n">
        <f aca="false">H2071*INDEX('Model Inputs &amp; Assumptions'!$D$40:$D$42,MATCH('Model Inputs &amp; Assumptions'!$L$32,'Model Inputs &amp; Assumptions'!$A$40:$A$42,0))*INDEX('Model Inputs &amp; Assumptions'!$H$40:$H$42,MATCH('Model Inputs &amp; Assumptions'!$L$32,'Model Inputs &amp; Assumptions'!$A$40:$A$42,0))</f>
        <v>549932.336374275</v>
      </c>
      <c r="K2071" s="49" t="n">
        <f aca="false">H2071*INDEX('Model Inputs &amp; Assumptions'!$G$40:$G$42,MATCH('Model Inputs &amp; Assumptions'!$L$32,'Model Inputs &amp; Assumptions'!$A$40:$A$42,0))*INDEX('Model Inputs &amp; Assumptions'!$H$40:$H$42,MATCH('Model Inputs &amp; Assumptions'!$L$32,'Model Inputs &amp; Assumptions'!$A$40:$A$42,0))</f>
        <v>11548.5790638598</v>
      </c>
      <c r="L2071" s="51" t="n">
        <f aca="false">IFERROR(K2071/I2071,0)</f>
        <v>0.816000139610409</v>
      </c>
      <c r="M2071" s="49" t="n">
        <f aca="false">IFERROR(I2071/H2071,0)</f>
        <v>138.970564458655</v>
      </c>
      <c r="N2071" s="52" t="str">
        <f aca="false">'Model Inputs &amp; Assumptions'!$L$32</f>
        <v>PRD-SP01</v>
      </c>
      <c r="P2071" s="53" t="n">
        <v>0.09225</v>
      </c>
      <c r="Q2071" s="53" t="n">
        <v>1.543527</v>
      </c>
      <c r="R2071" s="53" t="n">
        <v>-1.164267</v>
      </c>
      <c r="S2071" s="53" t="n">
        <v>-0.598556</v>
      </c>
    </row>
    <row r="2072" customFormat="false" ht="15" hidden="false" customHeight="false" outlineLevel="0" collapsed="false">
      <c r="A2072" s="43" t="n">
        <v>69</v>
      </c>
      <c r="B2072" s="44" t="str">
        <f aca="false">'Model Inputs &amp; Assumptions'!$B$32</f>
        <v>Trade Republic — In-App Display</v>
      </c>
      <c r="C2072" s="45" t="n">
        <f aca="false">ROUND(MAX(0,'Model Inputs &amp; Assumptions'!$S$32*EXP('Model Inputs &amp; Assumptions'!$T$32*P2072-'Model Inputs &amp; Assumptions'!$T$32^2/2)),0)</f>
        <v>1504092</v>
      </c>
      <c r="D2072" s="46" t="n">
        <f aca="false">MIN(1,'Model Inputs &amp; Assumptions'!$U$32*EXP('Model Inputs &amp; Assumptions'!$V$32*Q2072-'Model Inputs &amp; Assumptions'!$V$32^2/2))</f>
        <v>0</v>
      </c>
      <c r="E2072" s="45" t="n">
        <f aca="false">ROUND(C2072*D2072,0)</f>
        <v>0</v>
      </c>
      <c r="F2072" s="47" t="n">
        <f aca="false">MIN(1,'Model Inputs &amp; Assumptions'!$W$32*EXP('Model Inputs &amp; Assumptions'!$X$32*R2072-'Model Inputs &amp; Assumptions'!$X$32^2/2))</f>
        <v>0.00382546017983407</v>
      </c>
      <c r="G2072" s="45" t="n">
        <f aca="false">ROUND(C2072*F2072,0)</f>
        <v>5754</v>
      </c>
      <c r="H2072" s="48" t="n">
        <f aca="false">MAX(0,(C2072*'Model Inputs &amp; Assumptions'!$N$32+E2072*'Model Inputs &amp; Assumptions'!$O$32+G2072*'Model Inputs &amp; Assumptions'!$P$32)*EXP('Model Inputs &amp; Assumptions'!$Q$32*S2072-'Model Inputs &amp; Assumptions'!$Q$32^2/2))</f>
        <v>231.697591134516</v>
      </c>
      <c r="I2072" s="49" t="n">
        <f aca="false">IF('Model Inputs &amp; Assumptions'!$H$32="Fixed",'Model Inputs &amp; Assumptions'!$I$32*'Model Inputs &amp; Assumptions'!$K$32,IF('Model Inputs &amp; Assumptions'!$H$32="CPM",'Model Inputs &amp; Assumptions'!$I$32*'Model Inputs &amp; Assumptions'!$K$32*C2072/1000,IF('Model Inputs &amp; Assumptions'!$H$32="CPC",'Model Inputs &amp; Assumptions'!$I$32*'Model Inputs &amp; Assumptions'!$K$32*G2072,0)))</f>
        <v>18049.104</v>
      </c>
      <c r="J2072" s="50" t="n">
        <f aca="false">H2072*INDEX('Model Inputs &amp; Assumptions'!$D$40:$D$42,MATCH('Model Inputs &amp; Assumptions'!$L$32,'Model Inputs &amp; Assumptions'!$A$40:$A$42,0))*INDEX('Model Inputs &amp; Assumptions'!$H$40:$H$42,MATCH('Model Inputs &amp; Assumptions'!$L$32,'Model Inputs &amp; Assumptions'!$A$40:$A$42,0))</f>
        <v>1251166.99212638</v>
      </c>
      <c r="K2072" s="49" t="n">
        <f aca="false">H2072*INDEX('Model Inputs &amp; Assumptions'!$G$40:$G$42,MATCH('Model Inputs &amp; Assumptions'!$L$32,'Model Inputs &amp; Assumptions'!$A$40:$A$42,0))*INDEX('Model Inputs &amp; Assumptions'!$H$40:$H$42,MATCH('Model Inputs &amp; Assumptions'!$L$32,'Model Inputs &amp; Assumptions'!$A$40:$A$42,0))</f>
        <v>26274.5068346541</v>
      </c>
      <c r="L2072" s="51" t="n">
        <f aca="false">IFERROR(K2072/I2072,0)</f>
        <v>1.45572361013899</v>
      </c>
      <c r="M2072" s="49" t="n">
        <f aca="false">IFERROR(I2072/H2072,0)</f>
        <v>77.8994028881436</v>
      </c>
      <c r="N2072" s="52" t="str">
        <f aca="false">'Model Inputs &amp; Assumptions'!$L$32</f>
        <v>PRD-SP01</v>
      </c>
      <c r="P2072" s="53" t="n">
        <v>0.902893</v>
      </c>
      <c r="Q2072" s="53" t="n">
        <v>0.34713</v>
      </c>
      <c r="R2072" s="53" t="n">
        <v>0.446386</v>
      </c>
      <c r="S2072" s="53" t="n">
        <v>-0.256874</v>
      </c>
    </row>
    <row r="2073" customFormat="false" ht="15" hidden="false" customHeight="false" outlineLevel="0" collapsed="false">
      <c r="A2073" s="43" t="n">
        <v>70</v>
      </c>
      <c r="B2073" s="44" t="str">
        <f aca="false">'Model Inputs &amp; Assumptions'!$B$32</f>
        <v>Trade Republic — In-App Display</v>
      </c>
      <c r="C2073" s="45" t="n">
        <f aca="false">ROUND(MAX(0,'Model Inputs &amp; Assumptions'!$S$32*EXP('Model Inputs &amp; Assumptions'!$T$32*P2073-'Model Inputs &amp; Assumptions'!$T$32^2/2)),0)</f>
        <v>1157303</v>
      </c>
      <c r="D2073" s="46" t="n">
        <f aca="false">MIN(1,'Model Inputs &amp; Assumptions'!$U$32*EXP('Model Inputs &amp; Assumptions'!$V$32*Q2073-'Model Inputs &amp; Assumptions'!$V$32^2/2))</f>
        <v>0</v>
      </c>
      <c r="E2073" s="45" t="n">
        <f aca="false">ROUND(C2073*D2073,0)</f>
        <v>0</v>
      </c>
      <c r="F2073" s="47" t="n">
        <f aca="false">MIN(1,'Model Inputs &amp; Assumptions'!$W$32*EXP('Model Inputs &amp; Assumptions'!$X$32*R2073-'Model Inputs &amp; Assumptions'!$X$32^2/2))</f>
        <v>0.0017972209739523</v>
      </c>
      <c r="G2073" s="45" t="n">
        <f aca="false">ROUND(C2073*F2073,0)</f>
        <v>2080</v>
      </c>
      <c r="H2073" s="48" t="n">
        <f aca="false">MAX(0,(C2073*'Model Inputs &amp; Assumptions'!$N$32+E2073*'Model Inputs &amp; Assumptions'!$O$32+G2073*'Model Inputs &amp; Assumptions'!$P$32)*EXP('Model Inputs &amp; Assumptions'!$Q$32*S2073-'Model Inputs &amp; Assumptions'!$Q$32^2/2))</f>
        <v>126.054922329652</v>
      </c>
      <c r="I2073" s="49" t="n">
        <f aca="false">IF('Model Inputs &amp; Assumptions'!$H$32="Fixed",'Model Inputs &amp; Assumptions'!$I$32*'Model Inputs &amp; Assumptions'!$K$32,IF('Model Inputs &amp; Assumptions'!$H$32="CPM",'Model Inputs &amp; Assumptions'!$I$32*'Model Inputs &amp; Assumptions'!$K$32*C2073/1000,IF('Model Inputs &amp; Assumptions'!$H$32="CPC",'Model Inputs &amp; Assumptions'!$I$32*'Model Inputs &amp; Assumptions'!$K$32*G2073,0)))</f>
        <v>13887.636</v>
      </c>
      <c r="J2073" s="50" t="n">
        <f aca="false">H2073*INDEX('Model Inputs &amp; Assumptions'!$D$40:$D$42,MATCH('Model Inputs &amp; Assumptions'!$L$32,'Model Inputs &amp; Assumptions'!$A$40:$A$42,0))*INDEX('Model Inputs &amp; Assumptions'!$H$40:$H$42,MATCH('Model Inputs &amp; Assumptions'!$L$32,'Model Inputs &amp; Assumptions'!$A$40:$A$42,0))</f>
        <v>680696.58058012</v>
      </c>
      <c r="K2073" s="49" t="n">
        <f aca="false">H2073*INDEX('Model Inputs &amp; Assumptions'!$G$40:$G$42,MATCH('Model Inputs &amp; Assumptions'!$L$32,'Model Inputs &amp; Assumptions'!$A$40:$A$42,0))*INDEX('Model Inputs &amp; Assumptions'!$H$40:$H$42,MATCH('Model Inputs &amp; Assumptions'!$L$32,'Model Inputs &amp; Assumptions'!$A$40:$A$42,0))</f>
        <v>14294.6281921825</v>
      </c>
      <c r="L2073" s="51" t="n">
        <f aca="false">IFERROR(K2073/I2073,0)</f>
        <v>1.02930608148014</v>
      </c>
      <c r="M2073" s="49" t="n">
        <f aca="false">IFERROR(I2073/H2073,0)</f>
        <v>110.171310594931</v>
      </c>
      <c r="N2073" s="52" t="str">
        <f aca="false">'Model Inputs &amp; Assumptions'!$L$32</f>
        <v>PRD-SP01</v>
      </c>
      <c r="P2073" s="53" t="n">
        <v>0.029236</v>
      </c>
      <c r="Q2073" s="53" t="n">
        <v>-1.755212</v>
      </c>
      <c r="R2073" s="53" t="n">
        <v>-2.071738</v>
      </c>
      <c r="S2073" s="53" t="n">
        <v>1.203169</v>
      </c>
    </row>
    <row r="2074" customFormat="false" ht="15" hidden="false" customHeight="false" outlineLevel="0" collapsed="false">
      <c r="A2074" s="43" t="n">
        <v>71</v>
      </c>
      <c r="B2074" s="44" t="str">
        <f aca="false">'Model Inputs &amp; Assumptions'!$B$32</f>
        <v>Trade Republic — In-App Display</v>
      </c>
      <c r="C2074" s="45" t="n">
        <f aca="false">ROUND(MAX(0,'Model Inputs &amp; Assumptions'!$S$32*EXP('Model Inputs &amp; Assumptions'!$T$32*P2074-'Model Inputs &amp; Assumptions'!$T$32^2/2)),0)</f>
        <v>1111047</v>
      </c>
      <c r="D2074" s="46" t="n">
        <f aca="false">MIN(1,'Model Inputs &amp; Assumptions'!$U$32*EXP('Model Inputs &amp; Assumptions'!$V$32*Q2074-'Model Inputs &amp; Assumptions'!$V$32^2/2))</f>
        <v>0</v>
      </c>
      <c r="E2074" s="45" t="n">
        <f aca="false">ROUND(C2074*D2074,0)</f>
        <v>0</v>
      </c>
      <c r="F2074" s="47" t="n">
        <f aca="false">MIN(1,'Model Inputs &amp; Assumptions'!$W$32*EXP('Model Inputs &amp; Assumptions'!$X$32*R2074-'Model Inputs &amp; Assumptions'!$X$32^2/2))</f>
        <v>0.00376261979396367</v>
      </c>
      <c r="G2074" s="45" t="n">
        <f aca="false">ROUND(C2074*F2074,0)</f>
        <v>4180</v>
      </c>
      <c r="H2074" s="48" t="n">
        <f aca="false">MAX(0,(C2074*'Model Inputs &amp; Assumptions'!$N$32+E2074*'Model Inputs &amp; Assumptions'!$O$32+G2074*'Model Inputs &amp; Assumptions'!$P$32)*EXP('Model Inputs &amp; Assumptions'!$Q$32*S2074-'Model Inputs &amp; Assumptions'!$Q$32^2/2))</f>
        <v>130.646282320963</v>
      </c>
      <c r="I2074" s="49" t="n">
        <f aca="false">IF('Model Inputs &amp; Assumptions'!$H$32="Fixed",'Model Inputs &amp; Assumptions'!$I$32*'Model Inputs &amp; Assumptions'!$K$32,IF('Model Inputs &amp; Assumptions'!$H$32="CPM",'Model Inputs &amp; Assumptions'!$I$32*'Model Inputs &amp; Assumptions'!$K$32*C2074/1000,IF('Model Inputs &amp; Assumptions'!$H$32="CPC",'Model Inputs &amp; Assumptions'!$I$32*'Model Inputs &amp; Assumptions'!$K$32*G2074,0)))</f>
        <v>13332.564</v>
      </c>
      <c r="J2074" s="50" t="n">
        <f aca="false">H2074*INDEX('Model Inputs &amp; Assumptions'!$D$40:$D$42,MATCH('Model Inputs &amp; Assumptions'!$L$32,'Model Inputs &amp; Assumptions'!$A$40:$A$42,0))*INDEX('Model Inputs &amp; Assumptions'!$H$40:$H$42,MATCH('Model Inputs &amp; Assumptions'!$L$32,'Model Inputs &amp; Assumptions'!$A$40:$A$42,0))</f>
        <v>705489.924533201</v>
      </c>
      <c r="K2074" s="49" t="n">
        <f aca="false">H2074*INDEX('Model Inputs &amp; Assumptions'!$G$40:$G$42,MATCH('Model Inputs &amp; Assumptions'!$L$32,'Model Inputs &amp; Assumptions'!$A$40:$A$42,0))*INDEX('Model Inputs &amp; Assumptions'!$H$40:$H$42,MATCH('Model Inputs &amp; Assumptions'!$L$32,'Model Inputs &amp; Assumptions'!$A$40:$A$42,0))</f>
        <v>14815.2884151972</v>
      </c>
      <c r="L2074" s="51" t="n">
        <f aca="false">IFERROR(K2074/I2074,0)</f>
        <v>1.11121074799995</v>
      </c>
      <c r="M2074" s="49" t="n">
        <f aca="false">IFERROR(I2074/H2074,0)</f>
        <v>102.050848773832</v>
      </c>
      <c r="N2074" s="52" t="str">
        <f aca="false">'Model Inputs &amp; Assumptions'!$L$32</f>
        <v>PRD-SP01</v>
      </c>
      <c r="P2074" s="53" t="n">
        <v>-0.10673</v>
      </c>
      <c r="Q2074" s="53" t="n">
        <v>-1.107556</v>
      </c>
      <c r="R2074" s="53" t="n">
        <v>0.391175</v>
      </c>
      <c r="S2074" s="53" t="n">
        <v>-1.161715</v>
      </c>
    </row>
    <row r="2075" customFormat="false" ht="15" hidden="false" customHeight="false" outlineLevel="0" collapsed="false">
      <c r="A2075" s="43" t="n">
        <v>72</v>
      </c>
      <c r="B2075" s="44" t="str">
        <f aca="false">'Model Inputs &amp; Assumptions'!$B$32</f>
        <v>Trade Republic — In-App Display</v>
      </c>
      <c r="C2075" s="45" t="n">
        <f aca="false">ROUND(MAX(0,'Model Inputs &amp; Assumptions'!$S$32*EXP('Model Inputs &amp; Assumptions'!$T$32*P2075-'Model Inputs &amp; Assumptions'!$T$32^2/2)),0)</f>
        <v>688020</v>
      </c>
      <c r="D2075" s="46" t="n">
        <f aca="false">MIN(1,'Model Inputs &amp; Assumptions'!$U$32*EXP('Model Inputs &amp; Assumptions'!$V$32*Q2075-'Model Inputs &amp; Assumptions'!$V$32^2/2))</f>
        <v>0</v>
      </c>
      <c r="E2075" s="45" t="n">
        <f aca="false">ROUND(C2075*D2075,0)</f>
        <v>0</v>
      </c>
      <c r="F2075" s="47" t="n">
        <f aca="false">MIN(1,'Model Inputs &amp; Assumptions'!$W$32*EXP('Model Inputs &amp; Assumptions'!$X$32*R2075-'Model Inputs &amp; Assumptions'!$X$32^2/2))</f>
        <v>0.00527138727787673</v>
      </c>
      <c r="G2075" s="45" t="n">
        <f aca="false">ROUND(C2075*F2075,0)</f>
        <v>3627</v>
      </c>
      <c r="H2075" s="48" t="n">
        <f aca="false">MAX(0,(C2075*'Model Inputs &amp; Assumptions'!$N$32+E2075*'Model Inputs &amp; Assumptions'!$O$32+G2075*'Model Inputs &amp; Assumptions'!$P$32)*EXP('Model Inputs &amp; Assumptions'!$Q$32*S2075-'Model Inputs &amp; Assumptions'!$Q$32^2/2))</f>
        <v>174.379365967926</v>
      </c>
      <c r="I2075" s="49" t="n">
        <f aca="false">IF('Model Inputs &amp; Assumptions'!$H$32="Fixed",'Model Inputs &amp; Assumptions'!$I$32*'Model Inputs &amp; Assumptions'!$K$32,IF('Model Inputs &amp; Assumptions'!$H$32="CPM",'Model Inputs &amp; Assumptions'!$I$32*'Model Inputs &amp; Assumptions'!$K$32*C2075/1000,IF('Model Inputs &amp; Assumptions'!$H$32="CPC",'Model Inputs &amp; Assumptions'!$I$32*'Model Inputs &amp; Assumptions'!$K$32*G2075,0)))</f>
        <v>8256.24</v>
      </c>
      <c r="J2075" s="50" t="n">
        <f aca="false">H2075*INDEX('Model Inputs &amp; Assumptions'!$D$40:$D$42,MATCH('Model Inputs &amp; Assumptions'!$L$32,'Model Inputs &amp; Assumptions'!$A$40:$A$42,0))*INDEX('Model Inputs &amp; Assumptions'!$H$40:$H$42,MATCH('Model Inputs &amp; Assumptions'!$L$32,'Model Inputs &amp; Assumptions'!$A$40:$A$42,0))</f>
        <v>941648.576226801</v>
      </c>
      <c r="K2075" s="49" t="n">
        <f aca="false">H2075*INDEX('Model Inputs &amp; Assumptions'!$G$40:$G$42,MATCH('Model Inputs &amp; Assumptions'!$L$32,'Model Inputs &amp; Assumptions'!$A$40:$A$42,0))*INDEX('Model Inputs &amp; Assumptions'!$H$40:$H$42,MATCH('Model Inputs &amp; Assumptions'!$L$32,'Model Inputs &amp; Assumptions'!$A$40:$A$42,0))</f>
        <v>19774.6201007628</v>
      </c>
      <c r="L2075" s="51" t="n">
        <f aca="false">IFERROR(K2075/I2075,0)</f>
        <v>2.39511207290036</v>
      </c>
      <c r="M2075" s="49" t="n">
        <f aca="false">IFERROR(I2075/H2075,0)</f>
        <v>47.3464274524234</v>
      </c>
      <c r="N2075" s="52" t="str">
        <f aca="false">'Model Inputs &amp; Assumptions'!$L$32</f>
        <v>PRD-SP01</v>
      </c>
      <c r="P2075" s="53" t="n">
        <v>-1.704195</v>
      </c>
      <c r="Q2075" s="53" t="n">
        <v>0.618137</v>
      </c>
      <c r="R2075" s="53" t="n">
        <v>1.515102</v>
      </c>
      <c r="S2075" s="53" t="n">
        <v>0.376303</v>
      </c>
    </row>
    <row r="2076" customFormat="false" ht="15" hidden="false" customHeight="false" outlineLevel="0" collapsed="false">
      <c r="A2076" s="43" t="n">
        <v>73</v>
      </c>
      <c r="B2076" s="44" t="str">
        <f aca="false">'Model Inputs &amp; Assumptions'!$B$32</f>
        <v>Trade Republic — In-App Display</v>
      </c>
      <c r="C2076" s="45" t="n">
        <f aca="false">ROUND(MAX(0,'Model Inputs &amp; Assumptions'!$S$32*EXP('Model Inputs &amp; Assumptions'!$T$32*P2076-'Model Inputs &amp; Assumptions'!$T$32^2/2)),0)</f>
        <v>952326</v>
      </c>
      <c r="D2076" s="46" t="n">
        <f aca="false">MIN(1,'Model Inputs &amp; Assumptions'!$U$32*EXP('Model Inputs &amp; Assumptions'!$V$32*Q2076-'Model Inputs &amp; Assumptions'!$V$32^2/2))</f>
        <v>0</v>
      </c>
      <c r="E2076" s="45" t="n">
        <f aca="false">ROUND(C2076*D2076,0)</f>
        <v>0</v>
      </c>
      <c r="F2076" s="47" t="n">
        <f aca="false">MIN(1,'Model Inputs &amp; Assumptions'!$W$32*EXP('Model Inputs &amp; Assumptions'!$X$32*R2076-'Model Inputs &amp; Assumptions'!$X$32^2/2))</f>
        <v>0.00284971038122882</v>
      </c>
      <c r="G2076" s="45" t="n">
        <f aca="false">ROUND(C2076*F2076,0)</f>
        <v>2714</v>
      </c>
      <c r="H2076" s="48" t="n">
        <f aca="false">MAX(0,(C2076*'Model Inputs &amp; Assumptions'!$N$32+E2076*'Model Inputs &amp; Assumptions'!$O$32+G2076*'Model Inputs &amp; Assumptions'!$P$32)*EXP('Model Inputs &amp; Assumptions'!$Q$32*S2076-'Model Inputs &amp; Assumptions'!$Q$32^2/2))</f>
        <v>99.496605816229</v>
      </c>
      <c r="I2076" s="49" t="n">
        <f aca="false">IF('Model Inputs &amp; Assumptions'!$H$32="Fixed",'Model Inputs &amp; Assumptions'!$I$32*'Model Inputs &amp; Assumptions'!$K$32,IF('Model Inputs &amp; Assumptions'!$H$32="CPM",'Model Inputs &amp; Assumptions'!$I$32*'Model Inputs &amp; Assumptions'!$K$32*C2076/1000,IF('Model Inputs &amp; Assumptions'!$H$32="CPC",'Model Inputs &amp; Assumptions'!$I$32*'Model Inputs &amp; Assumptions'!$K$32*G2076,0)))</f>
        <v>11427.912</v>
      </c>
      <c r="J2076" s="50" t="n">
        <f aca="false">H2076*INDEX('Model Inputs &amp; Assumptions'!$D$40:$D$42,MATCH('Model Inputs &amp; Assumptions'!$L$32,'Model Inputs &amp; Assumptions'!$A$40:$A$42,0))*INDEX('Model Inputs &amp; Assumptions'!$H$40:$H$42,MATCH('Model Inputs &amp; Assumptions'!$L$32,'Model Inputs &amp; Assumptions'!$A$40:$A$42,0))</f>
        <v>537281.671407636</v>
      </c>
      <c r="K2076" s="49" t="n">
        <f aca="false">H2076*INDEX('Model Inputs &amp; Assumptions'!$G$40:$G$42,MATCH('Model Inputs &amp; Assumptions'!$L$32,'Model Inputs &amp; Assumptions'!$A$40:$A$42,0))*INDEX('Model Inputs &amp; Assumptions'!$H$40:$H$42,MATCH('Model Inputs &amp; Assumptions'!$L$32,'Model Inputs &amp; Assumptions'!$A$40:$A$42,0))</f>
        <v>11282.9150995604</v>
      </c>
      <c r="L2076" s="51" t="n">
        <f aca="false">IFERROR(K2076/I2076,0)</f>
        <v>0.987312039116189</v>
      </c>
      <c r="M2076" s="49" t="n">
        <f aca="false">IFERROR(I2076/H2076,0)</f>
        <v>114.857304992971</v>
      </c>
      <c r="N2076" s="52" t="str">
        <f aca="false">'Model Inputs &amp; Assumptions'!$L$32</f>
        <v>PRD-SP01</v>
      </c>
      <c r="P2076" s="53" t="n">
        <v>-0.620566</v>
      </c>
      <c r="Q2076" s="53" t="n">
        <v>0.772247</v>
      </c>
      <c r="R2076" s="53" t="n">
        <v>-0.535152</v>
      </c>
      <c r="S2076" s="53" t="n">
        <v>-0.592009</v>
      </c>
    </row>
    <row r="2077" customFormat="false" ht="15" hidden="false" customHeight="false" outlineLevel="0" collapsed="false">
      <c r="A2077" s="43" t="n">
        <v>74</v>
      </c>
      <c r="B2077" s="44" t="str">
        <f aca="false">'Model Inputs &amp; Assumptions'!$B$32</f>
        <v>Trade Republic — In-App Display</v>
      </c>
      <c r="C2077" s="45" t="n">
        <f aca="false">ROUND(MAX(0,'Model Inputs &amp; Assumptions'!$S$32*EXP('Model Inputs &amp; Assumptions'!$T$32*P2077-'Model Inputs &amp; Assumptions'!$T$32^2/2)),0)</f>
        <v>1293214</v>
      </c>
      <c r="D2077" s="46" t="n">
        <f aca="false">MIN(1,'Model Inputs &amp; Assumptions'!$U$32*EXP('Model Inputs &amp; Assumptions'!$V$32*Q2077-'Model Inputs &amp; Assumptions'!$V$32^2/2))</f>
        <v>0</v>
      </c>
      <c r="E2077" s="45" t="n">
        <f aca="false">ROUND(C2077*D2077,0)</f>
        <v>0</v>
      </c>
      <c r="F2077" s="47" t="n">
        <f aca="false">MIN(1,'Model Inputs &amp; Assumptions'!$W$32*EXP('Model Inputs &amp; Assumptions'!$X$32*R2077-'Model Inputs &amp; Assumptions'!$X$32^2/2))</f>
        <v>0.00479664141834707</v>
      </c>
      <c r="G2077" s="45" t="n">
        <f aca="false">ROUND(C2077*F2077,0)</f>
        <v>6203</v>
      </c>
      <c r="H2077" s="48" t="n">
        <f aca="false">MAX(0,(C2077*'Model Inputs &amp; Assumptions'!$N$32+E2077*'Model Inputs &amp; Assumptions'!$O$32+G2077*'Model Inputs &amp; Assumptions'!$P$32)*EXP('Model Inputs &amp; Assumptions'!$Q$32*S2077-'Model Inputs &amp; Assumptions'!$Q$32^2/2))</f>
        <v>213.145471154163</v>
      </c>
      <c r="I2077" s="49" t="n">
        <f aca="false">IF('Model Inputs &amp; Assumptions'!$H$32="Fixed",'Model Inputs &amp; Assumptions'!$I$32*'Model Inputs &amp; Assumptions'!$K$32,IF('Model Inputs &amp; Assumptions'!$H$32="CPM",'Model Inputs &amp; Assumptions'!$I$32*'Model Inputs &amp; Assumptions'!$K$32*C2077/1000,IF('Model Inputs &amp; Assumptions'!$H$32="CPC",'Model Inputs &amp; Assumptions'!$I$32*'Model Inputs &amp; Assumptions'!$K$32*G2077,0)))</f>
        <v>15518.568</v>
      </c>
      <c r="J2077" s="50" t="n">
        <f aca="false">H2077*INDEX('Model Inputs &amp; Assumptions'!$D$40:$D$42,MATCH('Model Inputs &amp; Assumptions'!$L$32,'Model Inputs &amp; Assumptions'!$A$40:$A$42,0))*INDEX('Model Inputs &amp; Assumptions'!$H$40:$H$42,MATCH('Model Inputs &amp; Assumptions'!$L$32,'Model Inputs &amp; Assumptions'!$A$40:$A$42,0))</f>
        <v>1150985.54423248</v>
      </c>
      <c r="K2077" s="49" t="n">
        <f aca="false">H2077*INDEX('Model Inputs &amp; Assumptions'!$G$40:$G$42,MATCH('Model Inputs &amp; Assumptions'!$L$32,'Model Inputs &amp; Assumptions'!$A$40:$A$42,0))*INDEX('Model Inputs &amp; Assumptions'!$H$40:$H$42,MATCH('Model Inputs &amp; Assumptions'!$L$32,'Model Inputs &amp; Assumptions'!$A$40:$A$42,0))</f>
        <v>24170.6964288821</v>
      </c>
      <c r="L2077" s="51" t="n">
        <f aca="false">IFERROR(K2077/I2077,0)</f>
        <v>1.55753394442594</v>
      </c>
      <c r="M2077" s="49" t="n">
        <f aca="false">IFERROR(I2077/H2077,0)</f>
        <v>72.8074019868608</v>
      </c>
      <c r="N2077" s="52" t="str">
        <f aca="false">'Model Inputs &amp; Assumptions'!$L$32</f>
        <v>PRD-SP01</v>
      </c>
      <c r="P2077" s="53" t="n">
        <v>0.399364</v>
      </c>
      <c r="Q2077" s="53" t="n">
        <v>0.219631</v>
      </c>
      <c r="R2077" s="53" t="n">
        <v>1.20051</v>
      </c>
      <c r="S2077" s="53" t="n">
        <v>-0.823288</v>
      </c>
    </row>
    <row r="2078" customFormat="false" ht="15" hidden="false" customHeight="false" outlineLevel="0" collapsed="false">
      <c r="A2078" s="43" t="n">
        <v>75</v>
      </c>
      <c r="B2078" s="44" t="str">
        <f aca="false">'Model Inputs &amp; Assumptions'!$B$32</f>
        <v>Trade Republic — In-App Display</v>
      </c>
      <c r="C2078" s="45" t="n">
        <f aca="false">ROUND(MAX(0,'Model Inputs &amp; Assumptions'!$S$32*EXP('Model Inputs &amp; Assumptions'!$T$32*P2078-'Model Inputs &amp; Assumptions'!$T$32^2/2)),0)</f>
        <v>804393</v>
      </c>
      <c r="D2078" s="46" t="n">
        <f aca="false">MIN(1,'Model Inputs &amp; Assumptions'!$U$32*EXP('Model Inputs &amp; Assumptions'!$V$32*Q2078-'Model Inputs &amp; Assumptions'!$V$32^2/2))</f>
        <v>0</v>
      </c>
      <c r="E2078" s="45" t="n">
        <f aca="false">ROUND(C2078*D2078,0)</f>
        <v>0</v>
      </c>
      <c r="F2078" s="47" t="n">
        <f aca="false">MIN(1,'Model Inputs &amp; Assumptions'!$W$32*EXP('Model Inputs &amp; Assumptions'!$X$32*R2078-'Model Inputs &amp; Assumptions'!$X$32^2/2))</f>
        <v>0.00243595449265091</v>
      </c>
      <c r="G2078" s="45" t="n">
        <f aca="false">ROUND(C2078*F2078,0)</f>
        <v>1959</v>
      </c>
      <c r="H2078" s="48" t="n">
        <f aca="false">MAX(0,(C2078*'Model Inputs &amp; Assumptions'!$N$32+E2078*'Model Inputs &amp; Assumptions'!$O$32+G2078*'Model Inputs &amp; Assumptions'!$P$32)*EXP('Model Inputs &amp; Assumptions'!$Q$32*S2078-'Model Inputs &amp; Assumptions'!$Q$32^2/2))</f>
        <v>114.17576607819</v>
      </c>
      <c r="I2078" s="49" t="n">
        <f aca="false">IF('Model Inputs &amp; Assumptions'!$H$32="Fixed",'Model Inputs &amp; Assumptions'!$I$32*'Model Inputs &amp; Assumptions'!$K$32,IF('Model Inputs &amp; Assumptions'!$H$32="CPM",'Model Inputs &amp; Assumptions'!$I$32*'Model Inputs &amp; Assumptions'!$K$32*C2078/1000,IF('Model Inputs &amp; Assumptions'!$H$32="CPC",'Model Inputs &amp; Assumptions'!$I$32*'Model Inputs &amp; Assumptions'!$K$32*G2078,0)))</f>
        <v>9652.716</v>
      </c>
      <c r="J2078" s="50" t="n">
        <f aca="false">H2078*INDEX('Model Inputs &amp; Assumptions'!$D$40:$D$42,MATCH('Model Inputs &amp; Assumptions'!$L$32,'Model Inputs &amp; Assumptions'!$A$40:$A$42,0))*INDEX('Model Inputs &amp; Assumptions'!$H$40:$H$42,MATCH('Model Inputs &amp; Assumptions'!$L$32,'Model Inputs &amp; Assumptions'!$A$40:$A$42,0))</f>
        <v>616549.136822227</v>
      </c>
      <c r="K2078" s="49" t="n">
        <f aca="false">H2078*INDEX('Model Inputs &amp; Assumptions'!$G$40:$G$42,MATCH('Model Inputs &amp; Assumptions'!$L$32,'Model Inputs &amp; Assumptions'!$A$40:$A$42,0))*INDEX('Model Inputs &amp; Assumptions'!$H$40:$H$42,MATCH('Model Inputs &amp; Assumptions'!$L$32,'Model Inputs &amp; Assumptions'!$A$40:$A$42,0))</f>
        <v>12947.5318732668</v>
      </c>
      <c r="L2078" s="51" t="n">
        <f aca="false">IFERROR(K2078/I2078,0)</f>
        <v>1.34133562753393</v>
      </c>
      <c r="M2078" s="49" t="n">
        <f aca="false">IFERROR(I2078/H2078,0)</f>
        <v>84.5425989381109</v>
      </c>
      <c r="N2078" s="52" t="str">
        <f aca="false">'Model Inputs &amp; Assumptions'!$L$32</f>
        <v>PRD-SP01</v>
      </c>
      <c r="P2078" s="53" t="n">
        <v>-1.183296</v>
      </c>
      <c r="Q2078" s="53" t="n">
        <v>-0.163062</v>
      </c>
      <c r="R2078" s="53" t="n">
        <v>-1.058081</v>
      </c>
      <c r="S2078" s="53" t="n">
        <v>1.063723</v>
      </c>
    </row>
    <row r="2079" customFormat="false" ht="15" hidden="false" customHeight="false" outlineLevel="0" collapsed="false">
      <c r="A2079" s="43" t="n">
        <v>76</v>
      </c>
      <c r="B2079" s="44" t="str">
        <f aca="false">'Model Inputs &amp; Assumptions'!$B$32</f>
        <v>Trade Republic — In-App Display</v>
      </c>
      <c r="C2079" s="45" t="n">
        <f aca="false">ROUND(MAX(0,'Model Inputs &amp; Assumptions'!$S$32*EXP('Model Inputs &amp; Assumptions'!$T$32*P2079-'Model Inputs &amp; Assumptions'!$T$32^2/2)),0)</f>
        <v>997086</v>
      </c>
      <c r="D2079" s="46" t="n">
        <f aca="false">MIN(1,'Model Inputs &amp; Assumptions'!$U$32*EXP('Model Inputs &amp; Assumptions'!$V$32*Q2079-'Model Inputs &amp; Assumptions'!$V$32^2/2))</f>
        <v>0</v>
      </c>
      <c r="E2079" s="45" t="n">
        <f aca="false">ROUND(C2079*D2079,0)</f>
        <v>0</v>
      </c>
      <c r="F2079" s="47" t="n">
        <f aca="false">MIN(1,'Model Inputs &amp; Assumptions'!$W$32*EXP('Model Inputs &amp; Assumptions'!$X$32*R2079-'Model Inputs &amp; Assumptions'!$X$32^2/2))</f>
        <v>0.00458313182257989</v>
      </c>
      <c r="G2079" s="45" t="n">
        <f aca="false">ROUND(C2079*F2079,0)</f>
        <v>4570</v>
      </c>
      <c r="H2079" s="48" t="n">
        <f aca="false">MAX(0,(C2079*'Model Inputs &amp; Assumptions'!$N$32+E2079*'Model Inputs &amp; Assumptions'!$O$32+G2079*'Model Inputs &amp; Assumptions'!$P$32)*EXP('Model Inputs &amp; Assumptions'!$Q$32*S2079-'Model Inputs &amp; Assumptions'!$Q$32^2/2))</f>
        <v>301.29827914207</v>
      </c>
      <c r="I2079" s="49" t="n">
        <f aca="false">IF('Model Inputs &amp; Assumptions'!$H$32="Fixed",'Model Inputs &amp; Assumptions'!$I$32*'Model Inputs &amp; Assumptions'!$K$32,IF('Model Inputs &amp; Assumptions'!$H$32="CPM",'Model Inputs &amp; Assumptions'!$I$32*'Model Inputs &amp; Assumptions'!$K$32*C2079/1000,IF('Model Inputs &amp; Assumptions'!$H$32="CPC",'Model Inputs &amp; Assumptions'!$I$32*'Model Inputs &amp; Assumptions'!$K$32*G2079,0)))</f>
        <v>11965.032</v>
      </c>
      <c r="J2079" s="50" t="n">
        <f aca="false">H2079*INDEX('Model Inputs &amp; Assumptions'!$D$40:$D$42,MATCH('Model Inputs &amp; Assumptions'!$L$32,'Model Inputs &amp; Assumptions'!$A$40:$A$42,0))*INDEX('Model Inputs &amp; Assumptions'!$H$40:$H$42,MATCH('Model Inputs &amp; Assumptions'!$L$32,'Model Inputs &amp; Assumptions'!$A$40:$A$42,0))</f>
        <v>1627010.70736718</v>
      </c>
      <c r="K2079" s="49" t="n">
        <f aca="false">H2079*INDEX('Model Inputs &amp; Assumptions'!$G$40:$G$42,MATCH('Model Inputs &amp; Assumptions'!$L$32,'Model Inputs &amp; Assumptions'!$A$40:$A$42,0))*INDEX('Model Inputs &amp; Assumptions'!$H$40:$H$42,MATCH('Model Inputs &amp; Assumptions'!$L$32,'Model Inputs &amp; Assumptions'!$A$40:$A$42,0))</f>
        <v>34167.2248547107</v>
      </c>
      <c r="L2079" s="51" t="n">
        <f aca="false">IFERROR(K2079/I2079,0)</f>
        <v>2.85558992693966</v>
      </c>
      <c r="M2079" s="49" t="n">
        <f aca="false">IFERROR(I2079/H2079,0)</f>
        <v>39.7115842615158</v>
      </c>
      <c r="N2079" s="52" t="str">
        <f aca="false">'Model Inputs &amp; Assumptions'!$L$32</f>
        <v>PRD-SP01</v>
      </c>
      <c r="P2079" s="53" t="n">
        <v>-0.467465</v>
      </c>
      <c r="Q2079" s="53" t="n">
        <v>0.6212</v>
      </c>
      <c r="R2079" s="53" t="n">
        <v>1.048732</v>
      </c>
      <c r="S2079" s="53" t="n">
        <v>1.504018</v>
      </c>
    </row>
    <row r="2080" customFormat="false" ht="15" hidden="false" customHeight="false" outlineLevel="0" collapsed="false">
      <c r="A2080" s="43" t="n">
        <v>77</v>
      </c>
      <c r="B2080" s="44" t="str">
        <f aca="false">'Model Inputs &amp; Assumptions'!$B$32</f>
        <v>Trade Republic — In-App Display</v>
      </c>
      <c r="C2080" s="45" t="n">
        <f aca="false">ROUND(MAX(0,'Model Inputs &amp; Assumptions'!$S$32*EXP('Model Inputs &amp; Assumptions'!$T$32*P2080-'Model Inputs &amp; Assumptions'!$T$32^2/2)),0)</f>
        <v>1053741</v>
      </c>
      <c r="D2080" s="46" t="n">
        <f aca="false">MIN(1,'Model Inputs &amp; Assumptions'!$U$32*EXP('Model Inputs &amp; Assumptions'!$V$32*Q2080-'Model Inputs &amp; Assumptions'!$V$32^2/2))</f>
        <v>0</v>
      </c>
      <c r="E2080" s="45" t="n">
        <f aca="false">ROUND(C2080*D2080,0)</f>
        <v>0</v>
      </c>
      <c r="F2080" s="47" t="n">
        <f aca="false">MIN(1,'Model Inputs &amp; Assumptions'!$W$32*EXP('Model Inputs &amp; Assumptions'!$X$32*R2080-'Model Inputs &amp; Assumptions'!$X$32^2/2))</f>
        <v>0.00539313348994459</v>
      </c>
      <c r="G2080" s="45" t="n">
        <f aca="false">ROUND(C2080*F2080,0)</f>
        <v>5683</v>
      </c>
      <c r="H2080" s="48" t="n">
        <f aca="false">MAX(0,(C2080*'Model Inputs &amp; Assumptions'!$N$32+E2080*'Model Inputs &amp; Assumptions'!$O$32+G2080*'Model Inputs &amp; Assumptions'!$P$32)*EXP('Model Inputs &amp; Assumptions'!$Q$32*S2080-'Model Inputs &amp; Assumptions'!$Q$32^2/2))</f>
        <v>381.033368282353</v>
      </c>
      <c r="I2080" s="49" t="n">
        <f aca="false">IF('Model Inputs &amp; Assumptions'!$H$32="Fixed",'Model Inputs &amp; Assumptions'!$I$32*'Model Inputs &amp; Assumptions'!$K$32,IF('Model Inputs &amp; Assumptions'!$H$32="CPM",'Model Inputs &amp; Assumptions'!$I$32*'Model Inputs &amp; Assumptions'!$K$32*C2080/1000,IF('Model Inputs &amp; Assumptions'!$H$32="CPC",'Model Inputs &amp; Assumptions'!$I$32*'Model Inputs &amp; Assumptions'!$K$32*G2080,0)))</f>
        <v>12644.892</v>
      </c>
      <c r="J2080" s="50" t="n">
        <f aca="false">H2080*INDEX('Model Inputs &amp; Assumptions'!$D$40:$D$42,MATCH('Model Inputs &amp; Assumptions'!$L$32,'Model Inputs &amp; Assumptions'!$A$40:$A$42,0))*INDEX('Model Inputs &amp; Assumptions'!$H$40:$H$42,MATCH('Model Inputs &amp; Assumptions'!$L$32,'Model Inputs &amp; Assumptions'!$A$40:$A$42,0))</f>
        <v>2057580.18872471</v>
      </c>
      <c r="K2080" s="49" t="n">
        <f aca="false">H2080*INDEX('Model Inputs &amp; Assumptions'!$G$40:$G$42,MATCH('Model Inputs &amp; Assumptions'!$L$32,'Model Inputs &amp; Assumptions'!$A$40:$A$42,0))*INDEX('Model Inputs &amp; Assumptions'!$H$40:$H$42,MATCH('Model Inputs &amp; Assumptions'!$L$32,'Model Inputs &amp; Assumptions'!$A$40:$A$42,0))</f>
        <v>43209.1839632188</v>
      </c>
      <c r="L2080" s="51" t="n">
        <f aca="false">IFERROR(K2080/I2080,0)</f>
        <v>3.41712558424531</v>
      </c>
      <c r="M2080" s="49" t="n">
        <f aca="false">IFERROR(I2080/H2080,0)</f>
        <v>33.1857864758708</v>
      </c>
      <c r="N2080" s="52" t="str">
        <f aca="false">'Model Inputs &amp; Assumptions'!$L$32</f>
        <v>PRD-SP01</v>
      </c>
      <c r="P2080" s="53" t="n">
        <v>-0.283251</v>
      </c>
      <c r="Q2080" s="53" t="n">
        <v>0.463548</v>
      </c>
      <c r="R2080" s="53" t="n">
        <v>1.591212</v>
      </c>
      <c r="S2080" s="53" t="n">
        <v>1.56409</v>
      </c>
    </row>
    <row r="2081" customFormat="false" ht="15" hidden="false" customHeight="false" outlineLevel="0" collapsed="false">
      <c r="A2081" s="43" t="n">
        <v>78</v>
      </c>
      <c r="B2081" s="44" t="str">
        <f aca="false">'Model Inputs &amp; Assumptions'!$B$32</f>
        <v>Trade Republic — In-App Display</v>
      </c>
      <c r="C2081" s="45" t="n">
        <f aca="false">ROUND(MAX(0,'Model Inputs &amp; Assumptions'!$S$32*EXP('Model Inputs &amp; Assumptions'!$T$32*P2081-'Model Inputs &amp; Assumptions'!$T$32^2/2)),0)</f>
        <v>754406</v>
      </c>
      <c r="D2081" s="46" t="n">
        <f aca="false">MIN(1,'Model Inputs &amp; Assumptions'!$U$32*EXP('Model Inputs &amp; Assumptions'!$V$32*Q2081-'Model Inputs &amp; Assumptions'!$V$32^2/2))</f>
        <v>0</v>
      </c>
      <c r="E2081" s="45" t="n">
        <f aca="false">ROUND(C2081*D2081,0)</f>
        <v>0</v>
      </c>
      <c r="F2081" s="47" t="n">
        <f aca="false">MIN(1,'Model Inputs &amp; Assumptions'!$W$32*EXP('Model Inputs &amp; Assumptions'!$X$32*R2081-'Model Inputs &amp; Assumptions'!$X$32^2/2))</f>
        <v>0.00214205611357332</v>
      </c>
      <c r="G2081" s="45" t="n">
        <f aca="false">ROUND(C2081*F2081,0)</f>
        <v>1616</v>
      </c>
      <c r="H2081" s="48" t="n">
        <f aca="false">MAX(0,(C2081*'Model Inputs &amp; Assumptions'!$N$32+E2081*'Model Inputs &amp; Assumptions'!$O$32+G2081*'Model Inputs &amp; Assumptions'!$P$32)*EXP('Model Inputs &amp; Assumptions'!$Q$32*S2081-'Model Inputs &amp; Assumptions'!$Q$32^2/2))</f>
        <v>87.7029213787243</v>
      </c>
      <c r="I2081" s="49" t="n">
        <f aca="false">IF('Model Inputs &amp; Assumptions'!$H$32="Fixed",'Model Inputs &amp; Assumptions'!$I$32*'Model Inputs &amp; Assumptions'!$K$32,IF('Model Inputs &amp; Assumptions'!$H$32="CPM",'Model Inputs &amp; Assumptions'!$I$32*'Model Inputs &amp; Assumptions'!$K$32*C2081/1000,IF('Model Inputs &amp; Assumptions'!$H$32="CPC",'Model Inputs &amp; Assumptions'!$I$32*'Model Inputs &amp; Assumptions'!$K$32*G2081,0)))</f>
        <v>9052.872</v>
      </c>
      <c r="J2081" s="50" t="n">
        <f aca="false">H2081*INDEX('Model Inputs &amp; Assumptions'!$D$40:$D$42,MATCH('Model Inputs &amp; Assumptions'!$L$32,'Model Inputs &amp; Assumptions'!$A$40:$A$42,0))*INDEX('Model Inputs &amp; Assumptions'!$H$40:$H$42,MATCH('Model Inputs &amp; Assumptions'!$L$32,'Model Inputs &amp; Assumptions'!$A$40:$A$42,0))</f>
        <v>473595.775445111</v>
      </c>
      <c r="K2081" s="49" t="n">
        <f aca="false">H2081*INDEX('Model Inputs &amp; Assumptions'!$G$40:$G$42,MATCH('Model Inputs &amp; Assumptions'!$L$32,'Model Inputs &amp; Assumptions'!$A$40:$A$42,0))*INDEX('Model Inputs &amp; Assumptions'!$H$40:$H$42,MATCH('Model Inputs &amp; Assumptions'!$L$32,'Model Inputs &amp; Assumptions'!$A$40:$A$42,0))</f>
        <v>9945.51128434733</v>
      </c>
      <c r="L2081" s="51" t="n">
        <f aca="false">IFERROR(K2081/I2081,0)</f>
        <v>1.09860288363155</v>
      </c>
      <c r="M2081" s="49" t="n">
        <f aca="false">IFERROR(I2081/H2081,0)</f>
        <v>103.222011965911</v>
      </c>
      <c r="N2081" s="52" t="str">
        <f aca="false">'Model Inputs &amp; Assumptions'!$L$32</f>
        <v>PRD-SP01</v>
      </c>
      <c r="P2081" s="53" t="n">
        <v>-1.397153</v>
      </c>
      <c r="Q2081" s="53" t="n">
        <v>-1.234195</v>
      </c>
      <c r="R2081" s="53" t="n">
        <v>-1.486656</v>
      </c>
      <c r="S2081" s="53" t="n">
        <v>0.809067</v>
      </c>
    </row>
    <row r="2082" customFormat="false" ht="15" hidden="false" customHeight="false" outlineLevel="0" collapsed="false">
      <c r="A2082" s="43" t="n">
        <v>79</v>
      </c>
      <c r="B2082" s="44" t="str">
        <f aca="false">'Model Inputs &amp; Assumptions'!$B$32</f>
        <v>Trade Republic — In-App Display</v>
      </c>
      <c r="C2082" s="45" t="n">
        <f aca="false">ROUND(MAX(0,'Model Inputs &amp; Assumptions'!$S$32*EXP('Model Inputs &amp; Assumptions'!$T$32*P2082-'Model Inputs &amp; Assumptions'!$T$32^2/2)),0)</f>
        <v>1393354</v>
      </c>
      <c r="D2082" s="46" t="n">
        <f aca="false">MIN(1,'Model Inputs &amp; Assumptions'!$U$32*EXP('Model Inputs &amp; Assumptions'!$V$32*Q2082-'Model Inputs &amp; Assumptions'!$V$32^2/2))</f>
        <v>0</v>
      </c>
      <c r="E2082" s="45" t="n">
        <f aca="false">ROUND(C2082*D2082,0)</f>
        <v>0</v>
      </c>
      <c r="F2082" s="47" t="n">
        <f aca="false">MIN(1,'Model Inputs &amp; Assumptions'!$W$32*EXP('Model Inputs &amp; Assumptions'!$X$32*R2082-'Model Inputs &amp; Assumptions'!$X$32^2/2))</f>
        <v>0.00141812357045045</v>
      </c>
      <c r="G2082" s="45" t="n">
        <f aca="false">ROUND(C2082*F2082,0)</f>
        <v>1976</v>
      </c>
      <c r="H2082" s="48" t="n">
        <f aca="false">MAX(0,(C2082*'Model Inputs &amp; Assumptions'!$N$32+E2082*'Model Inputs &amp; Assumptions'!$O$32+G2082*'Model Inputs &amp; Assumptions'!$P$32)*EXP('Model Inputs &amp; Assumptions'!$Q$32*S2082-'Model Inputs &amp; Assumptions'!$Q$32^2/2))</f>
        <v>69.9329837935537</v>
      </c>
      <c r="I2082" s="49" t="n">
        <f aca="false">IF('Model Inputs &amp; Assumptions'!$H$32="Fixed",'Model Inputs &amp; Assumptions'!$I$32*'Model Inputs &amp; Assumptions'!$K$32,IF('Model Inputs &amp; Assumptions'!$H$32="CPM",'Model Inputs &amp; Assumptions'!$I$32*'Model Inputs &amp; Assumptions'!$K$32*C2082/1000,IF('Model Inputs &amp; Assumptions'!$H$32="CPC",'Model Inputs &amp; Assumptions'!$I$32*'Model Inputs &amp; Assumptions'!$K$32*G2082,0)))</f>
        <v>16720.248</v>
      </c>
      <c r="J2082" s="50" t="n">
        <f aca="false">H2082*INDEX('Model Inputs &amp; Assumptions'!$D$40:$D$42,MATCH('Model Inputs &amp; Assumptions'!$L$32,'Model Inputs &amp; Assumptions'!$A$40:$A$42,0))*INDEX('Model Inputs &amp; Assumptions'!$H$40:$H$42,MATCH('Model Inputs &amp; Assumptions'!$L$32,'Model Inputs &amp; Assumptions'!$A$40:$A$42,0))</f>
        <v>377638.11248519</v>
      </c>
      <c r="K2082" s="49" t="n">
        <f aca="false">H2082*INDEX('Model Inputs &amp; Assumptions'!$G$40:$G$42,MATCH('Model Inputs &amp; Assumptions'!$L$32,'Model Inputs &amp; Assumptions'!$A$40:$A$42,0))*INDEX('Model Inputs &amp; Assumptions'!$H$40:$H$42,MATCH('Model Inputs &amp; Assumptions'!$L$32,'Model Inputs &amp; Assumptions'!$A$40:$A$42,0))</f>
        <v>7930.40036218899</v>
      </c>
      <c r="L2082" s="51" t="n">
        <f aca="false">IFERROR(K2082/I2082,0)</f>
        <v>0.474299206697711</v>
      </c>
      <c r="M2082" s="49" t="n">
        <f aca="false">IFERROR(I2082/H2082,0)</f>
        <v>239.089583955965</v>
      </c>
      <c r="N2082" s="52" t="str">
        <f aca="false">'Model Inputs &amp; Assumptions'!$L$32</f>
        <v>PRD-SP01</v>
      </c>
      <c r="P2082" s="53" t="n">
        <v>0.647974</v>
      </c>
      <c r="Q2082" s="53" t="n">
        <v>-0.464775</v>
      </c>
      <c r="R2082" s="53" t="n">
        <v>-2.861428</v>
      </c>
      <c r="S2082" s="53" t="n">
        <v>-0.717856</v>
      </c>
    </row>
    <row r="2083" customFormat="false" ht="15" hidden="false" customHeight="false" outlineLevel="0" collapsed="false">
      <c r="A2083" s="43" t="n">
        <v>80</v>
      </c>
      <c r="B2083" s="44" t="str">
        <f aca="false">'Model Inputs &amp; Assumptions'!$B$32</f>
        <v>Trade Republic — In-App Display</v>
      </c>
      <c r="C2083" s="45" t="n">
        <f aca="false">ROUND(MAX(0,'Model Inputs &amp; Assumptions'!$S$32*EXP('Model Inputs &amp; Assumptions'!$T$32*P2083-'Model Inputs &amp; Assumptions'!$T$32^2/2)),0)</f>
        <v>559451</v>
      </c>
      <c r="D2083" s="46" t="n">
        <f aca="false">MIN(1,'Model Inputs &amp; Assumptions'!$U$32*EXP('Model Inputs &amp; Assumptions'!$V$32*Q2083-'Model Inputs &amp; Assumptions'!$V$32^2/2))</f>
        <v>0</v>
      </c>
      <c r="E2083" s="45" t="n">
        <f aca="false">ROUND(C2083*D2083,0)</f>
        <v>0</v>
      </c>
      <c r="F2083" s="47" t="n">
        <f aca="false">MIN(1,'Model Inputs &amp; Assumptions'!$W$32*EXP('Model Inputs &amp; Assumptions'!$X$32*R2083-'Model Inputs &amp; Assumptions'!$X$32^2/2))</f>
        <v>0.00376575912779208</v>
      </c>
      <c r="G2083" s="45" t="n">
        <f aca="false">ROUND(C2083*F2083,0)</f>
        <v>2107</v>
      </c>
      <c r="H2083" s="48" t="n">
        <f aca="false">MAX(0,(C2083*'Model Inputs &amp; Assumptions'!$N$32+E2083*'Model Inputs &amp; Assumptions'!$O$32+G2083*'Model Inputs &amp; Assumptions'!$P$32)*EXP('Model Inputs &amp; Assumptions'!$Q$32*S2083-'Model Inputs &amp; Assumptions'!$Q$32^2/2))</f>
        <v>75.2786396511431</v>
      </c>
      <c r="I2083" s="49" t="n">
        <f aca="false">IF('Model Inputs &amp; Assumptions'!$H$32="Fixed",'Model Inputs &amp; Assumptions'!$I$32*'Model Inputs &amp; Assumptions'!$K$32,IF('Model Inputs &amp; Assumptions'!$H$32="CPM",'Model Inputs &amp; Assumptions'!$I$32*'Model Inputs &amp; Assumptions'!$K$32*C2083/1000,IF('Model Inputs &amp; Assumptions'!$H$32="CPC",'Model Inputs &amp; Assumptions'!$I$32*'Model Inputs &amp; Assumptions'!$K$32*G2083,0)))</f>
        <v>6713.412</v>
      </c>
      <c r="J2083" s="50" t="n">
        <f aca="false">H2083*INDEX('Model Inputs &amp; Assumptions'!$D$40:$D$42,MATCH('Model Inputs &amp; Assumptions'!$L$32,'Model Inputs &amp; Assumptions'!$A$40:$A$42,0))*INDEX('Model Inputs &amp; Assumptions'!$H$40:$H$42,MATCH('Model Inputs &amp; Assumptions'!$L$32,'Model Inputs &amp; Assumptions'!$A$40:$A$42,0))</f>
        <v>406504.654116173</v>
      </c>
      <c r="K2083" s="49" t="n">
        <f aca="false">H2083*INDEX('Model Inputs &amp; Assumptions'!$G$40:$G$42,MATCH('Model Inputs &amp; Assumptions'!$L$32,'Model Inputs &amp; Assumptions'!$A$40:$A$42,0))*INDEX('Model Inputs &amp; Assumptions'!$H$40:$H$42,MATCH('Model Inputs &amp; Assumptions'!$L$32,'Model Inputs &amp; Assumptions'!$A$40:$A$42,0))</f>
        <v>8536.59773643962</v>
      </c>
      <c r="L2083" s="51" t="n">
        <f aca="false">IFERROR(K2083/I2083,0)</f>
        <v>1.27157364041409</v>
      </c>
      <c r="M2083" s="49" t="n">
        <f aca="false">IFERROR(I2083/H2083,0)</f>
        <v>89.1808357737514</v>
      </c>
      <c r="N2083" s="52" t="str">
        <f aca="false">'Model Inputs &amp; Assumptions'!$L$32</f>
        <v>PRD-SP01</v>
      </c>
      <c r="P2083" s="53" t="n">
        <v>-2.393735</v>
      </c>
      <c r="Q2083" s="53" t="n">
        <v>-0.174024</v>
      </c>
      <c r="R2083" s="53" t="n">
        <v>0.393955</v>
      </c>
      <c r="S2083" s="53" t="n">
        <v>-0.68404</v>
      </c>
    </row>
    <row r="2084" customFormat="false" ht="15" hidden="false" customHeight="false" outlineLevel="0" collapsed="false">
      <c r="A2084" s="43" t="n">
        <v>81</v>
      </c>
      <c r="B2084" s="44" t="str">
        <f aca="false">'Model Inputs &amp; Assumptions'!$B$32</f>
        <v>Trade Republic — In-App Display</v>
      </c>
      <c r="C2084" s="45" t="n">
        <f aca="false">ROUND(MAX(0,'Model Inputs &amp; Assumptions'!$S$32*EXP('Model Inputs &amp; Assumptions'!$T$32*P2084-'Model Inputs &amp; Assumptions'!$T$32^2/2)),0)</f>
        <v>1563021</v>
      </c>
      <c r="D2084" s="46" t="n">
        <f aca="false">MIN(1,'Model Inputs &amp; Assumptions'!$U$32*EXP('Model Inputs &amp; Assumptions'!$V$32*Q2084-'Model Inputs &amp; Assumptions'!$V$32^2/2))</f>
        <v>0</v>
      </c>
      <c r="E2084" s="45" t="n">
        <f aca="false">ROUND(C2084*D2084,0)</f>
        <v>0</v>
      </c>
      <c r="F2084" s="47" t="n">
        <f aca="false">MIN(1,'Model Inputs &amp; Assumptions'!$W$32*EXP('Model Inputs &amp; Assumptions'!$X$32*R2084-'Model Inputs &amp; Assumptions'!$X$32^2/2))</f>
        <v>0.00255817360542727</v>
      </c>
      <c r="G2084" s="45" t="n">
        <f aca="false">ROUND(C2084*F2084,0)</f>
        <v>3998</v>
      </c>
      <c r="H2084" s="48" t="n">
        <f aca="false">MAX(0,(C2084*'Model Inputs &amp; Assumptions'!$N$32+E2084*'Model Inputs &amp; Assumptions'!$O$32+G2084*'Model Inputs &amp; Assumptions'!$P$32)*EXP('Model Inputs &amp; Assumptions'!$Q$32*S2084-'Model Inputs &amp; Assumptions'!$Q$32^2/2))</f>
        <v>195.483536938934</v>
      </c>
      <c r="I2084" s="49" t="n">
        <f aca="false">IF('Model Inputs &amp; Assumptions'!$H$32="Fixed",'Model Inputs &amp; Assumptions'!$I$32*'Model Inputs &amp; Assumptions'!$K$32,IF('Model Inputs &amp; Assumptions'!$H$32="CPM",'Model Inputs &amp; Assumptions'!$I$32*'Model Inputs &amp; Assumptions'!$K$32*C2084/1000,IF('Model Inputs &amp; Assumptions'!$H$32="CPC",'Model Inputs &amp; Assumptions'!$I$32*'Model Inputs &amp; Assumptions'!$K$32*G2084,0)))</f>
        <v>18756.252</v>
      </c>
      <c r="J2084" s="50" t="n">
        <f aca="false">H2084*INDEX('Model Inputs &amp; Assumptions'!$D$40:$D$42,MATCH('Model Inputs &amp; Assumptions'!$L$32,'Model Inputs &amp; Assumptions'!$A$40:$A$42,0))*INDEX('Model Inputs &amp; Assumptions'!$H$40:$H$42,MATCH('Model Inputs &amp; Assumptions'!$L$32,'Model Inputs &amp; Assumptions'!$A$40:$A$42,0))</f>
        <v>1055611.09947024</v>
      </c>
      <c r="K2084" s="49" t="n">
        <f aca="false">H2084*INDEX('Model Inputs &amp; Assumptions'!$G$40:$G$42,MATCH('Model Inputs &amp; Assumptions'!$L$32,'Model Inputs &amp; Assumptions'!$A$40:$A$42,0))*INDEX('Model Inputs &amp; Assumptions'!$H$40:$H$42,MATCH('Model Inputs &amp; Assumptions'!$L$32,'Model Inputs &amp; Assumptions'!$A$40:$A$42,0))</f>
        <v>22167.8330888751</v>
      </c>
      <c r="L2084" s="51" t="n">
        <f aca="false">IFERROR(K2084/I2084,0)</f>
        <v>1.18189034189107</v>
      </c>
      <c r="M2084" s="49" t="n">
        <f aca="false">IFERROR(I2084/H2084,0)</f>
        <v>95.9479877114111</v>
      </c>
      <c r="N2084" s="52" t="str">
        <f aca="false">'Model Inputs &amp; Assumptions'!$L$32</f>
        <v>PRD-SP01</v>
      </c>
      <c r="P2084" s="53" t="n">
        <v>1.030997</v>
      </c>
      <c r="Q2084" s="53" t="n">
        <v>-1.214252</v>
      </c>
      <c r="R2084" s="53" t="n">
        <v>-0.894898</v>
      </c>
      <c r="S2084" s="53" t="n">
        <v>0.436498</v>
      </c>
    </row>
    <row r="2085" customFormat="false" ht="15" hidden="false" customHeight="false" outlineLevel="0" collapsed="false">
      <c r="A2085" s="43" t="n">
        <v>82</v>
      </c>
      <c r="B2085" s="44" t="str">
        <f aca="false">'Model Inputs &amp; Assumptions'!$B$32</f>
        <v>Trade Republic — In-App Display</v>
      </c>
      <c r="C2085" s="45" t="n">
        <f aca="false">ROUND(MAX(0,'Model Inputs &amp; Assumptions'!$S$32*EXP('Model Inputs &amp; Assumptions'!$T$32*P2085-'Model Inputs &amp; Assumptions'!$T$32^2/2)),0)</f>
        <v>906953</v>
      </c>
      <c r="D2085" s="46" t="n">
        <f aca="false">MIN(1,'Model Inputs &amp; Assumptions'!$U$32*EXP('Model Inputs &amp; Assumptions'!$V$32*Q2085-'Model Inputs &amp; Assumptions'!$V$32^2/2))</f>
        <v>0</v>
      </c>
      <c r="E2085" s="45" t="n">
        <f aca="false">ROUND(C2085*D2085,0)</f>
        <v>0</v>
      </c>
      <c r="F2085" s="47" t="n">
        <f aca="false">MIN(1,'Model Inputs &amp; Assumptions'!$W$32*EXP('Model Inputs &amp; Assumptions'!$X$32*R2085-'Model Inputs &amp; Assumptions'!$X$32^2/2))</f>
        <v>0.00341163165649432</v>
      </c>
      <c r="G2085" s="45" t="n">
        <f aca="false">ROUND(C2085*F2085,0)</f>
        <v>3094</v>
      </c>
      <c r="H2085" s="48" t="n">
        <f aca="false">MAX(0,(C2085*'Model Inputs &amp; Assumptions'!$N$32+E2085*'Model Inputs &amp; Assumptions'!$O$32+G2085*'Model Inputs &amp; Assumptions'!$P$32)*EXP('Model Inputs &amp; Assumptions'!$Q$32*S2085-'Model Inputs &amp; Assumptions'!$Q$32^2/2))</f>
        <v>188.497179124852</v>
      </c>
      <c r="I2085" s="49" t="n">
        <f aca="false">IF('Model Inputs &amp; Assumptions'!$H$32="Fixed",'Model Inputs &amp; Assumptions'!$I$32*'Model Inputs &amp; Assumptions'!$K$32,IF('Model Inputs &amp; Assumptions'!$H$32="CPM",'Model Inputs &amp; Assumptions'!$I$32*'Model Inputs &amp; Assumptions'!$K$32*C2085/1000,IF('Model Inputs &amp; Assumptions'!$H$32="CPC",'Model Inputs &amp; Assumptions'!$I$32*'Model Inputs &amp; Assumptions'!$K$32*G2085,0)))</f>
        <v>10883.436</v>
      </c>
      <c r="J2085" s="50" t="n">
        <f aca="false">H2085*INDEX('Model Inputs &amp; Assumptions'!$D$40:$D$42,MATCH('Model Inputs &amp; Assumptions'!$L$32,'Model Inputs &amp; Assumptions'!$A$40:$A$42,0))*INDEX('Model Inputs &amp; Assumptions'!$H$40:$H$42,MATCH('Model Inputs &amp; Assumptions'!$L$32,'Model Inputs &amp; Assumptions'!$A$40:$A$42,0))</f>
        <v>1017884.7672742</v>
      </c>
      <c r="K2085" s="49" t="n">
        <f aca="false">H2085*INDEX('Model Inputs &amp; Assumptions'!$G$40:$G$42,MATCH('Model Inputs &amp; Assumptions'!$L$32,'Model Inputs &amp; Assumptions'!$A$40:$A$42,0))*INDEX('Model Inputs &amp; Assumptions'!$H$40:$H$42,MATCH('Model Inputs &amp; Assumptions'!$L$32,'Model Inputs &amp; Assumptions'!$A$40:$A$42,0))</f>
        <v>21375.5801127582</v>
      </c>
      <c r="L2085" s="51" t="n">
        <f aca="false">IFERROR(K2085/I2085,0)</f>
        <v>1.96404702639481</v>
      </c>
      <c r="M2085" s="49" t="n">
        <f aca="false">IFERROR(I2085/H2085,0)</f>
        <v>57.7379250476279</v>
      </c>
      <c r="N2085" s="52" t="str">
        <f aca="false">'Model Inputs &amp; Assumptions'!$L$32</f>
        <v>PRD-SP01</v>
      </c>
      <c r="P2085" s="53" t="n">
        <v>-0.783289</v>
      </c>
      <c r="Q2085" s="53" t="n">
        <v>-1.648886</v>
      </c>
      <c r="R2085" s="53" t="n">
        <v>0.064759</v>
      </c>
      <c r="S2085" s="53" t="n">
        <v>1.221985</v>
      </c>
    </row>
    <row r="2086" customFormat="false" ht="15" hidden="false" customHeight="false" outlineLevel="0" collapsed="false">
      <c r="A2086" s="43" t="n">
        <v>83</v>
      </c>
      <c r="B2086" s="44" t="str">
        <f aca="false">'Model Inputs &amp; Assumptions'!$B$32</f>
        <v>Trade Republic — In-App Display</v>
      </c>
      <c r="C2086" s="45" t="n">
        <f aca="false">ROUND(MAX(0,'Model Inputs &amp; Assumptions'!$S$32*EXP('Model Inputs &amp; Assumptions'!$T$32*P2086-'Model Inputs &amp; Assumptions'!$T$32^2/2)),0)</f>
        <v>1167976</v>
      </c>
      <c r="D2086" s="46" t="n">
        <f aca="false">MIN(1,'Model Inputs &amp; Assumptions'!$U$32*EXP('Model Inputs &amp; Assumptions'!$V$32*Q2086-'Model Inputs &amp; Assumptions'!$V$32^2/2))</f>
        <v>0</v>
      </c>
      <c r="E2086" s="45" t="n">
        <f aca="false">ROUND(C2086*D2086,0)</f>
        <v>0</v>
      </c>
      <c r="F2086" s="47" t="n">
        <f aca="false">MIN(1,'Model Inputs &amp; Assumptions'!$W$32*EXP('Model Inputs &amp; Assumptions'!$X$32*R2086-'Model Inputs &amp; Assumptions'!$X$32^2/2))</f>
        <v>0.00355330077935539</v>
      </c>
      <c r="G2086" s="45" t="n">
        <f aca="false">ROUND(C2086*F2086,0)</f>
        <v>4150</v>
      </c>
      <c r="H2086" s="48" t="n">
        <f aca="false">MAX(0,(C2086*'Model Inputs &amp; Assumptions'!$N$32+E2086*'Model Inputs &amp; Assumptions'!$O$32+G2086*'Model Inputs &amp; Assumptions'!$P$32)*EXP('Model Inputs &amp; Assumptions'!$Q$32*S2086-'Model Inputs &amp; Assumptions'!$Q$32^2/2))</f>
        <v>143.154110248917</v>
      </c>
      <c r="I2086" s="49" t="n">
        <f aca="false">IF('Model Inputs &amp; Assumptions'!$H$32="Fixed",'Model Inputs &amp; Assumptions'!$I$32*'Model Inputs &amp; Assumptions'!$K$32,IF('Model Inputs &amp; Assumptions'!$H$32="CPM",'Model Inputs &amp; Assumptions'!$I$32*'Model Inputs &amp; Assumptions'!$K$32*C2086/1000,IF('Model Inputs &amp; Assumptions'!$H$32="CPC",'Model Inputs &amp; Assumptions'!$I$32*'Model Inputs &amp; Assumptions'!$K$32*G2086,0)))</f>
        <v>14015.712</v>
      </c>
      <c r="J2086" s="50" t="n">
        <f aca="false">H2086*INDEX('Model Inputs &amp; Assumptions'!$D$40:$D$42,MATCH('Model Inputs &amp; Assumptions'!$L$32,'Model Inputs &amp; Assumptions'!$A$40:$A$42,0))*INDEX('Model Inputs &amp; Assumptions'!$H$40:$H$42,MATCH('Model Inputs &amp; Assumptions'!$L$32,'Model Inputs &amp; Assumptions'!$A$40:$A$42,0))</f>
        <v>773032.195344149</v>
      </c>
      <c r="K2086" s="49" t="n">
        <f aca="false">H2086*INDEX('Model Inputs &amp; Assumptions'!$G$40:$G$42,MATCH('Model Inputs &amp; Assumptions'!$L$32,'Model Inputs &amp; Assumptions'!$A$40:$A$42,0))*INDEX('Model Inputs &amp; Assumptions'!$H$40:$H$42,MATCH('Model Inputs &amp; Assumptions'!$L$32,'Model Inputs &amp; Assumptions'!$A$40:$A$42,0))</f>
        <v>16233.6761022271</v>
      </c>
      <c r="L2086" s="51" t="n">
        <f aca="false">IFERROR(K2086/I2086,0)</f>
        <v>1.15824840737503</v>
      </c>
      <c r="M2086" s="49" t="n">
        <f aca="false">IFERROR(I2086/H2086,0)</f>
        <v>97.906458820005</v>
      </c>
      <c r="N2086" s="52" t="str">
        <f aca="false">'Model Inputs &amp; Assumptions'!$L$32</f>
        <v>PRD-SP01</v>
      </c>
      <c r="P2086" s="53" t="n">
        <v>0.059836</v>
      </c>
      <c r="Q2086" s="53" t="n">
        <v>0.036774</v>
      </c>
      <c r="R2086" s="53" t="n">
        <v>0.20038</v>
      </c>
      <c r="S2086" s="53" t="n">
        <v>-0.809461</v>
      </c>
    </row>
    <row r="2087" customFormat="false" ht="15" hidden="false" customHeight="false" outlineLevel="0" collapsed="false">
      <c r="A2087" s="43" t="n">
        <v>84</v>
      </c>
      <c r="B2087" s="44" t="str">
        <f aca="false">'Model Inputs &amp; Assumptions'!$B$32</f>
        <v>Trade Republic — In-App Display</v>
      </c>
      <c r="C2087" s="45" t="n">
        <f aca="false">ROUND(MAX(0,'Model Inputs &amp; Assumptions'!$S$32*EXP('Model Inputs &amp; Assumptions'!$T$32*P2087-'Model Inputs &amp; Assumptions'!$T$32^2/2)),0)</f>
        <v>1002481</v>
      </c>
      <c r="D2087" s="46" t="n">
        <f aca="false">MIN(1,'Model Inputs &amp; Assumptions'!$U$32*EXP('Model Inputs &amp; Assumptions'!$V$32*Q2087-'Model Inputs &amp; Assumptions'!$V$32^2/2))</f>
        <v>0</v>
      </c>
      <c r="E2087" s="45" t="n">
        <f aca="false">ROUND(C2087*D2087,0)</f>
        <v>0</v>
      </c>
      <c r="F2087" s="47" t="n">
        <f aca="false">MIN(1,'Model Inputs &amp; Assumptions'!$W$32*EXP('Model Inputs &amp; Assumptions'!$X$32*R2087-'Model Inputs &amp; Assumptions'!$X$32^2/2))</f>
        <v>0.00347816747864731</v>
      </c>
      <c r="G2087" s="45" t="n">
        <f aca="false">ROUND(C2087*F2087,0)</f>
        <v>3487</v>
      </c>
      <c r="H2087" s="48" t="n">
        <f aca="false">MAX(0,(C2087*'Model Inputs &amp; Assumptions'!$N$32+E2087*'Model Inputs &amp; Assumptions'!$O$32+G2087*'Model Inputs &amp; Assumptions'!$P$32)*EXP('Model Inputs &amp; Assumptions'!$Q$32*S2087-'Model Inputs &amp; Assumptions'!$Q$32^2/2))</f>
        <v>128.587259671047</v>
      </c>
      <c r="I2087" s="49" t="n">
        <f aca="false">IF('Model Inputs &amp; Assumptions'!$H$32="Fixed",'Model Inputs &amp; Assumptions'!$I$32*'Model Inputs &amp; Assumptions'!$K$32,IF('Model Inputs &amp; Assumptions'!$H$32="CPM",'Model Inputs &amp; Assumptions'!$I$32*'Model Inputs &amp; Assumptions'!$K$32*C2087/1000,IF('Model Inputs &amp; Assumptions'!$H$32="CPC",'Model Inputs &amp; Assumptions'!$I$32*'Model Inputs &amp; Assumptions'!$K$32*G2087,0)))</f>
        <v>12029.772</v>
      </c>
      <c r="J2087" s="50" t="n">
        <f aca="false">H2087*INDEX('Model Inputs &amp; Assumptions'!$D$40:$D$42,MATCH('Model Inputs &amp; Assumptions'!$L$32,'Model Inputs &amp; Assumptions'!$A$40:$A$42,0))*INDEX('Model Inputs &amp; Assumptions'!$H$40:$H$42,MATCH('Model Inputs &amp; Assumptions'!$L$32,'Model Inputs &amp; Assumptions'!$A$40:$A$42,0))</f>
        <v>694371.202223652</v>
      </c>
      <c r="K2087" s="49" t="n">
        <f aca="false">H2087*INDEX('Model Inputs &amp; Assumptions'!$G$40:$G$42,MATCH('Model Inputs &amp; Assumptions'!$L$32,'Model Inputs &amp; Assumptions'!$A$40:$A$42,0))*INDEX('Model Inputs &amp; Assumptions'!$H$40:$H$42,MATCH('Model Inputs &amp; Assumptions'!$L$32,'Model Inputs &amp; Assumptions'!$A$40:$A$42,0))</f>
        <v>14581.7952466967</v>
      </c>
      <c r="L2087" s="51" t="n">
        <f aca="false">IFERROR(K2087/I2087,0)</f>
        <v>1.21214227889745</v>
      </c>
      <c r="M2087" s="49" t="n">
        <f aca="false">IFERROR(I2087/H2087,0)</f>
        <v>93.5533740339027</v>
      </c>
      <c r="N2087" s="52" t="str">
        <f aca="false">'Model Inputs &amp; Assumptions'!$L$32</f>
        <v>PRD-SP01</v>
      </c>
      <c r="P2087" s="53" t="n">
        <v>-0.44948</v>
      </c>
      <c r="Q2087" s="53" t="n">
        <v>-0.588704</v>
      </c>
      <c r="R2087" s="53" t="n">
        <v>0.129142</v>
      </c>
      <c r="S2087" s="53" t="n">
        <v>-0.571059</v>
      </c>
    </row>
    <row r="2088" customFormat="false" ht="15" hidden="false" customHeight="false" outlineLevel="0" collapsed="false">
      <c r="A2088" s="43" t="n">
        <v>85</v>
      </c>
      <c r="B2088" s="44" t="str">
        <f aca="false">'Model Inputs &amp; Assumptions'!$B$32</f>
        <v>Trade Republic — In-App Display</v>
      </c>
      <c r="C2088" s="45" t="n">
        <f aca="false">ROUND(MAX(0,'Model Inputs &amp; Assumptions'!$S$32*EXP('Model Inputs &amp; Assumptions'!$T$32*P2088-'Model Inputs &amp; Assumptions'!$T$32^2/2)),0)</f>
        <v>1474613</v>
      </c>
      <c r="D2088" s="46" t="n">
        <f aca="false">MIN(1,'Model Inputs &amp; Assumptions'!$U$32*EXP('Model Inputs &amp; Assumptions'!$V$32*Q2088-'Model Inputs &amp; Assumptions'!$V$32^2/2))</f>
        <v>0</v>
      </c>
      <c r="E2088" s="45" t="n">
        <f aca="false">ROUND(C2088*D2088,0)</f>
        <v>0</v>
      </c>
      <c r="F2088" s="47" t="n">
        <f aca="false">MIN(1,'Model Inputs &amp; Assumptions'!$W$32*EXP('Model Inputs &amp; Assumptions'!$X$32*R2088-'Model Inputs &amp; Assumptions'!$X$32^2/2))</f>
        <v>0.00198757373950407</v>
      </c>
      <c r="G2088" s="45" t="n">
        <f aca="false">ROUND(C2088*F2088,0)</f>
        <v>2931</v>
      </c>
      <c r="H2088" s="48" t="n">
        <f aca="false">MAX(0,(C2088*'Model Inputs &amp; Assumptions'!$N$32+E2088*'Model Inputs &amp; Assumptions'!$O$32+G2088*'Model Inputs &amp; Assumptions'!$P$32)*EXP('Model Inputs &amp; Assumptions'!$Q$32*S2088-'Model Inputs &amp; Assumptions'!$Q$32^2/2))</f>
        <v>147.538109440885</v>
      </c>
      <c r="I2088" s="49" t="n">
        <f aca="false">IF('Model Inputs &amp; Assumptions'!$H$32="Fixed",'Model Inputs &amp; Assumptions'!$I$32*'Model Inputs &amp; Assumptions'!$K$32,IF('Model Inputs &amp; Assumptions'!$H$32="CPM",'Model Inputs &amp; Assumptions'!$I$32*'Model Inputs &amp; Assumptions'!$K$32*C2088/1000,IF('Model Inputs &amp; Assumptions'!$H$32="CPC",'Model Inputs &amp; Assumptions'!$I$32*'Model Inputs &amp; Assumptions'!$K$32*G2088,0)))</f>
        <v>17695.356</v>
      </c>
      <c r="J2088" s="50" t="n">
        <f aca="false">H2088*INDEX('Model Inputs &amp; Assumptions'!$D$40:$D$42,MATCH('Model Inputs &amp; Assumptions'!$L$32,'Model Inputs &amp; Assumptions'!$A$40:$A$42,0))*INDEX('Model Inputs &amp; Assumptions'!$H$40:$H$42,MATCH('Model Inputs &amp; Assumptions'!$L$32,'Model Inputs &amp; Assumptions'!$A$40:$A$42,0))</f>
        <v>796705.790980779</v>
      </c>
      <c r="K2088" s="49" t="n">
        <f aca="false">H2088*INDEX('Model Inputs &amp; Assumptions'!$G$40:$G$42,MATCH('Model Inputs &amp; Assumptions'!$L$32,'Model Inputs &amp; Assumptions'!$A$40:$A$42,0))*INDEX('Model Inputs &amp; Assumptions'!$H$40:$H$42,MATCH('Model Inputs &amp; Assumptions'!$L$32,'Model Inputs &amp; Assumptions'!$A$40:$A$42,0))</f>
        <v>16730.8216105964</v>
      </c>
      <c r="L2088" s="51" t="n">
        <f aca="false">IFERROR(K2088/I2088,0)</f>
        <v>0.945492230311521</v>
      </c>
      <c r="M2088" s="49" t="n">
        <f aca="false">IFERROR(I2088/H2088,0)</f>
        <v>119.937527104413</v>
      </c>
      <c r="N2088" s="52" t="str">
        <f aca="false">'Model Inputs &amp; Assumptions'!$L$32</f>
        <v>PRD-SP01</v>
      </c>
      <c r="P2088" s="53" t="n">
        <v>0.836914</v>
      </c>
      <c r="Q2088" s="53" t="n">
        <v>-1.512489</v>
      </c>
      <c r="R2088" s="53" t="n">
        <v>-1.736161</v>
      </c>
      <c r="S2088" s="53" t="n">
        <v>0.540287</v>
      </c>
    </row>
    <row r="2089" customFormat="false" ht="15" hidden="false" customHeight="false" outlineLevel="0" collapsed="false">
      <c r="A2089" s="43" t="n">
        <v>86</v>
      </c>
      <c r="B2089" s="44" t="str">
        <f aca="false">'Model Inputs &amp; Assumptions'!$B$32</f>
        <v>Trade Republic — In-App Display</v>
      </c>
      <c r="C2089" s="45" t="n">
        <f aca="false">ROUND(MAX(0,'Model Inputs &amp; Assumptions'!$S$32*EXP('Model Inputs &amp; Assumptions'!$T$32*P2089-'Model Inputs &amp; Assumptions'!$T$32^2/2)),0)</f>
        <v>1194309</v>
      </c>
      <c r="D2089" s="46" t="n">
        <f aca="false">MIN(1,'Model Inputs &amp; Assumptions'!$U$32*EXP('Model Inputs &amp; Assumptions'!$V$32*Q2089-'Model Inputs &amp; Assumptions'!$V$32^2/2))</f>
        <v>0</v>
      </c>
      <c r="E2089" s="45" t="n">
        <f aca="false">ROUND(C2089*D2089,0)</f>
        <v>0</v>
      </c>
      <c r="F2089" s="47" t="n">
        <f aca="false">MIN(1,'Model Inputs &amp; Assumptions'!$W$32*EXP('Model Inputs &amp; Assumptions'!$X$32*R2089-'Model Inputs &amp; Assumptions'!$X$32^2/2))</f>
        <v>0.00359597285708447</v>
      </c>
      <c r="G2089" s="45" t="n">
        <f aca="false">ROUND(C2089*F2089,0)</f>
        <v>4295</v>
      </c>
      <c r="H2089" s="48" t="n">
        <f aca="false">MAX(0,(C2089*'Model Inputs &amp; Assumptions'!$N$32+E2089*'Model Inputs &amp; Assumptions'!$O$32+G2089*'Model Inputs &amp; Assumptions'!$P$32)*EXP('Model Inputs &amp; Assumptions'!$Q$32*S2089-'Model Inputs &amp; Assumptions'!$Q$32^2/2))</f>
        <v>115.849990074917</v>
      </c>
      <c r="I2089" s="49" t="n">
        <f aca="false">IF('Model Inputs &amp; Assumptions'!$H$32="Fixed",'Model Inputs &amp; Assumptions'!$I$32*'Model Inputs &amp; Assumptions'!$K$32,IF('Model Inputs &amp; Assumptions'!$H$32="CPM",'Model Inputs &amp; Assumptions'!$I$32*'Model Inputs &amp; Assumptions'!$K$32*C2089/1000,IF('Model Inputs &amp; Assumptions'!$H$32="CPC",'Model Inputs &amp; Assumptions'!$I$32*'Model Inputs &amp; Assumptions'!$K$32*G2089,0)))</f>
        <v>14331.708</v>
      </c>
      <c r="J2089" s="50" t="n">
        <f aca="false">H2089*INDEX('Model Inputs &amp; Assumptions'!$D$40:$D$42,MATCH('Model Inputs &amp; Assumptions'!$L$32,'Model Inputs &amp; Assumptions'!$A$40:$A$42,0))*INDEX('Model Inputs &amp; Assumptions'!$H$40:$H$42,MATCH('Model Inputs &amp; Assumptions'!$L$32,'Model Inputs &amp; Assumptions'!$A$40:$A$42,0))</f>
        <v>625589.946404552</v>
      </c>
      <c r="K2089" s="49" t="n">
        <f aca="false">H2089*INDEX('Model Inputs &amp; Assumptions'!$G$40:$G$42,MATCH('Model Inputs &amp; Assumptions'!$L$32,'Model Inputs &amp; Assumptions'!$A$40:$A$42,0))*INDEX('Model Inputs &amp; Assumptions'!$H$40:$H$42,MATCH('Model Inputs &amp; Assumptions'!$L$32,'Model Inputs &amp; Assumptions'!$A$40:$A$42,0))</f>
        <v>13137.3888744956</v>
      </c>
      <c r="L2089" s="51" t="n">
        <f aca="false">IFERROR(K2089/I2089,0)</f>
        <v>0.916665960156011</v>
      </c>
      <c r="M2089" s="49" t="n">
        <f aca="false">IFERROR(I2089/H2089,0)</f>
        <v>123.709186256573</v>
      </c>
      <c r="N2089" s="52" t="str">
        <f aca="false">'Model Inputs &amp; Assumptions'!$L$32</f>
        <v>PRD-SP01</v>
      </c>
      <c r="P2089" s="53" t="n">
        <v>0.134153</v>
      </c>
      <c r="Q2089" s="53" t="n">
        <v>0.473008</v>
      </c>
      <c r="R2089" s="53" t="n">
        <v>0.240172</v>
      </c>
      <c r="S2089" s="53" t="n">
        <v>-1.687921</v>
      </c>
    </row>
    <row r="2090" customFormat="false" ht="15" hidden="false" customHeight="false" outlineLevel="0" collapsed="false">
      <c r="A2090" s="43" t="n">
        <v>87</v>
      </c>
      <c r="B2090" s="44" t="str">
        <f aca="false">'Model Inputs &amp; Assumptions'!$B$32</f>
        <v>Trade Republic — In-App Display</v>
      </c>
      <c r="C2090" s="45" t="n">
        <f aca="false">ROUND(MAX(0,'Model Inputs &amp; Assumptions'!$S$32*EXP('Model Inputs &amp; Assumptions'!$T$32*P2090-'Model Inputs &amp; Assumptions'!$T$32^2/2)),0)</f>
        <v>1440084</v>
      </c>
      <c r="D2090" s="46" t="n">
        <f aca="false">MIN(1,'Model Inputs &amp; Assumptions'!$U$32*EXP('Model Inputs &amp; Assumptions'!$V$32*Q2090-'Model Inputs &amp; Assumptions'!$V$32^2/2))</f>
        <v>0</v>
      </c>
      <c r="E2090" s="45" t="n">
        <f aca="false">ROUND(C2090*D2090,0)</f>
        <v>0</v>
      </c>
      <c r="F2090" s="47" t="n">
        <f aca="false">MIN(1,'Model Inputs &amp; Assumptions'!$W$32*EXP('Model Inputs &amp; Assumptions'!$X$32*R2090-'Model Inputs &amp; Assumptions'!$X$32^2/2))</f>
        <v>0.00276644545937562</v>
      </c>
      <c r="G2090" s="45" t="n">
        <f aca="false">ROUND(C2090*F2090,0)</f>
        <v>3984</v>
      </c>
      <c r="H2090" s="48" t="n">
        <f aca="false">MAX(0,(C2090*'Model Inputs &amp; Assumptions'!$N$32+E2090*'Model Inputs &amp; Assumptions'!$O$32+G2090*'Model Inputs &amp; Assumptions'!$P$32)*EXP('Model Inputs &amp; Assumptions'!$Q$32*S2090-'Model Inputs &amp; Assumptions'!$Q$32^2/2))</f>
        <v>267.438948262397</v>
      </c>
      <c r="I2090" s="49" t="n">
        <f aca="false">IF('Model Inputs &amp; Assumptions'!$H$32="Fixed",'Model Inputs &amp; Assumptions'!$I$32*'Model Inputs &amp; Assumptions'!$K$32,IF('Model Inputs &amp; Assumptions'!$H$32="CPM",'Model Inputs &amp; Assumptions'!$I$32*'Model Inputs &amp; Assumptions'!$K$32*C2090/1000,IF('Model Inputs &amp; Assumptions'!$H$32="CPC",'Model Inputs &amp; Assumptions'!$I$32*'Model Inputs &amp; Assumptions'!$K$32*G2090,0)))</f>
        <v>17281.008</v>
      </c>
      <c r="J2090" s="50" t="n">
        <f aca="false">H2090*INDEX('Model Inputs &amp; Assumptions'!$D$40:$D$42,MATCH('Model Inputs &amp; Assumptions'!$L$32,'Model Inputs &amp; Assumptions'!$A$40:$A$42,0))*INDEX('Model Inputs &amp; Assumptions'!$H$40:$H$42,MATCH('Model Inputs &amp; Assumptions'!$L$32,'Model Inputs &amp; Assumptions'!$A$40:$A$42,0))</f>
        <v>1444170.32061694</v>
      </c>
      <c r="K2090" s="49" t="n">
        <f aca="false">H2090*INDEX('Model Inputs &amp; Assumptions'!$G$40:$G$42,MATCH('Model Inputs &amp; Assumptions'!$L$32,'Model Inputs &amp; Assumptions'!$A$40:$A$42,0))*INDEX('Model Inputs &amp; Assumptions'!$H$40:$H$42,MATCH('Model Inputs &amp; Assumptions'!$L$32,'Model Inputs &amp; Assumptions'!$A$40:$A$42,0))</f>
        <v>30327.5767329558</v>
      </c>
      <c r="L2090" s="51" t="n">
        <f aca="false">IFERROR(K2090/I2090,0)</f>
        <v>1.75496572497136</v>
      </c>
      <c r="M2090" s="49" t="n">
        <f aca="false">IFERROR(I2090/H2090,0)</f>
        <v>64.6166465740241</v>
      </c>
      <c r="N2090" s="52" t="str">
        <f aca="false">'Model Inputs &amp; Assumptions'!$L$32</f>
        <v>PRD-SP01</v>
      </c>
      <c r="P2090" s="53" t="n">
        <v>0.757932</v>
      </c>
      <c r="Q2090" s="53" t="n">
        <v>-1.480509</v>
      </c>
      <c r="R2090" s="53" t="n">
        <v>-0.633999</v>
      </c>
      <c r="S2090" s="53" t="n">
        <v>1.568366</v>
      </c>
    </row>
    <row r="2091" customFormat="false" ht="15" hidden="false" customHeight="false" outlineLevel="0" collapsed="false">
      <c r="A2091" s="43" t="n">
        <v>88</v>
      </c>
      <c r="B2091" s="44" t="str">
        <f aca="false">'Model Inputs &amp; Assumptions'!$B$32</f>
        <v>Trade Republic — In-App Display</v>
      </c>
      <c r="C2091" s="45" t="n">
        <f aca="false">ROUND(MAX(0,'Model Inputs &amp; Assumptions'!$S$32*EXP('Model Inputs &amp; Assumptions'!$T$32*P2091-'Model Inputs &amp; Assumptions'!$T$32^2/2)),0)</f>
        <v>713255</v>
      </c>
      <c r="D2091" s="46" t="n">
        <f aca="false">MIN(1,'Model Inputs &amp; Assumptions'!$U$32*EXP('Model Inputs &amp; Assumptions'!$V$32*Q2091-'Model Inputs &amp; Assumptions'!$V$32^2/2))</f>
        <v>0</v>
      </c>
      <c r="E2091" s="45" t="n">
        <f aca="false">ROUND(C2091*D2091,0)</f>
        <v>0</v>
      </c>
      <c r="F2091" s="47" t="n">
        <f aca="false">MIN(1,'Model Inputs &amp; Assumptions'!$W$32*EXP('Model Inputs &amp; Assumptions'!$X$32*R2091-'Model Inputs &amp; Assumptions'!$X$32^2/2))</f>
        <v>0.00285765674334169</v>
      </c>
      <c r="G2091" s="45" t="n">
        <f aca="false">ROUND(C2091*F2091,0)</f>
        <v>2038</v>
      </c>
      <c r="H2091" s="48" t="n">
        <f aca="false">MAX(0,(C2091*'Model Inputs &amp; Assumptions'!$N$32+E2091*'Model Inputs &amp; Assumptions'!$O$32+G2091*'Model Inputs &amp; Assumptions'!$P$32)*EXP('Model Inputs &amp; Assumptions'!$Q$32*S2091-'Model Inputs &amp; Assumptions'!$Q$32^2/2))</f>
        <v>68.4545693841592</v>
      </c>
      <c r="I2091" s="49" t="n">
        <f aca="false">IF('Model Inputs &amp; Assumptions'!$H$32="Fixed",'Model Inputs &amp; Assumptions'!$I$32*'Model Inputs &amp; Assumptions'!$K$32,IF('Model Inputs &amp; Assumptions'!$H$32="CPM",'Model Inputs &amp; Assumptions'!$I$32*'Model Inputs &amp; Assumptions'!$K$32*C2091/1000,IF('Model Inputs &amp; Assumptions'!$H$32="CPC",'Model Inputs &amp; Assumptions'!$I$32*'Model Inputs &amp; Assumptions'!$K$32*G2091,0)))</f>
        <v>8559.06</v>
      </c>
      <c r="J2091" s="50" t="n">
        <f aca="false">H2091*INDEX('Model Inputs &amp; Assumptions'!$D$40:$D$42,MATCH('Model Inputs &amp; Assumptions'!$L$32,'Model Inputs &amp; Assumptions'!$A$40:$A$42,0))*INDEX('Model Inputs &amp; Assumptions'!$H$40:$H$42,MATCH('Model Inputs &amp; Assumptions'!$L$32,'Model Inputs &amp; Assumptions'!$A$40:$A$42,0))</f>
        <v>369654.67467446</v>
      </c>
      <c r="K2091" s="49" t="n">
        <f aca="false">H2091*INDEX('Model Inputs &amp; Assumptions'!$G$40:$G$42,MATCH('Model Inputs &amp; Assumptions'!$L$32,'Model Inputs &amp; Assumptions'!$A$40:$A$42,0))*INDEX('Model Inputs &amp; Assumptions'!$H$40:$H$42,MATCH('Model Inputs &amp; Assumptions'!$L$32,'Model Inputs &amp; Assumptions'!$A$40:$A$42,0))</f>
        <v>7762.74816816365</v>
      </c>
      <c r="L2091" s="51" t="n">
        <f aca="false">IFERROR(K2091/I2091,0)</f>
        <v>0.906962700128712</v>
      </c>
      <c r="M2091" s="49" t="n">
        <f aca="false">IFERROR(I2091/H2091,0)</f>
        <v>125.032705296377</v>
      </c>
      <c r="N2091" s="52" t="str">
        <f aca="false">'Model Inputs &amp; Assumptions'!$L$32</f>
        <v>PRD-SP01</v>
      </c>
      <c r="P2091" s="53" t="n">
        <v>-1.584126</v>
      </c>
      <c r="Q2091" s="53" t="n">
        <v>2.209909</v>
      </c>
      <c r="R2091" s="53" t="n">
        <v>-0.52587</v>
      </c>
      <c r="S2091" s="53" t="n">
        <v>-0.904504</v>
      </c>
    </row>
    <row r="2092" customFormat="false" ht="15" hidden="false" customHeight="false" outlineLevel="0" collapsed="false">
      <c r="A2092" s="43" t="n">
        <v>89</v>
      </c>
      <c r="B2092" s="44" t="str">
        <f aca="false">'Model Inputs &amp; Assumptions'!$B$32</f>
        <v>Trade Republic — In-App Display</v>
      </c>
      <c r="C2092" s="45" t="n">
        <f aca="false">ROUND(MAX(0,'Model Inputs &amp; Assumptions'!$S$32*EXP('Model Inputs &amp; Assumptions'!$T$32*P2092-'Model Inputs &amp; Assumptions'!$T$32^2/2)),0)</f>
        <v>981993</v>
      </c>
      <c r="D2092" s="46" t="n">
        <f aca="false">MIN(1,'Model Inputs &amp; Assumptions'!$U$32*EXP('Model Inputs &amp; Assumptions'!$V$32*Q2092-'Model Inputs &amp; Assumptions'!$V$32^2/2))</f>
        <v>0</v>
      </c>
      <c r="E2092" s="45" t="n">
        <f aca="false">ROUND(C2092*D2092,0)</f>
        <v>0</v>
      </c>
      <c r="F2092" s="47" t="n">
        <f aca="false">MIN(1,'Model Inputs &amp; Assumptions'!$W$32*EXP('Model Inputs &amp; Assumptions'!$X$32*R2092-'Model Inputs &amp; Assumptions'!$X$32^2/2))</f>
        <v>0.00321460332821361</v>
      </c>
      <c r="G2092" s="45" t="n">
        <f aca="false">ROUND(C2092*F2092,0)</f>
        <v>3157</v>
      </c>
      <c r="H2092" s="48" t="n">
        <f aca="false">MAX(0,(C2092*'Model Inputs &amp; Assumptions'!$N$32+E2092*'Model Inputs &amp; Assumptions'!$O$32+G2092*'Model Inputs &amp; Assumptions'!$P$32)*EXP('Model Inputs &amp; Assumptions'!$Q$32*S2092-'Model Inputs &amp; Assumptions'!$Q$32^2/2))</f>
        <v>147.373641280777</v>
      </c>
      <c r="I2092" s="49" t="n">
        <f aca="false">IF('Model Inputs &amp; Assumptions'!$H$32="Fixed",'Model Inputs &amp; Assumptions'!$I$32*'Model Inputs &amp; Assumptions'!$K$32,IF('Model Inputs &amp; Assumptions'!$H$32="CPM",'Model Inputs &amp; Assumptions'!$I$32*'Model Inputs &amp; Assumptions'!$K$32*C2092/1000,IF('Model Inputs &amp; Assumptions'!$H$32="CPC",'Model Inputs &amp; Assumptions'!$I$32*'Model Inputs &amp; Assumptions'!$K$32*G2092,0)))</f>
        <v>11783.916</v>
      </c>
      <c r="J2092" s="50" t="n">
        <f aca="false">H2092*INDEX('Model Inputs &amp; Assumptions'!$D$40:$D$42,MATCH('Model Inputs &amp; Assumptions'!$L$32,'Model Inputs &amp; Assumptions'!$A$40:$A$42,0))*INDEX('Model Inputs &amp; Assumptions'!$H$40:$H$42,MATCH('Model Inputs &amp; Assumptions'!$L$32,'Model Inputs &amp; Assumptions'!$A$40:$A$42,0))</f>
        <v>795817.662916194</v>
      </c>
      <c r="K2092" s="49" t="n">
        <f aca="false">H2092*INDEX('Model Inputs &amp; Assumptions'!$G$40:$G$42,MATCH('Model Inputs &amp; Assumptions'!$L$32,'Model Inputs &amp; Assumptions'!$A$40:$A$42,0))*INDEX('Model Inputs &amp; Assumptions'!$H$40:$H$42,MATCH('Model Inputs &amp; Assumptions'!$L$32,'Model Inputs &amp; Assumptions'!$A$40:$A$42,0))</f>
        <v>16712.1709212401</v>
      </c>
      <c r="L2092" s="51" t="n">
        <f aca="false">IFERROR(K2092/I2092,0)</f>
        <v>1.41821877559549</v>
      </c>
      <c r="M2092" s="49" t="n">
        <f aca="false">IFERROR(I2092/H2092,0)</f>
        <v>79.959454740955</v>
      </c>
      <c r="N2092" s="52" t="str">
        <f aca="false">'Model Inputs &amp; Assumptions'!$L$32</f>
        <v>PRD-SP01</v>
      </c>
      <c r="P2092" s="53" t="n">
        <v>-0.518308</v>
      </c>
      <c r="Q2092" s="53" t="n">
        <v>0.101984</v>
      </c>
      <c r="R2092" s="53" t="n">
        <v>-0.13353</v>
      </c>
      <c r="S2092" s="53" t="n">
        <v>0.271023</v>
      </c>
    </row>
    <row r="2093" customFormat="false" ht="15" hidden="false" customHeight="false" outlineLevel="0" collapsed="false">
      <c r="A2093" s="43" t="n">
        <v>90</v>
      </c>
      <c r="B2093" s="44" t="str">
        <f aca="false">'Model Inputs &amp; Assumptions'!$B$32</f>
        <v>Trade Republic — In-App Display</v>
      </c>
      <c r="C2093" s="45" t="n">
        <f aca="false">ROUND(MAX(0,'Model Inputs &amp; Assumptions'!$S$32*EXP('Model Inputs &amp; Assumptions'!$T$32*P2093-'Model Inputs &amp; Assumptions'!$T$32^2/2)),0)</f>
        <v>1340307</v>
      </c>
      <c r="D2093" s="46" t="n">
        <f aca="false">MIN(1,'Model Inputs &amp; Assumptions'!$U$32*EXP('Model Inputs &amp; Assumptions'!$V$32*Q2093-'Model Inputs &amp; Assumptions'!$V$32^2/2))</f>
        <v>0</v>
      </c>
      <c r="E2093" s="45" t="n">
        <f aca="false">ROUND(C2093*D2093,0)</f>
        <v>0</v>
      </c>
      <c r="F2093" s="47" t="n">
        <f aca="false">MIN(1,'Model Inputs &amp; Assumptions'!$W$32*EXP('Model Inputs &amp; Assumptions'!$X$32*R2093-'Model Inputs &amp; Assumptions'!$X$32^2/2))</f>
        <v>0.00338159931767748</v>
      </c>
      <c r="G2093" s="45" t="n">
        <f aca="false">ROUND(C2093*F2093,0)</f>
        <v>4532</v>
      </c>
      <c r="H2093" s="48" t="n">
        <f aca="false">MAX(0,(C2093*'Model Inputs &amp; Assumptions'!$N$32+E2093*'Model Inputs &amp; Assumptions'!$O$32+G2093*'Model Inputs &amp; Assumptions'!$P$32)*EXP('Model Inputs &amp; Assumptions'!$Q$32*S2093-'Model Inputs &amp; Assumptions'!$Q$32^2/2))</f>
        <v>218.641532959563</v>
      </c>
      <c r="I2093" s="49" t="n">
        <f aca="false">IF('Model Inputs &amp; Assumptions'!$H$32="Fixed",'Model Inputs &amp; Assumptions'!$I$32*'Model Inputs &amp; Assumptions'!$K$32,IF('Model Inputs &amp; Assumptions'!$H$32="CPM",'Model Inputs &amp; Assumptions'!$I$32*'Model Inputs &amp; Assumptions'!$K$32*C2093/1000,IF('Model Inputs &amp; Assumptions'!$H$32="CPC",'Model Inputs &amp; Assumptions'!$I$32*'Model Inputs &amp; Assumptions'!$K$32*G2093,0)))</f>
        <v>16083.684</v>
      </c>
      <c r="J2093" s="50" t="n">
        <f aca="false">H2093*INDEX('Model Inputs &amp; Assumptions'!$D$40:$D$42,MATCH('Model Inputs &amp; Assumptions'!$L$32,'Model Inputs &amp; Assumptions'!$A$40:$A$42,0))*INDEX('Model Inputs &amp; Assumptions'!$H$40:$H$42,MATCH('Model Inputs &amp; Assumptions'!$L$32,'Model Inputs &amp; Assumptions'!$A$40:$A$42,0))</f>
        <v>1180664.27798164</v>
      </c>
      <c r="K2093" s="49" t="n">
        <f aca="false">H2093*INDEX('Model Inputs &amp; Assumptions'!$G$40:$G$42,MATCH('Model Inputs &amp; Assumptions'!$L$32,'Model Inputs &amp; Assumptions'!$A$40:$A$42,0))*INDEX('Model Inputs &amp; Assumptions'!$H$40:$H$42,MATCH('Model Inputs &amp; Assumptions'!$L$32,'Model Inputs &amp; Assumptions'!$A$40:$A$42,0))</f>
        <v>24793.9498376144</v>
      </c>
      <c r="L2093" s="51" t="n">
        <f aca="false">IFERROR(K2093/I2093,0)</f>
        <v>1.54155912523613</v>
      </c>
      <c r="M2093" s="49" t="n">
        <f aca="false">IFERROR(I2093/H2093,0)</f>
        <v>73.5618881842301</v>
      </c>
      <c r="N2093" s="52" t="str">
        <f aca="false">'Model Inputs &amp; Assumptions'!$L$32</f>
        <v>PRD-SP01</v>
      </c>
      <c r="P2093" s="53" t="n">
        <v>0.518591</v>
      </c>
      <c r="Q2093" s="53" t="n">
        <v>0.196833</v>
      </c>
      <c r="R2093" s="53" t="n">
        <v>0.035286</v>
      </c>
      <c r="S2093" s="53" t="n">
        <v>0.388599</v>
      </c>
    </row>
    <row r="2094" customFormat="false" ht="15" hidden="false" customHeight="false" outlineLevel="0" collapsed="false">
      <c r="A2094" s="43" t="n">
        <v>91</v>
      </c>
      <c r="B2094" s="44" t="str">
        <f aca="false">'Model Inputs &amp; Assumptions'!$B$32</f>
        <v>Trade Republic — In-App Display</v>
      </c>
      <c r="C2094" s="45" t="n">
        <f aca="false">ROUND(MAX(0,'Model Inputs &amp; Assumptions'!$S$32*EXP('Model Inputs &amp; Assumptions'!$T$32*P2094-'Model Inputs &amp; Assumptions'!$T$32^2/2)),0)</f>
        <v>721847</v>
      </c>
      <c r="D2094" s="46" t="n">
        <f aca="false">MIN(1,'Model Inputs &amp; Assumptions'!$U$32*EXP('Model Inputs &amp; Assumptions'!$V$32*Q2094-'Model Inputs &amp; Assumptions'!$V$32^2/2))</f>
        <v>0</v>
      </c>
      <c r="E2094" s="45" t="n">
        <f aca="false">ROUND(C2094*D2094,0)</f>
        <v>0</v>
      </c>
      <c r="F2094" s="47" t="n">
        <f aca="false">MIN(1,'Model Inputs &amp; Assumptions'!$W$32*EXP('Model Inputs &amp; Assumptions'!$X$32*R2094-'Model Inputs &amp; Assumptions'!$X$32^2/2))</f>
        <v>0.00414014399442882</v>
      </c>
      <c r="G2094" s="45" t="n">
        <f aca="false">ROUND(C2094*F2094,0)</f>
        <v>2989</v>
      </c>
      <c r="H2094" s="48" t="n">
        <f aca="false">MAX(0,(C2094*'Model Inputs &amp; Assumptions'!$N$32+E2094*'Model Inputs &amp; Assumptions'!$O$32+G2094*'Model Inputs &amp; Assumptions'!$P$32)*EXP('Model Inputs &amp; Assumptions'!$Q$32*S2094-'Model Inputs &amp; Assumptions'!$Q$32^2/2))</f>
        <v>131.831639883414</v>
      </c>
      <c r="I2094" s="49" t="n">
        <f aca="false">IF('Model Inputs &amp; Assumptions'!$H$32="Fixed",'Model Inputs &amp; Assumptions'!$I$32*'Model Inputs &amp; Assumptions'!$K$32,IF('Model Inputs &amp; Assumptions'!$H$32="CPM",'Model Inputs &amp; Assumptions'!$I$32*'Model Inputs &amp; Assumptions'!$K$32*C2094/1000,IF('Model Inputs &amp; Assumptions'!$H$32="CPC",'Model Inputs &amp; Assumptions'!$I$32*'Model Inputs &amp; Assumptions'!$K$32*G2094,0)))</f>
        <v>8662.164</v>
      </c>
      <c r="J2094" s="50" t="n">
        <f aca="false">H2094*INDEX('Model Inputs &amp; Assumptions'!$D$40:$D$42,MATCH('Model Inputs &amp; Assumptions'!$L$32,'Model Inputs &amp; Assumptions'!$A$40:$A$42,0))*INDEX('Model Inputs &amp; Assumptions'!$H$40:$H$42,MATCH('Model Inputs &amp; Assumptions'!$L$32,'Model Inputs &amp; Assumptions'!$A$40:$A$42,0))</f>
        <v>711890.855370436</v>
      </c>
      <c r="K2094" s="49" t="n">
        <f aca="false">H2094*INDEX('Model Inputs &amp; Assumptions'!$G$40:$G$42,MATCH('Model Inputs &amp; Assumptions'!$L$32,'Model Inputs &amp; Assumptions'!$A$40:$A$42,0))*INDEX('Model Inputs &amp; Assumptions'!$H$40:$H$42,MATCH('Model Inputs &amp; Assumptions'!$L$32,'Model Inputs &amp; Assumptions'!$A$40:$A$42,0))</f>
        <v>14949.7079627792</v>
      </c>
      <c r="L2094" s="51" t="n">
        <f aca="false">IFERROR(K2094/I2094,0)</f>
        <v>1.72586295558236</v>
      </c>
      <c r="M2094" s="49" t="n">
        <f aca="false">IFERROR(I2094/H2094,0)</f>
        <v>65.7062599514079</v>
      </c>
      <c r="N2094" s="52" t="str">
        <f aca="false">'Model Inputs &amp; Assumptions'!$L$32</f>
        <v>PRD-SP01</v>
      </c>
      <c r="P2094" s="53" t="n">
        <v>-1.54421</v>
      </c>
      <c r="Q2094" s="53" t="n">
        <v>0.545889</v>
      </c>
      <c r="R2094" s="53" t="n">
        <v>0.709892</v>
      </c>
      <c r="S2094" s="53" t="n">
        <v>0.068301</v>
      </c>
    </row>
    <row r="2095" customFormat="false" ht="15" hidden="false" customHeight="false" outlineLevel="0" collapsed="false">
      <c r="A2095" s="43" t="n">
        <v>92</v>
      </c>
      <c r="B2095" s="44" t="str">
        <f aca="false">'Model Inputs &amp; Assumptions'!$B$32</f>
        <v>Trade Republic — In-App Display</v>
      </c>
      <c r="C2095" s="45" t="n">
        <f aca="false">ROUND(MAX(0,'Model Inputs &amp; Assumptions'!$S$32*EXP('Model Inputs &amp; Assumptions'!$T$32*P2095-'Model Inputs &amp; Assumptions'!$T$32^2/2)),0)</f>
        <v>866327</v>
      </c>
      <c r="D2095" s="46" t="n">
        <f aca="false">MIN(1,'Model Inputs &amp; Assumptions'!$U$32*EXP('Model Inputs &amp; Assumptions'!$V$32*Q2095-'Model Inputs &amp; Assumptions'!$V$32^2/2))</f>
        <v>0</v>
      </c>
      <c r="E2095" s="45" t="n">
        <f aca="false">ROUND(C2095*D2095,0)</f>
        <v>0</v>
      </c>
      <c r="F2095" s="47" t="n">
        <f aca="false">MIN(1,'Model Inputs &amp; Assumptions'!$W$32*EXP('Model Inputs &amp; Assumptions'!$X$32*R2095-'Model Inputs &amp; Assumptions'!$X$32^2/2))</f>
        <v>0.00269006045811095</v>
      </c>
      <c r="G2095" s="45" t="n">
        <f aca="false">ROUND(C2095*F2095,0)</f>
        <v>2330</v>
      </c>
      <c r="H2095" s="48" t="n">
        <f aca="false">MAX(0,(C2095*'Model Inputs &amp; Assumptions'!$N$32+E2095*'Model Inputs &amp; Assumptions'!$O$32+G2095*'Model Inputs &amp; Assumptions'!$P$32)*EXP('Model Inputs &amp; Assumptions'!$Q$32*S2095-'Model Inputs &amp; Assumptions'!$Q$32^2/2))</f>
        <v>87.4889445471077</v>
      </c>
      <c r="I2095" s="49" t="n">
        <f aca="false">IF('Model Inputs &amp; Assumptions'!$H$32="Fixed",'Model Inputs &amp; Assumptions'!$I$32*'Model Inputs &amp; Assumptions'!$K$32,IF('Model Inputs &amp; Assumptions'!$H$32="CPM",'Model Inputs &amp; Assumptions'!$I$32*'Model Inputs &amp; Assumptions'!$K$32*C2095/1000,IF('Model Inputs &amp; Assumptions'!$H$32="CPC",'Model Inputs &amp; Assumptions'!$I$32*'Model Inputs &amp; Assumptions'!$K$32*G2095,0)))</f>
        <v>10395.924</v>
      </c>
      <c r="J2095" s="50" t="n">
        <f aca="false">H2095*INDEX('Model Inputs &amp; Assumptions'!$D$40:$D$42,MATCH('Model Inputs &amp; Assumptions'!$L$32,'Model Inputs &amp; Assumptions'!$A$40:$A$42,0))*INDEX('Model Inputs &amp; Assumptions'!$H$40:$H$42,MATCH('Model Inputs &amp; Assumptions'!$L$32,'Model Inputs &amp; Assumptions'!$A$40:$A$42,0))</f>
        <v>472440.300554382</v>
      </c>
      <c r="K2095" s="49" t="n">
        <f aca="false">H2095*INDEX('Model Inputs &amp; Assumptions'!$G$40:$G$42,MATCH('Model Inputs &amp; Assumptions'!$L$32,'Model Inputs &amp; Assumptions'!$A$40:$A$42,0))*INDEX('Model Inputs &amp; Assumptions'!$H$40:$H$42,MATCH('Model Inputs &amp; Assumptions'!$L$32,'Model Inputs &amp; Assumptions'!$A$40:$A$42,0))</f>
        <v>9921.24631164201</v>
      </c>
      <c r="L2095" s="51" t="n">
        <f aca="false">IFERROR(K2095/I2095,0)</f>
        <v>0.954340019380866</v>
      </c>
      <c r="M2095" s="49" t="n">
        <f aca="false">IFERROR(I2095/H2095,0)</f>
        <v>118.825573377473</v>
      </c>
      <c r="N2095" s="52" t="str">
        <f aca="false">'Model Inputs &amp; Assumptions'!$L$32</f>
        <v>PRD-SP01</v>
      </c>
      <c r="P2095" s="53" t="n">
        <v>-0.936047</v>
      </c>
      <c r="Q2095" s="53" t="n">
        <v>-0.279531</v>
      </c>
      <c r="R2095" s="53" t="n">
        <v>-0.727331</v>
      </c>
      <c r="S2095" s="53" t="n">
        <v>-0.506494</v>
      </c>
    </row>
    <row r="2096" customFormat="false" ht="15" hidden="false" customHeight="false" outlineLevel="0" collapsed="false">
      <c r="A2096" s="43" t="n">
        <v>93</v>
      </c>
      <c r="B2096" s="44" t="str">
        <f aca="false">'Model Inputs &amp; Assumptions'!$B$32</f>
        <v>Trade Republic — In-App Display</v>
      </c>
      <c r="C2096" s="45" t="n">
        <f aca="false">ROUND(MAX(0,'Model Inputs &amp; Assumptions'!$S$32*EXP('Model Inputs &amp; Assumptions'!$T$32*P2096-'Model Inputs &amp; Assumptions'!$T$32^2/2)),0)</f>
        <v>1474145</v>
      </c>
      <c r="D2096" s="46" t="n">
        <f aca="false">MIN(1,'Model Inputs &amp; Assumptions'!$U$32*EXP('Model Inputs &amp; Assumptions'!$V$32*Q2096-'Model Inputs &amp; Assumptions'!$V$32^2/2))</f>
        <v>0</v>
      </c>
      <c r="E2096" s="45" t="n">
        <f aca="false">ROUND(C2096*D2096,0)</f>
        <v>0</v>
      </c>
      <c r="F2096" s="47" t="n">
        <f aca="false">MIN(1,'Model Inputs &amp; Assumptions'!$W$32*EXP('Model Inputs &amp; Assumptions'!$X$32*R2096-'Model Inputs &amp; Assumptions'!$X$32^2/2))</f>
        <v>0.00298513439265291</v>
      </c>
      <c r="G2096" s="45" t="n">
        <f aca="false">ROUND(C2096*F2096,0)</f>
        <v>4401</v>
      </c>
      <c r="H2096" s="48" t="n">
        <f aca="false">MAX(0,(C2096*'Model Inputs &amp; Assumptions'!$N$32+E2096*'Model Inputs &amp; Assumptions'!$O$32+G2096*'Model Inputs &amp; Assumptions'!$P$32)*EXP('Model Inputs &amp; Assumptions'!$Q$32*S2096-'Model Inputs &amp; Assumptions'!$Q$32^2/2))</f>
        <v>293.343030740197</v>
      </c>
      <c r="I2096" s="49" t="n">
        <f aca="false">IF('Model Inputs &amp; Assumptions'!$H$32="Fixed",'Model Inputs &amp; Assumptions'!$I$32*'Model Inputs &amp; Assumptions'!$K$32,IF('Model Inputs &amp; Assumptions'!$H$32="CPM",'Model Inputs &amp; Assumptions'!$I$32*'Model Inputs &amp; Assumptions'!$K$32*C2096/1000,IF('Model Inputs &amp; Assumptions'!$H$32="CPC",'Model Inputs &amp; Assumptions'!$I$32*'Model Inputs &amp; Assumptions'!$K$32*G2096,0)))</f>
        <v>17689.74</v>
      </c>
      <c r="J2096" s="50" t="n">
        <f aca="false">H2096*INDEX('Model Inputs &amp; Assumptions'!$D$40:$D$42,MATCH('Model Inputs &amp; Assumptions'!$L$32,'Model Inputs &amp; Assumptions'!$A$40:$A$42,0))*INDEX('Model Inputs &amp; Assumptions'!$H$40:$H$42,MATCH('Model Inputs &amp; Assumptions'!$L$32,'Model Inputs &amp; Assumptions'!$A$40:$A$42,0))</f>
        <v>1584052.36599706</v>
      </c>
      <c r="K2096" s="49" t="n">
        <f aca="false">H2096*INDEX('Model Inputs &amp; Assumptions'!$G$40:$G$42,MATCH('Model Inputs &amp; Assumptions'!$L$32,'Model Inputs &amp; Assumptions'!$A$40:$A$42,0))*INDEX('Model Inputs &amp; Assumptions'!$H$40:$H$42,MATCH('Model Inputs &amp; Assumptions'!$L$32,'Model Inputs &amp; Assumptions'!$A$40:$A$42,0))</f>
        <v>33265.0996859383</v>
      </c>
      <c r="L2096" s="51" t="n">
        <f aca="false">IFERROR(K2096/I2096,0)</f>
        <v>1.88047420063485</v>
      </c>
      <c r="M2096" s="49" t="n">
        <f aca="false">IFERROR(I2096/H2096,0)</f>
        <v>60.30393820969</v>
      </c>
      <c r="N2096" s="52" t="str">
        <f aca="false">'Model Inputs &amp; Assumptions'!$L$32</f>
        <v>PRD-SP01</v>
      </c>
      <c r="P2096" s="53" t="n">
        <v>0.835855</v>
      </c>
      <c r="Q2096" s="53" t="n">
        <v>-0.181165</v>
      </c>
      <c r="R2096" s="53" t="n">
        <v>-0.380394</v>
      </c>
      <c r="S2096" s="53" t="n">
        <v>1.54303</v>
      </c>
    </row>
    <row r="2097" customFormat="false" ht="15" hidden="false" customHeight="false" outlineLevel="0" collapsed="false">
      <c r="A2097" s="43" t="n">
        <v>94</v>
      </c>
      <c r="B2097" s="44" t="str">
        <f aca="false">'Model Inputs &amp; Assumptions'!$B$32</f>
        <v>Trade Republic — In-App Display</v>
      </c>
      <c r="C2097" s="45" t="n">
        <f aca="false">ROUND(MAX(0,'Model Inputs &amp; Assumptions'!$S$32*EXP('Model Inputs &amp; Assumptions'!$T$32*P2097-'Model Inputs &amp; Assumptions'!$T$32^2/2)),0)</f>
        <v>1394742</v>
      </c>
      <c r="D2097" s="46" t="n">
        <f aca="false">MIN(1,'Model Inputs &amp; Assumptions'!$U$32*EXP('Model Inputs &amp; Assumptions'!$V$32*Q2097-'Model Inputs &amp; Assumptions'!$V$32^2/2))</f>
        <v>0</v>
      </c>
      <c r="E2097" s="45" t="n">
        <f aca="false">ROUND(C2097*D2097,0)</f>
        <v>0</v>
      </c>
      <c r="F2097" s="47" t="n">
        <f aca="false">MIN(1,'Model Inputs &amp; Assumptions'!$W$32*EXP('Model Inputs &amp; Assumptions'!$X$32*R2097-'Model Inputs &amp; Assumptions'!$X$32^2/2))</f>
        <v>0.0038986255521532</v>
      </c>
      <c r="G2097" s="45" t="n">
        <f aca="false">ROUND(C2097*F2097,0)</f>
        <v>5438</v>
      </c>
      <c r="H2097" s="48" t="n">
        <f aca="false">MAX(0,(C2097*'Model Inputs &amp; Assumptions'!$N$32+E2097*'Model Inputs &amp; Assumptions'!$O$32+G2097*'Model Inputs &amp; Assumptions'!$P$32)*EXP('Model Inputs &amp; Assumptions'!$Q$32*S2097-'Model Inputs &amp; Assumptions'!$Q$32^2/2))</f>
        <v>224.874861411807</v>
      </c>
      <c r="I2097" s="49" t="n">
        <f aca="false">IF('Model Inputs &amp; Assumptions'!$H$32="Fixed",'Model Inputs &amp; Assumptions'!$I$32*'Model Inputs &amp; Assumptions'!$K$32,IF('Model Inputs &amp; Assumptions'!$H$32="CPM",'Model Inputs &amp; Assumptions'!$I$32*'Model Inputs &amp; Assumptions'!$K$32*C2097/1000,IF('Model Inputs &amp; Assumptions'!$H$32="CPC",'Model Inputs &amp; Assumptions'!$I$32*'Model Inputs &amp; Assumptions'!$K$32*G2097,0)))</f>
        <v>16736.904</v>
      </c>
      <c r="J2097" s="50" t="n">
        <f aca="false">H2097*INDEX('Model Inputs &amp; Assumptions'!$D$40:$D$42,MATCH('Model Inputs &amp; Assumptions'!$L$32,'Model Inputs &amp; Assumptions'!$A$40:$A$42,0))*INDEX('Model Inputs &amp; Assumptions'!$H$40:$H$42,MATCH('Model Inputs &amp; Assumptions'!$L$32,'Model Inputs &amp; Assumptions'!$A$40:$A$42,0))</f>
        <v>1214324.25162376</v>
      </c>
      <c r="K2097" s="49" t="n">
        <f aca="false">H2097*INDEX('Model Inputs &amp; Assumptions'!$G$40:$G$42,MATCH('Model Inputs &amp; Assumptions'!$L$32,'Model Inputs &amp; Assumptions'!$A$40:$A$42,0))*INDEX('Model Inputs &amp; Assumptions'!$H$40:$H$42,MATCH('Model Inputs &amp; Assumptions'!$L$32,'Model Inputs &amp; Assumptions'!$A$40:$A$42,0))</f>
        <v>25500.8092840989</v>
      </c>
      <c r="L2097" s="51" t="n">
        <f aca="false">IFERROR(K2097/I2097,0)</f>
        <v>1.52362762456539</v>
      </c>
      <c r="M2097" s="49" t="n">
        <f aca="false">IFERROR(I2097/H2097,0)</f>
        <v>74.4276345293669</v>
      </c>
      <c r="N2097" s="52" t="str">
        <f aca="false">'Model Inputs &amp; Assumptions'!$L$32</f>
        <v>PRD-SP01</v>
      </c>
      <c r="P2097" s="53" t="n">
        <v>0.651292</v>
      </c>
      <c r="Q2097" s="53" t="n">
        <v>-1.42145</v>
      </c>
      <c r="R2097" s="53" t="n">
        <v>0.509537</v>
      </c>
      <c r="S2097" s="53" t="n">
        <v>-0.161892</v>
      </c>
    </row>
    <row r="2098" customFormat="false" ht="15" hidden="false" customHeight="false" outlineLevel="0" collapsed="false">
      <c r="A2098" s="43" t="n">
        <v>95</v>
      </c>
      <c r="B2098" s="44" t="str">
        <f aca="false">'Model Inputs &amp; Assumptions'!$B$32</f>
        <v>Trade Republic — In-App Display</v>
      </c>
      <c r="C2098" s="45" t="n">
        <f aca="false">ROUND(MAX(0,'Model Inputs &amp; Assumptions'!$S$32*EXP('Model Inputs &amp; Assumptions'!$T$32*P2098-'Model Inputs &amp; Assumptions'!$T$32^2/2)),0)</f>
        <v>1487502</v>
      </c>
      <c r="D2098" s="46" t="n">
        <f aca="false">MIN(1,'Model Inputs &amp; Assumptions'!$U$32*EXP('Model Inputs &amp; Assumptions'!$V$32*Q2098-'Model Inputs &amp; Assumptions'!$V$32^2/2))</f>
        <v>0</v>
      </c>
      <c r="E2098" s="45" t="n">
        <f aca="false">ROUND(C2098*D2098,0)</f>
        <v>0</v>
      </c>
      <c r="F2098" s="47" t="n">
        <f aca="false">MIN(1,'Model Inputs &amp; Assumptions'!$W$32*EXP('Model Inputs &amp; Assumptions'!$X$32*R2098-'Model Inputs &amp; Assumptions'!$X$32^2/2))</f>
        <v>0.00377204226068426</v>
      </c>
      <c r="G2098" s="45" t="n">
        <f aca="false">ROUND(C2098*F2098,0)</f>
        <v>5611</v>
      </c>
      <c r="H2098" s="48" t="n">
        <f aca="false">MAX(0,(C2098*'Model Inputs &amp; Assumptions'!$N$32+E2098*'Model Inputs &amp; Assumptions'!$O$32+G2098*'Model Inputs &amp; Assumptions'!$P$32)*EXP('Model Inputs &amp; Assumptions'!$Q$32*S2098-'Model Inputs &amp; Assumptions'!$Q$32^2/2))</f>
        <v>253.692495648225</v>
      </c>
      <c r="I2098" s="49" t="n">
        <f aca="false">IF('Model Inputs &amp; Assumptions'!$H$32="Fixed",'Model Inputs &amp; Assumptions'!$I$32*'Model Inputs &amp; Assumptions'!$K$32,IF('Model Inputs &amp; Assumptions'!$H$32="CPM",'Model Inputs &amp; Assumptions'!$I$32*'Model Inputs &amp; Assumptions'!$K$32*C2098/1000,IF('Model Inputs &amp; Assumptions'!$H$32="CPC",'Model Inputs &amp; Assumptions'!$I$32*'Model Inputs &amp; Assumptions'!$K$32*G2098,0)))</f>
        <v>17850.024</v>
      </c>
      <c r="J2098" s="50" t="n">
        <f aca="false">H2098*INDEX('Model Inputs &amp; Assumptions'!$D$40:$D$42,MATCH('Model Inputs &amp; Assumptions'!$L$32,'Model Inputs &amp; Assumptions'!$A$40:$A$42,0))*INDEX('Model Inputs &amp; Assumptions'!$H$40:$H$42,MATCH('Model Inputs &amp; Assumptions'!$L$32,'Model Inputs &amp; Assumptions'!$A$40:$A$42,0))</f>
        <v>1369939.47650042</v>
      </c>
      <c r="K2098" s="49" t="n">
        <f aca="false">H2098*INDEX('Model Inputs &amp; Assumptions'!$G$40:$G$42,MATCH('Model Inputs &amp; Assumptions'!$L$32,'Model Inputs &amp; Assumptions'!$A$40:$A$42,0))*INDEX('Model Inputs &amp; Assumptions'!$H$40:$H$42,MATCH('Model Inputs &amp; Assumptions'!$L$32,'Model Inputs &amp; Assumptions'!$A$40:$A$42,0))</f>
        <v>28768.7290065087</v>
      </c>
      <c r="L2098" s="51" t="n">
        <f aca="false">IFERROR(K2098/I2098,0)</f>
        <v>1.61169133478525</v>
      </c>
      <c r="M2098" s="49" t="n">
        <f aca="false">IFERROR(I2098/H2098,0)</f>
        <v>70.3608672159983</v>
      </c>
      <c r="N2098" s="52" t="str">
        <f aca="false">'Model Inputs &amp; Assumptions'!$L$32</f>
        <v>PRD-SP01</v>
      </c>
      <c r="P2098" s="53" t="n">
        <v>0.865922</v>
      </c>
      <c r="Q2098" s="53" t="n">
        <v>-0.087806</v>
      </c>
      <c r="R2098" s="53" t="n">
        <v>0.399512</v>
      </c>
      <c r="S2098" s="53" t="n">
        <v>0.156898</v>
      </c>
    </row>
    <row r="2099" customFormat="false" ht="15" hidden="false" customHeight="false" outlineLevel="0" collapsed="false">
      <c r="A2099" s="43" t="n">
        <v>96</v>
      </c>
      <c r="B2099" s="44" t="str">
        <f aca="false">'Model Inputs &amp; Assumptions'!$B$32</f>
        <v>Trade Republic — In-App Display</v>
      </c>
      <c r="C2099" s="45" t="n">
        <f aca="false">ROUND(MAX(0,'Model Inputs &amp; Assumptions'!$S$32*EXP('Model Inputs &amp; Assumptions'!$T$32*P2099-'Model Inputs &amp; Assumptions'!$T$32^2/2)),0)</f>
        <v>926741</v>
      </c>
      <c r="D2099" s="46" t="n">
        <f aca="false">MIN(1,'Model Inputs &amp; Assumptions'!$U$32*EXP('Model Inputs &amp; Assumptions'!$V$32*Q2099-'Model Inputs &amp; Assumptions'!$V$32^2/2))</f>
        <v>0</v>
      </c>
      <c r="E2099" s="45" t="n">
        <f aca="false">ROUND(C2099*D2099,0)</f>
        <v>0</v>
      </c>
      <c r="F2099" s="47" t="n">
        <f aca="false">MIN(1,'Model Inputs &amp; Assumptions'!$W$32*EXP('Model Inputs &amp; Assumptions'!$X$32*R2099-'Model Inputs &amp; Assumptions'!$X$32^2/2))</f>
        <v>0.00542962281570471</v>
      </c>
      <c r="G2099" s="45" t="n">
        <f aca="false">ROUND(C2099*F2099,0)</f>
        <v>5032</v>
      </c>
      <c r="H2099" s="48" t="n">
        <f aca="false">MAX(0,(C2099*'Model Inputs &amp; Assumptions'!$N$32+E2099*'Model Inputs &amp; Assumptions'!$O$32+G2099*'Model Inputs &amp; Assumptions'!$P$32)*EXP('Model Inputs &amp; Assumptions'!$Q$32*S2099-'Model Inputs &amp; Assumptions'!$Q$32^2/2))</f>
        <v>222.18380042471</v>
      </c>
      <c r="I2099" s="49" t="n">
        <f aca="false">IF('Model Inputs &amp; Assumptions'!$H$32="Fixed",'Model Inputs &amp; Assumptions'!$I$32*'Model Inputs &amp; Assumptions'!$K$32,IF('Model Inputs &amp; Assumptions'!$H$32="CPM",'Model Inputs &amp; Assumptions'!$I$32*'Model Inputs &amp; Assumptions'!$K$32*C2099/1000,IF('Model Inputs &amp; Assumptions'!$H$32="CPC",'Model Inputs &amp; Assumptions'!$I$32*'Model Inputs &amp; Assumptions'!$K$32*G2099,0)))</f>
        <v>11120.892</v>
      </c>
      <c r="J2099" s="50" t="n">
        <f aca="false">H2099*INDEX('Model Inputs &amp; Assumptions'!$D$40:$D$42,MATCH('Model Inputs &amp; Assumptions'!$L$32,'Model Inputs &amp; Assumptions'!$A$40:$A$42,0))*INDEX('Model Inputs &amp; Assumptions'!$H$40:$H$42,MATCH('Model Inputs &amp; Assumptions'!$L$32,'Model Inputs &amp; Assumptions'!$A$40:$A$42,0))</f>
        <v>1199792.52229343</v>
      </c>
      <c r="K2099" s="49" t="n">
        <f aca="false">H2099*INDEX('Model Inputs &amp; Assumptions'!$G$40:$G$42,MATCH('Model Inputs &amp; Assumptions'!$L$32,'Model Inputs &amp; Assumptions'!$A$40:$A$42,0))*INDEX('Model Inputs &amp; Assumptions'!$H$40:$H$42,MATCH('Model Inputs &amp; Assumptions'!$L$32,'Model Inputs &amp; Assumptions'!$A$40:$A$42,0))</f>
        <v>25195.6429681621</v>
      </c>
      <c r="L2099" s="51" t="n">
        <f aca="false">IFERROR(K2099/I2099,0)</f>
        <v>2.26561349288907</v>
      </c>
      <c r="M2099" s="49" t="n">
        <f aca="false">IFERROR(I2099/H2099,0)</f>
        <v>50.0526680106387</v>
      </c>
      <c r="N2099" s="52" t="str">
        <f aca="false">'Model Inputs &amp; Assumptions'!$L$32</f>
        <v>PRD-SP01</v>
      </c>
      <c r="P2099" s="53" t="n">
        <v>-0.711343</v>
      </c>
      <c r="Q2099" s="53" t="n">
        <v>0.059967</v>
      </c>
      <c r="R2099" s="53" t="n">
        <v>1.613689</v>
      </c>
      <c r="S2099" s="53" t="n">
        <v>0.072232</v>
      </c>
    </row>
    <row r="2100" customFormat="false" ht="15" hidden="false" customHeight="false" outlineLevel="0" collapsed="false">
      <c r="A2100" s="43" t="n">
        <v>97</v>
      </c>
      <c r="B2100" s="44" t="str">
        <f aca="false">'Model Inputs &amp; Assumptions'!$B$32</f>
        <v>Trade Republic — In-App Display</v>
      </c>
      <c r="C2100" s="45" t="n">
        <f aca="false">ROUND(MAX(0,'Model Inputs &amp; Assumptions'!$S$32*EXP('Model Inputs &amp; Assumptions'!$T$32*P2100-'Model Inputs &amp; Assumptions'!$T$32^2/2)),0)</f>
        <v>1060085</v>
      </c>
      <c r="D2100" s="46" t="n">
        <f aca="false">MIN(1,'Model Inputs &amp; Assumptions'!$U$32*EXP('Model Inputs &amp; Assumptions'!$V$32*Q2100-'Model Inputs &amp; Assumptions'!$V$32^2/2))</f>
        <v>0</v>
      </c>
      <c r="E2100" s="45" t="n">
        <f aca="false">ROUND(C2100*D2100,0)</f>
        <v>0</v>
      </c>
      <c r="F2100" s="47" t="n">
        <f aca="false">MIN(1,'Model Inputs &amp; Assumptions'!$W$32*EXP('Model Inputs &amp; Assumptions'!$X$32*R2100-'Model Inputs &amp; Assumptions'!$X$32^2/2))</f>
        <v>0.00375674453983709</v>
      </c>
      <c r="G2100" s="45" t="n">
        <f aca="false">ROUND(C2100*F2100,0)</f>
        <v>3982</v>
      </c>
      <c r="H2100" s="48" t="n">
        <f aca="false">MAX(0,(C2100*'Model Inputs &amp; Assumptions'!$N$32+E2100*'Model Inputs &amp; Assumptions'!$O$32+G2100*'Model Inputs &amp; Assumptions'!$P$32)*EXP('Model Inputs &amp; Assumptions'!$Q$32*S2100-'Model Inputs &amp; Assumptions'!$Q$32^2/2))</f>
        <v>162.932228033691</v>
      </c>
      <c r="I2100" s="49" t="n">
        <f aca="false">IF('Model Inputs &amp; Assumptions'!$H$32="Fixed",'Model Inputs &amp; Assumptions'!$I$32*'Model Inputs &amp; Assumptions'!$K$32,IF('Model Inputs &amp; Assumptions'!$H$32="CPM",'Model Inputs &amp; Assumptions'!$I$32*'Model Inputs &amp; Assumptions'!$K$32*C2100/1000,IF('Model Inputs &amp; Assumptions'!$H$32="CPC",'Model Inputs &amp; Assumptions'!$I$32*'Model Inputs &amp; Assumptions'!$K$32*G2100,0)))</f>
        <v>12721.02</v>
      </c>
      <c r="J2100" s="50" t="n">
        <f aca="false">H2100*INDEX('Model Inputs &amp; Assumptions'!$D$40:$D$42,MATCH('Model Inputs &amp; Assumptions'!$L$32,'Model Inputs &amp; Assumptions'!$A$40:$A$42,0))*INDEX('Model Inputs &amp; Assumptions'!$H$40:$H$42,MATCH('Model Inputs &amp; Assumptions'!$L$32,'Model Inputs &amp; Assumptions'!$A$40:$A$42,0))</f>
        <v>879834.031381932</v>
      </c>
      <c r="K2100" s="49" t="n">
        <f aca="false">H2100*INDEX('Model Inputs &amp; Assumptions'!$G$40:$G$42,MATCH('Model Inputs &amp; Assumptions'!$L$32,'Model Inputs &amp; Assumptions'!$A$40:$A$42,0))*INDEX('Model Inputs &amp; Assumptions'!$H$40:$H$42,MATCH('Model Inputs &amp; Assumptions'!$L$32,'Model Inputs &amp; Assumptions'!$A$40:$A$42,0))</f>
        <v>18476.5146590206</v>
      </c>
      <c r="L2100" s="51" t="n">
        <f aca="false">IFERROR(K2100/I2100,0)</f>
        <v>1.45243971466286</v>
      </c>
      <c r="M2100" s="49" t="n">
        <f aca="false">IFERROR(I2100/H2100,0)</f>
        <v>78.075529645182</v>
      </c>
      <c r="N2100" s="52" t="str">
        <f aca="false">'Model Inputs &amp; Assumptions'!$L$32</f>
        <v>PRD-SP01</v>
      </c>
      <c r="P2100" s="53" t="n">
        <v>-0.263242</v>
      </c>
      <c r="Q2100" s="53" t="n">
        <v>-0.559097</v>
      </c>
      <c r="R2100" s="53" t="n">
        <v>0.385966</v>
      </c>
      <c r="S2100" s="53" t="n">
        <v>-0.199687</v>
      </c>
    </row>
    <row r="2101" customFormat="false" ht="15" hidden="false" customHeight="false" outlineLevel="0" collapsed="false">
      <c r="A2101" s="43" t="n">
        <v>98</v>
      </c>
      <c r="B2101" s="44" t="str">
        <f aca="false">'Model Inputs &amp; Assumptions'!$B$32</f>
        <v>Trade Republic — In-App Display</v>
      </c>
      <c r="C2101" s="45" t="n">
        <f aca="false">ROUND(MAX(0,'Model Inputs &amp; Assumptions'!$S$32*EXP('Model Inputs &amp; Assumptions'!$T$32*P2101-'Model Inputs &amp; Assumptions'!$T$32^2/2)),0)</f>
        <v>2188593</v>
      </c>
      <c r="D2101" s="46" t="n">
        <f aca="false">MIN(1,'Model Inputs &amp; Assumptions'!$U$32*EXP('Model Inputs &amp; Assumptions'!$V$32*Q2101-'Model Inputs &amp; Assumptions'!$V$32^2/2))</f>
        <v>0</v>
      </c>
      <c r="E2101" s="45" t="n">
        <f aca="false">ROUND(C2101*D2101,0)</f>
        <v>0</v>
      </c>
      <c r="F2101" s="47" t="n">
        <f aca="false">MIN(1,'Model Inputs &amp; Assumptions'!$W$32*EXP('Model Inputs &amp; Assumptions'!$X$32*R2101-'Model Inputs &amp; Assumptions'!$X$32^2/2))</f>
        <v>0.00230440836410984</v>
      </c>
      <c r="G2101" s="45" t="n">
        <f aca="false">ROUND(C2101*F2101,0)</f>
        <v>5043</v>
      </c>
      <c r="H2101" s="48" t="n">
        <f aca="false">MAX(0,(C2101*'Model Inputs &amp; Assumptions'!$N$32+E2101*'Model Inputs &amp; Assumptions'!$O$32+G2101*'Model Inputs &amp; Assumptions'!$P$32)*EXP('Model Inputs &amp; Assumptions'!$Q$32*S2101-'Model Inputs &amp; Assumptions'!$Q$32^2/2))</f>
        <v>206.861430838037</v>
      </c>
      <c r="I2101" s="49" t="n">
        <f aca="false">IF('Model Inputs &amp; Assumptions'!$H$32="Fixed",'Model Inputs &amp; Assumptions'!$I$32*'Model Inputs &amp; Assumptions'!$K$32,IF('Model Inputs &amp; Assumptions'!$H$32="CPM",'Model Inputs &amp; Assumptions'!$I$32*'Model Inputs &amp; Assumptions'!$K$32*C2101/1000,IF('Model Inputs &amp; Assumptions'!$H$32="CPC",'Model Inputs &amp; Assumptions'!$I$32*'Model Inputs &amp; Assumptions'!$K$32*G2101,0)))</f>
        <v>26263.116</v>
      </c>
      <c r="J2101" s="50" t="n">
        <f aca="false">H2101*INDEX('Model Inputs &amp; Assumptions'!$D$40:$D$42,MATCH('Model Inputs &amp; Assumptions'!$L$32,'Model Inputs &amp; Assumptions'!$A$40:$A$42,0))*INDEX('Model Inputs &amp; Assumptions'!$H$40:$H$42,MATCH('Model Inputs &amp; Assumptions'!$L$32,'Model Inputs &amp; Assumptions'!$A$40:$A$42,0))</f>
        <v>1117051.7265254</v>
      </c>
      <c r="K2101" s="49" t="n">
        <f aca="false">H2101*INDEX('Model Inputs &amp; Assumptions'!$G$40:$G$42,MATCH('Model Inputs &amp; Assumptions'!$L$32,'Model Inputs &amp; Assumptions'!$A$40:$A$42,0))*INDEX('Model Inputs &amp; Assumptions'!$H$40:$H$42,MATCH('Model Inputs &amp; Assumptions'!$L$32,'Model Inputs &amp; Assumptions'!$A$40:$A$42,0))</f>
        <v>23458.0862570334</v>
      </c>
      <c r="L2101" s="51" t="n">
        <f aca="false">IFERROR(K2101/I2101,0)</f>
        <v>0.89319508991368</v>
      </c>
      <c r="M2101" s="49" t="n">
        <f aca="false">IFERROR(I2101/H2101,0)</f>
        <v>126.959945571308</v>
      </c>
      <c r="N2101" s="52" t="str">
        <f aca="false">'Model Inputs &amp; Assumptions'!$L$32</f>
        <v>PRD-SP01</v>
      </c>
      <c r="P2101" s="53" t="n">
        <v>2.153125</v>
      </c>
      <c r="Q2101" s="53" t="n">
        <v>-0.806253</v>
      </c>
      <c r="R2101" s="53" t="n">
        <v>-1.24313</v>
      </c>
      <c r="S2101" s="53" t="n">
        <v>-0.190766</v>
      </c>
    </row>
    <row r="2102" customFormat="false" ht="15" hidden="false" customHeight="false" outlineLevel="0" collapsed="false">
      <c r="A2102" s="43" t="n">
        <v>99</v>
      </c>
      <c r="B2102" s="44" t="str">
        <f aca="false">'Model Inputs &amp; Assumptions'!$B$32</f>
        <v>Trade Republic — In-App Display</v>
      </c>
      <c r="C2102" s="45" t="n">
        <f aca="false">ROUND(MAX(0,'Model Inputs &amp; Assumptions'!$S$32*EXP('Model Inputs &amp; Assumptions'!$T$32*P2102-'Model Inputs &amp; Assumptions'!$T$32^2/2)),0)</f>
        <v>1102444</v>
      </c>
      <c r="D2102" s="46" t="n">
        <f aca="false">MIN(1,'Model Inputs &amp; Assumptions'!$U$32*EXP('Model Inputs &amp; Assumptions'!$V$32*Q2102-'Model Inputs &amp; Assumptions'!$V$32^2/2))</f>
        <v>0</v>
      </c>
      <c r="E2102" s="45" t="n">
        <f aca="false">ROUND(C2102*D2102,0)</f>
        <v>0</v>
      </c>
      <c r="F2102" s="47" t="n">
        <f aca="false">MIN(1,'Model Inputs &amp; Assumptions'!$W$32*EXP('Model Inputs &amp; Assumptions'!$X$32*R2102-'Model Inputs &amp; Assumptions'!$X$32^2/2))</f>
        <v>0.00328031143799043</v>
      </c>
      <c r="G2102" s="45" t="n">
        <f aca="false">ROUND(C2102*F2102,0)</f>
        <v>3616</v>
      </c>
      <c r="H2102" s="48" t="n">
        <f aca="false">MAX(0,(C2102*'Model Inputs &amp; Assumptions'!$N$32+E2102*'Model Inputs &amp; Assumptions'!$O$32+G2102*'Model Inputs &amp; Assumptions'!$P$32)*EXP('Model Inputs &amp; Assumptions'!$Q$32*S2102-'Model Inputs &amp; Assumptions'!$Q$32^2/2))</f>
        <v>124.127434107037</v>
      </c>
      <c r="I2102" s="49" t="n">
        <f aca="false">IF('Model Inputs &amp; Assumptions'!$H$32="Fixed",'Model Inputs &amp; Assumptions'!$I$32*'Model Inputs &amp; Assumptions'!$K$32,IF('Model Inputs &amp; Assumptions'!$H$32="CPM",'Model Inputs &amp; Assumptions'!$I$32*'Model Inputs &amp; Assumptions'!$K$32*C2102/1000,IF('Model Inputs &amp; Assumptions'!$H$32="CPC",'Model Inputs &amp; Assumptions'!$I$32*'Model Inputs &amp; Assumptions'!$K$32*G2102,0)))</f>
        <v>13229.328</v>
      </c>
      <c r="J2102" s="50" t="n">
        <f aca="false">H2102*INDEX('Model Inputs &amp; Assumptions'!$D$40:$D$42,MATCH('Model Inputs &amp; Assumptions'!$L$32,'Model Inputs &amp; Assumptions'!$A$40:$A$42,0))*INDEX('Model Inputs &amp; Assumptions'!$H$40:$H$42,MATCH('Model Inputs &amp; Assumptions'!$L$32,'Model Inputs &amp; Assumptions'!$A$40:$A$42,0))</f>
        <v>670288.144178002</v>
      </c>
      <c r="K2102" s="49" t="n">
        <f aca="false">H2102*INDEX('Model Inputs &amp; Assumptions'!$G$40:$G$42,MATCH('Model Inputs &amp; Assumptions'!$L$32,'Model Inputs &amp; Assumptions'!$A$40:$A$42,0))*INDEX('Model Inputs &amp; Assumptions'!$H$40:$H$42,MATCH('Model Inputs &amp; Assumptions'!$L$32,'Model Inputs &amp; Assumptions'!$A$40:$A$42,0))</f>
        <v>14076.051027738</v>
      </c>
      <c r="L2102" s="51" t="n">
        <f aca="false">IFERROR(K2102/I2102,0)</f>
        <v>1.06400347982437</v>
      </c>
      <c r="M2102" s="49" t="n">
        <f aca="false">IFERROR(I2102/H2102,0)</f>
        <v>106.578598801874</v>
      </c>
      <c r="N2102" s="52" t="str">
        <f aca="false">'Model Inputs &amp; Assumptions'!$L$32</f>
        <v>PRD-SP01</v>
      </c>
      <c r="P2102" s="53" t="n">
        <v>-0.13264</v>
      </c>
      <c r="Q2102" s="53" t="n">
        <v>1.435927</v>
      </c>
      <c r="R2102" s="53" t="n">
        <v>-0.066082</v>
      </c>
      <c r="S2102" s="53" t="n">
        <v>-0.826865</v>
      </c>
    </row>
    <row r="2103" customFormat="false" ht="15" hidden="false" customHeight="false" outlineLevel="0" collapsed="false">
      <c r="A2103" s="43" t="n">
        <v>100</v>
      </c>
      <c r="B2103" s="44" t="str">
        <f aca="false">'Model Inputs &amp; Assumptions'!$B$32</f>
        <v>Trade Republic — In-App Display</v>
      </c>
      <c r="C2103" s="45" t="n">
        <f aca="false">ROUND(MAX(0,'Model Inputs &amp; Assumptions'!$S$32*EXP('Model Inputs &amp; Assumptions'!$T$32*P2103-'Model Inputs &amp; Assumptions'!$T$32^2/2)),0)</f>
        <v>1114472</v>
      </c>
      <c r="D2103" s="46" t="n">
        <f aca="false">MIN(1,'Model Inputs &amp; Assumptions'!$U$32*EXP('Model Inputs &amp; Assumptions'!$V$32*Q2103-'Model Inputs &amp; Assumptions'!$V$32^2/2))</f>
        <v>0</v>
      </c>
      <c r="E2103" s="45" t="n">
        <f aca="false">ROUND(C2103*D2103,0)</f>
        <v>0</v>
      </c>
      <c r="F2103" s="47" t="n">
        <f aca="false">MIN(1,'Model Inputs &amp; Assumptions'!$W$32*EXP('Model Inputs &amp; Assumptions'!$X$32*R2103-'Model Inputs &amp; Assumptions'!$X$32^2/2))</f>
        <v>0.00190123422711291</v>
      </c>
      <c r="G2103" s="45" t="n">
        <f aca="false">ROUND(C2103*F2103,0)</f>
        <v>2119</v>
      </c>
      <c r="H2103" s="48" t="n">
        <f aca="false">MAX(0,(C2103*'Model Inputs &amp; Assumptions'!$N$32+E2103*'Model Inputs &amp; Assumptions'!$O$32+G2103*'Model Inputs &amp; Assumptions'!$P$32)*EXP('Model Inputs &amp; Assumptions'!$Q$32*S2103-'Model Inputs &amp; Assumptions'!$Q$32^2/2))</f>
        <v>96.68219400552</v>
      </c>
      <c r="I2103" s="49" t="n">
        <f aca="false">IF('Model Inputs &amp; Assumptions'!$H$32="Fixed",'Model Inputs &amp; Assumptions'!$I$32*'Model Inputs &amp; Assumptions'!$K$32,IF('Model Inputs &amp; Assumptions'!$H$32="CPM",'Model Inputs &amp; Assumptions'!$I$32*'Model Inputs &amp; Assumptions'!$K$32*C2103/1000,IF('Model Inputs &amp; Assumptions'!$H$32="CPC",'Model Inputs &amp; Assumptions'!$I$32*'Model Inputs &amp; Assumptions'!$K$32*G2103,0)))</f>
        <v>13373.664</v>
      </c>
      <c r="J2103" s="50" t="n">
        <f aca="false">H2103*INDEX('Model Inputs &amp; Assumptions'!$D$40:$D$42,MATCH('Model Inputs &amp; Assumptions'!$L$32,'Model Inputs &amp; Assumptions'!$A$40:$A$42,0))*INDEX('Model Inputs &amp; Assumptions'!$H$40:$H$42,MATCH('Model Inputs &amp; Assumptions'!$L$32,'Model Inputs &amp; Assumptions'!$A$40:$A$42,0))</f>
        <v>522083.847629808</v>
      </c>
      <c r="K2103" s="49" t="n">
        <f aca="false">H2103*INDEX('Model Inputs &amp; Assumptions'!$G$40:$G$42,MATCH('Model Inputs &amp; Assumptions'!$L$32,'Model Inputs &amp; Assumptions'!$A$40:$A$42,0))*INDEX('Model Inputs &amp; Assumptions'!$H$40:$H$42,MATCH('Model Inputs &amp; Assumptions'!$L$32,'Model Inputs &amp; Assumptions'!$A$40:$A$42,0))</f>
        <v>10963.760800226</v>
      </c>
      <c r="L2103" s="51" t="n">
        <f aca="false">IFERROR(K2103/I2103,0)</f>
        <v>0.819802321953502</v>
      </c>
      <c r="M2103" s="49" t="n">
        <f aca="false">IFERROR(I2103/H2103,0)</f>
        <v>138.326029291768</v>
      </c>
      <c r="N2103" s="52" t="str">
        <f aca="false">'Model Inputs &amp; Assumptions'!$L$32</f>
        <v>PRD-SP01</v>
      </c>
      <c r="P2103" s="53" t="n">
        <v>-0.096468</v>
      </c>
      <c r="Q2103" s="53" t="n">
        <v>-0.166076</v>
      </c>
      <c r="R2103" s="53" t="n">
        <v>-1.884199</v>
      </c>
      <c r="S2103" s="53" t="n">
        <v>0.189366</v>
      </c>
    </row>
    <row r="2104" customFormat="false" ht="15" hidden="false" customHeight="false" outlineLevel="0" collapsed="false">
      <c r="A2104" s="43" t="n">
        <v>101</v>
      </c>
      <c r="B2104" s="44" t="str">
        <f aca="false">'Model Inputs &amp; Assumptions'!$B$32</f>
        <v>Trade Republic — In-App Display</v>
      </c>
      <c r="C2104" s="45" t="n">
        <f aca="false">ROUND(MAX(0,'Model Inputs &amp; Assumptions'!$S$32*EXP('Model Inputs &amp; Assumptions'!$T$32*P2104-'Model Inputs &amp; Assumptions'!$T$32^2/2)),0)</f>
        <v>1419095</v>
      </c>
      <c r="D2104" s="46" t="n">
        <f aca="false">MIN(1,'Model Inputs &amp; Assumptions'!$U$32*EXP('Model Inputs &amp; Assumptions'!$V$32*Q2104-'Model Inputs &amp; Assumptions'!$V$32^2/2))</f>
        <v>0</v>
      </c>
      <c r="E2104" s="45" t="n">
        <f aca="false">ROUND(C2104*D2104,0)</f>
        <v>0</v>
      </c>
      <c r="F2104" s="47" t="n">
        <f aca="false">MIN(1,'Model Inputs &amp; Assumptions'!$W$32*EXP('Model Inputs &amp; Assumptions'!$X$32*R2104-'Model Inputs &amp; Assumptions'!$X$32^2/2))</f>
        <v>0.00487911167017921</v>
      </c>
      <c r="G2104" s="45" t="n">
        <f aca="false">ROUND(C2104*F2104,0)</f>
        <v>6924</v>
      </c>
      <c r="H2104" s="48" t="n">
        <f aca="false">MAX(0,(C2104*'Model Inputs &amp; Assumptions'!$N$32+E2104*'Model Inputs &amp; Assumptions'!$O$32+G2104*'Model Inputs &amp; Assumptions'!$P$32)*EXP('Model Inputs &amp; Assumptions'!$Q$32*S2104-'Model Inputs &amp; Assumptions'!$Q$32^2/2))</f>
        <v>249.812782441355</v>
      </c>
      <c r="I2104" s="49" t="n">
        <f aca="false">IF('Model Inputs &amp; Assumptions'!$H$32="Fixed",'Model Inputs &amp; Assumptions'!$I$32*'Model Inputs &amp; Assumptions'!$K$32,IF('Model Inputs &amp; Assumptions'!$H$32="CPM",'Model Inputs &amp; Assumptions'!$I$32*'Model Inputs &amp; Assumptions'!$K$32*C2104/1000,IF('Model Inputs &amp; Assumptions'!$H$32="CPC",'Model Inputs &amp; Assumptions'!$I$32*'Model Inputs &amp; Assumptions'!$K$32*G2104,0)))</f>
        <v>17029.14</v>
      </c>
      <c r="J2104" s="50" t="n">
        <f aca="false">H2104*INDEX('Model Inputs &amp; Assumptions'!$D$40:$D$42,MATCH('Model Inputs &amp; Assumptions'!$L$32,'Model Inputs &amp; Assumptions'!$A$40:$A$42,0))*INDEX('Model Inputs &amp; Assumptions'!$H$40:$H$42,MATCH('Model Inputs &amp; Assumptions'!$L$32,'Model Inputs &amp; Assumptions'!$A$40:$A$42,0))</f>
        <v>1348989.02518332</v>
      </c>
      <c r="K2104" s="49" t="n">
        <f aca="false">H2104*INDEX('Model Inputs &amp; Assumptions'!$G$40:$G$42,MATCH('Model Inputs &amp; Assumptions'!$L$32,'Model Inputs &amp; Assumptions'!$A$40:$A$42,0))*INDEX('Model Inputs &amp; Assumptions'!$H$40:$H$42,MATCH('Model Inputs &amp; Assumptions'!$L$32,'Model Inputs &amp; Assumptions'!$A$40:$A$42,0))</f>
        <v>28328.7695288496</v>
      </c>
      <c r="L2104" s="51" t="n">
        <f aca="false">IFERROR(K2104/I2104,0)</f>
        <v>1.66354669283649</v>
      </c>
      <c r="M2104" s="49" t="n">
        <f aca="false">IFERROR(I2104/H2104,0)</f>
        <v>68.1676086931128</v>
      </c>
      <c r="N2104" s="52" t="str">
        <f aca="false">'Model Inputs &amp; Assumptions'!$L$32</f>
        <v>PRD-SP01</v>
      </c>
      <c r="P2104" s="53" t="n">
        <v>0.708993</v>
      </c>
      <c r="Q2104" s="53" t="n">
        <v>0.882685</v>
      </c>
      <c r="R2104" s="53" t="n">
        <v>1.257334</v>
      </c>
      <c r="S2104" s="53" t="n">
        <v>-0.649087</v>
      </c>
    </row>
    <row r="2105" customFormat="false" ht="15" hidden="false" customHeight="false" outlineLevel="0" collapsed="false">
      <c r="A2105" s="43" t="n">
        <v>102</v>
      </c>
      <c r="B2105" s="44" t="str">
        <f aca="false">'Model Inputs &amp; Assumptions'!$B$32</f>
        <v>Trade Republic — In-App Display</v>
      </c>
      <c r="C2105" s="45" t="n">
        <f aca="false">ROUND(MAX(0,'Model Inputs &amp; Assumptions'!$S$32*EXP('Model Inputs &amp; Assumptions'!$T$32*P2105-'Model Inputs &amp; Assumptions'!$T$32^2/2)),0)</f>
        <v>1286462</v>
      </c>
      <c r="D2105" s="46" t="n">
        <f aca="false">MIN(1,'Model Inputs &amp; Assumptions'!$U$32*EXP('Model Inputs &amp; Assumptions'!$V$32*Q2105-'Model Inputs &amp; Assumptions'!$V$32^2/2))</f>
        <v>0</v>
      </c>
      <c r="E2105" s="45" t="n">
        <f aca="false">ROUND(C2105*D2105,0)</f>
        <v>0</v>
      </c>
      <c r="F2105" s="47" t="n">
        <f aca="false">MIN(1,'Model Inputs &amp; Assumptions'!$W$32*EXP('Model Inputs &amp; Assumptions'!$X$32*R2105-'Model Inputs &amp; Assumptions'!$X$32^2/2))</f>
        <v>0.00337836974270459</v>
      </c>
      <c r="G2105" s="45" t="n">
        <f aca="false">ROUND(C2105*F2105,0)</f>
        <v>4346</v>
      </c>
      <c r="H2105" s="48" t="n">
        <f aca="false">MAX(0,(C2105*'Model Inputs &amp; Assumptions'!$N$32+E2105*'Model Inputs &amp; Assumptions'!$O$32+G2105*'Model Inputs &amp; Assumptions'!$P$32)*EXP('Model Inputs &amp; Assumptions'!$Q$32*S2105-'Model Inputs &amp; Assumptions'!$Q$32^2/2))</f>
        <v>213.342524767376</v>
      </c>
      <c r="I2105" s="49" t="n">
        <f aca="false">IF('Model Inputs &amp; Assumptions'!$H$32="Fixed",'Model Inputs &amp; Assumptions'!$I$32*'Model Inputs &amp; Assumptions'!$K$32,IF('Model Inputs &amp; Assumptions'!$H$32="CPM",'Model Inputs &amp; Assumptions'!$I$32*'Model Inputs &amp; Assumptions'!$K$32*C2105/1000,IF('Model Inputs &amp; Assumptions'!$H$32="CPC",'Model Inputs &amp; Assumptions'!$I$32*'Model Inputs &amp; Assumptions'!$K$32*G2105,0)))</f>
        <v>15437.544</v>
      </c>
      <c r="J2105" s="50" t="n">
        <f aca="false">H2105*INDEX('Model Inputs &amp; Assumptions'!$D$40:$D$42,MATCH('Model Inputs &amp; Assumptions'!$L$32,'Model Inputs &amp; Assumptions'!$A$40:$A$42,0))*INDEX('Model Inputs &amp; Assumptions'!$H$40:$H$42,MATCH('Model Inputs &amp; Assumptions'!$L$32,'Model Inputs &amp; Assumptions'!$A$40:$A$42,0))</f>
        <v>1152049.63374383</v>
      </c>
      <c r="K2105" s="49" t="n">
        <f aca="false">H2105*INDEX('Model Inputs &amp; Assumptions'!$G$40:$G$42,MATCH('Model Inputs &amp; Assumptions'!$L$32,'Model Inputs &amp; Assumptions'!$A$40:$A$42,0))*INDEX('Model Inputs &amp; Assumptions'!$H$40:$H$42,MATCH('Model Inputs &amp; Assumptions'!$L$32,'Model Inputs &amp; Assumptions'!$A$40:$A$42,0))</f>
        <v>24193.0423086204</v>
      </c>
      <c r="L2105" s="51" t="n">
        <f aca="false">IFERROR(K2105/I2105,0)</f>
        <v>1.5671561686639</v>
      </c>
      <c r="M2105" s="49" t="n">
        <f aca="false">IFERROR(I2105/H2105,0)</f>
        <v>72.3603698645301</v>
      </c>
      <c r="N2105" s="52" t="str">
        <f aca="false">'Model Inputs &amp; Assumptions'!$L$32</f>
        <v>PRD-SP01</v>
      </c>
      <c r="P2105" s="53" t="n">
        <v>0.381914</v>
      </c>
      <c r="Q2105" s="53" t="n">
        <v>0.926528</v>
      </c>
      <c r="R2105" s="53" t="n">
        <v>0.032101</v>
      </c>
      <c r="S2105" s="53" t="n">
        <v>0.450645</v>
      </c>
    </row>
    <row r="2106" customFormat="false" ht="15" hidden="false" customHeight="false" outlineLevel="0" collapsed="false">
      <c r="A2106" s="43" t="n">
        <v>103</v>
      </c>
      <c r="B2106" s="44" t="str">
        <f aca="false">'Model Inputs &amp; Assumptions'!$B$32</f>
        <v>Trade Republic — In-App Display</v>
      </c>
      <c r="C2106" s="45" t="n">
        <f aca="false">ROUND(MAX(0,'Model Inputs &amp; Assumptions'!$S$32*EXP('Model Inputs &amp; Assumptions'!$T$32*P2106-'Model Inputs &amp; Assumptions'!$T$32^2/2)),0)</f>
        <v>1346934</v>
      </c>
      <c r="D2106" s="46" t="n">
        <f aca="false">MIN(1,'Model Inputs &amp; Assumptions'!$U$32*EXP('Model Inputs &amp; Assumptions'!$V$32*Q2106-'Model Inputs &amp; Assumptions'!$V$32^2/2))</f>
        <v>0</v>
      </c>
      <c r="E2106" s="45" t="n">
        <f aca="false">ROUND(C2106*D2106,0)</f>
        <v>0</v>
      </c>
      <c r="F2106" s="47" t="n">
        <f aca="false">MIN(1,'Model Inputs &amp; Assumptions'!$W$32*EXP('Model Inputs &amp; Assumptions'!$X$32*R2106-'Model Inputs &amp; Assumptions'!$X$32^2/2))</f>
        <v>0.00214038403490232</v>
      </c>
      <c r="G2106" s="45" t="n">
        <f aca="false">ROUND(C2106*F2106,0)</f>
        <v>2883</v>
      </c>
      <c r="H2106" s="48" t="n">
        <f aca="false">MAX(0,(C2106*'Model Inputs &amp; Assumptions'!$N$32+E2106*'Model Inputs &amp; Assumptions'!$O$32+G2106*'Model Inputs &amp; Assumptions'!$P$32)*EXP('Model Inputs &amp; Assumptions'!$Q$32*S2106-'Model Inputs &amp; Assumptions'!$Q$32^2/2))</f>
        <v>109.868565075725</v>
      </c>
      <c r="I2106" s="49" t="n">
        <f aca="false">IF('Model Inputs &amp; Assumptions'!$H$32="Fixed",'Model Inputs &amp; Assumptions'!$I$32*'Model Inputs &amp; Assumptions'!$K$32,IF('Model Inputs &amp; Assumptions'!$H$32="CPM",'Model Inputs &amp; Assumptions'!$I$32*'Model Inputs &amp; Assumptions'!$K$32*C2106/1000,IF('Model Inputs &amp; Assumptions'!$H$32="CPC",'Model Inputs &amp; Assumptions'!$I$32*'Model Inputs &amp; Assumptions'!$K$32*G2106,0)))</f>
        <v>16163.208</v>
      </c>
      <c r="J2106" s="50" t="n">
        <f aca="false">H2106*INDEX('Model Inputs &amp; Assumptions'!$D$40:$D$42,MATCH('Model Inputs &amp; Assumptions'!$L$32,'Model Inputs &amp; Assumptions'!$A$40:$A$42,0))*INDEX('Model Inputs &amp; Assumptions'!$H$40:$H$42,MATCH('Model Inputs &amp; Assumptions'!$L$32,'Model Inputs &amp; Assumptions'!$A$40:$A$42,0))</f>
        <v>593290.251408915</v>
      </c>
      <c r="K2106" s="49" t="n">
        <f aca="false">H2106*INDEX('Model Inputs &amp; Assumptions'!$G$40:$G$42,MATCH('Model Inputs &amp; Assumptions'!$L$32,'Model Inputs &amp; Assumptions'!$A$40:$A$42,0))*INDEX('Model Inputs &amp; Assumptions'!$H$40:$H$42,MATCH('Model Inputs &amp; Assumptions'!$L$32,'Model Inputs &amp; Assumptions'!$A$40:$A$42,0))</f>
        <v>12459.0952795872</v>
      </c>
      <c r="L2106" s="51" t="n">
        <f aca="false">IFERROR(K2106/I2106,0)</f>
        <v>0.770830597464761</v>
      </c>
      <c r="M2106" s="49" t="n">
        <f aca="false">IFERROR(I2106/H2106,0)</f>
        <v>147.114035655784</v>
      </c>
      <c r="N2106" s="52" t="str">
        <f aca="false">'Model Inputs &amp; Assumptions'!$L$32</f>
        <v>PRD-SP01</v>
      </c>
      <c r="P2106" s="53" t="n">
        <v>0.535032</v>
      </c>
      <c r="Q2106" s="53" t="n">
        <v>-0.268931</v>
      </c>
      <c r="R2106" s="53" t="n">
        <v>-1.489259</v>
      </c>
      <c r="S2106" s="53" t="n">
        <v>-0.453604</v>
      </c>
    </row>
    <row r="2107" customFormat="false" ht="15" hidden="false" customHeight="false" outlineLevel="0" collapsed="false">
      <c r="A2107" s="43" t="n">
        <v>104</v>
      </c>
      <c r="B2107" s="44" t="str">
        <f aca="false">'Model Inputs &amp; Assumptions'!$B$32</f>
        <v>Trade Republic — In-App Display</v>
      </c>
      <c r="C2107" s="45" t="n">
        <f aca="false">ROUND(MAX(0,'Model Inputs &amp; Assumptions'!$S$32*EXP('Model Inputs &amp; Assumptions'!$T$32*P2107-'Model Inputs &amp; Assumptions'!$T$32^2/2)),0)</f>
        <v>1491216</v>
      </c>
      <c r="D2107" s="46" t="n">
        <f aca="false">MIN(1,'Model Inputs &amp; Assumptions'!$U$32*EXP('Model Inputs &amp; Assumptions'!$V$32*Q2107-'Model Inputs &amp; Assumptions'!$V$32^2/2))</f>
        <v>0</v>
      </c>
      <c r="E2107" s="45" t="n">
        <f aca="false">ROUND(C2107*D2107,0)</f>
        <v>0</v>
      </c>
      <c r="F2107" s="47" t="n">
        <f aca="false">MIN(1,'Model Inputs &amp; Assumptions'!$W$32*EXP('Model Inputs &amp; Assumptions'!$X$32*R2107-'Model Inputs &amp; Assumptions'!$X$32^2/2))</f>
        <v>0.00354600411635292</v>
      </c>
      <c r="G2107" s="45" t="n">
        <f aca="false">ROUND(C2107*F2107,0)</f>
        <v>5288</v>
      </c>
      <c r="H2107" s="48" t="n">
        <f aca="false">MAX(0,(C2107*'Model Inputs &amp; Assumptions'!$N$32+E2107*'Model Inputs &amp; Assumptions'!$O$32+G2107*'Model Inputs &amp; Assumptions'!$P$32)*EXP('Model Inputs &amp; Assumptions'!$Q$32*S2107-'Model Inputs &amp; Assumptions'!$Q$32^2/2))</f>
        <v>317.731266727224</v>
      </c>
      <c r="I2107" s="49" t="n">
        <f aca="false">IF('Model Inputs &amp; Assumptions'!$H$32="Fixed",'Model Inputs &amp; Assumptions'!$I$32*'Model Inputs &amp; Assumptions'!$K$32,IF('Model Inputs &amp; Assumptions'!$H$32="CPM",'Model Inputs &amp; Assumptions'!$I$32*'Model Inputs &amp; Assumptions'!$K$32*C2107/1000,IF('Model Inputs &amp; Assumptions'!$H$32="CPC",'Model Inputs &amp; Assumptions'!$I$32*'Model Inputs &amp; Assumptions'!$K$32*G2107,0)))</f>
        <v>17894.592</v>
      </c>
      <c r="J2107" s="50" t="n">
        <f aca="false">H2107*INDEX('Model Inputs &amp; Assumptions'!$D$40:$D$42,MATCH('Model Inputs &amp; Assumptions'!$L$32,'Model Inputs &amp; Assumptions'!$A$40:$A$42,0))*INDEX('Model Inputs &amp; Assumptions'!$H$40:$H$42,MATCH('Model Inputs &amp; Assumptions'!$L$32,'Model Inputs &amp; Assumptions'!$A$40:$A$42,0))</f>
        <v>1715748.84032701</v>
      </c>
      <c r="K2107" s="49" t="n">
        <f aca="false">H2107*INDEX('Model Inputs &amp; Assumptions'!$G$40:$G$42,MATCH('Model Inputs &amp; Assumptions'!$L$32,'Model Inputs &amp; Assumptions'!$A$40:$A$42,0))*INDEX('Model Inputs &amp; Assumptions'!$H$40:$H$42,MATCH('Model Inputs &amp; Assumptions'!$L$32,'Model Inputs &amp; Assumptions'!$A$40:$A$42,0))</f>
        <v>36030.7256468672</v>
      </c>
      <c r="L2107" s="51" t="n">
        <f aca="false">IFERROR(K2107/I2107,0)</f>
        <v>2.01349802481482</v>
      </c>
      <c r="M2107" s="49" t="n">
        <f aca="false">IFERROR(I2107/H2107,0)</f>
        <v>56.3198963209458</v>
      </c>
      <c r="N2107" s="52" t="str">
        <f aca="false">'Model Inputs &amp; Assumptions'!$L$32</f>
        <v>PRD-SP01</v>
      </c>
      <c r="P2107" s="53" t="n">
        <v>0.874235</v>
      </c>
      <c r="Q2107" s="53" t="n">
        <v>-0.901893</v>
      </c>
      <c r="R2107" s="53" t="n">
        <v>0.193528</v>
      </c>
      <c r="S2107" s="53" t="n">
        <v>1.172512</v>
      </c>
    </row>
    <row r="2108" customFormat="false" ht="15" hidden="false" customHeight="false" outlineLevel="0" collapsed="false">
      <c r="A2108" s="43" t="n">
        <v>105</v>
      </c>
      <c r="B2108" s="44" t="str">
        <f aca="false">'Model Inputs &amp; Assumptions'!$B$32</f>
        <v>Trade Republic — In-App Display</v>
      </c>
      <c r="C2108" s="45" t="n">
        <f aca="false">ROUND(MAX(0,'Model Inputs &amp; Assumptions'!$S$32*EXP('Model Inputs &amp; Assumptions'!$T$32*P2108-'Model Inputs &amp; Assumptions'!$T$32^2/2)),0)</f>
        <v>566968</v>
      </c>
      <c r="D2108" s="46" t="n">
        <f aca="false">MIN(1,'Model Inputs &amp; Assumptions'!$U$32*EXP('Model Inputs &amp; Assumptions'!$V$32*Q2108-'Model Inputs &amp; Assumptions'!$V$32^2/2))</f>
        <v>0</v>
      </c>
      <c r="E2108" s="45" t="n">
        <f aca="false">ROUND(C2108*D2108,0)</f>
        <v>0</v>
      </c>
      <c r="F2108" s="47" t="n">
        <f aca="false">MIN(1,'Model Inputs &amp; Assumptions'!$W$32*EXP('Model Inputs &amp; Assumptions'!$X$32*R2108-'Model Inputs &amp; Assumptions'!$X$32^2/2))</f>
        <v>0.00277232929758667</v>
      </c>
      <c r="G2108" s="45" t="n">
        <f aca="false">ROUND(C2108*F2108,0)</f>
        <v>1572</v>
      </c>
      <c r="H2108" s="48" t="n">
        <f aca="false">MAX(0,(C2108*'Model Inputs &amp; Assumptions'!$N$32+E2108*'Model Inputs &amp; Assumptions'!$O$32+G2108*'Model Inputs &amp; Assumptions'!$P$32)*EXP('Model Inputs &amp; Assumptions'!$Q$32*S2108-'Model Inputs &amp; Assumptions'!$Q$32^2/2))</f>
        <v>73.3968092360686</v>
      </c>
      <c r="I2108" s="49" t="n">
        <f aca="false">IF('Model Inputs &amp; Assumptions'!$H$32="Fixed",'Model Inputs &amp; Assumptions'!$I$32*'Model Inputs &amp; Assumptions'!$K$32,IF('Model Inputs &amp; Assumptions'!$H$32="CPM",'Model Inputs &amp; Assumptions'!$I$32*'Model Inputs &amp; Assumptions'!$K$32*C2108/1000,IF('Model Inputs &amp; Assumptions'!$H$32="CPC",'Model Inputs &amp; Assumptions'!$I$32*'Model Inputs &amp; Assumptions'!$K$32*G2108,0)))</f>
        <v>6803.616</v>
      </c>
      <c r="J2108" s="50" t="n">
        <f aca="false">H2108*INDEX('Model Inputs &amp; Assumptions'!$D$40:$D$42,MATCH('Model Inputs &amp; Assumptions'!$L$32,'Model Inputs &amp; Assumptions'!$A$40:$A$42,0))*INDEX('Model Inputs &amp; Assumptions'!$H$40:$H$42,MATCH('Model Inputs &amp; Assumptions'!$L$32,'Model Inputs &amp; Assumptions'!$A$40:$A$42,0))</f>
        <v>396342.76987477</v>
      </c>
      <c r="K2108" s="49" t="n">
        <f aca="false">H2108*INDEX('Model Inputs &amp; Assumptions'!$G$40:$G$42,MATCH('Model Inputs &amp; Assumptions'!$L$32,'Model Inputs &amp; Assumptions'!$A$40:$A$42,0))*INDEX('Model Inputs &amp; Assumptions'!$H$40:$H$42,MATCH('Model Inputs &amp; Assumptions'!$L$32,'Model Inputs &amp; Assumptions'!$A$40:$A$42,0))</f>
        <v>8323.19816737017</v>
      </c>
      <c r="L2108" s="51" t="n">
        <f aca="false">IFERROR(K2108/I2108,0)</f>
        <v>1.22334919656991</v>
      </c>
      <c r="M2108" s="49" t="n">
        <f aca="false">IFERROR(I2108/H2108,0)</f>
        <v>92.6963456697049</v>
      </c>
      <c r="N2108" s="52" t="str">
        <f aca="false">'Model Inputs &amp; Assumptions'!$L$32</f>
        <v>PRD-SP01</v>
      </c>
      <c r="P2108" s="53" t="n">
        <v>-2.349247</v>
      </c>
      <c r="Q2108" s="53" t="n">
        <v>0.433003</v>
      </c>
      <c r="R2108" s="53" t="n">
        <v>-0.626917</v>
      </c>
      <c r="S2108" s="53" t="n">
        <v>0.271676</v>
      </c>
    </row>
    <row r="2109" customFormat="false" ht="15" hidden="false" customHeight="false" outlineLevel="0" collapsed="false">
      <c r="A2109" s="43" t="n">
        <v>106</v>
      </c>
      <c r="B2109" s="44" t="str">
        <f aca="false">'Model Inputs &amp; Assumptions'!$B$32</f>
        <v>Trade Republic — In-App Display</v>
      </c>
      <c r="C2109" s="45" t="n">
        <f aca="false">ROUND(MAX(0,'Model Inputs &amp; Assumptions'!$S$32*EXP('Model Inputs &amp; Assumptions'!$T$32*P2109-'Model Inputs &amp; Assumptions'!$T$32^2/2)),0)</f>
        <v>652549</v>
      </c>
      <c r="D2109" s="46" t="n">
        <f aca="false">MIN(1,'Model Inputs &amp; Assumptions'!$U$32*EXP('Model Inputs &amp; Assumptions'!$V$32*Q2109-'Model Inputs &amp; Assumptions'!$V$32^2/2))</f>
        <v>0</v>
      </c>
      <c r="E2109" s="45" t="n">
        <f aca="false">ROUND(C2109*D2109,0)</f>
        <v>0</v>
      </c>
      <c r="F2109" s="47" t="n">
        <f aca="false">MIN(1,'Model Inputs &amp; Assumptions'!$W$32*EXP('Model Inputs &amp; Assumptions'!$X$32*R2109-'Model Inputs &amp; Assumptions'!$X$32^2/2))</f>
        <v>0.00303152735021246</v>
      </c>
      <c r="G2109" s="45" t="n">
        <f aca="false">ROUND(C2109*F2109,0)</f>
        <v>1978</v>
      </c>
      <c r="H2109" s="48" t="n">
        <f aca="false">MAX(0,(C2109*'Model Inputs &amp; Assumptions'!$N$32+E2109*'Model Inputs &amp; Assumptions'!$O$32+G2109*'Model Inputs &amp; Assumptions'!$P$32)*EXP('Model Inputs &amp; Assumptions'!$Q$32*S2109-'Model Inputs &amp; Assumptions'!$Q$32^2/2))</f>
        <v>103.50390722622</v>
      </c>
      <c r="I2109" s="49" t="n">
        <f aca="false">IF('Model Inputs &amp; Assumptions'!$H$32="Fixed",'Model Inputs &amp; Assumptions'!$I$32*'Model Inputs &amp; Assumptions'!$K$32,IF('Model Inputs &amp; Assumptions'!$H$32="CPM",'Model Inputs &amp; Assumptions'!$I$32*'Model Inputs &amp; Assumptions'!$K$32*C2109/1000,IF('Model Inputs &amp; Assumptions'!$H$32="CPC",'Model Inputs &amp; Assumptions'!$I$32*'Model Inputs &amp; Assumptions'!$K$32*G2109,0)))</f>
        <v>7830.588</v>
      </c>
      <c r="J2109" s="50" t="n">
        <f aca="false">H2109*INDEX('Model Inputs &amp; Assumptions'!$D$40:$D$42,MATCH('Model Inputs &amp; Assumptions'!$L$32,'Model Inputs &amp; Assumptions'!$A$40:$A$42,0))*INDEX('Model Inputs &amp; Assumptions'!$H$40:$H$42,MATCH('Model Inputs &amp; Assumptions'!$L$32,'Model Inputs &amp; Assumptions'!$A$40:$A$42,0))</f>
        <v>558921.099021586</v>
      </c>
      <c r="K2109" s="49" t="n">
        <f aca="false">H2109*INDEX('Model Inputs &amp; Assumptions'!$G$40:$G$42,MATCH('Model Inputs &amp; Assumptions'!$L$32,'Model Inputs &amp; Assumptions'!$A$40:$A$42,0))*INDEX('Model Inputs &amp; Assumptions'!$H$40:$H$42,MATCH('Model Inputs &amp; Assumptions'!$L$32,'Model Inputs &amp; Assumptions'!$A$40:$A$42,0))</f>
        <v>11737.3430794533</v>
      </c>
      <c r="L2109" s="51" t="n">
        <f aca="false">IFERROR(K2109/I2109,0)</f>
        <v>1.49890954286617</v>
      </c>
      <c r="M2109" s="49" t="n">
        <f aca="false">IFERROR(I2109/H2109,0)</f>
        <v>75.6549990222626</v>
      </c>
      <c r="N2109" s="52" t="str">
        <f aca="false">'Model Inputs &amp; Assumptions'!$L$32</f>
        <v>PRD-SP01</v>
      </c>
      <c r="P2109" s="53" t="n">
        <v>-1.880633</v>
      </c>
      <c r="Q2109" s="53" t="n">
        <v>0.298847</v>
      </c>
      <c r="R2109" s="53" t="n">
        <v>-0.328988</v>
      </c>
      <c r="S2109" s="53" t="n">
        <v>0.678788</v>
      </c>
    </row>
    <row r="2110" customFormat="false" ht="15" hidden="false" customHeight="false" outlineLevel="0" collapsed="false">
      <c r="A2110" s="43" t="n">
        <v>107</v>
      </c>
      <c r="B2110" s="44" t="str">
        <f aca="false">'Model Inputs &amp; Assumptions'!$B$32</f>
        <v>Trade Republic — In-App Display</v>
      </c>
      <c r="C2110" s="45" t="n">
        <f aca="false">ROUND(MAX(0,'Model Inputs &amp; Assumptions'!$S$32*EXP('Model Inputs &amp; Assumptions'!$T$32*P2110-'Model Inputs &amp; Assumptions'!$T$32^2/2)),0)</f>
        <v>1339270</v>
      </c>
      <c r="D2110" s="46" t="n">
        <f aca="false">MIN(1,'Model Inputs &amp; Assumptions'!$U$32*EXP('Model Inputs &amp; Assumptions'!$V$32*Q2110-'Model Inputs &amp; Assumptions'!$V$32^2/2))</f>
        <v>0</v>
      </c>
      <c r="E2110" s="45" t="n">
        <f aca="false">ROUND(C2110*D2110,0)</f>
        <v>0</v>
      </c>
      <c r="F2110" s="47" t="n">
        <f aca="false">MIN(1,'Model Inputs &amp; Assumptions'!$W$32*EXP('Model Inputs &amp; Assumptions'!$X$32*R2110-'Model Inputs &amp; Assumptions'!$X$32^2/2))</f>
        <v>0.0029311905410261</v>
      </c>
      <c r="G2110" s="45" t="n">
        <f aca="false">ROUND(C2110*F2110,0)</f>
        <v>3926</v>
      </c>
      <c r="H2110" s="48" t="n">
        <f aca="false">MAX(0,(C2110*'Model Inputs &amp; Assumptions'!$N$32+E2110*'Model Inputs &amp; Assumptions'!$O$32+G2110*'Model Inputs &amp; Assumptions'!$P$32)*EXP('Model Inputs &amp; Assumptions'!$Q$32*S2110-'Model Inputs &amp; Assumptions'!$Q$32^2/2))</f>
        <v>151.360387530686</v>
      </c>
      <c r="I2110" s="49" t="n">
        <f aca="false">IF('Model Inputs &amp; Assumptions'!$H$32="Fixed",'Model Inputs &amp; Assumptions'!$I$32*'Model Inputs &amp; Assumptions'!$K$32,IF('Model Inputs &amp; Assumptions'!$H$32="CPM",'Model Inputs &amp; Assumptions'!$I$32*'Model Inputs &amp; Assumptions'!$K$32*C2110/1000,IF('Model Inputs &amp; Assumptions'!$H$32="CPC",'Model Inputs &amp; Assumptions'!$I$32*'Model Inputs &amp; Assumptions'!$K$32*G2110,0)))</f>
        <v>16071.24</v>
      </c>
      <c r="J2110" s="50" t="n">
        <f aca="false">H2110*INDEX('Model Inputs &amp; Assumptions'!$D$40:$D$42,MATCH('Model Inputs &amp; Assumptions'!$L$32,'Model Inputs &amp; Assumptions'!$A$40:$A$42,0))*INDEX('Model Inputs &amp; Assumptions'!$H$40:$H$42,MATCH('Model Inputs &amp; Assumptions'!$L$32,'Model Inputs &amp; Assumptions'!$A$40:$A$42,0))</f>
        <v>817346.092665703</v>
      </c>
      <c r="K2110" s="49" t="n">
        <f aca="false">H2110*INDEX('Model Inputs &amp; Assumptions'!$G$40:$G$42,MATCH('Model Inputs &amp; Assumptions'!$L$32,'Model Inputs &amp; Assumptions'!$A$40:$A$42,0))*INDEX('Model Inputs &amp; Assumptions'!$H$40:$H$42,MATCH('Model Inputs &amp; Assumptions'!$L$32,'Model Inputs &amp; Assumptions'!$A$40:$A$42,0))</f>
        <v>17164.2679459798</v>
      </c>
      <c r="L2110" s="51" t="n">
        <f aca="false">IFERROR(K2110/I2110,0)</f>
        <v>1.06801142575058</v>
      </c>
      <c r="M2110" s="49" t="n">
        <f aca="false">IFERROR(I2110/H2110,0)</f>
        <v>106.178639353324</v>
      </c>
      <c r="N2110" s="52" t="str">
        <f aca="false">'Model Inputs &amp; Assumptions'!$L$32</f>
        <v>PRD-SP01</v>
      </c>
      <c r="P2110" s="53" t="n">
        <v>0.51601</v>
      </c>
      <c r="Q2110" s="53" t="n">
        <v>-1.683089</v>
      </c>
      <c r="R2110" s="53" t="n">
        <v>-0.441181</v>
      </c>
      <c r="S2110" s="53" t="n">
        <v>-0.412214</v>
      </c>
    </row>
    <row r="2111" customFormat="false" ht="15" hidden="false" customHeight="false" outlineLevel="0" collapsed="false">
      <c r="A2111" s="43" t="n">
        <v>108</v>
      </c>
      <c r="B2111" s="44" t="str">
        <f aca="false">'Model Inputs &amp; Assumptions'!$B$32</f>
        <v>Trade Republic — In-App Display</v>
      </c>
      <c r="C2111" s="45" t="n">
        <f aca="false">ROUND(MAX(0,'Model Inputs &amp; Assumptions'!$S$32*EXP('Model Inputs &amp; Assumptions'!$T$32*P2111-'Model Inputs &amp; Assumptions'!$T$32^2/2)),0)</f>
        <v>847695</v>
      </c>
      <c r="D2111" s="46" t="n">
        <f aca="false">MIN(1,'Model Inputs &amp; Assumptions'!$U$32*EXP('Model Inputs &amp; Assumptions'!$V$32*Q2111-'Model Inputs &amp; Assumptions'!$V$32^2/2))</f>
        <v>0</v>
      </c>
      <c r="E2111" s="45" t="n">
        <f aca="false">ROUND(C2111*D2111,0)</f>
        <v>0</v>
      </c>
      <c r="F2111" s="47" t="n">
        <f aca="false">MIN(1,'Model Inputs &amp; Assumptions'!$W$32*EXP('Model Inputs &amp; Assumptions'!$X$32*R2111-'Model Inputs &amp; Assumptions'!$X$32^2/2))</f>
        <v>0.00367717711129536</v>
      </c>
      <c r="G2111" s="45" t="n">
        <f aca="false">ROUND(C2111*F2111,0)</f>
        <v>3117</v>
      </c>
      <c r="H2111" s="48" t="n">
        <f aca="false">MAX(0,(C2111*'Model Inputs &amp; Assumptions'!$N$32+E2111*'Model Inputs &amp; Assumptions'!$O$32+G2111*'Model Inputs &amp; Assumptions'!$P$32)*EXP('Model Inputs &amp; Assumptions'!$Q$32*S2111-'Model Inputs &amp; Assumptions'!$Q$32^2/2))</f>
        <v>108.617551509998</v>
      </c>
      <c r="I2111" s="49" t="n">
        <f aca="false">IF('Model Inputs &amp; Assumptions'!$H$32="Fixed",'Model Inputs &amp; Assumptions'!$I$32*'Model Inputs &amp; Assumptions'!$K$32,IF('Model Inputs &amp; Assumptions'!$H$32="CPM",'Model Inputs &amp; Assumptions'!$I$32*'Model Inputs &amp; Assumptions'!$K$32*C2111/1000,IF('Model Inputs &amp; Assumptions'!$H$32="CPC",'Model Inputs &amp; Assumptions'!$I$32*'Model Inputs &amp; Assumptions'!$K$32*G2111,0)))</f>
        <v>10172.34</v>
      </c>
      <c r="J2111" s="50" t="n">
        <f aca="false">H2111*INDEX('Model Inputs &amp; Assumptions'!$D$40:$D$42,MATCH('Model Inputs &amp; Assumptions'!$L$32,'Model Inputs &amp; Assumptions'!$A$40:$A$42,0))*INDEX('Model Inputs &amp; Assumptions'!$H$40:$H$42,MATCH('Model Inputs &amp; Assumptions'!$L$32,'Model Inputs &amp; Assumptions'!$A$40:$A$42,0))</f>
        <v>586534.778153989</v>
      </c>
      <c r="K2111" s="49" t="n">
        <f aca="false">H2111*INDEX('Model Inputs &amp; Assumptions'!$G$40:$G$42,MATCH('Model Inputs &amp; Assumptions'!$L$32,'Model Inputs &amp; Assumptions'!$A$40:$A$42,0))*INDEX('Model Inputs &amp; Assumptions'!$H$40:$H$42,MATCH('Model Inputs &amp; Assumptions'!$L$32,'Model Inputs &amp; Assumptions'!$A$40:$A$42,0))</f>
        <v>12317.2303412338</v>
      </c>
      <c r="L2111" s="51" t="n">
        <f aca="false">IFERROR(K2111/I2111,0)</f>
        <v>1.21085515635869</v>
      </c>
      <c r="M2111" s="49" t="n">
        <f aca="false">IFERROR(I2111/H2111,0)</f>
        <v>93.6528199962569</v>
      </c>
      <c r="N2111" s="52" t="str">
        <f aca="false">'Model Inputs &amp; Assumptions'!$L$32</f>
        <v>PRD-SP01</v>
      </c>
      <c r="P2111" s="53" t="n">
        <v>-1.008521</v>
      </c>
      <c r="Q2111" s="53" t="n">
        <v>-0.387427</v>
      </c>
      <c r="R2111" s="53" t="n">
        <v>0.314608</v>
      </c>
      <c r="S2111" s="53" t="n">
        <v>-0.773216</v>
      </c>
    </row>
    <row r="2112" customFormat="false" ht="15" hidden="false" customHeight="false" outlineLevel="0" collapsed="false">
      <c r="A2112" s="43" t="n">
        <v>109</v>
      </c>
      <c r="B2112" s="44" t="str">
        <f aca="false">'Model Inputs &amp; Assumptions'!$B$32</f>
        <v>Trade Republic — In-App Display</v>
      </c>
      <c r="C2112" s="45" t="n">
        <f aca="false">ROUND(MAX(0,'Model Inputs &amp; Assumptions'!$S$32*EXP('Model Inputs &amp; Assumptions'!$T$32*P2112-'Model Inputs &amp; Assumptions'!$T$32^2/2)),0)</f>
        <v>1113010</v>
      </c>
      <c r="D2112" s="46" t="n">
        <f aca="false">MIN(1,'Model Inputs &amp; Assumptions'!$U$32*EXP('Model Inputs &amp; Assumptions'!$V$32*Q2112-'Model Inputs &amp; Assumptions'!$V$32^2/2))</f>
        <v>0</v>
      </c>
      <c r="E2112" s="45" t="n">
        <f aca="false">ROUND(C2112*D2112,0)</f>
        <v>0</v>
      </c>
      <c r="F2112" s="47" t="n">
        <f aca="false">MIN(1,'Model Inputs &amp; Assumptions'!$W$32*EXP('Model Inputs &amp; Assumptions'!$X$32*R2112-'Model Inputs &amp; Assumptions'!$X$32^2/2))</f>
        <v>0.00230941205038769</v>
      </c>
      <c r="G2112" s="45" t="n">
        <f aca="false">ROUND(C2112*F2112,0)</f>
        <v>2570</v>
      </c>
      <c r="H2112" s="48" t="n">
        <f aca="false">MAX(0,(C2112*'Model Inputs &amp; Assumptions'!$N$32+E2112*'Model Inputs &amp; Assumptions'!$O$32+G2112*'Model Inputs &amp; Assumptions'!$P$32)*EXP('Model Inputs &amp; Assumptions'!$Q$32*S2112-'Model Inputs &amp; Assumptions'!$Q$32^2/2))</f>
        <v>101.368832151659</v>
      </c>
      <c r="I2112" s="49" t="n">
        <f aca="false">IF('Model Inputs &amp; Assumptions'!$H$32="Fixed",'Model Inputs &amp; Assumptions'!$I$32*'Model Inputs &amp; Assumptions'!$K$32,IF('Model Inputs &amp; Assumptions'!$H$32="CPM",'Model Inputs &amp; Assumptions'!$I$32*'Model Inputs &amp; Assumptions'!$K$32*C2112/1000,IF('Model Inputs &amp; Assumptions'!$H$32="CPC",'Model Inputs &amp; Assumptions'!$I$32*'Model Inputs &amp; Assumptions'!$K$32*G2112,0)))</f>
        <v>13356.12</v>
      </c>
      <c r="J2112" s="50" t="n">
        <f aca="false">H2112*INDEX('Model Inputs &amp; Assumptions'!$D$40:$D$42,MATCH('Model Inputs &amp; Assumptions'!$L$32,'Model Inputs &amp; Assumptions'!$A$40:$A$42,0))*INDEX('Model Inputs &amp; Assumptions'!$H$40:$H$42,MATCH('Model Inputs &amp; Assumptions'!$L$32,'Model Inputs &amp; Assumptions'!$A$40:$A$42,0))</f>
        <v>547391.693618959</v>
      </c>
      <c r="K2112" s="49" t="n">
        <f aca="false">H2112*INDEX('Model Inputs &amp; Assumptions'!$G$40:$G$42,MATCH('Model Inputs &amp; Assumptions'!$L$32,'Model Inputs &amp; Assumptions'!$A$40:$A$42,0))*INDEX('Model Inputs &amp; Assumptions'!$H$40:$H$42,MATCH('Model Inputs &amp; Assumptions'!$L$32,'Model Inputs &amp; Assumptions'!$A$40:$A$42,0))</f>
        <v>11495.2255659981</v>
      </c>
      <c r="L2112" s="51" t="n">
        <f aca="false">IFERROR(K2112/I2112,0)</f>
        <v>0.860671030658465</v>
      </c>
      <c r="M2112" s="49" t="n">
        <f aca="false">IFERROR(I2112/H2112,0)</f>
        <v>131.757658804017</v>
      </c>
      <c r="N2112" s="52" t="str">
        <f aca="false">'Model Inputs &amp; Assumptions'!$L$32</f>
        <v>PRD-SP01</v>
      </c>
      <c r="P2112" s="53" t="n">
        <v>-0.100844</v>
      </c>
      <c r="Q2112" s="53" t="n">
        <v>0.405973</v>
      </c>
      <c r="R2112" s="53" t="n">
        <v>-1.2359</v>
      </c>
      <c r="S2112" s="53" t="n">
        <v>-0.330724</v>
      </c>
    </row>
    <row r="2113" customFormat="false" ht="15" hidden="false" customHeight="false" outlineLevel="0" collapsed="false">
      <c r="A2113" s="43" t="n">
        <v>110</v>
      </c>
      <c r="B2113" s="44" t="str">
        <f aca="false">'Model Inputs &amp; Assumptions'!$B$32</f>
        <v>Trade Republic — In-App Display</v>
      </c>
      <c r="C2113" s="45" t="n">
        <f aca="false">ROUND(MAX(0,'Model Inputs &amp; Assumptions'!$S$32*EXP('Model Inputs &amp; Assumptions'!$T$32*P2113-'Model Inputs &amp; Assumptions'!$T$32^2/2)),0)</f>
        <v>1189273</v>
      </c>
      <c r="D2113" s="46" t="n">
        <f aca="false">MIN(1,'Model Inputs &amp; Assumptions'!$U$32*EXP('Model Inputs &amp; Assumptions'!$V$32*Q2113-'Model Inputs &amp; Assumptions'!$V$32^2/2))</f>
        <v>0</v>
      </c>
      <c r="E2113" s="45" t="n">
        <f aca="false">ROUND(C2113*D2113,0)</f>
        <v>0</v>
      </c>
      <c r="F2113" s="47" t="n">
        <f aca="false">MIN(1,'Model Inputs &amp; Assumptions'!$W$32*EXP('Model Inputs &amp; Assumptions'!$X$32*R2113-'Model Inputs &amp; Assumptions'!$X$32^2/2))</f>
        <v>0.00393026545143834</v>
      </c>
      <c r="G2113" s="45" t="n">
        <f aca="false">ROUND(C2113*F2113,0)</f>
        <v>4674</v>
      </c>
      <c r="H2113" s="48" t="n">
        <f aca="false">MAX(0,(C2113*'Model Inputs &amp; Assumptions'!$N$32+E2113*'Model Inputs &amp; Assumptions'!$O$32+G2113*'Model Inputs &amp; Assumptions'!$P$32)*EXP('Model Inputs &amp; Assumptions'!$Q$32*S2113-'Model Inputs &amp; Assumptions'!$Q$32^2/2))</f>
        <v>162.76414111524</v>
      </c>
      <c r="I2113" s="49" t="n">
        <f aca="false">IF('Model Inputs &amp; Assumptions'!$H$32="Fixed",'Model Inputs &amp; Assumptions'!$I$32*'Model Inputs &amp; Assumptions'!$K$32,IF('Model Inputs &amp; Assumptions'!$H$32="CPM",'Model Inputs &amp; Assumptions'!$I$32*'Model Inputs &amp; Assumptions'!$K$32*C2113/1000,IF('Model Inputs &amp; Assumptions'!$H$32="CPC",'Model Inputs &amp; Assumptions'!$I$32*'Model Inputs &amp; Assumptions'!$K$32*G2113,0)))</f>
        <v>14271.276</v>
      </c>
      <c r="J2113" s="50" t="n">
        <f aca="false">H2113*INDEX('Model Inputs &amp; Assumptions'!$D$40:$D$42,MATCH('Model Inputs &amp; Assumptions'!$L$32,'Model Inputs &amp; Assumptions'!$A$40:$A$42,0))*INDEX('Model Inputs &amp; Assumptions'!$H$40:$H$42,MATCH('Model Inputs &amp; Assumptions'!$L$32,'Model Inputs &amp; Assumptions'!$A$40:$A$42,0))</f>
        <v>878926.362022294</v>
      </c>
      <c r="K2113" s="49" t="n">
        <f aca="false">H2113*INDEX('Model Inputs &amp; Assumptions'!$G$40:$G$42,MATCH('Model Inputs &amp; Assumptions'!$L$32,'Model Inputs &amp; Assumptions'!$A$40:$A$42,0))*INDEX('Model Inputs &amp; Assumptions'!$H$40:$H$42,MATCH('Model Inputs &amp; Assumptions'!$L$32,'Model Inputs &amp; Assumptions'!$A$40:$A$42,0))</f>
        <v>18457.4536024682</v>
      </c>
      <c r="L2113" s="51" t="n">
        <f aca="false">IFERROR(K2113/I2113,0)</f>
        <v>1.29332889381918</v>
      </c>
      <c r="M2113" s="49" t="n">
        <f aca="false">IFERROR(I2113/H2113,0)</f>
        <v>87.6807133451815</v>
      </c>
      <c r="N2113" s="52" t="str">
        <f aca="false">'Model Inputs &amp; Assumptions'!$L$32</f>
        <v>PRD-SP01</v>
      </c>
      <c r="P2113" s="53" t="n">
        <v>0.120068</v>
      </c>
      <c r="Q2113" s="53" t="n">
        <v>-1.554908</v>
      </c>
      <c r="R2113" s="53" t="n">
        <v>0.53648</v>
      </c>
      <c r="S2113" s="53" t="n">
        <v>-0.775627</v>
      </c>
    </row>
    <row r="2114" customFormat="false" ht="15" hidden="false" customHeight="false" outlineLevel="0" collapsed="false">
      <c r="A2114" s="43" t="n">
        <v>111</v>
      </c>
      <c r="B2114" s="44" t="str">
        <f aca="false">'Model Inputs &amp; Assumptions'!$B$32</f>
        <v>Trade Republic — In-App Display</v>
      </c>
      <c r="C2114" s="45" t="n">
        <f aca="false">ROUND(MAX(0,'Model Inputs &amp; Assumptions'!$S$32*EXP('Model Inputs &amp; Assumptions'!$T$32*P2114-'Model Inputs &amp; Assumptions'!$T$32^2/2)),0)</f>
        <v>1075501</v>
      </c>
      <c r="D2114" s="46" t="n">
        <f aca="false">MIN(1,'Model Inputs &amp; Assumptions'!$U$32*EXP('Model Inputs &amp; Assumptions'!$V$32*Q2114-'Model Inputs &amp; Assumptions'!$V$32^2/2))</f>
        <v>0</v>
      </c>
      <c r="E2114" s="45" t="n">
        <f aca="false">ROUND(C2114*D2114,0)</f>
        <v>0</v>
      </c>
      <c r="F2114" s="47" t="n">
        <f aca="false">MIN(1,'Model Inputs &amp; Assumptions'!$W$32*EXP('Model Inputs &amp; Assumptions'!$X$32*R2114-'Model Inputs &amp; Assumptions'!$X$32^2/2))</f>
        <v>0.00454200192949652</v>
      </c>
      <c r="G2114" s="45" t="n">
        <f aca="false">ROUND(C2114*F2114,0)</f>
        <v>4885</v>
      </c>
      <c r="H2114" s="48" t="n">
        <f aca="false">MAX(0,(C2114*'Model Inputs &amp; Assumptions'!$N$32+E2114*'Model Inputs &amp; Assumptions'!$O$32+G2114*'Model Inputs &amp; Assumptions'!$P$32)*EXP('Model Inputs &amp; Assumptions'!$Q$32*S2114-'Model Inputs &amp; Assumptions'!$Q$32^2/2))</f>
        <v>351.300778479303</v>
      </c>
      <c r="I2114" s="49" t="n">
        <f aca="false">IF('Model Inputs &amp; Assumptions'!$H$32="Fixed",'Model Inputs &amp; Assumptions'!$I$32*'Model Inputs &amp; Assumptions'!$K$32,IF('Model Inputs &amp; Assumptions'!$H$32="CPM",'Model Inputs &amp; Assumptions'!$I$32*'Model Inputs &amp; Assumptions'!$K$32*C2114/1000,IF('Model Inputs &amp; Assumptions'!$H$32="CPC",'Model Inputs &amp; Assumptions'!$I$32*'Model Inputs &amp; Assumptions'!$K$32*G2114,0)))</f>
        <v>12906.012</v>
      </c>
      <c r="J2114" s="50" t="n">
        <f aca="false">H2114*INDEX('Model Inputs &amp; Assumptions'!$D$40:$D$42,MATCH('Model Inputs &amp; Assumptions'!$L$32,'Model Inputs &amp; Assumptions'!$A$40:$A$42,0))*INDEX('Model Inputs &amp; Assumptions'!$H$40:$H$42,MATCH('Model Inputs &amp; Assumptions'!$L$32,'Model Inputs &amp; Assumptions'!$A$40:$A$42,0))</f>
        <v>1897024.20378824</v>
      </c>
      <c r="K2114" s="49" t="n">
        <f aca="false">H2114*INDEX('Model Inputs &amp; Assumptions'!$G$40:$G$42,MATCH('Model Inputs &amp; Assumptions'!$L$32,'Model Inputs &amp; Assumptions'!$A$40:$A$42,0))*INDEX('Model Inputs &amp; Assumptions'!$H$40:$H$42,MATCH('Model Inputs &amp; Assumptions'!$L$32,'Model Inputs &amp; Assumptions'!$A$40:$A$42,0))</f>
        <v>39837.508279553</v>
      </c>
      <c r="L2114" s="51" t="n">
        <f aca="false">IFERROR(K2114/I2114,0)</f>
        <v>3.08674037181687</v>
      </c>
      <c r="M2114" s="49" t="n">
        <f aca="false">IFERROR(I2114/H2114,0)</f>
        <v>36.7377836618155</v>
      </c>
      <c r="N2114" s="52" t="str">
        <f aca="false">'Model Inputs &amp; Assumptions'!$L$32</f>
        <v>PRD-SP01</v>
      </c>
      <c r="P2114" s="53" t="n">
        <v>-0.215118</v>
      </c>
      <c r="Q2114" s="53" t="n">
        <v>0.995485</v>
      </c>
      <c r="R2114" s="53" t="n">
        <v>1.018683</v>
      </c>
      <c r="S2114" s="53" t="n">
        <v>1.814325</v>
      </c>
    </row>
    <row r="2115" customFormat="false" ht="15" hidden="false" customHeight="false" outlineLevel="0" collapsed="false">
      <c r="A2115" s="43" t="n">
        <v>112</v>
      </c>
      <c r="B2115" s="44" t="str">
        <f aca="false">'Model Inputs &amp; Assumptions'!$B$32</f>
        <v>Trade Republic — In-App Display</v>
      </c>
      <c r="C2115" s="45" t="n">
        <f aca="false">ROUND(MAX(0,'Model Inputs &amp; Assumptions'!$S$32*EXP('Model Inputs &amp; Assumptions'!$T$32*P2115-'Model Inputs &amp; Assumptions'!$T$32^2/2)),0)</f>
        <v>1301731</v>
      </c>
      <c r="D2115" s="46" t="n">
        <f aca="false">MIN(1,'Model Inputs &amp; Assumptions'!$U$32*EXP('Model Inputs &amp; Assumptions'!$V$32*Q2115-'Model Inputs &amp; Assumptions'!$V$32^2/2))</f>
        <v>0</v>
      </c>
      <c r="E2115" s="45" t="n">
        <f aca="false">ROUND(C2115*D2115,0)</f>
        <v>0</v>
      </c>
      <c r="F2115" s="47" t="n">
        <f aca="false">MIN(1,'Model Inputs &amp; Assumptions'!$W$32*EXP('Model Inputs &amp; Assumptions'!$X$32*R2115-'Model Inputs &amp; Assumptions'!$X$32^2/2))</f>
        <v>0.00550238793764921</v>
      </c>
      <c r="G2115" s="45" t="n">
        <f aca="false">ROUND(C2115*F2115,0)</f>
        <v>7163</v>
      </c>
      <c r="H2115" s="48" t="n">
        <f aca="false">MAX(0,(C2115*'Model Inputs &amp; Assumptions'!$N$32+E2115*'Model Inputs &amp; Assumptions'!$O$32+G2115*'Model Inputs &amp; Assumptions'!$P$32)*EXP('Model Inputs &amp; Assumptions'!$Q$32*S2115-'Model Inputs &amp; Assumptions'!$Q$32^2/2))</f>
        <v>364.778812740349</v>
      </c>
      <c r="I2115" s="49" t="n">
        <f aca="false">IF('Model Inputs &amp; Assumptions'!$H$32="Fixed",'Model Inputs &amp; Assumptions'!$I$32*'Model Inputs &amp; Assumptions'!$K$32,IF('Model Inputs &amp; Assumptions'!$H$32="CPM",'Model Inputs &amp; Assumptions'!$I$32*'Model Inputs &amp; Assumptions'!$K$32*C2115/1000,IF('Model Inputs &amp; Assumptions'!$H$32="CPC",'Model Inputs &amp; Assumptions'!$I$32*'Model Inputs &amp; Assumptions'!$K$32*G2115,0)))</f>
        <v>15620.772</v>
      </c>
      <c r="J2115" s="50" t="n">
        <f aca="false">H2115*INDEX('Model Inputs &amp; Assumptions'!$D$40:$D$42,MATCH('Model Inputs &amp; Assumptions'!$L$32,'Model Inputs &amp; Assumptions'!$A$40:$A$42,0))*INDEX('Model Inputs &amp; Assumptions'!$H$40:$H$42,MATCH('Model Inputs &amp; Assumptions'!$L$32,'Model Inputs &amp; Assumptions'!$A$40:$A$42,0))</f>
        <v>1969805.58879788</v>
      </c>
      <c r="K2115" s="49" t="n">
        <f aca="false">H2115*INDEX('Model Inputs &amp; Assumptions'!$G$40:$G$42,MATCH('Model Inputs &amp; Assumptions'!$L$32,'Model Inputs &amp; Assumptions'!$A$40:$A$42,0))*INDEX('Model Inputs &amp; Assumptions'!$H$40:$H$42,MATCH('Model Inputs &amp; Assumptions'!$L$32,'Model Inputs &amp; Assumptions'!$A$40:$A$42,0))</f>
        <v>41365.9173647556</v>
      </c>
      <c r="L2115" s="51" t="n">
        <f aca="false">IFERROR(K2115/I2115,0)</f>
        <v>2.64813527556484</v>
      </c>
      <c r="M2115" s="49" t="n">
        <f aca="false">IFERROR(I2115/H2115,0)</f>
        <v>42.8225857819186</v>
      </c>
      <c r="N2115" s="52" t="str">
        <f aca="false">'Model Inputs &amp; Assumptions'!$L$32</f>
        <v>PRD-SP01</v>
      </c>
      <c r="P2115" s="53" t="n">
        <v>0.421244</v>
      </c>
      <c r="Q2115" s="53" t="n">
        <v>-1.531461</v>
      </c>
      <c r="R2115" s="53" t="n">
        <v>1.658064</v>
      </c>
      <c r="S2115" s="53" t="n">
        <v>0.581785</v>
      </c>
    </row>
    <row r="2116" customFormat="false" ht="15" hidden="false" customHeight="false" outlineLevel="0" collapsed="false">
      <c r="A2116" s="43" t="n">
        <v>113</v>
      </c>
      <c r="B2116" s="44" t="str">
        <f aca="false">'Model Inputs &amp; Assumptions'!$B$32</f>
        <v>Trade Republic — In-App Display</v>
      </c>
      <c r="C2116" s="45" t="n">
        <f aca="false">ROUND(MAX(0,'Model Inputs &amp; Assumptions'!$S$32*EXP('Model Inputs &amp; Assumptions'!$T$32*P2116-'Model Inputs &amp; Assumptions'!$T$32^2/2)),0)</f>
        <v>697701</v>
      </c>
      <c r="D2116" s="46" t="n">
        <f aca="false">MIN(1,'Model Inputs &amp; Assumptions'!$U$32*EXP('Model Inputs &amp; Assumptions'!$V$32*Q2116-'Model Inputs &amp; Assumptions'!$V$32^2/2))</f>
        <v>0</v>
      </c>
      <c r="E2116" s="45" t="n">
        <f aca="false">ROUND(C2116*D2116,0)</f>
        <v>0</v>
      </c>
      <c r="F2116" s="47" t="n">
        <f aca="false">MIN(1,'Model Inputs &amp; Assumptions'!$W$32*EXP('Model Inputs &amp; Assumptions'!$X$32*R2116-'Model Inputs &amp; Assumptions'!$X$32^2/2))</f>
        <v>0.00438450777924152</v>
      </c>
      <c r="G2116" s="45" t="n">
        <f aca="false">ROUND(C2116*F2116,0)</f>
        <v>3059</v>
      </c>
      <c r="H2116" s="48" t="n">
        <f aca="false">MAX(0,(C2116*'Model Inputs &amp; Assumptions'!$N$32+E2116*'Model Inputs &amp; Assumptions'!$O$32+G2116*'Model Inputs &amp; Assumptions'!$P$32)*EXP('Model Inputs &amp; Assumptions'!$Q$32*S2116-'Model Inputs &amp; Assumptions'!$Q$32^2/2))</f>
        <v>131.293505226301</v>
      </c>
      <c r="I2116" s="49" t="n">
        <f aca="false">IF('Model Inputs &amp; Assumptions'!$H$32="Fixed",'Model Inputs &amp; Assumptions'!$I$32*'Model Inputs &amp; Assumptions'!$K$32,IF('Model Inputs &amp; Assumptions'!$H$32="CPM",'Model Inputs &amp; Assumptions'!$I$32*'Model Inputs &amp; Assumptions'!$K$32*C2116/1000,IF('Model Inputs &amp; Assumptions'!$H$32="CPC",'Model Inputs &amp; Assumptions'!$I$32*'Model Inputs &amp; Assumptions'!$K$32*G2116,0)))</f>
        <v>8372.412</v>
      </c>
      <c r="J2116" s="50" t="n">
        <f aca="false">H2116*INDEX('Model Inputs &amp; Assumptions'!$D$40:$D$42,MATCH('Model Inputs &amp; Assumptions'!$L$32,'Model Inputs &amp; Assumptions'!$A$40:$A$42,0))*INDEX('Model Inputs &amp; Assumptions'!$H$40:$H$42,MATCH('Model Inputs &amp; Assumptions'!$L$32,'Model Inputs &amp; Assumptions'!$A$40:$A$42,0))</f>
        <v>708984.928222025</v>
      </c>
      <c r="K2116" s="49" t="n">
        <f aca="false">H2116*INDEX('Model Inputs &amp; Assumptions'!$G$40:$G$42,MATCH('Model Inputs &amp; Assumptions'!$L$32,'Model Inputs &amp; Assumptions'!$A$40:$A$42,0))*INDEX('Model Inputs &amp; Assumptions'!$H$40:$H$42,MATCH('Model Inputs &amp; Assumptions'!$L$32,'Model Inputs &amp; Assumptions'!$A$40:$A$42,0))</f>
        <v>14888.6834926625</v>
      </c>
      <c r="L2116" s="51" t="n">
        <f aca="false">IFERROR(K2116/I2116,0)</f>
        <v>1.77830277495452</v>
      </c>
      <c r="M2116" s="49" t="n">
        <f aca="false">IFERROR(I2116/H2116,0)</f>
        <v>63.7686684163782</v>
      </c>
      <c r="N2116" s="52" t="str">
        <f aca="false">'Model Inputs &amp; Assumptions'!$L$32</f>
        <v>PRD-SP01</v>
      </c>
      <c r="P2116" s="53" t="n">
        <v>-1.657623</v>
      </c>
      <c r="Q2116" s="53" t="n">
        <v>-0.352992</v>
      </c>
      <c r="R2116" s="53" t="n">
        <v>0.901048</v>
      </c>
      <c r="S2116" s="53" t="n">
        <v>-0.028983</v>
      </c>
    </row>
    <row r="2117" customFormat="false" ht="15" hidden="false" customHeight="false" outlineLevel="0" collapsed="false">
      <c r="A2117" s="43" t="n">
        <v>114</v>
      </c>
      <c r="B2117" s="44" t="str">
        <f aca="false">'Model Inputs &amp; Assumptions'!$B$32</f>
        <v>Trade Republic — In-App Display</v>
      </c>
      <c r="C2117" s="45" t="n">
        <f aca="false">ROUND(MAX(0,'Model Inputs &amp; Assumptions'!$S$32*EXP('Model Inputs &amp; Assumptions'!$T$32*P2117-'Model Inputs &amp; Assumptions'!$T$32^2/2)),0)</f>
        <v>782527</v>
      </c>
      <c r="D2117" s="46" t="n">
        <f aca="false">MIN(1,'Model Inputs &amp; Assumptions'!$U$32*EXP('Model Inputs &amp; Assumptions'!$V$32*Q2117-'Model Inputs &amp; Assumptions'!$V$32^2/2))</f>
        <v>0</v>
      </c>
      <c r="E2117" s="45" t="n">
        <f aca="false">ROUND(C2117*D2117,0)</f>
        <v>0</v>
      </c>
      <c r="F2117" s="47" t="n">
        <f aca="false">MIN(1,'Model Inputs &amp; Assumptions'!$W$32*EXP('Model Inputs &amp; Assumptions'!$X$32*R2117-'Model Inputs &amp; Assumptions'!$X$32^2/2))</f>
        <v>0.00338836860634873</v>
      </c>
      <c r="G2117" s="45" t="n">
        <f aca="false">ROUND(C2117*F2117,0)</f>
        <v>2651</v>
      </c>
      <c r="H2117" s="48" t="n">
        <f aca="false">MAX(0,(C2117*'Model Inputs &amp; Assumptions'!$N$32+E2117*'Model Inputs &amp; Assumptions'!$O$32+G2117*'Model Inputs &amp; Assumptions'!$P$32)*EXP('Model Inputs &amp; Assumptions'!$Q$32*S2117-'Model Inputs &amp; Assumptions'!$Q$32^2/2))</f>
        <v>118.809082624841</v>
      </c>
      <c r="I2117" s="49" t="n">
        <f aca="false">IF('Model Inputs &amp; Assumptions'!$H$32="Fixed",'Model Inputs &amp; Assumptions'!$I$32*'Model Inputs &amp; Assumptions'!$K$32,IF('Model Inputs &amp; Assumptions'!$H$32="CPM",'Model Inputs &amp; Assumptions'!$I$32*'Model Inputs &amp; Assumptions'!$K$32*C2117/1000,IF('Model Inputs &amp; Assumptions'!$H$32="CPC",'Model Inputs &amp; Assumptions'!$I$32*'Model Inputs &amp; Assumptions'!$K$32*G2117,0)))</f>
        <v>9390.324</v>
      </c>
      <c r="J2117" s="50" t="n">
        <f aca="false">H2117*INDEX('Model Inputs &amp; Assumptions'!$D$40:$D$42,MATCH('Model Inputs &amp; Assumptions'!$L$32,'Model Inputs &amp; Assumptions'!$A$40:$A$42,0))*INDEX('Model Inputs &amp; Assumptions'!$H$40:$H$42,MATCH('Model Inputs &amp; Assumptions'!$L$32,'Model Inputs &amp; Assumptions'!$A$40:$A$42,0))</f>
        <v>641569.046174141</v>
      </c>
      <c r="K2117" s="49" t="n">
        <f aca="false">H2117*INDEX('Model Inputs &amp; Assumptions'!$G$40:$G$42,MATCH('Model Inputs &amp; Assumptions'!$L$32,'Model Inputs &amp; Assumptions'!$A$40:$A$42,0))*INDEX('Model Inputs &amp; Assumptions'!$H$40:$H$42,MATCH('Model Inputs &amp; Assumptions'!$L$32,'Model Inputs &amp; Assumptions'!$A$40:$A$42,0))</f>
        <v>13472.949969657</v>
      </c>
      <c r="L2117" s="51" t="n">
        <f aca="false">IFERROR(K2117/I2117,0)</f>
        <v>1.4347694466833</v>
      </c>
      <c r="M2117" s="49" t="n">
        <f aca="false">IFERROR(I2117/H2117,0)</f>
        <v>79.0370886849744</v>
      </c>
      <c r="N2117" s="52" t="str">
        <f aca="false">'Model Inputs &amp; Assumptions'!$L$32</f>
        <v>PRD-SP01</v>
      </c>
      <c r="P2117" s="53" t="n">
        <v>-1.275161</v>
      </c>
      <c r="Q2117" s="53" t="n">
        <v>0.020289</v>
      </c>
      <c r="R2117" s="53" t="n">
        <v>0.041952</v>
      </c>
      <c r="S2117" s="53" t="n">
        <v>0.125423</v>
      </c>
    </row>
    <row r="2118" customFormat="false" ht="15" hidden="false" customHeight="false" outlineLevel="0" collapsed="false">
      <c r="A2118" s="43" t="n">
        <v>115</v>
      </c>
      <c r="B2118" s="44" t="str">
        <f aca="false">'Model Inputs &amp; Assumptions'!$B$32</f>
        <v>Trade Republic — In-App Display</v>
      </c>
      <c r="C2118" s="45" t="n">
        <f aca="false">ROUND(MAX(0,'Model Inputs &amp; Assumptions'!$S$32*EXP('Model Inputs &amp; Assumptions'!$T$32*P2118-'Model Inputs &amp; Assumptions'!$T$32^2/2)),0)</f>
        <v>1261071</v>
      </c>
      <c r="D2118" s="46" t="n">
        <f aca="false">MIN(1,'Model Inputs &amp; Assumptions'!$U$32*EXP('Model Inputs &amp; Assumptions'!$V$32*Q2118-'Model Inputs &amp; Assumptions'!$V$32^2/2))</f>
        <v>0</v>
      </c>
      <c r="E2118" s="45" t="n">
        <f aca="false">ROUND(C2118*D2118,0)</f>
        <v>0</v>
      </c>
      <c r="F2118" s="47" t="n">
        <f aca="false">MIN(1,'Model Inputs &amp; Assumptions'!$W$32*EXP('Model Inputs &amp; Assumptions'!$X$32*R2118-'Model Inputs &amp; Assumptions'!$X$32^2/2))</f>
        <v>0.00559020617042743</v>
      </c>
      <c r="G2118" s="45" t="n">
        <f aca="false">ROUND(C2118*F2118,0)</f>
        <v>7050</v>
      </c>
      <c r="H2118" s="48" t="n">
        <f aca="false">MAX(0,(C2118*'Model Inputs &amp; Assumptions'!$N$32+E2118*'Model Inputs &amp; Assumptions'!$O$32+G2118*'Model Inputs &amp; Assumptions'!$P$32)*EXP('Model Inputs &amp; Assumptions'!$Q$32*S2118-'Model Inputs &amp; Assumptions'!$Q$32^2/2))</f>
        <v>405.224707507184</v>
      </c>
      <c r="I2118" s="49" t="n">
        <f aca="false">IF('Model Inputs &amp; Assumptions'!$H$32="Fixed",'Model Inputs &amp; Assumptions'!$I$32*'Model Inputs &amp; Assumptions'!$K$32,IF('Model Inputs &amp; Assumptions'!$H$32="CPM",'Model Inputs &amp; Assumptions'!$I$32*'Model Inputs &amp; Assumptions'!$K$32*C2118/1000,IF('Model Inputs &amp; Assumptions'!$H$32="CPC",'Model Inputs &amp; Assumptions'!$I$32*'Model Inputs &amp; Assumptions'!$K$32*G2118,0)))</f>
        <v>15132.852</v>
      </c>
      <c r="J2118" s="50" t="n">
        <f aca="false">H2118*INDEX('Model Inputs &amp; Assumptions'!$D$40:$D$42,MATCH('Model Inputs &amp; Assumptions'!$L$32,'Model Inputs &amp; Assumptions'!$A$40:$A$42,0))*INDEX('Model Inputs &amp; Assumptions'!$H$40:$H$42,MATCH('Model Inputs &amp; Assumptions'!$L$32,'Model Inputs &amp; Assumptions'!$A$40:$A$42,0))</f>
        <v>2188213.42053879</v>
      </c>
      <c r="K2118" s="49" t="n">
        <f aca="false">H2118*INDEX('Model Inputs &amp; Assumptions'!$G$40:$G$42,MATCH('Model Inputs &amp; Assumptions'!$L$32,'Model Inputs &amp; Assumptions'!$A$40:$A$42,0))*INDEX('Model Inputs &amp; Assumptions'!$H$40:$H$42,MATCH('Model Inputs &amp; Assumptions'!$L$32,'Model Inputs &amp; Assumptions'!$A$40:$A$42,0))</f>
        <v>45952.4818313147</v>
      </c>
      <c r="L2118" s="51" t="n">
        <f aca="false">IFERROR(K2118/I2118,0)</f>
        <v>3.03660419274005</v>
      </c>
      <c r="M2118" s="49" t="n">
        <f aca="false">IFERROR(I2118/H2118,0)</f>
        <v>37.3443467776005</v>
      </c>
      <c r="N2118" s="52" t="str">
        <f aca="false">'Model Inputs &amp; Assumptions'!$L$32</f>
        <v>PRD-SP01</v>
      </c>
      <c r="P2118" s="53" t="n">
        <v>0.315466</v>
      </c>
      <c r="Q2118" s="53" t="n">
        <v>0.674258</v>
      </c>
      <c r="R2118" s="53" t="n">
        <v>1.710844</v>
      </c>
      <c r="S2118" s="53" t="n">
        <v>1.014113</v>
      </c>
    </row>
    <row r="2119" customFormat="false" ht="15" hidden="false" customHeight="false" outlineLevel="0" collapsed="false">
      <c r="A2119" s="43" t="n">
        <v>116</v>
      </c>
      <c r="B2119" s="44" t="str">
        <f aca="false">'Model Inputs &amp; Assumptions'!$B$32</f>
        <v>Trade Republic — In-App Display</v>
      </c>
      <c r="C2119" s="45" t="n">
        <f aca="false">ROUND(MAX(0,'Model Inputs &amp; Assumptions'!$S$32*EXP('Model Inputs &amp; Assumptions'!$T$32*P2119-'Model Inputs &amp; Assumptions'!$T$32^2/2)),0)</f>
        <v>1490167</v>
      </c>
      <c r="D2119" s="46" t="n">
        <f aca="false">MIN(1,'Model Inputs &amp; Assumptions'!$U$32*EXP('Model Inputs &amp; Assumptions'!$V$32*Q2119-'Model Inputs &amp; Assumptions'!$V$32^2/2))</f>
        <v>0</v>
      </c>
      <c r="E2119" s="45" t="n">
        <f aca="false">ROUND(C2119*D2119,0)</f>
        <v>0</v>
      </c>
      <c r="F2119" s="47" t="n">
        <f aca="false">MIN(1,'Model Inputs &amp; Assumptions'!$W$32*EXP('Model Inputs &amp; Assumptions'!$X$32*R2119-'Model Inputs &amp; Assumptions'!$X$32^2/2))</f>
        <v>0.0036342947239774</v>
      </c>
      <c r="G2119" s="45" t="n">
        <f aca="false">ROUND(C2119*F2119,0)</f>
        <v>5416</v>
      </c>
      <c r="H2119" s="48" t="n">
        <f aca="false">MAX(0,(C2119*'Model Inputs &amp; Assumptions'!$N$32+E2119*'Model Inputs &amp; Assumptions'!$O$32+G2119*'Model Inputs &amp; Assumptions'!$P$32)*EXP('Model Inputs &amp; Assumptions'!$Q$32*S2119-'Model Inputs &amp; Assumptions'!$Q$32^2/2))</f>
        <v>222.888334831181</v>
      </c>
      <c r="I2119" s="49" t="n">
        <f aca="false">IF('Model Inputs &amp; Assumptions'!$H$32="Fixed",'Model Inputs &amp; Assumptions'!$I$32*'Model Inputs &amp; Assumptions'!$K$32,IF('Model Inputs &amp; Assumptions'!$H$32="CPM",'Model Inputs &amp; Assumptions'!$I$32*'Model Inputs &amp; Assumptions'!$K$32*C2119/1000,IF('Model Inputs &amp; Assumptions'!$H$32="CPC",'Model Inputs &amp; Assumptions'!$I$32*'Model Inputs &amp; Assumptions'!$K$32*G2119,0)))</f>
        <v>17882.004</v>
      </c>
      <c r="J2119" s="50" t="n">
        <f aca="false">H2119*INDEX('Model Inputs &amp; Assumptions'!$D$40:$D$42,MATCH('Model Inputs &amp; Assumptions'!$L$32,'Model Inputs &amp; Assumptions'!$A$40:$A$42,0))*INDEX('Model Inputs &amp; Assumptions'!$H$40:$H$42,MATCH('Model Inputs &amp; Assumptions'!$L$32,'Model Inputs &amp; Assumptions'!$A$40:$A$42,0))</f>
        <v>1203597.00808838</v>
      </c>
      <c r="K2119" s="49" t="n">
        <f aca="false">H2119*INDEX('Model Inputs &amp; Assumptions'!$G$40:$G$42,MATCH('Model Inputs &amp; Assumptions'!$L$32,'Model Inputs &amp; Assumptions'!$A$40:$A$42,0))*INDEX('Model Inputs &amp; Assumptions'!$H$40:$H$42,MATCH('Model Inputs &amp; Assumptions'!$L$32,'Model Inputs &amp; Assumptions'!$A$40:$A$42,0))</f>
        <v>25275.5371698559</v>
      </c>
      <c r="L2119" s="51" t="n">
        <f aca="false">IFERROR(K2119/I2119,0)</f>
        <v>1.41346222547853</v>
      </c>
      <c r="M2119" s="49" t="n">
        <f aca="false">IFERROR(I2119/H2119,0)</f>
        <v>80.2285324332657</v>
      </c>
      <c r="N2119" s="52" t="str">
        <f aca="false">'Model Inputs &amp; Assumptions'!$L$32</f>
        <v>PRD-SP01</v>
      </c>
      <c r="P2119" s="53" t="n">
        <v>0.871888</v>
      </c>
      <c r="Q2119" s="53" t="n">
        <v>-0.510141</v>
      </c>
      <c r="R2119" s="53" t="n">
        <v>0.275507</v>
      </c>
      <c r="S2119" s="53" t="n">
        <v>-0.179104</v>
      </c>
    </row>
    <row r="2120" customFormat="false" ht="15" hidden="false" customHeight="false" outlineLevel="0" collapsed="false">
      <c r="A2120" s="43" t="n">
        <v>117</v>
      </c>
      <c r="B2120" s="44" t="str">
        <f aca="false">'Model Inputs &amp; Assumptions'!$B$32</f>
        <v>Trade Republic — In-App Display</v>
      </c>
      <c r="C2120" s="45" t="n">
        <f aca="false">ROUND(MAX(0,'Model Inputs &amp; Assumptions'!$S$32*EXP('Model Inputs &amp; Assumptions'!$T$32*P2120-'Model Inputs &amp; Assumptions'!$T$32^2/2)),0)</f>
        <v>1291709</v>
      </c>
      <c r="D2120" s="46" t="n">
        <f aca="false">MIN(1,'Model Inputs &amp; Assumptions'!$U$32*EXP('Model Inputs &amp; Assumptions'!$V$32*Q2120-'Model Inputs &amp; Assumptions'!$V$32^2/2))</f>
        <v>0</v>
      </c>
      <c r="E2120" s="45" t="n">
        <f aca="false">ROUND(C2120*D2120,0)</f>
        <v>0</v>
      </c>
      <c r="F2120" s="47" t="n">
        <f aca="false">MIN(1,'Model Inputs &amp; Assumptions'!$W$32*EXP('Model Inputs &amp; Assumptions'!$X$32*R2120-'Model Inputs &amp; Assumptions'!$X$32^2/2))</f>
        <v>0.00530507584310022</v>
      </c>
      <c r="G2120" s="45" t="n">
        <f aca="false">ROUND(C2120*F2120,0)</f>
        <v>6853</v>
      </c>
      <c r="H2120" s="48" t="n">
        <f aca="false">MAX(0,(C2120*'Model Inputs &amp; Assumptions'!$N$32+E2120*'Model Inputs &amp; Assumptions'!$O$32+G2120*'Model Inputs &amp; Assumptions'!$P$32)*EXP('Model Inputs &amp; Assumptions'!$Q$32*S2120-'Model Inputs &amp; Assumptions'!$Q$32^2/2))</f>
        <v>219.268981540051</v>
      </c>
      <c r="I2120" s="49" t="n">
        <f aca="false">IF('Model Inputs &amp; Assumptions'!$H$32="Fixed",'Model Inputs &amp; Assumptions'!$I$32*'Model Inputs &amp; Assumptions'!$K$32,IF('Model Inputs &amp; Assumptions'!$H$32="CPM",'Model Inputs &amp; Assumptions'!$I$32*'Model Inputs &amp; Assumptions'!$K$32*C2120/1000,IF('Model Inputs &amp; Assumptions'!$H$32="CPC",'Model Inputs &amp; Assumptions'!$I$32*'Model Inputs &amp; Assumptions'!$K$32*G2120,0)))</f>
        <v>15500.508</v>
      </c>
      <c r="J2120" s="50" t="n">
        <f aca="false">H2120*INDEX('Model Inputs &amp; Assumptions'!$D$40:$D$42,MATCH('Model Inputs &amp; Assumptions'!$L$32,'Model Inputs &amp; Assumptions'!$A$40:$A$42,0))*INDEX('Model Inputs &amp; Assumptions'!$H$40:$H$42,MATCH('Model Inputs &amp; Assumptions'!$L$32,'Model Inputs &amp; Assumptions'!$A$40:$A$42,0))</f>
        <v>1184052.50031627</v>
      </c>
      <c r="K2120" s="49" t="n">
        <f aca="false">H2120*INDEX('Model Inputs &amp; Assumptions'!$G$40:$G$42,MATCH('Model Inputs &amp; Assumptions'!$L$32,'Model Inputs &amp; Assumptions'!$A$40:$A$42,0))*INDEX('Model Inputs &amp; Assumptions'!$H$40:$H$42,MATCH('Model Inputs &amp; Assumptions'!$L$32,'Model Inputs &amp; Assumptions'!$A$40:$A$42,0))</f>
        <v>24865.1025066417</v>
      </c>
      <c r="L2120" s="51" t="n">
        <f aca="false">IFERROR(K2120/I2120,0)</f>
        <v>1.60414758707532</v>
      </c>
      <c r="M2120" s="49" t="n">
        <f aca="false">IFERROR(I2120/H2120,0)</f>
        <v>70.6917498824099</v>
      </c>
      <c r="N2120" s="52" t="str">
        <f aca="false">'Model Inputs &amp; Assumptions'!$L$32</f>
        <v>PRD-SP01</v>
      </c>
      <c r="P2120" s="53" t="n">
        <v>0.395482</v>
      </c>
      <c r="Q2120" s="53" t="n">
        <v>1.15436</v>
      </c>
      <c r="R2120" s="53" t="n">
        <v>1.536337</v>
      </c>
      <c r="S2120" s="53" t="n">
        <v>-1.078035</v>
      </c>
    </row>
    <row r="2121" customFormat="false" ht="15" hidden="false" customHeight="false" outlineLevel="0" collapsed="false">
      <c r="A2121" s="43" t="n">
        <v>118</v>
      </c>
      <c r="B2121" s="44" t="str">
        <f aca="false">'Model Inputs &amp; Assumptions'!$B$32</f>
        <v>Trade Republic — In-App Display</v>
      </c>
      <c r="C2121" s="45" t="n">
        <f aca="false">ROUND(MAX(0,'Model Inputs &amp; Assumptions'!$S$32*EXP('Model Inputs &amp; Assumptions'!$T$32*P2121-'Model Inputs &amp; Assumptions'!$T$32^2/2)),0)</f>
        <v>1077759</v>
      </c>
      <c r="D2121" s="46" t="n">
        <f aca="false">MIN(1,'Model Inputs &amp; Assumptions'!$U$32*EXP('Model Inputs &amp; Assumptions'!$V$32*Q2121-'Model Inputs &amp; Assumptions'!$V$32^2/2))</f>
        <v>0</v>
      </c>
      <c r="E2121" s="45" t="n">
        <f aca="false">ROUND(C2121*D2121,0)</f>
        <v>0</v>
      </c>
      <c r="F2121" s="47" t="n">
        <f aca="false">MIN(1,'Model Inputs &amp; Assumptions'!$W$32*EXP('Model Inputs &amp; Assumptions'!$X$32*R2121-'Model Inputs &amp; Assumptions'!$X$32^2/2))</f>
        <v>0.00318889310800219</v>
      </c>
      <c r="G2121" s="45" t="n">
        <f aca="false">ROUND(C2121*F2121,0)</f>
        <v>3437</v>
      </c>
      <c r="H2121" s="48" t="n">
        <f aca="false">MAX(0,(C2121*'Model Inputs &amp; Assumptions'!$N$32+E2121*'Model Inputs &amp; Assumptions'!$O$32+G2121*'Model Inputs &amp; Assumptions'!$P$32)*EXP('Model Inputs &amp; Assumptions'!$Q$32*S2121-'Model Inputs &amp; Assumptions'!$Q$32^2/2))</f>
        <v>140.218921692603</v>
      </c>
      <c r="I2121" s="49" t="n">
        <f aca="false">IF('Model Inputs &amp; Assumptions'!$H$32="Fixed",'Model Inputs &amp; Assumptions'!$I$32*'Model Inputs &amp; Assumptions'!$K$32,IF('Model Inputs &amp; Assumptions'!$H$32="CPM",'Model Inputs &amp; Assumptions'!$I$32*'Model Inputs &amp; Assumptions'!$K$32*C2121/1000,IF('Model Inputs &amp; Assumptions'!$H$32="CPC",'Model Inputs &amp; Assumptions'!$I$32*'Model Inputs &amp; Assumptions'!$K$32*G2121,0)))</f>
        <v>12933.108</v>
      </c>
      <c r="J2121" s="50" t="n">
        <f aca="false">H2121*INDEX('Model Inputs &amp; Assumptions'!$D$40:$D$42,MATCH('Model Inputs &amp; Assumptions'!$L$32,'Model Inputs &amp; Assumptions'!$A$40:$A$42,0))*INDEX('Model Inputs &amp; Assumptions'!$H$40:$H$42,MATCH('Model Inputs &amp; Assumptions'!$L$32,'Model Inputs &amp; Assumptions'!$A$40:$A$42,0))</f>
        <v>757182.177140054</v>
      </c>
      <c r="K2121" s="49" t="n">
        <f aca="false">H2121*INDEX('Model Inputs &amp; Assumptions'!$G$40:$G$42,MATCH('Model Inputs &amp; Assumptions'!$L$32,'Model Inputs &amp; Assumptions'!$A$40:$A$42,0))*INDEX('Model Inputs &amp; Assumptions'!$H$40:$H$42,MATCH('Model Inputs &amp; Assumptions'!$L$32,'Model Inputs &amp; Assumptions'!$A$40:$A$42,0))</f>
        <v>15900.8257199411</v>
      </c>
      <c r="L2121" s="51" t="n">
        <f aca="false">IFERROR(K2121/I2121,0)</f>
        <v>1.22946670822985</v>
      </c>
      <c r="M2121" s="49" t="n">
        <f aca="false">IFERROR(I2121/H2121,0)</f>
        <v>92.235112379147</v>
      </c>
      <c r="N2121" s="52" t="str">
        <f aca="false">'Model Inputs &amp; Assumptions'!$L$32</f>
        <v>PRD-SP01</v>
      </c>
      <c r="P2121" s="53" t="n">
        <v>-0.208125</v>
      </c>
      <c r="Q2121" s="53" t="n">
        <v>-0.833327</v>
      </c>
      <c r="R2121" s="53" t="n">
        <v>-0.160297</v>
      </c>
      <c r="S2121" s="53" t="n">
        <v>-0.210202</v>
      </c>
    </row>
    <row r="2122" customFormat="false" ht="15" hidden="false" customHeight="false" outlineLevel="0" collapsed="false">
      <c r="A2122" s="43" t="n">
        <v>119</v>
      </c>
      <c r="B2122" s="44" t="str">
        <f aca="false">'Model Inputs &amp; Assumptions'!$B$32</f>
        <v>Trade Republic — In-App Display</v>
      </c>
      <c r="C2122" s="45" t="n">
        <f aca="false">ROUND(MAX(0,'Model Inputs &amp; Assumptions'!$S$32*EXP('Model Inputs &amp; Assumptions'!$T$32*P2122-'Model Inputs &amp; Assumptions'!$T$32^2/2)),0)</f>
        <v>1546861</v>
      </c>
      <c r="D2122" s="46" t="n">
        <f aca="false">MIN(1,'Model Inputs &amp; Assumptions'!$U$32*EXP('Model Inputs &amp; Assumptions'!$V$32*Q2122-'Model Inputs &amp; Assumptions'!$V$32^2/2))</f>
        <v>0</v>
      </c>
      <c r="E2122" s="45" t="n">
        <f aca="false">ROUND(C2122*D2122,0)</f>
        <v>0</v>
      </c>
      <c r="F2122" s="47" t="n">
        <f aca="false">MIN(1,'Model Inputs &amp; Assumptions'!$W$32*EXP('Model Inputs &amp; Assumptions'!$X$32*R2122-'Model Inputs &amp; Assumptions'!$X$32^2/2))</f>
        <v>0.00363829173709396</v>
      </c>
      <c r="G2122" s="45" t="n">
        <f aca="false">ROUND(C2122*F2122,0)</f>
        <v>5628</v>
      </c>
      <c r="H2122" s="48" t="n">
        <f aca="false">MAX(0,(C2122*'Model Inputs &amp; Assumptions'!$N$32+E2122*'Model Inputs &amp; Assumptions'!$O$32+G2122*'Model Inputs &amp; Assumptions'!$P$32)*EXP('Model Inputs &amp; Assumptions'!$Q$32*S2122-'Model Inputs &amp; Assumptions'!$Q$32^2/2))</f>
        <v>135.796107199126</v>
      </c>
      <c r="I2122" s="49" t="n">
        <f aca="false">IF('Model Inputs &amp; Assumptions'!$H$32="Fixed",'Model Inputs &amp; Assumptions'!$I$32*'Model Inputs &amp; Assumptions'!$K$32,IF('Model Inputs &amp; Assumptions'!$H$32="CPM",'Model Inputs &amp; Assumptions'!$I$32*'Model Inputs &amp; Assumptions'!$K$32*C2122/1000,IF('Model Inputs &amp; Assumptions'!$H$32="CPC",'Model Inputs &amp; Assumptions'!$I$32*'Model Inputs &amp; Assumptions'!$K$32*G2122,0)))</f>
        <v>18562.332</v>
      </c>
      <c r="J2122" s="50" t="n">
        <f aca="false">H2122*INDEX('Model Inputs &amp; Assumptions'!$D$40:$D$42,MATCH('Model Inputs &amp; Assumptions'!$L$32,'Model Inputs &amp; Assumptions'!$A$40:$A$42,0))*INDEX('Model Inputs &amp; Assumptions'!$H$40:$H$42,MATCH('Model Inputs &amp; Assumptions'!$L$32,'Model Inputs &amp; Assumptions'!$A$40:$A$42,0))</f>
        <v>733298.978875282</v>
      </c>
      <c r="K2122" s="49" t="n">
        <f aca="false">H2122*INDEX('Model Inputs &amp; Assumptions'!$G$40:$G$42,MATCH('Model Inputs &amp; Assumptions'!$L$32,'Model Inputs &amp; Assumptions'!$A$40:$A$42,0))*INDEX('Model Inputs &amp; Assumptions'!$H$40:$H$42,MATCH('Model Inputs &amp; Assumptions'!$L$32,'Model Inputs &amp; Assumptions'!$A$40:$A$42,0))</f>
        <v>15399.2785563809</v>
      </c>
      <c r="L2122" s="51" t="n">
        <f aca="false">IFERROR(K2122/I2122,0)</f>
        <v>0.82959827226347</v>
      </c>
      <c r="M2122" s="49" t="n">
        <f aca="false">IFERROR(I2122/H2122,0)</f>
        <v>136.692666548835</v>
      </c>
      <c r="N2122" s="52" t="str">
        <f aca="false">'Model Inputs &amp; Assumptions'!$L$32</f>
        <v>PRD-SP01</v>
      </c>
      <c r="P2122" s="53" t="n">
        <v>0.996353</v>
      </c>
      <c r="Q2122" s="53" t="n">
        <v>-0.057964</v>
      </c>
      <c r="R2122" s="53" t="n">
        <v>0.279171</v>
      </c>
      <c r="S2122" s="53" t="n">
        <v>-2.085936</v>
      </c>
    </row>
    <row r="2123" customFormat="false" ht="15" hidden="false" customHeight="false" outlineLevel="0" collapsed="false">
      <c r="A2123" s="43" t="n">
        <v>120</v>
      </c>
      <c r="B2123" s="44" t="str">
        <f aca="false">'Model Inputs &amp; Assumptions'!$B$32</f>
        <v>Trade Republic — In-App Display</v>
      </c>
      <c r="C2123" s="45" t="n">
        <f aca="false">ROUND(MAX(0,'Model Inputs &amp; Assumptions'!$S$32*EXP('Model Inputs &amp; Assumptions'!$T$32*P2123-'Model Inputs &amp; Assumptions'!$T$32^2/2)),0)</f>
        <v>927595</v>
      </c>
      <c r="D2123" s="46" t="n">
        <f aca="false">MIN(1,'Model Inputs &amp; Assumptions'!$U$32*EXP('Model Inputs &amp; Assumptions'!$V$32*Q2123-'Model Inputs &amp; Assumptions'!$V$32^2/2))</f>
        <v>0</v>
      </c>
      <c r="E2123" s="45" t="n">
        <f aca="false">ROUND(C2123*D2123,0)</f>
        <v>0</v>
      </c>
      <c r="F2123" s="47" t="n">
        <f aca="false">MIN(1,'Model Inputs &amp; Assumptions'!$W$32*EXP('Model Inputs &amp; Assumptions'!$X$32*R2123-'Model Inputs &amp; Assumptions'!$X$32^2/2))</f>
        <v>0.00261660785871015</v>
      </c>
      <c r="G2123" s="45" t="n">
        <f aca="false">ROUND(C2123*F2123,0)</f>
        <v>2427</v>
      </c>
      <c r="H2123" s="48" t="n">
        <f aca="false">MAX(0,(C2123*'Model Inputs &amp; Assumptions'!$N$32+E2123*'Model Inputs &amp; Assumptions'!$O$32+G2123*'Model Inputs &amp; Assumptions'!$P$32)*EXP('Model Inputs &amp; Assumptions'!$Q$32*S2123-'Model Inputs &amp; Assumptions'!$Q$32^2/2))</f>
        <v>111.456093882905</v>
      </c>
      <c r="I2123" s="49" t="n">
        <f aca="false">IF('Model Inputs &amp; Assumptions'!$H$32="Fixed",'Model Inputs &amp; Assumptions'!$I$32*'Model Inputs &amp; Assumptions'!$K$32,IF('Model Inputs &amp; Assumptions'!$H$32="CPM",'Model Inputs &amp; Assumptions'!$I$32*'Model Inputs &amp; Assumptions'!$K$32*C2123/1000,IF('Model Inputs &amp; Assumptions'!$H$32="CPC",'Model Inputs &amp; Assumptions'!$I$32*'Model Inputs &amp; Assumptions'!$K$32*G2123,0)))</f>
        <v>11131.14</v>
      </c>
      <c r="J2123" s="50" t="n">
        <f aca="false">H2123*INDEX('Model Inputs &amp; Assumptions'!$D$40:$D$42,MATCH('Model Inputs &amp; Assumptions'!$L$32,'Model Inputs &amp; Assumptions'!$A$40:$A$42,0))*INDEX('Model Inputs &amp; Assumptions'!$H$40:$H$42,MATCH('Model Inputs &amp; Assumptions'!$L$32,'Model Inputs &amp; Assumptions'!$A$40:$A$42,0))</f>
        <v>601862.906967687</v>
      </c>
      <c r="K2123" s="49" t="n">
        <f aca="false">H2123*INDEX('Model Inputs &amp; Assumptions'!$G$40:$G$42,MATCH('Model Inputs &amp; Assumptions'!$L$32,'Model Inputs &amp; Assumptions'!$A$40:$A$42,0))*INDEX('Model Inputs &amp; Assumptions'!$H$40:$H$42,MATCH('Model Inputs &amp; Assumptions'!$L$32,'Model Inputs &amp; Assumptions'!$A$40:$A$42,0))</f>
        <v>12639.1210463214</v>
      </c>
      <c r="L2123" s="51" t="n">
        <f aca="false">IFERROR(K2123/I2123,0)</f>
        <v>1.13547408857686</v>
      </c>
      <c r="M2123" s="49" t="n">
        <f aca="false">IFERROR(I2123/H2123,0)</f>
        <v>99.8701785807629</v>
      </c>
      <c r="N2123" s="52" t="str">
        <f aca="false">'Model Inputs &amp; Assumptions'!$L$32</f>
        <v>PRD-SP01</v>
      </c>
      <c r="P2123" s="53" t="n">
        <v>-0.708273</v>
      </c>
      <c r="Q2123" s="53" t="n">
        <v>0.193391</v>
      </c>
      <c r="R2123" s="53" t="n">
        <v>-0.819614</v>
      </c>
      <c r="S2123" s="53" t="n">
        <v>0.212544</v>
      </c>
    </row>
    <row r="2124" customFormat="false" ht="15" hidden="false" customHeight="false" outlineLevel="0" collapsed="false">
      <c r="A2124" s="43" t="n">
        <v>121</v>
      </c>
      <c r="B2124" s="44" t="str">
        <f aca="false">'Model Inputs &amp; Assumptions'!$B$32</f>
        <v>Trade Republic — In-App Display</v>
      </c>
      <c r="C2124" s="45" t="n">
        <f aca="false">ROUND(MAX(0,'Model Inputs &amp; Assumptions'!$S$32*EXP('Model Inputs &amp; Assumptions'!$T$32*P2124-'Model Inputs &amp; Assumptions'!$T$32^2/2)),0)</f>
        <v>1555760</v>
      </c>
      <c r="D2124" s="46" t="n">
        <f aca="false">MIN(1,'Model Inputs &amp; Assumptions'!$U$32*EXP('Model Inputs &amp; Assumptions'!$V$32*Q2124-'Model Inputs &amp; Assumptions'!$V$32^2/2))</f>
        <v>0</v>
      </c>
      <c r="E2124" s="45" t="n">
        <f aca="false">ROUND(C2124*D2124,0)</f>
        <v>0</v>
      </c>
      <c r="F2124" s="47" t="n">
        <f aca="false">MIN(1,'Model Inputs &amp; Assumptions'!$W$32*EXP('Model Inputs &amp; Assumptions'!$X$32*R2124-'Model Inputs &amp; Assumptions'!$X$32^2/2))</f>
        <v>0.00344275377969495</v>
      </c>
      <c r="G2124" s="45" t="n">
        <f aca="false">ROUND(C2124*F2124,0)</f>
        <v>5356</v>
      </c>
      <c r="H2124" s="48" t="n">
        <f aca="false">MAX(0,(C2124*'Model Inputs &amp; Assumptions'!$N$32+E2124*'Model Inputs &amp; Assumptions'!$O$32+G2124*'Model Inputs &amp; Assumptions'!$P$32)*EXP('Model Inputs &amp; Assumptions'!$Q$32*S2124-'Model Inputs &amp; Assumptions'!$Q$32^2/2))</f>
        <v>195.87805898869</v>
      </c>
      <c r="I2124" s="49" t="n">
        <f aca="false">IF('Model Inputs &amp; Assumptions'!$H$32="Fixed",'Model Inputs &amp; Assumptions'!$I$32*'Model Inputs &amp; Assumptions'!$K$32,IF('Model Inputs &amp; Assumptions'!$H$32="CPM",'Model Inputs &amp; Assumptions'!$I$32*'Model Inputs &amp; Assumptions'!$K$32*C2124/1000,IF('Model Inputs &amp; Assumptions'!$H$32="CPC",'Model Inputs &amp; Assumptions'!$I$32*'Model Inputs &amp; Assumptions'!$K$32*G2124,0)))</f>
        <v>18669.12</v>
      </c>
      <c r="J2124" s="50" t="n">
        <f aca="false">H2124*INDEX('Model Inputs &amp; Assumptions'!$D$40:$D$42,MATCH('Model Inputs &amp; Assumptions'!$L$32,'Model Inputs &amp; Assumptions'!$A$40:$A$42,0))*INDEX('Model Inputs &amp; Assumptions'!$H$40:$H$42,MATCH('Model Inputs &amp; Assumptions'!$L$32,'Model Inputs &amp; Assumptions'!$A$40:$A$42,0))</f>
        <v>1057741.51853893</v>
      </c>
      <c r="K2124" s="49" t="n">
        <f aca="false">H2124*INDEX('Model Inputs &amp; Assumptions'!$G$40:$G$42,MATCH('Model Inputs &amp; Assumptions'!$L$32,'Model Inputs &amp; Assumptions'!$A$40:$A$42,0))*INDEX('Model Inputs &amp; Assumptions'!$H$40:$H$42,MATCH('Model Inputs &amp; Assumptions'!$L$32,'Model Inputs &amp; Assumptions'!$A$40:$A$42,0))</f>
        <v>22212.5718893175</v>
      </c>
      <c r="L2124" s="51" t="n">
        <f aca="false">IFERROR(K2124/I2124,0)</f>
        <v>1.1898028342695</v>
      </c>
      <c r="M2124" s="49" t="n">
        <f aca="false">IFERROR(I2124/H2124,0)</f>
        <v>95.3099091158439</v>
      </c>
      <c r="N2124" s="52" t="str">
        <f aca="false">'Model Inputs &amp; Assumptions'!$L$32</f>
        <v>PRD-SP01</v>
      </c>
      <c r="P2124" s="53" t="n">
        <v>1.015475</v>
      </c>
      <c r="Q2124" s="53" t="n">
        <v>-0.328761</v>
      </c>
      <c r="R2124" s="53" t="n">
        <v>0.095029</v>
      </c>
      <c r="S2124" s="53" t="n">
        <v>-0.60067</v>
      </c>
    </row>
    <row r="2125" customFormat="false" ht="15" hidden="false" customHeight="false" outlineLevel="0" collapsed="false">
      <c r="A2125" s="43" t="n">
        <v>122</v>
      </c>
      <c r="B2125" s="44" t="str">
        <f aca="false">'Model Inputs &amp; Assumptions'!$B$32</f>
        <v>Trade Republic — In-App Display</v>
      </c>
      <c r="C2125" s="45" t="n">
        <f aca="false">ROUND(MAX(0,'Model Inputs &amp; Assumptions'!$S$32*EXP('Model Inputs &amp; Assumptions'!$T$32*P2125-'Model Inputs &amp; Assumptions'!$T$32^2/2)),0)</f>
        <v>1551749</v>
      </c>
      <c r="D2125" s="46" t="n">
        <f aca="false">MIN(1,'Model Inputs &amp; Assumptions'!$U$32*EXP('Model Inputs &amp; Assumptions'!$V$32*Q2125-'Model Inputs &amp; Assumptions'!$V$32^2/2))</f>
        <v>0</v>
      </c>
      <c r="E2125" s="45" t="n">
        <f aca="false">ROUND(C2125*D2125,0)</f>
        <v>0</v>
      </c>
      <c r="F2125" s="47" t="n">
        <f aca="false">MIN(1,'Model Inputs &amp; Assumptions'!$W$32*EXP('Model Inputs &amp; Assumptions'!$X$32*R2125-'Model Inputs &amp; Assumptions'!$X$32^2/2))</f>
        <v>0.00460054819166345</v>
      </c>
      <c r="G2125" s="45" t="n">
        <f aca="false">ROUND(C2125*F2125,0)</f>
        <v>7139</v>
      </c>
      <c r="H2125" s="48" t="n">
        <f aca="false">MAX(0,(C2125*'Model Inputs &amp; Assumptions'!$N$32+E2125*'Model Inputs &amp; Assumptions'!$O$32+G2125*'Model Inputs &amp; Assumptions'!$P$32)*EXP('Model Inputs &amp; Assumptions'!$Q$32*S2125-'Model Inputs &amp; Assumptions'!$Q$32^2/2))</f>
        <v>297.346819602455</v>
      </c>
      <c r="I2125" s="49" t="n">
        <f aca="false">IF('Model Inputs &amp; Assumptions'!$H$32="Fixed",'Model Inputs &amp; Assumptions'!$I$32*'Model Inputs &amp; Assumptions'!$K$32,IF('Model Inputs &amp; Assumptions'!$H$32="CPM",'Model Inputs &amp; Assumptions'!$I$32*'Model Inputs &amp; Assumptions'!$K$32*C2125/1000,IF('Model Inputs &amp; Assumptions'!$H$32="CPC",'Model Inputs &amp; Assumptions'!$I$32*'Model Inputs &amp; Assumptions'!$K$32*G2125,0)))</f>
        <v>18620.988</v>
      </c>
      <c r="J2125" s="50" t="n">
        <f aca="false">H2125*INDEX('Model Inputs &amp; Assumptions'!$D$40:$D$42,MATCH('Model Inputs &amp; Assumptions'!$L$32,'Model Inputs &amp; Assumptions'!$A$40:$A$42,0))*INDEX('Model Inputs &amp; Assumptions'!$H$40:$H$42,MATCH('Model Inputs &amp; Assumptions'!$L$32,'Model Inputs &amp; Assumptions'!$A$40:$A$42,0))</f>
        <v>1605672.82585326</v>
      </c>
      <c r="K2125" s="49" t="n">
        <f aca="false">H2125*INDEX('Model Inputs &amp; Assumptions'!$G$40:$G$42,MATCH('Model Inputs &amp; Assumptions'!$L$32,'Model Inputs &amp; Assumptions'!$A$40:$A$42,0))*INDEX('Model Inputs &amp; Assumptions'!$H$40:$H$42,MATCH('Model Inputs &amp; Assumptions'!$L$32,'Model Inputs &amp; Assumptions'!$A$40:$A$42,0))</f>
        <v>33719.1293429184</v>
      </c>
      <c r="L2125" s="51" t="n">
        <f aca="false">IFERROR(K2125/I2125,0)</f>
        <v>1.81081311812877</v>
      </c>
      <c r="M2125" s="49" t="n">
        <f aca="false">IFERROR(I2125/H2125,0)</f>
        <v>62.623800802362</v>
      </c>
      <c r="N2125" s="52" t="str">
        <f aca="false">'Model Inputs &amp; Assumptions'!$L$32</f>
        <v>PRD-SP01</v>
      </c>
      <c r="P2125" s="53" t="n">
        <v>1.006871</v>
      </c>
      <c r="Q2125" s="53" t="n">
        <v>0.686526</v>
      </c>
      <c r="R2125" s="53" t="n">
        <v>1.061375</v>
      </c>
      <c r="S2125" s="53" t="n">
        <v>-0.1362</v>
      </c>
    </row>
    <row r="2126" customFormat="false" ht="15" hidden="false" customHeight="false" outlineLevel="0" collapsed="false">
      <c r="A2126" s="43" t="n">
        <v>123</v>
      </c>
      <c r="B2126" s="44" t="str">
        <f aca="false">'Model Inputs &amp; Assumptions'!$B$32</f>
        <v>Trade Republic — In-App Display</v>
      </c>
      <c r="C2126" s="45" t="n">
        <f aca="false">ROUND(MAX(0,'Model Inputs &amp; Assumptions'!$S$32*EXP('Model Inputs &amp; Assumptions'!$T$32*P2126-'Model Inputs &amp; Assumptions'!$T$32^2/2)),0)</f>
        <v>2285505</v>
      </c>
      <c r="D2126" s="46" t="n">
        <f aca="false">MIN(1,'Model Inputs &amp; Assumptions'!$U$32*EXP('Model Inputs &amp; Assumptions'!$V$32*Q2126-'Model Inputs &amp; Assumptions'!$V$32^2/2))</f>
        <v>0</v>
      </c>
      <c r="E2126" s="45" t="n">
        <f aca="false">ROUND(C2126*D2126,0)</f>
        <v>0</v>
      </c>
      <c r="F2126" s="47" t="n">
        <f aca="false">MIN(1,'Model Inputs &amp; Assumptions'!$W$32*EXP('Model Inputs &amp; Assumptions'!$X$32*R2126-'Model Inputs &amp; Assumptions'!$X$32^2/2))</f>
        <v>0.00270409061340905</v>
      </c>
      <c r="G2126" s="45" t="n">
        <f aca="false">ROUND(C2126*F2126,0)</f>
        <v>6180</v>
      </c>
      <c r="H2126" s="48" t="n">
        <f aca="false">MAX(0,(C2126*'Model Inputs &amp; Assumptions'!$N$32+E2126*'Model Inputs &amp; Assumptions'!$O$32+G2126*'Model Inputs &amp; Assumptions'!$P$32)*EXP('Model Inputs &amp; Assumptions'!$Q$32*S2126-'Model Inputs &amp; Assumptions'!$Q$32^2/2))</f>
        <v>326.077655886334</v>
      </c>
      <c r="I2126" s="49" t="n">
        <f aca="false">IF('Model Inputs &amp; Assumptions'!$H$32="Fixed",'Model Inputs &amp; Assumptions'!$I$32*'Model Inputs &amp; Assumptions'!$K$32,IF('Model Inputs &amp; Assumptions'!$H$32="CPM",'Model Inputs &amp; Assumptions'!$I$32*'Model Inputs &amp; Assumptions'!$K$32*C2126/1000,IF('Model Inputs &amp; Assumptions'!$H$32="CPC",'Model Inputs &amp; Assumptions'!$I$32*'Model Inputs &amp; Assumptions'!$K$32*G2126,0)))</f>
        <v>27426.06</v>
      </c>
      <c r="J2126" s="50" t="n">
        <f aca="false">H2126*INDEX('Model Inputs &amp; Assumptions'!$D$40:$D$42,MATCH('Model Inputs &amp; Assumptions'!$L$32,'Model Inputs &amp; Assumptions'!$A$40:$A$42,0))*INDEX('Model Inputs &amp; Assumptions'!$H$40:$H$42,MATCH('Model Inputs &amp; Assumptions'!$L$32,'Model Inputs &amp; Assumptions'!$A$40:$A$42,0))</f>
        <v>1760819.34178621</v>
      </c>
      <c r="K2126" s="49" t="n">
        <f aca="false">H2126*INDEX('Model Inputs &amp; Assumptions'!$G$40:$G$42,MATCH('Model Inputs &amp; Assumptions'!$L$32,'Model Inputs &amp; Assumptions'!$A$40:$A$42,0))*INDEX('Model Inputs &amp; Assumptions'!$H$40:$H$42,MATCH('Model Inputs &amp; Assumptions'!$L$32,'Model Inputs &amp; Assumptions'!$A$40:$A$42,0))</f>
        <v>36977.2061775103</v>
      </c>
      <c r="L2126" s="51" t="n">
        <f aca="false">IFERROR(K2126/I2126,0)</f>
        <v>1.34825075776507</v>
      </c>
      <c r="M2126" s="49" t="n">
        <f aca="false">IFERROR(I2126/H2126,0)</f>
        <v>84.1089829520864</v>
      </c>
      <c r="N2126" s="52" t="str">
        <f aca="false">'Model Inputs &amp; Assumptions'!$L$32</f>
        <v>PRD-SP01</v>
      </c>
      <c r="P2126" s="53" t="n">
        <v>2.297551</v>
      </c>
      <c r="Q2126" s="53" t="n">
        <v>-0.382336</v>
      </c>
      <c r="R2126" s="53" t="n">
        <v>-0.709991</v>
      </c>
      <c r="S2126" s="53" t="n">
        <v>0.70841</v>
      </c>
    </row>
    <row r="2127" customFormat="false" ht="15" hidden="false" customHeight="false" outlineLevel="0" collapsed="false">
      <c r="A2127" s="43" t="n">
        <v>124</v>
      </c>
      <c r="B2127" s="44" t="str">
        <f aca="false">'Model Inputs &amp; Assumptions'!$B$32</f>
        <v>Trade Republic — In-App Display</v>
      </c>
      <c r="C2127" s="45" t="n">
        <f aca="false">ROUND(MAX(0,'Model Inputs &amp; Assumptions'!$S$32*EXP('Model Inputs &amp; Assumptions'!$T$32*P2127-'Model Inputs &amp; Assumptions'!$T$32^2/2)),0)</f>
        <v>1154491</v>
      </c>
      <c r="D2127" s="46" t="n">
        <f aca="false">MIN(1,'Model Inputs &amp; Assumptions'!$U$32*EXP('Model Inputs &amp; Assumptions'!$V$32*Q2127-'Model Inputs &amp; Assumptions'!$V$32^2/2))</f>
        <v>0</v>
      </c>
      <c r="E2127" s="45" t="n">
        <f aca="false">ROUND(C2127*D2127,0)</f>
        <v>0</v>
      </c>
      <c r="F2127" s="47" t="n">
        <f aca="false">MIN(1,'Model Inputs &amp; Assumptions'!$W$32*EXP('Model Inputs &amp; Assumptions'!$X$32*R2127-'Model Inputs &amp; Assumptions'!$X$32^2/2))</f>
        <v>0.00381424471911424</v>
      </c>
      <c r="G2127" s="45" t="n">
        <f aca="false">ROUND(C2127*F2127,0)</f>
        <v>4404</v>
      </c>
      <c r="H2127" s="48" t="n">
        <f aca="false">MAX(0,(C2127*'Model Inputs &amp; Assumptions'!$N$32+E2127*'Model Inputs &amp; Assumptions'!$O$32+G2127*'Model Inputs &amp; Assumptions'!$P$32)*EXP('Model Inputs &amp; Assumptions'!$Q$32*S2127-'Model Inputs &amp; Assumptions'!$Q$32^2/2))</f>
        <v>168.222876939268</v>
      </c>
      <c r="I2127" s="49" t="n">
        <f aca="false">IF('Model Inputs &amp; Assumptions'!$H$32="Fixed",'Model Inputs &amp; Assumptions'!$I$32*'Model Inputs &amp; Assumptions'!$K$32,IF('Model Inputs &amp; Assumptions'!$H$32="CPM",'Model Inputs &amp; Assumptions'!$I$32*'Model Inputs &amp; Assumptions'!$K$32*C2127/1000,IF('Model Inputs &amp; Assumptions'!$H$32="CPC",'Model Inputs &amp; Assumptions'!$I$32*'Model Inputs &amp; Assumptions'!$K$32*G2127,0)))</f>
        <v>13853.892</v>
      </c>
      <c r="J2127" s="50" t="n">
        <f aca="false">H2127*INDEX('Model Inputs &amp; Assumptions'!$D$40:$D$42,MATCH('Model Inputs &amp; Assumptions'!$L$32,'Model Inputs &amp; Assumptions'!$A$40:$A$42,0))*INDEX('Model Inputs &amp; Assumptions'!$H$40:$H$42,MATCH('Model Inputs &amp; Assumptions'!$L$32,'Model Inputs &amp; Assumptions'!$A$40:$A$42,0))</f>
        <v>908403.535472045</v>
      </c>
      <c r="K2127" s="49" t="n">
        <f aca="false">H2127*INDEX('Model Inputs &amp; Assumptions'!$G$40:$G$42,MATCH('Model Inputs &amp; Assumptions'!$L$32,'Model Inputs &amp; Assumptions'!$A$40:$A$42,0))*INDEX('Model Inputs &amp; Assumptions'!$H$40:$H$42,MATCH('Model Inputs &amp; Assumptions'!$L$32,'Model Inputs &amp; Assumptions'!$A$40:$A$42,0))</f>
        <v>19076.4742449129</v>
      </c>
      <c r="L2127" s="51" t="n">
        <f aca="false">IFERROR(K2127/I2127,0)</f>
        <v>1.37697581624809</v>
      </c>
      <c r="M2127" s="49" t="n">
        <f aca="false">IFERROR(I2127/H2127,0)</f>
        <v>82.3543875367295</v>
      </c>
      <c r="N2127" s="52" t="str">
        <f aca="false">'Model Inputs &amp; Assumptions'!$L$32</f>
        <v>PRD-SP01</v>
      </c>
      <c r="P2127" s="53" t="n">
        <v>0.021127</v>
      </c>
      <c r="Q2127" s="53" t="n">
        <v>-0.842664</v>
      </c>
      <c r="R2127" s="53" t="n">
        <v>0.436599</v>
      </c>
      <c r="S2127" s="53" t="n">
        <v>-0.445307</v>
      </c>
    </row>
    <row r="2128" customFormat="false" ht="15" hidden="false" customHeight="false" outlineLevel="0" collapsed="false">
      <c r="A2128" s="43" t="n">
        <v>125</v>
      </c>
      <c r="B2128" s="44" t="str">
        <f aca="false">'Model Inputs &amp; Assumptions'!$B$32</f>
        <v>Trade Republic — In-App Display</v>
      </c>
      <c r="C2128" s="45" t="n">
        <f aca="false">ROUND(MAX(0,'Model Inputs &amp; Assumptions'!$S$32*EXP('Model Inputs &amp; Assumptions'!$T$32*P2128-'Model Inputs &amp; Assumptions'!$T$32^2/2)),0)</f>
        <v>920381</v>
      </c>
      <c r="D2128" s="46" t="n">
        <f aca="false">MIN(1,'Model Inputs &amp; Assumptions'!$U$32*EXP('Model Inputs &amp; Assumptions'!$V$32*Q2128-'Model Inputs &amp; Assumptions'!$V$32^2/2))</f>
        <v>0</v>
      </c>
      <c r="E2128" s="45" t="n">
        <f aca="false">ROUND(C2128*D2128,0)</f>
        <v>0</v>
      </c>
      <c r="F2128" s="47" t="n">
        <f aca="false">MIN(1,'Model Inputs &amp; Assumptions'!$W$32*EXP('Model Inputs &amp; Assumptions'!$X$32*R2128-'Model Inputs &amp; Assumptions'!$X$32^2/2))</f>
        <v>0.00318271424370976</v>
      </c>
      <c r="G2128" s="45" t="n">
        <f aca="false">ROUND(C2128*F2128,0)</f>
        <v>2929</v>
      </c>
      <c r="H2128" s="48" t="n">
        <f aca="false">MAX(0,(C2128*'Model Inputs &amp; Assumptions'!$N$32+E2128*'Model Inputs &amp; Assumptions'!$O$32+G2128*'Model Inputs &amp; Assumptions'!$P$32)*EXP('Model Inputs &amp; Assumptions'!$Q$32*S2128-'Model Inputs &amp; Assumptions'!$Q$32^2/2))</f>
        <v>149.946097215304</v>
      </c>
      <c r="I2128" s="49" t="n">
        <f aca="false">IF('Model Inputs &amp; Assumptions'!$H$32="Fixed",'Model Inputs &amp; Assumptions'!$I$32*'Model Inputs &amp; Assumptions'!$K$32,IF('Model Inputs &amp; Assumptions'!$H$32="CPM",'Model Inputs &amp; Assumptions'!$I$32*'Model Inputs &amp; Assumptions'!$K$32*C2128/1000,IF('Model Inputs &amp; Assumptions'!$H$32="CPC",'Model Inputs &amp; Assumptions'!$I$32*'Model Inputs &amp; Assumptions'!$K$32*G2128,0)))</f>
        <v>11044.572</v>
      </c>
      <c r="J2128" s="50" t="n">
        <f aca="false">H2128*INDEX('Model Inputs &amp; Assumptions'!$D$40:$D$42,MATCH('Model Inputs &amp; Assumptions'!$L$32,'Model Inputs &amp; Assumptions'!$A$40:$A$42,0))*INDEX('Model Inputs &amp; Assumptions'!$H$40:$H$42,MATCH('Model Inputs &amp; Assumptions'!$L$32,'Model Inputs &amp; Assumptions'!$A$40:$A$42,0))</f>
        <v>809708.924962641</v>
      </c>
      <c r="K2128" s="49" t="n">
        <f aca="false">H2128*INDEX('Model Inputs &amp; Assumptions'!$G$40:$G$42,MATCH('Model Inputs &amp; Assumptions'!$L$32,'Model Inputs &amp; Assumptions'!$A$40:$A$42,0))*INDEX('Model Inputs &amp; Assumptions'!$H$40:$H$42,MATCH('Model Inputs &amp; Assumptions'!$L$32,'Model Inputs &amp; Assumptions'!$A$40:$A$42,0))</f>
        <v>17003.8874242155</v>
      </c>
      <c r="L2128" s="51" t="n">
        <f aca="false">IFERROR(K2128/I2128,0)</f>
        <v>1.53956961158979</v>
      </c>
      <c r="M2128" s="49" t="n">
        <f aca="false">IFERROR(I2128/H2128,0)</f>
        <v>73.6569487643374</v>
      </c>
      <c r="N2128" s="52" t="str">
        <f aca="false">'Model Inputs &amp; Assumptions'!$L$32</f>
        <v>PRD-SP01</v>
      </c>
      <c r="P2128" s="53" t="n">
        <v>-0.734296</v>
      </c>
      <c r="Q2128" s="53" t="n">
        <v>1.943708</v>
      </c>
      <c r="R2128" s="53" t="n">
        <v>-0.166762</v>
      </c>
      <c r="S2128" s="53" t="n">
        <v>0.600544</v>
      </c>
    </row>
    <row r="2129" customFormat="false" ht="15" hidden="false" customHeight="false" outlineLevel="0" collapsed="false">
      <c r="A2129" s="43" t="n">
        <v>126</v>
      </c>
      <c r="B2129" s="44" t="str">
        <f aca="false">'Model Inputs &amp; Assumptions'!$B$32</f>
        <v>Trade Republic — In-App Display</v>
      </c>
      <c r="C2129" s="45" t="n">
        <f aca="false">ROUND(MAX(0,'Model Inputs &amp; Assumptions'!$S$32*EXP('Model Inputs &amp; Assumptions'!$T$32*P2129-'Model Inputs &amp; Assumptions'!$T$32^2/2)),0)</f>
        <v>947639</v>
      </c>
      <c r="D2129" s="46" t="n">
        <f aca="false">MIN(1,'Model Inputs &amp; Assumptions'!$U$32*EXP('Model Inputs &amp; Assumptions'!$V$32*Q2129-'Model Inputs &amp; Assumptions'!$V$32^2/2))</f>
        <v>0</v>
      </c>
      <c r="E2129" s="45" t="n">
        <f aca="false">ROUND(C2129*D2129,0)</f>
        <v>0</v>
      </c>
      <c r="F2129" s="47" t="n">
        <f aca="false">MIN(1,'Model Inputs &amp; Assumptions'!$W$32*EXP('Model Inputs &amp; Assumptions'!$X$32*R2129-'Model Inputs &amp; Assumptions'!$X$32^2/2))</f>
        <v>0.00520020874731136</v>
      </c>
      <c r="G2129" s="45" t="n">
        <f aca="false">ROUND(C2129*F2129,0)</f>
        <v>4928</v>
      </c>
      <c r="H2129" s="48" t="n">
        <f aca="false">MAX(0,(C2129*'Model Inputs &amp; Assumptions'!$N$32+E2129*'Model Inputs &amp; Assumptions'!$O$32+G2129*'Model Inputs &amp; Assumptions'!$P$32)*EXP('Model Inputs &amp; Assumptions'!$Q$32*S2129-'Model Inputs &amp; Assumptions'!$Q$32^2/2))</f>
        <v>193.792887000933</v>
      </c>
      <c r="I2129" s="49" t="n">
        <f aca="false">IF('Model Inputs &amp; Assumptions'!$H$32="Fixed",'Model Inputs &amp; Assumptions'!$I$32*'Model Inputs &amp; Assumptions'!$K$32,IF('Model Inputs &amp; Assumptions'!$H$32="CPM",'Model Inputs &amp; Assumptions'!$I$32*'Model Inputs &amp; Assumptions'!$K$32*C2129/1000,IF('Model Inputs &amp; Assumptions'!$H$32="CPC",'Model Inputs &amp; Assumptions'!$I$32*'Model Inputs &amp; Assumptions'!$K$32*G2129,0)))</f>
        <v>11371.668</v>
      </c>
      <c r="J2129" s="50" t="n">
        <f aca="false">H2129*INDEX('Model Inputs &amp; Assumptions'!$D$40:$D$42,MATCH('Model Inputs &amp; Assumptions'!$L$32,'Model Inputs &amp; Assumptions'!$A$40:$A$42,0))*INDEX('Model Inputs &amp; Assumptions'!$H$40:$H$42,MATCH('Model Inputs &amp; Assumptions'!$L$32,'Model Inputs &amp; Assumptions'!$A$40:$A$42,0))</f>
        <v>1046481.58980504</v>
      </c>
      <c r="K2129" s="49" t="n">
        <f aca="false">H2129*INDEX('Model Inputs &amp; Assumptions'!$G$40:$G$42,MATCH('Model Inputs &amp; Assumptions'!$L$32,'Model Inputs &amp; Assumptions'!$A$40:$A$42,0))*INDEX('Model Inputs &amp; Assumptions'!$H$40:$H$42,MATCH('Model Inputs &amp; Assumptions'!$L$32,'Model Inputs &amp; Assumptions'!$A$40:$A$42,0))</f>
        <v>21976.1133859058</v>
      </c>
      <c r="L2129" s="51" t="n">
        <f aca="false">IFERROR(K2129/I2129,0)</f>
        <v>1.93253209519534</v>
      </c>
      <c r="M2129" s="49" t="n">
        <f aca="false">IFERROR(I2129/H2129,0)</f>
        <v>58.6794911618467</v>
      </c>
      <c r="N2129" s="52" t="str">
        <f aca="false">'Model Inputs &amp; Assumptions'!$L$32</f>
        <v>PRD-SP01</v>
      </c>
      <c r="P2129" s="53" t="n">
        <v>-0.637009</v>
      </c>
      <c r="Q2129" s="53" t="n">
        <v>0.74398</v>
      </c>
      <c r="R2129" s="53" t="n">
        <v>1.469786</v>
      </c>
      <c r="S2129" s="53" t="n">
        <v>-0.341449</v>
      </c>
    </row>
    <row r="2130" customFormat="false" ht="15" hidden="false" customHeight="false" outlineLevel="0" collapsed="false">
      <c r="A2130" s="43" t="n">
        <v>127</v>
      </c>
      <c r="B2130" s="44" t="str">
        <f aca="false">'Model Inputs &amp; Assumptions'!$B$32</f>
        <v>Trade Republic — In-App Display</v>
      </c>
      <c r="C2130" s="45" t="n">
        <f aca="false">ROUND(MAX(0,'Model Inputs &amp; Assumptions'!$S$32*EXP('Model Inputs &amp; Assumptions'!$T$32*P2130-'Model Inputs &amp; Assumptions'!$T$32^2/2)),0)</f>
        <v>1204878</v>
      </c>
      <c r="D2130" s="46" t="n">
        <f aca="false">MIN(1,'Model Inputs &amp; Assumptions'!$U$32*EXP('Model Inputs &amp; Assumptions'!$V$32*Q2130-'Model Inputs &amp; Assumptions'!$V$32^2/2))</f>
        <v>0</v>
      </c>
      <c r="E2130" s="45" t="n">
        <f aca="false">ROUND(C2130*D2130,0)</f>
        <v>0</v>
      </c>
      <c r="F2130" s="47" t="n">
        <f aca="false">MIN(1,'Model Inputs &amp; Assumptions'!$W$32*EXP('Model Inputs &amp; Assumptions'!$X$32*R2130-'Model Inputs &amp; Assumptions'!$X$32^2/2))</f>
        <v>0.00220311896669949</v>
      </c>
      <c r="G2130" s="45" t="n">
        <f aca="false">ROUND(C2130*F2130,0)</f>
        <v>2654</v>
      </c>
      <c r="H2130" s="48" t="n">
        <f aca="false">MAX(0,(C2130*'Model Inputs &amp; Assumptions'!$N$32+E2130*'Model Inputs &amp; Assumptions'!$O$32+G2130*'Model Inputs &amp; Assumptions'!$P$32)*EXP('Model Inputs &amp; Assumptions'!$Q$32*S2130-'Model Inputs &amp; Assumptions'!$Q$32^2/2))</f>
        <v>133.684382288471</v>
      </c>
      <c r="I2130" s="49" t="n">
        <f aca="false">IF('Model Inputs &amp; Assumptions'!$H$32="Fixed",'Model Inputs &amp; Assumptions'!$I$32*'Model Inputs &amp; Assumptions'!$K$32,IF('Model Inputs &amp; Assumptions'!$H$32="CPM",'Model Inputs &amp; Assumptions'!$I$32*'Model Inputs &amp; Assumptions'!$K$32*C2130/1000,IF('Model Inputs &amp; Assumptions'!$H$32="CPC",'Model Inputs &amp; Assumptions'!$I$32*'Model Inputs &amp; Assumptions'!$K$32*G2130,0)))</f>
        <v>14458.536</v>
      </c>
      <c r="J2130" s="50" t="n">
        <f aca="false">H2130*INDEX('Model Inputs &amp; Assumptions'!$D$40:$D$42,MATCH('Model Inputs &amp; Assumptions'!$L$32,'Model Inputs &amp; Assumptions'!$A$40:$A$42,0))*INDEX('Model Inputs &amp; Assumptions'!$H$40:$H$42,MATCH('Model Inputs &amp; Assumptions'!$L$32,'Model Inputs &amp; Assumptions'!$A$40:$A$42,0))</f>
        <v>721895.664357743</v>
      </c>
      <c r="K2130" s="49" t="n">
        <f aca="false">H2130*INDEX('Model Inputs &amp; Assumptions'!$G$40:$G$42,MATCH('Model Inputs &amp; Assumptions'!$L$32,'Model Inputs &amp; Assumptions'!$A$40:$A$42,0))*INDEX('Model Inputs &amp; Assumptions'!$H$40:$H$42,MATCH('Model Inputs &amp; Assumptions'!$L$32,'Model Inputs &amp; Assumptions'!$A$40:$A$42,0))</f>
        <v>15159.8089515126</v>
      </c>
      <c r="L2130" s="51" t="n">
        <f aca="false">IFERROR(K2130/I2130,0)</f>
        <v>1.04850234847516</v>
      </c>
      <c r="M2130" s="49" t="n">
        <f aca="false">IFERROR(I2130/H2130,0)</f>
        <v>108.15426418922</v>
      </c>
      <c r="N2130" s="52" t="str">
        <f aca="false">'Model Inputs &amp; Assumptions'!$L$32</f>
        <v>PRD-SP01</v>
      </c>
      <c r="P2130" s="53" t="n">
        <v>0.163523</v>
      </c>
      <c r="Q2130" s="53" t="n">
        <v>1.570576</v>
      </c>
      <c r="R2130" s="53" t="n">
        <v>-1.392963</v>
      </c>
      <c r="S2130" s="53" t="n">
        <v>0.542683</v>
      </c>
    </row>
    <row r="2131" customFormat="false" ht="15" hidden="false" customHeight="false" outlineLevel="0" collapsed="false">
      <c r="A2131" s="43" t="n">
        <v>128</v>
      </c>
      <c r="B2131" s="44" t="str">
        <f aca="false">'Model Inputs &amp; Assumptions'!$B$32</f>
        <v>Trade Republic — In-App Display</v>
      </c>
      <c r="C2131" s="45" t="n">
        <f aca="false">ROUND(MAX(0,'Model Inputs &amp; Assumptions'!$S$32*EXP('Model Inputs &amp; Assumptions'!$T$32*P2131-'Model Inputs &amp; Assumptions'!$T$32^2/2)),0)</f>
        <v>819292</v>
      </c>
      <c r="D2131" s="46" t="n">
        <f aca="false">MIN(1,'Model Inputs &amp; Assumptions'!$U$32*EXP('Model Inputs &amp; Assumptions'!$V$32*Q2131-'Model Inputs &amp; Assumptions'!$V$32^2/2))</f>
        <v>0</v>
      </c>
      <c r="E2131" s="45" t="n">
        <f aca="false">ROUND(C2131*D2131,0)</f>
        <v>0</v>
      </c>
      <c r="F2131" s="47" t="n">
        <f aca="false">MIN(1,'Model Inputs &amp; Assumptions'!$W$32*EXP('Model Inputs &amp; Assumptions'!$X$32*R2131-'Model Inputs &amp; Assumptions'!$X$32^2/2))</f>
        <v>0.00288819017373947</v>
      </c>
      <c r="G2131" s="45" t="n">
        <f aca="false">ROUND(C2131*F2131,0)</f>
        <v>2366</v>
      </c>
      <c r="H2131" s="48" t="n">
        <f aca="false">MAX(0,(C2131*'Model Inputs &amp; Assumptions'!$N$32+E2131*'Model Inputs &amp; Assumptions'!$O$32+G2131*'Model Inputs &amp; Assumptions'!$P$32)*EXP('Model Inputs &amp; Assumptions'!$Q$32*S2131-'Model Inputs &amp; Assumptions'!$Q$32^2/2))</f>
        <v>100.49651550706</v>
      </c>
      <c r="I2131" s="49" t="n">
        <f aca="false">IF('Model Inputs &amp; Assumptions'!$H$32="Fixed",'Model Inputs &amp; Assumptions'!$I$32*'Model Inputs &amp; Assumptions'!$K$32,IF('Model Inputs &amp; Assumptions'!$H$32="CPM",'Model Inputs &amp; Assumptions'!$I$32*'Model Inputs &amp; Assumptions'!$K$32*C2131/1000,IF('Model Inputs &amp; Assumptions'!$H$32="CPC",'Model Inputs &amp; Assumptions'!$I$32*'Model Inputs &amp; Assumptions'!$K$32*G2131,0)))</f>
        <v>9831.504</v>
      </c>
      <c r="J2131" s="50" t="n">
        <f aca="false">H2131*INDEX('Model Inputs &amp; Assumptions'!$D$40:$D$42,MATCH('Model Inputs &amp; Assumptions'!$L$32,'Model Inputs &amp; Assumptions'!$A$40:$A$42,0))*INDEX('Model Inputs &amp; Assumptions'!$H$40:$H$42,MATCH('Model Inputs &amp; Assumptions'!$L$32,'Model Inputs &amp; Assumptions'!$A$40:$A$42,0))</f>
        <v>542681.183738124</v>
      </c>
      <c r="K2131" s="49" t="n">
        <f aca="false">H2131*INDEX('Model Inputs &amp; Assumptions'!$G$40:$G$42,MATCH('Model Inputs &amp; Assumptions'!$L$32,'Model Inputs &amp; Assumptions'!$A$40:$A$42,0))*INDEX('Model Inputs &amp; Assumptions'!$H$40:$H$42,MATCH('Model Inputs &amp; Assumptions'!$L$32,'Model Inputs &amp; Assumptions'!$A$40:$A$42,0))</f>
        <v>11396.3048585006</v>
      </c>
      <c r="L2131" s="51" t="n">
        <f aca="false">IFERROR(K2131/I2131,0)</f>
        <v>1.15916190020373</v>
      </c>
      <c r="M2131" s="49" t="n">
        <f aca="false">IFERROR(I2131/H2131,0)</f>
        <v>97.8293023434164</v>
      </c>
      <c r="N2131" s="52" t="str">
        <f aca="false">'Model Inputs &amp; Assumptions'!$L$32</f>
        <v>PRD-SP01</v>
      </c>
      <c r="P2131" s="53" t="n">
        <v>-1.122119</v>
      </c>
      <c r="Q2131" s="53" t="n">
        <v>1.26108</v>
      </c>
      <c r="R2131" s="53" t="n">
        <v>-0.490443</v>
      </c>
      <c r="S2131" s="53" t="n">
        <v>-0.066215</v>
      </c>
    </row>
    <row r="2132" customFormat="false" ht="15" hidden="false" customHeight="false" outlineLevel="0" collapsed="false">
      <c r="A2132" s="43" t="n">
        <v>129</v>
      </c>
      <c r="B2132" s="44" t="str">
        <f aca="false">'Model Inputs &amp; Assumptions'!$B$32</f>
        <v>Trade Republic — In-App Display</v>
      </c>
      <c r="C2132" s="45" t="n">
        <f aca="false">ROUND(MAX(0,'Model Inputs &amp; Assumptions'!$S$32*EXP('Model Inputs &amp; Assumptions'!$T$32*P2132-'Model Inputs &amp; Assumptions'!$T$32^2/2)),0)</f>
        <v>1059996</v>
      </c>
      <c r="D2132" s="46" t="n">
        <f aca="false">MIN(1,'Model Inputs &amp; Assumptions'!$U$32*EXP('Model Inputs &amp; Assumptions'!$V$32*Q2132-'Model Inputs &amp; Assumptions'!$V$32^2/2))</f>
        <v>0</v>
      </c>
      <c r="E2132" s="45" t="n">
        <f aca="false">ROUND(C2132*D2132,0)</f>
        <v>0</v>
      </c>
      <c r="F2132" s="47" t="n">
        <f aca="false">MIN(1,'Model Inputs &amp; Assumptions'!$W$32*EXP('Model Inputs &amp; Assumptions'!$X$32*R2132-'Model Inputs &amp; Assumptions'!$X$32^2/2))</f>
        <v>0.00424160514057946</v>
      </c>
      <c r="G2132" s="45" t="n">
        <f aca="false">ROUND(C2132*F2132,0)</f>
        <v>4496</v>
      </c>
      <c r="H2132" s="48" t="n">
        <f aca="false">MAX(0,(C2132*'Model Inputs &amp; Assumptions'!$N$32+E2132*'Model Inputs &amp; Assumptions'!$O$32+G2132*'Model Inputs &amp; Assumptions'!$P$32)*EXP('Model Inputs &amp; Assumptions'!$Q$32*S2132-'Model Inputs &amp; Assumptions'!$Q$32^2/2))</f>
        <v>181.689357590239</v>
      </c>
      <c r="I2132" s="49" t="n">
        <f aca="false">IF('Model Inputs &amp; Assumptions'!$H$32="Fixed",'Model Inputs &amp; Assumptions'!$I$32*'Model Inputs &amp; Assumptions'!$K$32,IF('Model Inputs &amp; Assumptions'!$H$32="CPM",'Model Inputs &amp; Assumptions'!$I$32*'Model Inputs &amp; Assumptions'!$K$32*C2132/1000,IF('Model Inputs &amp; Assumptions'!$H$32="CPC",'Model Inputs &amp; Assumptions'!$I$32*'Model Inputs &amp; Assumptions'!$K$32*G2132,0)))</f>
        <v>12719.952</v>
      </c>
      <c r="J2132" s="50" t="n">
        <f aca="false">H2132*INDEX('Model Inputs &amp; Assumptions'!$D$40:$D$42,MATCH('Model Inputs &amp; Assumptions'!$L$32,'Model Inputs &amp; Assumptions'!$A$40:$A$42,0))*INDEX('Model Inputs &amp; Assumptions'!$H$40:$H$42,MATCH('Model Inputs &amp; Assumptions'!$L$32,'Model Inputs &amp; Assumptions'!$A$40:$A$42,0))</f>
        <v>981122.530987289</v>
      </c>
      <c r="K2132" s="49" t="n">
        <f aca="false">H2132*INDEX('Model Inputs &amp; Assumptions'!$G$40:$G$42,MATCH('Model Inputs &amp; Assumptions'!$L$32,'Model Inputs &amp; Assumptions'!$A$40:$A$42,0))*INDEX('Model Inputs &amp; Assumptions'!$H$40:$H$42,MATCH('Model Inputs &amp; Assumptions'!$L$32,'Model Inputs &amp; Assumptions'!$A$40:$A$42,0))</f>
        <v>20603.5731507331</v>
      </c>
      <c r="L2132" s="51" t="n">
        <f aca="false">IFERROR(K2132/I2132,0)</f>
        <v>1.61978387581439</v>
      </c>
      <c r="M2132" s="49" t="n">
        <f aca="false">IFERROR(I2132/H2132,0)</f>
        <v>70.00933994542</v>
      </c>
      <c r="N2132" s="52" t="str">
        <f aca="false">'Model Inputs &amp; Assumptions'!$L$32</f>
        <v>PRD-SP01</v>
      </c>
      <c r="P2132" s="53" t="n">
        <v>-0.26352</v>
      </c>
      <c r="Q2132" s="53" t="n">
        <v>0.519463</v>
      </c>
      <c r="R2132" s="53" t="n">
        <v>0.790596</v>
      </c>
      <c r="S2132" s="53" t="n">
        <v>-0.244115</v>
      </c>
    </row>
    <row r="2133" customFormat="false" ht="15" hidden="false" customHeight="false" outlineLevel="0" collapsed="false">
      <c r="A2133" s="43" t="n">
        <v>130</v>
      </c>
      <c r="B2133" s="44" t="str">
        <f aca="false">'Model Inputs &amp; Assumptions'!$B$32</f>
        <v>Trade Republic — In-App Display</v>
      </c>
      <c r="C2133" s="45" t="n">
        <f aca="false">ROUND(MAX(0,'Model Inputs &amp; Assumptions'!$S$32*EXP('Model Inputs &amp; Assumptions'!$T$32*P2133-'Model Inputs &amp; Assumptions'!$T$32^2/2)),0)</f>
        <v>1173575</v>
      </c>
      <c r="D2133" s="46" t="n">
        <f aca="false">MIN(1,'Model Inputs &amp; Assumptions'!$U$32*EXP('Model Inputs &amp; Assumptions'!$V$32*Q2133-'Model Inputs &amp; Assumptions'!$V$32^2/2))</f>
        <v>0</v>
      </c>
      <c r="E2133" s="45" t="n">
        <f aca="false">ROUND(C2133*D2133,0)</f>
        <v>0</v>
      </c>
      <c r="F2133" s="47" t="n">
        <f aca="false">MIN(1,'Model Inputs &amp; Assumptions'!$W$32*EXP('Model Inputs &amp; Assumptions'!$X$32*R2133-'Model Inputs &amp; Assumptions'!$X$32^2/2))</f>
        <v>0.0027340419130706</v>
      </c>
      <c r="G2133" s="45" t="n">
        <f aca="false">ROUND(C2133*F2133,0)</f>
        <v>3209</v>
      </c>
      <c r="H2133" s="48" t="n">
        <f aca="false">MAX(0,(C2133*'Model Inputs &amp; Assumptions'!$N$32+E2133*'Model Inputs &amp; Assumptions'!$O$32+G2133*'Model Inputs &amp; Assumptions'!$P$32)*EXP('Model Inputs &amp; Assumptions'!$Q$32*S2133-'Model Inputs &amp; Assumptions'!$Q$32^2/2))</f>
        <v>213.876462842778</v>
      </c>
      <c r="I2133" s="49" t="n">
        <f aca="false">IF('Model Inputs &amp; Assumptions'!$H$32="Fixed",'Model Inputs &amp; Assumptions'!$I$32*'Model Inputs &amp; Assumptions'!$K$32,IF('Model Inputs &amp; Assumptions'!$H$32="CPM",'Model Inputs &amp; Assumptions'!$I$32*'Model Inputs &amp; Assumptions'!$K$32*C2133/1000,IF('Model Inputs &amp; Assumptions'!$H$32="CPC",'Model Inputs &amp; Assumptions'!$I$32*'Model Inputs &amp; Assumptions'!$K$32*G2133,0)))</f>
        <v>14082.9</v>
      </c>
      <c r="J2133" s="50" t="n">
        <f aca="false">H2133*INDEX('Model Inputs &amp; Assumptions'!$D$40:$D$42,MATCH('Model Inputs &amp; Assumptions'!$L$32,'Model Inputs &amp; Assumptions'!$A$40:$A$42,0))*INDEX('Model Inputs &amp; Assumptions'!$H$40:$H$42,MATCH('Model Inputs &amp; Assumptions'!$L$32,'Model Inputs &amp; Assumptions'!$A$40:$A$42,0))</f>
        <v>1154932.899351</v>
      </c>
      <c r="K2133" s="49" t="n">
        <f aca="false">H2133*INDEX('Model Inputs &amp; Assumptions'!$G$40:$G$42,MATCH('Model Inputs &amp; Assumptions'!$L$32,'Model Inputs &amp; Assumptions'!$A$40:$A$42,0))*INDEX('Model Inputs &amp; Assumptions'!$H$40:$H$42,MATCH('Model Inputs &amp; Assumptions'!$L$32,'Model Inputs &amp; Assumptions'!$A$40:$A$42,0))</f>
        <v>24253.590886371</v>
      </c>
      <c r="L2133" s="51" t="n">
        <f aca="false">IFERROR(K2133/I2133,0)</f>
        <v>1.72220145611849</v>
      </c>
      <c r="M2133" s="49" t="n">
        <f aca="false">IFERROR(I2133/H2133,0)</f>
        <v>65.8459552435765</v>
      </c>
      <c r="N2133" s="52" t="str">
        <f aca="false">'Model Inputs &amp; Assumptions'!$L$32</f>
        <v>PRD-SP01</v>
      </c>
      <c r="P2133" s="53" t="n">
        <v>0.075776</v>
      </c>
      <c r="Q2133" s="53" t="n">
        <v>2.860819</v>
      </c>
      <c r="R2133" s="53" t="n">
        <v>-0.673273</v>
      </c>
      <c r="S2133" s="53" t="n">
        <v>1.542774</v>
      </c>
    </row>
    <row r="2134" customFormat="false" ht="15" hidden="false" customHeight="false" outlineLevel="0" collapsed="false">
      <c r="A2134" s="43" t="n">
        <v>131</v>
      </c>
      <c r="B2134" s="44" t="str">
        <f aca="false">'Model Inputs &amp; Assumptions'!$B$32</f>
        <v>Trade Republic — In-App Display</v>
      </c>
      <c r="C2134" s="45" t="n">
        <f aca="false">ROUND(MAX(0,'Model Inputs &amp; Assumptions'!$S$32*EXP('Model Inputs &amp; Assumptions'!$T$32*P2134-'Model Inputs &amp; Assumptions'!$T$32^2/2)),0)</f>
        <v>2014448</v>
      </c>
      <c r="D2134" s="46" t="n">
        <f aca="false">MIN(1,'Model Inputs &amp; Assumptions'!$U$32*EXP('Model Inputs &amp; Assumptions'!$V$32*Q2134-'Model Inputs &amp; Assumptions'!$V$32^2/2))</f>
        <v>0</v>
      </c>
      <c r="E2134" s="45" t="n">
        <f aca="false">ROUND(C2134*D2134,0)</f>
        <v>0</v>
      </c>
      <c r="F2134" s="47" t="n">
        <f aca="false">MIN(1,'Model Inputs &amp; Assumptions'!$W$32*EXP('Model Inputs &amp; Assumptions'!$X$32*R2134-'Model Inputs &amp; Assumptions'!$X$32^2/2))</f>
        <v>0.00395347669800732</v>
      </c>
      <c r="G2134" s="45" t="n">
        <f aca="false">ROUND(C2134*F2134,0)</f>
        <v>7964</v>
      </c>
      <c r="H2134" s="48" t="n">
        <f aca="false">MAX(0,(C2134*'Model Inputs &amp; Assumptions'!$N$32+E2134*'Model Inputs &amp; Assumptions'!$O$32+G2134*'Model Inputs &amp; Assumptions'!$P$32)*EXP('Model Inputs &amp; Assumptions'!$Q$32*S2134-'Model Inputs &amp; Assumptions'!$Q$32^2/2))</f>
        <v>237.559090817954</v>
      </c>
      <c r="I2134" s="49" t="n">
        <f aca="false">IF('Model Inputs &amp; Assumptions'!$H$32="Fixed",'Model Inputs &amp; Assumptions'!$I$32*'Model Inputs &amp; Assumptions'!$K$32,IF('Model Inputs &amp; Assumptions'!$H$32="CPM",'Model Inputs &amp; Assumptions'!$I$32*'Model Inputs &amp; Assumptions'!$K$32*C2134/1000,IF('Model Inputs &amp; Assumptions'!$H$32="CPC",'Model Inputs &amp; Assumptions'!$I$32*'Model Inputs &amp; Assumptions'!$K$32*G2134,0)))</f>
        <v>24173.376</v>
      </c>
      <c r="J2134" s="50" t="n">
        <f aca="false">H2134*INDEX('Model Inputs &amp; Assumptions'!$D$40:$D$42,MATCH('Model Inputs &amp; Assumptions'!$L$32,'Model Inputs &amp; Assumptions'!$A$40:$A$42,0))*INDEX('Model Inputs &amp; Assumptions'!$H$40:$H$42,MATCH('Model Inputs &amp; Assumptions'!$L$32,'Model Inputs &amp; Assumptions'!$A$40:$A$42,0))</f>
        <v>1282819.09041695</v>
      </c>
      <c r="K2134" s="49" t="n">
        <f aca="false">H2134*INDEX('Model Inputs &amp; Assumptions'!$G$40:$G$42,MATCH('Model Inputs &amp; Assumptions'!$L$32,'Model Inputs &amp; Assumptions'!$A$40:$A$42,0))*INDEX('Model Inputs &amp; Assumptions'!$H$40:$H$42,MATCH('Model Inputs &amp; Assumptions'!$L$32,'Model Inputs &amp; Assumptions'!$A$40:$A$42,0))</f>
        <v>26939.200898756</v>
      </c>
      <c r="L2134" s="51" t="n">
        <f aca="false">IFERROR(K2134/I2134,0)</f>
        <v>1.11441616176226</v>
      </c>
      <c r="M2134" s="49" t="n">
        <f aca="false">IFERROR(I2134/H2134,0)</f>
        <v>101.757318218247</v>
      </c>
      <c r="N2134" s="52" t="str">
        <f aca="false">'Model Inputs &amp; Assumptions'!$L$32</f>
        <v>PRD-SP01</v>
      </c>
      <c r="P2134" s="53" t="n">
        <v>1.876746</v>
      </c>
      <c r="Q2134" s="53" t="n">
        <v>0.866341</v>
      </c>
      <c r="R2134" s="53" t="n">
        <v>0.556108</v>
      </c>
      <c r="S2134" s="53" t="n">
        <v>-1.328491</v>
      </c>
    </row>
    <row r="2135" customFormat="false" ht="15" hidden="false" customHeight="false" outlineLevel="0" collapsed="false">
      <c r="A2135" s="43" t="n">
        <v>132</v>
      </c>
      <c r="B2135" s="44" t="str">
        <f aca="false">'Model Inputs &amp; Assumptions'!$B$32</f>
        <v>Trade Republic — In-App Display</v>
      </c>
      <c r="C2135" s="45" t="n">
        <f aca="false">ROUND(MAX(0,'Model Inputs &amp; Assumptions'!$S$32*EXP('Model Inputs &amp; Assumptions'!$T$32*P2135-'Model Inputs &amp; Assumptions'!$T$32^2/2)),0)</f>
        <v>1110681</v>
      </c>
      <c r="D2135" s="46" t="n">
        <f aca="false">MIN(1,'Model Inputs &amp; Assumptions'!$U$32*EXP('Model Inputs &amp; Assumptions'!$V$32*Q2135-'Model Inputs &amp; Assumptions'!$V$32^2/2))</f>
        <v>0</v>
      </c>
      <c r="E2135" s="45" t="n">
        <f aca="false">ROUND(C2135*D2135,0)</f>
        <v>0</v>
      </c>
      <c r="F2135" s="47" t="n">
        <f aca="false">MIN(1,'Model Inputs &amp; Assumptions'!$W$32*EXP('Model Inputs &amp; Assumptions'!$X$32*R2135-'Model Inputs &amp; Assumptions'!$X$32^2/2))</f>
        <v>0.00314301449140045</v>
      </c>
      <c r="G2135" s="45" t="n">
        <f aca="false">ROUND(C2135*F2135,0)</f>
        <v>3491</v>
      </c>
      <c r="H2135" s="48" t="n">
        <f aca="false">MAX(0,(C2135*'Model Inputs &amp; Assumptions'!$N$32+E2135*'Model Inputs &amp; Assumptions'!$O$32+G2135*'Model Inputs &amp; Assumptions'!$P$32)*EXP('Model Inputs &amp; Assumptions'!$Q$32*S2135-'Model Inputs &amp; Assumptions'!$Q$32^2/2))</f>
        <v>130.559852033488</v>
      </c>
      <c r="I2135" s="49" t="n">
        <f aca="false">IF('Model Inputs &amp; Assumptions'!$H$32="Fixed",'Model Inputs &amp; Assumptions'!$I$32*'Model Inputs &amp; Assumptions'!$K$32,IF('Model Inputs &amp; Assumptions'!$H$32="CPM",'Model Inputs &amp; Assumptions'!$I$32*'Model Inputs &amp; Assumptions'!$K$32*C2135/1000,IF('Model Inputs &amp; Assumptions'!$H$32="CPC",'Model Inputs &amp; Assumptions'!$I$32*'Model Inputs &amp; Assumptions'!$K$32*G2135,0)))</f>
        <v>13328.172</v>
      </c>
      <c r="J2135" s="50" t="n">
        <f aca="false">H2135*INDEX('Model Inputs &amp; Assumptions'!$D$40:$D$42,MATCH('Model Inputs &amp; Assumptions'!$L$32,'Model Inputs &amp; Assumptions'!$A$40:$A$42,0))*INDEX('Model Inputs &amp; Assumptions'!$H$40:$H$42,MATCH('Model Inputs &amp; Assumptions'!$L$32,'Model Inputs &amp; Assumptions'!$A$40:$A$42,0))</f>
        <v>705023.200980835</v>
      </c>
      <c r="K2135" s="49" t="n">
        <f aca="false">H2135*INDEX('Model Inputs &amp; Assumptions'!$G$40:$G$42,MATCH('Model Inputs &amp; Assumptions'!$L$32,'Model Inputs &amp; Assumptions'!$A$40:$A$42,0))*INDEX('Model Inputs &amp; Assumptions'!$H$40:$H$42,MATCH('Model Inputs &amp; Assumptions'!$L$32,'Model Inputs &amp; Assumptions'!$A$40:$A$42,0))</f>
        <v>14805.4872205975</v>
      </c>
      <c r="L2135" s="51" t="n">
        <f aca="false">IFERROR(K2135/I2135,0)</f>
        <v>1.11084154830817</v>
      </c>
      <c r="M2135" s="49" t="n">
        <f aca="false">IFERROR(I2135/H2135,0)</f>
        <v>102.084766430199</v>
      </c>
      <c r="N2135" s="52" t="str">
        <f aca="false">'Model Inputs &amp; Assumptions'!$L$32</f>
        <v>PRD-SP01</v>
      </c>
      <c r="P2135" s="53" t="n">
        <v>-0.107827</v>
      </c>
      <c r="Q2135" s="53" t="n">
        <v>-1.428663</v>
      </c>
      <c r="R2135" s="53" t="n">
        <v>-0.208602</v>
      </c>
      <c r="S2135" s="53" t="n">
        <v>-0.520782</v>
      </c>
    </row>
    <row r="2136" customFormat="false" ht="15" hidden="false" customHeight="false" outlineLevel="0" collapsed="false">
      <c r="A2136" s="43" t="n">
        <v>133</v>
      </c>
      <c r="B2136" s="44" t="str">
        <f aca="false">'Model Inputs &amp; Assumptions'!$B$32</f>
        <v>Trade Republic — In-App Display</v>
      </c>
      <c r="C2136" s="45" t="n">
        <f aca="false">ROUND(MAX(0,'Model Inputs &amp; Assumptions'!$S$32*EXP('Model Inputs &amp; Assumptions'!$T$32*P2136-'Model Inputs &amp; Assumptions'!$T$32^2/2)),0)</f>
        <v>1387300</v>
      </c>
      <c r="D2136" s="46" t="n">
        <f aca="false">MIN(1,'Model Inputs &amp; Assumptions'!$U$32*EXP('Model Inputs &amp; Assumptions'!$V$32*Q2136-'Model Inputs &amp; Assumptions'!$V$32^2/2))</f>
        <v>0</v>
      </c>
      <c r="E2136" s="45" t="n">
        <f aca="false">ROUND(C2136*D2136,0)</f>
        <v>0</v>
      </c>
      <c r="F2136" s="47" t="n">
        <f aca="false">MIN(1,'Model Inputs &amp; Assumptions'!$W$32*EXP('Model Inputs &amp; Assumptions'!$X$32*R2136-'Model Inputs &amp; Assumptions'!$X$32^2/2))</f>
        <v>0.00352370808541634</v>
      </c>
      <c r="G2136" s="45" t="n">
        <f aca="false">ROUND(C2136*F2136,0)</f>
        <v>4888</v>
      </c>
      <c r="H2136" s="48" t="n">
        <f aca="false">MAX(0,(C2136*'Model Inputs &amp; Assumptions'!$N$32+E2136*'Model Inputs &amp; Assumptions'!$O$32+G2136*'Model Inputs &amp; Assumptions'!$P$32)*EXP('Model Inputs &amp; Assumptions'!$Q$32*S2136-'Model Inputs &amp; Assumptions'!$Q$32^2/2))</f>
        <v>210.951386593519</v>
      </c>
      <c r="I2136" s="49" t="n">
        <f aca="false">IF('Model Inputs &amp; Assumptions'!$H$32="Fixed",'Model Inputs &amp; Assumptions'!$I$32*'Model Inputs &amp; Assumptions'!$K$32,IF('Model Inputs &amp; Assumptions'!$H$32="CPM",'Model Inputs &amp; Assumptions'!$I$32*'Model Inputs &amp; Assumptions'!$K$32*C2136/1000,IF('Model Inputs &amp; Assumptions'!$H$32="CPC",'Model Inputs &amp; Assumptions'!$I$32*'Model Inputs &amp; Assumptions'!$K$32*G2136,0)))</f>
        <v>16647.6</v>
      </c>
      <c r="J2136" s="50" t="n">
        <f aca="false">H2136*INDEX('Model Inputs &amp; Assumptions'!$D$40:$D$42,MATCH('Model Inputs &amp; Assumptions'!$L$32,'Model Inputs &amp; Assumptions'!$A$40:$A$42,0))*INDEX('Model Inputs &amp; Assumptions'!$H$40:$H$42,MATCH('Model Inputs &amp; Assumptions'!$L$32,'Model Inputs &amp; Assumptions'!$A$40:$A$42,0))</f>
        <v>1139137.487605</v>
      </c>
      <c r="K2136" s="49" t="n">
        <f aca="false">H2136*INDEX('Model Inputs &amp; Assumptions'!$G$40:$G$42,MATCH('Model Inputs &amp; Assumptions'!$L$32,'Model Inputs &amp; Assumptions'!$A$40:$A$42,0))*INDEX('Model Inputs &amp; Assumptions'!$H$40:$H$42,MATCH('Model Inputs &amp; Assumptions'!$L$32,'Model Inputs &amp; Assumptions'!$A$40:$A$42,0))</f>
        <v>23921.887239705</v>
      </c>
      <c r="L2136" s="51" t="n">
        <f aca="false">IFERROR(K2136/I2136,0)</f>
        <v>1.43695711331994</v>
      </c>
      <c r="M2136" s="49" t="n">
        <f aca="false">IFERROR(I2136/H2136,0)</f>
        <v>78.9167602490245</v>
      </c>
      <c r="N2136" s="52" t="str">
        <f aca="false">'Model Inputs &amp; Assumptions'!$L$32</f>
        <v>PRD-SP01</v>
      </c>
      <c r="P2136" s="53" t="n">
        <v>0.633459</v>
      </c>
      <c r="Q2136" s="53" t="n">
        <v>-0.723459</v>
      </c>
      <c r="R2136" s="53" t="n">
        <v>0.172503</v>
      </c>
      <c r="S2136" s="53" t="n">
        <v>-0.00935</v>
      </c>
    </row>
    <row r="2137" customFormat="false" ht="15" hidden="false" customHeight="false" outlineLevel="0" collapsed="false">
      <c r="A2137" s="43" t="n">
        <v>134</v>
      </c>
      <c r="B2137" s="44" t="str">
        <f aca="false">'Model Inputs &amp; Assumptions'!$B$32</f>
        <v>Trade Republic — In-App Display</v>
      </c>
      <c r="C2137" s="45" t="n">
        <f aca="false">ROUND(MAX(0,'Model Inputs &amp; Assumptions'!$S$32*EXP('Model Inputs &amp; Assumptions'!$T$32*P2137-'Model Inputs &amp; Assumptions'!$T$32^2/2)),0)</f>
        <v>1455662</v>
      </c>
      <c r="D2137" s="46" t="n">
        <f aca="false">MIN(1,'Model Inputs &amp; Assumptions'!$U$32*EXP('Model Inputs &amp; Assumptions'!$V$32*Q2137-'Model Inputs &amp; Assumptions'!$V$32^2/2))</f>
        <v>0</v>
      </c>
      <c r="E2137" s="45" t="n">
        <f aca="false">ROUND(C2137*D2137,0)</f>
        <v>0</v>
      </c>
      <c r="F2137" s="47" t="n">
        <f aca="false">MIN(1,'Model Inputs &amp; Assumptions'!$W$32*EXP('Model Inputs &amp; Assumptions'!$X$32*R2137-'Model Inputs &amp; Assumptions'!$X$32^2/2))</f>
        <v>0.00177500185588415</v>
      </c>
      <c r="G2137" s="45" t="n">
        <f aca="false">ROUND(C2137*F2137,0)</f>
        <v>2584</v>
      </c>
      <c r="H2137" s="48" t="n">
        <f aca="false">MAX(0,(C2137*'Model Inputs &amp; Assumptions'!$N$32+E2137*'Model Inputs &amp; Assumptions'!$O$32+G2137*'Model Inputs &amp; Assumptions'!$P$32)*EXP('Model Inputs &amp; Assumptions'!$Q$32*S2137-'Model Inputs &amp; Assumptions'!$Q$32^2/2))</f>
        <v>85.397230941025</v>
      </c>
      <c r="I2137" s="49" t="n">
        <f aca="false">IF('Model Inputs &amp; Assumptions'!$H$32="Fixed",'Model Inputs &amp; Assumptions'!$I$32*'Model Inputs &amp; Assumptions'!$K$32,IF('Model Inputs &amp; Assumptions'!$H$32="CPM",'Model Inputs &amp; Assumptions'!$I$32*'Model Inputs &amp; Assumptions'!$K$32*C2137/1000,IF('Model Inputs &amp; Assumptions'!$H$32="CPC",'Model Inputs &amp; Assumptions'!$I$32*'Model Inputs &amp; Assumptions'!$K$32*G2137,0)))</f>
        <v>17467.944</v>
      </c>
      <c r="J2137" s="50" t="n">
        <f aca="false">H2137*INDEX('Model Inputs &amp; Assumptions'!$D$40:$D$42,MATCH('Model Inputs &amp; Assumptions'!$L$32,'Model Inputs &amp; Assumptions'!$A$40:$A$42,0))*INDEX('Model Inputs &amp; Assumptions'!$H$40:$H$42,MATCH('Model Inputs &amp; Assumptions'!$L$32,'Model Inputs &amp; Assumptions'!$A$40:$A$42,0))</f>
        <v>461145.047081535</v>
      </c>
      <c r="K2137" s="49" t="n">
        <f aca="false">H2137*INDEX('Model Inputs &amp; Assumptions'!$G$40:$G$42,MATCH('Model Inputs &amp; Assumptions'!$L$32,'Model Inputs &amp; Assumptions'!$A$40:$A$42,0))*INDEX('Model Inputs &amp; Assumptions'!$H$40:$H$42,MATCH('Model Inputs &amp; Assumptions'!$L$32,'Model Inputs &amp; Assumptions'!$A$40:$A$42,0))</f>
        <v>9684.04598871224</v>
      </c>
      <c r="L2137" s="51" t="n">
        <f aca="false">IFERROR(K2137/I2137,0)</f>
        <v>0.554389571475168</v>
      </c>
      <c r="M2137" s="49" t="n">
        <f aca="false">IFERROR(I2137/H2137,0)</f>
        <v>204.549302214065</v>
      </c>
      <c r="N2137" s="52" t="str">
        <f aca="false">'Model Inputs &amp; Assumptions'!$L$32</f>
        <v>PRD-SP01</v>
      </c>
      <c r="P2137" s="53" t="n">
        <v>0.793798</v>
      </c>
      <c r="Q2137" s="53" t="n">
        <v>-1.546372</v>
      </c>
      <c r="R2137" s="53" t="n">
        <v>-2.113205</v>
      </c>
      <c r="S2137" s="53" t="n">
        <v>-0.962455</v>
      </c>
    </row>
    <row r="2138" customFormat="false" ht="15" hidden="false" customHeight="false" outlineLevel="0" collapsed="false">
      <c r="A2138" s="43" t="n">
        <v>135</v>
      </c>
      <c r="B2138" s="44" t="str">
        <f aca="false">'Model Inputs &amp; Assumptions'!$B$32</f>
        <v>Trade Republic — In-App Display</v>
      </c>
      <c r="C2138" s="45" t="n">
        <f aca="false">ROUND(MAX(0,'Model Inputs &amp; Assumptions'!$S$32*EXP('Model Inputs &amp; Assumptions'!$T$32*P2138-'Model Inputs &amp; Assumptions'!$T$32^2/2)),0)</f>
        <v>1155062</v>
      </c>
      <c r="D2138" s="46" t="n">
        <f aca="false">MIN(1,'Model Inputs &amp; Assumptions'!$U$32*EXP('Model Inputs &amp; Assumptions'!$V$32*Q2138-'Model Inputs &amp; Assumptions'!$V$32^2/2))</f>
        <v>0</v>
      </c>
      <c r="E2138" s="45" t="n">
        <f aca="false">ROUND(C2138*D2138,0)</f>
        <v>0</v>
      </c>
      <c r="F2138" s="47" t="n">
        <f aca="false">MIN(1,'Model Inputs &amp; Assumptions'!$W$32*EXP('Model Inputs &amp; Assumptions'!$X$32*R2138-'Model Inputs &amp; Assumptions'!$X$32^2/2))</f>
        <v>0.00410207264232613</v>
      </c>
      <c r="G2138" s="45" t="n">
        <f aca="false">ROUND(C2138*F2138,0)</f>
        <v>4738</v>
      </c>
      <c r="H2138" s="48" t="n">
        <f aca="false">MAX(0,(C2138*'Model Inputs &amp; Assumptions'!$N$32+E2138*'Model Inputs &amp; Assumptions'!$O$32+G2138*'Model Inputs &amp; Assumptions'!$P$32)*EXP('Model Inputs &amp; Assumptions'!$Q$32*S2138-'Model Inputs &amp; Assumptions'!$Q$32^2/2))</f>
        <v>225.064060610801</v>
      </c>
      <c r="I2138" s="49" t="n">
        <f aca="false">IF('Model Inputs &amp; Assumptions'!$H$32="Fixed",'Model Inputs &amp; Assumptions'!$I$32*'Model Inputs &amp; Assumptions'!$K$32,IF('Model Inputs &amp; Assumptions'!$H$32="CPM",'Model Inputs &amp; Assumptions'!$I$32*'Model Inputs &amp; Assumptions'!$K$32*C2138/1000,IF('Model Inputs &amp; Assumptions'!$H$32="CPC",'Model Inputs &amp; Assumptions'!$I$32*'Model Inputs &amp; Assumptions'!$K$32*G2138,0)))</f>
        <v>13860.744</v>
      </c>
      <c r="J2138" s="50" t="n">
        <f aca="false">H2138*INDEX('Model Inputs &amp; Assumptions'!$D$40:$D$42,MATCH('Model Inputs &amp; Assumptions'!$L$32,'Model Inputs &amp; Assumptions'!$A$40:$A$42,0))*INDEX('Model Inputs &amp; Assumptions'!$H$40:$H$42,MATCH('Model Inputs &amp; Assumptions'!$L$32,'Model Inputs &amp; Assumptions'!$A$40:$A$42,0))</f>
        <v>1215345.92729833</v>
      </c>
      <c r="K2138" s="49" t="n">
        <f aca="false">H2138*INDEX('Model Inputs &amp; Assumptions'!$G$40:$G$42,MATCH('Model Inputs &amp; Assumptions'!$L$32,'Model Inputs &amp; Assumptions'!$A$40:$A$42,0))*INDEX('Model Inputs &amp; Assumptions'!$H$40:$H$42,MATCH('Model Inputs &amp; Assumptions'!$L$32,'Model Inputs &amp; Assumptions'!$A$40:$A$42,0))</f>
        <v>25522.2644732649</v>
      </c>
      <c r="L2138" s="51" t="n">
        <f aca="false">IFERROR(K2138/I2138,0)</f>
        <v>1.8413343809874</v>
      </c>
      <c r="M2138" s="49" t="n">
        <f aca="false">IFERROR(I2138/H2138,0)</f>
        <v>61.5857723458083</v>
      </c>
      <c r="N2138" s="52" t="str">
        <f aca="false">'Model Inputs &amp; Assumptions'!$L$32</f>
        <v>PRD-SP01</v>
      </c>
      <c r="P2138" s="53" t="n">
        <v>0.022775</v>
      </c>
      <c r="Q2138" s="53" t="n">
        <v>0.054253</v>
      </c>
      <c r="R2138" s="53" t="n">
        <v>0.679098</v>
      </c>
      <c r="S2138" s="53" t="n">
        <v>0.333241</v>
      </c>
    </row>
    <row r="2139" customFormat="false" ht="15" hidden="false" customHeight="false" outlineLevel="0" collapsed="false">
      <c r="A2139" s="43" t="n">
        <v>136</v>
      </c>
      <c r="B2139" s="44" t="str">
        <f aca="false">'Model Inputs &amp; Assumptions'!$B$32</f>
        <v>Trade Republic — In-App Display</v>
      </c>
      <c r="C2139" s="45" t="n">
        <f aca="false">ROUND(MAX(0,'Model Inputs &amp; Assumptions'!$S$32*EXP('Model Inputs &amp; Assumptions'!$T$32*P2139-'Model Inputs &amp; Assumptions'!$T$32^2/2)),0)</f>
        <v>1012975</v>
      </c>
      <c r="D2139" s="46" t="n">
        <f aca="false">MIN(1,'Model Inputs &amp; Assumptions'!$U$32*EXP('Model Inputs &amp; Assumptions'!$V$32*Q2139-'Model Inputs &amp; Assumptions'!$V$32^2/2))</f>
        <v>0</v>
      </c>
      <c r="E2139" s="45" t="n">
        <f aca="false">ROUND(C2139*D2139,0)</f>
        <v>0</v>
      </c>
      <c r="F2139" s="47" t="n">
        <f aca="false">MIN(1,'Model Inputs &amp; Assumptions'!$W$32*EXP('Model Inputs &amp; Assumptions'!$X$32*R2139-'Model Inputs &amp; Assumptions'!$X$32^2/2))</f>
        <v>0.00338846822585016</v>
      </c>
      <c r="G2139" s="45" t="n">
        <f aca="false">ROUND(C2139*F2139,0)</f>
        <v>3432</v>
      </c>
      <c r="H2139" s="48" t="n">
        <f aca="false">MAX(0,(C2139*'Model Inputs &amp; Assumptions'!$N$32+E2139*'Model Inputs &amp; Assumptions'!$O$32+G2139*'Model Inputs &amp; Assumptions'!$P$32)*EXP('Model Inputs &amp; Assumptions'!$Q$32*S2139-'Model Inputs &amp; Assumptions'!$Q$32^2/2))</f>
        <v>129.075371817894</v>
      </c>
      <c r="I2139" s="49" t="n">
        <f aca="false">IF('Model Inputs &amp; Assumptions'!$H$32="Fixed",'Model Inputs &amp; Assumptions'!$I$32*'Model Inputs &amp; Assumptions'!$K$32,IF('Model Inputs &amp; Assumptions'!$H$32="CPM",'Model Inputs &amp; Assumptions'!$I$32*'Model Inputs &amp; Assumptions'!$K$32*C2139/1000,IF('Model Inputs &amp; Assumptions'!$H$32="CPC",'Model Inputs &amp; Assumptions'!$I$32*'Model Inputs &amp; Assumptions'!$K$32*G2139,0)))</f>
        <v>12155.7</v>
      </c>
      <c r="J2139" s="50" t="n">
        <f aca="false">H2139*INDEX('Model Inputs &amp; Assumptions'!$D$40:$D$42,MATCH('Model Inputs &amp; Assumptions'!$L$32,'Model Inputs &amp; Assumptions'!$A$40:$A$42,0))*INDEX('Model Inputs &amp; Assumptions'!$H$40:$H$42,MATCH('Model Inputs &amp; Assumptions'!$L$32,'Model Inputs &amp; Assumptions'!$A$40:$A$42,0))</f>
        <v>697007.00781663</v>
      </c>
      <c r="K2139" s="49" t="n">
        <f aca="false">H2139*INDEX('Model Inputs &amp; Assumptions'!$G$40:$G$42,MATCH('Model Inputs &amp; Assumptions'!$L$32,'Model Inputs &amp; Assumptions'!$A$40:$A$42,0))*INDEX('Model Inputs &amp; Assumptions'!$H$40:$H$42,MATCH('Model Inputs &amp; Assumptions'!$L$32,'Model Inputs &amp; Assumptions'!$A$40:$A$42,0))</f>
        <v>14637.1471641492</v>
      </c>
      <c r="L2139" s="51" t="n">
        <f aca="false">IFERROR(K2139/I2139,0)</f>
        <v>1.204138565788</v>
      </c>
      <c r="M2139" s="49" t="n">
        <f aca="false">IFERROR(I2139/H2139,0)</f>
        <v>94.1752080881071</v>
      </c>
      <c r="N2139" s="52" t="str">
        <f aca="false">'Model Inputs &amp; Assumptions'!$L$32</f>
        <v>PRD-SP01</v>
      </c>
      <c r="P2139" s="53" t="n">
        <v>-0.414766</v>
      </c>
      <c r="Q2139" s="53" t="n">
        <v>-0.247994</v>
      </c>
      <c r="R2139" s="53" t="n">
        <v>0.04205</v>
      </c>
      <c r="S2139" s="53" t="n">
        <v>-0.500747</v>
      </c>
    </row>
    <row r="2140" customFormat="false" ht="15" hidden="false" customHeight="false" outlineLevel="0" collapsed="false">
      <c r="A2140" s="43" t="n">
        <v>137</v>
      </c>
      <c r="B2140" s="44" t="str">
        <f aca="false">'Model Inputs &amp; Assumptions'!$B$32</f>
        <v>Trade Republic — In-App Display</v>
      </c>
      <c r="C2140" s="45" t="n">
        <f aca="false">ROUND(MAX(0,'Model Inputs &amp; Assumptions'!$S$32*EXP('Model Inputs &amp; Assumptions'!$T$32*P2140-'Model Inputs &amp; Assumptions'!$T$32^2/2)),0)</f>
        <v>1190366</v>
      </c>
      <c r="D2140" s="46" t="n">
        <f aca="false">MIN(1,'Model Inputs &amp; Assumptions'!$U$32*EXP('Model Inputs &amp; Assumptions'!$V$32*Q2140-'Model Inputs &amp; Assumptions'!$V$32^2/2))</f>
        <v>0</v>
      </c>
      <c r="E2140" s="45" t="n">
        <f aca="false">ROUND(C2140*D2140,0)</f>
        <v>0</v>
      </c>
      <c r="F2140" s="47" t="n">
        <f aca="false">MIN(1,'Model Inputs &amp; Assumptions'!$W$32*EXP('Model Inputs &amp; Assumptions'!$X$32*R2140-'Model Inputs &amp; Assumptions'!$X$32^2/2))</f>
        <v>0.00436013128652268</v>
      </c>
      <c r="G2140" s="45" t="n">
        <f aca="false">ROUND(C2140*F2140,0)</f>
        <v>5190</v>
      </c>
      <c r="H2140" s="48" t="n">
        <f aca="false">MAX(0,(C2140*'Model Inputs &amp; Assumptions'!$N$32+E2140*'Model Inputs &amp; Assumptions'!$O$32+G2140*'Model Inputs &amp; Assumptions'!$P$32)*EXP('Model Inputs &amp; Assumptions'!$Q$32*S2140-'Model Inputs &amp; Assumptions'!$Q$32^2/2))</f>
        <v>308.722318409079</v>
      </c>
      <c r="I2140" s="49" t="n">
        <f aca="false">IF('Model Inputs &amp; Assumptions'!$H$32="Fixed",'Model Inputs &amp; Assumptions'!$I$32*'Model Inputs &amp; Assumptions'!$K$32,IF('Model Inputs &amp; Assumptions'!$H$32="CPM",'Model Inputs &amp; Assumptions'!$I$32*'Model Inputs &amp; Assumptions'!$K$32*C2140/1000,IF('Model Inputs &amp; Assumptions'!$H$32="CPC",'Model Inputs &amp; Assumptions'!$I$32*'Model Inputs &amp; Assumptions'!$K$32*G2140,0)))</f>
        <v>14284.392</v>
      </c>
      <c r="J2140" s="50" t="n">
        <f aca="false">H2140*INDEX('Model Inputs &amp; Assumptions'!$D$40:$D$42,MATCH('Model Inputs &amp; Assumptions'!$L$32,'Model Inputs &amp; Assumptions'!$A$40:$A$42,0))*INDEX('Model Inputs &amp; Assumptions'!$H$40:$H$42,MATCH('Model Inputs &amp; Assumptions'!$L$32,'Model Inputs &amp; Assumptions'!$A$40:$A$42,0))</f>
        <v>1667100.51940903</v>
      </c>
      <c r="K2140" s="49" t="n">
        <f aca="false">H2140*INDEX('Model Inputs &amp; Assumptions'!$G$40:$G$42,MATCH('Model Inputs &amp; Assumptions'!$L$32,'Model Inputs &amp; Assumptions'!$A$40:$A$42,0))*INDEX('Model Inputs &amp; Assumptions'!$H$40:$H$42,MATCH('Model Inputs &amp; Assumptions'!$L$32,'Model Inputs &amp; Assumptions'!$A$40:$A$42,0))</f>
        <v>35009.1109075895</v>
      </c>
      <c r="L2140" s="51" t="n">
        <f aca="false">IFERROR(K2140/I2140,0)</f>
        <v>2.45086461556008</v>
      </c>
      <c r="M2140" s="49" t="n">
        <f aca="false">IFERROR(I2140/H2140,0)</f>
        <v>46.2693856200969</v>
      </c>
      <c r="N2140" s="52" t="str">
        <f aca="false">'Model Inputs &amp; Assumptions'!$L$32</f>
        <v>PRD-SP01</v>
      </c>
      <c r="P2140" s="53" t="n">
        <v>0.123132</v>
      </c>
      <c r="Q2140" s="53" t="n">
        <v>0.928106</v>
      </c>
      <c r="R2140" s="53" t="n">
        <v>0.882464</v>
      </c>
      <c r="S2140" s="53" t="n">
        <v>1.136593</v>
      </c>
    </row>
    <row r="2141" customFormat="false" ht="15" hidden="false" customHeight="false" outlineLevel="0" collapsed="false">
      <c r="A2141" s="43" t="n">
        <v>138</v>
      </c>
      <c r="B2141" s="44" t="str">
        <f aca="false">'Model Inputs &amp; Assumptions'!$B$32</f>
        <v>Trade Republic — In-App Display</v>
      </c>
      <c r="C2141" s="45" t="n">
        <f aca="false">ROUND(MAX(0,'Model Inputs &amp; Assumptions'!$S$32*EXP('Model Inputs &amp; Assumptions'!$T$32*P2141-'Model Inputs &amp; Assumptions'!$T$32^2/2)),0)</f>
        <v>1045590</v>
      </c>
      <c r="D2141" s="46" t="n">
        <f aca="false">MIN(1,'Model Inputs &amp; Assumptions'!$U$32*EXP('Model Inputs &amp; Assumptions'!$V$32*Q2141-'Model Inputs &amp; Assumptions'!$V$32^2/2))</f>
        <v>0</v>
      </c>
      <c r="E2141" s="45" t="n">
        <f aca="false">ROUND(C2141*D2141,0)</f>
        <v>0</v>
      </c>
      <c r="F2141" s="47" t="n">
        <f aca="false">MIN(1,'Model Inputs &amp; Assumptions'!$W$32*EXP('Model Inputs &amp; Assumptions'!$X$32*R2141-'Model Inputs &amp; Assumptions'!$X$32^2/2))</f>
        <v>0.00296830733209941</v>
      </c>
      <c r="G2141" s="45" t="n">
        <f aca="false">ROUND(C2141*F2141,0)</f>
        <v>3104</v>
      </c>
      <c r="H2141" s="48" t="n">
        <f aca="false">MAX(0,(C2141*'Model Inputs &amp; Assumptions'!$N$32+E2141*'Model Inputs &amp; Assumptions'!$O$32+G2141*'Model Inputs &amp; Assumptions'!$P$32)*EXP('Model Inputs &amp; Assumptions'!$Q$32*S2141-'Model Inputs &amp; Assumptions'!$Q$32^2/2))</f>
        <v>128.984088538499</v>
      </c>
      <c r="I2141" s="49" t="n">
        <f aca="false">IF('Model Inputs &amp; Assumptions'!$H$32="Fixed",'Model Inputs &amp; Assumptions'!$I$32*'Model Inputs &amp; Assumptions'!$K$32,IF('Model Inputs &amp; Assumptions'!$H$32="CPM",'Model Inputs &amp; Assumptions'!$I$32*'Model Inputs &amp; Assumptions'!$K$32*C2141/1000,IF('Model Inputs &amp; Assumptions'!$H$32="CPC",'Model Inputs &amp; Assumptions'!$I$32*'Model Inputs &amp; Assumptions'!$K$32*G2141,0)))</f>
        <v>12547.08</v>
      </c>
      <c r="J2141" s="50" t="n">
        <f aca="false">H2141*INDEX('Model Inputs &amp; Assumptions'!$D$40:$D$42,MATCH('Model Inputs &amp; Assumptions'!$L$32,'Model Inputs &amp; Assumptions'!$A$40:$A$42,0))*INDEX('Model Inputs &amp; Assumptions'!$H$40:$H$42,MATCH('Model Inputs &amp; Assumptions'!$L$32,'Model Inputs &amp; Assumptions'!$A$40:$A$42,0))</f>
        <v>696514.078107893</v>
      </c>
      <c r="K2141" s="49" t="n">
        <f aca="false">H2141*INDEX('Model Inputs &amp; Assumptions'!$G$40:$G$42,MATCH('Model Inputs &amp; Assumptions'!$L$32,'Model Inputs &amp; Assumptions'!$A$40:$A$42,0))*INDEX('Model Inputs &amp; Assumptions'!$H$40:$H$42,MATCH('Model Inputs &amp; Assumptions'!$L$32,'Model Inputs &amp; Assumptions'!$A$40:$A$42,0))</f>
        <v>14626.7956402657</v>
      </c>
      <c r="L2141" s="51" t="n">
        <f aca="false">IFERROR(K2141/I2141,0)</f>
        <v>1.16575295927544</v>
      </c>
      <c r="M2141" s="49" t="n">
        <f aca="false">IFERROR(I2141/H2141,0)</f>
        <v>97.2761845446929</v>
      </c>
      <c r="N2141" s="52" t="str">
        <f aca="false">'Model Inputs &amp; Assumptions'!$L$32</f>
        <v>PRD-SP01</v>
      </c>
      <c r="P2141" s="53" t="n">
        <v>-0.309134</v>
      </c>
      <c r="Q2141" s="53" t="n">
        <v>0.076458</v>
      </c>
      <c r="R2141" s="53" t="n">
        <v>-0.399237</v>
      </c>
      <c r="S2141" s="53" t="n">
        <v>-0.144518</v>
      </c>
    </row>
    <row r="2142" customFormat="false" ht="15" hidden="false" customHeight="false" outlineLevel="0" collapsed="false">
      <c r="A2142" s="43" t="n">
        <v>139</v>
      </c>
      <c r="B2142" s="44" t="str">
        <f aca="false">'Model Inputs &amp; Assumptions'!$B$32</f>
        <v>Trade Republic — In-App Display</v>
      </c>
      <c r="C2142" s="45" t="n">
        <f aca="false">ROUND(MAX(0,'Model Inputs &amp; Assumptions'!$S$32*EXP('Model Inputs &amp; Assumptions'!$T$32*P2142-'Model Inputs &amp; Assumptions'!$T$32^2/2)),0)</f>
        <v>1188284</v>
      </c>
      <c r="D2142" s="46" t="n">
        <f aca="false">MIN(1,'Model Inputs &amp; Assumptions'!$U$32*EXP('Model Inputs &amp; Assumptions'!$V$32*Q2142-'Model Inputs &amp; Assumptions'!$V$32^2/2))</f>
        <v>0</v>
      </c>
      <c r="E2142" s="45" t="n">
        <f aca="false">ROUND(C2142*D2142,0)</f>
        <v>0</v>
      </c>
      <c r="F2142" s="47" t="n">
        <f aca="false">MIN(1,'Model Inputs &amp; Assumptions'!$W$32*EXP('Model Inputs &amp; Assumptions'!$X$32*R2142-'Model Inputs &amp; Assumptions'!$X$32^2/2))</f>
        <v>0.00589900839708164</v>
      </c>
      <c r="G2142" s="45" t="n">
        <f aca="false">ROUND(C2142*F2142,0)</f>
        <v>7010</v>
      </c>
      <c r="H2142" s="48" t="n">
        <f aca="false">MAX(0,(C2142*'Model Inputs &amp; Assumptions'!$N$32+E2142*'Model Inputs &amp; Assumptions'!$O$32+G2142*'Model Inputs &amp; Assumptions'!$P$32)*EXP('Model Inputs &amp; Assumptions'!$Q$32*S2142-'Model Inputs &amp; Assumptions'!$Q$32^2/2))</f>
        <v>364.049421152259</v>
      </c>
      <c r="I2142" s="49" t="n">
        <f aca="false">IF('Model Inputs &amp; Assumptions'!$H$32="Fixed",'Model Inputs &amp; Assumptions'!$I$32*'Model Inputs &amp; Assumptions'!$K$32,IF('Model Inputs &amp; Assumptions'!$H$32="CPM",'Model Inputs &amp; Assumptions'!$I$32*'Model Inputs &amp; Assumptions'!$K$32*C2142/1000,IF('Model Inputs &amp; Assumptions'!$H$32="CPC",'Model Inputs &amp; Assumptions'!$I$32*'Model Inputs &amp; Assumptions'!$K$32*G2142,0)))</f>
        <v>14259.408</v>
      </c>
      <c r="J2142" s="50" t="n">
        <f aca="false">H2142*INDEX('Model Inputs &amp; Assumptions'!$D$40:$D$42,MATCH('Model Inputs &amp; Assumptions'!$L$32,'Model Inputs &amp; Assumptions'!$A$40:$A$42,0))*INDEX('Model Inputs &amp; Assumptions'!$H$40:$H$42,MATCH('Model Inputs &amp; Assumptions'!$L$32,'Model Inputs &amp; Assumptions'!$A$40:$A$42,0))</f>
        <v>1965866.8742222</v>
      </c>
      <c r="K2142" s="49" t="n">
        <f aca="false">H2142*INDEX('Model Inputs &amp; Assumptions'!$G$40:$G$42,MATCH('Model Inputs &amp; Assumptions'!$L$32,'Model Inputs &amp; Assumptions'!$A$40:$A$42,0))*INDEX('Model Inputs &amp; Assumptions'!$H$40:$H$42,MATCH('Model Inputs &amp; Assumptions'!$L$32,'Model Inputs &amp; Assumptions'!$A$40:$A$42,0))</f>
        <v>41283.2043586661</v>
      </c>
      <c r="L2142" s="51" t="n">
        <f aca="false">IFERROR(K2142/I2142,0)</f>
        <v>2.8951555603617</v>
      </c>
      <c r="M2142" s="49" t="n">
        <f aca="false">IFERROR(I2142/H2142,0)</f>
        <v>39.1688797495332</v>
      </c>
      <c r="N2142" s="52" t="str">
        <f aca="false">'Model Inputs &amp; Assumptions'!$L$32</f>
        <v>PRD-SP01</v>
      </c>
      <c r="P2142" s="53" t="n">
        <v>0.117296</v>
      </c>
      <c r="Q2142" s="53" t="n">
        <v>-0.672889</v>
      </c>
      <c r="R2142" s="53" t="n">
        <v>1.890071</v>
      </c>
      <c r="S2142" s="53" t="n">
        <v>0.651748</v>
      </c>
    </row>
    <row r="2143" customFormat="false" ht="15" hidden="false" customHeight="false" outlineLevel="0" collapsed="false">
      <c r="A2143" s="43" t="n">
        <v>140</v>
      </c>
      <c r="B2143" s="44" t="str">
        <f aca="false">'Model Inputs &amp; Assumptions'!$B$32</f>
        <v>Trade Republic — In-App Display</v>
      </c>
      <c r="C2143" s="45" t="n">
        <f aca="false">ROUND(MAX(0,'Model Inputs &amp; Assumptions'!$S$32*EXP('Model Inputs &amp; Assumptions'!$T$32*P2143-'Model Inputs &amp; Assumptions'!$T$32^2/2)),0)</f>
        <v>834582</v>
      </c>
      <c r="D2143" s="46" t="n">
        <f aca="false">MIN(1,'Model Inputs &amp; Assumptions'!$U$32*EXP('Model Inputs &amp; Assumptions'!$V$32*Q2143-'Model Inputs &amp; Assumptions'!$V$32^2/2))</f>
        <v>0</v>
      </c>
      <c r="E2143" s="45" t="n">
        <f aca="false">ROUND(C2143*D2143,0)</f>
        <v>0</v>
      </c>
      <c r="F2143" s="47" t="n">
        <f aca="false">MIN(1,'Model Inputs &amp; Assumptions'!$W$32*EXP('Model Inputs &amp; Assumptions'!$X$32*R2143-'Model Inputs &amp; Assumptions'!$X$32^2/2))</f>
        <v>0.00449956834344029</v>
      </c>
      <c r="G2143" s="45" t="n">
        <f aca="false">ROUND(C2143*F2143,0)</f>
        <v>3755</v>
      </c>
      <c r="H2143" s="48" t="n">
        <f aca="false">MAX(0,(C2143*'Model Inputs &amp; Assumptions'!$N$32+E2143*'Model Inputs &amp; Assumptions'!$O$32+G2143*'Model Inputs &amp; Assumptions'!$P$32)*EXP('Model Inputs &amp; Assumptions'!$Q$32*S2143-'Model Inputs &amp; Assumptions'!$Q$32^2/2))</f>
        <v>167.78658005263</v>
      </c>
      <c r="I2143" s="49" t="n">
        <f aca="false">IF('Model Inputs &amp; Assumptions'!$H$32="Fixed",'Model Inputs &amp; Assumptions'!$I$32*'Model Inputs &amp; Assumptions'!$K$32,IF('Model Inputs &amp; Assumptions'!$H$32="CPM",'Model Inputs &amp; Assumptions'!$I$32*'Model Inputs &amp; Assumptions'!$K$32*C2143/1000,IF('Model Inputs &amp; Assumptions'!$H$32="CPC",'Model Inputs &amp; Assumptions'!$I$32*'Model Inputs &amp; Assumptions'!$K$32*G2143,0)))</f>
        <v>10014.984</v>
      </c>
      <c r="J2143" s="50" t="n">
        <f aca="false">H2143*INDEX('Model Inputs &amp; Assumptions'!$D$40:$D$42,MATCH('Model Inputs &amp; Assumptions'!$L$32,'Model Inputs &amp; Assumptions'!$A$40:$A$42,0))*INDEX('Model Inputs &amp; Assumptions'!$H$40:$H$42,MATCH('Model Inputs &amp; Assumptions'!$L$32,'Model Inputs &amp; Assumptions'!$A$40:$A$42,0))</f>
        <v>906047.532284203</v>
      </c>
      <c r="K2143" s="49" t="n">
        <f aca="false">H2143*INDEX('Model Inputs &amp; Assumptions'!$G$40:$G$42,MATCH('Model Inputs &amp; Assumptions'!$L$32,'Model Inputs &amp; Assumptions'!$A$40:$A$42,0))*INDEX('Model Inputs &amp; Assumptions'!$H$40:$H$42,MATCH('Model Inputs &amp; Assumptions'!$L$32,'Model Inputs &amp; Assumptions'!$A$40:$A$42,0))</f>
        <v>19026.9981779683</v>
      </c>
      <c r="L2143" s="51" t="n">
        <f aca="false">IFERROR(K2143/I2143,0)</f>
        <v>1.89985307794483</v>
      </c>
      <c r="M2143" s="49" t="n">
        <f aca="false">IFERROR(I2143/H2143,0)</f>
        <v>59.6888261078959</v>
      </c>
      <c r="N2143" s="52" t="str">
        <f aca="false">'Model Inputs &amp; Assumptions'!$L$32</f>
        <v>PRD-SP01</v>
      </c>
      <c r="P2143" s="53" t="n">
        <v>-1.060488</v>
      </c>
      <c r="Q2143" s="53" t="n">
        <v>1.55801</v>
      </c>
      <c r="R2143" s="53" t="n">
        <v>0.987395</v>
      </c>
      <c r="S2143" s="53" t="n">
        <v>0.114793</v>
      </c>
    </row>
    <row r="2144" customFormat="false" ht="15" hidden="false" customHeight="false" outlineLevel="0" collapsed="false">
      <c r="A2144" s="43" t="n">
        <v>141</v>
      </c>
      <c r="B2144" s="44" t="str">
        <f aca="false">'Model Inputs &amp; Assumptions'!$B$32</f>
        <v>Trade Republic — In-App Display</v>
      </c>
      <c r="C2144" s="45" t="n">
        <f aca="false">ROUND(MAX(0,'Model Inputs &amp; Assumptions'!$S$32*EXP('Model Inputs &amp; Assumptions'!$T$32*P2144-'Model Inputs &amp; Assumptions'!$T$32^2/2)),0)</f>
        <v>972531</v>
      </c>
      <c r="D2144" s="46" t="n">
        <f aca="false">MIN(1,'Model Inputs &amp; Assumptions'!$U$32*EXP('Model Inputs &amp; Assumptions'!$V$32*Q2144-'Model Inputs &amp; Assumptions'!$V$32^2/2))</f>
        <v>0</v>
      </c>
      <c r="E2144" s="45" t="n">
        <f aca="false">ROUND(C2144*D2144,0)</f>
        <v>0</v>
      </c>
      <c r="F2144" s="47" t="n">
        <f aca="false">MIN(1,'Model Inputs &amp; Assumptions'!$W$32*EXP('Model Inputs &amp; Assumptions'!$X$32*R2144-'Model Inputs &amp; Assumptions'!$X$32^2/2))</f>
        <v>0.00268920757517142</v>
      </c>
      <c r="G2144" s="45" t="n">
        <f aca="false">ROUND(C2144*F2144,0)</f>
        <v>2615</v>
      </c>
      <c r="H2144" s="48" t="n">
        <f aca="false">MAX(0,(C2144*'Model Inputs &amp; Assumptions'!$N$32+E2144*'Model Inputs &amp; Assumptions'!$O$32+G2144*'Model Inputs &amp; Assumptions'!$P$32)*EXP('Model Inputs &amp; Assumptions'!$Q$32*S2144-'Model Inputs &amp; Assumptions'!$Q$32^2/2))</f>
        <v>115.902030231302</v>
      </c>
      <c r="I2144" s="49" t="n">
        <f aca="false">IF('Model Inputs &amp; Assumptions'!$H$32="Fixed",'Model Inputs &amp; Assumptions'!$I$32*'Model Inputs &amp; Assumptions'!$K$32,IF('Model Inputs &amp; Assumptions'!$H$32="CPM",'Model Inputs &amp; Assumptions'!$I$32*'Model Inputs &amp; Assumptions'!$K$32*C2144/1000,IF('Model Inputs &amp; Assumptions'!$H$32="CPC",'Model Inputs &amp; Assumptions'!$I$32*'Model Inputs &amp; Assumptions'!$K$32*G2144,0)))</f>
        <v>11670.372</v>
      </c>
      <c r="J2144" s="50" t="n">
        <f aca="false">H2144*INDEX('Model Inputs &amp; Assumptions'!$D$40:$D$42,MATCH('Model Inputs &amp; Assumptions'!$L$32,'Model Inputs &amp; Assumptions'!$A$40:$A$42,0))*INDEX('Model Inputs &amp; Assumptions'!$H$40:$H$42,MATCH('Model Inputs &amp; Assumptions'!$L$32,'Model Inputs &amp; Assumptions'!$A$40:$A$42,0))</f>
        <v>625870.963249028</v>
      </c>
      <c r="K2144" s="49" t="n">
        <f aca="false">H2144*INDEX('Model Inputs &amp; Assumptions'!$G$40:$G$42,MATCH('Model Inputs &amp; Assumptions'!$L$32,'Model Inputs &amp; Assumptions'!$A$40:$A$42,0))*INDEX('Model Inputs &amp; Assumptions'!$H$40:$H$42,MATCH('Model Inputs &amp; Assumptions'!$L$32,'Model Inputs &amp; Assumptions'!$A$40:$A$42,0))</f>
        <v>13143.2902282296</v>
      </c>
      <c r="L2144" s="51" t="n">
        <f aca="false">IFERROR(K2144/I2144,0)</f>
        <v>1.12621004953652</v>
      </c>
      <c r="M2144" s="49" t="n">
        <f aca="false">IFERROR(I2144/H2144,0)</f>
        <v>100.691696053209</v>
      </c>
      <c r="N2144" s="52" t="str">
        <f aca="false">'Model Inputs &amp; Assumptions'!$L$32</f>
        <v>PRD-SP01</v>
      </c>
      <c r="P2144" s="53" t="n">
        <v>-0.550583</v>
      </c>
      <c r="Q2144" s="53" t="n">
        <v>0.555044</v>
      </c>
      <c r="R2144" s="53" t="n">
        <v>-0.728388</v>
      </c>
      <c r="S2144" s="53" t="n">
        <v>0.085781</v>
      </c>
    </row>
    <row r="2145" customFormat="false" ht="15" hidden="false" customHeight="false" outlineLevel="0" collapsed="false">
      <c r="A2145" s="43" t="n">
        <v>142</v>
      </c>
      <c r="B2145" s="44" t="str">
        <f aca="false">'Model Inputs &amp; Assumptions'!$B$32</f>
        <v>Trade Republic — In-App Display</v>
      </c>
      <c r="C2145" s="45" t="n">
        <f aca="false">ROUND(MAX(0,'Model Inputs &amp; Assumptions'!$S$32*EXP('Model Inputs &amp; Assumptions'!$T$32*P2145-'Model Inputs &amp; Assumptions'!$T$32^2/2)),0)</f>
        <v>1087949</v>
      </c>
      <c r="D2145" s="46" t="n">
        <f aca="false">MIN(1,'Model Inputs &amp; Assumptions'!$U$32*EXP('Model Inputs &amp; Assumptions'!$V$32*Q2145-'Model Inputs &amp; Assumptions'!$V$32^2/2))</f>
        <v>0</v>
      </c>
      <c r="E2145" s="45" t="n">
        <f aca="false">ROUND(C2145*D2145,0)</f>
        <v>0</v>
      </c>
      <c r="F2145" s="47" t="n">
        <f aca="false">MIN(1,'Model Inputs &amp; Assumptions'!$W$32*EXP('Model Inputs &amp; Assumptions'!$X$32*R2145-'Model Inputs &amp; Assumptions'!$X$32^2/2))</f>
        <v>0.00326544604829486</v>
      </c>
      <c r="G2145" s="45" t="n">
        <f aca="false">ROUND(C2145*F2145,0)</f>
        <v>3553</v>
      </c>
      <c r="H2145" s="48" t="n">
        <f aca="false">MAX(0,(C2145*'Model Inputs &amp; Assumptions'!$N$32+E2145*'Model Inputs &amp; Assumptions'!$O$32+G2145*'Model Inputs &amp; Assumptions'!$P$32)*EXP('Model Inputs &amp; Assumptions'!$Q$32*S2145-'Model Inputs &amp; Assumptions'!$Q$32^2/2))</f>
        <v>246.306261440041</v>
      </c>
      <c r="I2145" s="49" t="n">
        <f aca="false">IF('Model Inputs &amp; Assumptions'!$H$32="Fixed",'Model Inputs &amp; Assumptions'!$I$32*'Model Inputs &amp; Assumptions'!$K$32,IF('Model Inputs &amp; Assumptions'!$H$32="CPM",'Model Inputs &amp; Assumptions'!$I$32*'Model Inputs &amp; Assumptions'!$K$32*C2145/1000,IF('Model Inputs &amp; Assumptions'!$H$32="CPC",'Model Inputs &amp; Assumptions'!$I$32*'Model Inputs &amp; Assumptions'!$K$32*G2145,0)))</f>
        <v>13055.388</v>
      </c>
      <c r="J2145" s="50" t="n">
        <f aca="false">H2145*INDEX('Model Inputs &amp; Assumptions'!$D$40:$D$42,MATCH('Model Inputs &amp; Assumptions'!$L$32,'Model Inputs &amp; Assumptions'!$A$40:$A$42,0))*INDEX('Model Inputs &amp; Assumptions'!$H$40:$H$42,MATCH('Model Inputs &amp; Assumptions'!$L$32,'Model Inputs &amp; Assumptions'!$A$40:$A$42,0))</f>
        <v>1330053.81177622</v>
      </c>
      <c r="K2145" s="49" t="n">
        <f aca="false">H2145*INDEX('Model Inputs &amp; Assumptions'!$G$40:$G$42,MATCH('Model Inputs &amp; Assumptions'!$L$32,'Model Inputs &amp; Assumptions'!$A$40:$A$42,0))*INDEX('Model Inputs &amp; Assumptions'!$H$40:$H$42,MATCH('Model Inputs &amp; Assumptions'!$L$32,'Model Inputs &amp; Assumptions'!$A$40:$A$42,0))</f>
        <v>27931.1300473007</v>
      </c>
      <c r="L2145" s="51" t="n">
        <f aca="false">IFERROR(K2145/I2145,0)</f>
        <v>2.13943316332695</v>
      </c>
      <c r="M2145" s="49" t="n">
        <f aca="false">IFERROR(I2145/H2145,0)</f>
        <v>53.0046939272719</v>
      </c>
      <c r="N2145" s="52" t="str">
        <f aca="false">'Model Inputs &amp; Assumptions'!$L$32</f>
        <v>PRD-SP01</v>
      </c>
      <c r="P2145" s="53" t="n">
        <v>-0.176757</v>
      </c>
      <c r="Q2145" s="53" t="n">
        <v>0.700537</v>
      </c>
      <c r="R2145" s="53" t="n">
        <v>-0.081222</v>
      </c>
      <c r="S2145" s="53" t="n">
        <v>1.683289</v>
      </c>
    </row>
    <row r="2146" customFormat="false" ht="15" hidden="false" customHeight="false" outlineLevel="0" collapsed="false">
      <c r="A2146" s="43" t="n">
        <v>143</v>
      </c>
      <c r="B2146" s="44" t="str">
        <f aca="false">'Model Inputs &amp; Assumptions'!$B$32</f>
        <v>Trade Republic — In-App Display</v>
      </c>
      <c r="C2146" s="45" t="n">
        <f aca="false">ROUND(MAX(0,'Model Inputs &amp; Assumptions'!$S$32*EXP('Model Inputs &amp; Assumptions'!$T$32*P2146-'Model Inputs &amp; Assumptions'!$T$32^2/2)),0)</f>
        <v>706294</v>
      </c>
      <c r="D2146" s="46" t="n">
        <f aca="false">MIN(1,'Model Inputs &amp; Assumptions'!$U$32*EXP('Model Inputs &amp; Assumptions'!$V$32*Q2146-'Model Inputs &amp; Assumptions'!$V$32^2/2))</f>
        <v>0</v>
      </c>
      <c r="E2146" s="45" t="n">
        <f aca="false">ROUND(C2146*D2146,0)</f>
        <v>0</v>
      </c>
      <c r="F2146" s="47" t="n">
        <f aca="false">MIN(1,'Model Inputs &amp; Assumptions'!$W$32*EXP('Model Inputs &amp; Assumptions'!$X$32*R2146-'Model Inputs &amp; Assumptions'!$X$32^2/2))</f>
        <v>0.00875348291409957</v>
      </c>
      <c r="G2146" s="45" t="n">
        <f aca="false">ROUND(C2146*F2146,0)</f>
        <v>6183</v>
      </c>
      <c r="H2146" s="48" t="n">
        <f aca="false">MAX(0,(C2146*'Model Inputs &amp; Assumptions'!$N$32+E2146*'Model Inputs &amp; Assumptions'!$O$32+G2146*'Model Inputs &amp; Assumptions'!$P$32)*EXP('Model Inputs &amp; Assumptions'!$Q$32*S2146-'Model Inputs &amp; Assumptions'!$Q$32^2/2))</f>
        <v>271.389343130773</v>
      </c>
      <c r="I2146" s="49" t="n">
        <f aca="false">IF('Model Inputs &amp; Assumptions'!$H$32="Fixed",'Model Inputs &amp; Assumptions'!$I$32*'Model Inputs &amp; Assumptions'!$K$32,IF('Model Inputs &amp; Assumptions'!$H$32="CPM",'Model Inputs &amp; Assumptions'!$I$32*'Model Inputs &amp; Assumptions'!$K$32*C2146/1000,IF('Model Inputs &amp; Assumptions'!$H$32="CPC",'Model Inputs &amp; Assumptions'!$I$32*'Model Inputs &amp; Assumptions'!$K$32*G2146,0)))</f>
        <v>8475.528</v>
      </c>
      <c r="J2146" s="50" t="n">
        <f aca="false">H2146*INDEX('Model Inputs &amp; Assumptions'!$D$40:$D$42,MATCH('Model Inputs &amp; Assumptions'!$L$32,'Model Inputs &amp; Assumptions'!$A$40:$A$42,0))*INDEX('Model Inputs &amp; Assumptions'!$H$40:$H$42,MATCH('Model Inputs &amp; Assumptions'!$L$32,'Model Inputs &amp; Assumptions'!$A$40:$A$42,0))</f>
        <v>1465502.45290617</v>
      </c>
      <c r="K2146" s="49" t="n">
        <f aca="false">H2146*INDEX('Model Inputs &amp; Assumptions'!$G$40:$G$42,MATCH('Model Inputs &amp; Assumptions'!$L$32,'Model Inputs &amp; Assumptions'!$A$40:$A$42,0))*INDEX('Model Inputs &amp; Assumptions'!$H$40:$H$42,MATCH('Model Inputs &amp; Assumptions'!$L$32,'Model Inputs &amp; Assumptions'!$A$40:$A$42,0))</f>
        <v>30775.5515110297</v>
      </c>
      <c r="L2146" s="51" t="n">
        <f aca="false">IFERROR(K2146/I2146,0)</f>
        <v>3.63110729042836</v>
      </c>
      <c r="M2146" s="49" t="n">
        <f aca="false">IFERROR(I2146/H2146,0)</f>
        <v>31.230143019713</v>
      </c>
      <c r="N2146" s="52" t="str">
        <f aca="false">'Model Inputs &amp; Assumptions'!$L$32</f>
        <v>PRD-SP01</v>
      </c>
      <c r="P2146" s="53" t="n">
        <v>-1.616818</v>
      </c>
      <c r="Q2146" s="53" t="n">
        <v>-2.175903</v>
      </c>
      <c r="R2146" s="53" t="n">
        <v>3.205629</v>
      </c>
      <c r="S2146" s="53" t="n">
        <v>0.05103</v>
      </c>
    </row>
    <row r="2147" customFormat="false" ht="15" hidden="false" customHeight="false" outlineLevel="0" collapsed="false">
      <c r="A2147" s="43" t="n">
        <v>144</v>
      </c>
      <c r="B2147" s="44" t="str">
        <f aca="false">'Model Inputs &amp; Assumptions'!$B$32</f>
        <v>Trade Republic — In-App Display</v>
      </c>
      <c r="C2147" s="45" t="n">
        <f aca="false">ROUND(MAX(0,'Model Inputs &amp; Assumptions'!$S$32*EXP('Model Inputs &amp; Assumptions'!$T$32*P2147-'Model Inputs &amp; Assumptions'!$T$32^2/2)),0)</f>
        <v>1925942</v>
      </c>
      <c r="D2147" s="46" t="n">
        <f aca="false">MIN(1,'Model Inputs &amp; Assumptions'!$U$32*EXP('Model Inputs &amp; Assumptions'!$V$32*Q2147-'Model Inputs &amp; Assumptions'!$V$32^2/2))</f>
        <v>0</v>
      </c>
      <c r="E2147" s="45" t="n">
        <f aca="false">ROUND(C2147*D2147,0)</f>
        <v>0</v>
      </c>
      <c r="F2147" s="47" t="n">
        <f aca="false">MIN(1,'Model Inputs &amp; Assumptions'!$W$32*EXP('Model Inputs &amp; Assumptions'!$X$32*R2147-'Model Inputs &amp; Assumptions'!$X$32^2/2))</f>
        <v>0.00401830739720647</v>
      </c>
      <c r="G2147" s="45" t="n">
        <f aca="false">ROUND(C2147*F2147,0)</f>
        <v>7739</v>
      </c>
      <c r="H2147" s="48" t="n">
        <f aca="false">MAX(0,(C2147*'Model Inputs &amp; Assumptions'!$N$32+E2147*'Model Inputs &amp; Assumptions'!$O$32+G2147*'Model Inputs &amp; Assumptions'!$P$32)*EXP('Model Inputs &amp; Assumptions'!$Q$32*S2147-'Model Inputs &amp; Assumptions'!$Q$32^2/2))</f>
        <v>232.542054922779</v>
      </c>
      <c r="I2147" s="49" t="n">
        <f aca="false">IF('Model Inputs &amp; Assumptions'!$H$32="Fixed",'Model Inputs &amp; Assumptions'!$I$32*'Model Inputs &amp; Assumptions'!$K$32,IF('Model Inputs &amp; Assumptions'!$H$32="CPM",'Model Inputs &amp; Assumptions'!$I$32*'Model Inputs &amp; Assumptions'!$K$32*C2147/1000,IF('Model Inputs &amp; Assumptions'!$H$32="CPC",'Model Inputs &amp; Assumptions'!$I$32*'Model Inputs &amp; Assumptions'!$K$32*G2147,0)))</f>
        <v>23111.304</v>
      </c>
      <c r="J2147" s="50" t="n">
        <f aca="false">H2147*INDEX('Model Inputs &amp; Assumptions'!$D$40:$D$42,MATCH('Model Inputs &amp; Assumptions'!$L$32,'Model Inputs &amp; Assumptions'!$A$40:$A$42,0))*INDEX('Model Inputs &amp; Assumptions'!$H$40:$H$42,MATCH('Model Inputs &amp; Assumptions'!$L$32,'Model Inputs &amp; Assumptions'!$A$40:$A$42,0))</f>
        <v>1255727.09658301</v>
      </c>
      <c r="K2147" s="49" t="n">
        <f aca="false">H2147*INDEX('Model Inputs &amp; Assumptions'!$G$40:$G$42,MATCH('Model Inputs &amp; Assumptions'!$L$32,'Model Inputs &amp; Assumptions'!$A$40:$A$42,0))*INDEX('Model Inputs &amp; Assumptions'!$H$40:$H$42,MATCH('Model Inputs &amp; Assumptions'!$L$32,'Model Inputs &amp; Assumptions'!$A$40:$A$42,0))</f>
        <v>26370.2690282431</v>
      </c>
      <c r="L2147" s="51" t="n">
        <f aca="false">IFERROR(K2147/I2147,0)</f>
        <v>1.14101173297029</v>
      </c>
      <c r="M2147" s="49" t="n">
        <f aca="false">IFERROR(I2147/H2147,0)</f>
        <v>99.3854810807217</v>
      </c>
      <c r="N2147" s="52" t="str">
        <f aca="false">'Model Inputs &amp; Assumptions'!$L$32</f>
        <v>PRD-SP01</v>
      </c>
      <c r="P2147" s="53" t="n">
        <v>1.726978</v>
      </c>
      <c r="Q2147" s="53" t="n">
        <v>0.527054</v>
      </c>
      <c r="R2147" s="53" t="n">
        <v>0.610326</v>
      </c>
      <c r="S2147" s="53" t="n">
        <v>-1.302371</v>
      </c>
    </row>
    <row r="2148" customFormat="false" ht="15" hidden="false" customHeight="false" outlineLevel="0" collapsed="false">
      <c r="A2148" s="43" t="n">
        <v>145</v>
      </c>
      <c r="B2148" s="44" t="str">
        <f aca="false">'Model Inputs &amp; Assumptions'!$B$32</f>
        <v>Trade Republic — In-App Display</v>
      </c>
      <c r="C2148" s="45" t="n">
        <f aca="false">ROUND(MAX(0,'Model Inputs &amp; Assumptions'!$S$32*EXP('Model Inputs &amp; Assumptions'!$T$32*P2148-'Model Inputs &amp; Assumptions'!$T$32^2/2)),0)</f>
        <v>1091922</v>
      </c>
      <c r="D2148" s="46" t="n">
        <f aca="false">MIN(1,'Model Inputs &amp; Assumptions'!$U$32*EXP('Model Inputs &amp; Assumptions'!$V$32*Q2148-'Model Inputs &amp; Assumptions'!$V$32^2/2))</f>
        <v>0</v>
      </c>
      <c r="E2148" s="45" t="n">
        <f aca="false">ROUND(C2148*D2148,0)</f>
        <v>0</v>
      </c>
      <c r="F2148" s="47" t="n">
        <f aca="false">MIN(1,'Model Inputs &amp; Assumptions'!$W$32*EXP('Model Inputs &amp; Assumptions'!$X$32*R2148-'Model Inputs &amp; Assumptions'!$X$32^2/2))</f>
        <v>0.00419988846294643</v>
      </c>
      <c r="G2148" s="45" t="n">
        <f aca="false">ROUND(C2148*F2148,0)</f>
        <v>4586</v>
      </c>
      <c r="H2148" s="48" t="n">
        <f aca="false">MAX(0,(C2148*'Model Inputs &amp; Assumptions'!$N$32+E2148*'Model Inputs &amp; Assumptions'!$O$32+G2148*'Model Inputs &amp; Assumptions'!$P$32)*EXP('Model Inputs &amp; Assumptions'!$Q$32*S2148-'Model Inputs &amp; Assumptions'!$Q$32^2/2))</f>
        <v>177.452171134177</v>
      </c>
      <c r="I2148" s="49" t="n">
        <f aca="false">IF('Model Inputs &amp; Assumptions'!$H$32="Fixed",'Model Inputs &amp; Assumptions'!$I$32*'Model Inputs &amp; Assumptions'!$K$32,IF('Model Inputs &amp; Assumptions'!$H$32="CPM",'Model Inputs &amp; Assumptions'!$I$32*'Model Inputs &amp; Assumptions'!$K$32*C2148/1000,IF('Model Inputs &amp; Assumptions'!$H$32="CPC",'Model Inputs &amp; Assumptions'!$I$32*'Model Inputs &amp; Assumptions'!$K$32*G2148,0)))</f>
        <v>13103.064</v>
      </c>
      <c r="J2148" s="50" t="n">
        <f aca="false">H2148*INDEX('Model Inputs &amp; Assumptions'!$D$40:$D$42,MATCH('Model Inputs &amp; Assumptions'!$L$32,'Model Inputs &amp; Assumptions'!$A$40:$A$42,0))*INDEX('Model Inputs &amp; Assumptions'!$H$40:$H$42,MATCH('Model Inputs &amp; Assumptions'!$L$32,'Model Inputs &amp; Assumptions'!$A$40:$A$42,0))</f>
        <v>958241.724124558</v>
      </c>
      <c r="K2148" s="49" t="n">
        <f aca="false">H2148*INDEX('Model Inputs &amp; Assumptions'!$G$40:$G$42,MATCH('Model Inputs &amp; Assumptions'!$L$32,'Model Inputs &amp; Assumptions'!$A$40:$A$42,0))*INDEX('Model Inputs &amp; Assumptions'!$H$40:$H$42,MATCH('Model Inputs &amp; Assumptions'!$L$32,'Model Inputs &amp; Assumptions'!$A$40:$A$42,0))</f>
        <v>20123.0762066157</v>
      </c>
      <c r="L2148" s="51" t="n">
        <f aca="false">IFERROR(K2148/I2148,0)</f>
        <v>1.53575348533867</v>
      </c>
      <c r="M2148" s="49" t="n">
        <f aca="false">IFERROR(I2148/H2148,0)</f>
        <v>73.839975674867</v>
      </c>
      <c r="N2148" s="52" t="str">
        <f aca="false">'Model Inputs &amp; Assumptions'!$L$32</f>
        <v>PRD-SP01</v>
      </c>
      <c r="P2148" s="53" t="n">
        <v>-0.164606</v>
      </c>
      <c r="Q2148" s="53" t="n">
        <v>-0.853832</v>
      </c>
      <c r="R2148" s="53" t="n">
        <v>0.75765</v>
      </c>
      <c r="S2148" s="53" t="n">
        <v>-0.399177</v>
      </c>
    </row>
    <row r="2149" customFormat="false" ht="15" hidden="false" customHeight="false" outlineLevel="0" collapsed="false">
      <c r="A2149" s="43" t="n">
        <v>146</v>
      </c>
      <c r="B2149" s="44" t="str">
        <f aca="false">'Model Inputs &amp; Assumptions'!$B$32</f>
        <v>Trade Republic — In-App Display</v>
      </c>
      <c r="C2149" s="45" t="n">
        <f aca="false">ROUND(MAX(0,'Model Inputs &amp; Assumptions'!$S$32*EXP('Model Inputs &amp; Assumptions'!$T$32*P2149-'Model Inputs &amp; Assumptions'!$T$32^2/2)),0)</f>
        <v>479587</v>
      </c>
      <c r="D2149" s="46" t="n">
        <f aca="false">MIN(1,'Model Inputs &amp; Assumptions'!$U$32*EXP('Model Inputs &amp; Assumptions'!$V$32*Q2149-'Model Inputs &amp; Assumptions'!$V$32^2/2))</f>
        <v>0</v>
      </c>
      <c r="E2149" s="45" t="n">
        <f aca="false">ROUND(C2149*D2149,0)</f>
        <v>0</v>
      </c>
      <c r="F2149" s="47" t="n">
        <f aca="false">MIN(1,'Model Inputs &amp; Assumptions'!$W$32*EXP('Model Inputs &amp; Assumptions'!$X$32*R2149-'Model Inputs &amp; Assumptions'!$X$32^2/2))</f>
        <v>0.0025446028035627</v>
      </c>
      <c r="G2149" s="45" t="n">
        <f aca="false">ROUND(C2149*F2149,0)</f>
        <v>1220</v>
      </c>
      <c r="H2149" s="48" t="n">
        <f aca="false">MAX(0,(C2149*'Model Inputs &amp; Assumptions'!$N$32+E2149*'Model Inputs &amp; Assumptions'!$O$32+G2149*'Model Inputs &amp; Assumptions'!$P$32)*EXP('Model Inputs &amp; Assumptions'!$Q$32*S2149-'Model Inputs &amp; Assumptions'!$Q$32^2/2))</f>
        <v>67.9921072451689</v>
      </c>
      <c r="I2149" s="49" t="n">
        <f aca="false">IF('Model Inputs &amp; Assumptions'!$H$32="Fixed",'Model Inputs &amp; Assumptions'!$I$32*'Model Inputs &amp; Assumptions'!$K$32,IF('Model Inputs &amp; Assumptions'!$H$32="CPM",'Model Inputs &amp; Assumptions'!$I$32*'Model Inputs &amp; Assumptions'!$K$32*C2149/1000,IF('Model Inputs &amp; Assumptions'!$H$32="CPC",'Model Inputs &amp; Assumptions'!$I$32*'Model Inputs &amp; Assumptions'!$K$32*G2149,0)))</f>
        <v>5755.044</v>
      </c>
      <c r="J2149" s="50" t="n">
        <f aca="false">H2149*INDEX('Model Inputs &amp; Assumptions'!$D$40:$D$42,MATCH('Model Inputs &amp; Assumptions'!$L$32,'Model Inputs &amp; Assumptions'!$A$40:$A$42,0))*INDEX('Model Inputs &amp; Assumptions'!$H$40:$H$42,MATCH('Model Inputs &amp; Assumptions'!$L$32,'Model Inputs &amp; Assumptions'!$A$40:$A$42,0))</f>
        <v>367157.379123912</v>
      </c>
      <c r="K2149" s="49" t="n">
        <f aca="false">H2149*INDEX('Model Inputs &amp; Assumptions'!$G$40:$G$42,MATCH('Model Inputs &amp; Assumptions'!$L$32,'Model Inputs &amp; Assumptions'!$A$40:$A$42,0))*INDEX('Model Inputs &amp; Assumptions'!$H$40:$H$42,MATCH('Model Inputs &amp; Assumptions'!$L$32,'Model Inputs &amp; Assumptions'!$A$40:$A$42,0))</f>
        <v>7710.30496160215</v>
      </c>
      <c r="L2149" s="51" t="n">
        <f aca="false">IFERROR(K2149/I2149,0)</f>
        <v>1.33974735234034</v>
      </c>
      <c r="M2149" s="49" t="n">
        <f aca="false">IFERROR(I2149/H2149,0)</f>
        <v>84.6428244862042</v>
      </c>
      <c r="N2149" s="52" t="str">
        <f aca="false">'Model Inputs &amp; Assumptions'!$L$32</f>
        <v>PRD-SP01</v>
      </c>
      <c r="P2149" s="53" t="n">
        <v>-2.907173</v>
      </c>
      <c r="Q2149" s="53" t="n">
        <v>-2.544078</v>
      </c>
      <c r="R2149" s="53" t="n">
        <v>-0.912628</v>
      </c>
      <c r="S2149" s="53" t="n">
        <v>0.903851</v>
      </c>
    </row>
    <row r="2150" customFormat="false" ht="15" hidden="false" customHeight="false" outlineLevel="0" collapsed="false">
      <c r="A2150" s="43" t="n">
        <v>147</v>
      </c>
      <c r="B2150" s="44" t="str">
        <f aca="false">'Model Inputs &amp; Assumptions'!$B$32</f>
        <v>Trade Republic — In-App Display</v>
      </c>
      <c r="C2150" s="45" t="n">
        <f aca="false">ROUND(MAX(0,'Model Inputs &amp; Assumptions'!$S$32*EXP('Model Inputs &amp; Assumptions'!$T$32*P2150-'Model Inputs &amp; Assumptions'!$T$32^2/2)),0)</f>
        <v>1168783</v>
      </c>
      <c r="D2150" s="46" t="n">
        <f aca="false">MIN(1,'Model Inputs &amp; Assumptions'!$U$32*EXP('Model Inputs &amp; Assumptions'!$V$32*Q2150-'Model Inputs &amp; Assumptions'!$V$32^2/2))</f>
        <v>0</v>
      </c>
      <c r="E2150" s="45" t="n">
        <f aca="false">ROUND(C2150*D2150,0)</f>
        <v>0</v>
      </c>
      <c r="F2150" s="47" t="n">
        <f aca="false">MIN(1,'Model Inputs &amp; Assumptions'!$W$32*EXP('Model Inputs &amp; Assumptions'!$X$32*R2150-'Model Inputs &amp; Assumptions'!$X$32^2/2))</f>
        <v>0.00368581389578547</v>
      </c>
      <c r="G2150" s="45" t="n">
        <f aca="false">ROUND(C2150*F2150,0)</f>
        <v>4308</v>
      </c>
      <c r="H2150" s="48" t="n">
        <f aca="false">MAX(0,(C2150*'Model Inputs &amp; Assumptions'!$N$32+E2150*'Model Inputs &amp; Assumptions'!$O$32+G2150*'Model Inputs &amp; Assumptions'!$P$32)*EXP('Model Inputs &amp; Assumptions'!$Q$32*S2150-'Model Inputs &amp; Assumptions'!$Q$32^2/2))</f>
        <v>254.34859034424</v>
      </c>
      <c r="I2150" s="49" t="n">
        <f aca="false">IF('Model Inputs &amp; Assumptions'!$H$32="Fixed",'Model Inputs &amp; Assumptions'!$I$32*'Model Inputs &amp; Assumptions'!$K$32,IF('Model Inputs &amp; Assumptions'!$H$32="CPM",'Model Inputs &amp; Assumptions'!$I$32*'Model Inputs &amp; Assumptions'!$K$32*C2150/1000,IF('Model Inputs &amp; Assumptions'!$H$32="CPC",'Model Inputs &amp; Assumptions'!$I$32*'Model Inputs &amp; Assumptions'!$K$32*G2150,0)))</f>
        <v>14025.396</v>
      </c>
      <c r="J2150" s="50" t="n">
        <f aca="false">H2150*INDEX('Model Inputs &amp; Assumptions'!$D$40:$D$42,MATCH('Model Inputs &amp; Assumptions'!$L$32,'Model Inputs &amp; Assumptions'!$A$40:$A$42,0))*INDEX('Model Inputs &amp; Assumptions'!$H$40:$H$42,MATCH('Model Inputs &amp; Assumptions'!$L$32,'Model Inputs &amp; Assumptions'!$A$40:$A$42,0))</f>
        <v>1373482.38785889</v>
      </c>
      <c r="K2150" s="49" t="n">
        <f aca="false">H2150*INDEX('Model Inputs &amp; Assumptions'!$G$40:$G$42,MATCH('Model Inputs &amp; Assumptions'!$L$32,'Model Inputs &amp; Assumptions'!$A$40:$A$42,0))*INDEX('Model Inputs &amp; Assumptions'!$H$40:$H$42,MATCH('Model Inputs &amp; Assumptions'!$L$32,'Model Inputs &amp; Assumptions'!$A$40:$A$42,0))</f>
        <v>28843.1301450368</v>
      </c>
      <c r="L2150" s="51" t="n">
        <f aca="false">IFERROR(K2150/I2150,0)</f>
        <v>2.05649310329896</v>
      </c>
      <c r="M2150" s="49" t="n">
        <f aca="false">IFERROR(I2150/H2150,0)</f>
        <v>55.1424168737</v>
      </c>
      <c r="N2150" s="52" t="str">
        <f aca="false">'Model Inputs &amp; Assumptions'!$L$32</f>
        <v>PRD-SP01</v>
      </c>
      <c r="P2150" s="53" t="n">
        <v>0.062137</v>
      </c>
      <c r="Q2150" s="53" t="n">
        <v>0.173882</v>
      </c>
      <c r="R2150" s="53" t="n">
        <v>0.322428</v>
      </c>
      <c r="S2150" s="53" t="n">
        <v>1.109891</v>
      </c>
    </row>
    <row r="2151" customFormat="false" ht="15" hidden="false" customHeight="false" outlineLevel="0" collapsed="false">
      <c r="A2151" s="43" t="n">
        <v>148</v>
      </c>
      <c r="B2151" s="44" t="str">
        <f aca="false">'Model Inputs &amp; Assumptions'!$B$32</f>
        <v>Trade Republic — In-App Display</v>
      </c>
      <c r="C2151" s="45" t="n">
        <f aca="false">ROUND(MAX(0,'Model Inputs &amp; Assumptions'!$S$32*EXP('Model Inputs &amp; Assumptions'!$T$32*P2151-'Model Inputs &amp; Assumptions'!$T$32^2/2)),0)</f>
        <v>861710</v>
      </c>
      <c r="D2151" s="46" t="n">
        <f aca="false">MIN(1,'Model Inputs &amp; Assumptions'!$U$32*EXP('Model Inputs &amp; Assumptions'!$V$32*Q2151-'Model Inputs &amp; Assumptions'!$V$32^2/2))</f>
        <v>0</v>
      </c>
      <c r="E2151" s="45" t="n">
        <f aca="false">ROUND(C2151*D2151,0)</f>
        <v>0</v>
      </c>
      <c r="F2151" s="47" t="n">
        <f aca="false">MIN(1,'Model Inputs &amp; Assumptions'!$W$32*EXP('Model Inputs &amp; Assumptions'!$X$32*R2151-'Model Inputs &amp; Assumptions'!$X$32^2/2))</f>
        <v>0.00371891503503208</v>
      </c>
      <c r="G2151" s="45" t="n">
        <f aca="false">ROUND(C2151*F2151,0)</f>
        <v>3205</v>
      </c>
      <c r="H2151" s="48" t="n">
        <f aca="false">MAX(0,(C2151*'Model Inputs &amp; Assumptions'!$N$32+E2151*'Model Inputs &amp; Assumptions'!$O$32+G2151*'Model Inputs &amp; Assumptions'!$P$32)*EXP('Model Inputs &amp; Assumptions'!$Q$32*S2151-'Model Inputs &amp; Assumptions'!$Q$32^2/2))</f>
        <v>248.973319505401</v>
      </c>
      <c r="I2151" s="49" t="n">
        <f aca="false">IF('Model Inputs &amp; Assumptions'!$H$32="Fixed",'Model Inputs &amp; Assumptions'!$I$32*'Model Inputs &amp; Assumptions'!$K$32,IF('Model Inputs &amp; Assumptions'!$H$32="CPM",'Model Inputs &amp; Assumptions'!$I$32*'Model Inputs &amp; Assumptions'!$K$32*C2151/1000,IF('Model Inputs &amp; Assumptions'!$H$32="CPC",'Model Inputs &amp; Assumptions'!$I$32*'Model Inputs &amp; Assumptions'!$K$32*G2151,0)))</f>
        <v>10340.52</v>
      </c>
      <c r="J2151" s="50" t="n">
        <f aca="false">H2151*INDEX('Model Inputs &amp; Assumptions'!$D$40:$D$42,MATCH('Model Inputs &amp; Assumptions'!$L$32,'Model Inputs &amp; Assumptions'!$A$40:$A$42,0))*INDEX('Model Inputs &amp; Assumptions'!$H$40:$H$42,MATCH('Model Inputs &amp; Assumptions'!$L$32,'Model Inputs &amp; Assumptions'!$A$40:$A$42,0))</f>
        <v>1344455.92532916</v>
      </c>
      <c r="K2151" s="49" t="n">
        <f aca="false">H2151*INDEX('Model Inputs &amp; Assumptions'!$G$40:$G$42,MATCH('Model Inputs &amp; Assumptions'!$L$32,'Model Inputs &amp; Assumptions'!$A$40:$A$42,0))*INDEX('Model Inputs &amp; Assumptions'!$H$40:$H$42,MATCH('Model Inputs &amp; Assumptions'!$L$32,'Model Inputs &amp; Assumptions'!$A$40:$A$42,0))</f>
        <v>28233.5744319124</v>
      </c>
      <c r="L2151" s="51" t="n">
        <f aca="false">IFERROR(K2151/I2151,0)</f>
        <v>2.73038245967441</v>
      </c>
      <c r="M2151" s="49" t="n">
        <f aca="false">IFERROR(I2151/H2151,0)</f>
        <v>41.5326430179026</v>
      </c>
      <c r="N2151" s="52" t="str">
        <f aca="false">'Model Inputs &amp; Assumptions'!$L$32</f>
        <v>PRD-SP01</v>
      </c>
      <c r="P2151" s="53" t="n">
        <v>-0.953859</v>
      </c>
      <c r="Q2151" s="53" t="n">
        <v>-1.139826</v>
      </c>
      <c r="R2151" s="53" t="n">
        <v>0.35223</v>
      </c>
      <c r="S2151" s="53" t="n">
        <v>2.089897</v>
      </c>
    </row>
    <row r="2152" customFormat="false" ht="15" hidden="false" customHeight="false" outlineLevel="0" collapsed="false">
      <c r="A2152" s="43" t="n">
        <v>149</v>
      </c>
      <c r="B2152" s="44" t="str">
        <f aca="false">'Model Inputs &amp; Assumptions'!$B$32</f>
        <v>Trade Republic — In-App Display</v>
      </c>
      <c r="C2152" s="45" t="n">
        <f aca="false">ROUND(MAX(0,'Model Inputs &amp; Assumptions'!$S$32*EXP('Model Inputs &amp; Assumptions'!$T$32*P2152-'Model Inputs &amp; Assumptions'!$T$32^2/2)),0)</f>
        <v>1064749</v>
      </c>
      <c r="D2152" s="46" t="n">
        <f aca="false">MIN(1,'Model Inputs &amp; Assumptions'!$U$32*EXP('Model Inputs &amp; Assumptions'!$V$32*Q2152-'Model Inputs &amp; Assumptions'!$V$32^2/2))</f>
        <v>0</v>
      </c>
      <c r="E2152" s="45" t="n">
        <f aca="false">ROUND(C2152*D2152,0)</f>
        <v>0</v>
      </c>
      <c r="F2152" s="47" t="n">
        <f aca="false">MIN(1,'Model Inputs &amp; Assumptions'!$W$32*EXP('Model Inputs &amp; Assumptions'!$X$32*R2152-'Model Inputs &amp; Assumptions'!$X$32^2/2))</f>
        <v>0.00433632349656337</v>
      </c>
      <c r="G2152" s="45" t="n">
        <f aca="false">ROUND(C2152*F2152,0)</f>
        <v>4617</v>
      </c>
      <c r="H2152" s="48" t="n">
        <f aca="false">MAX(0,(C2152*'Model Inputs &amp; Assumptions'!$N$32+E2152*'Model Inputs &amp; Assumptions'!$O$32+G2152*'Model Inputs &amp; Assumptions'!$P$32)*EXP('Model Inputs &amp; Assumptions'!$Q$32*S2152-'Model Inputs &amp; Assumptions'!$Q$32^2/2))</f>
        <v>228.624288196408</v>
      </c>
      <c r="I2152" s="49" t="n">
        <f aca="false">IF('Model Inputs &amp; Assumptions'!$H$32="Fixed",'Model Inputs &amp; Assumptions'!$I$32*'Model Inputs &amp; Assumptions'!$K$32,IF('Model Inputs &amp; Assumptions'!$H$32="CPM",'Model Inputs &amp; Assumptions'!$I$32*'Model Inputs &amp; Assumptions'!$K$32*C2152/1000,IF('Model Inputs &amp; Assumptions'!$H$32="CPC",'Model Inputs &amp; Assumptions'!$I$32*'Model Inputs &amp; Assumptions'!$K$32*G2152,0)))</f>
        <v>12776.988</v>
      </c>
      <c r="J2152" s="50" t="n">
        <f aca="false">H2152*INDEX('Model Inputs &amp; Assumptions'!$D$40:$D$42,MATCH('Model Inputs &amp; Assumptions'!$L$32,'Model Inputs &amp; Assumptions'!$A$40:$A$42,0))*INDEX('Model Inputs &amp; Assumptions'!$H$40:$H$42,MATCH('Model Inputs &amp; Assumptions'!$L$32,'Model Inputs &amp; Assumptions'!$A$40:$A$42,0))</f>
        <v>1234571.1562606</v>
      </c>
      <c r="K2152" s="49" t="n">
        <f aca="false">H2152*INDEX('Model Inputs &amp; Assumptions'!$G$40:$G$42,MATCH('Model Inputs &amp; Assumptions'!$L$32,'Model Inputs &amp; Assumptions'!$A$40:$A$42,0))*INDEX('Model Inputs &amp; Assumptions'!$H$40:$H$42,MATCH('Model Inputs &amp; Assumptions'!$L$32,'Model Inputs &amp; Assumptions'!$A$40:$A$42,0))</f>
        <v>25925.9942814726</v>
      </c>
      <c r="L2152" s="51" t="n">
        <f aca="false">IFERROR(K2152/I2152,0)</f>
        <v>2.02911627384111</v>
      </c>
      <c r="M2152" s="49" t="n">
        <f aca="false">IFERROR(I2152/H2152,0)</f>
        <v>55.8863981635385</v>
      </c>
      <c r="N2152" s="52" t="str">
        <f aca="false">'Model Inputs &amp; Assumptions'!$L$32</f>
        <v>PRD-SP01</v>
      </c>
      <c r="P2152" s="53" t="n">
        <v>-0.248608</v>
      </c>
      <c r="Q2152" s="53" t="n">
        <v>1.176889</v>
      </c>
      <c r="R2152" s="53" t="n">
        <v>0.864213</v>
      </c>
      <c r="S2152" s="53" t="n">
        <v>0.481687</v>
      </c>
    </row>
    <row r="2153" customFormat="false" ht="15" hidden="false" customHeight="false" outlineLevel="0" collapsed="false">
      <c r="A2153" s="43" t="n">
        <v>150</v>
      </c>
      <c r="B2153" s="44" t="str">
        <f aca="false">'Model Inputs &amp; Assumptions'!$B$32</f>
        <v>Trade Republic — In-App Display</v>
      </c>
      <c r="C2153" s="45" t="n">
        <f aca="false">ROUND(MAX(0,'Model Inputs &amp; Assumptions'!$S$32*EXP('Model Inputs &amp; Assumptions'!$T$32*P2153-'Model Inputs &amp; Assumptions'!$T$32^2/2)),0)</f>
        <v>1373429</v>
      </c>
      <c r="D2153" s="46" t="n">
        <f aca="false">MIN(1,'Model Inputs &amp; Assumptions'!$U$32*EXP('Model Inputs &amp; Assumptions'!$V$32*Q2153-'Model Inputs &amp; Assumptions'!$V$32^2/2))</f>
        <v>0</v>
      </c>
      <c r="E2153" s="45" t="n">
        <f aca="false">ROUND(C2153*D2153,0)</f>
        <v>0</v>
      </c>
      <c r="F2153" s="47" t="n">
        <f aca="false">MIN(1,'Model Inputs &amp; Assumptions'!$W$32*EXP('Model Inputs &amp; Assumptions'!$X$32*R2153-'Model Inputs &amp; Assumptions'!$X$32^2/2))</f>
        <v>0.00248139839073504</v>
      </c>
      <c r="G2153" s="45" t="n">
        <f aca="false">ROUND(C2153*F2153,0)</f>
        <v>3408</v>
      </c>
      <c r="H2153" s="48" t="n">
        <f aca="false">MAX(0,(C2153*'Model Inputs &amp; Assumptions'!$N$32+E2153*'Model Inputs &amp; Assumptions'!$O$32+G2153*'Model Inputs &amp; Assumptions'!$P$32)*EXP('Model Inputs &amp; Assumptions'!$Q$32*S2153-'Model Inputs &amp; Assumptions'!$Q$32^2/2))</f>
        <v>133.020766979717</v>
      </c>
      <c r="I2153" s="49" t="n">
        <f aca="false">IF('Model Inputs &amp; Assumptions'!$H$32="Fixed",'Model Inputs &amp; Assumptions'!$I$32*'Model Inputs &amp; Assumptions'!$K$32,IF('Model Inputs &amp; Assumptions'!$H$32="CPM",'Model Inputs &amp; Assumptions'!$I$32*'Model Inputs &amp; Assumptions'!$K$32*C2153/1000,IF('Model Inputs &amp; Assumptions'!$H$32="CPC",'Model Inputs &amp; Assumptions'!$I$32*'Model Inputs &amp; Assumptions'!$K$32*G2153,0)))</f>
        <v>16481.148</v>
      </c>
      <c r="J2153" s="50" t="n">
        <f aca="false">H2153*INDEX('Model Inputs &amp; Assumptions'!$D$40:$D$42,MATCH('Model Inputs &amp; Assumptions'!$L$32,'Model Inputs &amp; Assumptions'!$A$40:$A$42,0))*INDEX('Model Inputs &amp; Assumptions'!$H$40:$H$42,MATCH('Model Inputs &amp; Assumptions'!$L$32,'Model Inputs &amp; Assumptions'!$A$40:$A$42,0))</f>
        <v>718312.141690471</v>
      </c>
      <c r="K2153" s="49" t="n">
        <f aca="false">H2153*INDEX('Model Inputs &amp; Assumptions'!$G$40:$G$42,MATCH('Model Inputs &amp; Assumptions'!$L$32,'Model Inputs &amp; Assumptions'!$A$40:$A$42,0))*INDEX('Model Inputs &amp; Assumptions'!$H$40:$H$42,MATCH('Model Inputs &amp; Assumptions'!$L$32,'Model Inputs &amp; Assumptions'!$A$40:$A$42,0))</f>
        <v>15084.5549754999</v>
      </c>
      <c r="L2153" s="51" t="n">
        <f aca="false">IFERROR(K2153/I2153,0)</f>
        <v>0.915261180562173</v>
      </c>
      <c r="M2153" s="49" t="n">
        <f aca="false">IFERROR(I2153/H2153,0)</f>
        <v>123.899060080694</v>
      </c>
      <c r="N2153" s="52" t="str">
        <f aca="false">'Model Inputs &amp; Assumptions'!$L$32</f>
        <v>PRD-SP01</v>
      </c>
      <c r="P2153" s="53" t="n">
        <v>0.599963</v>
      </c>
      <c r="Q2153" s="53" t="n">
        <v>1.234223</v>
      </c>
      <c r="R2153" s="53" t="n">
        <v>-0.996469</v>
      </c>
      <c r="S2153" s="53" t="n">
        <v>-0.368153</v>
      </c>
    </row>
    <row r="2154" customFormat="false" ht="15" hidden="false" customHeight="false" outlineLevel="0" collapsed="false">
      <c r="A2154" s="43" t="n">
        <v>151</v>
      </c>
      <c r="B2154" s="44" t="str">
        <f aca="false">'Model Inputs &amp; Assumptions'!$B$32</f>
        <v>Trade Republic — In-App Display</v>
      </c>
      <c r="C2154" s="45" t="n">
        <f aca="false">ROUND(MAX(0,'Model Inputs &amp; Assumptions'!$S$32*EXP('Model Inputs &amp; Assumptions'!$T$32*P2154-'Model Inputs &amp; Assumptions'!$T$32^2/2)),0)</f>
        <v>1466301</v>
      </c>
      <c r="D2154" s="46" t="n">
        <f aca="false">MIN(1,'Model Inputs &amp; Assumptions'!$U$32*EXP('Model Inputs &amp; Assumptions'!$V$32*Q2154-'Model Inputs &amp; Assumptions'!$V$32^2/2))</f>
        <v>0</v>
      </c>
      <c r="E2154" s="45" t="n">
        <f aca="false">ROUND(C2154*D2154,0)</f>
        <v>0</v>
      </c>
      <c r="F2154" s="47" t="n">
        <f aca="false">MIN(1,'Model Inputs &amp; Assumptions'!$W$32*EXP('Model Inputs &amp; Assumptions'!$X$32*R2154-'Model Inputs &amp; Assumptions'!$X$32^2/2))</f>
        <v>0.00208423080453519</v>
      </c>
      <c r="G2154" s="45" t="n">
        <f aca="false">ROUND(C2154*F2154,0)</f>
        <v>3056</v>
      </c>
      <c r="H2154" s="48" t="n">
        <f aca="false">MAX(0,(C2154*'Model Inputs &amp; Assumptions'!$N$32+E2154*'Model Inputs &amp; Assumptions'!$O$32+G2154*'Model Inputs &amp; Assumptions'!$P$32)*EXP('Model Inputs &amp; Assumptions'!$Q$32*S2154-'Model Inputs &amp; Assumptions'!$Q$32^2/2))</f>
        <v>111.286237803786</v>
      </c>
      <c r="I2154" s="49" t="n">
        <f aca="false">IF('Model Inputs &amp; Assumptions'!$H$32="Fixed",'Model Inputs &amp; Assumptions'!$I$32*'Model Inputs &amp; Assumptions'!$K$32,IF('Model Inputs &amp; Assumptions'!$H$32="CPM",'Model Inputs &amp; Assumptions'!$I$32*'Model Inputs &amp; Assumptions'!$K$32*C2154/1000,IF('Model Inputs &amp; Assumptions'!$H$32="CPC",'Model Inputs &amp; Assumptions'!$I$32*'Model Inputs &amp; Assumptions'!$K$32*G2154,0)))</f>
        <v>17595.612</v>
      </c>
      <c r="J2154" s="50" t="n">
        <f aca="false">H2154*INDEX('Model Inputs &amp; Assumptions'!$D$40:$D$42,MATCH('Model Inputs &amp; Assumptions'!$L$32,'Model Inputs &amp; Assumptions'!$A$40:$A$42,0))*INDEX('Model Inputs &amp; Assumptions'!$H$40:$H$42,MATCH('Model Inputs &amp; Assumptions'!$L$32,'Model Inputs &amp; Assumptions'!$A$40:$A$42,0))</f>
        <v>600945.684140446</v>
      </c>
      <c r="K2154" s="49" t="n">
        <f aca="false">H2154*INDEX('Model Inputs &amp; Assumptions'!$G$40:$G$42,MATCH('Model Inputs &amp; Assumptions'!$L$32,'Model Inputs &amp; Assumptions'!$A$40:$A$42,0))*INDEX('Model Inputs &amp; Assumptions'!$H$40:$H$42,MATCH('Model Inputs &amp; Assumptions'!$L$32,'Model Inputs &amp; Assumptions'!$A$40:$A$42,0))</f>
        <v>12619.8593669494</v>
      </c>
      <c r="L2154" s="51" t="n">
        <f aca="false">IFERROR(K2154/I2154,0)</f>
        <v>0.717216279089887</v>
      </c>
      <c r="M2154" s="49" t="n">
        <f aca="false">IFERROR(I2154/H2154,0)</f>
        <v>158.111302414802</v>
      </c>
      <c r="N2154" s="52" t="str">
        <f aca="false">'Model Inputs &amp; Assumptions'!$L$32</f>
        <v>PRD-SP01</v>
      </c>
      <c r="P2154" s="53" t="n">
        <v>0.818071</v>
      </c>
      <c r="Q2154" s="53" t="n">
        <v>-2.149103</v>
      </c>
      <c r="R2154" s="53" t="n">
        <v>-1.577877</v>
      </c>
      <c r="S2154" s="53" t="n">
        <v>-0.615942</v>
      </c>
    </row>
    <row r="2155" customFormat="false" ht="15" hidden="false" customHeight="false" outlineLevel="0" collapsed="false">
      <c r="A2155" s="43" t="n">
        <v>152</v>
      </c>
      <c r="B2155" s="44" t="str">
        <f aca="false">'Model Inputs &amp; Assumptions'!$B$32</f>
        <v>Trade Republic — In-App Display</v>
      </c>
      <c r="C2155" s="45" t="n">
        <f aca="false">ROUND(MAX(0,'Model Inputs &amp; Assumptions'!$S$32*EXP('Model Inputs &amp; Assumptions'!$T$32*P2155-'Model Inputs &amp; Assumptions'!$T$32^2/2)),0)</f>
        <v>909084</v>
      </c>
      <c r="D2155" s="46" t="n">
        <f aca="false">MIN(1,'Model Inputs &amp; Assumptions'!$U$32*EXP('Model Inputs &amp; Assumptions'!$V$32*Q2155-'Model Inputs &amp; Assumptions'!$V$32^2/2))</f>
        <v>0</v>
      </c>
      <c r="E2155" s="45" t="n">
        <f aca="false">ROUND(C2155*D2155,0)</f>
        <v>0</v>
      </c>
      <c r="F2155" s="47" t="n">
        <f aca="false">MIN(1,'Model Inputs &amp; Assumptions'!$W$32*EXP('Model Inputs &amp; Assumptions'!$X$32*R2155-'Model Inputs &amp; Assumptions'!$X$32^2/2))</f>
        <v>0.00197590212950313</v>
      </c>
      <c r="G2155" s="45" t="n">
        <f aca="false">ROUND(C2155*F2155,0)</f>
        <v>1796</v>
      </c>
      <c r="H2155" s="48" t="n">
        <f aca="false">MAX(0,(C2155*'Model Inputs &amp; Assumptions'!$N$32+E2155*'Model Inputs &amp; Assumptions'!$O$32+G2155*'Model Inputs &amp; Assumptions'!$P$32)*EXP('Model Inputs &amp; Assumptions'!$Q$32*S2155-'Model Inputs &amp; Assumptions'!$Q$32^2/2))</f>
        <v>93.2662904378116</v>
      </c>
      <c r="I2155" s="49" t="n">
        <f aca="false">IF('Model Inputs &amp; Assumptions'!$H$32="Fixed",'Model Inputs &amp; Assumptions'!$I$32*'Model Inputs &amp; Assumptions'!$K$32,IF('Model Inputs &amp; Assumptions'!$H$32="CPM",'Model Inputs &amp; Assumptions'!$I$32*'Model Inputs &amp; Assumptions'!$K$32*C2155/1000,IF('Model Inputs &amp; Assumptions'!$H$32="CPC",'Model Inputs &amp; Assumptions'!$I$32*'Model Inputs &amp; Assumptions'!$K$32*G2155,0)))</f>
        <v>10909.008</v>
      </c>
      <c r="J2155" s="50" t="n">
        <f aca="false">H2155*INDEX('Model Inputs &amp; Assumptions'!$D$40:$D$42,MATCH('Model Inputs &amp; Assumptions'!$L$32,'Model Inputs &amp; Assumptions'!$A$40:$A$42,0))*INDEX('Model Inputs &amp; Assumptions'!$H$40:$H$42,MATCH('Model Inputs &amp; Assumptions'!$L$32,'Model Inputs &amp; Assumptions'!$A$40:$A$42,0))</f>
        <v>503637.968364183</v>
      </c>
      <c r="K2155" s="49" t="n">
        <f aca="false">H2155*INDEX('Model Inputs &amp; Assumptions'!$G$40:$G$42,MATCH('Model Inputs &amp; Assumptions'!$L$32,'Model Inputs &amp; Assumptions'!$A$40:$A$42,0))*INDEX('Model Inputs &amp; Assumptions'!$H$40:$H$42,MATCH('Model Inputs &amp; Assumptions'!$L$32,'Model Inputs &amp; Assumptions'!$A$40:$A$42,0))</f>
        <v>10576.3973356478</v>
      </c>
      <c r="L2155" s="51" t="n">
        <f aca="false">IFERROR(K2155/I2155,0)</f>
        <v>0.969510457380528</v>
      </c>
      <c r="M2155" s="49" t="n">
        <f aca="false">IFERROR(I2155/H2155,0)</f>
        <v>116.966247384675</v>
      </c>
      <c r="N2155" s="52" t="str">
        <f aca="false">'Model Inputs &amp; Assumptions'!$L$32</f>
        <v>PRD-SP01</v>
      </c>
      <c r="P2155" s="53" t="n">
        <v>-0.775464</v>
      </c>
      <c r="Q2155" s="53" t="n">
        <v>0.075044</v>
      </c>
      <c r="R2155" s="53" t="n">
        <v>-1.755793</v>
      </c>
      <c r="S2155" s="53" t="n">
        <v>0.651551</v>
      </c>
    </row>
    <row r="2156" customFormat="false" ht="15" hidden="false" customHeight="false" outlineLevel="0" collapsed="false">
      <c r="A2156" s="43" t="n">
        <v>153</v>
      </c>
      <c r="B2156" s="44" t="str">
        <f aca="false">'Model Inputs &amp; Assumptions'!$B$32</f>
        <v>Trade Republic — In-App Display</v>
      </c>
      <c r="C2156" s="45" t="n">
        <f aca="false">ROUND(MAX(0,'Model Inputs &amp; Assumptions'!$S$32*EXP('Model Inputs &amp; Assumptions'!$T$32*P2156-'Model Inputs &amp; Assumptions'!$T$32^2/2)),0)</f>
        <v>1375501</v>
      </c>
      <c r="D2156" s="46" t="n">
        <f aca="false">MIN(1,'Model Inputs &amp; Assumptions'!$U$32*EXP('Model Inputs &amp; Assumptions'!$V$32*Q2156-'Model Inputs &amp; Assumptions'!$V$32^2/2))</f>
        <v>0</v>
      </c>
      <c r="E2156" s="45" t="n">
        <f aca="false">ROUND(C2156*D2156,0)</f>
        <v>0</v>
      </c>
      <c r="F2156" s="47" t="n">
        <f aca="false">MIN(1,'Model Inputs &amp; Assumptions'!$W$32*EXP('Model Inputs &amp; Assumptions'!$X$32*R2156-'Model Inputs &amp; Assumptions'!$X$32^2/2))</f>
        <v>0.00287437301433448</v>
      </c>
      <c r="G2156" s="45" t="n">
        <f aca="false">ROUND(C2156*F2156,0)</f>
        <v>3954</v>
      </c>
      <c r="H2156" s="48" t="n">
        <f aca="false">MAX(0,(C2156*'Model Inputs &amp; Assumptions'!$N$32+E2156*'Model Inputs &amp; Assumptions'!$O$32+G2156*'Model Inputs &amp; Assumptions'!$P$32)*EXP('Model Inputs &amp; Assumptions'!$Q$32*S2156-'Model Inputs &amp; Assumptions'!$Q$32^2/2))</f>
        <v>280.325114981434</v>
      </c>
      <c r="I2156" s="49" t="n">
        <f aca="false">IF('Model Inputs &amp; Assumptions'!$H$32="Fixed",'Model Inputs &amp; Assumptions'!$I$32*'Model Inputs &amp; Assumptions'!$K$32,IF('Model Inputs &amp; Assumptions'!$H$32="CPM",'Model Inputs &amp; Assumptions'!$I$32*'Model Inputs &amp; Assumptions'!$K$32*C2156/1000,IF('Model Inputs &amp; Assumptions'!$H$32="CPC",'Model Inputs &amp; Assumptions'!$I$32*'Model Inputs &amp; Assumptions'!$K$32*G2156,0)))</f>
        <v>16506.012</v>
      </c>
      <c r="J2156" s="50" t="n">
        <f aca="false">H2156*INDEX('Model Inputs &amp; Assumptions'!$D$40:$D$42,MATCH('Model Inputs &amp; Assumptions'!$L$32,'Model Inputs &amp; Assumptions'!$A$40:$A$42,0))*INDEX('Model Inputs &amp; Assumptions'!$H$40:$H$42,MATCH('Model Inputs &amp; Assumptions'!$L$32,'Model Inputs &amp; Assumptions'!$A$40:$A$42,0))</f>
        <v>1513755.62089974</v>
      </c>
      <c r="K2156" s="49" t="n">
        <f aca="false">H2156*INDEX('Model Inputs &amp; Assumptions'!$G$40:$G$42,MATCH('Model Inputs &amp; Assumptions'!$L$32,'Model Inputs &amp; Assumptions'!$A$40:$A$42,0))*INDEX('Model Inputs &amp; Assumptions'!$H$40:$H$42,MATCH('Model Inputs &amp; Assumptions'!$L$32,'Model Inputs &amp; Assumptions'!$A$40:$A$42,0))</f>
        <v>31788.8680388946</v>
      </c>
      <c r="L2156" s="51" t="n">
        <f aca="false">IFERROR(K2156/I2156,0)</f>
        <v>1.92589633637093</v>
      </c>
      <c r="M2156" s="49" t="n">
        <f aca="false">IFERROR(I2156/H2156,0)</f>
        <v>58.8816738774662</v>
      </c>
      <c r="N2156" s="52" t="str">
        <f aca="false">'Model Inputs &amp; Assumptions'!$L$32</f>
        <v>PRD-SP01</v>
      </c>
      <c r="P2156" s="53" t="n">
        <v>0.604989</v>
      </c>
      <c r="Q2156" s="53" t="n">
        <v>0.815598</v>
      </c>
      <c r="R2156" s="53" t="n">
        <v>-0.506428</v>
      </c>
      <c r="S2156" s="53" t="n">
        <v>1.763428</v>
      </c>
    </row>
    <row r="2157" customFormat="false" ht="15" hidden="false" customHeight="false" outlineLevel="0" collapsed="false">
      <c r="A2157" s="43" t="n">
        <v>154</v>
      </c>
      <c r="B2157" s="44" t="str">
        <f aca="false">'Model Inputs &amp; Assumptions'!$B$32</f>
        <v>Trade Republic — In-App Display</v>
      </c>
      <c r="C2157" s="45" t="n">
        <f aca="false">ROUND(MAX(0,'Model Inputs &amp; Assumptions'!$S$32*EXP('Model Inputs &amp; Assumptions'!$T$32*P2157-'Model Inputs &amp; Assumptions'!$T$32^2/2)),0)</f>
        <v>940931</v>
      </c>
      <c r="D2157" s="46" t="n">
        <f aca="false">MIN(1,'Model Inputs &amp; Assumptions'!$U$32*EXP('Model Inputs &amp; Assumptions'!$V$32*Q2157-'Model Inputs &amp; Assumptions'!$V$32^2/2))</f>
        <v>0</v>
      </c>
      <c r="E2157" s="45" t="n">
        <f aca="false">ROUND(C2157*D2157,0)</f>
        <v>0</v>
      </c>
      <c r="F2157" s="47" t="n">
        <f aca="false">MIN(1,'Model Inputs &amp; Assumptions'!$W$32*EXP('Model Inputs &amp; Assumptions'!$X$32*R2157-'Model Inputs &amp; Assumptions'!$X$32^2/2))</f>
        <v>0.00366504923285018</v>
      </c>
      <c r="G2157" s="45" t="n">
        <f aca="false">ROUND(C2157*F2157,0)</f>
        <v>3449</v>
      </c>
      <c r="H2157" s="48" t="n">
        <f aca="false">MAX(0,(C2157*'Model Inputs &amp; Assumptions'!$N$32+E2157*'Model Inputs &amp; Assumptions'!$O$32+G2157*'Model Inputs &amp; Assumptions'!$P$32)*EXP('Model Inputs &amp; Assumptions'!$Q$32*S2157-'Model Inputs &amp; Assumptions'!$Q$32^2/2))</f>
        <v>154.462659914293</v>
      </c>
      <c r="I2157" s="49" t="n">
        <f aca="false">IF('Model Inputs &amp; Assumptions'!$H$32="Fixed",'Model Inputs &amp; Assumptions'!$I$32*'Model Inputs &amp; Assumptions'!$K$32,IF('Model Inputs &amp; Assumptions'!$H$32="CPM",'Model Inputs &amp; Assumptions'!$I$32*'Model Inputs &amp; Assumptions'!$K$32*C2157/1000,IF('Model Inputs &amp; Assumptions'!$H$32="CPC",'Model Inputs &amp; Assumptions'!$I$32*'Model Inputs &amp; Assumptions'!$K$32*G2157,0)))</f>
        <v>11291.172</v>
      </c>
      <c r="J2157" s="50" t="n">
        <f aca="false">H2157*INDEX('Model Inputs &amp; Assumptions'!$D$40:$D$42,MATCH('Model Inputs &amp; Assumptions'!$L$32,'Model Inputs &amp; Assumptions'!$A$40:$A$42,0))*INDEX('Model Inputs &amp; Assumptions'!$H$40:$H$42,MATCH('Model Inputs &amp; Assumptions'!$L$32,'Model Inputs &amp; Assumptions'!$A$40:$A$42,0))</f>
        <v>834098.36353718</v>
      </c>
      <c r="K2157" s="49" t="n">
        <f aca="false">H2157*INDEX('Model Inputs &amp; Assumptions'!$G$40:$G$42,MATCH('Model Inputs &amp; Assumptions'!$L$32,'Model Inputs &amp; Assumptions'!$A$40:$A$42,0))*INDEX('Model Inputs &amp; Assumptions'!$H$40:$H$42,MATCH('Model Inputs &amp; Assumptions'!$L$32,'Model Inputs &amp; Assumptions'!$A$40:$A$42,0))</f>
        <v>17516.0656342808</v>
      </c>
      <c r="L2157" s="51" t="n">
        <f aca="false">IFERROR(K2157/I2157,0)</f>
        <v>1.55130624476191</v>
      </c>
      <c r="M2157" s="49" t="n">
        <f aca="false">IFERROR(I2157/H2157,0)</f>
        <v>73.0996863984162</v>
      </c>
      <c r="N2157" s="52" t="str">
        <f aca="false">'Model Inputs &amp; Assumptions'!$L$32</f>
        <v>PRD-SP01</v>
      </c>
      <c r="P2157" s="53" t="n">
        <v>-0.660691</v>
      </c>
      <c r="Q2157" s="53" t="n">
        <v>-0.0852</v>
      </c>
      <c r="R2157" s="53" t="n">
        <v>0.303596</v>
      </c>
      <c r="S2157" s="53" t="n">
        <v>0.122877</v>
      </c>
    </row>
    <row r="2158" customFormat="false" ht="15" hidden="false" customHeight="false" outlineLevel="0" collapsed="false">
      <c r="A2158" s="43" t="n">
        <v>155</v>
      </c>
      <c r="B2158" s="44" t="str">
        <f aca="false">'Model Inputs &amp; Assumptions'!$B$32</f>
        <v>Trade Republic — In-App Display</v>
      </c>
      <c r="C2158" s="45" t="n">
        <f aca="false">ROUND(MAX(0,'Model Inputs &amp; Assumptions'!$S$32*EXP('Model Inputs &amp; Assumptions'!$T$32*P2158-'Model Inputs &amp; Assumptions'!$T$32^2/2)),0)</f>
        <v>1177811</v>
      </c>
      <c r="D2158" s="46" t="n">
        <f aca="false">MIN(1,'Model Inputs &amp; Assumptions'!$U$32*EXP('Model Inputs &amp; Assumptions'!$V$32*Q2158-'Model Inputs &amp; Assumptions'!$V$32^2/2))</f>
        <v>0</v>
      </c>
      <c r="E2158" s="45" t="n">
        <f aca="false">ROUND(C2158*D2158,0)</f>
        <v>0</v>
      </c>
      <c r="F2158" s="47" t="n">
        <f aca="false">MIN(1,'Model Inputs &amp; Assumptions'!$W$32*EXP('Model Inputs &amp; Assumptions'!$X$32*R2158-'Model Inputs &amp; Assumptions'!$X$32^2/2))</f>
        <v>0.00334613272483655</v>
      </c>
      <c r="G2158" s="45" t="n">
        <f aca="false">ROUND(C2158*F2158,0)</f>
        <v>3941</v>
      </c>
      <c r="H2158" s="48" t="n">
        <f aca="false">MAX(0,(C2158*'Model Inputs &amp; Assumptions'!$N$32+E2158*'Model Inputs &amp; Assumptions'!$O$32+G2158*'Model Inputs &amp; Assumptions'!$P$32)*EXP('Model Inputs &amp; Assumptions'!$Q$32*S2158-'Model Inputs &amp; Assumptions'!$Q$32^2/2))</f>
        <v>169.735989675362</v>
      </c>
      <c r="I2158" s="49" t="n">
        <f aca="false">IF('Model Inputs &amp; Assumptions'!$H$32="Fixed",'Model Inputs &amp; Assumptions'!$I$32*'Model Inputs &amp; Assumptions'!$K$32,IF('Model Inputs &amp; Assumptions'!$H$32="CPM",'Model Inputs &amp; Assumptions'!$I$32*'Model Inputs &amp; Assumptions'!$K$32*C2158/1000,IF('Model Inputs &amp; Assumptions'!$H$32="CPC",'Model Inputs &amp; Assumptions'!$I$32*'Model Inputs &amp; Assumptions'!$K$32*G2158,0)))</f>
        <v>14133.732</v>
      </c>
      <c r="J2158" s="50" t="n">
        <f aca="false">H2158*INDEX('Model Inputs &amp; Assumptions'!$D$40:$D$42,MATCH('Model Inputs &amp; Assumptions'!$L$32,'Model Inputs &amp; Assumptions'!$A$40:$A$42,0))*INDEX('Model Inputs &amp; Assumptions'!$H$40:$H$42,MATCH('Model Inputs &amp; Assumptions'!$L$32,'Model Inputs &amp; Assumptions'!$A$40:$A$42,0))</f>
        <v>916574.344246954</v>
      </c>
      <c r="K2158" s="49" t="n">
        <f aca="false">H2158*INDEX('Model Inputs &amp; Assumptions'!$G$40:$G$42,MATCH('Model Inputs &amp; Assumptions'!$L$32,'Model Inputs &amp; Assumptions'!$A$40:$A$42,0))*INDEX('Model Inputs &amp; Assumptions'!$H$40:$H$42,MATCH('Model Inputs &amp; Assumptions'!$L$32,'Model Inputs &amp; Assumptions'!$A$40:$A$42,0))</f>
        <v>19248.061229186</v>
      </c>
      <c r="L2158" s="51" t="n">
        <f aca="false">IFERROR(K2158/I2158,0)</f>
        <v>1.361852710182</v>
      </c>
      <c r="M2158" s="49" t="n">
        <f aca="false">IFERROR(I2158/H2158,0)</f>
        <v>83.2689167867832</v>
      </c>
      <c r="N2158" s="52" t="str">
        <f aca="false">'Model Inputs &amp; Assumptions'!$L$32</f>
        <v>PRD-SP01</v>
      </c>
      <c r="P2158" s="53" t="n">
        <v>0.087787</v>
      </c>
      <c r="Q2158" s="53" t="n">
        <v>0.76404</v>
      </c>
      <c r="R2158" s="53" t="n">
        <v>0.000141</v>
      </c>
      <c r="S2158" s="53" t="n">
        <v>-0.016617</v>
      </c>
    </row>
    <row r="2159" customFormat="false" ht="15" hidden="false" customHeight="false" outlineLevel="0" collapsed="false">
      <c r="A2159" s="43" t="n">
        <v>156</v>
      </c>
      <c r="B2159" s="44" t="str">
        <f aca="false">'Model Inputs &amp; Assumptions'!$B$32</f>
        <v>Trade Republic — In-App Display</v>
      </c>
      <c r="C2159" s="45" t="n">
        <f aca="false">ROUND(MAX(0,'Model Inputs &amp; Assumptions'!$S$32*EXP('Model Inputs &amp; Assumptions'!$T$32*P2159-'Model Inputs &amp; Assumptions'!$T$32^2/2)),0)</f>
        <v>1611702</v>
      </c>
      <c r="D2159" s="46" t="n">
        <f aca="false">MIN(1,'Model Inputs &amp; Assumptions'!$U$32*EXP('Model Inputs &amp; Assumptions'!$V$32*Q2159-'Model Inputs &amp; Assumptions'!$V$32^2/2))</f>
        <v>0</v>
      </c>
      <c r="E2159" s="45" t="n">
        <f aca="false">ROUND(C2159*D2159,0)</f>
        <v>0</v>
      </c>
      <c r="F2159" s="47" t="n">
        <f aca="false">MIN(1,'Model Inputs &amp; Assumptions'!$W$32*EXP('Model Inputs &amp; Assumptions'!$X$32*R2159-'Model Inputs &amp; Assumptions'!$X$32^2/2))</f>
        <v>0.00393809407316409</v>
      </c>
      <c r="G2159" s="45" t="n">
        <f aca="false">ROUND(C2159*F2159,0)</f>
        <v>6347</v>
      </c>
      <c r="H2159" s="48" t="n">
        <f aca="false">MAX(0,(C2159*'Model Inputs &amp; Assumptions'!$N$32+E2159*'Model Inputs &amp; Assumptions'!$O$32+G2159*'Model Inputs &amp; Assumptions'!$P$32)*EXP('Model Inputs &amp; Assumptions'!$Q$32*S2159-'Model Inputs &amp; Assumptions'!$Q$32^2/2))</f>
        <v>280.965135896815</v>
      </c>
      <c r="I2159" s="49" t="n">
        <f aca="false">IF('Model Inputs &amp; Assumptions'!$H$32="Fixed",'Model Inputs &amp; Assumptions'!$I$32*'Model Inputs &amp; Assumptions'!$K$32,IF('Model Inputs &amp; Assumptions'!$H$32="CPM",'Model Inputs &amp; Assumptions'!$I$32*'Model Inputs &amp; Assumptions'!$K$32*C2159/1000,IF('Model Inputs &amp; Assumptions'!$H$32="CPC",'Model Inputs &amp; Assumptions'!$I$32*'Model Inputs &amp; Assumptions'!$K$32*G2159,0)))</f>
        <v>19340.424</v>
      </c>
      <c r="J2159" s="50" t="n">
        <f aca="false">H2159*INDEX('Model Inputs &amp; Assumptions'!$D$40:$D$42,MATCH('Model Inputs &amp; Assumptions'!$L$32,'Model Inputs &amp; Assumptions'!$A$40:$A$42,0))*INDEX('Model Inputs &amp; Assumptions'!$H$40:$H$42,MATCH('Model Inputs &amp; Assumptions'!$L$32,'Model Inputs &amp; Assumptions'!$A$40:$A$42,0))</f>
        <v>1517211.7338428</v>
      </c>
      <c r="K2159" s="49" t="n">
        <f aca="false">H2159*INDEX('Model Inputs &amp; Assumptions'!$G$40:$G$42,MATCH('Model Inputs &amp; Assumptions'!$L$32,'Model Inputs &amp; Assumptions'!$A$40:$A$42,0))*INDEX('Model Inputs &amp; Assumptions'!$H$40:$H$42,MATCH('Model Inputs &amp; Assumptions'!$L$32,'Model Inputs &amp; Assumptions'!$A$40:$A$42,0))</f>
        <v>31861.4464106989</v>
      </c>
      <c r="L2159" s="51" t="n">
        <f aca="false">IFERROR(K2159/I2159,0)</f>
        <v>1.64740165007235</v>
      </c>
      <c r="M2159" s="49" t="n">
        <f aca="false">IFERROR(I2159/H2159,0)</f>
        <v>68.8356722205661</v>
      </c>
      <c r="N2159" s="52" t="str">
        <f aca="false">'Model Inputs &amp; Assumptions'!$L$32</f>
        <v>PRD-SP01</v>
      </c>
      <c r="P2159" s="53" t="n">
        <v>1.133231</v>
      </c>
      <c r="Q2159" s="53" t="n">
        <v>1.990347</v>
      </c>
      <c r="R2159" s="53" t="n">
        <v>0.543113</v>
      </c>
      <c r="S2159" s="53" t="n">
        <v>0.081378</v>
      </c>
    </row>
    <row r="2160" customFormat="false" ht="15" hidden="false" customHeight="false" outlineLevel="0" collapsed="false">
      <c r="A2160" s="43" t="n">
        <v>157</v>
      </c>
      <c r="B2160" s="44" t="str">
        <f aca="false">'Model Inputs &amp; Assumptions'!$B$32</f>
        <v>Trade Republic — In-App Display</v>
      </c>
      <c r="C2160" s="45" t="n">
        <f aca="false">ROUND(MAX(0,'Model Inputs &amp; Assumptions'!$S$32*EXP('Model Inputs &amp; Assumptions'!$T$32*P2160-'Model Inputs &amp; Assumptions'!$T$32^2/2)),0)</f>
        <v>1114844</v>
      </c>
      <c r="D2160" s="46" t="n">
        <f aca="false">MIN(1,'Model Inputs &amp; Assumptions'!$U$32*EXP('Model Inputs &amp; Assumptions'!$V$32*Q2160-'Model Inputs &amp; Assumptions'!$V$32^2/2))</f>
        <v>0</v>
      </c>
      <c r="E2160" s="45" t="n">
        <f aca="false">ROUND(C2160*D2160,0)</f>
        <v>0</v>
      </c>
      <c r="F2160" s="47" t="n">
        <f aca="false">MIN(1,'Model Inputs &amp; Assumptions'!$W$32*EXP('Model Inputs &amp; Assumptions'!$X$32*R2160-'Model Inputs &amp; Assumptions'!$X$32^2/2))</f>
        <v>0.00350693160482895</v>
      </c>
      <c r="G2160" s="45" t="n">
        <f aca="false">ROUND(C2160*F2160,0)</f>
        <v>3910</v>
      </c>
      <c r="H2160" s="48" t="n">
        <f aca="false">MAX(0,(C2160*'Model Inputs &amp; Assumptions'!$N$32+E2160*'Model Inputs &amp; Assumptions'!$O$32+G2160*'Model Inputs &amp; Assumptions'!$P$32)*EXP('Model Inputs &amp; Assumptions'!$Q$32*S2160-'Model Inputs &amp; Assumptions'!$Q$32^2/2))</f>
        <v>119.484668224938</v>
      </c>
      <c r="I2160" s="49" t="n">
        <f aca="false">IF('Model Inputs &amp; Assumptions'!$H$32="Fixed",'Model Inputs &amp; Assumptions'!$I$32*'Model Inputs &amp; Assumptions'!$K$32,IF('Model Inputs &amp; Assumptions'!$H$32="CPM",'Model Inputs &amp; Assumptions'!$I$32*'Model Inputs &amp; Assumptions'!$K$32*C2160/1000,IF('Model Inputs &amp; Assumptions'!$H$32="CPC",'Model Inputs &amp; Assumptions'!$I$32*'Model Inputs &amp; Assumptions'!$K$32*G2160,0)))</f>
        <v>13378.128</v>
      </c>
      <c r="J2160" s="50" t="n">
        <f aca="false">H2160*INDEX('Model Inputs &amp; Assumptions'!$D$40:$D$42,MATCH('Model Inputs &amp; Assumptions'!$L$32,'Model Inputs &amp; Assumptions'!$A$40:$A$42,0))*INDEX('Model Inputs &amp; Assumptions'!$H$40:$H$42,MATCH('Model Inputs &amp; Assumptions'!$L$32,'Model Inputs &amp; Assumptions'!$A$40:$A$42,0))</f>
        <v>645217.208414666</v>
      </c>
      <c r="K2160" s="49" t="n">
        <f aca="false">H2160*INDEX('Model Inputs &amp; Assumptions'!$G$40:$G$42,MATCH('Model Inputs &amp; Assumptions'!$L$32,'Model Inputs &amp; Assumptions'!$A$40:$A$42,0))*INDEX('Model Inputs &amp; Assumptions'!$H$40:$H$42,MATCH('Model Inputs &amp; Assumptions'!$L$32,'Model Inputs &amp; Assumptions'!$A$40:$A$42,0))</f>
        <v>13549.561376708</v>
      </c>
      <c r="L2160" s="51" t="n">
        <f aca="false">IFERROR(K2160/I2160,0)</f>
        <v>1.01281445182076</v>
      </c>
      <c r="M2160" s="49" t="n">
        <f aca="false">IFERROR(I2160/H2160,0)</f>
        <v>111.965226993096</v>
      </c>
      <c r="N2160" s="52" t="str">
        <f aca="false">'Model Inputs &amp; Assumptions'!$L$32</f>
        <v>PRD-SP01</v>
      </c>
      <c r="P2160" s="53" t="n">
        <v>-0.095358</v>
      </c>
      <c r="Q2160" s="53" t="n">
        <v>-1.143024</v>
      </c>
      <c r="R2160" s="53" t="n">
        <v>0.156595</v>
      </c>
      <c r="S2160" s="53" t="n">
        <v>-1.242185</v>
      </c>
    </row>
    <row r="2161" customFormat="false" ht="15" hidden="false" customHeight="false" outlineLevel="0" collapsed="false">
      <c r="A2161" s="43" t="n">
        <v>158</v>
      </c>
      <c r="B2161" s="44" t="str">
        <f aca="false">'Model Inputs &amp; Assumptions'!$B$32</f>
        <v>Trade Republic — In-App Display</v>
      </c>
      <c r="C2161" s="45" t="n">
        <f aca="false">ROUND(MAX(0,'Model Inputs &amp; Assumptions'!$S$32*EXP('Model Inputs &amp; Assumptions'!$T$32*P2161-'Model Inputs &amp; Assumptions'!$T$32^2/2)),0)</f>
        <v>875541</v>
      </c>
      <c r="D2161" s="46" t="n">
        <f aca="false">MIN(1,'Model Inputs &amp; Assumptions'!$U$32*EXP('Model Inputs &amp; Assumptions'!$V$32*Q2161-'Model Inputs &amp; Assumptions'!$V$32^2/2))</f>
        <v>0</v>
      </c>
      <c r="E2161" s="45" t="n">
        <f aca="false">ROUND(C2161*D2161,0)</f>
        <v>0</v>
      </c>
      <c r="F2161" s="47" t="n">
        <f aca="false">MIN(1,'Model Inputs &amp; Assumptions'!$W$32*EXP('Model Inputs &amp; Assumptions'!$X$32*R2161-'Model Inputs &amp; Assumptions'!$X$32^2/2))</f>
        <v>0.00532241670730502</v>
      </c>
      <c r="G2161" s="45" t="n">
        <f aca="false">ROUND(C2161*F2161,0)</f>
        <v>4660</v>
      </c>
      <c r="H2161" s="48" t="n">
        <f aca="false">MAX(0,(C2161*'Model Inputs &amp; Assumptions'!$N$32+E2161*'Model Inputs &amp; Assumptions'!$O$32+G2161*'Model Inputs &amp; Assumptions'!$P$32)*EXP('Model Inputs &amp; Assumptions'!$Q$32*S2161-'Model Inputs &amp; Assumptions'!$Q$32^2/2))</f>
        <v>127.880329127255</v>
      </c>
      <c r="I2161" s="49" t="n">
        <f aca="false">IF('Model Inputs &amp; Assumptions'!$H$32="Fixed",'Model Inputs &amp; Assumptions'!$I$32*'Model Inputs &amp; Assumptions'!$K$32,IF('Model Inputs &amp; Assumptions'!$H$32="CPM",'Model Inputs &amp; Assumptions'!$I$32*'Model Inputs &amp; Assumptions'!$K$32*C2161/1000,IF('Model Inputs &amp; Assumptions'!$H$32="CPC",'Model Inputs &amp; Assumptions'!$I$32*'Model Inputs &amp; Assumptions'!$K$32*G2161,0)))</f>
        <v>10506.492</v>
      </c>
      <c r="J2161" s="50" t="n">
        <f aca="false">H2161*INDEX('Model Inputs &amp; Assumptions'!$D$40:$D$42,MATCH('Model Inputs &amp; Assumptions'!$L$32,'Model Inputs &amp; Assumptions'!$A$40:$A$42,0))*INDEX('Model Inputs &amp; Assumptions'!$H$40:$H$42,MATCH('Model Inputs &amp; Assumptions'!$L$32,'Model Inputs &amp; Assumptions'!$A$40:$A$42,0))</f>
        <v>690553.77728718</v>
      </c>
      <c r="K2161" s="49" t="n">
        <f aca="false">H2161*INDEX('Model Inputs &amp; Assumptions'!$G$40:$G$42,MATCH('Model Inputs &amp; Assumptions'!$L$32,'Model Inputs &amp; Assumptions'!$A$40:$A$42,0))*INDEX('Model Inputs &amp; Assumptions'!$H$40:$H$42,MATCH('Model Inputs &amp; Assumptions'!$L$32,'Model Inputs &amp; Assumptions'!$A$40:$A$42,0))</f>
        <v>14501.6293230308</v>
      </c>
      <c r="L2161" s="51" t="n">
        <f aca="false">IFERROR(K2161/I2161,0)</f>
        <v>1.3802541631432</v>
      </c>
      <c r="M2161" s="49" t="n">
        <f aca="false">IFERROR(I2161/H2161,0)</f>
        <v>82.158781352094</v>
      </c>
      <c r="N2161" s="52" t="str">
        <f aca="false">'Model Inputs &amp; Assumptions'!$L$32</f>
        <v>PRD-SP01</v>
      </c>
      <c r="P2161" s="53" t="n">
        <v>-0.900784</v>
      </c>
      <c r="Q2161" s="53" t="n">
        <v>-2.445909</v>
      </c>
      <c r="R2161" s="53" t="n">
        <v>1.547215</v>
      </c>
      <c r="S2161" s="53" t="n">
        <v>-1.626368</v>
      </c>
    </row>
    <row r="2162" customFormat="false" ht="15" hidden="false" customHeight="false" outlineLevel="0" collapsed="false">
      <c r="A2162" s="43" t="n">
        <v>159</v>
      </c>
      <c r="B2162" s="44" t="str">
        <f aca="false">'Model Inputs &amp; Assumptions'!$B$32</f>
        <v>Trade Republic — In-App Display</v>
      </c>
      <c r="C2162" s="45" t="n">
        <f aca="false">ROUND(MAX(0,'Model Inputs &amp; Assumptions'!$S$32*EXP('Model Inputs &amp; Assumptions'!$T$32*P2162-'Model Inputs &amp; Assumptions'!$T$32^2/2)),0)</f>
        <v>1441374</v>
      </c>
      <c r="D2162" s="46" t="n">
        <f aca="false">MIN(1,'Model Inputs &amp; Assumptions'!$U$32*EXP('Model Inputs &amp; Assumptions'!$V$32*Q2162-'Model Inputs &amp; Assumptions'!$V$32^2/2))</f>
        <v>0</v>
      </c>
      <c r="E2162" s="45" t="n">
        <f aca="false">ROUND(C2162*D2162,0)</f>
        <v>0</v>
      </c>
      <c r="F2162" s="47" t="n">
        <f aca="false">MIN(1,'Model Inputs &amp; Assumptions'!$W$32*EXP('Model Inputs &amp; Assumptions'!$X$32*R2162-'Model Inputs &amp; Assumptions'!$X$32^2/2))</f>
        <v>0.00329368094787376</v>
      </c>
      <c r="G2162" s="45" t="n">
        <f aca="false">ROUND(C2162*F2162,0)</f>
        <v>4747</v>
      </c>
      <c r="H2162" s="48" t="n">
        <f aca="false">MAX(0,(C2162*'Model Inputs &amp; Assumptions'!$N$32+E2162*'Model Inputs &amp; Assumptions'!$O$32+G2162*'Model Inputs &amp; Assumptions'!$P$32)*EXP('Model Inputs &amp; Assumptions'!$Q$32*S2162-'Model Inputs &amp; Assumptions'!$Q$32^2/2))</f>
        <v>113.854364731732</v>
      </c>
      <c r="I2162" s="49" t="n">
        <f aca="false">IF('Model Inputs &amp; Assumptions'!$H$32="Fixed",'Model Inputs &amp; Assumptions'!$I$32*'Model Inputs &amp; Assumptions'!$K$32,IF('Model Inputs &amp; Assumptions'!$H$32="CPM",'Model Inputs &amp; Assumptions'!$I$32*'Model Inputs &amp; Assumptions'!$K$32*C2162/1000,IF('Model Inputs &amp; Assumptions'!$H$32="CPC",'Model Inputs &amp; Assumptions'!$I$32*'Model Inputs &amp; Assumptions'!$K$32*G2162,0)))</f>
        <v>17296.488</v>
      </c>
      <c r="J2162" s="50" t="n">
        <f aca="false">H2162*INDEX('Model Inputs &amp; Assumptions'!$D$40:$D$42,MATCH('Model Inputs &amp; Assumptions'!$L$32,'Model Inputs &amp; Assumptions'!$A$40:$A$42,0))*INDEX('Model Inputs &amp; Assumptions'!$H$40:$H$42,MATCH('Model Inputs &amp; Assumptions'!$L$32,'Model Inputs &amp; Assumptions'!$A$40:$A$42,0))</f>
        <v>614813.569551351</v>
      </c>
      <c r="K2162" s="49" t="n">
        <f aca="false">H2162*INDEX('Model Inputs &amp; Assumptions'!$G$40:$G$42,MATCH('Model Inputs &amp; Assumptions'!$L$32,'Model Inputs &amp; Assumptions'!$A$40:$A$42,0))*INDEX('Model Inputs &amp; Assumptions'!$H$40:$H$42,MATCH('Model Inputs &amp; Assumptions'!$L$32,'Model Inputs &amp; Assumptions'!$A$40:$A$42,0))</f>
        <v>12911.0849605784</v>
      </c>
      <c r="L2162" s="51" t="n">
        <f aca="false">IFERROR(K2162/I2162,0)</f>
        <v>0.746457024141454</v>
      </c>
      <c r="M2162" s="49" t="n">
        <f aca="false">IFERROR(I2162/H2162,0)</f>
        <v>151.917654107989</v>
      </c>
      <c r="N2162" s="52" t="str">
        <f aca="false">'Model Inputs &amp; Assumptions'!$L$32</f>
        <v>PRD-SP01</v>
      </c>
      <c r="P2162" s="53" t="n">
        <v>0.760917</v>
      </c>
      <c r="Q2162" s="53" t="n">
        <v>1.929826</v>
      </c>
      <c r="R2162" s="53" t="n">
        <v>-0.052524</v>
      </c>
      <c r="S2162" s="53" t="n">
        <v>-2.10734</v>
      </c>
    </row>
    <row r="2163" customFormat="false" ht="15" hidden="false" customHeight="false" outlineLevel="0" collapsed="false">
      <c r="A2163" s="43" t="n">
        <v>160</v>
      </c>
      <c r="B2163" s="44" t="str">
        <f aca="false">'Model Inputs &amp; Assumptions'!$B$32</f>
        <v>Trade Republic — In-App Display</v>
      </c>
      <c r="C2163" s="45" t="n">
        <f aca="false">ROUND(MAX(0,'Model Inputs &amp; Assumptions'!$S$32*EXP('Model Inputs &amp; Assumptions'!$T$32*P2163-'Model Inputs &amp; Assumptions'!$T$32^2/2)),0)</f>
        <v>1330877</v>
      </c>
      <c r="D2163" s="46" t="n">
        <f aca="false">MIN(1,'Model Inputs &amp; Assumptions'!$U$32*EXP('Model Inputs &amp; Assumptions'!$V$32*Q2163-'Model Inputs &amp; Assumptions'!$V$32^2/2))</f>
        <v>0</v>
      </c>
      <c r="E2163" s="45" t="n">
        <f aca="false">ROUND(C2163*D2163,0)</f>
        <v>0</v>
      </c>
      <c r="F2163" s="47" t="n">
        <f aca="false">MIN(1,'Model Inputs &amp; Assumptions'!$W$32*EXP('Model Inputs &amp; Assumptions'!$X$32*R2163-'Model Inputs &amp; Assumptions'!$X$32^2/2))</f>
        <v>0.00343674797618779</v>
      </c>
      <c r="G2163" s="45" t="n">
        <f aca="false">ROUND(C2163*F2163,0)</f>
        <v>4574</v>
      </c>
      <c r="H2163" s="48" t="n">
        <f aca="false">MAX(0,(C2163*'Model Inputs &amp; Assumptions'!$N$32+E2163*'Model Inputs &amp; Assumptions'!$O$32+G2163*'Model Inputs &amp; Assumptions'!$P$32)*EXP('Model Inputs &amp; Assumptions'!$Q$32*S2163-'Model Inputs &amp; Assumptions'!$Q$32^2/2))</f>
        <v>254.042451608625</v>
      </c>
      <c r="I2163" s="49" t="n">
        <f aca="false">IF('Model Inputs &amp; Assumptions'!$H$32="Fixed",'Model Inputs &amp; Assumptions'!$I$32*'Model Inputs &amp; Assumptions'!$K$32,IF('Model Inputs &amp; Assumptions'!$H$32="CPM",'Model Inputs &amp; Assumptions'!$I$32*'Model Inputs &amp; Assumptions'!$K$32*C2163/1000,IF('Model Inputs &amp; Assumptions'!$H$32="CPC",'Model Inputs &amp; Assumptions'!$I$32*'Model Inputs &amp; Assumptions'!$K$32*G2163,0)))</f>
        <v>15970.524</v>
      </c>
      <c r="J2163" s="50" t="n">
        <f aca="false">H2163*INDEX('Model Inputs &amp; Assumptions'!$D$40:$D$42,MATCH('Model Inputs &amp; Assumptions'!$L$32,'Model Inputs &amp; Assumptions'!$A$40:$A$42,0))*INDEX('Model Inputs &amp; Assumptions'!$H$40:$H$42,MATCH('Model Inputs &amp; Assumptions'!$L$32,'Model Inputs &amp; Assumptions'!$A$40:$A$42,0))</f>
        <v>1371829.23868658</v>
      </c>
      <c r="K2163" s="49" t="n">
        <f aca="false">H2163*INDEX('Model Inputs &amp; Assumptions'!$G$40:$G$42,MATCH('Model Inputs &amp; Assumptions'!$L$32,'Model Inputs &amp; Assumptions'!$A$40:$A$42,0))*INDEX('Model Inputs &amp; Assumptions'!$H$40:$H$42,MATCH('Model Inputs &amp; Assumptions'!$L$32,'Model Inputs &amp; Assumptions'!$A$40:$A$42,0))</f>
        <v>28808.4140124181</v>
      </c>
      <c r="L2163" s="51" t="n">
        <f aca="false">IFERROR(K2163/I2163,0)</f>
        <v>1.80384901662701</v>
      </c>
      <c r="M2163" s="49" t="n">
        <f aca="false">IFERROR(I2163/H2163,0)</f>
        <v>62.8655718714445</v>
      </c>
      <c r="N2163" s="52" t="str">
        <f aca="false">'Model Inputs &amp; Assumptions'!$L$32</f>
        <v>PRD-SP01</v>
      </c>
      <c r="P2163" s="53" t="n">
        <v>0.495054</v>
      </c>
      <c r="Q2163" s="53" t="n">
        <v>-1.223053</v>
      </c>
      <c r="R2163" s="53" t="n">
        <v>0.089209</v>
      </c>
      <c r="S2163" s="53" t="n">
        <v>0.89161</v>
      </c>
    </row>
    <row r="2164" customFormat="false" ht="15" hidden="false" customHeight="false" outlineLevel="0" collapsed="false">
      <c r="A2164" s="43" t="n">
        <v>161</v>
      </c>
      <c r="B2164" s="44" t="str">
        <f aca="false">'Model Inputs &amp; Assumptions'!$B$32</f>
        <v>Trade Republic — In-App Display</v>
      </c>
      <c r="C2164" s="45" t="n">
        <f aca="false">ROUND(MAX(0,'Model Inputs &amp; Assumptions'!$S$32*EXP('Model Inputs &amp; Assumptions'!$T$32*P2164-'Model Inputs &amp; Assumptions'!$T$32^2/2)),0)</f>
        <v>1168156</v>
      </c>
      <c r="D2164" s="46" t="n">
        <f aca="false">MIN(1,'Model Inputs &amp; Assumptions'!$U$32*EXP('Model Inputs &amp; Assumptions'!$V$32*Q2164-'Model Inputs &amp; Assumptions'!$V$32^2/2))</f>
        <v>0</v>
      </c>
      <c r="E2164" s="45" t="n">
        <f aca="false">ROUND(C2164*D2164,0)</f>
        <v>0</v>
      </c>
      <c r="F2164" s="47" t="n">
        <f aca="false">MIN(1,'Model Inputs &amp; Assumptions'!$W$32*EXP('Model Inputs &amp; Assumptions'!$X$32*R2164-'Model Inputs &amp; Assumptions'!$X$32^2/2))</f>
        <v>0.00255115339454706</v>
      </c>
      <c r="G2164" s="45" t="n">
        <f aca="false">ROUND(C2164*F2164,0)</f>
        <v>2980</v>
      </c>
      <c r="H2164" s="48" t="n">
        <f aca="false">MAX(0,(C2164*'Model Inputs &amp; Assumptions'!$N$32+E2164*'Model Inputs &amp; Assumptions'!$O$32+G2164*'Model Inputs &amp; Assumptions'!$P$32)*EXP('Model Inputs &amp; Assumptions'!$Q$32*S2164-'Model Inputs &amp; Assumptions'!$Q$32^2/2))</f>
        <v>159.79255300701</v>
      </c>
      <c r="I2164" s="49" t="n">
        <f aca="false">IF('Model Inputs &amp; Assumptions'!$H$32="Fixed",'Model Inputs &amp; Assumptions'!$I$32*'Model Inputs &amp; Assumptions'!$K$32,IF('Model Inputs &amp; Assumptions'!$H$32="CPM",'Model Inputs &amp; Assumptions'!$I$32*'Model Inputs &amp; Assumptions'!$K$32*C2164/1000,IF('Model Inputs &amp; Assumptions'!$H$32="CPC",'Model Inputs &amp; Assumptions'!$I$32*'Model Inputs &amp; Assumptions'!$K$32*G2164,0)))</f>
        <v>14017.872</v>
      </c>
      <c r="J2164" s="50" t="n">
        <f aca="false">H2164*INDEX('Model Inputs &amp; Assumptions'!$D$40:$D$42,MATCH('Model Inputs &amp; Assumptions'!$L$32,'Model Inputs &amp; Assumptions'!$A$40:$A$42,0))*INDEX('Model Inputs &amp; Assumptions'!$H$40:$H$42,MATCH('Model Inputs &amp; Assumptions'!$L$32,'Model Inputs &amp; Assumptions'!$A$40:$A$42,0))</f>
        <v>862879.786237854</v>
      </c>
      <c r="K2164" s="49" t="n">
        <f aca="false">H2164*INDEX('Model Inputs &amp; Assumptions'!$G$40:$G$42,MATCH('Model Inputs &amp; Assumptions'!$L$32,'Model Inputs &amp; Assumptions'!$A$40:$A$42,0))*INDEX('Model Inputs &amp; Assumptions'!$H$40:$H$42,MATCH('Model Inputs &amp; Assumptions'!$L$32,'Model Inputs &amp; Assumptions'!$A$40:$A$42,0))</f>
        <v>18120.4755109949</v>
      </c>
      <c r="L2164" s="51" t="n">
        <f aca="false">IFERROR(K2164/I2164,0)</f>
        <v>1.29266949441363</v>
      </c>
      <c r="M2164" s="49" t="n">
        <f aca="false">IFERROR(I2164/H2164,0)</f>
        <v>87.7254398669321</v>
      </c>
      <c r="N2164" s="52" t="str">
        <f aca="false">'Model Inputs &amp; Assumptions'!$L$32</f>
        <v>PRD-SP01</v>
      </c>
      <c r="P2164" s="53" t="n">
        <v>0.06035</v>
      </c>
      <c r="Q2164" s="53" t="n">
        <v>2.300705</v>
      </c>
      <c r="R2164" s="53" t="n">
        <v>-0.904058</v>
      </c>
      <c r="S2164" s="53" t="n">
        <v>0.766038</v>
      </c>
    </row>
    <row r="2165" customFormat="false" ht="15" hidden="false" customHeight="false" outlineLevel="0" collapsed="false">
      <c r="A2165" s="43" t="n">
        <v>162</v>
      </c>
      <c r="B2165" s="44" t="str">
        <f aca="false">'Model Inputs &amp; Assumptions'!$B$32</f>
        <v>Trade Republic — In-App Display</v>
      </c>
      <c r="C2165" s="45" t="n">
        <f aca="false">ROUND(MAX(0,'Model Inputs &amp; Assumptions'!$S$32*EXP('Model Inputs &amp; Assumptions'!$T$32*P2165-'Model Inputs &amp; Assumptions'!$T$32^2/2)),0)</f>
        <v>1662921</v>
      </c>
      <c r="D2165" s="46" t="n">
        <f aca="false">MIN(1,'Model Inputs &amp; Assumptions'!$U$32*EXP('Model Inputs &amp; Assumptions'!$V$32*Q2165-'Model Inputs &amp; Assumptions'!$V$32^2/2))</f>
        <v>0</v>
      </c>
      <c r="E2165" s="45" t="n">
        <f aca="false">ROUND(C2165*D2165,0)</f>
        <v>0</v>
      </c>
      <c r="F2165" s="47" t="n">
        <f aca="false">MIN(1,'Model Inputs &amp; Assumptions'!$W$32*EXP('Model Inputs &amp; Assumptions'!$X$32*R2165-'Model Inputs &amp; Assumptions'!$X$32^2/2))</f>
        <v>0.00315022370726542</v>
      </c>
      <c r="G2165" s="45" t="n">
        <f aca="false">ROUND(C2165*F2165,0)</f>
        <v>5239</v>
      </c>
      <c r="H2165" s="48" t="n">
        <f aca="false">MAX(0,(C2165*'Model Inputs &amp; Assumptions'!$N$32+E2165*'Model Inputs &amp; Assumptions'!$O$32+G2165*'Model Inputs &amp; Assumptions'!$P$32)*EXP('Model Inputs &amp; Assumptions'!$Q$32*S2165-'Model Inputs &amp; Assumptions'!$Q$32^2/2))</f>
        <v>199.356781278504</v>
      </c>
      <c r="I2165" s="49" t="n">
        <f aca="false">IF('Model Inputs &amp; Assumptions'!$H$32="Fixed",'Model Inputs &amp; Assumptions'!$I$32*'Model Inputs &amp; Assumptions'!$K$32,IF('Model Inputs &amp; Assumptions'!$H$32="CPM",'Model Inputs &amp; Assumptions'!$I$32*'Model Inputs &amp; Assumptions'!$K$32*C2165/1000,IF('Model Inputs &amp; Assumptions'!$H$32="CPC",'Model Inputs &amp; Assumptions'!$I$32*'Model Inputs &amp; Assumptions'!$K$32*G2165,0)))</f>
        <v>19955.052</v>
      </c>
      <c r="J2165" s="50" t="n">
        <f aca="false">H2165*INDEX('Model Inputs &amp; Assumptions'!$D$40:$D$42,MATCH('Model Inputs &amp; Assumptions'!$L$32,'Model Inputs &amp; Assumptions'!$A$40:$A$42,0))*INDEX('Model Inputs &amp; Assumptions'!$H$40:$H$42,MATCH('Model Inputs &amp; Assumptions'!$L$32,'Model Inputs &amp; Assumptions'!$A$40:$A$42,0))</f>
        <v>1076526.61890392</v>
      </c>
      <c r="K2165" s="49" t="n">
        <f aca="false">H2165*INDEX('Model Inputs &amp; Assumptions'!$G$40:$G$42,MATCH('Model Inputs &amp; Assumptions'!$L$32,'Model Inputs &amp; Assumptions'!$A$40:$A$42,0))*INDEX('Model Inputs &amp; Assumptions'!$H$40:$H$42,MATCH('Model Inputs &amp; Assumptions'!$L$32,'Model Inputs &amp; Assumptions'!$A$40:$A$42,0))</f>
        <v>22607.0589969824</v>
      </c>
      <c r="L2165" s="51" t="n">
        <f aca="false">IFERROR(K2165/I2165,0)</f>
        <v>1.13289902712268</v>
      </c>
      <c r="M2165" s="49" t="n">
        <f aca="false">IFERROR(I2165/H2165,0)</f>
        <v>100.097181906857</v>
      </c>
      <c r="N2165" s="52" t="str">
        <f aca="false">'Model Inputs &amp; Assumptions'!$L$32</f>
        <v>PRD-SP01</v>
      </c>
      <c r="P2165" s="53" t="n">
        <v>1.237513</v>
      </c>
      <c r="Q2165" s="53" t="n">
        <v>-0.244319</v>
      </c>
      <c r="R2165" s="53" t="n">
        <v>-0.200965</v>
      </c>
      <c r="S2165" s="53" t="n">
        <v>-0.458918</v>
      </c>
    </row>
    <row r="2166" customFormat="false" ht="15" hidden="false" customHeight="false" outlineLevel="0" collapsed="false">
      <c r="A2166" s="43" t="n">
        <v>163</v>
      </c>
      <c r="B2166" s="44" t="str">
        <f aca="false">'Model Inputs &amp; Assumptions'!$B$32</f>
        <v>Trade Republic — In-App Display</v>
      </c>
      <c r="C2166" s="45" t="n">
        <f aca="false">ROUND(MAX(0,'Model Inputs &amp; Assumptions'!$S$32*EXP('Model Inputs &amp; Assumptions'!$T$32*P2166-'Model Inputs &amp; Assumptions'!$T$32^2/2)),0)</f>
        <v>1460488</v>
      </c>
      <c r="D2166" s="46" t="n">
        <f aca="false">MIN(1,'Model Inputs &amp; Assumptions'!$U$32*EXP('Model Inputs &amp; Assumptions'!$V$32*Q2166-'Model Inputs &amp; Assumptions'!$V$32^2/2))</f>
        <v>0</v>
      </c>
      <c r="E2166" s="45" t="n">
        <f aca="false">ROUND(C2166*D2166,0)</f>
        <v>0</v>
      </c>
      <c r="F2166" s="47" t="n">
        <f aca="false">MIN(1,'Model Inputs &amp; Assumptions'!$W$32*EXP('Model Inputs &amp; Assumptions'!$X$32*R2166-'Model Inputs &amp; Assumptions'!$X$32^2/2))</f>
        <v>0.00426780724037144</v>
      </c>
      <c r="G2166" s="45" t="n">
        <f aca="false">ROUND(C2166*F2166,0)</f>
        <v>6233</v>
      </c>
      <c r="H2166" s="48" t="n">
        <f aca="false">MAX(0,(C2166*'Model Inputs &amp; Assumptions'!$N$32+E2166*'Model Inputs &amp; Assumptions'!$O$32+G2166*'Model Inputs &amp; Assumptions'!$P$32)*EXP('Model Inputs &amp; Assumptions'!$Q$32*S2166-'Model Inputs &amp; Assumptions'!$Q$32^2/2))</f>
        <v>437.76803410917</v>
      </c>
      <c r="I2166" s="49" t="n">
        <f aca="false">IF('Model Inputs &amp; Assumptions'!$H$32="Fixed",'Model Inputs &amp; Assumptions'!$I$32*'Model Inputs &amp; Assumptions'!$K$32,IF('Model Inputs &amp; Assumptions'!$H$32="CPM",'Model Inputs &amp; Assumptions'!$I$32*'Model Inputs &amp; Assumptions'!$K$32*C2166/1000,IF('Model Inputs &amp; Assumptions'!$H$32="CPC",'Model Inputs &amp; Assumptions'!$I$32*'Model Inputs &amp; Assumptions'!$K$32*G2166,0)))</f>
        <v>17525.856</v>
      </c>
      <c r="J2166" s="50" t="n">
        <f aca="false">H2166*INDEX('Model Inputs &amp; Assumptions'!$D$40:$D$42,MATCH('Model Inputs &amp; Assumptions'!$L$32,'Model Inputs &amp; Assumptions'!$A$40:$A$42,0))*INDEX('Model Inputs &amp; Assumptions'!$H$40:$H$42,MATCH('Model Inputs &amp; Assumptions'!$L$32,'Model Inputs &amp; Assumptions'!$A$40:$A$42,0))</f>
        <v>2363947.38418952</v>
      </c>
      <c r="K2166" s="49" t="n">
        <f aca="false">H2166*INDEX('Model Inputs &amp; Assumptions'!$G$40:$G$42,MATCH('Model Inputs &amp; Assumptions'!$L$32,'Model Inputs &amp; Assumptions'!$A$40:$A$42,0))*INDEX('Model Inputs &amp; Assumptions'!$H$40:$H$42,MATCH('Model Inputs &amp; Assumptions'!$L$32,'Model Inputs &amp; Assumptions'!$A$40:$A$42,0))</f>
        <v>49642.8950679799</v>
      </c>
      <c r="L2166" s="51" t="n">
        <f aca="false">IFERROR(K2166/I2166,0)</f>
        <v>2.83255180619879</v>
      </c>
      <c r="M2166" s="49" t="n">
        <f aca="false">IFERROR(I2166/H2166,0)</f>
        <v>40.0345722721944</v>
      </c>
      <c r="N2166" s="52" t="str">
        <f aca="false">'Model Inputs &amp; Assumptions'!$L$32</f>
        <v>PRD-SP01</v>
      </c>
      <c r="P2166" s="53" t="n">
        <v>0.80483</v>
      </c>
      <c r="Q2166" s="53" t="n">
        <v>-1.404682</v>
      </c>
      <c r="R2166" s="53" t="n">
        <v>0.811124</v>
      </c>
      <c r="S2166" s="53" t="n">
        <v>1.729889</v>
      </c>
    </row>
    <row r="2167" customFormat="false" ht="15" hidden="false" customHeight="false" outlineLevel="0" collapsed="false">
      <c r="A2167" s="43" t="n">
        <v>164</v>
      </c>
      <c r="B2167" s="44" t="str">
        <f aca="false">'Model Inputs &amp; Assumptions'!$B$32</f>
        <v>Trade Republic — In-App Display</v>
      </c>
      <c r="C2167" s="45" t="n">
        <f aca="false">ROUND(MAX(0,'Model Inputs &amp; Assumptions'!$S$32*EXP('Model Inputs &amp; Assumptions'!$T$32*P2167-'Model Inputs &amp; Assumptions'!$T$32^2/2)),0)</f>
        <v>971475</v>
      </c>
      <c r="D2167" s="46" t="n">
        <f aca="false">MIN(1,'Model Inputs &amp; Assumptions'!$U$32*EXP('Model Inputs &amp; Assumptions'!$V$32*Q2167-'Model Inputs &amp; Assumptions'!$V$32^2/2))</f>
        <v>0</v>
      </c>
      <c r="E2167" s="45" t="n">
        <f aca="false">ROUND(C2167*D2167,0)</f>
        <v>0</v>
      </c>
      <c r="F2167" s="47" t="n">
        <f aca="false">MIN(1,'Model Inputs &amp; Assumptions'!$W$32*EXP('Model Inputs &amp; Assumptions'!$X$32*R2167-'Model Inputs &amp; Assumptions'!$X$32^2/2))</f>
        <v>0.00310931227561671</v>
      </c>
      <c r="G2167" s="45" t="n">
        <f aca="false">ROUND(C2167*F2167,0)</f>
        <v>3021</v>
      </c>
      <c r="H2167" s="48" t="n">
        <f aca="false">MAX(0,(C2167*'Model Inputs &amp; Assumptions'!$N$32+E2167*'Model Inputs &amp; Assumptions'!$O$32+G2167*'Model Inputs &amp; Assumptions'!$P$32)*EXP('Model Inputs &amp; Assumptions'!$Q$32*S2167-'Model Inputs &amp; Assumptions'!$Q$32^2/2))</f>
        <v>124.213263116417</v>
      </c>
      <c r="I2167" s="49" t="n">
        <f aca="false">IF('Model Inputs &amp; Assumptions'!$H$32="Fixed",'Model Inputs &amp; Assumptions'!$I$32*'Model Inputs &amp; Assumptions'!$K$32,IF('Model Inputs &amp; Assumptions'!$H$32="CPM",'Model Inputs &amp; Assumptions'!$I$32*'Model Inputs &amp; Assumptions'!$K$32*C2167/1000,IF('Model Inputs &amp; Assumptions'!$H$32="CPC",'Model Inputs &amp; Assumptions'!$I$32*'Model Inputs &amp; Assumptions'!$K$32*G2167,0)))</f>
        <v>11657.7</v>
      </c>
      <c r="J2167" s="50" t="n">
        <f aca="false">H2167*INDEX('Model Inputs &amp; Assumptions'!$D$40:$D$42,MATCH('Model Inputs &amp; Assumptions'!$L$32,'Model Inputs &amp; Assumptions'!$A$40:$A$42,0))*INDEX('Model Inputs &amp; Assumptions'!$H$40:$H$42,MATCH('Model Inputs &amp; Assumptions'!$L$32,'Model Inputs &amp; Assumptions'!$A$40:$A$42,0))</f>
        <v>670751.620828652</v>
      </c>
      <c r="K2167" s="49" t="n">
        <f aca="false">H2167*INDEX('Model Inputs &amp; Assumptions'!$G$40:$G$42,MATCH('Model Inputs &amp; Assumptions'!$L$32,'Model Inputs &amp; Assumptions'!$A$40:$A$42,0))*INDEX('Model Inputs &amp; Assumptions'!$H$40:$H$42,MATCH('Model Inputs &amp; Assumptions'!$L$32,'Model Inputs &amp; Assumptions'!$A$40:$A$42,0))</f>
        <v>14085.7840374017</v>
      </c>
      <c r="L2167" s="51" t="n">
        <f aca="false">IFERROR(K2167/I2167,0)</f>
        <v>1.20828156818255</v>
      </c>
      <c r="M2167" s="49" t="n">
        <f aca="false">IFERROR(I2167/H2167,0)</f>
        <v>93.8522965061629</v>
      </c>
      <c r="N2167" s="52" t="str">
        <f aca="false">'Model Inputs &amp; Assumptions'!$L$32</f>
        <v>PRD-SP01</v>
      </c>
      <c r="P2167" s="53" t="n">
        <v>-0.554205</v>
      </c>
      <c r="Q2167" s="53" t="n">
        <v>0.038104</v>
      </c>
      <c r="R2167" s="53" t="n">
        <v>-0.244538</v>
      </c>
      <c r="S2167" s="53" t="n">
        <v>-0.182323</v>
      </c>
    </row>
    <row r="2168" customFormat="false" ht="15" hidden="false" customHeight="false" outlineLevel="0" collapsed="false">
      <c r="A2168" s="43" t="n">
        <v>165</v>
      </c>
      <c r="B2168" s="44" t="str">
        <f aca="false">'Model Inputs &amp; Assumptions'!$B$32</f>
        <v>Trade Republic — In-App Display</v>
      </c>
      <c r="C2168" s="45" t="n">
        <f aca="false">ROUND(MAX(0,'Model Inputs &amp; Assumptions'!$S$32*EXP('Model Inputs &amp; Assumptions'!$T$32*P2168-'Model Inputs &amp; Assumptions'!$T$32^2/2)),0)</f>
        <v>1309277</v>
      </c>
      <c r="D2168" s="46" t="n">
        <f aca="false">MIN(1,'Model Inputs &amp; Assumptions'!$U$32*EXP('Model Inputs &amp; Assumptions'!$V$32*Q2168-'Model Inputs &amp; Assumptions'!$V$32^2/2))</f>
        <v>0</v>
      </c>
      <c r="E2168" s="45" t="n">
        <f aca="false">ROUND(C2168*D2168,0)</f>
        <v>0</v>
      </c>
      <c r="F2168" s="47" t="n">
        <f aca="false">MIN(1,'Model Inputs &amp; Assumptions'!$W$32*EXP('Model Inputs &amp; Assumptions'!$X$32*R2168-'Model Inputs &amp; Assumptions'!$X$32^2/2))</f>
        <v>0.00183925531298502</v>
      </c>
      <c r="G2168" s="45" t="n">
        <f aca="false">ROUND(C2168*F2168,0)</f>
        <v>2408</v>
      </c>
      <c r="H2168" s="48" t="n">
        <f aca="false">MAX(0,(C2168*'Model Inputs &amp; Assumptions'!$N$32+E2168*'Model Inputs &amp; Assumptions'!$O$32+G2168*'Model Inputs &amp; Assumptions'!$P$32)*EXP('Model Inputs &amp; Assumptions'!$Q$32*S2168-'Model Inputs &amp; Assumptions'!$Q$32^2/2))</f>
        <v>195.427490338237</v>
      </c>
      <c r="I2168" s="49" t="n">
        <f aca="false">IF('Model Inputs &amp; Assumptions'!$H$32="Fixed",'Model Inputs &amp; Assumptions'!$I$32*'Model Inputs &amp; Assumptions'!$K$32,IF('Model Inputs &amp; Assumptions'!$H$32="CPM",'Model Inputs &amp; Assumptions'!$I$32*'Model Inputs &amp; Assumptions'!$K$32*C2168/1000,IF('Model Inputs &amp; Assumptions'!$H$32="CPC",'Model Inputs &amp; Assumptions'!$I$32*'Model Inputs &amp; Assumptions'!$K$32*G2168,0)))</f>
        <v>15711.324</v>
      </c>
      <c r="J2168" s="50" t="n">
        <f aca="false">H2168*INDEX('Model Inputs &amp; Assumptions'!$D$40:$D$42,MATCH('Model Inputs &amp; Assumptions'!$L$32,'Model Inputs &amp; Assumptions'!$A$40:$A$42,0))*INDEX('Model Inputs &amp; Assumptions'!$H$40:$H$42,MATCH('Model Inputs &amp; Assumptions'!$L$32,'Model Inputs &amp; Assumptions'!$A$40:$A$42,0))</f>
        <v>1055308.44782648</v>
      </c>
      <c r="K2168" s="49" t="n">
        <f aca="false">H2168*INDEX('Model Inputs &amp; Assumptions'!$G$40:$G$42,MATCH('Model Inputs &amp; Assumptions'!$L$32,'Model Inputs &amp; Assumptions'!$A$40:$A$42,0))*INDEX('Model Inputs &amp; Assumptions'!$H$40:$H$42,MATCH('Model Inputs &amp; Assumptions'!$L$32,'Model Inputs &amp; Assumptions'!$A$40:$A$42,0))</f>
        <v>22161.4774043561</v>
      </c>
      <c r="L2168" s="51" t="n">
        <f aca="false">IFERROR(K2168/I2168,0)</f>
        <v>1.41054168346067</v>
      </c>
      <c r="M2168" s="49" t="n">
        <f aca="false">IFERROR(I2168/H2168,0)</f>
        <v>80.3946464891279</v>
      </c>
      <c r="N2168" s="52" t="str">
        <f aca="false">'Model Inputs &amp; Assumptions'!$L$32</f>
        <v>PRD-SP01</v>
      </c>
      <c r="P2168" s="53" t="n">
        <v>0.440512</v>
      </c>
      <c r="Q2168" s="53" t="n">
        <v>0.244249</v>
      </c>
      <c r="R2168" s="53" t="n">
        <v>-1.994674</v>
      </c>
      <c r="S2168" s="53" t="n">
        <v>2.24618</v>
      </c>
    </row>
    <row r="2169" customFormat="false" ht="15" hidden="false" customHeight="false" outlineLevel="0" collapsed="false">
      <c r="A2169" s="43" t="n">
        <v>166</v>
      </c>
      <c r="B2169" s="44" t="str">
        <f aca="false">'Model Inputs &amp; Assumptions'!$B$32</f>
        <v>Trade Republic — In-App Display</v>
      </c>
      <c r="C2169" s="45" t="n">
        <f aca="false">ROUND(MAX(0,'Model Inputs &amp; Assumptions'!$S$32*EXP('Model Inputs &amp; Assumptions'!$T$32*P2169-'Model Inputs &amp; Assumptions'!$T$32^2/2)),0)</f>
        <v>1065782</v>
      </c>
      <c r="D2169" s="46" t="n">
        <f aca="false">MIN(1,'Model Inputs &amp; Assumptions'!$U$32*EXP('Model Inputs &amp; Assumptions'!$V$32*Q2169-'Model Inputs &amp; Assumptions'!$V$32^2/2))</f>
        <v>0</v>
      </c>
      <c r="E2169" s="45" t="n">
        <f aca="false">ROUND(C2169*D2169,0)</f>
        <v>0</v>
      </c>
      <c r="F2169" s="47" t="n">
        <f aca="false">MIN(1,'Model Inputs &amp; Assumptions'!$W$32*EXP('Model Inputs &amp; Assumptions'!$X$32*R2169-'Model Inputs &amp; Assumptions'!$X$32^2/2))</f>
        <v>0.00303866771737713</v>
      </c>
      <c r="G2169" s="45" t="n">
        <f aca="false">ROUND(C2169*F2169,0)</f>
        <v>3239</v>
      </c>
      <c r="H2169" s="48" t="n">
        <f aca="false">MAX(0,(C2169*'Model Inputs &amp; Assumptions'!$N$32+E2169*'Model Inputs &amp; Assumptions'!$O$32+G2169*'Model Inputs &amp; Assumptions'!$P$32)*EXP('Model Inputs &amp; Assumptions'!$Q$32*S2169-'Model Inputs &amp; Assumptions'!$Q$32^2/2))</f>
        <v>127.977758865628</v>
      </c>
      <c r="I2169" s="49" t="n">
        <f aca="false">IF('Model Inputs &amp; Assumptions'!$H$32="Fixed",'Model Inputs &amp; Assumptions'!$I$32*'Model Inputs &amp; Assumptions'!$K$32,IF('Model Inputs &amp; Assumptions'!$H$32="CPM",'Model Inputs &amp; Assumptions'!$I$32*'Model Inputs &amp; Assumptions'!$K$32*C2169/1000,IF('Model Inputs &amp; Assumptions'!$H$32="CPC",'Model Inputs &amp; Assumptions'!$I$32*'Model Inputs &amp; Assumptions'!$K$32*G2169,0)))</f>
        <v>12789.384</v>
      </c>
      <c r="J2169" s="50" t="n">
        <f aca="false">H2169*INDEX('Model Inputs &amp; Assumptions'!$D$40:$D$42,MATCH('Model Inputs &amp; Assumptions'!$L$32,'Model Inputs &amp; Assumptions'!$A$40:$A$42,0))*INDEX('Model Inputs &amp; Assumptions'!$H$40:$H$42,MATCH('Model Inputs &amp; Assumptions'!$L$32,'Model Inputs &amp; Assumptions'!$A$40:$A$42,0))</f>
        <v>691079.897874389</v>
      </c>
      <c r="K2169" s="49" t="n">
        <f aca="false">H2169*INDEX('Model Inputs &amp; Assumptions'!$G$40:$G$42,MATCH('Model Inputs &amp; Assumptions'!$L$32,'Model Inputs &amp; Assumptions'!$A$40:$A$42,0))*INDEX('Model Inputs &amp; Assumptions'!$H$40:$H$42,MATCH('Model Inputs &amp; Assumptions'!$L$32,'Model Inputs &amp; Assumptions'!$A$40:$A$42,0))</f>
        <v>14512.6778553622</v>
      </c>
      <c r="L2169" s="51" t="n">
        <f aca="false">IFERROR(K2169/I2169,0)</f>
        <v>1.13474408582635</v>
      </c>
      <c r="M2169" s="49" t="n">
        <f aca="false">IFERROR(I2169/H2169,0)</f>
        <v>99.9344269923373</v>
      </c>
      <c r="N2169" s="52" t="str">
        <f aca="false">'Model Inputs &amp; Assumptions'!$L$32</f>
        <v>PRD-SP01</v>
      </c>
      <c r="P2169" s="53" t="n">
        <v>-0.245375</v>
      </c>
      <c r="Q2169" s="53" t="n">
        <v>-0.596961</v>
      </c>
      <c r="R2169" s="53" t="n">
        <v>-0.321146</v>
      </c>
      <c r="S2169" s="53" t="n">
        <v>-0.324538</v>
      </c>
    </row>
    <row r="2170" customFormat="false" ht="15" hidden="false" customHeight="false" outlineLevel="0" collapsed="false">
      <c r="A2170" s="43" t="n">
        <v>167</v>
      </c>
      <c r="B2170" s="44" t="str">
        <f aca="false">'Model Inputs &amp; Assumptions'!$B$32</f>
        <v>Trade Republic — In-App Display</v>
      </c>
      <c r="C2170" s="45" t="n">
        <f aca="false">ROUND(MAX(0,'Model Inputs &amp; Assumptions'!$S$32*EXP('Model Inputs &amp; Assumptions'!$T$32*P2170-'Model Inputs &amp; Assumptions'!$T$32^2/2)),0)</f>
        <v>983802</v>
      </c>
      <c r="D2170" s="46" t="n">
        <f aca="false">MIN(1,'Model Inputs &amp; Assumptions'!$U$32*EXP('Model Inputs &amp; Assumptions'!$V$32*Q2170-'Model Inputs &amp; Assumptions'!$V$32^2/2))</f>
        <v>0</v>
      </c>
      <c r="E2170" s="45" t="n">
        <f aca="false">ROUND(C2170*D2170,0)</f>
        <v>0</v>
      </c>
      <c r="F2170" s="47" t="n">
        <f aca="false">MIN(1,'Model Inputs &amp; Assumptions'!$W$32*EXP('Model Inputs &amp; Assumptions'!$X$32*R2170-'Model Inputs &amp; Assumptions'!$X$32^2/2))</f>
        <v>0.00719410232258628</v>
      </c>
      <c r="G2170" s="45" t="n">
        <f aca="false">ROUND(C2170*F2170,0)</f>
        <v>7078</v>
      </c>
      <c r="H2170" s="48" t="n">
        <f aca="false">MAX(0,(C2170*'Model Inputs &amp; Assumptions'!$N$32+E2170*'Model Inputs &amp; Assumptions'!$O$32+G2170*'Model Inputs &amp; Assumptions'!$P$32)*EXP('Model Inputs &amp; Assumptions'!$Q$32*S2170-'Model Inputs &amp; Assumptions'!$Q$32^2/2))</f>
        <v>191.955756714193</v>
      </c>
      <c r="I2170" s="49" t="n">
        <f aca="false">IF('Model Inputs &amp; Assumptions'!$H$32="Fixed",'Model Inputs &amp; Assumptions'!$I$32*'Model Inputs &amp; Assumptions'!$K$32,IF('Model Inputs &amp; Assumptions'!$H$32="CPM",'Model Inputs &amp; Assumptions'!$I$32*'Model Inputs &amp; Assumptions'!$K$32*C2170/1000,IF('Model Inputs &amp; Assumptions'!$H$32="CPC",'Model Inputs &amp; Assumptions'!$I$32*'Model Inputs &amp; Assumptions'!$K$32*G2170,0)))</f>
        <v>11805.624</v>
      </c>
      <c r="J2170" s="50" t="n">
        <f aca="false">H2170*INDEX('Model Inputs &amp; Assumptions'!$D$40:$D$42,MATCH('Model Inputs &amp; Assumptions'!$L$32,'Model Inputs &amp; Assumptions'!$A$40:$A$42,0))*INDEX('Model Inputs &amp; Assumptions'!$H$40:$H$42,MATCH('Model Inputs &amp; Assumptions'!$L$32,'Model Inputs &amp; Assumptions'!$A$40:$A$42,0))</f>
        <v>1036561.08625664</v>
      </c>
      <c r="K2170" s="49" t="n">
        <f aca="false">H2170*INDEX('Model Inputs &amp; Assumptions'!$G$40:$G$42,MATCH('Model Inputs &amp; Assumptions'!$L$32,'Model Inputs &amp; Assumptions'!$A$40:$A$42,0))*INDEX('Model Inputs &amp; Assumptions'!$H$40:$H$42,MATCH('Model Inputs &amp; Assumptions'!$L$32,'Model Inputs &amp; Assumptions'!$A$40:$A$42,0))</f>
        <v>21767.7828113894</v>
      </c>
      <c r="L2170" s="51" t="n">
        <f aca="false">IFERROR(K2170/I2170,0)</f>
        <v>1.84384855992275</v>
      </c>
      <c r="M2170" s="49" t="n">
        <f aca="false">IFERROR(I2170/H2170,0)</f>
        <v>61.5017970915958</v>
      </c>
      <c r="N2170" s="52" t="str">
        <f aca="false">'Model Inputs &amp; Assumptions'!$L$32</f>
        <v>PRD-SP01</v>
      </c>
      <c r="P2170" s="53" t="n">
        <v>-0.512174</v>
      </c>
      <c r="Q2170" s="53" t="n">
        <v>-1.520907</v>
      </c>
      <c r="R2170" s="53" t="n">
        <v>2.551662</v>
      </c>
      <c r="S2170" s="53" t="n">
        <v>-1.668532</v>
      </c>
    </row>
    <row r="2171" customFormat="false" ht="15" hidden="false" customHeight="false" outlineLevel="0" collapsed="false">
      <c r="A2171" s="43" t="n">
        <v>168</v>
      </c>
      <c r="B2171" s="44" t="str">
        <f aca="false">'Model Inputs &amp; Assumptions'!$B$32</f>
        <v>Trade Republic — In-App Display</v>
      </c>
      <c r="C2171" s="45" t="n">
        <f aca="false">ROUND(MAX(0,'Model Inputs &amp; Assumptions'!$S$32*EXP('Model Inputs &amp; Assumptions'!$T$32*P2171-'Model Inputs &amp; Assumptions'!$T$32^2/2)),0)</f>
        <v>1175258</v>
      </c>
      <c r="D2171" s="46" t="n">
        <f aca="false">MIN(1,'Model Inputs &amp; Assumptions'!$U$32*EXP('Model Inputs &amp; Assumptions'!$V$32*Q2171-'Model Inputs &amp; Assumptions'!$V$32^2/2))</f>
        <v>0</v>
      </c>
      <c r="E2171" s="45" t="n">
        <f aca="false">ROUND(C2171*D2171,0)</f>
        <v>0</v>
      </c>
      <c r="F2171" s="47" t="n">
        <f aca="false">MIN(1,'Model Inputs &amp; Assumptions'!$W$32*EXP('Model Inputs &amp; Assumptions'!$X$32*R2171-'Model Inputs &amp; Assumptions'!$X$32^2/2))</f>
        <v>0.00389266638367811</v>
      </c>
      <c r="G2171" s="45" t="n">
        <f aca="false">ROUND(C2171*F2171,0)</f>
        <v>4575</v>
      </c>
      <c r="H2171" s="48" t="n">
        <f aca="false">MAX(0,(C2171*'Model Inputs &amp; Assumptions'!$N$32+E2171*'Model Inputs &amp; Assumptions'!$O$32+G2171*'Model Inputs &amp; Assumptions'!$P$32)*EXP('Model Inputs &amp; Assumptions'!$Q$32*S2171-'Model Inputs &amp; Assumptions'!$Q$32^2/2))</f>
        <v>137.281426725253</v>
      </c>
      <c r="I2171" s="49" t="n">
        <f aca="false">IF('Model Inputs &amp; Assumptions'!$H$32="Fixed",'Model Inputs &amp; Assumptions'!$I$32*'Model Inputs &amp; Assumptions'!$K$32,IF('Model Inputs &amp; Assumptions'!$H$32="CPM",'Model Inputs &amp; Assumptions'!$I$32*'Model Inputs &amp; Assumptions'!$K$32*C2171/1000,IF('Model Inputs &amp; Assumptions'!$H$32="CPC",'Model Inputs &amp; Assumptions'!$I$32*'Model Inputs &amp; Assumptions'!$K$32*G2171,0)))</f>
        <v>14103.096</v>
      </c>
      <c r="J2171" s="50" t="n">
        <f aca="false">H2171*INDEX('Model Inputs &amp; Assumptions'!$D$40:$D$42,MATCH('Model Inputs &amp; Assumptions'!$L$32,'Model Inputs &amp; Assumptions'!$A$40:$A$42,0))*INDEX('Model Inputs &amp; Assumptions'!$H$40:$H$42,MATCH('Model Inputs &amp; Assumptions'!$L$32,'Model Inputs &amp; Assumptions'!$A$40:$A$42,0))</f>
        <v>741319.704316366</v>
      </c>
      <c r="K2171" s="49" t="n">
        <f aca="false">H2171*INDEX('Model Inputs &amp; Assumptions'!$G$40:$G$42,MATCH('Model Inputs &amp; Assumptions'!$L$32,'Model Inputs &amp; Assumptions'!$A$40:$A$42,0))*INDEX('Model Inputs &amp; Assumptions'!$H$40:$H$42,MATCH('Model Inputs &amp; Assumptions'!$L$32,'Model Inputs &amp; Assumptions'!$A$40:$A$42,0))</f>
        <v>15567.7137906437</v>
      </c>
      <c r="L2171" s="51" t="n">
        <f aca="false">IFERROR(K2171/I2171,0)</f>
        <v>1.10385079918932</v>
      </c>
      <c r="M2171" s="49" t="n">
        <f aca="false">IFERROR(I2171/H2171,0)</f>
        <v>102.731274990499</v>
      </c>
      <c r="N2171" s="52" t="str">
        <f aca="false">'Model Inputs &amp; Assumptions'!$L$32</f>
        <v>PRD-SP01</v>
      </c>
      <c r="P2171" s="53" t="n">
        <v>0.080555</v>
      </c>
      <c r="Q2171" s="53" t="n">
        <v>0.777425</v>
      </c>
      <c r="R2171" s="53" t="n">
        <v>0.504438</v>
      </c>
      <c r="S2171" s="53" t="n">
        <v>-1.307272</v>
      </c>
    </row>
    <row r="2172" customFormat="false" ht="15" hidden="false" customHeight="false" outlineLevel="0" collapsed="false">
      <c r="A2172" s="43" t="n">
        <v>169</v>
      </c>
      <c r="B2172" s="44" t="str">
        <f aca="false">'Model Inputs &amp; Assumptions'!$B$32</f>
        <v>Trade Republic — In-App Display</v>
      </c>
      <c r="C2172" s="45" t="n">
        <f aca="false">ROUND(MAX(0,'Model Inputs &amp; Assumptions'!$S$32*EXP('Model Inputs &amp; Assumptions'!$T$32*P2172-'Model Inputs &amp; Assumptions'!$T$32^2/2)),0)</f>
        <v>854882</v>
      </c>
      <c r="D2172" s="46" t="n">
        <f aca="false">MIN(1,'Model Inputs &amp; Assumptions'!$U$32*EXP('Model Inputs &amp; Assumptions'!$V$32*Q2172-'Model Inputs &amp; Assumptions'!$V$32^2/2))</f>
        <v>0</v>
      </c>
      <c r="E2172" s="45" t="n">
        <f aca="false">ROUND(C2172*D2172,0)</f>
        <v>0</v>
      </c>
      <c r="F2172" s="47" t="n">
        <f aca="false">MIN(1,'Model Inputs &amp; Assumptions'!$W$32*EXP('Model Inputs &amp; Assumptions'!$X$32*R2172-'Model Inputs &amp; Assumptions'!$X$32^2/2))</f>
        <v>0.00333971932322657</v>
      </c>
      <c r="G2172" s="45" t="n">
        <f aca="false">ROUND(C2172*F2172,0)</f>
        <v>2855</v>
      </c>
      <c r="H2172" s="48" t="n">
        <f aca="false">MAX(0,(C2172*'Model Inputs &amp; Assumptions'!$N$32+E2172*'Model Inputs &amp; Assumptions'!$O$32+G2172*'Model Inputs &amp; Assumptions'!$P$32)*EXP('Model Inputs &amp; Assumptions'!$Q$32*S2172-'Model Inputs &amp; Assumptions'!$Q$32^2/2))</f>
        <v>58.7018529560421</v>
      </c>
      <c r="I2172" s="49" t="n">
        <f aca="false">IF('Model Inputs &amp; Assumptions'!$H$32="Fixed",'Model Inputs &amp; Assumptions'!$I$32*'Model Inputs &amp; Assumptions'!$K$32,IF('Model Inputs &amp; Assumptions'!$H$32="CPM",'Model Inputs &amp; Assumptions'!$I$32*'Model Inputs &amp; Assumptions'!$K$32*C2172/1000,IF('Model Inputs &amp; Assumptions'!$H$32="CPC",'Model Inputs &amp; Assumptions'!$I$32*'Model Inputs &amp; Assumptions'!$K$32*G2172,0)))</f>
        <v>10258.584</v>
      </c>
      <c r="J2172" s="50" t="n">
        <f aca="false">H2172*INDEX('Model Inputs &amp; Assumptions'!$D$40:$D$42,MATCH('Model Inputs &amp; Assumptions'!$L$32,'Model Inputs &amp; Assumptions'!$A$40:$A$42,0))*INDEX('Model Inputs &amp; Assumptions'!$H$40:$H$42,MATCH('Model Inputs &amp; Assumptions'!$L$32,'Model Inputs &amp; Assumptions'!$A$40:$A$42,0))</f>
        <v>316990.005962628</v>
      </c>
      <c r="K2172" s="49" t="n">
        <f aca="false">H2172*INDEX('Model Inputs &amp; Assumptions'!$G$40:$G$42,MATCH('Model Inputs &amp; Assumptions'!$L$32,'Model Inputs &amp; Assumptions'!$A$40:$A$42,0))*INDEX('Model Inputs &amp; Assumptions'!$H$40:$H$42,MATCH('Model Inputs &amp; Assumptions'!$L$32,'Model Inputs &amp; Assumptions'!$A$40:$A$42,0))</f>
        <v>6656.79012521518</v>
      </c>
      <c r="L2172" s="51" t="n">
        <f aca="false">IFERROR(K2172/I2172,0)</f>
        <v>0.648899509446448</v>
      </c>
      <c r="M2172" s="49" t="n">
        <f aca="false">IFERROR(I2172/H2172,0)</f>
        <v>174.757413666004</v>
      </c>
      <c r="N2172" s="52" t="str">
        <f aca="false">'Model Inputs &amp; Assumptions'!$L$32</f>
        <v>PRD-SP01</v>
      </c>
      <c r="P2172" s="53" t="n">
        <v>-0.980377</v>
      </c>
      <c r="Q2172" s="53" t="n">
        <v>0.289387</v>
      </c>
      <c r="R2172" s="53" t="n">
        <v>-0.006254</v>
      </c>
      <c r="S2172" s="53" t="n">
        <v>-2.657368</v>
      </c>
    </row>
    <row r="2173" customFormat="false" ht="15" hidden="false" customHeight="false" outlineLevel="0" collapsed="false">
      <c r="A2173" s="43" t="n">
        <v>170</v>
      </c>
      <c r="B2173" s="44" t="str">
        <f aca="false">'Model Inputs &amp; Assumptions'!$B$32</f>
        <v>Trade Republic — In-App Display</v>
      </c>
      <c r="C2173" s="45" t="n">
        <f aca="false">ROUND(MAX(0,'Model Inputs &amp; Assumptions'!$S$32*EXP('Model Inputs &amp; Assumptions'!$T$32*P2173-'Model Inputs &amp; Assumptions'!$T$32^2/2)),0)</f>
        <v>1134089</v>
      </c>
      <c r="D2173" s="46" t="n">
        <f aca="false">MIN(1,'Model Inputs &amp; Assumptions'!$U$32*EXP('Model Inputs &amp; Assumptions'!$V$32*Q2173-'Model Inputs &amp; Assumptions'!$V$32^2/2))</f>
        <v>0</v>
      </c>
      <c r="E2173" s="45" t="n">
        <f aca="false">ROUND(C2173*D2173,0)</f>
        <v>0</v>
      </c>
      <c r="F2173" s="47" t="n">
        <f aca="false">MIN(1,'Model Inputs &amp; Assumptions'!$W$32*EXP('Model Inputs &amp; Assumptions'!$X$32*R2173-'Model Inputs &amp; Assumptions'!$X$32^2/2))</f>
        <v>0.00286846621912387</v>
      </c>
      <c r="G2173" s="45" t="n">
        <f aca="false">ROUND(C2173*F2173,0)</f>
        <v>3253</v>
      </c>
      <c r="H2173" s="48" t="n">
        <f aca="false">MAX(0,(C2173*'Model Inputs &amp; Assumptions'!$N$32+E2173*'Model Inputs &amp; Assumptions'!$O$32+G2173*'Model Inputs &amp; Assumptions'!$P$32)*EXP('Model Inputs &amp; Assumptions'!$Q$32*S2173-'Model Inputs &amp; Assumptions'!$Q$32^2/2))</f>
        <v>112.21196835849</v>
      </c>
      <c r="I2173" s="49" t="n">
        <f aca="false">IF('Model Inputs &amp; Assumptions'!$H$32="Fixed",'Model Inputs &amp; Assumptions'!$I$32*'Model Inputs &amp; Assumptions'!$K$32,IF('Model Inputs &amp; Assumptions'!$H$32="CPM",'Model Inputs &amp; Assumptions'!$I$32*'Model Inputs &amp; Assumptions'!$K$32*C2173/1000,IF('Model Inputs &amp; Assumptions'!$H$32="CPC",'Model Inputs &amp; Assumptions'!$I$32*'Model Inputs &amp; Assumptions'!$K$32*G2173,0)))</f>
        <v>13609.068</v>
      </c>
      <c r="J2173" s="50" t="n">
        <f aca="false">H2173*INDEX('Model Inputs &amp; Assumptions'!$D$40:$D$42,MATCH('Model Inputs &amp; Assumptions'!$L$32,'Model Inputs &amp; Assumptions'!$A$40:$A$42,0))*INDEX('Model Inputs &amp; Assumptions'!$H$40:$H$42,MATCH('Model Inputs &amp; Assumptions'!$L$32,'Model Inputs &amp; Assumptions'!$A$40:$A$42,0))</f>
        <v>605944.629135845</v>
      </c>
      <c r="K2173" s="49" t="n">
        <f aca="false">H2173*INDEX('Model Inputs &amp; Assumptions'!$G$40:$G$42,MATCH('Model Inputs &amp; Assumptions'!$L$32,'Model Inputs &amp; Assumptions'!$A$40:$A$42,0))*INDEX('Model Inputs &amp; Assumptions'!$H$40:$H$42,MATCH('Model Inputs &amp; Assumptions'!$L$32,'Model Inputs &amp; Assumptions'!$A$40:$A$42,0))</f>
        <v>12724.8372118528</v>
      </c>
      <c r="L2173" s="51" t="n">
        <f aca="false">IFERROR(K2173/I2173,0)</f>
        <v>0.93502635241831</v>
      </c>
      <c r="M2173" s="49" t="n">
        <f aca="false">IFERROR(I2173/H2173,0)</f>
        <v>121.280004255182</v>
      </c>
      <c r="N2173" s="52" t="str">
        <f aca="false">'Model Inputs &amp; Assumptions'!$L$32</f>
        <v>PRD-SP01</v>
      </c>
      <c r="P2173" s="53" t="n">
        <v>-0.038305</v>
      </c>
      <c r="Q2173" s="53" t="n">
        <v>-1.561254</v>
      </c>
      <c r="R2173" s="53" t="n">
        <v>-0.513285</v>
      </c>
      <c r="S2173" s="53" t="n">
        <v>-0.809466</v>
      </c>
    </row>
    <row r="2174" customFormat="false" ht="15" hidden="false" customHeight="false" outlineLevel="0" collapsed="false">
      <c r="A2174" s="43" t="n">
        <v>171</v>
      </c>
      <c r="B2174" s="44" t="str">
        <f aca="false">'Model Inputs &amp; Assumptions'!$B$32</f>
        <v>Trade Republic — In-App Display</v>
      </c>
      <c r="C2174" s="45" t="n">
        <f aca="false">ROUND(MAX(0,'Model Inputs &amp; Assumptions'!$S$32*EXP('Model Inputs &amp; Assumptions'!$T$32*P2174-'Model Inputs &amp; Assumptions'!$T$32^2/2)),0)</f>
        <v>1614451</v>
      </c>
      <c r="D2174" s="46" t="n">
        <f aca="false">MIN(1,'Model Inputs &amp; Assumptions'!$U$32*EXP('Model Inputs &amp; Assumptions'!$V$32*Q2174-'Model Inputs &amp; Assumptions'!$V$32^2/2))</f>
        <v>0</v>
      </c>
      <c r="E2174" s="45" t="n">
        <f aca="false">ROUND(C2174*D2174,0)</f>
        <v>0</v>
      </c>
      <c r="F2174" s="47" t="n">
        <f aca="false">MIN(1,'Model Inputs &amp; Assumptions'!$W$32*EXP('Model Inputs &amp; Assumptions'!$X$32*R2174-'Model Inputs &amp; Assumptions'!$X$32^2/2))</f>
        <v>0.00352581025172217</v>
      </c>
      <c r="G2174" s="45" t="n">
        <f aca="false">ROUND(C2174*F2174,0)</f>
        <v>5692</v>
      </c>
      <c r="H2174" s="48" t="n">
        <f aca="false">MAX(0,(C2174*'Model Inputs &amp; Assumptions'!$N$32+E2174*'Model Inputs &amp; Assumptions'!$O$32+G2174*'Model Inputs &amp; Assumptions'!$P$32)*EXP('Model Inputs &amp; Assumptions'!$Q$32*S2174-'Model Inputs &amp; Assumptions'!$Q$32^2/2))</f>
        <v>238.790187546505</v>
      </c>
      <c r="I2174" s="49" t="n">
        <f aca="false">IF('Model Inputs &amp; Assumptions'!$H$32="Fixed",'Model Inputs &amp; Assumptions'!$I$32*'Model Inputs &amp; Assumptions'!$K$32,IF('Model Inputs &amp; Assumptions'!$H$32="CPM",'Model Inputs &amp; Assumptions'!$I$32*'Model Inputs &amp; Assumptions'!$K$32*C2174/1000,IF('Model Inputs &amp; Assumptions'!$H$32="CPC",'Model Inputs &amp; Assumptions'!$I$32*'Model Inputs &amp; Assumptions'!$K$32*G2174,0)))</f>
        <v>19373.412</v>
      </c>
      <c r="J2174" s="50" t="n">
        <f aca="false">H2174*INDEX('Model Inputs &amp; Assumptions'!$D$40:$D$42,MATCH('Model Inputs &amp; Assumptions'!$L$32,'Model Inputs &amp; Assumptions'!$A$40:$A$42,0))*INDEX('Model Inputs &amp; Assumptions'!$H$40:$H$42,MATCH('Model Inputs &amp; Assumptions'!$L$32,'Model Inputs &amp; Assumptions'!$A$40:$A$42,0))</f>
        <v>1289467.01275113</v>
      </c>
      <c r="K2174" s="49" t="n">
        <f aca="false">H2174*INDEX('Model Inputs &amp; Assumptions'!$G$40:$G$42,MATCH('Model Inputs &amp; Assumptions'!$L$32,'Model Inputs &amp; Assumptions'!$A$40:$A$42,0))*INDEX('Model Inputs &amp; Assumptions'!$H$40:$H$42,MATCH('Model Inputs &amp; Assumptions'!$L$32,'Model Inputs &amp; Assumptions'!$A$40:$A$42,0))</f>
        <v>27078.8072677737</v>
      </c>
      <c r="L2174" s="51" t="n">
        <f aca="false">IFERROR(K2174/I2174,0)</f>
        <v>1.39773041877051</v>
      </c>
      <c r="M2174" s="49" t="n">
        <f aca="false">IFERROR(I2174/H2174,0)</f>
        <v>81.1315247039913</v>
      </c>
      <c r="N2174" s="52" t="str">
        <f aca="false">'Model Inputs &amp; Assumptions'!$L$32</f>
        <v>PRD-SP01</v>
      </c>
      <c r="P2174" s="53" t="n">
        <v>1.138911</v>
      </c>
      <c r="Q2174" s="53" t="n">
        <v>0.755092</v>
      </c>
      <c r="R2174" s="53" t="n">
        <v>0.174491</v>
      </c>
      <c r="S2174" s="53" t="n">
        <v>-0.110496</v>
      </c>
    </row>
    <row r="2175" customFormat="false" ht="15" hidden="false" customHeight="false" outlineLevel="0" collapsed="false">
      <c r="A2175" s="43" t="n">
        <v>172</v>
      </c>
      <c r="B2175" s="44" t="str">
        <f aca="false">'Model Inputs &amp; Assumptions'!$B$32</f>
        <v>Trade Republic — In-App Display</v>
      </c>
      <c r="C2175" s="45" t="n">
        <f aca="false">ROUND(MAX(0,'Model Inputs &amp; Assumptions'!$S$32*EXP('Model Inputs &amp; Assumptions'!$T$32*P2175-'Model Inputs &amp; Assumptions'!$T$32^2/2)),0)</f>
        <v>1077458</v>
      </c>
      <c r="D2175" s="46" t="n">
        <f aca="false">MIN(1,'Model Inputs &amp; Assumptions'!$U$32*EXP('Model Inputs &amp; Assumptions'!$V$32*Q2175-'Model Inputs &amp; Assumptions'!$V$32^2/2))</f>
        <v>0</v>
      </c>
      <c r="E2175" s="45" t="n">
        <f aca="false">ROUND(C2175*D2175,0)</f>
        <v>0</v>
      </c>
      <c r="F2175" s="47" t="n">
        <f aca="false">MIN(1,'Model Inputs &amp; Assumptions'!$W$32*EXP('Model Inputs &amp; Assumptions'!$X$32*R2175-'Model Inputs &amp; Assumptions'!$X$32^2/2))</f>
        <v>0.00313042183956629</v>
      </c>
      <c r="G2175" s="45" t="n">
        <f aca="false">ROUND(C2175*F2175,0)</f>
        <v>3373</v>
      </c>
      <c r="H2175" s="48" t="n">
        <f aca="false">MAX(0,(C2175*'Model Inputs &amp; Assumptions'!$N$32+E2175*'Model Inputs &amp; Assumptions'!$O$32+G2175*'Model Inputs &amp; Assumptions'!$P$32)*EXP('Model Inputs &amp; Assumptions'!$Q$32*S2175-'Model Inputs &amp; Assumptions'!$Q$32^2/2))</f>
        <v>194.875054267218</v>
      </c>
      <c r="I2175" s="49" t="n">
        <f aca="false">IF('Model Inputs &amp; Assumptions'!$H$32="Fixed",'Model Inputs &amp; Assumptions'!$I$32*'Model Inputs &amp; Assumptions'!$K$32,IF('Model Inputs &amp; Assumptions'!$H$32="CPM",'Model Inputs &amp; Assumptions'!$I$32*'Model Inputs &amp; Assumptions'!$K$32*C2175/1000,IF('Model Inputs &amp; Assumptions'!$H$32="CPC",'Model Inputs &amp; Assumptions'!$I$32*'Model Inputs &amp; Assumptions'!$K$32*G2175,0)))</f>
        <v>12929.496</v>
      </c>
      <c r="J2175" s="50" t="n">
        <f aca="false">H2175*INDEX('Model Inputs &amp; Assumptions'!$D$40:$D$42,MATCH('Model Inputs &amp; Assumptions'!$L$32,'Model Inputs &amp; Assumptions'!$A$40:$A$42,0))*INDEX('Model Inputs &amp; Assumptions'!$H$40:$H$42,MATCH('Model Inputs &amp; Assumptions'!$L$32,'Model Inputs &amp; Assumptions'!$A$40:$A$42,0))</f>
        <v>1052325.29304297</v>
      </c>
      <c r="K2175" s="49" t="n">
        <f aca="false">H2175*INDEX('Model Inputs &amp; Assumptions'!$G$40:$G$42,MATCH('Model Inputs &amp; Assumptions'!$L$32,'Model Inputs &amp; Assumptions'!$A$40:$A$42,0))*INDEX('Model Inputs &amp; Assumptions'!$H$40:$H$42,MATCH('Model Inputs &amp; Assumptions'!$L$32,'Model Inputs &amp; Assumptions'!$A$40:$A$42,0))</f>
        <v>22098.8311539025</v>
      </c>
      <c r="L2175" s="51" t="n">
        <f aca="false">IFERROR(K2175/I2175,0)</f>
        <v>1.70917962725712</v>
      </c>
      <c r="M2175" s="49" t="n">
        <f aca="false">IFERROR(I2175/H2175,0)</f>
        <v>66.3476197536846</v>
      </c>
      <c r="N2175" s="52" t="str">
        <f aca="false">'Model Inputs &amp; Assumptions'!$L$32</f>
        <v>PRD-SP01</v>
      </c>
      <c r="P2175" s="53" t="n">
        <v>-0.209057</v>
      </c>
      <c r="Q2175" s="53" t="n">
        <v>0.266601</v>
      </c>
      <c r="R2175" s="53" t="n">
        <v>-0.221984</v>
      </c>
      <c r="S2175" s="53" t="n">
        <v>1.032477</v>
      </c>
    </row>
    <row r="2176" customFormat="false" ht="15" hidden="false" customHeight="false" outlineLevel="0" collapsed="false">
      <c r="A2176" s="43" t="n">
        <v>173</v>
      </c>
      <c r="B2176" s="44" t="str">
        <f aca="false">'Model Inputs &amp; Assumptions'!$B$32</f>
        <v>Trade Republic — In-App Display</v>
      </c>
      <c r="C2176" s="45" t="n">
        <f aca="false">ROUND(MAX(0,'Model Inputs &amp; Assumptions'!$S$32*EXP('Model Inputs &amp; Assumptions'!$T$32*P2176-'Model Inputs &amp; Assumptions'!$T$32^2/2)),0)</f>
        <v>1270836</v>
      </c>
      <c r="D2176" s="46" t="n">
        <f aca="false">MIN(1,'Model Inputs &amp; Assumptions'!$U$32*EXP('Model Inputs &amp; Assumptions'!$V$32*Q2176-'Model Inputs &amp; Assumptions'!$V$32^2/2))</f>
        <v>0</v>
      </c>
      <c r="E2176" s="45" t="n">
        <f aca="false">ROUND(C2176*D2176,0)</f>
        <v>0</v>
      </c>
      <c r="F2176" s="47" t="n">
        <f aca="false">MIN(1,'Model Inputs &amp; Assumptions'!$W$32*EXP('Model Inputs &amp; Assumptions'!$X$32*R2176-'Model Inputs &amp; Assumptions'!$X$32^2/2))</f>
        <v>0.00617492704886562</v>
      </c>
      <c r="G2176" s="45" t="n">
        <f aca="false">ROUND(C2176*F2176,0)</f>
        <v>7847</v>
      </c>
      <c r="H2176" s="48" t="n">
        <f aca="false">MAX(0,(C2176*'Model Inputs &amp; Assumptions'!$N$32+E2176*'Model Inputs &amp; Assumptions'!$O$32+G2176*'Model Inputs &amp; Assumptions'!$P$32)*EXP('Model Inputs &amp; Assumptions'!$Q$32*S2176-'Model Inputs &amp; Assumptions'!$Q$32^2/2))</f>
        <v>253.82305310077</v>
      </c>
      <c r="I2176" s="49" t="n">
        <f aca="false">IF('Model Inputs &amp; Assumptions'!$H$32="Fixed",'Model Inputs &amp; Assumptions'!$I$32*'Model Inputs &amp; Assumptions'!$K$32,IF('Model Inputs &amp; Assumptions'!$H$32="CPM",'Model Inputs &amp; Assumptions'!$I$32*'Model Inputs &amp; Assumptions'!$K$32*C2176/1000,IF('Model Inputs &amp; Assumptions'!$H$32="CPC",'Model Inputs &amp; Assumptions'!$I$32*'Model Inputs &amp; Assumptions'!$K$32*G2176,0)))</f>
        <v>15250.032</v>
      </c>
      <c r="J2176" s="50" t="n">
        <f aca="false">H2176*INDEX('Model Inputs &amp; Assumptions'!$D$40:$D$42,MATCH('Model Inputs &amp; Assumptions'!$L$32,'Model Inputs &amp; Assumptions'!$A$40:$A$42,0))*INDEX('Model Inputs &amp; Assumptions'!$H$40:$H$42,MATCH('Model Inputs &amp; Assumptions'!$L$32,'Model Inputs &amp; Assumptions'!$A$40:$A$42,0))</f>
        <v>1370644.48674416</v>
      </c>
      <c r="K2176" s="49" t="n">
        <f aca="false">H2176*INDEX('Model Inputs &amp; Assumptions'!$G$40:$G$42,MATCH('Model Inputs &amp; Assumptions'!$L$32,'Model Inputs &amp; Assumptions'!$A$40:$A$42,0))*INDEX('Model Inputs &amp; Assumptions'!$H$40:$H$42,MATCH('Model Inputs &amp; Assumptions'!$L$32,'Model Inputs &amp; Assumptions'!$A$40:$A$42,0))</f>
        <v>28783.5342216273</v>
      </c>
      <c r="L2176" s="51" t="n">
        <f aca="false">IFERROR(K2176/I2176,0)</f>
        <v>1.88744090646022</v>
      </c>
      <c r="M2176" s="49" t="n">
        <f aca="false">IFERROR(I2176/H2176,0)</f>
        <v>60.0813512157448</v>
      </c>
      <c r="N2176" s="52" t="str">
        <f aca="false">'Model Inputs &amp; Assumptions'!$L$32</f>
        <v>PRD-SP01</v>
      </c>
      <c r="P2176" s="53" t="n">
        <v>0.341179</v>
      </c>
      <c r="Q2176" s="53" t="n">
        <v>1.114762</v>
      </c>
      <c r="R2176" s="53" t="n">
        <v>2.042447</v>
      </c>
      <c r="S2176" s="53" t="n">
        <v>-1.03913</v>
      </c>
    </row>
    <row r="2177" customFormat="false" ht="15" hidden="false" customHeight="false" outlineLevel="0" collapsed="false">
      <c r="A2177" s="43" t="n">
        <v>174</v>
      </c>
      <c r="B2177" s="44" t="str">
        <f aca="false">'Model Inputs &amp; Assumptions'!$B$32</f>
        <v>Trade Republic — In-App Display</v>
      </c>
      <c r="C2177" s="45" t="n">
        <f aca="false">ROUND(MAX(0,'Model Inputs &amp; Assumptions'!$S$32*EXP('Model Inputs &amp; Assumptions'!$T$32*P2177-'Model Inputs &amp; Assumptions'!$T$32^2/2)),0)</f>
        <v>1100646</v>
      </c>
      <c r="D2177" s="46" t="n">
        <f aca="false">MIN(1,'Model Inputs &amp; Assumptions'!$U$32*EXP('Model Inputs &amp; Assumptions'!$V$32*Q2177-'Model Inputs &amp; Assumptions'!$V$32^2/2))</f>
        <v>0</v>
      </c>
      <c r="E2177" s="45" t="n">
        <f aca="false">ROUND(C2177*D2177,0)</f>
        <v>0</v>
      </c>
      <c r="F2177" s="47" t="n">
        <f aca="false">MIN(1,'Model Inputs &amp; Assumptions'!$W$32*EXP('Model Inputs &amp; Assumptions'!$X$32*R2177-'Model Inputs &amp; Assumptions'!$X$32^2/2))</f>
        <v>0.00475616451130064</v>
      </c>
      <c r="G2177" s="45" t="n">
        <f aca="false">ROUND(C2177*F2177,0)</f>
        <v>5235</v>
      </c>
      <c r="H2177" s="48" t="n">
        <f aca="false">MAX(0,(C2177*'Model Inputs &amp; Assumptions'!$N$32+E2177*'Model Inputs &amp; Assumptions'!$O$32+G2177*'Model Inputs &amp; Assumptions'!$P$32)*EXP('Model Inputs &amp; Assumptions'!$Q$32*S2177-'Model Inputs &amp; Assumptions'!$Q$32^2/2))</f>
        <v>209.46865166169</v>
      </c>
      <c r="I2177" s="49" t="n">
        <f aca="false">IF('Model Inputs &amp; Assumptions'!$H$32="Fixed",'Model Inputs &amp; Assumptions'!$I$32*'Model Inputs &amp; Assumptions'!$K$32,IF('Model Inputs &amp; Assumptions'!$H$32="CPM",'Model Inputs &amp; Assumptions'!$I$32*'Model Inputs &amp; Assumptions'!$K$32*C2177/1000,IF('Model Inputs &amp; Assumptions'!$H$32="CPC",'Model Inputs &amp; Assumptions'!$I$32*'Model Inputs &amp; Assumptions'!$K$32*G2177,0)))</f>
        <v>13207.752</v>
      </c>
      <c r="J2177" s="50" t="n">
        <f aca="false">H2177*INDEX('Model Inputs &amp; Assumptions'!$D$40:$D$42,MATCH('Model Inputs &amp; Assumptions'!$L$32,'Model Inputs &amp; Assumptions'!$A$40:$A$42,0))*INDEX('Model Inputs &amp; Assumptions'!$H$40:$H$42,MATCH('Model Inputs &amp; Assumptions'!$L$32,'Model Inputs &amp; Assumptions'!$A$40:$A$42,0))</f>
        <v>1131130.71897313</v>
      </c>
      <c r="K2177" s="49" t="n">
        <f aca="false">H2177*INDEX('Model Inputs &amp; Assumptions'!$G$40:$G$42,MATCH('Model Inputs &amp; Assumptions'!$L$32,'Model Inputs &amp; Assumptions'!$A$40:$A$42,0))*INDEX('Model Inputs &amp; Assumptions'!$H$40:$H$42,MATCH('Model Inputs &amp; Assumptions'!$L$32,'Model Inputs &amp; Assumptions'!$A$40:$A$42,0))</f>
        <v>23753.7450984357</v>
      </c>
      <c r="L2177" s="51" t="n">
        <f aca="false">IFERROR(K2177/I2177,0)</f>
        <v>1.79846995146757</v>
      </c>
      <c r="M2177" s="49" t="n">
        <f aca="false">IFERROR(I2177/H2177,0)</f>
        <v>63.0535972577493</v>
      </c>
      <c r="N2177" s="52" t="str">
        <f aca="false">'Model Inputs &amp; Assumptions'!$L$32</f>
        <v>PRD-SP01</v>
      </c>
      <c r="P2177" s="53" t="n">
        <v>-0.138082</v>
      </c>
      <c r="Q2177" s="53" t="n">
        <v>-1.246598</v>
      </c>
      <c r="R2177" s="53" t="n">
        <v>1.172262</v>
      </c>
      <c r="S2177" s="53" t="n">
        <v>-0.279483</v>
      </c>
    </row>
    <row r="2178" customFormat="false" ht="15" hidden="false" customHeight="false" outlineLevel="0" collapsed="false">
      <c r="A2178" s="43" t="n">
        <v>175</v>
      </c>
      <c r="B2178" s="44" t="str">
        <f aca="false">'Model Inputs &amp; Assumptions'!$B$32</f>
        <v>Trade Republic — In-App Display</v>
      </c>
      <c r="C2178" s="45" t="n">
        <f aca="false">ROUND(MAX(0,'Model Inputs &amp; Assumptions'!$S$32*EXP('Model Inputs &amp; Assumptions'!$T$32*P2178-'Model Inputs &amp; Assumptions'!$T$32^2/2)),0)</f>
        <v>971088</v>
      </c>
      <c r="D2178" s="46" t="n">
        <f aca="false">MIN(1,'Model Inputs &amp; Assumptions'!$U$32*EXP('Model Inputs &amp; Assumptions'!$V$32*Q2178-'Model Inputs &amp; Assumptions'!$V$32^2/2))</f>
        <v>0</v>
      </c>
      <c r="E2178" s="45" t="n">
        <f aca="false">ROUND(C2178*D2178,0)</f>
        <v>0</v>
      </c>
      <c r="F2178" s="47" t="n">
        <f aca="false">MIN(1,'Model Inputs &amp; Assumptions'!$W$32*EXP('Model Inputs &amp; Assumptions'!$X$32*R2178-'Model Inputs &amp; Assumptions'!$X$32^2/2))</f>
        <v>0.00294971621817413</v>
      </c>
      <c r="G2178" s="45" t="n">
        <f aca="false">ROUND(C2178*F2178,0)</f>
        <v>2864</v>
      </c>
      <c r="H2178" s="48" t="n">
        <f aca="false">MAX(0,(C2178*'Model Inputs &amp; Assumptions'!$N$32+E2178*'Model Inputs &amp; Assumptions'!$O$32+G2178*'Model Inputs &amp; Assumptions'!$P$32)*EXP('Model Inputs &amp; Assumptions'!$Q$32*S2178-'Model Inputs &amp; Assumptions'!$Q$32^2/2))</f>
        <v>130.559886106415</v>
      </c>
      <c r="I2178" s="49" t="n">
        <f aca="false">IF('Model Inputs &amp; Assumptions'!$H$32="Fixed",'Model Inputs &amp; Assumptions'!$I$32*'Model Inputs &amp; Assumptions'!$K$32,IF('Model Inputs &amp; Assumptions'!$H$32="CPM",'Model Inputs &amp; Assumptions'!$I$32*'Model Inputs &amp; Assumptions'!$K$32*C2178/1000,IF('Model Inputs &amp; Assumptions'!$H$32="CPC",'Model Inputs &amp; Assumptions'!$I$32*'Model Inputs &amp; Assumptions'!$K$32*G2178,0)))</f>
        <v>11653.056</v>
      </c>
      <c r="J2178" s="50" t="n">
        <f aca="false">H2178*INDEX('Model Inputs &amp; Assumptions'!$D$40:$D$42,MATCH('Model Inputs &amp; Assumptions'!$L$32,'Model Inputs &amp; Assumptions'!$A$40:$A$42,0))*INDEX('Model Inputs &amp; Assumptions'!$H$40:$H$42,MATCH('Model Inputs &amp; Assumptions'!$L$32,'Model Inputs &amp; Assumptions'!$A$40:$A$42,0))</f>
        <v>705023.384974642</v>
      </c>
      <c r="K2178" s="49" t="n">
        <f aca="false">H2178*INDEX('Model Inputs &amp; Assumptions'!$G$40:$G$42,MATCH('Model Inputs &amp; Assumptions'!$L$32,'Model Inputs &amp; Assumptions'!$A$40:$A$42,0))*INDEX('Model Inputs &amp; Assumptions'!$H$40:$H$42,MATCH('Model Inputs &amp; Assumptions'!$L$32,'Model Inputs &amp; Assumptions'!$A$40:$A$42,0))</f>
        <v>14805.4910844675</v>
      </c>
      <c r="L2178" s="51" t="n">
        <f aca="false">IFERROR(K2178/I2178,0)</f>
        <v>1.27052432293018</v>
      </c>
      <c r="M2178" s="49" t="n">
        <f aca="false">IFERROR(I2178/H2178,0)</f>
        <v>89.2544896255651</v>
      </c>
      <c r="N2178" s="52" t="str">
        <f aca="false">'Model Inputs &amp; Assumptions'!$L$32</f>
        <v>PRD-SP01</v>
      </c>
      <c r="P2178" s="53" t="n">
        <v>-0.555531</v>
      </c>
      <c r="Q2178" s="53" t="n">
        <v>-0.671373</v>
      </c>
      <c r="R2178" s="53" t="n">
        <v>-0.42018</v>
      </c>
      <c r="S2178" s="53" t="n">
        <v>0.186251</v>
      </c>
    </row>
    <row r="2179" customFormat="false" ht="15" hidden="false" customHeight="false" outlineLevel="0" collapsed="false">
      <c r="A2179" s="43" t="n">
        <v>176</v>
      </c>
      <c r="B2179" s="44" t="str">
        <f aca="false">'Model Inputs &amp; Assumptions'!$B$32</f>
        <v>Trade Republic — In-App Display</v>
      </c>
      <c r="C2179" s="45" t="n">
        <f aca="false">ROUND(MAX(0,'Model Inputs &amp; Assumptions'!$S$32*EXP('Model Inputs &amp; Assumptions'!$T$32*P2179-'Model Inputs &amp; Assumptions'!$T$32^2/2)),0)</f>
        <v>1297885</v>
      </c>
      <c r="D2179" s="46" t="n">
        <f aca="false">MIN(1,'Model Inputs &amp; Assumptions'!$U$32*EXP('Model Inputs &amp; Assumptions'!$V$32*Q2179-'Model Inputs &amp; Assumptions'!$V$32^2/2))</f>
        <v>0</v>
      </c>
      <c r="E2179" s="45" t="n">
        <f aca="false">ROUND(C2179*D2179,0)</f>
        <v>0</v>
      </c>
      <c r="F2179" s="47" t="n">
        <f aca="false">MIN(1,'Model Inputs &amp; Assumptions'!$W$32*EXP('Model Inputs &amp; Assumptions'!$X$32*R2179-'Model Inputs &amp; Assumptions'!$X$32^2/2))</f>
        <v>0.00499492735522054</v>
      </c>
      <c r="G2179" s="45" t="n">
        <f aca="false">ROUND(C2179*F2179,0)</f>
        <v>6483</v>
      </c>
      <c r="H2179" s="48" t="n">
        <f aca="false">MAX(0,(C2179*'Model Inputs &amp; Assumptions'!$N$32+E2179*'Model Inputs &amp; Assumptions'!$O$32+G2179*'Model Inputs &amp; Assumptions'!$P$32)*EXP('Model Inputs &amp; Assumptions'!$Q$32*S2179-'Model Inputs &amp; Assumptions'!$Q$32^2/2))</f>
        <v>190.441240080161</v>
      </c>
      <c r="I2179" s="49" t="n">
        <f aca="false">IF('Model Inputs &amp; Assumptions'!$H$32="Fixed",'Model Inputs &amp; Assumptions'!$I$32*'Model Inputs &amp; Assumptions'!$K$32,IF('Model Inputs &amp; Assumptions'!$H$32="CPM",'Model Inputs &amp; Assumptions'!$I$32*'Model Inputs &amp; Assumptions'!$K$32*C2179/1000,IF('Model Inputs &amp; Assumptions'!$H$32="CPC",'Model Inputs &amp; Assumptions'!$I$32*'Model Inputs &amp; Assumptions'!$K$32*G2179,0)))</f>
        <v>15574.62</v>
      </c>
      <c r="J2179" s="50" t="n">
        <f aca="false">H2179*INDEX('Model Inputs &amp; Assumptions'!$D$40:$D$42,MATCH('Model Inputs &amp; Assumptions'!$L$32,'Model Inputs &amp; Assumptions'!$A$40:$A$42,0))*INDEX('Model Inputs &amp; Assumptions'!$H$40:$H$42,MATCH('Model Inputs &amp; Assumptions'!$L$32,'Model Inputs &amp; Assumptions'!$A$40:$A$42,0))</f>
        <v>1028382.69643287</v>
      </c>
      <c r="K2179" s="49" t="n">
        <f aca="false">H2179*INDEX('Model Inputs &amp; Assumptions'!$G$40:$G$42,MATCH('Model Inputs &amp; Assumptions'!$L$32,'Model Inputs &amp; Assumptions'!$A$40:$A$42,0))*INDEX('Model Inputs &amp; Assumptions'!$H$40:$H$42,MATCH('Model Inputs &amp; Assumptions'!$L$32,'Model Inputs &amp; Assumptions'!$A$40:$A$42,0))</f>
        <v>21596.0366250903</v>
      </c>
      <c r="L2179" s="51" t="n">
        <f aca="false">IFERROR(K2179/I2179,0)</f>
        <v>1.38661724171057</v>
      </c>
      <c r="M2179" s="49" t="n">
        <f aca="false">IFERROR(I2179/H2179,0)</f>
        <v>81.7817611009269</v>
      </c>
      <c r="N2179" s="52" t="str">
        <f aca="false">'Model Inputs &amp; Assumptions'!$L$32</f>
        <v>PRD-SP01</v>
      </c>
      <c r="P2179" s="53" t="n">
        <v>0.411381</v>
      </c>
      <c r="Q2179" s="53" t="n">
        <v>-2.490901</v>
      </c>
      <c r="R2179" s="53" t="n">
        <v>1.335533</v>
      </c>
      <c r="S2179" s="53" t="n">
        <v>-1.383222</v>
      </c>
    </row>
    <row r="2180" customFormat="false" ht="15" hidden="false" customHeight="false" outlineLevel="0" collapsed="false">
      <c r="A2180" s="43" t="n">
        <v>177</v>
      </c>
      <c r="B2180" s="44" t="str">
        <f aca="false">'Model Inputs &amp; Assumptions'!$B$32</f>
        <v>Trade Republic — In-App Display</v>
      </c>
      <c r="C2180" s="45" t="n">
        <f aca="false">ROUND(MAX(0,'Model Inputs &amp; Assumptions'!$S$32*EXP('Model Inputs &amp; Assumptions'!$T$32*P2180-'Model Inputs &amp; Assumptions'!$T$32^2/2)),0)</f>
        <v>1308361</v>
      </c>
      <c r="D2180" s="46" t="n">
        <f aca="false">MIN(1,'Model Inputs &amp; Assumptions'!$U$32*EXP('Model Inputs &amp; Assumptions'!$V$32*Q2180-'Model Inputs &amp; Assumptions'!$V$32^2/2))</f>
        <v>0</v>
      </c>
      <c r="E2180" s="45" t="n">
        <f aca="false">ROUND(C2180*D2180,0)</f>
        <v>0</v>
      </c>
      <c r="F2180" s="47" t="n">
        <f aca="false">MIN(1,'Model Inputs &amp; Assumptions'!$W$32*EXP('Model Inputs &amp; Assumptions'!$X$32*R2180-'Model Inputs &amp; Assumptions'!$X$32^2/2))</f>
        <v>0.00280567139964526</v>
      </c>
      <c r="G2180" s="45" t="n">
        <f aca="false">ROUND(C2180*F2180,0)</f>
        <v>3671</v>
      </c>
      <c r="H2180" s="48" t="n">
        <f aca="false">MAX(0,(C2180*'Model Inputs &amp; Assumptions'!$N$32+E2180*'Model Inputs &amp; Assumptions'!$O$32+G2180*'Model Inputs &amp; Assumptions'!$P$32)*EXP('Model Inputs &amp; Assumptions'!$Q$32*S2180-'Model Inputs &amp; Assumptions'!$Q$32^2/2))</f>
        <v>130.233140704324</v>
      </c>
      <c r="I2180" s="49" t="n">
        <f aca="false">IF('Model Inputs &amp; Assumptions'!$H$32="Fixed",'Model Inputs &amp; Assumptions'!$I$32*'Model Inputs &amp; Assumptions'!$K$32,IF('Model Inputs &amp; Assumptions'!$H$32="CPM",'Model Inputs &amp; Assumptions'!$I$32*'Model Inputs &amp; Assumptions'!$K$32*C2180/1000,IF('Model Inputs &amp; Assumptions'!$H$32="CPC",'Model Inputs &amp; Assumptions'!$I$32*'Model Inputs &amp; Assumptions'!$K$32*G2180,0)))</f>
        <v>15700.332</v>
      </c>
      <c r="J2180" s="50" t="n">
        <f aca="false">H2180*INDEX('Model Inputs &amp; Assumptions'!$D$40:$D$42,MATCH('Model Inputs &amp; Assumptions'!$L$32,'Model Inputs &amp; Assumptions'!$A$40:$A$42,0))*INDEX('Model Inputs &amp; Assumptions'!$H$40:$H$42,MATCH('Model Inputs &amp; Assumptions'!$L$32,'Model Inputs &amp; Assumptions'!$A$40:$A$42,0))</f>
        <v>703258.959803349</v>
      </c>
      <c r="K2180" s="49" t="n">
        <f aca="false">H2180*INDEX('Model Inputs &amp; Assumptions'!$G$40:$G$42,MATCH('Model Inputs &amp; Assumptions'!$L$32,'Model Inputs &amp; Assumptions'!$A$40:$A$42,0))*INDEX('Model Inputs &amp; Assumptions'!$H$40:$H$42,MATCH('Model Inputs &amp; Assumptions'!$L$32,'Model Inputs &amp; Assumptions'!$A$40:$A$42,0))</f>
        <v>14768.4381558703</v>
      </c>
      <c r="L2180" s="51" t="n">
        <f aca="false">IFERROR(K2180/I2180,0)</f>
        <v>0.94064495934674</v>
      </c>
      <c r="M2180" s="49" t="n">
        <f aca="false">IFERROR(I2180/H2180,0)</f>
        <v>120.555581437181</v>
      </c>
      <c r="N2180" s="52" t="str">
        <f aca="false">'Model Inputs &amp; Assumptions'!$L$32</f>
        <v>PRD-SP01</v>
      </c>
      <c r="P2180" s="53" t="n">
        <v>0.43818</v>
      </c>
      <c r="Q2180" s="53" t="n">
        <v>-0.938177</v>
      </c>
      <c r="R2180" s="53" t="n">
        <v>-0.587067</v>
      </c>
      <c r="S2180" s="53" t="n">
        <v>-0.709287</v>
      </c>
    </row>
    <row r="2181" customFormat="false" ht="15" hidden="false" customHeight="false" outlineLevel="0" collapsed="false">
      <c r="A2181" s="43" t="n">
        <v>178</v>
      </c>
      <c r="B2181" s="44" t="str">
        <f aca="false">'Model Inputs &amp; Assumptions'!$B$32</f>
        <v>Trade Republic — In-App Display</v>
      </c>
      <c r="C2181" s="45" t="n">
        <f aca="false">ROUND(MAX(0,'Model Inputs &amp; Assumptions'!$S$32*EXP('Model Inputs &amp; Assumptions'!$T$32*P2181-'Model Inputs &amp; Assumptions'!$T$32^2/2)),0)</f>
        <v>783689</v>
      </c>
      <c r="D2181" s="46" t="n">
        <f aca="false">MIN(1,'Model Inputs &amp; Assumptions'!$U$32*EXP('Model Inputs &amp; Assumptions'!$V$32*Q2181-'Model Inputs &amp; Assumptions'!$V$32^2/2))</f>
        <v>0</v>
      </c>
      <c r="E2181" s="45" t="n">
        <f aca="false">ROUND(C2181*D2181,0)</f>
        <v>0</v>
      </c>
      <c r="F2181" s="47" t="n">
        <f aca="false">MIN(1,'Model Inputs &amp; Assumptions'!$W$32*EXP('Model Inputs &amp; Assumptions'!$X$32*R2181-'Model Inputs &amp; Assumptions'!$X$32^2/2))</f>
        <v>0.00292576465928073</v>
      </c>
      <c r="G2181" s="45" t="n">
        <f aca="false">ROUND(C2181*F2181,0)</f>
        <v>2293</v>
      </c>
      <c r="H2181" s="48" t="n">
        <f aca="false">MAX(0,(C2181*'Model Inputs &amp; Assumptions'!$N$32+E2181*'Model Inputs &amp; Assumptions'!$O$32+G2181*'Model Inputs &amp; Assumptions'!$P$32)*EXP('Model Inputs &amp; Assumptions'!$Q$32*S2181-'Model Inputs &amp; Assumptions'!$Q$32^2/2))</f>
        <v>61.1130393654968</v>
      </c>
      <c r="I2181" s="49" t="n">
        <f aca="false">IF('Model Inputs &amp; Assumptions'!$H$32="Fixed",'Model Inputs &amp; Assumptions'!$I$32*'Model Inputs &amp; Assumptions'!$K$32,IF('Model Inputs &amp; Assumptions'!$H$32="CPM",'Model Inputs &amp; Assumptions'!$I$32*'Model Inputs &amp; Assumptions'!$K$32*C2181/1000,IF('Model Inputs &amp; Assumptions'!$H$32="CPC",'Model Inputs &amp; Assumptions'!$I$32*'Model Inputs &amp; Assumptions'!$K$32*G2181,0)))</f>
        <v>9404.268</v>
      </c>
      <c r="J2181" s="50" t="n">
        <f aca="false">H2181*INDEX('Model Inputs &amp; Assumptions'!$D$40:$D$42,MATCH('Model Inputs &amp; Assumptions'!$L$32,'Model Inputs &amp; Assumptions'!$A$40:$A$42,0))*INDEX('Model Inputs &amp; Assumptions'!$H$40:$H$42,MATCH('Model Inputs &amp; Assumptions'!$L$32,'Model Inputs &amp; Assumptions'!$A$40:$A$42,0))</f>
        <v>330010.412573683</v>
      </c>
      <c r="K2181" s="49" t="n">
        <f aca="false">H2181*INDEX('Model Inputs &amp; Assumptions'!$G$40:$G$42,MATCH('Model Inputs &amp; Assumptions'!$L$32,'Model Inputs &amp; Assumptions'!$A$40:$A$42,0))*INDEX('Model Inputs &amp; Assumptions'!$H$40:$H$42,MATCH('Model Inputs &amp; Assumptions'!$L$32,'Model Inputs &amp; Assumptions'!$A$40:$A$42,0))</f>
        <v>6930.21866404733</v>
      </c>
      <c r="L2181" s="51" t="n">
        <f aca="false">IFERROR(K2181/I2181,0)</f>
        <v>0.736922710416944</v>
      </c>
      <c r="M2181" s="49" t="n">
        <f aca="false">IFERROR(I2181/H2181,0)</f>
        <v>153.883166303613</v>
      </c>
      <c r="N2181" s="52" t="str">
        <f aca="false">'Model Inputs &amp; Assumptions'!$L$32</f>
        <v>PRD-SP01</v>
      </c>
      <c r="P2181" s="53" t="n">
        <v>-1.270214</v>
      </c>
      <c r="Q2181" s="53" t="n">
        <v>-0.839694</v>
      </c>
      <c r="R2181" s="53" t="n">
        <v>-0.447357</v>
      </c>
      <c r="S2181" s="53" t="n">
        <v>-1.730708</v>
      </c>
    </row>
    <row r="2182" customFormat="false" ht="15" hidden="false" customHeight="false" outlineLevel="0" collapsed="false">
      <c r="A2182" s="43" t="n">
        <v>179</v>
      </c>
      <c r="B2182" s="44" t="str">
        <f aca="false">'Model Inputs &amp; Assumptions'!$B$32</f>
        <v>Trade Republic — In-App Display</v>
      </c>
      <c r="C2182" s="45" t="n">
        <f aca="false">ROUND(MAX(0,'Model Inputs &amp; Assumptions'!$S$32*EXP('Model Inputs &amp; Assumptions'!$T$32*P2182-'Model Inputs &amp; Assumptions'!$T$32^2/2)),0)</f>
        <v>1033735</v>
      </c>
      <c r="D2182" s="46" t="n">
        <f aca="false">MIN(1,'Model Inputs &amp; Assumptions'!$U$32*EXP('Model Inputs &amp; Assumptions'!$V$32*Q2182-'Model Inputs &amp; Assumptions'!$V$32^2/2))</f>
        <v>0</v>
      </c>
      <c r="E2182" s="45" t="n">
        <f aca="false">ROUND(C2182*D2182,0)</f>
        <v>0</v>
      </c>
      <c r="F2182" s="47" t="n">
        <f aca="false">MIN(1,'Model Inputs &amp; Assumptions'!$W$32*EXP('Model Inputs &amp; Assumptions'!$X$32*R2182-'Model Inputs &amp; Assumptions'!$X$32^2/2))</f>
        <v>0.00211419445687708</v>
      </c>
      <c r="G2182" s="45" t="n">
        <f aca="false">ROUND(C2182*F2182,0)</f>
        <v>2186</v>
      </c>
      <c r="H2182" s="48" t="n">
        <f aca="false">MAX(0,(C2182*'Model Inputs &amp; Assumptions'!$N$32+E2182*'Model Inputs &amp; Assumptions'!$O$32+G2182*'Model Inputs &amp; Assumptions'!$P$32)*EXP('Model Inputs &amp; Assumptions'!$Q$32*S2182-'Model Inputs &amp; Assumptions'!$Q$32^2/2))</f>
        <v>96.2920614246222</v>
      </c>
      <c r="I2182" s="49" t="n">
        <f aca="false">IF('Model Inputs &amp; Assumptions'!$H$32="Fixed",'Model Inputs &amp; Assumptions'!$I$32*'Model Inputs &amp; Assumptions'!$K$32,IF('Model Inputs &amp; Assumptions'!$H$32="CPM",'Model Inputs &amp; Assumptions'!$I$32*'Model Inputs &amp; Assumptions'!$K$32*C2182/1000,IF('Model Inputs &amp; Assumptions'!$H$32="CPC",'Model Inputs &amp; Assumptions'!$I$32*'Model Inputs &amp; Assumptions'!$K$32*G2182,0)))</f>
        <v>12404.82</v>
      </c>
      <c r="J2182" s="50" t="n">
        <f aca="false">H2182*INDEX('Model Inputs &amp; Assumptions'!$D$40:$D$42,MATCH('Model Inputs &amp; Assumptions'!$L$32,'Model Inputs &amp; Assumptions'!$A$40:$A$42,0))*INDEX('Model Inputs &amp; Assumptions'!$H$40:$H$42,MATCH('Model Inputs &amp; Assumptions'!$L$32,'Model Inputs &amp; Assumptions'!$A$40:$A$42,0))</f>
        <v>519977.13169296</v>
      </c>
      <c r="K2182" s="49" t="n">
        <f aca="false">H2182*INDEX('Model Inputs &amp; Assumptions'!$G$40:$G$42,MATCH('Model Inputs &amp; Assumptions'!$L$32,'Model Inputs &amp; Assumptions'!$A$40:$A$42,0))*INDEX('Model Inputs &amp; Assumptions'!$H$40:$H$42,MATCH('Model Inputs &amp; Assumptions'!$L$32,'Model Inputs &amp; Assumptions'!$A$40:$A$42,0))</f>
        <v>10919.5197655522</v>
      </c>
      <c r="L2182" s="51" t="n">
        <f aca="false">IFERROR(K2182/I2182,0)</f>
        <v>0.880264265467146</v>
      </c>
      <c r="M2182" s="49" t="n">
        <f aca="false">IFERROR(I2182/H2182,0)</f>
        <v>128.824950016368</v>
      </c>
      <c r="N2182" s="52" t="str">
        <f aca="false">'Model Inputs &amp; Assumptions'!$L$32</f>
        <v>PRD-SP01</v>
      </c>
      <c r="P2182" s="53" t="n">
        <v>-0.347144</v>
      </c>
      <c r="Q2182" s="53" t="n">
        <v>0.730167</v>
      </c>
      <c r="R2182" s="53" t="n">
        <v>-1.530297</v>
      </c>
      <c r="S2182" s="53" t="n">
        <v>0.06375</v>
      </c>
    </row>
    <row r="2183" customFormat="false" ht="15" hidden="false" customHeight="false" outlineLevel="0" collapsed="false">
      <c r="A2183" s="43" t="n">
        <v>180</v>
      </c>
      <c r="B2183" s="44" t="str">
        <f aca="false">'Model Inputs &amp; Assumptions'!$B$32</f>
        <v>Trade Republic — In-App Display</v>
      </c>
      <c r="C2183" s="45" t="n">
        <f aca="false">ROUND(MAX(0,'Model Inputs &amp; Assumptions'!$S$32*EXP('Model Inputs &amp; Assumptions'!$T$32*P2183-'Model Inputs &amp; Assumptions'!$T$32^2/2)),0)</f>
        <v>1369010</v>
      </c>
      <c r="D2183" s="46" t="n">
        <f aca="false">MIN(1,'Model Inputs &amp; Assumptions'!$U$32*EXP('Model Inputs &amp; Assumptions'!$V$32*Q2183-'Model Inputs &amp; Assumptions'!$V$32^2/2))</f>
        <v>0</v>
      </c>
      <c r="E2183" s="45" t="n">
        <f aca="false">ROUND(C2183*D2183,0)</f>
        <v>0</v>
      </c>
      <c r="F2183" s="47" t="n">
        <f aca="false">MIN(1,'Model Inputs &amp; Assumptions'!$W$32*EXP('Model Inputs &amp; Assumptions'!$X$32*R2183-'Model Inputs &amp; Assumptions'!$X$32^2/2))</f>
        <v>0.0023510333819389</v>
      </c>
      <c r="G2183" s="45" t="n">
        <f aca="false">ROUND(C2183*F2183,0)</f>
        <v>3219</v>
      </c>
      <c r="H2183" s="48" t="n">
        <f aca="false">MAX(0,(C2183*'Model Inputs &amp; Assumptions'!$N$32+E2183*'Model Inputs &amp; Assumptions'!$O$32+G2183*'Model Inputs &amp; Assumptions'!$P$32)*EXP('Model Inputs &amp; Assumptions'!$Q$32*S2183-'Model Inputs &amp; Assumptions'!$Q$32^2/2))</f>
        <v>152.700419904566</v>
      </c>
      <c r="I2183" s="49" t="n">
        <f aca="false">IF('Model Inputs &amp; Assumptions'!$H$32="Fixed",'Model Inputs &amp; Assumptions'!$I$32*'Model Inputs &amp; Assumptions'!$K$32,IF('Model Inputs &amp; Assumptions'!$H$32="CPM",'Model Inputs &amp; Assumptions'!$I$32*'Model Inputs &amp; Assumptions'!$K$32*C2183/1000,IF('Model Inputs &amp; Assumptions'!$H$32="CPC",'Model Inputs &amp; Assumptions'!$I$32*'Model Inputs &amp; Assumptions'!$K$32*G2183,0)))</f>
        <v>16428.12</v>
      </c>
      <c r="J2183" s="50" t="n">
        <f aca="false">H2183*INDEX('Model Inputs &amp; Assumptions'!$D$40:$D$42,MATCH('Model Inputs &amp; Assumptions'!$L$32,'Model Inputs &amp; Assumptions'!$A$40:$A$42,0))*INDEX('Model Inputs &amp; Assumptions'!$H$40:$H$42,MATCH('Model Inputs &amp; Assumptions'!$L$32,'Model Inputs &amp; Assumptions'!$A$40:$A$42,0))</f>
        <v>824582.267484659</v>
      </c>
      <c r="K2183" s="49" t="n">
        <f aca="false">H2183*INDEX('Model Inputs &amp; Assumptions'!$G$40:$G$42,MATCH('Model Inputs &amp; Assumptions'!$L$32,'Model Inputs &amp; Assumptions'!$A$40:$A$42,0))*INDEX('Model Inputs &amp; Assumptions'!$H$40:$H$42,MATCH('Model Inputs &amp; Assumptions'!$L$32,'Model Inputs &amp; Assumptions'!$A$40:$A$42,0))</f>
        <v>17316.2276171778</v>
      </c>
      <c r="L2183" s="51" t="n">
        <f aca="false">IFERROR(K2183/I2183,0)</f>
        <v>1.05406021000442</v>
      </c>
      <c r="M2183" s="49" t="n">
        <f aca="false">IFERROR(I2183/H2183,0)</f>
        <v>107.583987066094</v>
      </c>
      <c r="N2183" s="52" t="str">
        <f aca="false">'Model Inputs &amp; Assumptions'!$L$32</f>
        <v>PRD-SP01</v>
      </c>
      <c r="P2183" s="53" t="n">
        <v>0.589221</v>
      </c>
      <c r="Q2183" s="53" t="n">
        <v>-0.092079</v>
      </c>
      <c r="R2183" s="53" t="n">
        <v>-1.17636</v>
      </c>
      <c r="S2183" s="53" t="n">
        <v>0.328374</v>
      </c>
    </row>
    <row r="2184" customFormat="false" ht="15" hidden="false" customHeight="false" outlineLevel="0" collapsed="false">
      <c r="A2184" s="43" t="n">
        <v>181</v>
      </c>
      <c r="B2184" s="44" t="str">
        <f aca="false">'Model Inputs &amp; Assumptions'!$B$32</f>
        <v>Trade Republic — In-App Display</v>
      </c>
      <c r="C2184" s="45" t="n">
        <f aca="false">ROUND(MAX(0,'Model Inputs &amp; Assumptions'!$S$32*EXP('Model Inputs &amp; Assumptions'!$T$32*P2184-'Model Inputs &amp; Assumptions'!$T$32^2/2)),0)</f>
        <v>913073</v>
      </c>
      <c r="D2184" s="46" t="n">
        <f aca="false">MIN(1,'Model Inputs &amp; Assumptions'!$U$32*EXP('Model Inputs &amp; Assumptions'!$V$32*Q2184-'Model Inputs &amp; Assumptions'!$V$32^2/2))</f>
        <v>0</v>
      </c>
      <c r="E2184" s="45" t="n">
        <f aca="false">ROUND(C2184*D2184,0)</f>
        <v>0</v>
      </c>
      <c r="F2184" s="47" t="n">
        <f aca="false">MIN(1,'Model Inputs &amp; Assumptions'!$W$32*EXP('Model Inputs &amp; Assumptions'!$X$32*R2184-'Model Inputs &amp; Assumptions'!$X$32^2/2))</f>
        <v>0.00299110734546928</v>
      </c>
      <c r="G2184" s="45" t="n">
        <f aca="false">ROUND(C2184*F2184,0)</f>
        <v>2731</v>
      </c>
      <c r="H2184" s="48" t="n">
        <f aca="false">MAX(0,(C2184*'Model Inputs &amp; Assumptions'!$N$32+E2184*'Model Inputs &amp; Assumptions'!$O$32+G2184*'Model Inputs &amp; Assumptions'!$P$32)*EXP('Model Inputs &amp; Assumptions'!$Q$32*S2184-'Model Inputs &amp; Assumptions'!$Q$32^2/2))</f>
        <v>193.569800256078</v>
      </c>
      <c r="I2184" s="49" t="n">
        <f aca="false">IF('Model Inputs &amp; Assumptions'!$H$32="Fixed",'Model Inputs &amp; Assumptions'!$I$32*'Model Inputs &amp; Assumptions'!$K$32,IF('Model Inputs &amp; Assumptions'!$H$32="CPM",'Model Inputs &amp; Assumptions'!$I$32*'Model Inputs &amp; Assumptions'!$K$32*C2184/1000,IF('Model Inputs &amp; Assumptions'!$H$32="CPC",'Model Inputs &amp; Assumptions'!$I$32*'Model Inputs &amp; Assumptions'!$K$32*G2184,0)))</f>
        <v>10956.876</v>
      </c>
      <c r="J2184" s="50" t="n">
        <f aca="false">H2184*INDEX('Model Inputs &amp; Assumptions'!$D$40:$D$42,MATCH('Model Inputs &amp; Assumptions'!$L$32,'Model Inputs &amp; Assumptions'!$A$40:$A$42,0))*INDEX('Model Inputs &amp; Assumptions'!$H$40:$H$42,MATCH('Model Inputs &amp; Assumptions'!$L$32,'Model Inputs &amp; Assumptions'!$A$40:$A$42,0))</f>
        <v>1045276.92138282</v>
      </c>
      <c r="K2184" s="49" t="n">
        <f aca="false">H2184*INDEX('Model Inputs &amp; Assumptions'!$G$40:$G$42,MATCH('Model Inputs &amp; Assumptions'!$L$32,'Model Inputs &amp; Assumptions'!$A$40:$A$42,0))*INDEX('Model Inputs &amp; Assumptions'!$H$40:$H$42,MATCH('Model Inputs &amp; Assumptions'!$L$32,'Model Inputs &amp; Assumptions'!$A$40:$A$42,0))</f>
        <v>21950.8153490393</v>
      </c>
      <c r="L2184" s="51" t="n">
        <f aca="false">IFERROR(K2184/I2184,0)</f>
        <v>2.00338265661118</v>
      </c>
      <c r="M2184" s="49" t="n">
        <f aca="false">IFERROR(I2184/H2184,0)</f>
        <v>56.6042636067449</v>
      </c>
      <c r="N2184" s="52" t="str">
        <f aca="false">'Model Inputs &amp; Assumptions'!$L$32</f>
        <v>PRD-SP01</v>
      </c>
      <c r="P2184" s="53" t="n">
        <v>-0.76087</v>
      </c>
      <c r="Q2184" s="53" t="n">
        <v>0.202108</v>
      </c>
      <c r="R2184" s="53" t="n">
        <v>-0.373731</v>
      </c>
      <c r="S2184" s="53" t="n">
        <v>1.762528</v>
      </c>
    </row>
    <row r="2185" customFormat="false" ht="15" hidden="false" customHeight="false" outlineLevel="0" collapsed="false">
      <c r="A2185" s="43" t="n">
        <v>182</v>
      </c>
      <c r="B2185" s="44" t="str">
        <f aca="false">'Model Inputs &amp; Assumptions'!$B$32</f>
        <v>Trade Republic — In-App Display</v>
      </c>
      <c r="C2185" s="45" t="n">
        <f aca="false">ROUND(MAX(0,'Model Inputs &amp; Assumptions'!$S$32*EXP('Model Inputs &amp; Assumptions'!$T$32*P2185-'Model Inputs &amp; Assumptions'!$T$32^2/2)),0)</f>
        <v>1507040</v>
      </c>
      <c r="D2185" s="46" t="n">
        <f aca="false">MIN(1,'Model Inputs &amp; Assumptions'!$U$32*EXP('Model Inputs &amp; Assumptions'!$V$32*Q2185-'Model Inputs &amp; Assumptions'!$V$32^2/2))</f>
        <v>0</v>
      </c>
      <c r="E2185" s="45" t="n">
        <f aca="false">ROUND(C2185*D2185,0)</f>
        <v>0</v>
      </c>
      <c r="F2185" s="47" t="n">
        <f aca="false">MIN(1,'Model Inputs &amp; Assumptions'!$W$32*EXP('Model Inputs &amp; Assumptions'!$X$32*R2185-'Model Inputs &amp; Assumptions'!$X$32^2/2))</f>
        <v>0.00515367559820045</v>
      </c>
      <c r="G2185" s="45" t="n">
        <f aca="false">ROUND(C2185*F2185,0)</f>
        <v>7767</v>
      </c>
      <c r="H2185" s="48" t="n">
        <f aca="false">MAX(0,(C2185*'Model Inputs &amp; Assumptions'!$N$32+E2185*'Model Inputs &amp; Assumptions'!$O$32+G2185*'Model Inputs &amp; Assumptions'!$P$32)*EXP('Model Inputs &amp; Assumptions'!$Q$32*S2185-'Model Inputs &amp; Assumptions'!$Q$32^2/2))</f>
        <v>412.251516162696</v>
      </c>
      <c r="I2185" s="49" t="n">
        <f aca="false">IF('Model Inputs &amp; Assumptions'!$H$32="Fixed",'Model Inputs &amp; Assumptions'!$I$32*'Model Inputs &amp; Assumptions'!$K$32,IF('Model Inputs &amp; Assumptions'!$H$32="CPM",'Model Inputs &amp; Assumptions'!$I$32*'Model Inputs &amp; Assumptions'!$K$32*C2185/1000,IF('Model Inputs &amp; Assumptions'!$H$32="CPC",'Model Inputs &amp; Assumptions'!$I$32*'Model Inputs &amp; Assumptions'!$K$32*G2185,0)))</f>
        <v>18084.48</v>
      </c>
      <c r="J2185" s="50" t="n">
        <f aca="false">H2185*INDEX('Model Inputs &amp; Assumptions'!$D$40:$D$42,MATCH('Model Inputs &amp; Assumptions'!$L$32,'Model Inputs &amp; Assumptions'!$A$40:$A$42,0))*INDEX('Model Inputs &amp; Assumptions'!$H$40:$H$42,MATCH('Model Inputs &amp; Assumptions'!$L$32,'Model Inputs &amp; Assumptions'!$A$40:$A$42,0))</f>
        <v>2226158.18727856</v>
      </c>
      <c r="K2185" s="49" t="n">
        <f aca="false">H2185*INDEX('Model Inputs &amp; Assumptions'!$G$40:$G$42,MATCH('Model Inputs &amp; Assumptions'!$L$32,'Model Inputs &amp; Assumptions'!$A$40:$A$42,0))*INDEX('Model Inputs &amp; Assumptions'!$H$40:$H$42,MATCH('Model Inputs &amp; Assumptions'!$L$32,'Model Inputs &amp; Assumptions'!$A$40:$A$42,0))</f>
        <v>46749.3219328498</v>
      </c>
      <c r="L2185" s="51" t="n">
        <f aca="false">IFERROR(K2185/I2185,0)</f>
        <v>2.58505204091297</v>
      </c>
      <c r="M2185" s="49" t="n">
        <f aca="false">IFERROR(I2185/H2185,0)</f>
        <v>43.8675888164906</v>
      </c>
      <c r="N2185" s="52" t="str">
        <f aca="false">'Model Inputs &amp; Assumptions'!$L$32</f>
        <v>PRD-SP01</v>
      </c>
      <c r="P2185" s="53" t="n">
        <v>0.909419</v>
      </c>
      <c r="Q2185" s="53" t="n">
        <v>2.15483</v>
      </c>
      <c r="R2185" s="53" t="n">
        <v>1.439824</v>
      </c>
      <c r="S2185" s="53" t="n">
        <v>0.729597</v>
      </c>
    </row>
    <row r="2186" customFormat="false" ht="15" hidden="false" customHeight="false" outlineLevel="0" collapsed="false">
      <c r="A2186" s="43" t="n">
        <v>183</v>
      </c>
      <c r="B2186" s="44" t="str">
        <f aca="false">'Model Inputs &amp; Assumptions'!$B$32</f>
        <v>Trade Republic — In-App Display</v>
      </c>
      <c r="C2186" s="45" t="n">
        <f aca="false">ROUND(MAX(0,'Model Inputs &amp; Assumptions'!$S$32*EXP('Model Inputs &amp; Assumptions'!$T$32*P2186-'Model Inputs &amp; Assumptions'!$T$32^2/2)),0)</f>
        <v>669680</v>
      </c>
      <c r="D2186" s="46" t="n">
        <f aca="false">MIN(1,'Model Inputs &amp; Assumptions'!$U$32*EXP('Model Inputs &amp; Assumptions'!$V$32*Q2186-'Model Inputs &amp; Assumptions'!$V$32^2/2))</f>
        <v>0</v>
      </c>
      <c r="E2186" s="45" t="n">
        <f aca="false">ROUND(C2186*D2186,0)</f>
        <v>0</v>
      </c>
      <c r="F2186" s="47" t="n">
        <f aca="false">MIN(1,'Model Inputs &amp; Assumptions'!$W$32*EXP('Model Inputs &amp; Assumptions'!$X$32*R2186-'Model Inputs &amp; Assumptions'!$X$32^2/2))</f>
        <v>0.00293273333936343</v>
      </c>
      <c r="G2186" s="45" t="n">
        <f aca="false">ROUND(C2186*F2186,0)</f>
        <v>1964</v>
      </c>
      <c r="H2186" s="48" t="n">
        <f aca="false">MAX(0,(C2186*'Model Inputs &amp; Assumptions'!$N$32+E2186*'Model Inputs &amp; Assumptions'!$O$32+G2186*'Model Inputs &amp; Assumptions'!$P$32)*EXP('Model Inputs &amp; Assumptions'!$Q$32*S2186-'Model Inputs &amp; Assumptions'!$Q$32^2/2))</f>
        <v>86.9868136305902</v>
      </c>
      <c r="I2186" s="49" t="n">
        <f aca="false">IF('Model Inputs &amp; Assumptions'!$H$32="Fixed",'Model Inputs &amp; Assumptions'!$I$32*'Model Inputs &amp; Assumptions'!$K$32,IF('Model Inputs &amp; Assumptions'!$H$32="CPM",'Model Inputs &amp; Assumptions'!$I$32*'Model Inputs &amp; Assumptions'!$K$32*C2186/1000,IF('Model Inputs &amp; Assumptions'!$H$32="CPC",'Model Inputs &amp; Assumptions'!$I$32*'Model Inputs &amp; Assumptions'!$K$32*G2186,0)))</f>
        <v>8036.16</v>
      </c>
      <c r="J2186" s="50" t="n">
        <f aca="false">H2186*INDEX('Model Inputs &amp; Assumptions'!$D$40:$D$42,MATCH('Model Inputs &amp; Assumptions'!$L$32,'Model Inputs &amp; Assumptions'!$A$40:$A$42,0))*INDEX('Model Inputs &amp; Assumptions'!$H$40:$H$42,MATCH('Model Inputs &amp; Assumptions'!$L$32,'Model Inputs &amp; Assumptions'!$A$40:$A$42,0))</f>
        <v>469728.793605187</v>
      </c>
      <c r="K2186" s="49" t="n">
        <f aca="false">H2186*INDEX('Model Inputs &amp; Assumptions'!$G$40:$G$42,MATCH('Model Inputs &amp; Assumptions'!$L$32,'Model Inputs &amp; Assumptions'!$A$40:$A$42,0))*INDEX('Model Inputs &amp; Assumptions'!$H$40:$H$42,MATCH('Model Inputs &amp; Assumptions'!$L$32,'Model Inputs &amp; Assumptions'!$A$40:$A$42,0))</f>
        <v>9864.30466570892</v>
      </c>
      <c r="L2186" s="51" t="n">
        <f aca="false">IFERROR(K2186/I2186,0)</f>
        <v>1.2274898291857</v>
      </c>
      <c r="M2186" s="49" t="n">
        <f aca="false">IFERROR(I2186/H2186,0)</f>
        <v>92.383657529145</v>
      </c>
      <c r="N2186" s="52" t="str">
        <f aca="false">'Model Inputs &amp; Assumptions'!$L$32</f>
        <v>PRD-SP01</v>
      </c>
      <c r="P2186" s="53" t="n">
        <v>-1.794256</v>
      </c>
      <c r="Q2186" s="53" t="n">
        <v>-0.717117</v>
      </c>
      <c r="R2186" s="53" t="n">
        <v>-0.439427</v>
      </c>
      <c r="S2186" s="53" t="n">
        <v>0.083253</v>
      </c>
    </row>
    <row r="2187" customFormat="false" ht="15" hidden="false" customHeight="false" outlineLevel="0" collapsed="false">
      <c r="A2187" s="43" t="n">
        <v>184</v>
      </c>
      <c r="B2187" s="44" t="str">
        <f aca="false">'Model Inputs &amp; Assumptions'!$B$32</f>
        <v>Trade Republic — In-App Display</v>
      </c>
      <c r="C2187" s="45" t="n">
        <f aca="false">ROUND(MAX(0,'Model Inputs &amp; Assumptions'!$S$32*EXP('Model Inputs &amp; Assumptions'!$T$32*P2187-'Model Inputs &amp; Assumptions'!$T$32^2/2)),0)</f>
        <v>489699</v>
      </c>
      <c r="D2187" s="46" t="n">
        <f aca="false">MIN(1,'Model Inputs &amp; Assumptions'!$U$32*EXP('Model Inputs &amp; Assumptions'!$V$32*Q2187-'Model Inputs &amp; Assumptions'!$V$32^2/2))</f>
        <v>0</v>
      </c>
      <c r="E2187" s="45" t="n">
        <f aca="false">ROUND(C2187*D2187,0)</f>
        <v>0</v>
      </c>
      <c r="F2187" s="47" t="n">
        <f aca="false">MIN(1,'Model Inputs &amp; Assumptions'!$W$32*EXP('Model Inputs &amp; Assumptions'!$X$32*R2187-'Model Inputs &amp; Assumptions'!$X$32^2/2))</f>
        <v>0.00471220508081509</v>
      </c>
      <c r="G2187" s="45" t="n">
        <f aca="false">ROUND(C2187*F2187,0)</f>
        <v>2308</v>
      </c>
      <c r="H2187" s="48" t="n">
        <f aca="false">MAX(0,(C2187*'Model Inputs &amp; Assumptions'!$N$32+E2187*'Model Inputs &amp; Assumptions'!$O$32+G2187*'Model Inputs &amp; Assumptions'!$P$32)*EXP('Model Inputs &amp; Assumptions'!$Q$32*S2187-'Model Inputs &amp; Assumptions'!$Q$32^2/2))</f>
        <v>43.4888471739499</v>
      </c>
      <c r="I2187" s="49" t="n">
        <f aca="false">IF('Model Inputs &amp; Assumptions'!$H$32="Fixed",'Model Inputs &amp; Assumptions'!$I$32*'Model Inputs &amp; Assumptions'!$K$32,IF('Model Inputs &amp; Assumptions'!$H$32="CPM",'Model Inputs &amp; Assumptions'!$I$32*'Model Inputs &amp; Assumptions'!$K$32*C2187/1000,IF('Model Inputs &amp; Assumptions'!$H$32="CPC",'Model Inputs &amp; Assumptions'!$I$32*'Model Inputs &amp; Assumptions'!$K$32*G2187,0)))</f>
        <v>5876.388</v>
      </c>
      <c r="J2187" s="50" t="n">
        <f aca="false">H2187*INDEX('Model Inputs &amp; Assumptions'!$D$40:$D$42,MATCH('Model Inputs &amp; Assumptions'!$L$32,'Model Inputs &amp; Assumptions'!$A$40:$A$42,0))*INDEX('Model Inputs &amp; Assumptions'!$H$40:$H$42,MATCH('Model Inputs &amp; Assumptions'!$L$32,'Model Inputs &amp; Assumptions'!$A$40:$A$42,0))</f>
        <v>234839.774739329</v>
      </c>
      <c r="K2187" s="49" t="n">
        <f aca="false">H2187*INDEX('Model Inputs &amp; Assumptions'!$G$40:$G$42,MATCH('Model Inputs &amp; Assumptions'!$L$32,'Model Inputs &amp; Assumptions'!$A$40:$A$42,0))*INDEX('Model Inputs &amp; Assumptions'!$H$40:$H$42,MATCH('Model Inputs &amp; Assumptions'!$L$32,'Model Inputs &amp; Assumptions'!$A$40:$A$42,0))</f>
        <v>4931.63526952592</v>
      </c>
      <c r="L2187" s="51" t="n">
        <f aca="false">IFERROR(K2187/I2187,0)</f>
        <v>0.839229007602275</v>
      </c>
      <c r="M2187" s="49" t="n">
        <f aca="false">IFERROR(I2187/H2187,0)</f>
        <v>135.124023327066</v>
      </c>
      <c r="N2187" s="52" t="str">
        <f aca="false">'Model Inputs &amp; Assumptions'!$L$32</f>
        <v>PRD-SP01</v>
      </c>
      <c r="P2187" s="53" t="n">
        <v>-2.837617</v>
      </c>
      <c r="Q2187" s="53" t="n">
        <v>0.270396</v>
      </c>
      <c r="R2187" s="53" t="n">
        <v>1.14131</v>
      </c>
      <c r="S2187" s="53" t="n">
        <v>-2.969069</v>
      </c>
    </row>
    <row r="2188" customFormat="false" ht="15" hidden="false" customHeight="false" outlineLevel="0" collapsed="false">
      <c r="A2188" s="43" t="n">
        <v>185</v>
      </c>
      <c r="B2188" s="44" t="str">
        <f aca="false">'Model Inputs &amp; Assumptions'!$B$32</f>
        <v>Trade Republic — In-App Display</v>
      </c>
      <c r="C2188" s="45" t="n">
        <f aca="false">ROUND(MAX(0,'Model Inputs &amp; Assumptions'!$S$32*EXP('Model Inputs &amp; Assumptions'!$T$32*P2188-'Model Inputs &amp; Assumptions'!$T$32^2/2)),0)</f>
        <v>752361</v>
      </c>
      <c r="D2188" s="46" t="n">
        <f aca="false">MIN(1,'Model Inputs &amp; Assumptions'!$U$32*EXP('Model Inputs &amp; Assumptions'!$V$32*Q2188-'Model Inputs &amp; Assumptions'!$V$32^2/2))</f>
        <v>0</v>
      </c>
      <c r="E2188" s="45" t="n">
        <f aca="false">ROUND(C2188*D2188,0)</f>
        <v>0</v>
      </c>
      <c r="F2188" s="47" t="n">
        <f aca="false">MIN(1,'Model Inputs &amp; Assumptions'!$W$32*EXP('Model Inputs &amp; Assumptions'!$X$32*R2188-'Model Inputs &amp; Assumptions'!$X$32^2/2))</f>
        <v>0.00317782934719236</v>
      </c>
      <c r="G2188" s="45" t="n">
        <f aca="false">ROUND(C2188*F2188,0)</f>
        <v>2391</v>
      </c>
      <c r="H2188" s="48" t="n">
        <f aca="false">MAX(0,(C2188*'Model Inputs &amp; Assumptions'!$N$32+E2188*'Model Inputs &amp; Assumptions'!$O$32+G2188*'Model Inputs &amp; Assumptions'!$P$32)*EXP('Model Inputs &amp; Assumptions'!$Q$32*S2188-'Model Inputs &amp; Assumptions'!$Q$32^2/2))</f>
        <v>63.5504563294702</v>
      </c>
      <c r="I2188" s="49" t="n">
        <f aca="false">IF('Model Inputs &amp; Assumptions'!$H$32="Fixed",'Model Inputs &amp; Assumptions'!$I$32*'Model Inputs &amp; Assumptions'!$K$32,IF('Model Inputs &amp; Assumptions'!$H$32="CPM",'Model Inputs &amp; Assumptions'!$I$32*'Model Inputs &amp; Assumptions'!$K$32*C2188/1000,IF('Model Inputs &amp; Assumptions'!$H$32="CPC",'Model Inputs &amp; Assumptions'!$I$32*'Model Inputs &amp; Assumptions'!$K$32*G2188,0)))</f>
        <v>9028.332</v>
      </c>
      <c r="J2188" s="50" t="n">
        <f aca="false">H2188*INDEX('Model Inputs &amp; Assumptions'!$D$40:$D$42,MATCH('Model Inputs &amp; Assumptions'!$L$32,'Model Inputs &amp; Assumptions'!$A$40:$A$42,0))*INDEX('Model Inputs &amp; Assumptions'!$H$40:$H$42,MATCH('Model Inputs &amp; Assumptions'!$L$32,'Model Inputs &amp; Assumptions'!$A$40:$A$42,0))</f>
        <v>343172.464179139</v>
      </c>
      <c r="K2188" s="49" t="n">
        <f aca="false">H2188*INDEX('Model Inputs &amp; Assumptions'!$G$40:$G$42,MATCH('Model Inputs &amp; Assumptions'!$L$32,'Model Inputs &amp; Assumptions'!$A$40:$A$42,0))*INDEX('Model Inputs &amp; Assumptions'!$H$40:$H$42,MATCH('Model Inputs &amp; Assumptions'!$L$32,'Model Inputs &amp; Assumptions'!$A$40:$A$42,0))</f>
        <v>7206.62174776192</v>
      </c>
      <c r="L2188" s="51" t="n">
        <f aca="false">IFERROR(K2188/I2188,0)</f>
        <v>0.798222943923853</v>
      </c>
      <c r="M2188" s="49" t="n">
        <f aca="false">IFERROR(I2188/H2188,0)</f>
        <v>142.065573112388</v>
      </c>
      <c r="N2188" s="52" t="str">
        <f aca="false">'Model Inputs &amp; Assumptions'!$L$32</f>
        <v>PRD-SP01</v>
      </c>
      <c r="P2188" s="53" t="n">
        <v>-1.406202</v>
      </c>
      <c r="Q2188" s="53" t="n">
        <v>-0.32555</v>
      </c>
      <c r="R2188" s="53" t="n">
        <v>-0.171882</v>
      </c>
      <c r="S2188" s="53" t="n">
        <v>-1.7405</v>
      </c>
    </row>
    <row r="2189" customFormat="false" ht="15" hidden="false" customHeight="false" outlineLevel="0" collapsed="false">
      <c r="A2189" s="43" t="n">
        <v>186</v>
      </c>
      <c r="B2189" s="44" t="str">
        <f aca="false">'Model Inputs &amp; Assumptions'!$B$32</f>
        <v>Trade Republic — In-App Display</v>
      </c>
      <c r="C2189" s="45" t="n">
        <f aca="false">ROUND(MAX(0,'Model Inputs &amp; Assumptions'!$S$32*EXP('Model Inputs &amp; Assumptions'!$T$32*P2189-'Model Inputs &amp; Assumptions'!$T$32^2/2)),0)</f>
        <v>1161240</v>
      </c>
      <c r="D2189" s="46" t="n">
        <f aca="false">MIN(1,'Model Inputs &amp; Assumptions'!$U$32*EXP('Model Inputs &amp; Assumptions'!$V$32*Q2189-'Model Inputs &amp; Assumptions'!$V$32^2/2))</f>
        <v>0</v>
      </c>
      <c r="E2189" s="45" t="n">
        <f aca="false">ROUND(C2189*D2189,0)</f>
        <v>0</v>
      </c>
      <c r="F2189" s="47" t="n">
        <f aca="false">MIN(1,'Model Inputs &amp; Assumptions'!$W$32*EXP('Model Inputs &amp; Assumptions'!$X$32*R2189-'Model Inputs &amp; Assumptions'!$X$32^2/2))</f>
        <v>0.00353239979470701</v>
      </c>
      <c r="G2189" s="45" t="n">
        <f aca="false">ROUND(C2189*F2189,0)</f>
        <v>4102</v>
      </c>
      <c r="H2189" s="48" t="n">
        <f aca="false">MAX(0,(C2189*'Model Inputs &amp; Assumptions'!$N$32+E2189*'Model Inputs &amp; Assumptions'!$O$32+G2189*'Model Inputs &amp; Assumptions'!$P$32)*EXP('Model Inputs &amp; Assumptions'!$Q$32*S2189-'Model Inputs &amp; Assumptions'!$Q$32^2/2))</f>
        <v>215.622464617428</v>
      </c>
      <c r="I2189" s="49" t="n">
        <f aca="false">IF('Model Inputs &amp; Assumptions'!$H$32="Fixed",'Model Inputs &amp; Assumptions'!$I$32*'Model Inputs &amp; Assumptions'!$K$32,IF('Model Inputs &amp; Assumptions'!$H$32="CPM",'Model Inputs &amp; Assumptions'!$I$32*'Model Inputs &amp; Assumptions'!$K$32*C2189/1000,IF('Model Inputs &amp; Assumptions'!$H$32="CPC",'Model Inputs &amp; Assumptions'!$I$32*'Model Inputs &amp; Assumptions'!$K$32*G2189,0)))</f>
        <v>13934.88</v>
      </c>
      <c r="J2189" s="50" t="n">
        <f aca="false">H2189*INDEX('Model Inputs &amp; Assumptions'!$D$40:$D$42,MATCH('Model Inputs &amp; Assumptions'!$L$32,'Model Inputs &amp; Assumptions'!$A$40:$A$42,0))*INDEX('Model Inputs &amp; Assumptions'!$H$40:$H$42,MATCH('Model Inputs &amp; Assumptions'!$L$32,'Model Inputs &amp; Assumptions'!$A$40:$A$42,0))</f>
        <v>1164361.30893411</v>
      </c>
      <c r="K2189" s="49" t="n">
        <f aca="false">H2189*INDEX('Model Inputs &amp; Assumptions'!$G$40:$G$42,MATCH('Model Inputs &amp; Assumptions'!$L$32,'Model Inputs &amp; Assumptions'!$A$40:$A$42,0))*INDEX('Model Inputs &amp; Assumptions'!$H$40:$H$42,MATCH('Model Inputs &amp; Assumptions'!$L$32,'Model Inputs &amp; Assumptions'!$A$40:$A$42,0))</f>
        <v>24451.5874876163</v>
      </c>
      <c r="L2189" s="51" t="n">
        <f aca="false">IFERROR(K2189/I2189,0)</f>
        <v>1.75470384299085</v>
      </c>
      <c r="M2189" s="49" t="n">
        <f aca="false">IFERROR(I2189/H2189,0)</f>
        <v>64.6262903298328</v>
      </c>
      <c r="N2189" s="52" t="str">
        <f aca="false">'Model Inputs &amp; Assumptions'!$L$32</f>
        <v>PRD-SP01</v>
      </c>
      <c r="P2189" s="53" t="n">
        <v>0.040556</v>
      </c>
      <c r="Q2189" s="53" t="n">
        <v>-0.079169</v>
      </c>
      <c r="R2189" s="53" t="n">
        <v>0.180715</v>
      </c>
      <c r="S2189" s="53" t="n">
        <v>0.694971</v>
      </c>
    </row>
    <row r="2190" customFormat="false" ht="15" hidden="false" customHeight="false" outlineLevel="0" collapsed="false">
      <c r="A2190" s="43" t="n">
        <v>187</v>
      </c>
      <c r="B2190" s="44" t="str">
        <f aca="false">'Model Inputs &amp; Assumptions'!$B$32</f>
        <v>Trade Republic — In-App Display</v>
      </c>
      <c r="C2190" s="45" t="n">
        <f aca="false">ROUND(MAX(0,'Model Inputs &amp; Assumptions'!$S$32*EXP('Model Inputs &amp; Assumptions'!$T$32*P2190-'Model Inputs &amp; Assumptions'!$T$32^2/2)),0)</f>
        <v>903163</v>
      </c>
      <c r="D2190" s="46" t="n">
        <f aca="false">MIN(1,'Model Inputs &amp; Assumptions'!$U$32*EXP('Model Inputs &amp; Assumptions'!$V$32*Q2190-'Model Inputs &amp; Assumptions'!$V$32^2/2))</f>
        <v>0</v>
      </c>
      <c r="E2190" s="45" t="n">
        <f aca="false">ROUND(C2190*D2190,0)</f>
        <v>0</v>
      </c>
      <c r="F2190" s="47" t="n">
        <f aca="false">MIN(1,'Model Inputs &amp; Assumptions'!$W$32*EXP('Model Inputs &amp; Assumptions'!$X$32*R2190-'Model Inputs &amp; Assumptions'!$X$32^2/2))</f>
        <v>0.00314679309285212</v>
      </c>
      <c r="G2190" s="45" t="n">
        <f aca="false">ROUND(C2190*F2190,0)</f>
        <v>2842</v>
      </c>
      <c r="H2190" s="48" t="n">
        <f aca="false">MAX(0,(C2190*'Model Inputs &amp; Assumptions'!$N$32+E2190*'Model Inputs &amp; Assumptions'!$O$32+G2190*'Model Inputs &amp; Assumptions'!$P$32)*EXP('Model Inputs &amp; Assumptions'!$Q$32*S2190-'Model Inputs &amp; Assumptions'!$Q$32^2/2))</f>
        <v>132.432499706898</v>
      </c>
      <c r="I2190" s="49" t="n">
        <f aca="false">IF('Model Inputs &amp; Assumptions'!$H$32="Fixed",'Model Inputs &amp; Assumptions'!$I$32*'Model Inputs &amp; Assumptions'!$K$32,IF('Model Inputs &amp; Assumptions'!$H$32="CPM",'Model Inputs &amp; Assumptions'!$I$32*'Model Inputs &amp; Assumptions'!$K$32*C2190/1000,IF('Model Inputs &amp; Assumptions'!$H$32="CPC",'Model Inputs &amp; Assumptions'!$I$32*'Model Inputs &amp; Assumptions'!$K$32*G2190,0)))</f>
        <v>10837.956</v>
      </c>
      <c r="J2190" s="50" t="n">
        <f aca="false">H2190*INDEX('Model Inputs &amp; Assumptions'!$D$40:$D$42,MATCH('Model Inputs &amp; Assumptions'!$L$32,'Model Inputs &amp; Assumptions'!$A$40:$A$42,0))*INDEX('Model Inputs &amp; Assumptions'!$H$40:$H$42,MATCH('Model Inputs &amp; Assumptions'!$L$32,'Model Inputs &amp; Assumptions'!$A$40:$A$42,0))</f>
        <v>715135.498417251</v>
      </c>
      <c r="K2190" s="49" t="n">
        <f aca="false">H2190*INDEX('Model Inputs &amp; Assumptions'!$G$40:$G$42,MATCH('Model Inputs &amp; Assumptions'!$L$32,'Model Inputs &amp; Assumptions'!$A$40:$A$42,0))*INDEX('Model Inputs &amp; Assumptions'!$H$40:$H$42,MATCH('Model Inputs &amp; Assumptions'!$L$32,'Model Inputs &amp; Assumptions'!$A$40:$A$42,0))</f>
        <v>15017.8454667623</v>
      </c>
      <c r="L2190" s="51" t="n">
        <f aca="false">IFERROR(K2190/I2190,0)</f>
        <v>1.38567138183272</v>
      </c>
      <c r="M2190" s="49" t="n">
        <f aca="false">IFERROR(I2190/H2190,0)</f>
        <v>81.8375853660298</v>
      </c>
      <c r="N2190" s="52" t="str">
        <f aca="false">'Model Inputs &amp; Assumptions'!$L$32</f>
        <v>PRD-SP01</v>
      </c>
      <c r="P2190" s="53" t="n">
        <v>-0.797245</v>
      </c>
      <c r="Q2190" s="53" t="n">
        <v>-0.609649</v>
      </c>
      <c r="R2190" s="53" t="n">
        <v>-0.204597</v>
      </c>
      <c r="S2190" s="53" t="n">
        <v>0.264652</v>
      </c>
    </row>
    <row r="2191" customFormat="false" ht="15" hidden="false" customHeight="false" outlineLevel="0" collapsed="false">
      <c r="A2191" s="43" t="n">
        <v>188</v>
      </c>
      <c r="B2191" s="44" t="str">
        <f aca="false">'Model Inputs &amp; Assumptions'!$B$32</f>
        <v>Trade Republic — In-App Display</v>
      </c>
      <c r="C2191" s="45" t="n">
        <f aca="false">ROUND(MAX(0,'Model Inputs &amp; Assumptions'!$S$32*EXP('Model Inputs &amp; Assumptions'!$T$32*P2191-'Model Inputs &amp; Assumptions'!$T$32^2/2)),0)</f>
        <v>1269157</v>
      </c>
      <c r="D2191" s="46" t="n">
        <f aca="false">MIN(1,'Model Inputs &amp; Assumptions'!$U$32*EXP('Model Inputs &amp; Assumptions'!$V$32*Q2191-'Model Inputs &amp; Assumptions'!$V$32^2/2))</f>
        <v>0</v>
      </c>
      <c r="E2191" s="45" t="n">
        <f aca="false">ROUND(C2191*D2191,0)</f>
        <v>0</v>
      </c>
      <c r="F2191" s="47" t="n">
        <f aca="false">MIN(1,'Model Inputs &amp; Assumptions'!$W$32*EXP('Model Inputs &amp; Assumptions'!$X$32*R2191-'Model Inputs &amp; Assumptions'!$X$32^2/2))</f>
        <v>0.00295475922942765</v>
      </c>
      <c r="G2191" s="45" t="n">
        <f aca="false">ROUND(C2191*F2191,0)</f>
        <v>3750</v>
      </c>
      <c r="H2191" s="48" t="n">
        <f aca="false">MAX(0,(C2191*'Model Inputs &amp; Assumptions'!$N$32+E2191*'Model Inputs &amp; Assumptions'!$O$32+G2191*'Model Inputs &amp; Assumptions'!$P$32)*EXP('Model Inputs &amp; Assumptions'!$Q$32*S2191-'Model Inputs &amp; Assumptions'!$Q$32^2/2))</f>
        <v>225.7385632203</v>
      </c>
      <c r="I2191" s="49" t="n">
        <f aca="false">IF('Model Inputs &amp; Assumptions'!$H$32="Fixed",'Model Inputs &amp; Assumptions'!$I$32*'Model Inputs &amp; Assumptions'!$K$32,IF('Model Inputs &amp; Assumptions'!$H$32="CPM",'Model Inputs &amp; Assumptions'!$I$32*'Model Inputs &amp; Assumptions'!$K$32*C2191/1000,IF('Model Inputs &amp; Assumptions'!$H$32="CPC",'Model Inputs &amp; Assumptions'!$I$32*'Model Inputs &amp; Assumptions'!$K$32*G2191,0)))</f>
        <v>15229.884</v>
      </c>
      <c r="J2191" s="50" t="n">
        <f aca="false">H2191*INDEX('Model Inputs &amp; Assumptions'!$D$40:$D$42,MATCH('Model Inputs &amp; Assumptions'!$L$32,'Model Inputs &amp; Assumptions'!$A$40:$A$42,0))*INDEX('Model Inputs &amp; Assumptions'!$H$40:$H$42,MATCH('Model Inputs &amp; Assumptions'!$L$32,'Model Inputs &amp; Assumptions'!$A$40:$A$42,0))</f>
        <v>1218988.24138962</v>
      </c>
      <c r="K2191" s="49" t="n">
        <f aca="false">H2191*INDEX('Model Inputs &amp; Assumptions'!$G$40:$G$42,MATCH('Model Inputs &amp; Assumptions'!$L$32,'Model Inputs &amp; Assumptions'!$A$40:$A$42,0))*INDEX('Model Inputs &amp; Assumptions'!$H$40:$H$42,MATCH('Model Inputs &amp; Assumptions'!$L$32,'Model Inputs &amp; Assumptions'!$A$40:$A$42,0))</f>
        <v>25598.753069182</v>
      </c>
      <c r="L2191" s="51" t="n">
        <f aca="false">IFERROR(K2191/I2191,0)</f>
        <v>1.68082390313557</v>
      </c>
      <c r="M2191" s="49" t="n">
        <f aca="false">IFERROR(I2191/H2191,0)</f>
        <v>67.4669129755072</v>
      </c>
      <c r="N2191" s="52" t="str">
        <f aca="false">'Model Inputs &amp; Assumptions'!$L$32</f>
        <v>PRD-SP01</v>
      </c>
      <c r="P2191" s="53" t="n">
        <v>0.33677</v>
      </c>
      <c r="Q2191" s="53" t="n">
        <v>0.874647</v>
      </c>
      <c r="R2191" s="53" t="n">
        <v>-0.414486</v>
      </c>
      <c r="S2191" s="53" t="n">
        <v>1.17914</v>
      </c>
    </row>
    <row r="2192" customFormat="false" ht="15" hidden="false" customHeight="false" outlineLevel="0" collapsed="false">
      <c r="A2192" s="43" t="n">
        <v>189</v>
      </c>
      <c r="B2192" s="44" t="str">
        <f aca="false">'Model Inputs &amp; Assumptions'!$B$32</f>
        <v>Trade Republic — In-App Display</v>
      </c>
      <c r="C2192" s="45" t="n">
        <f aca="false">ROUND(MAX(0,'Model Inputs &amp; Assumptions'!$S$32*EXP('Model Inputs &amp; Assumptions'!$T$32*P2192-'Model Inputs &amp; Assumptions'!$T$32^2/2)),0)</f>
        <v>758276</v>
      </c>
      <c r="D2192" s="46" t="n">
        <f aca="false">MIN(1,'Model Inputs &amp; Assumptions'!$U$32*EXP('Model Inputs &amp; Assumptions'!$V$32*Q2192-'Model Inputs &amp; Assumptions'!$V$32^2/2))</f>
        <v>0</v>
      </c>
      <c r="E2192" s="45" t="n">
        <f aca="false">ROUND(C2192*D2192,0)</f>
        <v>0</v>
      </c>
      <c r="F2192" s="47" t="n">
        <f aca="false">MIN(1,'Model Inputs &amp; Assumptions'!$W$32*EXP('Model Inputs &amp; Assumptions'!$X$32*R2192-'Model Inputs &amp; Assumptions'!$X$32^2/2))</f>
        <v>0.00240506797813573</v>
      </c>
      <c r="G2192" s="45" t="n">
        <f aca="false">ROUND(C2192*F2192,0)</f>
        <v>1824</v>
      </c>
      <c r="H2192" s="48" t="n">
        <f aca="false">MAX(0,(C2192*'Model Inputs &amp; Assumptions'!$N$32+E2192*'Model Inputs &amp; Assumptions'!$O$32+G2192*'Model Inputs &amp; Assumptions'!$P$32)*EXP('Model Inputs &amp; Assumptions'!$Q$32*S2192-'Model Inputs &amp; Assumptions'!$Q$32^2/2))</f>
        <v>143.333021068098</v>
      </c>
      <c r="I2192" s="49" t="n">
        <f aca="false">IF('Model Inputs &amp; Assumptions'!$H$32="Fixed",'Model Inputs &amp; Assumptions'!$I$32*'Model Inputs &amp; Assumptions'!$K$32,IF('Model Inputs &amp; Assumptions'!$H$32="CPM",'Model Inputs &amp; Assumptions'!$I$32*'Model Inputs &amp; Assumptions'!$K$32*C2192/1000,IF('Model Inputs &amp; Assumptions'!$H$32="CPC",'Model Inputs &amp; Assumptions'!$I$32*'Model Inputs &amp; Assumptions'!$K$32*G2192,0)))</f>
        <v>9099.312</v>
      </c>
      <c r="J2192" s="50" t="n">
        <f aca="false">H2192*INDEX('Model Inputs &amp; Assumptions'!$D$40:$D$42,MATCH('Model Inputs &amp; Assumptions'!$L$32,'Model Inputs &amp; Assumptions'!$A$40:$A$42,0))*INDEX('Model Inputs &amp; Assumptions'!$H$40:$H$42,MATCH('Model Inputs &amp; Assumptions'!$L$32,'Model Inputs &amp; Assumptions'!$A$40:$A$42,0))</f>
        <v>773998.313767729</v>
      </c>
      <c r="K2192" s="49" t="n">
        <f aca="false">H2192*INDEX('Model Inputs &amp; Assumptions'!$G$40:$G$42,MATCH('Model Inputs &amp; Assumptions'!$L$32,'Model Inputs &amp; Assumptions'!$A$40:$A$42,0))*INDEX('Model Inputs &amp; Assumptions'!$H$40:$H$42,MATCH('Model Inputs &amp; Assumptions'!$L$32,'Model Inputs &amp; Assumptions'!$A$40:$A$42,0))</f>
        <v>16253.9645891223</v>
      </c>
      <c r="L2192" s="51" t="n">
        <f aca="false">IFERROR(K2192/I2192,0)</f>
        <v>1.78628500584685</v>
      </c>
      <c r="M2192" s="49" t="n">
        <f aca="false">IFERROR(I2192/H2192,0)</f>
        <v>63.4837103982961</v>
      </c>
      <c r="N2192" s="52" t="str">
        <f aca="false">'Model Inputs &amp; Assumptions'!$L$32</f>
        <v>PRD-SP01</v>
      </c>
      <c r="P2192" s="53" t="n">
        <v>-1.380096</v>
      </c>
      <c r="Q2192" s="53" t="n">
        <v>1.212291</v>
      </c>
      <c r="R2192" s="53" t="n">
        <v>-1.100616</v>
      </c>
      <c r="S2192" s="53" t="n">
        <v>2.130987</v>
      </c>
    </row>
    <row r="2193" customFormat="false" ht="15" hidden="false" customHeight="false" outlineLevel="0" collapsed="false">
      <c r="A2193" s="43" t="n">
        <v>190</v>
      </c>
      <c r="B2193" s="44" t="str">
        <f aca="false">'Model Inputs &amp; Assumptions'!$B$32</f>
        <v>Trade Republic — In-App Display</v>
      </c>
      <c r="C2193" s="45" t="n">
        <f aca="false">ROUND(MAX(0,'Model Inputs &amp; Assumptions'!$S$32*EXP('Model Inputs &amp; Assumptions'!$T$32*P2193-'Model Inputs &amp; Assumptions'!$T$32^2/2)),0)</f>
        <v>1092205</v>
      </c>
      <c r="D2193" s="46" t="n">
        <f aca="false">MIN(1,'Model Inputs &amp; Assumptions'!$U$32*EXP('Model Inputs &amp; Assumptions'!$V$32*Q2193-'Model Inputs &amp; Assumptions'!$V$32^2/2))</f>
        <v>0</v>
      </c>
      <c r="E2193" s="45" t="n">
        <f aca="false">ROUND(C2193*D2193,0)</f>
        <v>0</v>
      </c>
      <c r="F2193" s="47" t="n">
        <f aca="false">MIN(1,'Model Inputs &amp; Assumptions'!$W$32*EXP('Model Inputs &amp; Assumptions'!$X$32*R2193-'Model Inputs &amp; Assumptions'!$X$32^2/2))</f>
        <v>0.0027882201926595</v>
      </c>
      <c r="G2193" s="45" t="n">
        <f aca="false">ROUND(C2193*F2193,0)</f>
        <v>3045</v>
      </c>
      <c r="H2193" s="48" t="n">
        <f aca="false">MAX(0,(C2193*'Model Inputs &amp; Assumptions'!$N$32+E2193*'Model Inputs &amp; Assumptions'!$O$32+G2193*'Model Inputs &amp; Assumptions'!$P$32)*EXP('Model Inputs &amp; Assumptions'!$Q$32*S2193-'Model Inputs &amp; Assumptions'!$Q$32^2/2))</f>
        <v>108.433659297542</v>
      </c>
      <c r="I2193" s="49" t="n">
        <f aca="false">IF('Model Inputs &amp; Assumptions'!$H$32="Fixed",'Model Inputs &amp; Assumptions'!$I$32*'Model Inputs &amp; Assumptions'!$K$32,IF('Model Inputs &amp; Assumptions'!$H$32="CPM",'Model Inputs &amp; Assumptions'!$I$32*'Model Inputs &amp; Assumptions'!$K$32*C2193/1000,IF('Model Inputs &amp; Assumptions'!$H$32="CPC",'Model Inputs &amp; Assumptions'!$I$32*'Model Inputs &amp; Assumptions'!$K$32*G2193,0)))</f>
        <v>13106.46</v>
      </c>
      <c r="J2193" s="50" t="n">
        <f aca="false">H2193*INDEX('Model Inputs &amp; Assumptions'!$D$40:$D$42,MATCH('Model Inputs &amp; Assumptions'!$L$32,'Model Inputs &amp; Assumptions'!$A$40:$A$42,0))*INDEX('Model Inputs &amp; Assumptions'!$H$40:$H$42,MATCH('Model Inputs &amp; Assumptions'!$L$32,'Model Inputs &amp; Assumptions'!$A$40:$A$42,0))</f>
        <v>585541.760206727</v>
      </c>
      <c r="K2193" s="49" t="n">
        <f aca="false">H2193*INDEX('Model Inputs &amp; Assumptions'!$G$40:$G$42,MATCH('Model Inputs &amp; Assumptions'!$L$32,'Model Inputs &amp; Assumptions'!$A$40:$A$42,0))*INDEX('Model Inputs &amp; Assumptions'!$H$40:$H$42,MATCH('Model Inputs &amp; Assumptions'!$L$32,'Model Inputs &amp; Assumptions'!$A$40:$A$42,0))</f>
        <v>12296.3769643413</v>
      </c>
      <c r="L2193" s="51" t="n">
        <f aca="false">IFERROR(K2193/I2193,0)</f>
        <v>0.938192079656998</v>
      </c>
      <c r="M2193" s="49" t="n">
        <f aca="false">IFERROR(I2193/H2193,0)</f>
        <v>120.870770984827</v>
      </c>
      <c r="N2193" s="52" t="str">
        <f aca="false">'Model Inputs &amp; Assumptions'!$L$32</f>
        <v>PRD-SP01</v>
      </c>
      <c r="P2193" s="53" t="n">
        <v>-0.163743</v>
      </c>
      <c r="Q2193" s="53" t="n">
        <v>-0.255037</v>
      </c>
      <c r="R2193" s="53" t="n">
        <v>-0.607865</v>
      </c>
      <c r="S2193" s="53" t="n">
        <v>-0.695803</v>
      </c>
    </row>
    <row r="2194" customFormat="false" ht="15" hidden="false" customHeight="false" outlineLevel="0" collapsed="false">
      <c r="A2194" s="43" t="n">
        <v>191</v>
      </c>
      <c r="B2194" s="44" t="str">
        <f aca="false">'Model Inputs &amp; Assumptions'!$B$32</f>
        <v>Trade Republic — In-App Display</v>
      </c>
      <c r="C2194" s="45" t="n">
        <f aca="false">ROUND(MAX(0,'Model Inputs &amp; Assumptions'!$S$32*EXP('Model Inputs &amp; Assumptions'!$T$32*P2194-'Model Inputs &amp; Assumptions'!$T$32^2/2)),0)</f>
        <v>1223724</v>
      </c>
      <c r="D2194" s="46" t="n">
        <f aca="false">MIN(1,'Model Inputs &amp; Assumptions'!$U$32*EXP('Model Inputs &amp; Assumptions'!$V$32*Q2194-'Model Inputs &amp; Assumptions'!$V$32^2/2))</f>
        <v>0</v>
      </c>
      <c r="E2194" s="45" t="n">
        <f aca="false">ROUND(C2194*D2194,0)</f>
        <v>0</v>
      </c>
      <c r="F2194" s="47" t="n">
        <f aca="false">MIN(1,'Model Inputs &amp; Assumptions'!$W$32*EXP('Model Inputs &amp; Assumptions'!$X$32*R2194-'Model Inputs &amp; Assumptions'!$X$32^2/2))</f>
        <v>0.00373912777316212</v>
      </c>
      <c r="G2194" s="45" t="n">
        <f aca="false">ROUND(C2194*F2194,0)</f>
        <v>4576</v>
      </c>
      <c r="H2194" s="48" t="n">
        <f aca="false">MAX(0,(C2194*'Model Inputs &amp; Assumptions'!$N$32+E2194*'Model Inputs &amp; Assumptions'!$O$32+G2194*'Model Inputs &amp; Assumptions'!$P$32)*EXP('Model Inputs &amp; Assumptions'!$Q$32*S2194-'Model Inputs &amp; Assumptions'!$Q$32^2/2))</f>
        <v>189.128898235369</v>
      </c>
      <c r="I2194" s="49" t="n">
        <f aca="false">IF('Model Inputs &amp; Assumptions'!$H$32="Fixed",'Model Inputs &amp; Assumptions'!$I$32*'Model Inputs &amp; Assumptions'!$K$32,IF('Model Inputs &amp; Assumptions'!$H$32="CPM",'Model Inputs &amp; Assumptions'!$I$32*'Model Inputs &amp; Assumptions'!$K$32*C2194/1000,IF('Model Inputs &amp; Assumptions'!$H$32="CPC",'Model Inputs &amp; Assumptions'!$I$32*'Model Inputs &amp; Assumptions'!$K$32*G2194,0)))</f>
        <v>14684.688</v>
      </c>
      <c r="J2194" s="50" t="n">
        <f aca="false">H2194*INDEX('Model Inputs &amp; Assumptions'!$D$40:$D$42,MATCH('Model Inputs &amp; Assumptions'!$L$32,'Model Inputs &amp; Assumptions'!$A$40:$A$42,0))*INDEX('Model Inputs &amp; Assumptions'!$H$40:$H$42,MATCH('Model Inputs &amp; Assumptions'!$L$32,'Model Inputs &amp; Assumptions'!$A$40:$A$42,0))</f>
        <v>1021296.05047099</v>
      </c>
      <c r="K2194" s="49" t="n">
        <f aca="false">H2194*INDEX('Model Inputs &amp; Assumptions'!$G$40:$G$42,MATCH('Model Inputs &amp; Assumptions'!$L$32,'Model Inputs &amp; Assumptions'!$A$40:$A$42,0))*INDEX('Model Inputs &amp; Assumptions'!$H$40:$H$42,MATCH('Model Inputs &amp; Assumptions'!$L$32,'Model Inputs &amp; Assumptions'!$A$40:$A$42,0))</f>
        <v>21447.2170598908</v>
      </c>
      <c r="L2194" s="51" t="n">
        <f aca="false">IFERROR(K2194/I2194,0)</f>
        <v>1.46051567863688</v>
      </c>
      <c r="M2194" s="49" t="n">
        <f aca="false">IFERROR(I2194/H2194,0)</f>
        <v>77.6438087305149</v>
      </c>
      <c r="N2194" s="52" t="str">
        <f aca="false">'Model Inputs &amp; Assumptions'!$L$32</f>
        <v>PRD-SP01</v>
      </c>
      <c r="P2194" s="53" t="n">
        <v>0.215258</v>
      </c>
      <c r="Q2194" s="53" t="n">
        <v>-1.346217</v>
      </c>
      <c r="R2194" s="53" t="n">
        <v>0.370298</v>
      </c>
      <c r="S2194" s="53" t="n">
        <v>-0.163782</v>
      </c>
    </row>
    <row r="2195" customFormat="false" ht="15" hidden="false" customHeight="false" outlineLevel="0" collapsed="false">
      <c r="A2195" s="43" t="n">
        <v>192</v>
      </c>
      <c r="B2195" s="44" t="str">
        <f aca="false">'Model Inputs &amp; Assumptions'!$B$32</f>
        <v>Trade Republic — In-App Display</v>
      </c>
      <c r="C2195" s="45" t="n">
        <f aca="false">ROUND(MAX(0,'Model Inputs &amp; Assumptions'!$S$32*EXP('Model Inputs &amp; Assumptions'!$T$32*P2195-'Model Inputs &amp; Assumptions'!$T$32^2/2)),0)</f>
        <v>1241860</v>
      </c>
      <c r="D2195" s="46" t="n">
        <f aca="false">MIN(1,'Model Inputs &amp; Assumptions'!$U$32*EXP('Model Inputs &amp; Assumptions'!$V$32*Q2195-'Model Inputs &amp; Assumptions'!$V$32^2/2))</f>
        <v>0</v>
      </c>
      <c r="E2195" s="45" t="n">
        <f aca="false">ROUND(C2195*D2195,0)</f>
        <v>0</v>
      </c>
      <c r="F2195" s="47" t="n">
        <f aca="false">MIN(1,'Model Inputs &amp; Assumptions'!$W$32*EXP('Model Inputs &amp; Assumptions'!$X$32*R2195-'Model Inputs &amp; Assumptions'!$X$32^2/2))</f>
        <v>0.0018058282819462</v>
      </c>
      <c r="G2195" s="45" t="n">
        <f aca="false">ROUND(C2195*F2195,0)</f>
        <v>2243</v>
      </c>
      <c r="H2195" s="48" t="n">
        <f aca="false">MAX(0,(C2195*'Model Inputs &amp; Assumptions'!$N$32+E2195*'Model Inputs &amp; Assumptions'!$O$32+G2195*'Model Inputs &amp; Assumptions'!$P$32)*EXP('Model Inputs &amp; Assumptions'!$Q$32*S2195-'Model Inputs &amp; Assumptions'!$Q$32^2/2))</f>
        <v>78.5263584851168</v>
      </c>
      <c r="I2195" s="49" t="n">
        <f aca="false">IF('Model Inputs &amp; Assumptions'!$H$32="Fixed",'Model Inputs &amp; Assumptions'!$I$32*'Model Inputs &amp; Assumptions'!$K$32,IF('Model Inputs &amp; Assumptions'!$H$32="CPM",'Model Inputs &amp; Assumptions'!$I$32*'Model Inputs &amp; Assumptions'!$K$32*C2195/1000,IF('Model Inputs &amp; Assumptions'!$H$32="CPC",'Model Inputs &amp; Assumptions'!$I$32*'Model Inputs &amp; Assumptions'!$K$32*G2195,0)))</f>
        <v>14902.32</v>
      </c>
      <c r="J2195" s="50" t="n">
        <f aca="false">H2195*INDEX('Model Inputs &amp; Assumptions'!$D$40:$D$42,MATCH('Model Inputs &amp; Assumptions'!$L$32,'Model Inputs &amp; Assumptions'!$A$40:$A$42,0))*INDEX('Model Inputs &amp; Assumptions'!$H$40:$H$42,MATCH('Model Inputs &amp; Assumptions'!$L$32,'Model Inputs &amp; Assumptions'!$A$40:$A$42,0))</f>
        <v>424042.335819631</v>
      </c>
      <c r="K2195" s="49" t="n">
        <f aca="false">H2195*INDEX('Model Inputs &amp; Assumptions'!$G$40:$G$42,MATCH('Model Inputs &amp; Assumptions'!$L$32,'Model Inputs &amp; Assumptions'!$A$40:$A$42,0))*INDEX('Model Inputs &amp; Assumptions'!$H$40:$H$42,MATCH('Model Inputs &amp; Assumptions'!$L$32,'Model Inputs &amp; Assumptions'!$A$40:$A$42,0))</f>
        <v>8904.88905221225</v>
      </c>
      <c r="L2195" s="51" t="n">
        <f aca="false">IFERROR(K2195/I2195,0)</f>
        <v>0.597550519128045</v>
      </c>
      <c r="M2195" s="49" t="n">
        <f aca="false">IFERROR(I2195/H2195,0)</f>
        <v>189.774749364246</v>
      </c>
      <c r="N2195" s="52" t="str">
        <f aca="false">'Model Inputs &amp; Assumptions'!$L$32</f>
        <v>PRD-SP01</v>
      </c>
      <c r="P2195" s="53" t="n">
        <v>0.264296</v>
      </c>
      <c r="Q2195" s="53" t="n">
        <v>0.067985</v>
      </c>
      <c r="R2195" s="53" t="n">
        <v>-2.055812</v>
      </c>
      <c r="S2195" s="53" t="n">
        <v>-0.75658</v>
      </c>
    </row>
    <row r="2196" customFormat="false" ht="15" hidden="false" customHeight="false" outlineLevel="0" collapsed="false">
      <c r="A2196" s="43" t="n">
        <v>193</v>
      </c>
      <c r="B2196" s="44" t="str">
        <f aca="false">'Model Inputs &amp; Assumptions'!$B$32</f>
        <v>Trade Republic — In-App Display</v>
      </c>
      <c r="C2196" s="45" t="n">
        <f aca="false">ROUND(MAX(0,'Model Inputs &amp; Assumptions'!$S$32*EXP('Model Inputs &amp; Assumptions'!$T$32*P2196-'Model Inputs &amp; Assumptions'!$T$32^2/2)),0)</f>
        <v>997541</v>
      </c>
      <c r="D2196" s="46" t="n">
        <f aca="false">MIN(1,'Model Inputs &amp; Assumptions'!$U$32*EXP('Model Inputs &amp; Assumptions'!$V$32*Q2196-'Model Inputs &amp; Assumptions'!$V$32^2/2))</f>
        <v>0</v>
      </c>
      <c r="E2196" s="45" t="n">
        <f aca="false">ROUND(C2196*D2196,0)</f>
        <v>0</v>
      </c>
      <c r="F2196" s="47" t="n">
        <f aca="false">MIN(1,'Model Inputs &amp; Assumptions'!$W$32*EXP('Model Inputs &amp; Assumptions'!$X$32*R2196-'Model Inputs &amp; Assumptions'!$X$32^2/2))</f>
        <v>0.00312401885813893</v>
      </c>
      <c r="G2196" s="45" t="n">
        <f aca="false">ROUND(C2196*F2196,0)</f>
        <v>3116</v>
      </c>
      <c r="H2196" s="48" t="n">
        <f aca="false">MAX(0,(C2196*'Model Inputs &amp; Assumptions'!$N$32+E2196*'Model Inputs &amp; Assumptions'!$O$32+G2196*'Model Inputs &amp; Assumptions'!$P$32)*EXP('Model Inputs &amp; Assumptions'!$Q$32*S2196-'Model Inputs &amp; Assumptions'!$Q$32^2/2))</f>
        <v>144.875358728171</v>
      </c>
      <c r="I2196" s="49" t="n">
        <f aca="false">IF('Model Inputs &amp; Assumptions'!$H$32="Fixed",'Model Inputs &amp; Assumptions'!$I$32*'Model Inputs &amp; Assumptions'!$K$32,IF('Model Inputs &amp; Assumptions'!$H$32="CPM",'Model Inputs &amp; Assumptions'!$I$32*'Model Inputs &amp; Assumptions'!$K$32*C2196/1000,IF('Model Inputs &amp; Assumptions'!$H$32="CPC",'Model Inputs &amp; Assumptions'!$I$32*'Model Inputs &amp; Assumptions'!$K$32*G2196,0)))</f>
        <v>11970.492</v>
      </c>
      <c r="J2196" s="50" t="n">
        <f aca="false">H2196*INDEX('Model Inputs &amp; Assumptions'!$D$40:$D$42,MATCH('Model Inputs &amp; Assumptions'!$L$32,'Model Inputs &amp; Assumptions'!$A$40:$A$42,0))*INDEX('Model Inputs &amp; Assumptions'!$H$40:$H$42,MATCH('Model Inputs &amp; Assumptions'!$L$32,'Model Inputs &amp; Assumptions'!$A$40:$A$42,0))</f>
        <v>782326.937132121</v>
      </c>
      <c r="K2196" s="49" t="n">
        <f aca="false">H2196*INDEX('Model Inputs &amp; Assumptions'!$G$40:$G$42,MATCH('Model Inputs &amp; Assumptions'!$L$32,'Model Inputs &amp; Assumptions'!$A$40:$A$42,0))*INDEX('Model Inputs &amp; Assumptions'!$H$40:$H$42,MATCH('Model Inputs &amp; Assumptions'!$L$32,'Model Inputs &amp; Assumptions'!$A$40:$A$42,0))</f>
        <v>16428.8656797745</v>
      </c>
      <c r="L2196" s="51" t="n">
        <f aca="false">IFERROR(K2196/I2196,0)</f>
        <v>1.37244698712255</v>
      </c>
      <c r="M2196" s="49" t="n">
        <f aca="false">IFERROR(I2196/H2196,0)</f>
        <v>82.6261422583271</v>
      </c>
      <c r="N2196" s="52" t="str">
        <f aca="false">'Model Inputs &amp; Assumptions'!$L$32</f>
        <v>PRD-SP01</v>
      </c>
      <c r="P2196" s="53" t="n">
        <v>-0.465944</v>
      </c>
      <c r="Q2196" s="53" t="n">
        <v>-0.478521</v>
      </c>
      <c r="R2196" s="53" t="n">
        <v>-0.228809</v>
      </c>
      <c r="S2196" s="53" t="n">
        <v>0.256647</v>
      </c>
    </row>
    <row r="2197" customFormat="false" ht="15" hidden="false" customHeight="false" outlineLevel="0" collapsed="false">
      <c r="A2197" s="43" t="n">
        <v>194</v>
      </c>
      <c r="B2197" s="44" t="str">
        <f aca="false">'Model Inputs &amp; Assumptions'!$B$32</f>
        <v>Trade Republic — In-App Display</v>
      </c>
      <c r="C2197" s="45" t="n">
        <f aca="false">ROUND(MAX(0,'Model Inputs &amp; Assumptions'!$S$32*EXP('Model Inputs &amp; Assumptions'!$T$32*P2197-'Model Inputs &amp; Assumptions'!$T$32^2/2)),0)</f>
        <v>1317938</v>
      </c>
      <c r="D2197" s="46" t="n">
        <f aca="false">MIN(1,'Model Inputs &amp; Assumptions'!$U$32*EXP('Model Inputs &amp; Assumptions'!$V$32*Q2197-'Model Inputs &amp; Assumptions'!$V$32^2/2))</f>
        <v>0</v>
      </c>
      <c r="E2197" s="45" t="n">
        <f aca="false">ROUND(C2197*D2197,0)</f>
        <v>0</v>
      </c>
      <c r="F2197" s="47" t="n">
        <f aca="false">MIN(1,'Model Inputs &amp; Assumptions'!$W$32*EXP('Model Inputs &amp; Assumptions'!$X$32*R2197-'Model Inputs &amp; Assumptions'!$X$32^2/2))</f>
        <v>0.00349461659440109</v>
      </c>
      <c r="G2197" s="45" t="n">
        <f aca="false">ROUND(C2197*F2197,0)</f>
        <v>4606</v>
      </c>
      <c r="H2197" s="48" t="n">
        <f aca="false">MAX(0,(C2197*'Model Inputs &amp; Assumptions'!$N$32+E2197*'Model Inputs &amp; Assumptions'!$O$32+G2197*'Model Inputs &amp; Assumptions'!$P$32)*EXP('Model Inputs &amp; Assumptions'!$Q$32*S2197-'Model Inputs &amp; Assumptions'!$Q$32^2/2))</f>
        <v>177.073590405231</v>
      </c>
      <c r="I2197" s="49" t="n">
        <f aca="false">IF('Model Inputs &amp; Assumptions'!$H$32="Fixed",'Model Inputs &amp; Assumptions'!$I$32*'Model Inputs &amp; Assumptions'!$K$32,IF('Model Inputs &amp; Assumptions'!$H$32="CPM",'Model Inputs &amp; Assumptions'!$I$32*'Model Inputs &amp; Assumptions'!$K$32*C2197/1000,IF('Model Inputs &amp; Assumptions'!$H$32="CPC",'Model Inputs &amp; Assumptions'!$I$32*'Model Inputs &amp; Assumptions'!$K$32*G2197,0)))</f>
        <v>15815.256</v>
      </c>
      <c r="J2197" s="50" t="n">
        <f aca="false">H2197*INDEX('Model Inputs &amp; Assumptions'!$D$40:$D$42,MATCH('Model Inputs &amp; Assumptions'!$L$32,'Model Inputs &amp; Assumptions'!$A$40:$A$42,0))*INDEX('Model Inputs &amp; Assumptions'!$H$40:$H$42,MATCH('Model Inputs &amp; Assumptions'!$L$32,'Model Inputs &amp; Assumptions'!$A$40:$A$42,0))</f>
        <v>956197.388188246</v>
      </c>
      <c r="K2197" s="49" t="n">
        <f aca="false">H2197*INDEX('Model Inputs &amp; Assumptions'!$G$40:$G$42,MATCH('Model Inputs &amp; Assumptions'!$L$32,'Model Inputs &amp; Assumptions'!$A$40:$A$42,0))*INDEX('Model Inputs &amp; Assumptions'!$H$40:$H$42,MATCH('Model Inputs &amp; Assumptions'!$L$32,'Model Inputs &amp; Assumptions'!$A$40:$A$42,0))</f>
        <v>20080.1451519532</v>
      </c>
      <c r="L2197" s="51" t="n">
        <f aca="false">IFERROR(K2197/I2197,0)</f>
        <v>1.26966930866963</v>
      </c>
      <c r="M2197" s="49" t="n">
        <f aca="false">IFERROR(I2197/H2197,0)</f>
        <v>89.3145949308815</v>
      </c>
      <c r="N2197" s="52" t="str">
        <f aca="false">'Model Inputs &amp; Assumptions'!$L$32</f>
        <v>PRD-SP01</v>
      </c>
      <c r="P2197" s="53" t="n">
        <v>0.46249</v>
      </c>
      <c r="Q2197" s="53" t="n">
        <v>-0.881637</v>
      </c>
      <c r="R2197" s="53" t="n">
        <v>0.144869</v>
      </c>
      <c r="S2197" s="53" t="n">
        <v>-0.422346</v>
      </c>
    </row>
    <row r="2198" customFormat="false" ht="15" hidden="false" customHeight="false" outlineLevel="0" collapsed="false">
      <c r="A2198" s="43" t="n">
        <v>195</v>
      </c>
      <c r="B2198" s="44" t="str">
        <f aca="false">'Model Inputs &amp; Assumptions'!$B$32</f>
        <v>Trade Republic — In-App Display</v>
      </c>
      <c r="C2198" s="45" t="n">
        <f aca="false">ROUND(MAX(0,'Model Inputs &amp; Assumptions'!$S$32*EXP('Model Inputs &amp; Assumptions'!$T$32*P2198-'Model Inputs &amp; Assumptions'!$T$32^2/2)),0)</f>
        <v>1282863</v>
      </c>
      <c r="D2198" s="46" t="n">
        <f aca="false">MIN(1,'Model Inputs &amp; Assumptions'!$U$32*EXP('Model Inputs &amp; Assumptions'!$V$32*Q2198-'Model Inputs &amp; Assumptions'!$V$32^2/2))</f>
        <v>0</v>
      </c>
      <c r="E2198" s="45" t="n">
        <f aca="false">ROUND(C2198*D2198,0)</f>
        <v>0</v>
      </c>
      <c r="F2198" s="47" t="n">
        <f aca="false">MIN(1,'Model Inputs &amp; Assumptions'!$W$32*EXP('Model Inputs &amp; Assumptions'!$X$32*R2198-'Model Inputs &amp; Assumptions'!$X$32^2/2))</f>
        <v>0.00324104875905961</v>
      </c>
      <c r="G2198" s="45" t="n">
        <f aca="false">ROUND(C2198*F2198,0)</f>
        <v>4158</v>
      </c>
      <c r="H2198" s="48" t="n">
        <f aca="false">MAX(0,(C2198*'Model Inputs &amp; Assumptions'!$N$32+E2198*'Model Inputs &amp; Assumptions'!$O$32+G2198*'Model Inputs &amp; Assumptions'!$P$32)*EXP('Model Inputs &amp; Assumptions'!$Q$32*S2198-'Model Inputs &amp; Assumptions'!$Q$32^2/2))</f>
        <v>204.001445418953</v>
      </c>
      <c r="I2198" s="49" t="n">
        <f aca="false">IF('Model Inputs &amp; Assumptions'!$H$32="Fixed",'Model Inputs &amp; Assumptions'!$I$32*'Model Inputs &amp; Assumptions'!$K$32,IF('Model Inputs &amp; Assumptions'!$H$32="CPM",'Model Inputs &amp; Assumptions'!$I$32*'Model Inputs &amp; Assumptions'!$K$32*C2198/1000,IF('Model Inputs &amp; Assumptions'!$H$32="CPC",'Model Inputs &amp; Assumptions'!$I$32*'Model Inputs &amp; Assumptions'!$K$32*G2198,0)))</f>
        <v>15394.356</v>
      </c>
      <c r="J2198" s="50" t="n">
        <f aca="false">H2198*INDEX('Model Inputs &amp; Assumptions'!$D$40:$D$42,MATCH('Model Inputs &amp; Assumptions'!$L$32,'Model Inputs &amp; Assumptions'!$A$40:$A$42,0))*INDEX('Model Inputs &amp; Assumptions'!$H$40:$H$42,MATCH('Model Inputs &amp; Assumptions'!$L$32,'Model Inputs &amp; Assumptions'!$A$40:$A$42,0))</f>
        <v>1101607.80526235</v>
      </c>
      <c r="K2198" s="49" t="n">
        <f aca="false">H2198*INDEX('Model Inputs &amp; Assumptions'!$G$40:$G$42,MATCH('Model Inputs &amp; Assumptions'!$L$32,'Model Inputs &amp; Assumptions'!$A$40:$A$42,0))*INDEX('Model Inputs &amp; Assumptions'!$H$40:$H$42,MATCH('Model Inputs &amp; Assumptions'!$L$32,'Model Inputs &amp; Assumptions'!$A$40:$A$42,0))</f>
        <v>23133.7639105093</v>
      </c>
      <c r="L2198" s="51" t="n">
        <f aca="false">IFERROR(K2198/I2198,0)</f>
        <v>1.5027432073488</v>
      </c>
      <c r="M2198" s="49" t="n">
        <f aca="false">IFERROR(I2198/H2198,0)</f>
        <v>75.4619947343263</v>
      </c>
      <c r="N2198" s="52" t="str">
        <f aca="false">'Model Inputs &amp; Assumptions'!$L$32</f>
        <v>PRD-SP01</v>
      </c>
      <c r="P2198" s="53" t="n">
        <v>0.372575</v>
      </c>
      <c r="Q2198" s="53" t="n">
        <v>1.498012</v>
      </c>
      <c r="R2198" s="53" t="n">
        <v>-0.10622</v>
      </c>
      <c r="S2198" s="53" t="n">
        <v>0.44868</v>
      </c>
    </row>
    <row r="2199" customFormat="false" ht="15" hidden="false" customHeight="false" outlineLevel="0" collapsed="false">
      <c r="A2199" s="43" t="n">
        <v>196</v>
      </c>
      <c r="B2199" s="44" t="str">
        <f aca="false">'Model Inputs &amp; Assumptions'!$B$32</f>
        <v>Trade Republic — In-App Display</v>
      </c>
      <c r="C2199" s="45" t="n">
        <f aca="false">ROUND(MAX(0,'Model Inputs &amp; Assumptions'!$S$32*EXP('Model Inputs &amp; Assumptions'!$T$32*P2199-'Model Inputs &amp; Assumptions'!$T$32^2/2)),0)</f>
        <v>791593</v>
      </c>
      <c r="D2199" s="46" t="n">
        <f aca="false">MIN(1,'Model Inputs &amp; Assumptions'!$U$32*EXP('Model Inputs &amp; Assumptions'!$V$32*Q2199-'Model Inputs &amp; Assumptions'!$V$32^2/2))</f>
        <v>0</v>
      </c>
      <c r="E2199" s="45" t="n">
        <f aca="false">ROUND(C2199*D2199,0)</f>
        <v>0</v>
      </c>
      <c r="F2199" s="47" t="n">
        <f aca="false">MIN(1,'Model Inputs &amp; Assumptions'!$W$32*EXP('Model Inputs &amp; Assumptions'!$X$32*R2199-'Model Inputs &amp; Assumptions'!$X$32^2/2))</f>
        <v>0.00314472821563282</v>
      </c>
      <c r="G2199" s="45" t="n">
        <f aca="false">ROUND(C2199*F2199,0)</f>
        <v>2489</v>
      </c>
      <c r="H2199" s="48" t="n">
        <f aca="false">MAX(0,(C2199*'Model Inputs &amp; Assumptions'!$N$32+E2199*'Model Inputs &amp; Assumptions'!$O$32+G2199*'Model Inputs &amp; Assumptions'!$P$32)*EXP('Model Inputs &amp; Assumptions'!$Q$32*S2199-'Model Inputs &amp; Assumptions'!$Q$32^2/2))</f>
        <v>79.9076308450138</v>
      </c>
      <c r="I2199" s="49" t="n">
        <f aca="false">IF('Model Inputs &amp; Assumptions'!$H$32="Fixed",'Model Inputs &amp; Assumptions'!$I$32*'Model Inputs &amp; Assumptions'!$K$32,IF('Model Inputs &amp; Assumptions'!$H$32="CPM",'Model Inputs &amp; Assumptions'!$I$32*'Model Inputs &amp; Assumptions'!$K$32*C2199/1000,IF('Model Inputs &amp; Assumptions'!$H$32="CPC",'Model Inputs &amp; Assumptions'!$I$32*'Model Inputs &amp; Assumptions'!$K$32*G2199,0)))</f>
        <v>9499.116</v>
      </c>
      <c r="J2199" s="50" t="n">
        <f aca="false">H2199*INDEX('Model Inputs &amp; Assumptions'!$D$40:$D$42,MATCH('Model Inputs &amp; Assumptions'!$L$32,'Model Inputs &amp; Assumptions'!$A$40:$A$42,0))*INDEX('Model Inputs &amp; Assumptions'!$H$40:$H$42,MATCH('Model Inputs &amp; Assumptions'!$L$32,'Model Inputs &amp; Assumptions'!$A$40:$A$42,0))</f>
        <v>431501.206563075</v>
      </c>
      <c r="K2199" s="49" t="n">
        <f aca="false">H2199*INDEX('Model Inputs &amp; Assumptions'!$G$40:$G$42,MATCH('Model Inputs &amp; Assumptions'!$L$32,'Model Inputs &amp; Assumptions'!$A$40:$A$42,0))*INDEX('Model Inputs &amp; Assumptions'!$H$40:$H$42,MATCH('Model Inputs &amp; Assumptions'!$L$32,'Model Inputs &amp; Assumptions'!$A$40:$A$42,0))</f>
        <v>9061.52533782457</v>
      </c>
      <c r="L2199" s="51" t="n">
        <f aca="false">IFERROR(K2199/I2199,0)</f>
        <v>0.953933538428688</v>
      </c>
      <c r="M2199" s="49" t="n">
        <f aca="false">IFERROR(I2199/H2199,0)</f>
        <v>118.876206183915</v>
      </c>
      <c r="N2199" s="52" t="str">
        <f aca="false">'Model Inputs &amp; Assumptions'!$L$32</f>
        <v>PRD-SP01</v>
      </c>
      <c r="P2199" s="53" t="n">
        <v>-1.236766</v>
      </c>
      <c r="Q2199" s="53" t="n">
        <v>0.095726</v>
      </c>
      <c r="R2199" s="53" t="n">
        <v>-0.206785</v>
      </c>
      <c r="S2199" s="53" t="n">
        <v>-1.065972</v>
      </c>
    </row>
    <row r="2200" customFormat="false" ht="15" hidden="false" customHeight="false" outlineLevel="0" collapsed="false">
      <c r="A2200" s="43" t="n">
        <v>197</v>
      </c>
      <c r="B2200" s="44" t="str">
        <f aca="false">'Model Inputs &amp; Assumptions'!$B$32</f>
        <v>Trade Republic — In-App Display</v>
      </c>
      <c r="C2200" s="45" t="n">
        <f aca="false">ROUND(MAX(0,'Model Inputs &amp; Assumptions'!$S$32*EXP('Model Inputs &amp; Assumptions'!$T$32*P2200-'Model Inputs &amp; Assumptions'!$T$32^2/2)),0)</f>
        <v>917522</v>
      </c>
      <c r="D2200" s="46" t="n">
        <f aca="false">MIN(1,'Model Inputs &amp; Assumptions'!$U$32*EXP('Model Inputs &amp; Assumptions'!$V$32*Q2200-'Model Inputs &amp; Assumptions'!$V$32^2/2))</f>
        <v>0</v>
      </c>
      <c r="E2200" s="45" t="n">
        <f aca="false">ROUND(C2200*D2200,0)</f>
        <v>0</v>
      </c>
      <c r="F2200" s="47" t="n">
        <f aca="false">MIN(1,'Model Inputs &amp; Assumptions'!$W$32*EXP('Model Inputs &amp; Assumptions'!$X$32*R2200-'Model Inputs &amp; Assumptions'!$X$32^2/2))</f>
        <v>0.00397503943374216</v>
      </c>
      <c r="G2200" s="45" t="n">
        <f aca="false">ROUND(C2200*F2200,0)</f>
        <v>3647</v>
      </c>
      <c r="H2200" s="48" t="n">
        <f aca="false">MAX(0,(C2200*'Model Inputs &amp; Assumptions'!$N$32+E2200*'Model Inputs &amp; Assumptions'!$O$32+G2200*'Model Inputs &amp; Assumptions'!$P$32)*EXP('Model Inputs &amp; Assumptions'!$Q$32*S2200-'Model Inputs &amp; Assumptions'!$Q$32^2/2))</f>
        <v>127.077792918576</v>
      </c>
      <c r="I2200" s="49" t="n">
        <f aca="false">IF('Model Inputs &amp; Assumptions'!$H$32="Fixed",'Model Inputs &amp; Assumptions'!$I$32*'Model Inputs &amp; Assumptions'!$K$32,IF('Model Inputs &amp; Assumptions'!$H$32="CPM",'Model Inputs &amp; Assumptions'!$I$32*'Model Inputs &amp; Assumptions'!$K$32*C2200/1000,IF('Model Inputs &amp; Assumptions'!$H$32="CPC",'Model Inputs &amp; Assumptions'!$I$32*'Model Inputs &amp; Assumptions'!$K$32*G2200,0)))</f>
        <v>11010.264</v>
      </c>
      <c r="J2200" s="50" t="n">
        <f aca="false">H2200*INDEX('Model Inputs &amp; Assumptions'!$D$40:$D$42,MATCH('Model Inputs &amp; Assumptions'!$L$32,'Model Inputs &amp; Assumptions'!$A$40:$A$42,0))*INDEX('Model Inputs &amp; Assumptions'!$H$40:$H$42,MATCH('Model Inputs &amp; Assumptions'!$L$32,'Model Inputs &amp; Assumptions'!$A$40:$A$42,0))</f>
        <v>686220.081760312</v>
      </c>
      <c r="K2200" s="49" t="n">
        <f aca="false">H2200*INDEX('Model Inputs &amp; Assumptions'!$G$40:$G$42,MATCH('Model Inputs &amp; Assumptions'!$L$32,'Model Inputs &amp; Assumptions'!$A$40:$A$42,0))*INDEX('Model Inputs &amp; Assumptions'!$H$40:$H$42,MATCH('Model Inputs &amp; Assumptions'!$L$32,'Model Inputs &amp; Assumptions'!$A$40:$A$42,0))</f>
        <v>14410.6217169666</v>
      </c>
      <c r="L2200" s="51" t="n">
        <f aca="false">IFERROR(K2200/I2200,0)</f>
        <v>1.30883525744401</v>
      </c>
      <c r="M2200" s="49" t="n">
        <f aca="false">IFERROR(I2200/H2200,0)</f>
        <v>86.6419202531689</v>
      </c>
      <c r="N2200" s="52" t="str">
        <f aca="false">'Model Inputs &amp; Assumptions'!$L$32</f>
        <v>PRD-SP01</v>
      </c>
      <c r="P2200" s="53" t="n">
        <v>-0.744667</v>
      </c>
      <c r="Q2200" s="53" t="n">
        <v>-1.852718</v>
      </c>
      <c r="R2200" s="53" t="n">
        <v>0.574239</v>
      </c>
      <c r="S2200" s="53" t="n">
        <v>-0.773457</v>
      </c>
    </row>
    <row r="2201" customFormat="false" ht="15" hidden="false" customHeight="false" outlineLevel="0" collapsed="false">
      <c r="A2201" s="43" t="n">
        <v>198</v>
      </c>
      <c r="B2201" s="44" t="str">
        <f aca="false">'Model Inputs &amp; Assumptions'!$B$32</f>
        <v>Trade Republic — In-App Display</v>
      </c>
      <c r="C2201" s="45" t="n">
        <f aca="false">ROUND(MAX(0,'Model Inputs &amp; Assumptions'!$S$32*EXP('Model Inputs &amp; Assumptions'!$T$32*P2201-'Model Inputs &amp; Assumptions'!$T$32^2/2)),0)</f>
        <v>641459</v>
      </c>
      <c r="D2201" s="46" t="n">
        <f aca="false">MIN(1,'Model Inputs &amp; Assumptions'!$U$32*EXP('Model Inputs &amp; Assumptions'!$V$32*Q2201-'Model Inputs &amp; Assumptions'!$V$32^2/2))</f>
        <v>0</v>
      </c>
      <c r="E2201" s="45" t="n">
        <f aca="false">ROUND(C2201*D2201,0)</f>
        <v>0</v>
      </c>
      <c r="F2201" s="47" t="n">
        <f aca="false">MIN(1,'Model Inputs &amp; Assumptions'!$W$32*EXP('Model Inputs &amp; Assumptions'!$X$32*R2201-'Model Inputs &amp; Assumptions'!$X$32^2/2))</f>
        <v>0.00231264911039239</v>
      </c>
      <c r="G2201" s="45" t="n">
        <f aca="false">ROUND(C2201*F2201,0)</f>
        <v>1483</v>
      </c>
      <c r="H2201" s="48" t="n">
        <f aca="false">MAX(0,(C2201*'Model Inputs &amp; Assumptions'!$N$32+E2201*'Model Inputs &amp; Assumptions'!$O$32+G2201*'Model Inputs &amp; Assumptions'!$P$32)*EXP('Model Inputs &amp; Assumptions'!$Q$32*S2201-'Model Inputs &amp; Assumptions'!$Q$32^2/2))</f>
        <v>66.5610194682673</v>
      </c>
      <c r="I2201" s="49" t="n">
        <f aca="false">IF('Model Inputs &amp; Assumptions'!$H$32="Fixed",'Model Inputs &amp; Assumptions'!$I$32*'Model Inputs &amp; Assumptions'!$K$32,IF('Model Inputs &amp; Assumptions'!$H$32="CPM",'Model Inputs &amp; Assumptions'!$I$32*'Model Inputs &amp; Assumptions'!$K$32*C2201/1000,IF('Model Inputs &amp; Assumptions'!$H$32="CPC",'Model Inputs &amp; Assumptions'!$I$32*'Model Inputs &amp; Assumptions'!$K$32*G2201,0)))</f>
        <v>7697.508</v>
      </c>
      <c r="J2201" s="50" t="n">
        <f aca="false">H2201*INDEX('Model Inputs &amp; Assumptions'!$D$40:$D$42,MATCH('Model Inputs &amp; Assumptions'!$L$32,'Model Inputs &amp; Assumptions'!$A$40:$A$42,0))*INDEX('Model Inputs &amp; Assumptions'!$H$40:$H$42,MATCH('Model Inputs &amp; Assumptions'!$L$32,'Model Inputs &amp; Assumptions'!$A$40:$A$42,0))</f>
        <v>359429.505128644</v>
      </c>
      <c r="K2201" s="49" t="n">
        <f aca="false">H2201*INDEX('Model Inputs &amp; Assumptions'!$G$40:$G$42,MATCH('Model Inputs &amp; Assumptions'!$L$32,'Model Inputs &amp; Assumptions'!$A$40:$A$42,0))*INDEX('Model Inputs &amp; Assumptions'!$H$40:$H$42,MATCH('Model Inputs &amp; Assumptions'!$L$32,'Model Inputs &amp; Assumptions'!$A$40:$A$42,0))</f>
        <v>7548.01960770151</v>
      </c>
      <c r="L2201" s="51" t="n">
        <f aca="false">IFERROR(K2201/I2201,0)</f>
        <v>0.980579637942762</v>
      </c>
      <c r="M2201" s="49" t="n">
        <f aca="false">IFERROR(I2201/H2201,0)</f>
        <v>115.645884956281</v>
      </c>
      <c r="N2201" s="52" t="str">
        <f aca="false">'Model Inputs &amp; Assumptions'!$L$32</f>
        <v>PRD-SP01</v>
      </c>
      <c r="P2201" s="53" t="n">
        <v>-1.93777</v>
      </c>
      <c r="Q2201" s="53" t="n">
        <v>-0.493719</v>
      </c>
      <c r="R2201" s="53" t="n">
        <v>-1.231231</v>
      </c>
      <c r="S2201" s="53" t="n">
        <v>0.130677</v>
      </c>
    </row>
    <row r="2202" customFormat="false" ht="15" hidden="false" customHeight="false" outlineLevel="0" collapsed="false">
      <c r="A2202" s="43" t="n">
        <v>199</v>
      </c>
      <c r="B2202" s="44" t="str">
        <f aca="false">'Model Inputs &amp; Assumptions'!$B$32</f>
        <v>Trade Republic — In-App Display</v>
      </c>
      <c r="C2202" s="45" t="n">
        <f aca="false">ROUND(MAX(0,'Model Inputs &amp; Assumptions'!$S$32*EXP('Model Inputs &amp; Assumptions'!$T$32*P2202-'Model Inputs &amp; Assumptions'!$T$32^2/2)),0)</f>
        <v>1480682</v>
      </c>
      <c r="D2202" s="46" t="n">
        <f aca="false">MIN(1,'Model Inputs &amp; Assumptions'!$U$32*EXP('Model Inputs &amp; Assumptions'!$V$32*Q2202-'Model Inputs &amp; Assumptions'!$V$32^2/2))</f>
        <v>0</v>
      </c>
      <c r="E2202" s="45" t="n">
        <f aca="false">ROUND(C2202*D2202,0)</f>
        <v>0</v>
      </c>
      <c r="F2202" s="47" t="n">
        <f aca="false">MIN(1,'Model Inputs &amp; Assumptions'!$W$32*EXP('Model Inputs &amp; Assumptions'!$X$32*R2202-'Model Inputs &amp; Assumptions'!$X$32^2/2))</f>
        <v>0.00340284813762798</v>
      </c>
      <c r="G2202" s="45" t="n">
        <f aca="false">ROUND(C2202*F2202,0)</f>
        <v>5039</v>
      </c>
      <c r="H2202" s="48" t="n">
        <f aca="false">MAX(0,(C2202*'Model Inputs &amp; Assumptions'!$N$32+E2202*'Model Inputs &amp; Assumptions'!$O$32+G2202*'Model Inputs &amp; Assumptions'!$P$32)*EXP('Model Inputs &amp; Assumptions'!$Q$32*S2202-'Model Inputs &amp; Assumptions'!$Q$32^2/2))</f>
        <v>143.172182513937</v>
      </c>
      <c r="I2202" s="49" t="n">
        <f aca="false">IF('Model Inputs &amp; Assumptions'!$H$32="Fixed",'Model Inputs &amp; Assumptions'!$I$32*'Model Inputs &amp; Assumptions'!$K$32,IF('Model Inputs &amp; Assumptions'!$H$32="CPM",'Model Inputs &amp; Assumptions'!$I$32*'Model Inputs &amp; Assumptions'!$K$32*C2202/1000,IF('Model Inputs &amp; Assumptions'!$H$32="CPC",'Model Inputs &amp; Assumptions'!$I$32*'Model Inputs &amp; Assumptions'!$K$32*G2202,0)))</f>
        <v>17768.184</v>
      </c>
      <c r="J2202" s="50" t="n">
        <f aca="false">H2202*INDEX('Model Inputs &amp; Assumptions'!$D$40:$D$42,MATCH('Model Inputs &amp; Assumptions'!$L$32,'Model Inputs &amp; Assumptions'!$A$40:$A$42,0))*INDEX('Model Inputs &amp; Assumptions'!$H$40:$H$42,MATCH('Model Inputs &amp; Assumptions'!$L$32,'Model Inputs &amp; Assumptions'!$A$40:$A$42,0))</f>
        <v>773129.785575262</v>
      </c>
      <c r="K2202" s="49" t="n">
        <f aca="false">H2202*INDEX('Model Inputs &amp; Assumptions'!$G$40:$G$42,MATCH('Model Inputs &amp; Assumptions'!$L$32,'Model Inputs &amp; Assumptions'!$A$40:$A$42,0))*INDEX('Model Inputs &amp; Assumptions'!$H$40:$H$42,MATCH('Model Inputs &amp; Assumptions'!$L$32,'Model Inputs &amp; Assumptions'!$A$40:$A$42,0))</f>
        <v>16235.7254970805</v>
      </c>
      <c r="L2202" s="51" t="n">
        <f aca="false">IFERROR(K2202/I2202,0)</f>
        <v>0.913752665836898</v>
      </c>
      <c r="M2202" s="49" t="n">
        <f aca="false">IFERROR(I2202/H2202,0)</f>
        <v>124.103605099896</v>
      </c>
      <c r="N2202" s="52" t="str">
        <f aca="false">'Model Inputs &amp; Assumptions'!$L$32</f>
        <v>PRD-SP01</v>
      </c>
      <c r="P2202" s="53" t="n">
        <v>0.850603</v>
      </c>
      <c r="Q2202" s="53" t="n">
        <v>0.240633</v>
      </c>
      <c r="R2202" s="53" t="n">
        <v>0.056166</v>
      </c>
      <c r="S2202" s="53" t="n">
        <v>-1.502222</v>
      </c>
    </row>
    <row r="2203" customFormat="false" ht="15" hidden="false" customHeight="false" outlineLevel="0" collapsed="false">
      <c r="A2203" s="43" t="n">
        <v>200</v>
      </c>
      <c r="B2203" s="44" t="str">
        <f aca="false">'Model Inputs &amp; Assumptions'!$B$32</f>
        <v>Trade Republic — In-App Display</v>
      </c>
      <c r="C2203" s="45" t="n">
        <f aca="false">ROUND(MAX(0,'Model Inputs &amp; Assumptions'!$S$32*EXP('Model Inputs &amp; Assumptions'!$T$32*P2203-'Model Inputs &amp; Assumptions'!$T$32^2/2)),0)</f>
        <v>721556</v>
      </c>
      <c r="D2203" s="46" t="n">
        <f aca="false">MIN(1,'Model Inputs &amp; Assumptions'!$U$32*EXP('Model Inputs &amp; Assumptions'!$V$32*Q2203-'Model Inputs &amp; Assumptions'!$V$32^2/2))</f>
        <v>0</v>
      </c>
      <c r="E2203" s="45" t="n">
        <f aca="false">ROUND(C2203*D2203,0)</f>
        <v>0</v>
      </c>
      <c r="F2203" s="47" t="n">
        <f aca="false">MIN(1,'Model Inputs &amp; Assumptions'!$W$32*EXP('Model Inputs &amp; Assumptions'!$X$32*R2203-'Model Inputs &amp; Assumptions'!$X$32^2/2))</f>
        <v>0.00301968212279857</v>
      </c>
      <c r="G2203" s="45" t="n">
        <f aca="false">ROUND(C2203*F2203,0)</f>
        <v>2179</v>
      </c>
      <c r="H2203" s="48" t="n">
        <f aca="false">MAX(0,(C2203*'Model Inputs &amp; Assumptions'!$N$32+E2203*'Model Inputs &amp; Assumptions'!$O$32+G2203*'Model Inputs &amp; Assumptions'!$P$32)*EXP('Model Inputs &amp; Assumptions'!$Q$32*S2203-'Model Inputs &amp; Assumptions'!$Q$32^2/2))</f>
        <v>145.157190221386</v>
      </c>
      <c r="I2203" s="49" t="n">
        <f aca="false">IF('Model Inputs &amp; Assumptions'!$H$32="Fixed",'Model Inputs &amp; Assumptions'!$I$32*'Model Inputs &amp; Assumptions'!$K$32,IF('Model Inputs &amp; Assumptions'!$H$32="CPM",'Model Inputs &amp; Assumptions'!$I$32*'Model Inputs &amp; Assumptions'!$K$32*C2203/1000,IF('Model Inputs &amp; Assumptions'!$H$32="CPC",'Model Inputs &amp; Assumptions'!$I$32*'Model Inputs &amp; Assumptions'!$K$32*G2203,0)))</f>
        <v>8658.672</v>
      </c>
      <c r="J2203" s="50" t="n">
        <f aca="false">H2203*INDEX('Model Inputs &amp; Assumptions'!$D$40:$D$42,MATCH('Model Inputs &amp; Assumptions'!$L$32,'Model Inputs &amp; Assumptions'!$A$40:$A$42,0))*INDEX('Model Inputs &amp; Assumptions'!$H$40:$H$42,MATCH('Model Inputs &amp; Assumptions'!$L$32,'Model Inputs &amp; Assumptions'!$A$40:$A$42,0))</f>
        <v>783848.827195486</v>
      </c>
      <c r="K2203" s="49" t="n">
        <f aca="false">H2203*INDEX('Model Inputs &amp; Assumptions'!$G$40:$G$42,MATCH('Model Inputs &amp; Assumptions'!$L$32,'Model Inputs &amp; Assumptions'!$A$40:$A$42,0))*INDEX('Model Inputs &amp; Assumptions'!$H$40:$H$42,MATCH('Model Inputs &amp; Assumptions'!$L$32,'Model Inputs &amp; Assumptions'!$A$40:$A$42,0))</f>
        <v>16460.8253711052</v>
      </c>
      <c r="L2203" s="51" t="n">
        <f aca="false">IFERROR(K2203/I2203,0)</f>
        <v>1.9010796772421</v>
      </c>
      <c r="M2203" s="49" t="n">
        <f aca="false">IFERROR(I2203/H2203,0)</f>
        <v>59.6503141649011</v>
      </c>
      <c r="N2203" s="52" t="str">
        <f aca="false">'Model Inputs &amp; Assumptions'!$L$32</f>
        <v>PRD-SP01</v>
      </c>
      <c r="P2203" s="53" t="n">
        <v>-1.545557</v>
      </c>
      <c r="Q2203" s="53" t="n">
        <v>2.011191</v>
      </c>
      <c r="R2203" s="53" t="n">
        <v>-0.342038</v>
      </c>
      <c r="S2203" s="53" t="n">
        <v>1.541031</v>
      </c>
    </row>
    <row r="2204" customFormat="false" ht="15" hidden="false" customHeight="false" outlineLevel="0" collapsed="false">
      <c r="A2204" s="43" t="n">
        <v>201</v>
      </c>
      <c r="B2204" s="44" t="str">
        <f aca="false">'Model Inputs &amp; Assumptions'!$B$32</f>
        <v>Trade Republic — In-App Display</v>
      </c>
      <c r="C2204" s="45" t="n">
        <f aca="false">ROUND(MAX(0,'Model Inputs &amp; Assumptions'!$S$32*EXP('Model Inputs &amp; Assumptions'!$T$32*P2204-'Model Inputs &amp; Assumptions'!$T$32^2/2)),0)</f>
        <v>1199394</v>
      </c>
      <c r="D2204" s="46" t="n">
        <f aca="false">MIN(1,'Model Inputs &amp; Assumptions'!$U$32*EXP('Model Inputs &amp; Assumptions'!$V$32*Q2204-'Model Inputs &amp; Assumptions'!$V$32^2/2))</f>
        <v>0</v>
      </c>
      <c r="E2204" s="45" t="n">
        <f aca="false">ROUND(C2204*D2204,0)</f>
        <v>0</v>
      </c>
      <c r="F2204" s="47" t="n">
        <f aca="false">MIN(1,'Model Inputs &amp; Assumptions'!$W$32*EXP('Model Inputs &amp; Assumptions'!$X$32*R2204-'Model Inputs &amp; Assumptions'!$X$32^2/2))</f>
        <v>0.00364104551024327</v>
      </c>
      <c r="G2204" s="45" t="n">
        <f aca="false">ROUND(C2204*F2204,0)</f>
        <v>4367</v>
      </c>
      <c r="H2204" s="48" t="n">
        <f aca="false">MAX(0,(C2204*'Model Inputs &amp; Assumptions'!$N$32+E2204*'Model Inputs &amp; Assumptions'!$O$32+G2204*'Model Inputs &amp; Assumptions'!$P$32)*EXP('Model Inputs &amp; Assumptions'!$Q$32*S2204-'Model Inputs &amp; Assumptions'!$Q$32^2/2))</f>
        <v>136.104809126245</v>
      </c>
      <c r="I2204" s="49" t="n">
        <f aca="false">IF('Model Inputs &amp; Assumptions'!$H$32="Fixed",'Model Inputs &amp; Assumptions'!$I$32*'Model Inputs &amp; Assumptions'!$K$32,IF('Model Inputs &amp; Assumptions'!$H$32="CPM",'Model Inputs &amp; Assumptions'!$I$32*'Model Inputs &amp; Assumptions'!$K$32*C2204/1000,IF('Model Inputs &amp; Assumptions'!$H$32="CPC",'Model Inputs &amp; Assumptions'!$I$32*'Model Inputs &amp; Assumptions'!$K$32*G2204,0)))</f>
        <v>14392.728</v>
      </c>
      <c r="J2204" s="50" t="n">
        <f aca="false">H2204*INDEX('Model Inputs &amp; Assumptions'!$D$40:$D$42,MATCH('Model Inputs &amp; Assumptions'!$L$32,'Model Inputs &amp; Assumptions'!$A$40:$A$42,0))*INDEX('Model Inputs &amp; Assumptions'!$H$40:$H$42,MATCH('Model Inputs &amp; Assumptions'!$L$32,'Model Inputs &amp; Assumptions'!$A$40:$A$42,0))</f>
        <v>734965.969281725</v>
      </c>
      <c r="K2204" s="49" t="n">
        <f aca="false">H2204*INDEX('Model Inputs &amp; Assumptions'!$G$40:$G$42,MATCH('Model Inputs &amp; Assumptions'!$L$32,'Model Inputs &amp; Assumptions'!$A$40:$A$42,0))*INDEX('Model Inputs &amp; Assumptions'!$H$40:$H$42,MATCH('Model Inputs &amp; Assumptions'!$L$32,'Model Inputs &amp; Assumptions'!$A$40:$A$42,0))</f>
        <v>15434.2853549162</v>
      </c>
      <c r="L2204" s="51" t="n">
        <f aca="false">IFERROR(K2204/I2204,0)</f>
        <v>1.07236691716235</v>
      </c>
      <c r="M2204" s="49" t="n">
        <f aca="false">IFERROR(I2204/H2204,0)</f>
        <v>105.74738756402</v>
      </c>
      <c r="N2204" s="52" t="str">
        <f aca="false">'Model Inputs &amp; Assumptions'!$L$32</f>
        <v>PRD-SP01</v>
      </c>
      <c r="P2204" s="53" t="n">
        <v>0.148316</v>
      </c>
      <c r="Q2204" s="53" t="n">
        <v>-0.783344</v>
      </c>
      <c r="R2204" s="53" t="n">
        <v>0.281693</v>
      </c>
      <c r="S2204" s="53" t="n">
        <v>-1.171834</v>
      </c>
    </row>
    <row r="2205" customFormat="false" ht="15" hidden="false" customHeight="false" outlineLevel="0" collapsed="false">
      <c r="A2205" s="43" t="n">
        <v>202</v>
      </c>
      <c r="B2205" s="44" t="str">
        <f aca="false">'Model Inputs &amp; Assumptions'!$B$32</f>
        <v>Trade Republic — In-App Display</v>
      </c>
      <c r="C2205" s="45" t="n">
        <f aca="false">ROUND(MAX(0,'Model Inputs &amp; Assumptions'!$S$32*EXP('Model Inputs &amp; Assumptions'!$T$32*P2205-'Model Inputs &amp; Assumptions'!$T$32^2/2)),0)</f>
        <v>1495318</v>
      </c>
      <c r="D2205" s="46" t="n">
        <f aca="false">MIN(1,'Model Inputs &amp; Assumptions'!$U$32*EXP('Model Inputs &amp; Assumptions'!$V$32*Q2205-'Model Inputs &amp; Assumptions'!$V$32^2/2))</f>
        <v>0</v>
      </c>
      <c r="E2205" s="45" t="n">
        <f aca="false">ROUND(C2205*D2205,0)</f>
        <v>0</v>
      </c>
      <c r="F2205" s="47" t="n">
        <f aca="false">MIN(1,'Model Inputs &amp; Assumptions'!$W$32*EXP('Model Inputs &amp; Assumptions'!$X$32*R2205-'Model Inputs &amp; Assumptions'!$X$32^2/2))</f>
        <v>0.00377461982301872</v>
      </c>
      <c r="G2205" s="45" t="n">
        <f aca="false">ROUND(C2205*F2205,0)</f>
        <v>5644</v>
      </c>
      <c r="H2205" s="48" t="n">
        <f aca="false">MAX(0,(C2205*'Model Inputs &amp; Assumptions'!$N$32+E2205*'Model Inputs &amp; Assumptions'!$O$32+G2205*'Model Inputs &amp; Assumptions'!$P$32)*EXP('Model Inputs &amp; Assumptions'!$Q$32*S2205-'Model Inputs &amp; Assumptions'!$Q$32^2/2))</f>
        <v>290.075189571987</v>
      </c>
      <c r="I2205" s="49" t="n">
        <f aca="false">IF('Model Inputs &amp; Assumptions'!$H$32="Fixed",'Model Inputs &amp; Assumptions'!$I$32*'Model Inputs &amp; Assumptions'!$K$32,IF('Model Inputs &amp; Assumptions'!$H$32="CPM",'Model Inputs &amp; Assumptions'!$I$32*'Model Inputs &amp; Assumptions'!$K$32*C2205/1000,IF('Model Inputs &amp; Assumptions'!$H$32="CPC",'Model Inputs &amp; Assumptions'!$I$32*'Model Inputs &amp; Assumptions'!$K$32*G2205,0)))</f>
        <v>17943.816</v>
      </c>
      <c r="J2205" s="50" t="n">
        <f aca="false">H2205*INDEX('Model Inputs &amp; Assumptions'!$D$40:$D$42,MATCH('Model Inputs &amp; Assumptions'!$L$32,'Model Inputs &amp; Assumptions'!$A$40:$A$42,0))*INDEX('Model Inputs &amp; Assumptions'!$H$40:$H$42,MATCH('Model Inputs &amp; Assumptions'!$L$32,'Model Inputs &amp; Assumptions'!$A$40:$A$42,0))</f>
        <v>1566406.02368873</v>
      </c>
      <c r="K2205" s="49" t="n">
        <f aca="false">H2205*INDEX('Model Inputs &amp; Assumptions'!$G$40:$G$42,MATCH('Model Inputs &amp; Assumptions'!$L$32,'Model Inputs &amp; Assumptions'!$A$40:$A$42,0))*INDEX('Model Inputs &amp; Assumptions'!$H$40:$H$42,MATCH('Model Inputs &amp; Assumptions'!$L$32,'Model Inputs &amp; Assumptions'!$A$40:$A$42,0))</f>
        <v>32894.5264974633</v>
      </c>
      <c r="L2205" s="51" t="n">
        <f aca="false">IFERROR(K2205/I2205,0)</f>
        <v>1.8331957091771</v>
      </c>
      <c r="M2205" s="49" t="n">
        <f aca="false">IFERROR(I2205/H2205,0)</f>
        <v>61.8591890829289</v>
      </c>
      <c r="N2205" s="52" t="str">
        <f aca="false">'Model Inputs &amp; Assumptions'!$L$32</f>
        <v>PRD-SP01</v>
      </c>
      <c r="P2205" s="53" t="n">
        <v>0.883391</v>
      </c>
      <c r="Q2205" s="53" t="n">
        <v>0.635937</v>
      </c>
      <c r="R2205" s="53" t="n">
        <v>0.401789</v>
      </c>
      <c r="S2205" s="53" t="n">
        <v>0.614588</v>
      </c>
    </row>
    <row r="2206" customFormat="false" ht="15" hidden="false" customHeight="false" outlineLevel="0" collapsed="false">
      <c r="A2206" s="43" t="n">
        <v>203</v>
      </c>
      <c r="B2206" s="44" t="str">
        <f aca="false">'Model Inputs &amp; Assumptions'!$B$32</f>
        <v>Trade Republic — In-App Display</v>
      </c>
      <c r="C2206" s="45" t="n">
        <f aca="false">ROUND(MAX(0,'Model Inputs &amp; Assumptions'!$S$32*EXP('Model Inputs &amp; Assumptions'!$T$32*P2206-'Model Inputs &amp; Assumptions'!$T$32^2/2)),0)</f>
        <v>1234116</v>
      </c>
      <c r="D2206" s="46" t="n">
        <f aca="false">MIN(1,'Model Inputs &amp; Assumptions'!$U$32*EXP('Model Inputs &amp; Assumptions'!$V$32*Q2206-'Model Inputs &amp; Assumptions'!$V$32^2/2))</f>
        <v>0</v>
      </c>
      <c r="E2206" s="45" t="n">
        <f aca="false">ROUND(C2206*D2206,0)</f>
        <v>0</v>
      </c>
      <c r="F2206" s="47" t="n">
        <f aca="false">MIN(1,'Model Inputs &amp; Assumptions'!$W$32*EXP('Model Inputs &amp; Assumptions'!$X$32*R2206-'Model Inputs &amp; Assumptions'!$X$32^2/2))</f>
        <v>0.00304911251166758</v>
      </c>
      <c r="G2206" s="45" t="n">
        <f aca="false">ROUND(C2206*F2206,0)</f>
        <v>3763</v>
      </c>
      <c r="H2206" s="48" t="n">
        <f aca="false">MAX(0,(C2206*'Model Inputs &amp; Assumptions'!$N$32+E2206*'Model Inputs &amp; Assumptions'!$O$32+G2206*'Model Inputs &amp; Assumptions'!$P$32)*EXP('Model Inputs &amp; Assumptions'!$Q$32*S2206-'Model Inputs &amp; Assumptions'!$Q$32^2/2))</f>
        <v>157.305932102078</v>
      </c>
      <c r="I2206" s="49" t="n">
        <f aca="false">IF('Model Inputs &amp; Assumptions'!$H$32="Fixed",'Model Inputs &amp; Assumptions'!$I$32*'Model Inputs &amp; Assumptions'!$K$32,IF('Model Inputs &amp; Assumptions'!$H$32="CPM",'Model Inputs &amp; Assumptions'!$I$32*'Model Inputs &amp; Assumptions'!$K$32*C2206/1000,IF('Model Inputs &amp; Assumptions'!$H$32="CPC",'Model Inputs &amp; Assumptions'!$I$32*'Model Inputs &amp; Assumptions'!$K$32*G2206,0)))</f>
        <v>14809.392</v>
      </c>
      <c r="J2206" s="50" t="n">
        <f aca="false">H2206*INDEX('Model Inputs &amp; Assumptions'!$D$40:$D$42,MATCH('Model Inputs &amp; Assumptions'!$L$32,'Model Inputs &amp; Assumptions'!$A$40:$A$42,0))*INDEX('Model Inputs &amp; Assumptions'!$H$40:$H$42,MATCH('Model Inputs &amp; Assumptions'!$L$32,'Model Inputs &amp; Assumptions'!$A$40:$A$42,0))</f>
        <v>849452.033351222</v>
      </c>
      <c r="K2206" s="49" t="n">
        <f aca="false">H2206*INDEX('Model Inputs &amp; Assumptions'!$G$40:$G$42,MATCH('Model Inputs &amp; Assumptions'!$L$32,'Model Inputs &amp; Assumptions'!$A$40:$A$42,0))*INDEX('Model Inputs &amp; Assumptions'!$H$40:$H$42,MATCH('Model Inputs &amp; Assumptions'!$L$32,'Model Inputs &amp; Assumptions'!$A$40:$A$42,0))</f>
        <v>17838.4927003757</v>
      </c>
      <c r="L2206" s="51" t="n">
        <f aca="false">IFERROR(K2206/I2206,0)</f>
        <v>1.20453916679197</v>
      </c>
      <c r="M2206" s="49" t="n">
        <f aca="false">IFERROR(I2206/H2206,0)</f>
        <v>94.1438876595574</v>
      </c>
      <c r="N2206" s="52" t="str">
        <f aca="false">'Model Inputs &amp; Assumptions'!$L$32</f>
        <v>PRD-SP01</v>
      </c>
      <c r="P2206" s="53" t="n">
        <v>0.243445</v>
      </c>
      <c r="Q2206" s="53" t="n">
        <v>-1.45293</v>
      </c>
      <c r="R2206" s="53" t="n">
        <v>-0.309708</v>
      </c>
      <c r="S2206" s="53" t="n">
        <v>-0.123166</v>
      </c>
    </row>
    <row r="2207" customFormat="false" ht="15" hidden="false" customHeight="false" outlineLevel="0" collapsed="false">
      <c r="A2207" s="43" t="n">
        <v>204</v>
      </c>
      <c r="B2207" s="44" t="str">
        <f aca="false">'Model Inputs &amp; Assumptions'!$B$32</f>
        <v>Trade Republic — In-App Display</v>
      </c>
      <c r="C2207" s="45" t="n">
        <f aca="false">ROUND(MAX(0,'Model Inputs &amp; Assumptions'!$S$32*EXP('Model Inputs &amp; Assumptions'!$T$32*P2207-'Model Inputs &amp; Assumptions'!$T$32^2/2)),0)</f>
        <v>1501241</v>
      </c>
      <c r="D2207" s="46" t="n">
        <f aca="false">MIN(1,'Model Inputs &amp; Assumptions'!$U$32*EXP('Model Inputs &amp; Assumptions'!$V$32*Q2207-'Model Inputs &amp; Assumptions'!$V$32^2/2))</f>
        <v>0</v>
      </c>
      <c r="E2207" s="45" t="n">
        <f aca="false">ROUND(C2207*D2207,0)</f>
        <v>0</v>
      </c>
      <c r="F2207" s="47" t="n">
        <f aca="false">MIN(1,'Model Inputs &amp; Assumptions'!$W$32*EXP('Model Inputs &amp; Assumptions'!$X$32*R2207-'Model Inputs &amp; Assumptions'!$X$32^2/2))</f>
        <v>0.00314484614515207</v>
      </c>
      <c r="G2207" s="45" t="n">
        <f aca="false">ROUND(C2207*F2207,0)</f>
        <v>4721</v>
      </c>
      <c r="H2207" s="48" t="n">
        <f aca="false">MAX(0,(C2207*'Model Inputs &amp; Assumptions'!$N$32+E2207*'Model Inputs &amp; Assumptions'!$O$32+G2207*'Model Inputs &amp; Assumptions'!$P$32)*EXP('Model Inputs &amp; Assumptions'!$Q$32*S2207-'Model Inputs &amp; Assumptions'!$Q$32^2/2))</f>
        <v>274.424970296539</v>
      </c>
      <c r="I2207" s="49" t="n">
        <f aca="false">IF('Model Inputs &amp; Assumptions'!$H$32="Fixed",'Model Inputs &amp; Assumptions'!$I$32*'Model Inputs &amp; Assumptions'!$K$32,IF('Model Inputs &amp; Assumptions'!$H$32="CPM",'Model Inputs &amp; Assumptions'!$I$32*'Model Inputs &amp; Assumptions'!$K$32*C2207/1000,IF('Model Inputs &amp; Assumptions'!$H$32="CPC",'Model Inputs &amp; Assumptions'!$I$32*'Model Inputs &amp; Assumptions'!$K$32*G2207,0)))</f>
        <v>18014.892</v>
      </c>
      <c r="J2207" s="50" t="n">
        <f aca="false">H2207*INDEX('Model Inputs &amp; Assumptions'!$D$40:$D$42,MATCH('Model Inputs &amp; Assumptions'!$L$32,'Model Inputs &amp; Assumptions'!$A$40:$A$42,0))*INDEX('Model Inputs &amp; Assumptions'!$H$40:$H$42,MATCH('Model Inputs &amp; Assumptions'!$L$32,'Model Inputs &amp; Assumptions'!$A$40:$A$42,0))</f>
        <v>1481894.83960131</v>
      </c>
      <c r="K2207" s="49" t="n">
        <f aca="false">H2207*INDEX('Model Inputs &amp; Assumptions'!$G$40:$G$42,MATCH('Model Inputs &amp; Assumptions'!$L$32,'Model Inputs &amp; Assumptions'!$A$40:$A$42,0))*INDEX('Model Inputs &amp; Assumptions'!$H$40:$H$42,MATCH('Model Inputs &amp; Assumptions'!$L$32,'Model Inputs &amp; Assumptions'!$A$40:$A$42,0))</f>
        <v>31119.7916316275</v>
      </c>
      <c r="L2207" s="51" t="n">
        <f aca="false">IFERROR(K2207/I2207,0)</f>
        <v>1.72744813744248</v>
      </c>
      <c r="M2207" s="49" t="n">
        <f aca="false">IFERROR(I2207/H2207,0)</f>
        <v>65.6459650174452</v>
      </c>
      <c r="N2207" s="52" t="str">
        <f aca="false">'Model Inputs &amp; Assumptions'!$L$32</f>
        <v>PRD-SP01</v>
      </c>
      <c r="P2207" s="53" t="n">
        <v>0.896569</v>
      </c>
      <c r="Q2207" s="53" t="n">
        <v>0.46497</v>
      </c>
      <c r="R2207" s="53" t="n">
        <v>-0.20666</v>
      </c>
      <c r="S2207" s="53" t="n">
        <v>1.054267</v>
      </c>
    </row>
    <row r="2208" customFormat="false" ht="15" hidden="false" customHeight="false" outlineLevel="0" collapsed="false">
      <c r="A2208" s="43" t="n">
        <v>205</v>
      </c>
      <c r="B2208" s="44" t="str">
        <f aca="false">'Model Inputs &amp; Assumptions'!$B$32</f>
        <v>Trade Republic — In-App Display</v>
      </c>
      <c r="C2208" s="45" t="n">
        <f aca="false">ROUND(MAX(0,'Model Inputs &amp; Assumptions'!$S$32*EXP('Model Inputs &amp; Assumptions'!$T$32*P2208-'Model Inputs &amp; Assumptions'!$T$32^2/2)),0)</f>
        <v>982328</v>
      </c>
      <c r="D2208" s="46" t="n">
        <f aca="false">MIN(1,'Model Inputs &amp; Assumptions'!$U$32*EXP('Model Inputs &amp; Assumptions'!$V$32*Q2208-'Model Inputs &amp; Assumptions'!$V$32^2/2))</f>
        <v>0</v>
      </c>
      <c r="E2208" s="45" t="n">
        <f aca="false">ROUND(C2208*D2208,0)</f>
        <v>0</v>
      </c>
      <c r="F2208" s="47" t="n">
        <f aca="false">MIN(1,'Model Inputs &amp; Assumptions'!$W$32*EXP('Model Inputs &amp; Assumptions'!$X$32*R2208-'Model Inputs &amp; Assumptions'!$X$32^2/2))</f>
        <v>0.00323103774364132</v>
      </c>
      <c r="G2208" s="45" t="n">
        <f aca="false">ROUND(C2208*F2208,0)</f>
        <v>3174</v>
      </c>
      <c r="H2208" s="48" t="n">
        <f aca="false">MAX(0,(C2208*'Model Inputs &amp; Assumptions'!$N$32+E2208*'Model Inputs &amp; Assumptions'!$O$32+G2208*'Model Inputs &amp; Assumptions'!$P$32)*EXP('Model Inputs &amp; Assumptions'!$Q$32*S2208-'Model Inputs &amp; Assumptions'!$Q$32^2/2))</f>
        <v>128.695613627715</v>
      </c>
      <c r="I2208" s="49" t="n">
        <f aca="false">IF('Model Inputs &amp; Assumptions'!$H$32="Fixed",'Model Inputs &amp; Assumptions'!$I$32*'Model Inputs &amp; Assumptions'!$K$32,IF('Model Inputs &amp; Assumptions'!$H$32="CPM",'Model Inputs &amp; Assumptions'!$I$32*'Model Inputs &amp; Assumptions'!$K$32*C2208/1000,IF('Model Inputs &amp; Assumptions'!$H$32="CPC",'Model Inputs &amp; Assumptions'!$I$32*'Model Inputs &amp; Assumptions'!$K$32*G2208,0)))</f>
        <v>11787.936</v>
      </c>
      <c r="J2208" s="50" t="n">
        <f aca="false">H2208*INDEX('Model Inputs &amp; Assumptions'!$D$40:$D$42,MATCH('Model Inputs &amp; Assumptions'!$L$32,'Model Inputs &amp; Assumptions'!$A$40:$A$42,0))*INDEX('Model Inputs &amp; Assumptions'!$H$40:$H$42,MATCH('Model Inputs &amp; Assumptions'!$L$32,'Model Inputs &amp; Assumptions'!$A$40:$A$42,0))</f>
        <v>694956.313589663</v>
      </c>
      <c r="K2208" s="49" t="n">
        <f aca="false">H2208*INDEX('Model Inputs &amp; Assumptions'!$G$40:$G$42,MATCH('Model Inputs &amp; Assumptions'!$L$32,'Model Inputs &amp; Assumptions'!$A$40:$A$42,0))*INDEX('Model Inputs &amp; Assumptions'!$H$40:$H$42,MATCH('Model Inputs &amp; Assumptions'!$L$32,'Model Inputs &amp; Assumptions'!$A$40:$A$42,0))</f>
        <v>14594.0825853829</v>
      </c>
      <c r="L2208" s="51" t="n">
        <f aca="false">IFERROR(K2208/I2208,0)</f>
        <v>1.23805241098891</v>
      </c>
      <c r="M2208" s="49" t="n">
        <f aca="false">IFERROR(I2208/H2208,0)</f>
        <v>91.5954760828104</v>
      </c>
      <c r="N2208" s="52" t="str">
        <f aca="false">'Model Inputs &amp; Assumptions'!$L$32</f>
        <v>PRD-SP01</v>
      </c>
      <c r="P2208" s="53" t="n">
        <v>-0.517171</v>
      </c>
      <c r="Q2208" s="53" t="n">
        <v>0.504923</v>
      </c>
      <c r="R2208" s="53" t="n">
        <v>-0.116532</v>
      </c>
      <c r="S2208" s="53" t="n">
        <v>-0.232161</v>
      </c>
    </row>
    <row r="2209" customFormat="false" ht="15" hidden="false" customHeight="false" outlineLevel="0" collapsed="false">
      <c r="A2209" s="43" t="n">
        <v>206</v>
      </c>
      <c r="B2209" s="44" t="str">
        <f aca="false">'Model Inputs &amp; Assumptions'!$B$32</f>
        <v>Trade Republic — In-App Display</v>
      </c>
      <c r="C2209" s="45" t="n">
        <f aca="false">ROUND(MAX(0,'Model Inputs &amp; Assumptions'!$S$32*EXP('Model Inputs &amp; Assumptions'!$T$32*P2209-'Model Inputs &amp; Assumptions'!$T$32^2/2)),0)</f>
        <v>1863074</v>
      </c>
      <c r="D2209" s="46" t="n">
        <f aca="false">MIN(1,'Model Inputs &amp; Assumptions'!$U$32*EXP('Model Inputs &amp; Assumptions'!$V$32*Q2209-'Model Inputs &amp; Assumptions'!$V$32^2/2))</f>
        <v>0</v>
      </c>
      <c r="E2209" s="45" t="n">
        <f aca="false">ROUND(C2209*D2209,0)</f>
        <v>0</v>
      </c>
      <c r="F2209" s="47" t="n">
        <f aca="false">MIN(1,'Model Inputs &amp; Assumptions'!$W$32*EXP('Model Inputs &amp; Assumptions'!$X$32*R2209-'Model Inputs &amp; Assumptions'!$X$32^2/2))</f>
        <v>0.00152283140498127</v>
      </c>
      <c r="G2209" s="45" t="n">
        <f aca="false">ROUND(C2209*F2209,0)</f>
        <v>2837</v>
      </c>
      <c r="H2209" s="48" t="n">
        <f aca="false">MAX(0,(C2209*'Model Inputs &amp; Assumptions'!$N$32+E2209*'Model Inputs &amp; Assumptions'!$O$32+G2209*'Model Inputs &amp; Assumptions'!$P$32)*EXP('Model Inputs &amp; Assumptions'!$Q$32*S2209-'Model Inputs &amp; Assumptions'!$Q$32^2/2))</f>
        <v>127.248237620879</v>
      </c>
      <c r="I2209" s="49" t="n">
        <f aca="false">IF('Model Inputs &amp; Assumptions'!$H$32="Fixed",'Model Inputs &amp; Assumptions'!$I$32*'Model Inputs &amp; Assumptions'!$K$32,IF('Model Inputs &amp; Assumptions'!$H$32="CPM",'Model Inputs &amp; Assumptions'!$I$32*'Model Inputs &amp; Assumptions'!$K$32*C2209/1000,IF('Model Inputs &amp; Assumptions'!$H$32="CPC",'Model Inputs &amp; Assumptions'!$I$32*'Model Inputs &amp; Assumptions'!$K$32*G2209,0)))</f>
        <v>22356.888</v>
      </c>
      <c r="J2209" s="50" t="n">
        <f aca="false">H2209*INDEX('Model Inputs &amp; Assumptions'!$D$40:$D$42,MATCH('Model Inputs &amp; Assumptions'!$L$32,'Model Inputs &amp; Assumptions'!$A$40:$A$42,0))*INDEX('Model Inputs &amp; Assumptions'!$H$40:$H$42,MATCH('Model Inputs &amp; Assumptions'!$L$32,'Model Inputs &amp; Assumptions'!$A$40:$A$42,0))</f>
        <v>687140.483152747</v>
      </c>
      <c r="K2209" s="49" t="n">
        <f aca="false">H2209*INDEX('Model Inputs &amp; Assumptions'!$G$40:$G$42,MATCH('Model Inputs &amp; Assumptions'!$L$32,'Model Inputs &amp; Assumptions'!$A$40:$A$42,0))*INDEX('Model Inputs &amp; Assumptions'!$H$40:$H$42,MATCH('Model Inputs &amp; Assumptions'!$L$32,'Model Inputs &amp; Assumptions'!$A$40:$A$42,0))</f>
        <v>14429.9501462077</v>
      </c>
      <c r="L2209" s="51" t="n">
        <f aca="false">IFERROR(K2209/I2209,0)</f>
        <v>0.645436437585038</v>
      </c>
      <c r="M2209" s="49" t="n">
        <f aca="false">IFERROR(I2209/H2209,0)</f>
        <v>175.695069872871</v>
      </c>
      <c r="N2209" s="52" t="str">
        <f aca="false">'Model Inputs &amp; Assumptions'!$L$32</f>
        <v>PRD-SP01</v>
      </c>
      <c r="P2209" s="53" t="n">
        <v>1.616355</v>
      </c>
      <c r="Q2209" s="53" t="n">
        <v>-1.302492</v>
      </c>
      <c r="R2209" s="53" t="n">
        <v>-2.623972</v>
      </c>
      <c r="S2209" s="53" t="n">
        <v>0.128322</v>
      </c>
    </row>
    <row r="2210" customFormat="false" ht="15" hidden="false" customHeight="false" outlineLevel="0" collapsed="false">
      <c r="A2210" s="43" t="n">
        <v>207</v>
      </c>
      <c r="B2210" s="44" t="str">
        <f aca="false">'Model Inputs &amp; Assumptions'!$B$32</f>
        <v>Trade Republic — In-App Display</v>
      </c>
      <c r="C2210" s="45" t="n">
        <f aca="false">ROUND(MAX(0,'Model Inputs &amp; Assumptions'!$S$32*EXP('Model Inputs &amp; Assumptions'!$T$32*P2210-'Model Inputs &amp; Assumptions'!$T$32^2/2)),0)</f>
        <v>1267461</v>
      </c>
      <c r="D2210" s="46" t="n">
        <f aca="false">MIN(1,'Model Inputs &amp; Assumptions'!$U$32*EXP('Model Inputs &amp; Assumptions'!$V$32*Q2210-'Model Inputs &amp; Assumptions'!$V$32^2/2))</f>
        <v>0</v>
      </c>
      <c r="E2210" s="45" t="n">
        <f aca="false">ROUND(C2210*D2210,0)</f>
        <v>0</v>
      </c>
      <c r="F2210" s="47" t="n">
        <f aca="false">MIN(1,'Model Inputs &amp; Assumptions'!$W$32*EXP('Model Inputs &amp; Assumptions'!$X$32*R2210-'Model Inputs &amp; Assumptions'!$X$32^2/2))</f>
        <v>0.00223004277855236</v>
      </c>
      <c r="G2210" s="45" t="n">
        <f aca="false">ROUND(C2210*F2210,0)</f>
        <v>2826</v>
      </c>
      <c r="H2210" s="48" t="n">
        <f aca="false">MAX(0,(C2210*'Model Inputs &amp; Assumptions'!$N$32+E2210*'Model Inputs &amp; Assumptions'!$O$32+G2210*'Model Inputs &amp; Assumptions'!$P$32)*EXP('Model Inputs &amp; Assumptions'!$Q$32*S2210-'Model Inputs &amp; Assumptions'!$Q$32^2/2))</f>
        <v>111.661008757795</v>
      </c>
      <c r="I2210" s="49" t="n">
        <f aca="false">IF('Model Inputs &amp; Assumptions'!$H$32="Fixed",'Model Inputs &amp; Assumptions'!$I$32*'Model Inputs &amp; Assumptions'!$K$32,IF('Model Inputs &amp; Assumptions'!$H$32="CPM",'Model Inputs &amp; Assumptions'!$I$32*'Model Inputs &amp; Assumptions'!$K$32*C2210/1000,IF('Model Inputs &amp; Assumptions'!$H$32="CPC",'Model Inputs &amp; Assumptions'!$I$32*'Model Inputs &amp; Assumptions'!$K$32*G2210,0)))</f>
        <v>15209.532</v>
      </c>
      <c r="J2210" s="50" t="n">
        <f aca="false">H2210*INDEX('Model Inputs &amp; Assumptions'!$D$40:$D$42,MATCH('Model Inputs &amp; Assumptions'!$L$32,'Model Inputs &amp; Assumptions'!$A$40:$A$42,0))*INDEX('Model Inputs &amp; Assumptions'!$H$40:$H$42,MATCH('Model Inputs &amp; Assumptions'!$L$32,'Model Inputs &amp; Assumptions'!$A$40:$A$42,0))</f>
        <v>602969.447292092</v>
      </c>
      <c r="K2210" s="49" t="n">
        <f aca="false">H2210*INDEX('Model Inputs &amp; Assumptions'!$G$40:$G$42,MATCH('Model Inputs &amp; Assumptions'!$L$32,'Model Inputs &amp; Assumptions'!$A$40:$A$42,0))*INDEX('Model Inputs &amp; Assumptions'!$H$40:$H$42,MATCH('Model Inputs &amp; Assumptions'!$L$32,'Model Inputs &amp; Assumptions'!$A$40:$A$42,0))</f>
        <v>12662.3583931339</v>
      </c>
      <c r="L2210" s="51" t="n">
        <f aca="false">IFERROR(K2210/I2210,0)</f>
        <v>0.832527811712677</v>
      </c>
      <c r="M2210" s="49" t="n">
        <f aca="false">IFERROR(I2210/H2210,0)</f>
        <v>136.211665730077</v>
      </c>
      <c r="N2210" s="52" t="str">
        <f aca="false">'Model Inputs &amp; Assumptions'!$L$32</f>
        <v>PRD-SP01</v>
      </c>
      <c r="P2210" s="53" t="n">
        <v>0.332315</v>
      </c>
      <c r="Q2210" s="53" t="n">
        <v>-0.857141</v>
      </c>
      <c r="R2210" s="53" t="n">
        <v>-1.352474</v>
      </c>
      <c r="S2210" s="53" t="n">
        <v>-0.32449</v>
      </c>
    </row>
    <row r="2211" customFormat="false" ht="15" hidden="false" customHeight="false" outlineLevel="0" collapsed="false">
      <c r="A2211" s="43" t="n">
        <v>208</v>
      </c>
      <c r="B2211" s="44" t="str">
        <f aca="false">'Model Inputs &amp; Assumptions'!$B$32</f>
        <v>Trade Republic — In-App Display</v>
      </c>
      <c r="C2211" s="45" t="n">
        <f aca="false">ROUND(MAX(0,'Model Inputs &amp; Assumptions'!$S$32*EXP('Model Inputs &amp; Assumptions'!$T$32*P2211-'Model Inputs &amp; Assumptions'!$T$32^2/2)),0)</f>
        <v>1999069</v>
      </c>
      <c r="D2211" s="46" t="n">
        <f aca="false">MIN(1,'Model Inputs &amp; Assumptions'!$U$32*EXP('Model Inputs &amp; Assumptions'!$V$32*Q2211-'Model Inputs &amp; Assumptions'!$V$32^2/2))</f>
        <v>0</v>
      </c>
      <c r="E2211" s="45" t="n">
        <f aca="false">ROUND(C2211*D2211,0)</f>
        <v>0</v>
      </c>
      <c r="F2211" s="47" t="n">
        <f aca="false">MIN(1,'Model Inputs &amp; Assumptions'!$W$32*EXP('Model Inputs &amp; Assumptions'!$X$32*R2211-'Model Inputs &amp; Assumptions'!$X$32^2/2))</f>
        <v>0.00343555734930206</v>
      </c>
      <c r="G2211" s="45" t="n">
        <f aca="false">ROUND(C2211*F2211,0)</f>
        <v>6868</v>
      </c>
      <c r="H2211" s="48" t="n">
        <f aca="false">MAX(0,(C2211*'Model Inputs &amp; Assumptions'!$N$32+E2211*'Model Inputs &amp; Assumptions'!$O$32+G2211*'Model Inputs &amp; Assumptions'!$P$32)*EXP('Model Inputs &amp; Assumptions'!$Q$32*S2211-'Model Inputs &amp; Assumptions'!$Q$32^2/2))</f>
        <v>458.163099334574</v>
      </c>
      <c r="I2211" s="49" t="n">
        <f aca="false">IF('Model Inputs &amp; Assumptions'!$H$32="Fixed",'Model Inputs &amp; Assumptions'!$I$32*'Model Inputs &amp; Assumptions'!$K$32,IF('Model Inputs &amp; Assumptions'!$H$32="CPM",'Model Inputs &amp; Assumptions'!$I$32*'Model Inputs &amp; Assumptions'!$K$32*C2211/1000,IF('Model Inputs &amp; Assumptions'!$H$32="CPC",'Model Inputs &amp; Assumptions'!$I$32*'Model Inputs &amp; Assumptions'!$K$32*G2211,0)))</f>
        <v>23988.828</v>
      </c>
      <c r="J2211" s="50" t="n">
        <f aca="false">H2211*INDEX('Model Inputs &amp; Assumptions'!$D$40:$D$42,MATCH('Model Inputs &amp; Assumptions'!$L$32,'Model Inputs &amp; Assumptions'!$A$40:$A$42,0))*INDEX('Model Inputs &amp; Assumptions'!$H$40:$H$42,MATCH('Model Inputs &amp; Assumptions'!$L$32,'Model Inputs &amp; Assumptions'!$A$40:$A$42,0))</f>
        <v>2474080.7364067</v>
      </c>
      <c r="K2211" s="49" t="n">
        <f aca="false">H2211*INDEX('Model Inputs &amp; Assumptions'!$G$40:$G$42,MATCH('Model Inputs &amp; Assumptions'!$L$32,'Model Inputs &amp; Assumptions'!$A$40:$A$42,0))*INDEX('Model Inputs &amp; Assumptions'!$H$40:$H$42,MATCH('Model Inputs &amp; Assumptions'!$L$32,'Model Inputs &amp; Assumptions'!$A$40:$A$42,0))</f>
        <v>51955.6954645407</v>
      </c>
      <c r="L2211" s="51" t="n">
        <f aca="false">IFERROR(K2211/I2211,0)</f>
        <v>2.1658288376798</v>
      </c>
      <c r="M2211" s="49" t="n">
        <f aca="false">IFERROR(I2211/H2211,0)</f>
        <v>52.3587081431064</v>
      </c>
      <c r="N2211" s="52" t="str">
        <f aca="false">'Model Inputs &amp; Assumptions'!$L$32</f>
        <v>PRD-SP01</v>
      </c>
      <c r="P2211" s="53" t="n">
        <v>1.8512</v>
      </c>
      <c r="Q2211" s="53" t="n">
        <v>1.138088</v>
      </c>
      <c r="R2211" s="53" t="n">
        <v>0.088054</v>
      </c>
      <c r="S2211" s="53" t="n">
        <v>1.546035</v>
      </c>
    </row>
    <row r="2212" customFormat="false" ht="15" hidden="false" customHeight="false" outlineLevel="0" collapsed="false">
      <c r="A2212" s="43" t="n">
        <v>209</v>
      </c>
      <c r="B2212" s="44" t="str">
        <f aca="false">'Model Inputs &amp; Assumptions'!$B$32</f>
        <v>Trade Republic — In-App Display</v>
      </c>
      <c r="C2212" s="45" t="n">
        <f aca="false">ROUND(MAX(0,'Model Inputs &amp; Assumptions'!$S$32*EXP('Model Inputs &amp; Assumptions'!$T$32*P2212-'Model Inputs &amp; Assumptions'!$T$32^2/2)),0)</f>
        <v>1337333</v>
      </c>
      <c r="D2212" s="46" t="n">
        <f aca="false">MIN(1,'Model Inputs &amp; Assumptions'!$U$32*EXP('Model Inputs &amp; Assumptions'!$V$32*Q2212-'Model Inputs &amp; Assumptions'!$V$32^2/2))</f>
        <v>0</v>
      </c>
      <c r="E2212" s="45" t="n">
        <f aca="false">ROUND(C2212*D2212,0)</f>
        <v>0</v>
      </c>
      <c r="F2212" s="47" t="n">
        <f aca="false">MIN(1,'Model Inputs &amp; Assumptions'!$W$32*EXP('Model Inputs &amp; Assumptions'!$X$32*R2212-'Model Inputs &amp; Assumptions'!$X$32^2/2))</f>
        <v>0.00230443048653632</v>
      </c>
      <c r="G2212" s="45" t="n">
        <f aca="false">ROUND(C2212*F2212,0)</f>
        <v>3082</v>
      </c>
      <c r="H2212" s="48" t="n">
        <f aca="false">MAX(0,(C2212*'Model Inputs &amp; Assumptions'!$N$32+E2212*'Model Inputs &amp; Assumptions'!$O$32+G2212*'Model Inputs &amp; Assumptions'!$P$32)*EXP('Model Inputs &amp; Assumptions'!$Q$32*S2212-'Model Inputs &amp; Assumptions'!$Q$32^2/2))</f>
        <v>118.570284947561</v>
      </c>
      <c r="I2212" s="49" t="n">
        <f aca="false">IF('Model Inputs &amp; Assumptions'!$H$32="Fixed",'Model Inputs &amp; Assumptions'!$I$32*'Model Inputs &amp; Assumptions'!$K$32,IF('Model Inputs &amp; Assumptions'!$H$32="CPM",'Model Inputs &amp; Assumptions'!$I$32*'Model Inputs &amp; Assumptions'!$K$32*C2212/1000,IF('Model Inputs &amp; Assumptions'!$H$32="CPC",'Model Inputs &amp; Assumptions'!$I$32*'Model Inputs &amp; Assumptions'!$K$32*G2212,0)))</f>
        <v>16047.996</v>
      </c>
      <c r="J2212" s="50" t="n">
        <f aca="false">H2212*INDEX('Model Inputs &amp; Assumptions'!$D$40:$D$42,MATCH('Model Inputs &amp; Assumptions'!$L$32,'Model Inputs &amp; Assumptions'!$A$40:$A$42,0))*INDEX('Model Inputs &amp; Assumptions'!$H$40:$H$42,MATCH('Model Inputs &amp; Assumptions'!$L$32,'Model Inputs &amp; Assumptions'!$A$40:$A$42,0))</f>
        <v>640279.538716827</v>
      </c>
      <c r="K2212" s="49" t="n">
        <f aca="false">H2212*INDEX('Model Inputs &amp; Assumptions'!$G$40:$G$42,MATCH('Model Inputs &amp; Assumptions'!$L$32,'Model Inputs &amp; Assumptions'!$A$40:$A$42,0))*INDEX('Model Inputs &amp; Assumptions'!$H$40:$H$42,MATCH('Model Inputs &amp; Assumptions'!$L$32,'Model Inputs &amp; Assumptions'!$A$40:$A$42,0))</f>
        <v>13445.8703130534</v>
      </c>
      <c r="L2212" s="51" t="n">
        <f aca="false">IFERROR(K2212/I2212,0)</f>
        <v>0.837853543399025</v>
      </c>
      <c r="M2212" s="49" t="n">
        <f aca="false">IFERROR(I2212/H2212,0)</f>
        <v>135.345849991821</v>
      </c>
      <c r="N2212" s="52" t="str">
        <f aca="false">'Model Inputs &amp; Assumptions'!$L$32</f>
        <v>PRD-SP01</v>
      </c>
      <c r="P2212" s="53" t="n">
        <v>0.511185</v>
      </c>
      <c r="Q2212" s="53" t="n">
        <v>0.678457</v>
      </c>
      <c r="R2212" s="53" t="n">
        <v>-1.243098</v>
      </c>
      <c r="S2212" s="53" t="n">
        <v>-0.419769</v>
      </c>
    </row>
    <row r="2213" customFormat="false" ht="15" hidden="false" customHeight="false" outlineLevel="0" collapsed="false">
      <c r="A2213" s="43" t="n">
        <v>210</v>
      </c>
      <c r="B2213" s="44" t="str">
        <f aca="false">'Model Inputs &amp; Assumptions'!$B$32</f>
        <v>Trade Republic — In-App Display</v>
      </c>
      <c r="C2213" s="45" t="n">
        <f aca="false">ROUND(MAX(0,'Model Inputs &amp; Assumptions'!$S$32*EXP('Model Inputs &amp; Assumptions'!$T$32*P2213-'Model Inputs &amp; Assumptions'!$T$32^2/2)),0)</f>
        <v>1352776</v>
      </c>
      <c r="D2213" s="46" t="n">
        <f aca="false">MIN(1,'Model Inputs &amp; Assumptions'!$U$32*EXP('Model Inputs &amp; Assumptions'!$V$32*Q2213-'Model Inputs &amp; Assumptions'!$V$32^2/2))</f>
        <v>0</v>
      </c>
      <c r="E2213" s="45" t="n">
        <f aca="false">ROUND(C2213*D2213,0)</f>
        <v>0</v>
      </c>
      <c r="F2213" s="47" t="n">
        <f aca="false">MIN(1,'Model Inputs &amp; Assumptions'!$W$32*EXP('Model Inputs &amp; Assumptions'!$X$32*R2213-'Model Inputs &amp; Assumptions'!$X$32^2/2))</f>
        <v>0.00523117892474313</v>
      </c>
      <c r="G2213" s="45" t="n">
        <f aca="false">ROUND(C2213*F2213,0)</f>
        <v>7077</v>
      </c>
      <c r="H2213" s="48" t="n">
        <f aca="false">MAX(0,(C2213*'Model Inputs &amp; Assumptions'!$N$32+E2213*'Model Inputs &amp; Assumptions'!$O$32+G2213*'Model Inputs &amp; Assumptions'!$P$32)*EXP('Model Inputs &amp; Assumptions'!$Q$32*S2213-'Model Inputs &amp; Assumptions'!$Q$32^2/2))</f>
        <v>375.426494681635</v>
      </c>
      <c r="I2213" s="49" t="n">
        <f aca="false">IF('Model Inputs &amp; Assumptions'!$H$32="Fixed",'Model Inputs &amp; Assumptions'!$I$32*'Model Inputs &amp; Assumptions'!$K$32,IF('Model Inputs &amp; Assumptions'!$H$32="CPM",'Model Inputs &amp; Assumptions'!$I$32*'Model Inputs &amp; Assumptions'!$K$32*C2213/1000,IF('Model Inputs &amp; Assumptions'!$H$32="CPC",'Model Inputs &amp; Assumptions'!$I$32*'Model Inputs &amp; Assumptions'!$K$32*G2213,0)))</f>
        <v>16233.312</v>
      </c>
      <c r="J2213" s="50" t="n">
        <f aca="false">H2213*INDEX('Model Inputs &amp; Assumptions'!$D$40:$D$42,MATCH('Model Inputs &amp; Assumptions'!$L$32,'Model Inputs &amp; Assumptions'!$A$40:$A$42,0))*INDEX('Model Inputs &amp; Assumptions'!$H$40:$H$42,MATCH('Model Inputs &amp; Assumptions'!$L$32,'Model Inputs &amp; Assumptions'!$A$40:$A$42,0))</f>
        <v>2027303.07128083</v>
      </c>
      <c r="K2213" s="49" t="n">
        <f aca="false">H2213*INDEX('Model Inputs &amp; Assumptions'!$G$40:$G$42,MATCH('Model Inputs &amp; Assumptions'!$L$32,'Model Inputs &amp; Assumptions'!$A$40:$A$42,0))*INDEX('Model Inputs &amp; Assumptions'!$H$40:$H$42,MATCH('Model Inputs &amp; Assumptions'!$L$32,'Model Inputs &amp; Assumptions'!$A$40:$A$42,0))</f>
        <v>42573.3644968975</v>
      </c>
      <c r="L2213" s="51" t="n">
        <f aca="false">IFERROR(K2213/I2213,0)</f>
        <v>2.62259263524889</v>
      </c>
      <c r="M2213" s="49" t="n">
        <f aca="false">IFERROR(I2213/H2213,0)</f>
        <v>43.2396547126115</v>
      </c>
      <c r="N2213" s="52" t="str">
        <f aca="false">'Model Inputs &amp; Assumptions'!$L$32</f>
        <v>PRD-SP01</v>
      </c>
      <c r="P2213" s="53" t="n">
        <v>0.549458</v>
      </c>
      <c r="Q2213" s="53" t="n">
        <v>-0.543387</v>
      </c>
      <c r="R2213" s="53" t="n">
        <v>1.489579</v>
      </c>
      <c r="S2213" s="53" t="n">
        <v>0.727679</v>
      </c>
    </row>
    <row r="2214" customFormat="false" ht="15" hidden="false" customHeight="false" outlineLevel="0" collapsed="false">
      <c r="A2214" s="43" t="n">
        <v>211</v>
      </c>
      <c r="B2214" s="44" t="str">
        <f aca="false">'Model Inputs &amp; Assumptions'!$B$32</f>
        <v>Trade Republic — In-App Display</v>
      </c>
      <c r="C2214" s="45" t="n">
        <f aca="false">ROUND(MAX(0,'Model Inputs &amp; Assumptions'!$S$32*EXP('Model Inputs &amp; Assumptions'!$T$32*P2214-'Model Inputs &amp; Assumptions'!$T$32^2/2)),0)</f>
        <v>1999886</v>
      </c>
      <c r="D2214" s="46" t="n">
        <f aca="false">MIN(1,'Model Inputs &amp; Assumptions'!$U$32*EXP('Model Inputs &amp; Assumptions'!$V$32*Q2214-'Model Inputs &amp; Assumptions'!$V$32^2/2))</f>
        <v>0</v>
      </c>
      <c r="E2214" s="45" t="n">
        <f aca="false">ROUND(C2214*D2214,0)</f>
        <v>0</v>
      </c>
      <c r="F2214" s="47" t="n">
        <f aca="false">MIN(1,'Model Inputs &amp; Assumptions'!$W$32*EXP('Model Inputs &amp; Assumptions'!$X$32*R2214-'Model Inputs &amp; Assumptions'!$X$32^2/2))</f>
        <v>0.00351018824991973</v>
      </c>
      <c r="G2214" s="45" t="n">
        <f aca="false">ROUND(C2214*F2214,0)</f>
        <v>7020</v>
      </c>
      <c r="H2214" s="48" t="n">
        <f aca="false">MAX(0,(C2214*'Model Inputs &amp; Assumptions'!$N$32+E2214*'Model Inputs &amp; Assumptions'!$O$32+G2214*'Model Inputs &amp; Assumptions'!$P$32)*EXP('Model Inputs &amp; Assumptions'!$Q$32*S2214-'Model Inputs &amp; Assumptions'!$Q$32^2/2))</f>
        <v>350.84194672003</v>
      </c>
      <c r="I2214" s="49" t="n">
        <f aca="false">IF('Model Inputs &amp; Assumptions'!$H$32="Fixed",'Model Inputs &amp; Assumptions'!$I$32*'Model Inputs &amp; Assumptions'!$K$32,IF('Model Inputs &amp; Assumptions'!$H$32="CPM",'Model Inputs &amp; Assumptions'!$I$32*'Model Inputs &amp; Assumptions'!$K$32*C2214/1000,IF('Model Inputs &amp; Assumptions'!$H$32="CPC",'Model Inputs &amp; Assumptions'!$I$32*'Model Inputs &amp; Assumptions'!$K$32*G2214,0)))</f>
        <v>23998.632</v>
      </c>
      <c r="J2214" s="50" t="n">
        <f aca="false">H2214*INDEX('Model Inputs &amp; Assumptions'!$D$40:$D$42,MATCH('Model Inputs &amp; Assumptions'!$L$32,'Model Inputs &amp; Assumptions'!$A$40:$A$42,0))*INDEX('Model Inputs &amp; Assumptions'!$H$40:$H$42,MATCH('Model Inputs &amp; Assumptions'!$L$32,'Model Inputs &amp; Assumptions'!$A$40:$A$42,0))</f>
        <v>1894546.51228816</v>
      </c>
      <c r="K2214" s="49" t="n">
        <f aca="false">H2214*INDEX('Model Inputs &amp; Assumptions'!$G$40:$G$42,MATCH('Model Inputs &amp; Assumptions'!$L$32,'Model Inputs &amp; Assumptions'!$A$40:$A$42,0))*INDEX('Model Inputs &amp; Assumptions'!$H$40:$H$42,MATCH('Model Inputs &amp; Assumptions'!$L$32,'Model Inputs &amp; Assumptions'!$A$40:$A$42,0))</f>
        <v>39785.4767580514</v>
      </c>
      <c r="L2214" s="51" t="n">
        <f aca="false">IFERROR(K2214/I2214,0)</f>
        <v>1.65782269414571</v>
      </c>
      <c r="M2214" s="49" t="n">
        <f aca="false">IFERROR(I2214/H2214,0)</f>
        <v>68.4029724049809</v>
      </c>
      <c r="N2214" s="52" t="str">
        <f aca="false">'Model Inputs &amp; Assumptions'!$L$32</f>
        <v>PRD-SP01</v>
      </c>
      <c r="P2214" s="53" t="n">
        <v>1.852562</v>
      </c>
      <c r="Q2214" s="53" t="n">
        <v>-1.001967</v>
      </c>
      <c r="R2214" s="53" t="n">
        <v>0.159689</v>
      </c>
      <c r="S2214" s="53" t="n">
        <v>0.514679</v>
      </c>
    </row>
    <row r="2215" customFormat="false" ht="15" hidden="false" customHeight="false" outlineLevel="0" collapsed="false">
      <c r="A2215" s="43" t="n">
        <v>212</v>
      </c>
      <c r="B2215" s="44" t="str">
        <f aca="false">'Model Inputs &amp; Assumptions'!$B$32</f>
        <v>Trade Republic — In-App Display</v>
      </c>
      <c r="C2215" s="45" t="n">
        <f aca="false">ROUND(MAX(0,'Model Inputs &amp; Assumptions'!$S$32*EXP('Model Inputs &amp; Assumptions'!$T$32*P2215-'Model Inputs &amp; Assumptions'!$T$32^2/2)),0)</f>
        <v>1128321</v>
      </c>
      <c r="D2215" s="46" t="n">
        <f aca="false">MIN(1,'Model Inputs &amp; Assumptions'!$U$32*EXP('Model Inputs &amp; Assumptions'!$V$32*Q2215-'Model Inputs &amp; Assumptions'!$V$32^2/2))</f>
        <v>0</v>
      </c>
      <c r="E2215" s="45" t="n">
        <f aca="false">ROUND(C2215*D2215,0)</f>
        <v>0</v>
      </c>
      <c r="F2215" s="47" t="n">
        <f aca="false">MIN(1,'Model Inputs &amp; Assumptions'!$W$32*EXP('Model Inputs &amp; Assumptions'!$X$32*R2215-'Model Inputs &amp; Assumptions'!$X$32^2/2))</f>
        <v>0.00520212017522937</v>
      </c>
      <c r="G2215" s="45" t="n">
        <f aca="false">ROUND(C2215*F2215,0)</f>
        <v>5870</v>
      </c>
      <c r="H2215" s="48" t="n">
        <f aca="false">MAX(0,(C2215*'Model Inputs &amp; Assumptions'!$N$32+E2215*'Model Inputs &amp; Assumptions'!$O$32+G2215*'Model Inputs &amp; Assumptions'!$P$32)*EXP('Model Inputs &amp; Assumptions'!$Q$32*S2215-'Model Inputs &amp; Assumptions'!$Q$32^2/2))</f>
        <v>316.565662211574</v>
      </c>
      <c r="I2215" s="49" t="n">
        <f aca="false">IF('Model Inputs &amp; Assumptions'!$H$32="Fixed",'Model Inputs &amp; Assumptions'!$I$32*'Model Inputs &amp; Assumptions'!$K$32,IF('Model Inputs &amp; Assumptions'!$H$32="CPM",'Model Inputs &amp; Assumptions'!$I$32*'Model Inputs &amp; Assumptions'!$K$32*C2215/1000,IF('Model Inputs &amp; Assumptions'!$H$32="CPC",'Model Inputs &amp; Assumptions'!$I$32*'Model Inputs &amp; Assumptions'!$K$32*G2215,0)))</f>
        <v>13539.852</v>
      </c>
      <c r="J2215" s="50" t="n">
        <f aca="false">H2215*INDEX('Model Inputs &amp; Assumptions'!$D$40:$D$42,MATCH('Model Inputs &amp; Assumptions'!$L$32,'Model Inputs &amp; Assumptions'!$A$40:$A$42,0))*INDEX('Model Inputs &amp; Assumptions'!$H$40:$H$42,MATCH('Model Inputs &amp; Assumptions'!$L$32,'Model Inputs &amp; Assumptions'!$A$40:$A$42,0))</f>
        <v>1709454.5759425</v>
      </c>
      <c r="K2215" s="49" t="n">
        <f aca="false">H2215*INDEX('Model Inputs &amp; Assumptions'!$G$40:$G$42,MATCH('Model Inputs &amp; Assumptions'!$L$32,'Model Inputs &amp; Assumptions'!$A$40:$A$42,0))*INDEX('Model Inputs &amp; Assumptions'!$H$40:$H$42,MATCH('Model Inputs &amp; Assumptions'!$L$32,'Model Inputs &amp; Assumptions'!$A$40:$A$42,0))</f>
        <v>35898.5460947925</v>
      </c>
      <c r="L2215" s="51" t="n">
        <f aca="false">IFERROR(K2215/I2215,0)</f>
        <v>2.65132485161526</v>
      </c>
      <c r="M2215" s="49" t="n">
        <f aca="false">IFERROR(I2215/H2215,0)</f>
        <v>42.7710696902772</v>
      </c>
      <c r="N2215" s="52" t="str">
        <f aca="false">'Model Inputs &amp; Assumptions'!$L$32</f>
        <v>PRD-SP01</v>
      </c>
      <c r="P2215" s="53" t="n">
        <v>-0.055303</v>
      </c>
      <c r="Q2215" s="53" t="n">
        <v>-0.862874</v>
      </c>
      <c r="R2215" s="53" t="n">
        <v>1.471011</v>
      </c>
      <c r="S2215" s="53" t="n">
        <v>0.786477</v>
      </c>
    </row>
    <row r="2216" customFormat="false" ht="15" hidden="false" customHeight="false" outlineLevel="0" collapsed="false">
      <c r="A2216" s="43" t="n">
        <v>213</v>
      </c>
      <c r="B2216" s="44" t="str">
        <f aca="false">'Model Inputs &amp; Assumptions'!$B$32</f>
        <v>Trade Republic — In-App Display</v>
      </c>
      <c r="C2216" s="45" t="n">
        <f aca="false">ROUND(MAX(0,'Model Inputs &amp; Assumptions'!$S$32*EXP('Model Inputs &amp; Assumptions'!$T$32*P2216-'Model Inputs &amp; Assumptions'!$T$32^2/2)),0)</f>
        <v>1278379</v>
      </c>
      <c r="D2216" s="46" t="n">
        <f aca="false">MIN(1,'Model Inputs &amp; Assumptions'!$U$32*EXP('Model Inputs &amp; Assumptions'!$V$32*Q2216-'Model Inputs &amp; Assumptions'!$V$32^2/2))</f>
        <v>0</v>
      </c>
      <c r="E2216" s="45" t="n">
        <f aca="false">ROUND(C2216*D2216,0)</f>
        <v>0</v>
      </c>
      <c r="F2216" s="47" t="n">
        <f aca="false">MIN(1,'Model Inputs &amp; Assumptions'!$W$32*EXP('Model Inputs &amp; Assumptions'!$X$32*R2216-'Model Inputs &amp; Assumptions'!$X$32^2/2))</f>
        <v>0.00406975039065079</v>
      </c>
      <c r="G2216" s="45" t="n">
        <f aca="false">ROUND(C2216*F2216,0)</f>
        <v>5203</v>
      </c>
      <c r="H2216" s="48" t="n">
        <f aca="false">MAX(0,(C2216*'Model Inputs &amp; Assumptions'!$N$32+E2216*'Model Inputs &amp; Assumptions'!$O$32+G2216*'Model Inputs &amp; Assumptions'!$P$32)*EXP('Model Inputs &amp; Assumptions'!$Q$32*S2216-'Model Inputs &amp; Assumptions'!$Q$32^2/2))</f>
        <v>293.098776122952</v>
      </c>
      <c r="I2216" s="49" t="n">
        <f aca="false">IF('Model Inputs &amp; Assumptions'!$H$32="Fixed",'Model Inputs &amp; Assumptions'!$I$32*'Model Inputs &amp; Assumptions'!$K$32,IF('Model Inputs &amp; Assumptions'!$H$32="CPM",'Model Inputs &amp; Assumptions'!$I$32*'Model Inputs &amp; Assumptions'!$K$32*C2216/1000,IF('Model Inputs &amp; Assumptions'!$H$32="CPC",'Model Inputs &amp; Assumptions'!$I$32*'Model Inputs &amp; Assumptions'!$K$32*G2216,0)))</f>
        <v>15340.548</v>
      </c>
      <c r="J2216" s="50" t="n">
        <f aca="false">H2216*INDEX('Model Inputs &amp; Assumptions'!$D$40:$D$42,MATCH('Model Inputs &amp; Assumptions'!$L$32,'Model Inputs &amp; Assumptions'!$A$40:$A$42,0))*INDEX('Model Inputs &amp; Assumptions'!$H$40:$H$42,MATCH('Model Inputs &amp; Assumptions'!$L$32,'Model Inputs &amp; Assumptions'!$A$40:$A$42,0))</f>
        <v>1582733.39106394</v>
      </c>
      <c r="K2216" s="49" t="n">
        <f aca="false">H2216*INDEX('Model Inputs &amp; Assumptions'!$G$40:$G$42,MATCH('Model Inputs &amp; Assumptions'!$L$32,'Model Inputs &amp; Assumptions'!$A$40:$A$42,0))*INDEX('Model Inputs &amp; Assumptions'!$H$40:$H$42,MATCH('Model Inputs &amp; Assumptions'!$L$32,'Model Inputs &amp; Assumptions'!$A$40:$A$42,0))</f>
        <v>33237.4012123427</v>
      </c>
      <c r="L2216" s="51" t="n">
        <f aca="false">IFERROR(K2216/I2216,0)</f>
        <v>2.16663715092464</v>
      </c>
      <c r="M2216" s="49" t="n">
        <f aca="false">IFERROR(I2216/H2216,0)</f>
        <v>52.3391745367262</v>
      </c>
      <c r="N2216" s="52" t="str">
        <f aca="false">'Model Inputs &amp; Assumptions'!$L$32</f>
        <v>PRD-SP01</v>
      </c>
      <c r="P2216" s="53" t="n">
        <v>0.360905</v>
      </c>
      <c r="Q2216" s="53" t="n">
        <v>-0.334394</v>
      </c>
      <c r="R2216" s="53" t="n">
        <v>0.652729</v>
      </c>
      <c r="S2216" s="53" t="n">
        <v>0.942185</v>
      </c>
    </row>
    <row r="2217" customFormat="false" ht="15" hidden="false" customHeight="false" outlineLevel="0" collapsed="false">
      <c r="A2217" s="43" t="n">
        <v>214</v>
      </c>
      <c r="B2217" s="44" t="str">
        <f aca="false">'Model Inputs &amp; Assumptions'!$B$32</f>
        <v>Trade Republic — In-App Display</v>
      </c>
      <c r="C2217" s="45" t="n">
        <f aca="false">ROUND(MAX(0,'Model Inputs &amp; Assumptions'!$S$32*EXP('Model Inputs &amp; Assumptions'!$T$32*P2217-'Model Inputs &amp; Assumptions'!$T$32^2/2)),0)</f>
        <v>1580872</v>
      </c>
      <c r="D2217" s="46" t="n">
        <f aca="false">MIN(1,'Model Inputs &amp; Assumptions'!$U$32*EXP('Model Inputs &amp; Assumptions'!$V$32*Q2217-'Model Inputs &amp; Assumptions'!$V$32^2/2))</f>
        <v>0</v>
      </c>
      <c r="E2217" s="45" t="n">
        <f aca="false">ROUND(C2217*D2217,0)</f>
        <v>0</v>
      </c>
      <c r="F2217" s="47" t="n">
        <f aca="false">MIN(1,'Model Inputs &amp; Assumptions'!$W$32*EXP('Model Inputs &amp; Assumptions'!$X$32*R2217-'Model Inputs &amp; Assumptions'!$X$32^2/2))</f>
        <v>0.00188611709459465</v>
      </c>
      <c r="G2217" s="45" t="n">
        <f aca="false">ROUND(C2217*F2217,0)</f>
        <v>2982</v>
      </c>
      <c r="H2217" s="48" t="n">
        <f aca="false">MAX(0,(C2217*'Model Inputs &amp; Assumptions'!$N$32+E2217*'Model Inputs &amp; Assumptions'!$O$32+G2217*'Model Inputs &amp; Assumptions'!$P$32)*EXP('Model Inputs &amp; Assumptions'!$Q$32*S2217-'Model Inputs &amp; Assumptions'!$Q$32^2/2))</f>
        <v>126.698319815298</v>
      </c>
      <c r="I2217" s="49" t="n">
        <f aca="false">IF('Model Inputs &amp; Assumptions'!$H$32="Fixed",'Model Inputs &amp; Assumptions'!$I$32*'Model Inputs &amp; Assumptions'!$K$32,IF('Model Inputs &amp; Assumptions'!$H$32="CPM",'Model Inputs &amp; Assumptions'!$I$32*'Model Inputs &amp; Assumptions'!$K$32*C2217/1000,IF('Model Inputs &amp; Assumptions'!$H$32="CPC",'Model Inputs &amp; Assumptions'!$I$32*'Model Inputs &amp; Assumptions'!$K$32*G2217,0)))</f>
        <v>18970.464</v>
      </c>
      <c r="J2217" s="50" t="n">
        <f aca="false">H2217*INDEX('Model Inputs &amp; Assumptions'!$D$40:$D$42,MATCH('Model Inputs &amp; Assumptions'!$L$32,'Model Inputs &amp; Assumptions'!$A$40:$A$42,0))*INDEX('Model Inputs &amp; Assumptions'!$H$40:$H$42,MATCH('Model Inputs &amp; Assumptions'!$L$32,'Model Inputs &amp; Assumptions'!$A$40:$A$42,0))</f>
        <v>684170.92700261</v>
      </c>
      <c r="K2217" s="49" t="n">
        <f aca="false">H2217*INDEX('Model Inputs &amp; Assumptions'!$G$40:$G$42,MATCH('Model Inputs &amp; Assumptions'!$L$32,'Model Inputs &amp; Assumptions'!$A$40:$A$42,0))*INDEX('Model Inputs &amp; Assumptions'!$H$40:$H$42,MATCH('Model Inputs &amp; Assumptions'!$L$32,'Model Inputs &amp; Assumptions'!$A$40:$A$42,0))</f>
        <v>14367.5894670548</v>
      </c>
      <c r="L2217" s="51" t="n">
        <f aca="false">IFERROR(K2217/I2217,0)</f>
        <v>0.757366265108476</v>
      </c>
      <c r="M2217" s="49" t="n">
        <f aca="false">IFERROR(I2217/H2217,0)</f>
        <v>149.729404680783</v>
      </c>
      <c r="N2217" s="52" t="str">
        <f aca="false">'Model Inputs &amp; Assumptions'!$L$32</f>
        <v>PRD-SP01</v>
      </c>
      <c r="P2217" s="53" t="n">
        <v>1.06885</v>
      </c>
      <c r="Q2217" s="53" t="n">
        <v>-0.326255</v>
      </c>
      <c r="R2217" s="53" t="n">
        <v>-1.910809</v>
      </c>
      <c r="S2217" s="53" t="n">
        <v>-0.065171</v>
      </c>
    </row>
    <row r="2218" customFormat="false" ht="15" hidden="false" customHeight="false" outlineLevel="0" collapsed="false">
      <c r="A2218" s="43" t="n">
        <v>215</v>
      </c>
      <c r="B2218" s="44" t="str">
        <f aca="false">'Model Inputs &amp; Assumptions'!$B$32</f>
        <v>Trade Republic — In-App Display</v>
      </c>
      <c r="C2218" s="45" t="n">
        <f aca="false">ROUND(MAX(0,'Model Inputs &amp; Assumptions'!$S$32*EXP('Model Inputs &amp; Assumptions'!$T$32*P2218-'Model Inputs &amp; Assumptions'!$T$32^2/2)),0)</f>
        <v>1219000</v>
      </c>
      <c r="D2218" s="46" t="n">
        <f aca="false">MIN(1,'Model Inputs &amp; Assumptions'!$U$32*EXP('Model Inputs &amp; Assumptions'!$V$32*Q2218-'Model Inputs &amp; Assumptions'!$V$32^2/2))</f>
        <v>0</v>
      </c>
      <c r="E2218" s="45" t="n">
        <f aca="false">ROUND(C2218*D2218,0)</f>
        <v>0</v>
      </c>
      <c r="F2218" s="47" t="n">
        <f aca="false">MIN(1,'Model Inputs &amp; Assumptions'!$W$32*EXP('Model Inputs &amp; Assumptions'!$X$32*R2218-'Model Inputs &amp; Assumptions'!$X$32^2/2))</f>
        <v>0.00398916592818802</v>
      </c>
      <c r="G2218" s="45" t="n">
        <f aca="false">ROUND(C2218*F2218,0)</f>
        <v>4863</v>
      </c>
      <c r="H2218" s="48" t="n">
        <f aca="false">MAX(0,(C2218*'Model Inputs &amp; Assumptions'!$N$32+E2218*'Model Inputs &amp; Assumptions'!$O$32+G2218*'Model Inputs &amp; Assumptions'!$P$32)*EXP('Model Inputs &amp; Assumptions'!$Q$32*S2218-'Model Inputs &amp; Assumptions'!$Q$32^2/2))</f>
        <v>206.780950163194</v>
      </c>
      <c r="I2218" s="49" t="n">
        <f aca="false">IF('Model Inputs &amp; Assumptions'!$H$32="Fixed",'Model Inputs &amp; Assumptions'!$I$32*'Model Inputs &amp; Assumptions'!$K$32,IF('Model Inputs &amp; Assumptions'!$H$32="CPM",'Model Inputs &amp; Assumptions'!$I$32*'Model Inputs &amp; Assumptions'!$K$32*C2218/1000,IF('Model Inputs &amp; Assumptions'!$H$32="CPC",'Model Inputs &amp; Assumptions'!$I$32*'Model Inputs &amp; Assumptions'!$K$32*G2218,0)))</f>
        <v>14628</v>
      </c>
      <c r="J2218" s="50" t="n">
        <f aca="false">H2218*INDEX('Model Inputs &amp; Assumptions'!$D$40:$D$42,MATCH('Model Inputs &amp; Assumptions'!$L$32,'Model Inputs &amp; Assumptions'!$A$40:$A$42,0))*INDEX('Model Inputs &amp; Assumptions'!$H$40:$H$42,MATCH('Model Inputs &amp; Assumptions'!$L$32,'Model Inputs &amp; Assumptions'!$A$40:$A$42,0))</f>
        <v>1116617.13088125</v>
      </c>
      <c r="K2218" s="49" t="n">
        <f aca="false">H2218*INDEX('Model Inputs &amp; Assumptions'!$G$40:$G$42,MATCH('Model Inputs &amp; Assumptions'!$L$32,'Model Inputs &amp; Assumptions'!$A$40:$A$42,0))*INDEX('Model Inputs &amp; Assumptions'!$H$40:$H$42,MATCH('Model Inputs &amp; Assumptions'!$L$32,'Model Inputs &amp; Assumptions'!$A$40:$A$42,0))</f>
        <v>23448.9597485062</v>
      </c>
      <c r="L2218" s="51" t="n">
        <f aca="false">IFERROR(K2218/I2218,0)</f>
        <v>1.6030188507319</v>
      </c>
      <c r="M2218" s="49" t="n">
        <f aca="false">IFERROR(I2218/H2218,0)</f>
        <v>70.7415261824429</v>
      </c>
      <c r="N2218" s="52" t="str">
        <f aca="false">'Model Inputs &amp; Assumptions'!$L$32</f>
        <v>PRD-SP01</v>
      </c>
      <c r="P2218" s="53" t="n">
        <v>0.202364</v>
      </c>
      <c r="Q2218" s="53" t="n">
        <v>1.723984</v>
      </c>
      <c r="R2218" s="53" t="n">
        <v>0.586064</v>
      </c>
      <c r="S2218" s="53" t="n">
        <v>-0.06235</v>
      </c>
    </row>
    <row r="2219" customFormat="false" ht="15" hidden="false" customHeight="false" outlineLevel="0" collapsed="false">
      <c r="A2219" s="43" t="n">
        <v>216</v>
      </c>
      <c r="B2219" s="44" t="str">
        <f aca="false">'Model Inputs &amp; Assumptions'!$B$32</f>
        <v>Trade Republic — In-App Display</v>
      </c>
      <c r="C2219" s="45" t="n">
        <f aca="false">ROUND(MAX(0,'Model Inputs &amp; Assumptions'!$S$32*EXP('Model Inputs &amp; Assumptions'!$T$32*P2219-'Model Inputs &amp; Assumptions'!$T$32^2/2)),0)</f>
        <v>625484</v>
      </c>
      <c r="D2219" s="46" t="n">
        <f aca="false">MIN(1,'Model Inputs &amp; Assumptions'!$U$32*EXP('Model Inputs &amp; Assumptions'!$V$32*Q2219-'Model Inputs &amp; Assumptions'!$V$32^2/2))</f>
        <v>0</v>
      </c>
      <c r="E2219" s="45" t="n">
        <f aca="false">ROUND(C2219*D2219,0)</f>
        <v>0</v>
      </c>
      <c r="F2219" s="47" t="n">
        <f aca="false">MIN(1,'Model Inputs &amp; Assumptions'!$W$32*EXP('Model Inputs &amp; Assumptions'!$X$32*R2219-'Model Inputs &amp; Assumptions'!$X$32^2/2))</f>
        <v>0.00338211166878372</v>
      </c>
      <c r="G2219" s="45" t="n">
        <f aca="false">ROUND(C2219*F2219,0)</f>
        <v>2115</v>
      </c>
      <c r="H2219" s="48" t="n">
        <f aca="false">MAX(0,(C2219*'Model Inputs &amp; Assumptions'!$N$32+E2219*'Model Inputs &amp; Assumptions'!$O$32+G2219*'Model Inputs &amp; Assumptions'!$P$32)*EXP('Model Inputs &amp; Assumptions'!$Q$32*S2219-'Model Inputs &amp; Assumptions'!$Q$32^2/2))</f>
        <v>141.775120277491</v>
      </c>
      <c r="I2219" s="49" t="n">
        <f aca="false">IF('Model Inputs &amp; Assumptions'!$H$32="Fixed",'Model Inputs &amp; Assumptions'!$I$32*'Model Inputs &amp; Assumptions'!$K$32,IF('Model Inputs &amp; Assumptions'!$H$32="CPM",'Model Inputs &amp; Assumptions'!$I$32*'Model Inputs &amp; Assumptions'!$K$32*C2219/1000,IF('Model Inputs &amp; Assumptions'!$H$32="CPC",'Model Inputs &amp; Assumptions'!$I$32*'Model Inputs &amp; Assumptions'!$K$32*G2219,0)))</f>
        <v>7505.808</v>
      </c>
      <c r="J2219" s="50" t="n">
        <f aca="false">H2219*INDEX('Model Inputs &amp; Assumptions'!$D$40:$D$42,MATCH('Model Inputs &amp; Assumptions'!$L$32,'Model Inputs &amp; Assumptions'!$A$40:$A$42,0))*INDEX('Model Inputs &amp; Assumptions'!$H$40:$H$42,MATCH('Model Inputs &amp; Assumptions'!$L$32,'Model Inputs &amp; Assumptions'!$A$40:$A$42,0))</f>
        <v>765585.64949845</v>
      </c>
      <c r="K2219" s="49" t="n">
        <f aca="false">H2219*INDEX('Model Inputs &amp; Assumptions'!$G$40:$G$42,MATCH('Model Inputs &amp; Assumptions'!$L$32,'Model Inputs &amp; Assumptions'!$A$40:$A$42,0))*INDEX('Model Inputs &amp; Assumptions'!$H$40:$H$42,MATCH('Model Inputs &amp; Assumptions'!$L$32,'Model Inputs &amp; Assumptions'!$A$40:$A$42,0))</f>
        <v>16077.2986394675</v>
      </c>
      <c r="L2219" s="51" t="n">
        <f aca="false">IFERROR(K2219/I2219,0)</f>
        <v>2.14198106845625</v>
      </c>
      <c r="M2219" s="49" t="n">
        <f aca="false">IFERROR(I2219/H2219,0)</f>
        <v>52.9416443823795</v>
      </c>
      <c r="N2219" s="52" t="str">
        <f aca="false">'Model Inputs &amp; Assumptions'!$L$32</f>
        <v>PRD-SP01</v>
      </c>
      <c r="P2219" s="53" t="n">
        <v>-2.021837</v>
      </c>
      <c r="Q2219" s="53" t="n">
        <v>-0.337339</v>
      </c>
      <c r="R2219" s="53" t="n">
        <v>0.035791</v>
      </c>
      <c r="S2219" s="53" t="n">
        <v>1.563303</v>
      </c>
    </row>
    <row r="2220" customFormat="false" ht="15" hidden="false" customHeight="false" outlineLevel="0" collapsed="false">
      <c r="A2220" s="43" t="n">
        <v>217</v>
      </c>
      <c r="B2220" s="44" t="str">
        <f aca="false">'Model Inputs &amp; Assumptions'!$B$32</f>
        <v>Trade Republic — In-App Display</v>
      </c>
      <c r="C2220" s="45" t="n">
        <f aca="false">ROUND(MAX(0,'Model Inputs &amp; Assumptions'!$S$32*EXP('Model Inputs &amp; Assumptions'!$T$32*P2220-'Model Inputs &amp; Assumptions'!$T$32^2/2)),0)</f>
        <v>1112746</v>
      </c>
      <c r="D2220" s="46" t="n">
        <f aca="false">MIN(1,'Model Inputs &amp; Assumptions'!$U$32*EXP('Model Inputs &amp; Assumptions'!$V$32*Q2220-'Model Inputs &amp; Assumptions'!$V$32^2/2))</f>
        <v>0</v>
      </c>
      <c r="E2220" s="45" t="n">
        <f aca="false">ROUND(C2220*D2220,0)</f>
        <v>0</v>
      </c>
      <c r="F2220" s="47" t="n">
        <f aca="false">MIN(1,'Model Inputs &amp; Assumptions'!$W$32*EXP('Model Inputs &amp; Assumptions'!$X$32*R2220-'Model Inputs &amp; Assumptions'!$X$32^2/2))</f>
        <v>0.00208332811128814</v>
      </c>
      <c r="G2220" s="45" t="n">
        <f aca="false">ROUND(C2220*F2220,0)</f>
        <v>2318</v>
      </c>
      <c r="H2220" s="48" t="n">
        <f aca="false">MAX(0,(C2220*'Model Inputs &amp; Assumptions'!$N$32+E2220*'Model Inputs &amp; Assumptions'!$O$32+G2220*'Model Inputs &amp; Assumptions'!$P$32)*EXP('Model Inputs &amp; Assumptions'!$Q$32*S2220-'Model Inputs &amp; Assumptions'!$Q$32^2/2))</f>
        <v>148.393723399601</v>
      </c>
      <c r="I2220" s="49" t="n">
        <f aca="false">IF('Model Inputs &amp; Assumptions'!$H$32="Fixed",'Model Inputs &amp; Assumptions'!$I$32*'Model Inputs &amp; Assumptions'!$K$32,IF('Model Inputs &amp; Assumptions'!$H$32="CPM",'Model Inputs &amp; Assumptions'!$I$32*'Model Inputs &amp; Assumptions'!$K$32*C2220/1000,IF('Model Inputs &amp; Assumptions'!$H$32="CPC",'Model Inputs &amp; Assumptions'!$I$32*'Model Inputs &amp; Assumptions'!$K$32*G2220,0)))</f>
        <v>13352.952</v>
      </c>
      <c r="J2220" s="50" t="n">
        <f aca="false">H2220*INDEX('Model Inputs &amp; Assumptions'!$D$40:$D$42,MATCH('Model Inputs &amp; Assumptions'!$L$32,'Model Inputs &amp; Assumptions'!$A$40:$A$42,0))*INDEX('Model Inputs &amp; Assumptions'!$H$40:$H$42,MATCH('Model Inputs &amp; Assumptions'!$L$32,'Model Inputs &amp; Assumptions'!$A$40:$A$42,0))</f>
        <v>801326.106357847</v>
      </c>
      <c r="K2220" s="49" t="n">
        <f aca="false">H2220*INDEX('Model Inputs &amp; Assumptions'!$G$40:$G$42,MATCH('Model Inputs &amp; Assumptions'!$L$32,'Model Inputs &amp; Assumptions'!$A$40:$A$42,0))*INDEX('Model Inputs &amp; Assumptions'!$H$40:$H$42,MATCH('Model Inputs &amp; Assumptions'!$L$32,'Model Inputs &amp; Assumptions'!$A$40:$A$42,0))</f>
        <v>16827.8482335148</v>
      </c>
      <c r="L2220" s="51" t="n">
        <f aca="false">IFERROR(K2220/I2220,0)</f>
        <v>1.26023430875171</v>
      </c>
      <c r="M2220" s="49" t="n">
        <f aca="false">IFERROR(I2220/H2220,0)</f>
        <v>89.9832667722918</v>
      </c>
      <c r="N2220" s="52" t="str">
        <f aca="false">'Model Inputs &amp; Assumptions'!$L$32</f>
        <v>PRD-SP01</v>
      </c>
      <c r="P2220" s="53" t="n">
        <v>-0.101636</v>
      </c>
      <c r="Q2220" s="53" t="n">
        <v>-0.399573</v>
      </c>
      <c r="R2220" s="53" t="n">
        <v>-1.579321</v>
      </c>
      <c r="S2220" s="53" t="n">
        <v>1.398935</v>
      </c>
    </row>
    <row r="2221" customFormat="false" ht="15" hidden="false" customHeight="false" outlineLevel="0" collapsed="false">
      <c r="A2221" s="43" t="n">
        <v>218</v>
      </c>
      <c r="B2221" s="44" t="str">
        <f aca="false">'Model Inputs &amp; Assumptions'!$B$32</f>
        <v>Trade Republic — In-App Display</v>
      </c>
      <c r="C2221" s="45" t="n">
        <f aca="false">ROUND(MAX(0,'Model Inputs &amp; Assumptions'!$S$32*EXP('Model Inputs &amp; Assumptions'!$T$32*P2221-'Model Inputs &amp; Assumptions'!$T$32^2/2)),0)</f>
        <v>735185</v>
      </c>
      <c r="D2221" s="46" t="n">
        <f aca="false">MIN(1,'Model Inputs &amp; Assumptions'!$U$32*EXP('Model Inputs &amp; Assumptions'!$V$32*Q2221-'Model Inputs &amp; Assumptions'!$V$32^2/2))</f>
        <v>0</v>
      </c>
      <c r="E2221" s="45" t="n">
        <f aca="false">ROUND(C2221*D2221,0)</f>
        <v>0</v>
      </c>
      <c r="F2221" s="47" t="n">
        <f aca="false">MIN(1,'Model Inputs &amp; Assumptions'!$W$32*EXP('Model Inputs &amp; Assumptions'!$X$32*R2221-'Model Inputs &amp; Assumptions'!$X$32^2/2))</f>
        <v>0.00329435688055258</v>
      </c>
      <c r="G2221" s="45" t="n">
        <f aca="false">ROUND(C2221*F2221,0)</f>
        <v>2422</v>
      </c>
      <c r="H2221" s="48" t="n">
        <f aca="false">MAX(0,(C2221*'Model Inputs &amp; Assumptions'!$N$32+E2221*'Model Inputs &amp; Assumptions'!$O$32+G2221*'Model Inputs &amp; Assumptions'!$P$32)*EXP('Model Inputs &amp; Assumptions'!$Q$32*S2221-'Model Inputs &amp; Assumptions'!$Q$32^2/2))</f>
        <v>107.689699067223</v>
      </c>
      <c r="I2221" s="49" t="n">
        <f aca="false">IF('Model Inputs &amp; Assumptions'!$H$32="Fixed",'Model Inputs &amp; Assumptions'!$I$32*'Model Inputs &amp; Assumptions'!$K$32,IF('Model Inputs &amp; Assumptions'!$H$32="CPM",'Model Inputs &amp; Assumptions'!$I$32*'Model Inputs &amp; Assumptions'!$K$32*C2221/1000,IF('Model Inputs &amp; Assumptions'!$H$32="CPC",'Model Inputs &amp; Assumptions'!$I$32*'Model Inputs &amp; Assumptions'!$K$32*G2221,0)))</f>
        <v>8822.22</v>
      </c>
      <c r="J2221" s="50" t="n">
        <f aca="false">H2221*INDEX('Model Inputs &amp; Assumptions'!$D$40:$D$42,MATCH('Model Inputs &amp; Assumptions'!$L$32,'Model Inputs &amp; Assumptions'!$A$40:$A$42,0))*INDEX('Model Inputs &amp; Assumptions'!$H$40:$H$42,MATCH('Model Inputs &amp; Assumptions'!$L$32,'Model Inputs &amp; Assumptions'!$A$40:$A$42,0))</f>
        <v>581524.374963006</v>
      </c>
      <c r="K2221" s="49" t="n">
        <f aca="false">H2221*INDEX('Model Inputs &amp; Assumptions'!$G$40:$G$42,MATCH('Model Inputs &amp; Assumptions'!$L$32,'Model Inputs &amp; Assumptions'!$A$40:$A$42,0))*INDEX('Model Inputs &amp; Assumptions'!$H$40:$H$42,MATCH('Model Inputs &amp; Assumptions'!$L$32,'Model Inputs &amp; Assumptions'!$A$40:$A$42,0))</f>
        <v>12212.0118742231</v>
      </c>
      <c r="L2221" s="51" t="n">
        <f aca="false">IFERROR(K2221/I2221,0)</f>
        <v>1.38423343265336</v>
      </c>
      <c r="M2221" s="49" t="n">
        <f aca="false">IFERROR(I2221/H2221,0)</f>
        <v>81.9225986924979</v>
      </c>
      <c r="N2221" s="52" t="str">
        <f aca="false">'Model Inputs &amp; Assumptions'!$L$32</f>
        <v>PRD-SP01</v>
      </c>
      <c r="P2221" s="53" t="n">
        <v>-1.483183</v>
      </c>
      <c r="Q2221" s="53" t="n">
        <v>0.162687</v>
      </c>
      <c r="R2221" s="53" t="n">
        <v>-0.05184</v>
      </c>
      <c r="S2221" s="53" t="n">
        <v>0.097135</v>
      </c>
    </row>
    <row r="2222" customFormat="false" ht="15" hidden="false" customHeight="false" outlineLevel="0" collapsed="false">
      <c r="A2222" s="43" t="n">
        <v>219</v>
      </c>
      <c r="B2222" s="44" t="str">
        <f aca="false">'Model Inputs &amp; Assumptions'!$B$32</f>
        <v>Trade Republic — In-App Display</v>
      </c>
      <c r="C2222" s="45" t="n">
        <f aca="false">ROUND(MAX(0,'Model Inputs &amp; Assumptions'!$S$32*EXP('Model Inputs &amp; Assumptions'!$T$32*P2222-'Model Inputs &amp; Assumptions'!$T$32^2/2)),0)</f>
        <v>757825</v>
      </c>
      <c r="D2222" s="46" t="n">
        <f aca="false">MIN(1,'Model Inputs &amp; Assumptions'!$U$32*EXP('Model Inputs &amp; Assumptions'!$V$32*Q2222-'Model Inputs &amp; Assumptions'!$V$32^2/2))</f>
        <v>0</v>
      </c>
      <c r="E2222" s="45" t="n">
        <f aca="false">ROUND(C2222*D2222,0)</f>
        <v>0</v>
      </c>
      <c r="F2222" s="47" t="n">
        <f aca="false">MIN(1,'Model Inputs &amp; Assumptions'!$W$32*EXP('Model Inputs &amp; Assumptions'!$X$32*R2222-'Model Inputs &amp; Assumptions'!$X$32^2/2))</f>
        <v>0.00284463330574286</v>
      </c>
      <c r="G2222" s="45" t="n">
        <f aca="false">ROUND(C2222*F2222,0)</f>
        <v>2156</v>
      </c>
      <c r="H2222" s="48" t="n">
        <f aca="false">MAX(0,(C2222*'Model Inputs &amp; Assumptions'!$N$32+E2222*'Model Inputs &amp; Assumptions'!$O$32+G2222*'Model Inputs &amp; Assumptions'!$P$32)*EXP('Model Inputs &amp; Assumptions'!$Q$32*S2222-'Model Inputs &amp; Assumptions'!$Q$32^2/2))</f>
        <v>125.168854634294</v>
      </c>
      <c r="I2222" s="49" t="n">
        <f aca="false">IF('Model Inputs &amp; Assumptions'!$H$32="Fixed",'Model Inputs &amp; Assumptions'!$I$32*'Model Inputs &amp; Assumptions'!$K$32,IF('Model Inputs &amp; Assumptions'!$H$32="CPM",'Model Inputs &amp; Assumptions'!$I$32*'Model Inputs &amp; Assumptions'!$K$32*C2222/1000,IF('Model Inputs &amp; Assumptions'!$H$32="CPC",'Model Inputs &amp; Assumptions'!$I$32*'Model Inputs &amp; Assumptions'!$K$32*G2222,0)))</f>
        <v>9093.9</v>
      </c>
      <c r="J2222" s="50" t="n">
        <f aca="false">H2222*INDEX('Model Inputs &amp; Assumptions'!$D$40:$D$42,MATCH('Model Inputs &amp; Assumptions'!$L$32,'Model Inputs &amp; Assumptions'!$A$40:$A$42,0))*INDEX('Model Inputs &amp; Assumptions'!$H$40:$H$42,MATCH('Model Inputs &amp; Assumptions'!$L$32,'Model Inputs &amp; Assumptions'!$A$40:$A$42,0))</f>
        <v>675911.815025186</v>
      </c>
      <c r="K2222" s="49" t="n">
        <f aca="false">H2222*INDEX('Model Inputs &amp; Assumptions'!$G$40:$G$42,MATCH('Model Inputs &amp; Assumptions'!$L$32,'Model Inputs &amp; Assumptions'!$A$40:$A$42,0))*INDEX('Model Inputs &amp; Assumptions'!$H$40:$H$42,MATCH('Model Inputs &amp; Assumptions'!$L$32,'Model Inputs &amp; Assumptions'!$A$40:$A$42,0))</f>
        <v>14194.1481155289</v>
      </c>
      <c r="L2222" s="51" t="n">
        <f aca="false">IFERROR(K2222/I2222,0)</f>
        <v>1.56084277543506</v>
      </c>
      <c r="M2222" s="49" t="n">
        <f aca="false">IFERROR(I2222/H2222,0)</f>
        <v>72.6530575562881</v>
      </c>
      <c r="N2222" s="52" t="str">
        <f aca="false">'Model Inputs &amp; Assumptions'!$L$32</f>
        <v>PRD-SP01</v>
      </c>
      <c r="P2222" s="53" t="n">
        <v>-1.382083</v>
      </c>
      <c r="Q2222" s="53" t="n">
        <v>-1.01368</v>
      </c>
      <c r="R2222" s="53" t="n">
        <v>-0.541096</v>
      </c>
      <c r="S2222" s="53" t="n">
        <v>1.049809</v>
      </c>
    </row>
    <row r="2223" customFormat="false" ht="15" hidden="false" customHeight="false" outlineLevel="0" collapsed="false">
      <c r="A2223" s="43" t="n">
        <v>220</v>
      </c>
      <c r="B2223" s="44" t="str">
        <f aca="false">'Model Inputs &amp; Assumptions'!$B$32</f>
        <v>Trade Republic — In-App Display</v>
      </c>
      <c r="C2223" s="45" t="n">
        <f aca="false">ROUND(MAX(0,'Model Inputs &amp; Assumptions'!$S$32*EXP('Model Inputs &amp; Assumptions'!$T$32*P2223-'Model Inputs &amp; Assumptions'!$T$32^2/2)),0)</f>
        <v>866451</v>
      </c>
      <c r="D2223" s="46" t="n">
        <f aca="false">MIN(1,'Model Inputs &amp; Assumptions'!$U$32*EXP('Model Inputs &amp; Assumptions'!$V$32*Q2223-'Model Inputs &amp; Assumptions'!$V$32^2/2))</f>
        <v>0</v>
      </c>
      <c r="E2223" s="45" t="n">
        <f aca="false">ROUND(C2223*D2223,0)</f>
        <v>0</v>
      </c>
      <c r="F2223" s="47" t="n">
        <f aca="false">MIN(1,'Model Inputs &amp; Assumptions'!$W$32*EXP('Model Inputs &amp; Assumptions'!$X$32*R2223-'Model Inputs &amp; Assumptions'!$X$32^2/2))</f>
        <v>0.00424444627048573</v>
      </c>
      <c r="G2223" s="45" t="n">
        <f aca="false">ROUND(C2223*F2223,0)</f>
        <v>3678</v>
      </c>
      <c r="H2223" s="48" t="n">
        <f aca="false">MAX(0,(C2223*'Model Inputs &amp; Assumptions'!$N$32+E2223*'Model Inputs &amp; Assumptions'!$O$32+G2223*'Model Inputs &amp; Assumptions'!$P$32)*EXP('Model Inputs &amp; Assumptions'!$Q$32*S2223-'Model Inputs &amp; Assumptions'!$Q$32^2/2))</f>
        <v>262.72240381713</v>
      </c>
      <c r="I2223" s="49" t="n">
        <f aca="false">IF('Model Inputs &amp; Assumptions'!$H$32="Fixed",'Model Inputs &amp; Assumptions'!$I$32*'Model Inputs &amp; Assumptions'!$K$32,IF('Model Inputs &amp; Assumptions'!$H$32="CPM",'Model Inputs &amp; Assumptions'!$I$32*'Model Inputs &amp; Assumptions'!$K$32*C2223/1000,IF('Model Inputs &amp; Assumptions'!$H$32="CPC",'Model Inputs &amp; Assumptions'!$I$32*'Model Inputs &amp; Assumptions'!$K$32*G2223,0)))</f>
        <v>10397.412</v>
      </c>
      <c r="J2223" s="50" t="n">
        <f aca="false">H2223*INDEX('Model Inputs &amp; Assumptions'!$D$40:$D$42,MATCH('Model Inputs &amp; Assumptions'!$L$32,'Model Inputs &amp; Assumptions'!$A$40:$A$42,0))*INDEX('Model Inputs &amp; Assumptions'!$H$40:$H$42,MATCH('Model Inputs &amp; Assumptions'!$L$32,'Model Inputs &amp; Assumptions'!$A$40:$A$42,0))</f>
        <v>1418700.9806125</v>
      </c>
      <c r="K2223" s="49" t="n">
        <f aca="false">H2223*INDEX('Model Inputs &amp; Assumptions'!$G$40:$G$42,MATCH('Model Inputs &amp; Assumptions'!$L$32,'Model Inputs &amp; Assumptions'!$A$40:$A$42,0))*INDEX('Model Inputs &amp; Assumptions'!$H$40:$H$42,MATCH('Model Inputs &amp; Assumptions'!$L$32,'Model Inputs &amp; Assumptions'!$A$40:$A$42,0))</f>
        <v>29792.7205928625</v>
      </c>
      <c r="L2223" s="51" t="n">
        <f aca="false">IFERROR(K2223/I2223,0)</f>
        <v>2.86539771559139</v>
      </c>
      <c r="M2223" s="49" t="n">
        <f aca="false">IFERROR(I2223/H2223,0)</f>
        <v>39.5756579908473</v>
      </c>
      <c r="N2223" s="52" t="str">
        <f aca="false">'Model Inputs &amp; Assumptions'!$L$32</f>
        <v>PRD-SP01</v>
      </c>
      <c r="P2223" s="53" t="n">
        <v>-0.93557</v>
      </c>
      <c r="Q2223" s="53" t="n">
        <v>-1.120943</v>
      </c>
      <c r="R2223" s="53" t="n">
        <v>0.792828</v>
      </c>
      <c r="S2223" s="53" t="n">
        <v>1.790237</v>
      </c>
    </row>
    <row r="2224" customFormat="false" ht="15" hidden="false" customHeight="false" outlineLevel="0" collapsed="false">
      <c r="A2224" s="43" t="n">
        <v>221</v>
      </c>
      <c r="B2224" s="44" t="str">
        <f aca="false">'Model Inputs &amp; Assumptions'!$B$32</f>
        <v>Trade Republic — In-App Display</v>
      </c>
      <c r="C2224" s="45" t="n">
        <f aca="false">ROUND(MAX(0,'Model Inputs &amp; Assumptions'!$S$32*EXP('Model Inputs &amp; Assumptions'!$T$32*P2224-'Model Inputs &amp; Assumptions'!$T$32^2/2)),0)</f>
        <v>1304543</v>
      </c>
      <c r="D2224" s="46" t="n">
        <f aca="false">MIN(1,'Model Inputs &amp; Assumptions'!$U$32*EXP('Model Inputs &amp; Assumptions'!$V$32*Q2224-'Model Inputs &amp; Assumptions'!$V$32^2/2))</f>
        <v>0</v>
      </c>
      <c r="E2224" s="45" t="n">
        <f aca="false">ROUND(C2224*D2224,0)</f>
        <v>0</v>
      </c>
      <c r="F2224" s="47" t="n">
        <f aca="false">MIN(1,'Model Inputs &amp; Assumptions'!$W$32*EXP('Model Inputs &amp; Assumptions'!$X$32*R2224-'Model Inputs &amp; Assumptions'!$X$32^2/2))</f>
        <v>0.00193386070182867</v>
      </c>
      <c r="G2224" s="45" t="n">
        <f aca="false">ROUND(C2224*F2224,0)</f>
        <v>2523</v>
      </c>
      <c r="H2224" s="48" t="n">
        <f aca="false">MAX(0,(C2224*'Model Inputs &amp; Assumptions'!$N$32+E2224*'Model Inputs &amp; Assumptions'!$O$32+G2224*'Model Inputs &amp; Assumptions'!$P$32)*EXP('Model Inputs &amp; Assumptions'!$Q$32*S2224-'Model Inputs &amp; Assumptions'!$Q$32^2/2))</f>
        <v>104.884287579289</v>
      </c>
      <c r="I2224" s="49" t="n">
        <f aca="false">IF('Model Inputs &amp; Assumptions'!$H$32="Fixed",'Model Inputs &amp; Assumptions'!$I$32*'Model Inputs &amp; Assumptions'!$K$32,IF('Model Inputs &amp; Assumptions'!$H$32="CPM",'Model Inputs &amp; Assumptions'!$I$32*'Model Inputs &amp; Assumptions'!$K$32*C2224/1000,IF('Model Inputs &amp; Assumptions'!$H$32="CPC",'Model Inputs &amp; Assumptions'!$I$32*'Model Inputs &amp; Assumptions'!$K$32*G2224,0)))</f>
        <v>15654.516</v>
      </c>
      <c r="J2224" s="50" t="n">
        <f aca="false">H2224*INDEX('Model Inputs &amp; Assumptions'!$D$40:$D$42,MATCH('Model Inputs &amp; Assumptions'!$L$32,'Model Inputs &amp; Assumptions'!$A$40:$A$42,0))*INDEX('Model Inputs &amp; Assumptions'!$H$40:$H$42,MATCH('Model Inputs &amp; Assumptions'!$L$32,'Model Inputs &amp; Assumptions'!$A$40:$A$42,0))</f>
        <v>566375.152928162</v>
      </c>
      <c r="K2224" s="49" t="n">
        <f aca="false">H2224*INDEX('Model Inputs &amp; Assumptions'!$G$40:$G$42,MATCH('Model Inputs &amp; Assumptions'!$L$32,'Model Inputs &amp; Assumptions'!$A$40:$A$42,0))*INDEX('Model Inputs &amp; Assumptions'!$H$40:$H$42,MATCH('Model Inputs &amp; Assumptions'!$L$32,'Model Inputs &amp; Assumptions'!$A$40:$A$42,0))</f>
        <v>11893.8782114914</v>
      </c>
      <c r="L2224" s="51" t="n">
        <f aca="false">IFERROR(K2224/I2224,0)</f>
        <v>0.759772976148953</v>
      </c>
      <c r="M2224" s="49" t="n">
        <f aca="false">IFERROR(I2224/H2224,0)</f>
        <v>149.255111144896</v>
      </c>
      <c r="N2224" s="52" t="str">
        <f aca="false">'Model Inputs &amp; Assumptions'!$L$32</f>
        <v>PRD-SP01</v>
      </c>
      <c r="P2224" s="53" t="n">
        <v>0.428437</v>
      </c>
      <c r="Q2224" s="53" t="n">
        <v>-0.124295</v>
      </c>
      <c r="R2224" s="53" t="n">
        <v>-1.827482</v>
      </c>
      <c r="S2224" s="53" t="n">
        <v>-0.143048</v>
      </c>
    </row>
    <row r="2225" customFormat="false" ht="15" hidden="false" customHeight="false" outlineLevel="0" collapsed="false">
      <c r="A2225" s="43" t="n">
        <v>222</v>
      </c>
      <c r="B2225" s="44" t="str">
        <f aca="false">'Model Inputs &amp; Assumptions'!$B$32</f>
        <v>Trade Republic — In-App Display</v>
      </c>
      <c r="C2225" s="45" t="n">
        <f aca="false">ROUND(MAX(0,'Model Inputs &amp; Assumptions'!$S$32*EXP('Model Inputs &amp; Assumptions'!$T$32*P2225-'Model Inputs &amp; Assumptions'!$T$32^2/2)),0)</f>
        <v>1714509</v>
      </c>
      <c r="D2225" s="46" t="n">
        <f aca="false">MIN(1,'Model Inputs &amp; Assumptions'!$U$32*EXP('Model Inputs &amp; Assumptions'!$V$32*Q2225-'Model Inputs &amp; Assumptions'!$V$32^2/2))</f>
        <v>0</v>
      </c>
      <c r="E2225" s="45" t="n">
        <f aca="false">ROUND(C2225*D2225,0)</f>
        <v>0</v>
      </c>
      <c r="F2225" s="47" t="n">
        <f aca="false">MIN(1,'Model Inputs &amp; Assumptions'!$W$32*EXP('Model Inputs &amp; Assumptions'!$X$32*R2225-'Model Inputs &amp; Assumptions'!$X$32^2/2))</f>
        <v>0.00207107991331742</v>
      </c>
      <c r="G2225" s="45" t="n">
        <f aca="false">ROUND(C2225*F2225,0)</f>
        <v>3551</v>
      </c>
      <c r="H2225" s="48" t="n">
        <f aca="false">MAX(0,(C2225*'Model Inputs &amp; Assumptions'!$N$32+E2225*'Model Inputs &amp; Assumptions'!$O$32+G2225*'Model Inputs &amp; Assumptions'!$P$32)*EXP('Model Inputs &amp; Assumptions'!$Q$32*S2225-'Model Inputs &amp; Assumptions'!$Q$32^2/2))</f>
        <v>127.300330747205</v>
      </c>
      <c r="I2225" s="49" t="n">
        <f aca="false">IF('Model Inputs &amp; Assumptions'!$H$32="Fixed",'Model Inputs &amp; Assumptions'!$I$32*'Model Inputs &amp; Assumptions'!$K$32,IF('Model Inputs &amp; Assumptions'!$H$32="CPM",'Model Inputs &amp; Assumptions'!$I$32*'Model Inputs &amp; Assumptions'!$K$32*C2225/1000,IF('Model Inputs &amp; Assumptions'!$H$32="CPC",'Model Inputs &amp; Assumptions'!$I$32*'Model Inputs &amp; Assumptions'!$K$32*G2225,0)))</f>
        <v>20574.108</v>
      </c>
      <c r="J2225" s="50" t="n">
        <f aca="false">H2225*INDEX('Model Inputs &amp; Assumptions'!$D$40:$D$42,MATCH('Model Inputs &amp; Assumptions'!$L$32,'Model Inputs &amp; Assumptions'!$A$40:$A$42,0))*INDEX('Model Inputs &amp; Assumptions'!$H$40:$H$42,MATCH('Model Inputs &amp; Assumptions'!$L$32,'Model Inputs &amp; Assumptions'!$A$40:$A$42,0))</f>
        <v>687421.786034905</v>
      </c>
      <c r="K2225" s="49" t="n">
        <f aca="false">H2225*INDEX('Model Inputs &amp; Assumptions'!$G$40:$G$42,MATCH('Model Inputs &amp; Assumptions'!$L$32,'Model Inputs &amp; Assumptions'!$A$40:$A$42,0))*INDEX('Model Inputs &amp; Assumptions'!$H$40:$H$42,MATCH('Model Inputs &amp; Assumptions'!$L$32,'Model Inputs &amp; Assumptions'!$A$40:$A$42,0))</f>
        <v>14435.857506733</v>
      </c>
      <c r="L2225" s="51" t="n">
        <f aca="false">IFERROR(K2225/I2225,0)</f>
        <v>0.70165168311224</v>
      </c>
      <c r="M2225" s="49" t="n">
        <f aca="false">IFERROR(I2225/H2225,0)</f>
        <v>161.61865314283</v>
      </c>
      <c r="N2225" s="52" t="str">
        <f aca="false">'Model Inputs &amp; Assumptions'!$L$32</f>
        <v>PRD-SP01</v>
      </c>
      <c r="P2225" s="53" t="n">
        <v>1.339351</v>
      </c>
      <c r="Q2225" s="53" t="n">
        <v>-1.286989</v>
      </c>
      <c r="R2225" s="53" t="n">
        <v>-1.598976</v>
      </c>
      <c r="S2225" s="53" t="n">
        <v>-0.671938</v>
      </c>
    </row>
    <row r="2226" customFormat="false" ht="15" hidden="false" customHeight="false" outlineLevel="0" collapsed="false">
      <c r="A2226" s="43" t="n">
        <v>223</v>
      </c>
      <c r="B2226" s="44" t="str">
        <f aca="false">'Model Inputs &amp; Assumptions'!$B$32</f>
        <v>Trade Republic — In-App Display</v>
      </c>
      <c r="C2226" s="45" t="n">
        <f aca="false">ROUND(MAX(0,'Model Inputs &amp; Assumptions'!$S$32*EXP('Model Inputs &amp; Assumptions'!$T$32*P2226-'Model Inputs &amp; Assumptions'!$T$32^2/2)),0)</f>
        <v>965050</v>
      </c>
      <c r="D2226" s="46" t="n">
        <f aca="false">MIN(1,'Model Inputs &amp; Assumptions'!$U$32*EXP('Model Inputs &amp; Assumptions'!$V$32*Q2226-'Model Inputs &amp; Assumptions'!$V$32^2/2))</f>
        <v>0</v>
      </c>
      <c r="E2226" s="45" t="n">
        <f aca="false">ROUND(C2226*D2226,0)</f>
        <v>0</v>
      </c>
      <c r="F2226" s="47" t="n">
        <f aca="false">MIN(1,'Model Inputs &amp; Assumptions'!$W$32*EXP('Model Inputs &amp; Assumptions'!$X$32*R2226-'Model Inputs &amp; Assumptions'!$X$32^2/2))</f>
        <v>0.00496533798400955</v>
      </c>
      <c r="G2226" s="45" t="n">
        <f aca="false">ROUND(C2226*F2226,0)</f>
        <v>4792</v>
      </c>
      <c r="H2226" s="48" t="n">
        <f aca="false">MAX(0,(C2226*'Model Inputs &amp; Assumptions'!$N$32+E2226*'Model Inputs &amp; Assumptions'!$O$32+G2226*'Model Inputs &amp; Assumptions'!$P$32)*EXP('Model Inputs &amp; Assumptions'!$Q$32*S2226-'Model Inputs &amp; Assumptions'!$Q$32^2/2))</f>
        <v>208.16718910028</v>
      </c>
      <c r="I2226" s="49" t="n">
        <f aca="false">IF('Model Inputs &amp; Assumptions'!$H$32="Fixed",'Model Inputs &amp; Assumptions'!$I$32*'Model Inputs &amp; Assumptions'!$K$32,IF('Model Inputs &amp; Assumptions'!$H$32="CPM",'Model Inputs &amp; Assumptions'!$I$32*'Model Inputs &amp; Assumptions'!$K$32*C2226/1000,IF('Model Inputs &amp; Assumptions'!$H$32="CPC",'Model Inputs &amp; Assumptions'!$I$32*'Model Inputs &amp; Assumptions'!$K$32*G2226,0)))</f>
        <v>11580.6</v>
      </c>
      <c r="J2226" s="50" t="n">
        <f aca="false">H2226*INDEX('Model Inputs &amp; Assumptions'!$D$40:$D$42,MATCH('Model Inputs &amp; Assumptions'!$L$32,'Model Inputs &amp; Assumptions'!$A$40:$A$42,0))*INDEX('Model Inputs &amp; Assumptions'!$H$40:$H$42,MATCH('Model Inputs &amp; Assumptions'!$L$32,'Model Inputs &amp; Assumptions'!$A$40:$A$42,0))</f>
        <v>1124102.82114151</v>
      </c>
      <c r="K2226" s="49" t="n">
        <f aca="false">H2226*INDEX('Model Inputs &amp; Assumptions'!$G$40:$G$42,MATCH('Model Inputs &amp; Assumptions'!$L$32,'Model Inputs &amp; Assumptions'!$A$40:$A$42,0))*INDEX('Model Inputs &amp; Assumptions'!$H$40:$H$42,MATCH('Model Inputs &amp; Assumptions'!$L$32,'Model Inputs &amp; Assumptions'!$A$40:$A$42,0))</f>
        <v>23606.1592439717</v>
      </c>
      <c r="L2226" s="51" t="n">
        <f aca="false">IFERROR(K2226/I2226,0)</f>
        <v>2.03842281435951</v>
      </c>
      <c r="M2226" s="49" t="n">
        <f aca="false">IFERROR(I2226/H2226,0)</f>
        <v>55.6312454909563</v>
      </c>
      <c r="N2226" s="52" t="str">
        <f aca="false">'Model Inputs &amp; Assumptions'!$L$32</f>
        <v>PRD-SP01</v>
      </c>
      <c r="P2226" s="53" t="n">
        <v>-0.576322</v>
      </c>
      <c r="Q2226" s="53" t="n">
        <v>0.578726</v>
      </c>
      <c r="R2226" s="53" t="n">
        <v>1.315728</v>
      </c>
      <c r="S2226" s="53" t="n">
        <v>0.01404</v>
      </c>
    </row>
    <row r="2227" customFormat="false" ht="15" hidden="false" customHeight="false" outlineLevel="0" collapsed="false">
      <c r="A2227" s="43" t="n">
        <v>224</v>
      </c>
      <c r="B2227" s="44" t="str">
        <f aca="false">'Model Inputs &amp; Assumptions'!$B$32</f>
        <v>Trade Republic — In-App Display</v>
      </c>
      <c r="C2227" s="45" t="n">
        <f aca="false">ROUND(MAX(0,'Model Inputs &amp; Assumptions'!$S$32*EXP('Model Inputs &amp; Assumptions'!$T$32*P2227-'Model Inputs &amp; Assumptions'!$T$32^2/2)),0)</f>
        <v>1051828</v>
      </c>
      <c r="D2227" s="46" t="n">
        <f aca="false">MIN(1,'Model Inputs &amp; Assumptions'!$U$32*EXP('Model Inputs &amp; Assumptions'!$V$32*Q2227-'Model Inputs &amp; Assumptions'!$V$32^2/2))</f>
        <v>0</v>
      </c>
      <c r="E2227" s="45" t="n">
        <f aca="false">ROUND(C2227*D2227,0)</f>
        <v>0</v>
      </c>
      <c r="F2227" s="47" t="n">
        <f aca="false">MIN(1,'Model Inputs &amp; Assumptions'!$W$32*EXP('Model Inputs &amp; Assumptions'!$X$32*R2227-'Model Inputs &amp; Assumptions'!$X$32^2/2))</f>
        <v>0.00464193390137598</v>
      </c>
      <c r="G2227" s="45" t="n">
        <f aca="false">ROUND(C2227*F2227,0)</f>
        <v>4883</v>
      </c>
      <c r="H2227" s="48" t="n">
        <f aca="false">MAX(0,(C2227*'Model Inputs &amp; Assumptions'!$N$32+E2227*'Model Inputs &amp; Assumptions'!$O$32+G2227*'Model Inputs &amp; Assumptions'!$P$32)*EXP('Model Inputs &amp; Assumptions'!$Q$32*S2227-'Model Inputs &amp; Assumptions'!$Q$32^2/2))</f>
        <v>170.913734883959</v>
      </c>
      <c r="I2227" s="49" t="n">
        <f aca="false">IF('Model Inputs &amp; Assumptions'!$H$32="Fixed",'Model Inputs &amp; Assumptions'!$I$32*'Model Inputs &amp; Assumptions'!$K$32,IF('Model Inputs &amp; Assumptions'!$H$32="CPM",'Model Inputs &amp; Assumptions'!$I$32*'Model Inputs &amp; Assumptions'!$K$32*C2227/1000,IF('Model Inputs &amp; Assumptions'!$H$32="CPC",'Model Inputs &amp; Assumptions'!$I$32*'Model Inputs &amp; Assumptions'!$K$32*G2227,0)))</f>
        <v>12621.936</v>
      </c>
      <c r="J2227" s="50" t="n">
        <f aca="false">H2227*INDEX('Model Inputs &amp; Assumptions'!$D$40:$D$42,MATCH('Model Inputs &amp; Assumptions'!$L$32,'Model Inputs &amp; Assumptions'!$A$40:$A$42,0))*INDEX('Model Inputs &amp; Assumptions'!$H$40:$H$42,MATCH('Model Inputs &amp; Assumptions'!$L$32,'Model Inputs &amp; Assumptions'!$A$40:$A$42,0))</f>
        <v>922934.168373378</v>
      </c>
      <c r="K2227" s="49" t="n">
        <f aca="false">H2227*INDEX('Model Inputs &amp; Assumptions'!$G$40:$G$42,MATCH('Model Inputs &amp; Assumptions'!$L$32,'Model Inputs &amp; Assumptions'!$A$40:$A$42,0))*INDEX('Model Inputs &amp; Assumptions'!$H$40:$H$42,MATCH('Model Inputs &amp; Assumptions'!$L$32,'Model Inputs &amp; Assumptions'!$A$40:$A$42,0))</f>
        <v>19381.6175358409</v>
      </c>
      <c r="L2227" s="51" t="n">
        <f aca="false">IFERROR(K2227/I2227,0)</f>
        <v>1.53555029401519</v>
      </c>
      <c r="M2227" s="49" t="n">
        <f aca="false">IFERROR(I2227/H2227,0)</f>
        <v>73.8497465318958</v>
      </c>
      <c r="N2227" s="52" t="str">
        <f aca="false">'Model Inputs &amp; Assumptions'!$L$32</f>
        <v>PRD-SP01</v>
      </c>
      <c r="P2227" s="53" t="n">
        <v>-0.289305</v>
      </c>
      <c r="Q2227" s="53" t="n">
        <v>-1.619866</v>
      </c>
      <c r="R2227" s="53" t="n">
        <v>1.091227</v>
      </c>
      <c r="S2227" s="53" t="n">
        <v>-0.757369</v>
      </c>
    </row>
    <row r="2228" customFormat="false" ht="15" hidden="false" customHeight="false" outlineLevel="0" collapsed="false">
      <c r="A2228" s="43" t="n">
        <v>225</v>
      </c>
      <c r="B2228" s="44" t="str">
        <f aca="false">'Model Inputs &amp; Assumptions'!$B$32</f>
        <v>Trade Republic — In-App Display</v>
      </c>
      <c r="C2228" s="45" t="n">
        <f aca="false">ROUND(MAX(0,'Model Inputs &amp; Assumptions'!$S$32*EXP('Model Inputs &amp; Assumptions'!$T$32*P2228-'Model Inputs &amp; Assumptions'!$T$32^2/2)),0)</f>
        <v>1092018</v>
      </c>
      <c r="D2228" s="46" t="n">
        <f aca="false">MIN(1,'Model Inputs &amp; Assumptions'!$U$32*EXP('Model Inputs &amp; Assumptions'!$V$32*Q2228-'Model Inputs &amp; Assumptions'!$V$32^2/2))</f>
        <v>0</v>
      </c>
      <c r="E2228" s="45" t="n">
        <f aca="false">ROUND(C2228*D2228,0)</f>
        <v>0</v>
      </c>
      <c r="F2228" s="47" t="n">
        <f aca="false">MIN(1,'Model Inputs &amp; Assumptions'!$W$32*EXP('Model Inputs &amp; Assumptions'!$X$32*R2228-'Model Inputs &amp; Assumptions'!$X$32^2/2))</f>
        <v>0.00317146830546724</v>
      </c>
      <c r="G2228" s="45" t="n">
        <f aca="false">ROUND(C2228*F2228,0)</f>
        <v>3463</v>
      </c>
      <c r="H2228" s="48" t="n">
        <f aca="false">MAX(0,(C2228*'Model Inputs &amp; Assumptions'!$N$32+E2228*'Model Inputs &amp; Assumptions'!$O$32+G2228*'Model Inputs &amp; Assumptions'!$P$32)*EXP('Model Inputs &amp; Assumptions'!$Q$32*S2228-'Model Inputs &amp; Assumptions'!$Q$32^2/2))</f>
        <v>107.395275912541</v>
      </c>
      <c r="I2228" s="49" t="n">
        <f aca="false">IF('Model Inputs &amp; Assumptions'!$H$32="Fixed",'Model Inputs &amp; Assumptions'!$I$32*'Model Inputs &amp; Assumptions'!$K$32,IF('Model Inputs &amp; Assumptions'!$H$32="CPM",'Model Inputs &amp; Assumptions'!$I$32*'Model Inputs &amp; Assumptions'!$K$32*C2228/1000,IF('Model Inputs &amp; Assumptions'!$H$32="CPC",'Model Inputs &amp; Assumptions'!$I$32*'Model Inputs &amp; Assumptions'!$K$32*G2228,0)))</f>
        <v>13104.216</v>
      </c>
      <c r="J2228" s="50" t="n">
        <f aca="false">H2228*INDEX('Model Inputs &amp; Assumptions'!$D$40:$D$42,MATCH('Model Inputs &amp; Assumptions'!$L$32,'Model Inputs &amp; Assumptions'!$A$40:$A$42,0))*INDEX('Model Inputs &amp; Assumptions'!$H$40:$H$42,MATCH('Model Inputs &amp; Assumptions'!$L$32,'Model Inputs &amp; Assumptions'!$A$40:$A$42,0))</f>
        <v>579934.489927721</v>
      </c>
      <c r="K2228" s="49" t="n">
        <f aca="false">H2228*INDEX('Model Inputs &amp; Assumptions'!$G$40:$G$42,MATCH('Model Inputs &amp; Assumptions'!$L$32,'Model Inputs &amp; Assumptions'!$A$40:$A$42,0))*INDEX('Model Inputs &amp; Assumptions'!$H$40:$H$42,MATCH('Model Inputs &amp; Assumptions'!$L$32,'Model Inputs &amp; Assumptions'!$A$40:$A$42,0))</f>
        <v>12178.6242884821</v>
      </c>
      <c r="L2228" s="51" t="n">
        <f aca="false">IFERROR(K2228/I2228,0)</f>
        <v>0.929366876162767</v>
      </c>
      <c r="M2228" s="49" t="n">
        <f aca="false">IFERROR(I2228/H2228,0)</f>
        <v>122.018551455388</v>
      </c>
      <c r="N2228" s="52" t="str">
        <f aca="false">'Model Inputs &amp; Assumptions'!$L$32</f>
        <v>PRD-SP01</v>
      </c>
      <c r="P2228" s="53" t="n">
        <v>-0.164314</v>
      </c>
      <c r="Q2228" s="53" t="n">
        <v>-0.626134</v>
      </c>
      <c r="R2228" s="53" t="n">
        <v>-0.178561</v>
      </c>
      <c r="S2228" s="53" t="n">
        <v>-1.189577</v>
      </c>
    </row>
    <row r="2229" customFormat="false" ht="15" hidden="false" customHeight="false" outlineLevel="0" collapsed="false">
      <c r="A2229" s="43" t="n">
        <v>226</v>
      </c>
      <c r="B2229" s="44" t="str">
        <f aca="false">'Model Inputs &amp; Assumptions'!$B$32</f>
        <v>Trade Republic — In-App Display</v>
      </c>
      <c r="C2229" s="45" t="n">
        <f aca="false">ROUND(MAX(0,'Model Inputs &amp; Assumptions'!$S$32*EXP('Model Inputs &amp; Assumptions'!$T$32*P2229-'Model Inputs &amp; Assumptions'!$T$32^2/2)),0)</f>
        <v>758646</v>
      </c>
      <c r="D2229" s="46" t="n">
        <f aca="false">MIN(1,'Model Inputs &amp; Assumptions'!$U$32*EXP('Model Inputs &amp; Assumptions'!$V$32*Q2229-'Model Inputs &amp; Assumptions'!$V$32^2/2))</f>
        <v>0</v>
      </c>
      <c r="E2229" s="45" t="n">
        <f aca="false">ROUND(C2229*D2229,0)</f>
        <v>0</v>
      </c>
      <c r="F2229" s="47" t="n">
        <f aca="false">MIN(1,'Model Inputs &amp; Assumptions'!$W$32*EXP('Model Inputs &amp; Assumptions'!$X$32*R2229-'Model Inputs &amp; Assumptions'!$X$32^2/2))</f>
        <v>0.00421350047302901</v>
      </c>
      <c r="G2229" s="45" t="n">
        <f aca="false">ROUND(C2229*F2229,0)</f>
        <v>3197</v>
      </c>
      <c r="H2229" s="48" t="n">
        <f aca="false">MAX(0,(C2229*'Model Inputs &amp; Assumptions'!$N$32+E2229*'Model Inputs &amp; Assumptions'!$O$32+G2229*'Model Inputs &amp; Assumptions'!$P$32)*EXP('Model Inputs &amp; Assumptions'!$Q$32*S2229-'Model Inputs &amp; Assumptions'!$Q$32^2/2))</f>
        <v>176.117086816212</v>
      </c>
      <c r="I2229" s="49" t="n">
        <f aca="false">IF('Model Inputs &amp; Assumptions'!$H$32="Fixed",'Model Inputs &amp; Assumptions'!$I$32*'Model Inputs &amp; Assumptions'!$K$32,IF('Model Inputs &amp; Assumptions'!$H$32="CPM",'Model Inputs &amp; Assumptions'!$I$32*'Model Inputs &amp; Assumptions'!$K$32*C2229/1000,IF('Model Inputs &amp; Assumptions'!$H$32="CPC",'Model Inputs &amp; Assumptions'!$I$32*'Model Inputs &amp; Assumptions'!$K$32*G2229,0)))</f>
        <v>9103.752</v>
      </c>
      <c r="J2229" s="50" t="n">
        <f aca="false">H2229*INDEX('Model Inputs &amp; Assumptions'!$D$40:$D$42,MATCH('Model Inputs &amp; Assumptions'!$L$32,'Model Inputs &amp; Assumptions'!$A$40:$A$42,0))*INDEX('Model Inputs &amp; Assumptions'!$H$40:$H$42,MATCH('Model Inputs &amp; Assumptions'!$L$32,'Model Inputs &amp; Assumptions'!$A$40:$A$42,0))</f>
        <v>951032.268807543</v>
      </c>
      <c r="K2229" s="49" t="n">
        <f aca="false">H2229*INDEX('Model Inputs &amp; Assumptions'!$G$40:$G$42,MATCH('Model Inputs &amp; Assumptions'!$L$32,'Model Inputs &amp; Assumptions'!$A$40:$A$42,0))*INDEX('Model Inputs &amp; Assumptions'!$H$40:$H$42,MATCH('Model Inputs &amp; Assumptions'!$L$32,'Model Inputs &amp; Assumptions'!$A$40:$A$42,0))</f>
        <v>19971.6776449584</v>
      </c>
      <c r="L2229" s="51" t="n">
        <f aca="false">IFERROR(K2229/I2229,0)</f>
        <v>2.19378533652481</v>
      </c>
      <c r="M2229" s="49" t="n">
        <f aca="false">IFERROR(I2229/H2229,0)</f>
        <v>51.6914750554572</v>
      </c>
      <c r="N2229" s="52" t="str">
        <f aca="false">'Model Inputs &amp; Assumptions'!$L$32</f>
        <v>PRD-SP01</v>
      </c>
      <c r="P2229" s="53" t="n">
        <v>-1.378472</v>
      </c>
      <c r="Q2229" s="53" t="n">
        <v>-2.355901</v>
      </c>
      <c r="R2229" s="53" t="n">
        <v>0.768436</v>
      </c>
      <c r="S2229" s="53" t="n">
        <v>0.862406</v>
      </c>
    </row>
    <row r="2230" customFormat="false" ht="15" hidden="false" customHeight="false" outlineLevel="0" collapsed="false">
      <c r="A2230" s="43" t="n">
        <v>227</v>
      </c>
      <c r="B2230" s="44" t="str">
        <f aca="false">'Model Inputs &amp; Assumptions'!$B$32</f>
        <v>Trade Republic — In-App Display</v>
      </c>
      <c r="C2230" s="45" t="n">
        <f aca="false">ROUND(MAX(0,'Model Inputs &amp; Assumptions'!$S$32*EXP('Model Inputs &amp; Assumptions'!$T$32*P2230-'Model Inputs &amp; Assumptions'!$T$32^2/2)),0)</f>
        <v>1235460</v>
      </c>
      <c r="D2230" s="46" t="n">
        <f aca="false">MIN(1,'Model Inputs &amp; Assumptions'!$U$32*EXP('Model Inputs &amp; Assumptions'!$V$32*Q2230-'Model Inputs &amp; Assumptions'!$V$32^2/2))</f>
        <v>0</v>
      </c>
      <c r="E2230" s="45" t="n">
        <f aca="false">ROUND(C2230*D2230,0)</f>
        <v>0</v>
      </c>
      <c r="F2230" s="47" t="n">
        <f aca="false">MIN(1,'Model Inputs &amp; Assumptions'!$W$32*EXP('Model Inputs &amp; Assumptions'!$X$32*R2230-'Model Inputs &amp; Assumptions'!$X$32^2/2))</f>
        <v>0.0034014590383373</v>
      </c>
      <c r="G2230" s="45" t="n">
        <f aca="false">ROUND(C2230*F2230,0)</f>
        <v>4202</v>
      </c>
      <c r="H2230" s="48" t="n">
        <f aca="false">MAX(0,(C2230*'Model Inputs &amp; Assumptions'!$N$32+E2230*'Model Inputs &amp; Assumptions'!$O$32+G2230*'Model Inputs &amp; Assumptions'!$P$32)*EXP('Model Inputs &amp; Assumptions'!$Q$32*S2230-'Model Inputs &amp; Assumptions'!$Q$32^2/2))</f>
        <v>193.132077106671</v>
      </c>
      <c r="I2230" s="49" t="n">
        <f aca="false">IF('Model Inputs &amp; Assumptions'!$H$32="Fixed",'Model Inputs &amp; Assumptions'!$I$32*'Model Inputs &amp; Assumptions'!$K$32,IF('Model Inputs &amp; Assumptions'!$H$32="CPM",'Model Inputs &amp; Assumptions'!$I$32*'Model Inputs &amp; Assumptions'!$K$32*C2230/1000,IF('Model Inputs &amp; Assumptions'!$H$32="CPC",'Model Inputs &amp; Assumptions'!$I$32*'Model Inputs &amp; Assumptions'!$K$32*G2230,0)))</f>
        <v>14825.52</v>
      </c>
      <c r="J2230" s="50" t="n">
        <f aca="false">H2230*INDEX('Model Inputs &amp; Assumptions'!$D$40:$D$42,MATCH('Model Inputs &amp; Assumptions'!$L$32,'Model Inputs &amp; Assumptions'!$A$40:$A$42,0))*INDEX('Model Inputs &amp; Assumptions'!$H$40:$H$42,MATCH('Model Inputs &amp; Assumptions'!$L$32,'Model Inputs &amp; Assumptions'!$A$40:$A$42,0))</f>
        <v>1042913.21637603</v>
      </c>
      <c r="K2230" s="49" t="n">
        <f aca="false">H2230*INDEX('Model Inputs &amp; Assumptions'!$G$40:$G$42,MATCH('Model Inputs &amp; Assumptions'!$L$32,'Model Inputs &amp; Assumptions'!$A$40:$A$42,0))*INDEX('Model Inputs &amp; Assumptions'!$H$40:$H$42,MATCH('Model Inputs &amp; Assumptions'!$L$32,'Model Inputs &amp; Assumptions'!$A$40:$A$42,0))</f>
        <v>21901.1775438965</v>
      </c>
      <c r="L2230" s="51" t="n">
        <f aca="false">IFERROR(K2230/I2230,0)</f>
        <v>1.47726201468121</v>
      </c>
      <c r="M2230" s="49" t="n">
        <f aca="false">IFERROR(I2230/H2230,0)</f>
        <v>76.7636335822739</v>
      </c>
      <c r="N2230" s="52" t="str">
        <f aca="false">'Model Inputs &amp; Assumptions'!$L$32</f>
        <v>PRD-SP01</v>
      </c>
      <c r="P2230" s="53" t="n">
        <v>0.247073</v>
      </c>
      <c r="Q2230" s="53" t="n">
        <v>0.749738</v>
      </c>
      <c r="R2230" s="53" t="n">
        <v>0.054805</v>
      </c>
      <c r="S2230" s="53" t="n">
        <v>0.21554</v>
      </c>
    </row>
    <row r="2231" customFormat="false" ht="15" hidden="false" customHeight="false" outlineLevel="0" collapsed="false">
      <c r="A2231" s="43" t="n">
        <v>228</v>
      </c>
      <c r="B2231" s="44" t="str">
        <f aca="false">'Model Inputs &amp; Assumptions'!$B$32</f>
        <v>Trade Republic — In-App Display</v>
      </c>
      <c r="C2231" s="45" t="n">
        <f aca="false">ROUND(MAX(0,'Model Inputs &amp; Assumptions'!$S$32*EXP('Model Inputs &amp; Assumptions'!$T$32*P2231-'Model Inputs &amp; Assumptions'!$T$32^2/2)),0)</f>
        <v>1251706</v>
      </c>
      <c r="D2231" s="46" t="n">
        <f aca="false">MIN(1,'Model Inputs &amp; Assumptions'!$U$32*EXP('Model Inputs &amp; Assumptions'!$V$32*Q2231-'Model Inputs &amp; Assumptions'!$V$32^2/2))</f>
        <v>0</v>
      </c>
      <c r="E2231" s="45" t="n">
        <f aca="false">ROUND(C2231*D2231,0)</f>
        <v>0</v>
      </c>
      <c r="F2231" s="47" t="n">
        <f aca="false">MIN(1,'Model Inputs &amp; Assumptions'!$W$32*EXP('Model Inputs &amp; Assumptions'!$X$32*R2231-'Model Inputs &amp; Assumptions'!$X$32^2/2))</f>
        <v>0.00514143420365967</v>
      </c>
      <c r="G2231" s="45" t="n">
        <f aca="false">ROUND(C2231*F2231,0)</f>
        <v>6436</v>
      </c>
      <c r="H2231" s="48" t="n">
        <f aca="false">MAX(0,(C2231*'Model Inputs &amp; Assumptions'!$N$32+E2231*'Model Inputs &amp; Assumptions'!$O$32+G2231*'Model Inputs &amp; Assumptions'!$P$32)*EXP('Model Inputs &amp; Assumptions'!$Q$32*S2231-'Model Inputs &amp; Assumptions'!$Q$32^2/2))</f>
        <v>193.756132413778</v>
      </c>
      <c r="I2231" s="49" t="n">
        <f aca="false">IF('Model Inputs &amp; Assumptions'!$H$32="Fixed",'Model Inputs &amp; Assumptions'!$I$32*'Model Inputs &amp; Assumptions'!$K$32,IF('Model Inputs &amp; Assumptions'!$H$32="CPM",'Model Inputs &amp; Assumptions'!$I$32*'Model Inputs &amp; Assumptions'!$K$32*C2231/1000,IF('Model Inputs &amp; Assumptions'!$H$32="CPC",'Model Inputs &amp; Assumptions'!$I$32*'Model Inputs &amp; Assumptions'!$K$32*G2231,0)))</f>
        <v>15020.472</v>
      </c>
      <c r="J2231" s="50" t="n">
        <f aca="false">H2231*INDEX('Model Inputs &amp; Assumptions'!$D$40:$D$42,MATCH('Model Inputs &amp; Assumptions'!$L$32,'Model Inputs &amp; Assumptions'!$A$40:$A$42,0))*INDEX('Model Inputs &amp; Assumptions'!$H$40:$H$42,MATCH('Model Inputs &amp; Assumptions'!$L$32,'Model Inputs &amp; Assumptions'!$A$40:$A$42,0))</f>
        <v>1046283.1150344</v>
      </c>
      <c r="K2231" s="49" t="n">
        <f aca="false">H2231*INDEX('Model Inputs &amp; Assumptions'!$G$40:$G$42,MATCH('Model Inputs &amp; Assumptions'!$L$32,'Model Inputs &amp; Assumptions'!$A$40:$A$42,0))*INDEX('Model Inputs &amp; Assumptions'!$H$40:$H$42,MATCH('Model Inputs &amp; Assumptions'!$L$32,'Model Inputs &amp; Assumptions'!$A$40:$A$42,0))</f>
        <v>21971.9454157225</v>
      </c>
      <c r="L2231" s="51" t="n">
        <f aca="false">IFERROR(K2231/I2231,0)</f>
        <v>1.46279993170138</v>
      </c>
      <c r="M2231" s="49" t="n">
        <f aca="false">IFERROR(I2231/H2231,0)</f>
        <v>77.522563094534</v>
      </c>
      <c r="N2231" s="52" t="str">
        <f aca="false">'Model Inputs &amp; Assumptions'!$L$32</f>
        <v>PRD-SP01</v>
      </c>
      <c r="P2231" s="53" t="n">
        <v>0.290619</v>
      </c>
      <c r="Q2231" s="53" t="n">
        <v>1.50147</v>
      </c>
      <c r="R2231" s="53" t="n">
        <v>1.431897</v>
      </c>
      <c r="S2231" s="53" t="n">
        <v>-1.295605</v>
      </c>
    </row>
    <row r="2232" customFormat="false" ht="15" hidden="false" customHeight="false" outlineLevel="0" collapsed="false">
      <c r="A2232" s="43" t="n">
        <v>229</v>
      </c>
      <c r="B2232" s="44" t="str">
        <f aca="false">'Model Inputs &amp; Assumptions'!$B$32</f>
        <v>Trade Republic — In-App Display</v>
      </c>
      <c r="C2232" s="45" t="n">
        <f aca="false">ROUND(MAX(0,'Model Inputs &amp; Assumptions'!$S$32*EXP('Model Inputs &amp; Assumptions'!$T$32*P2232-'Model Inputs &amp; Assumptions'!$T$32^2/2)),0)</f>
        <v>1763631</v>
      </c>
      <c r="D2232" s="46" t="n">
        <f aca="false">MIN(1,'Model Inputs &amp; Assumptions'!$U$32*EXP('Model Inputs &amp; Assumptions'!$V$32*Q2232-'Model Inputs &amp; Assumptions'!$V$32^2/2))</f>
        <v>0</v>
      </c>
      <c r="E2232" s="45" t="n">
        <f aca="false">ROUND(C2232*D2232,0)</f>
        <v>0</v>
      </c>
      <c r="F2232" s="47" t="n">
        <f aca="false">MIN(1,'Model Inputs &amp; Assumptions'!$W$32*EXP('Model Inputs &amp; Assumptions'!$X$32*R2232-'Model Inputs &amp; Assumptions'!$X$32^2/2))</f>
        <v>0.00609499576740267</v>
      </c>
      <c r="G2232" s="45" t="n">
        <f aca="false">ROUND(C2232*F2232,0)</f>
        <v>10749</v>
      </c>
      <c r="H2232" s="48" t="n">
        <f aca="false">MAX(0,(C2232*'Model Inputs &amp; Assumptions'!$N$32+E2232*'Model Inputs &amp; Assumptions'!$O$32+G2232*'Model Inputs &amp; Assumptions'!$P$32)*EXP('Model Inputs &amp; Assumptions'!$Q$32*S2232-'Model Inputs &amp; Assumptions'!$Q$32^2/2))</f>
        <v>599.525564600122</v>
      </c>
      <c r="I2232" s="49" t="n">
        <f aca="false">IF('Model Inputs &amp; Assumptions'!$H$32="Fixed",'Model Inputs &amp; Assumptions'!$I$32*'Model Inputs &amp; Assumptions'!$K$32,IF('Model Inputs &amp; Assumptions'!$H$32="CPM",'Model Inputs &amp; Assumptions'!$I$32*'Model Inputs &amp; Assumptions'!$K$32*C2232/1000,IF('Model Inputs &amp; Assumptions'!$H$32="CPC",'Model Inputs &amp; Assumptions'!$I$32*'Model Inputs &amp; Assumptions'!$K$32*G2232,0)))</f>
        <v>21163.572</v>
      </c>
      <c r="J2232" s="50" t="n">
        <f aca="false">H2232*INDEX('Model Inputs &amp; Assumptions'!$D$40:$D$42,MATCH('Model Inputs &amp; Assumptions'!$L$32,'Model Inputs &amp; Assumptions'!$A$40:$A$42,0))*INDEX('Model Inputs &amp; Assumptions'!$H$40:$H$42,MATCH('Model Inputs &amp; Assumptions'!$L$32,'Model Inputs &amp; Assumptions'!$A$40:$A$42,0))</f>
        <v>3237438.04884066</v>
      </c>
      <c r="K2232" s="49" t="n">
        <f aca="false">H2232*INDEX('Model Inputs &amp; Assumptions'!$G$40:$G$42,MATCH('Model Inputs &amp; Assumptions'!$L$32,'Model Inputs &amp; Assumptions'!$A$40:$A$42,0))*INDEX('Model Inputs &amp; Assumptions'!$H$40:$H$42,MATCH('Model Inputs &amp; Assumptions'!$L$32,'Model Inputs &amp; Assumptions'!$A$40:$A$42,0))</f>
        <v>67986.1990256538</v>
      </c>
      <c r="L2232" s="51" t="n">
        <f aca="false">IFERROR(K2232/I2232,0)</f>
        <v>3.21241608106863</v>
      </c>
      <c r="M2232" s="49" t="n">
        <f aca="false">IFERROR(I2232/H2232,0)</f>
        <v>35.3005330375126</v>
      </c>
      <c r="N2232" s="52" t="str">
        <f aca="false">'Model Inputs &amp; Assumptions'!$L$32</f>
        <v>PRD-SP01</v>
      </c>
      <c r="P2232" s="53" t="n">
        <v>1.43351</v>
      </c>
      <c r="Q2232" s="53" t="n">
        <v>-1.119807</v>
      </c>
      <c r="R2232" s="53" t="n">
        <v>1.999017</v>
      </c>
      <c r="S2232" s="53" t="n">
        <v>0.906655</v>
      </c>
    </row>
    <row r="2233" customFormat="false" ht="15" hidden="false" customHeight="false" outlineLevel="0" collapsed="false">
      <c r="A2233" s="43" t="n">
        <v>230</v>
      </c>
      <c r="B2233" s="44" t="str">
        <f aca="false">'Model Inputs &amp; Assumptions'!$B$32</f>
        <v>Trade Republic — In-App Display</v>
      </c>
      <c r="C2233" s="45" t="n">
        <f aca="false">ROUND(MAX(0,'Model Inputs &amp; Assumptions'!$S$32*EXP('Model Inputs &amp; Assumptions'!$T$32*P2233-'Model Inputs &amp; Assumptions'!$T$32^2/2)),0)</f>
        <v>1273066</v>
      </c>
      <c r="D2233" s="46" t="n">
        <f aca="false">MIN(1,'Model Inputs &amp; Assumptions'!$U$32*EXP('Model Inputs &amp; Assumptions'!$V$32*Q2233-'Model Inputs &amp; Assumptions'!$V$32^2/2))</f>
        <v>0</v>
      </c>
      <c r="E2233" s="45" t="n">
        <f aca="false">ROUND(C2233*D2233,0)</f>
        <v>0</v>
      </c>
      <c r="F2233" s="47" t="n">
        <f aca="false">MIN(1,'Model Inputs &amp; Assumptions'!$W$32*EXP('Model Inputs &amp; Assumptions'!$X$32*R2233-'Model Inputs &amp; Assumptions'!$X$32^2/2))</f>
        <v>0.00283577103010874</v>
      </c>
      <c r="G2233" s="45" t="n">
        <f aca="false">ROUND(C2233*F2233,0)</f>
        <v>3610</v>
      </c>
      <c r="H2233" s="48" t="n">
        <f aca="false">MAX(0,(C2233*'Model Inputs &amp; Assumptions'!$N$32+E2233*'Model Inputs &amp; Assumptions'!$O$32+G2233*'Model Inputs &amp; Assumptions'!$P$32)*EXP('Model Inputs &amp; Assumptions'!$Q$32*S2233-'Model Inputs &amp; Assumptions'!$Q$32^2/2))</f>
        <v>148.059938569942</v>
      </c>
      <c r="I2233" s="49" t="n">
        <f aca="false">IF('Model Inputs &amp; Assumptions'!$H$32="Fixed",'Model Inputs &amp; Assumptions'!$I$32*'Model Inputs &amp; Assumptions'!$K$32,IF('Model Inputs &amp; Assumptions'!$H$32="CPM",'Model Inputs &amp; Assumptions'!$I$32*'Model Inputs &amp; Assumptions'!$K$32*C2233/1000,IF('Model Inputs &amp; Assumptions'!$H$32="CPC",'Model Inputs &amp; Assumptions'!$I$32*'Model Inputs &amp; Assumptions'!$K$32*G2233,0)))</f>
        <v>15276.792</v>
      </c>
      <c r="J2233" s="50" t="n">
        <f aca="false">H2233*INDEX('Model Inputs &amp; Assumptions'!$D$40:$D$42,MATCH('Model Inputs &amp; Assumptions'!$L$32,'Model Inputs &amp; Assumptions'!$A$40:$A$42,0))*INDEX('Model Inputs &amp; Assumptions'!$H$40:$H$42,MATCH('Model Inputs &amp; Assumptions'!$L$32,'Model Inputs &amp; Assumptions'!$A$40:$A$42,0))</f>
        <v>799523.668277687</v>
      </c>
      <c r="K2233" s="49" t="n">
        <f aca="false">H2233*INDEX('Model Inputs &amp; Assumptions'!$G$40:$G$42,MATCH('Model Inputs &amp; Assumptions'!$L$32,'Model Inputs &amp; Assumptions'!$A$40:$A$42,0))*INDEX('Model Inputs &amp; Assumptions'!$H$40:$H$42,MATCH('Model Inputs &amp; Assumptions'!$L$32,'Model Inputs &amp; Assumptions'!$A$40:$A$42,0))</f>
        <v>16789.9970338314</v>
      </c>
      <c r="L2233" s="51" t="n">
        <f aca="false">IFERROR(K2233/I2233,0)</f>
        <v>1.09905253889897</v>
      </c>
      <c r="M2233" s="49" t="n">
        <f aca="false">IFERROR(I2233/H2233,0)</f>
        <v>103.179780753343</v>
      </c>
      <c r="N2233" s="52" t="str">
        <f aca="false">'Model Inputs &amp; Assumptions'!$L$32</f>
        <v>PRD-SP01</v>
      </c>
      <c r="P2233" s="53" t="n">
        <v>0.347023</v>
      </c>
      <c r="Q2233" s="53" t="n">
        <v>1.518072</v>
      </c>
      <c r="R2233" s="53" t="n">
        <v>-0.551497</v>
      </c>
      <c r="S2233" s="53" t="n">
        <v>-0.191261</v>
      </c>
    </row>
    <row r="2234" customFormat="false" ht="15" hidden="false" customHeight="false" outlineLevel="0" collapsed="false">
      <c r="A2234" s="43" t="n">
        <v>231</v>
      </c>
      <c r="B2234" s="44" t="str">
        <f aca="false">'Model Inputs &amp; Assumptions'!$B$32</f>
        <v>Trade Republic — In-App Display</v>
      </c>
      <c r="C2234" s="45" t="n">
        <f aca="false">ROUND(MAX(0,'Model Inputs &amp; Assumptions'!$S$32*EXP('Model Inputs &amp; Assumptions'!$T$32*P2234-'Model Inputs &amp; Assumptions'!$T$32^2/2)),0)</f>
        <v>893471</v>
      </c>
      <c r="D2234" s="46" t="n">
        <f aca="false">MIN(1,'Model Inputs &amp; Assumptions'!$U$32*EXP('Model Inputs &amp; Assumptions'!$V$32*Q2234-'Model Inputs &amp; Assumptions'!$V$32^2/2))</f>
        <v>0</v>
      </c>
      <c r="E2234" s="45" t="n">
        <f aca="false">ROUND(C2234*D2234,0)</f>
        <v>0</v>
      </c>
      <c r="F2234" s="47" t="n">
        <f aca="false">MIN(1,'Model Inputs &amp; Assumptions'!$W$32*EXP('Model Inputs &amp; Assumptions'!$X$32*R2234-'Model Inputs &amp; Assumptions'!$X$32^2/2))</f>
        <v>0.00287629143592392</v>
      </c>
      <c r="G2234" s="45" t="n">
        <f aca="false">ROUND(C2234*F2234,0)</f>
        <v>2570</v>
      </c>
      <c r="H2234" s="48" t="n">
        <f aca="false">MAX(0,(C2234*'Model Inputs &amp; Assumptions'!$N$32+E2234*'Model Inputs &amp; Assumptions'!$O$32+G2234*'Model Inputs &amp; Assumptions'!$P$32)*EXP('Model Inputs &amp; Assumptions'!$Q$32*S2234-'Model Inputs &amp; Assumptions'!$Q$32^2/2))</f>
        <v>89.3521289742477</v>
      </c>
      <c r="I2234" s="49" t="n">
        <f aca="false">IF('Model Inputs &amp; Assumptions'!$H$32="Fixed",'Model Inputs &amp; Assumptions'!$I$32*'Model Inputs &amp; Assumptions'!$K$32,IF('Model Inputs &amp; Assumptions'!$H$32="CPM",'Model Inputs &amp; Assumptions'!$I$32*'Model Inputs &amp; Assumptions'!$K$32*C2234/1000,IF('Model Inputs &amp; Assumptions'!$H$32="CPC",'Model Inputs &amp; Assumptions'!$I$32*'Model Inputs &amp; Assumptions'!$K$32*G2234,0)))</f>
        <v>10721.652</v>
      </c>
      <c r="J2234" s="50" t="n">
        <f aca="false">H2234*INDEX('Model Inputs &amp; Assumptions'!$D$40:$D$42,MATCH('Model Inputs &amp; Assumptions'!$L$32,'Model Inputs &amp; Assumptions'!$A$40:$A$42,0))*INDEX('Model Inputs &amp; Assumptions'!$H$40:$H$42,MATCH('Model Inputs &amp; Assumptions'!$L$32,'Model Inputs &amp; Assumptions'!$A$40:$A$42,0))</f>
        <v>482501.496460938</v>
      </c>
      <c r="K2234" s="49" t="n">
        <f aca="false">H2234*INDEX('Model Inputs &amp; Assumptions'!$G$40:$G$42,MATCH('Model Inputs &amp; Assumptions'!$L$32,'Model Inputs &amp; Assumptions'!$A$40:$A$42,0))*INDEX('Model Inputs &amp; Assumptions'!$H$40:$H$42,MATCH('Model Inputs &amp; Assumptions'!$L$32,'Model Inputs &amp; Assumptions'!$A$40:$A$42,0))</f>
        <v>10132.5314256797</v>
      </c>
      <c r="L2234" s="51" t="n">
        <f aca="false">IFERROR(K2234/I2234,0)</f>
        <v>0.945053190094184</v>
      </c>
      <c r="M2234" s="49" t="n">
        <f aca="false">IFERROR(I2234/H2234,0)</f>
        <v>119.993246082476</v>
      </c>
      <c r="N2234" s="52" t="str">
        <f aca="false">'Model Inputs &amp; Assumptions'!$L$32</f>
        <v>PRD-SP01</v>
      </c>
      <c r="P2234" s="53" t="n">
        <v>-0.83321</v>
      </c>
      <c r="Q2234" s="53" t="n">
        <v>0.285221</v>
      </c>
      <c r="R2234" s="53" t="n">
        <v>-0.504204</v>
      </c>
      <c r="S2234" s="53" t="n">
        <v>-0.781369</v>
      </c>
    </row>
    <row r="2235" customFormat="false" ht="15" hidden="false" customHeight="false" outlineLevel="0" collapsed="false">
      <c r="A2235" s="43" t="n">
        <v>232</v>
      </c>
      <c r="B2235" s="44" t="str">
        <f aca="false">'Model Inputs &amp; Assumptions'!$B$32</f>
        <v>Trade Republic — In-App Display</v>
      </c>
      <c r="C2235" s="45" t="n">
        <f aca="false">ROUND(MAX(0,'Model Inputs &amp; Assumptions'!$S$32*EXP('Model Inputs &amp; Assumptions'!$T$32*P2235-'Model Inputs &amp; Assumptions'!$T$32^2/2)),0)</f>
        <v>809330</v>
      </c>
      <c r="D2235" s="46" t="n">
        <f aca="false">MIN(1,'Model Inputs &amp; Assumptions'!$U$32*EXP('Model Inputs &amp; Assumptions'!$V$32*Q2235-'Model Inputs &amp; Assumptions'!$V$32^2/2))</f>
        <v>0</v>
      </c>
      <c r="E2235" s="45" t="n">
        <f aca="false">ROUND(C2235*D2235,0)</f>
        <v>0</v>
      </c>
      <c r="F2235" s="47" t="n">
        <f aca="false">MIN(1,'Model Inputs &amp; Assumptions'!$W$32*EXP('Model Inputs &amp; Assumptions'!$X$32*R2235-'Model Inputs &amp; Assumptions'!$X$32^2/2))</f>
        <v>0.00386383675773699</v>
      </c>
      <c r="G2235" s="45" t="n">
        <f aca="false">ROUND(C2235*F2235,0)</f>
        <v>3127</v>
      </c>
      <c r="H2235" s="48" t="n">
        <f aca="false">MAX(0,(C2235*'Model Inputs &amp; Assumptions'!$N$32+E2235*'Model Inputs &amp; Assumptions'!$O$32+G2235*'Model Inputs &amp; Assumptions'!$P$32)*EXP('Model Inputs &amp; Assumptions'!$Q$32*S2235-'Model Inputs &amp; Assumptions'!$Q$32^2/2))</f>
        <v>161.977067771471</v>
      </c>
      <c r="I2235" s="49" t="n">
        <f aca="false">IF('Model Inputs &amp; Assumptions'!$H$32="Fixed",'Model Inputs &amp; Assumptions'!$I$32*'Model Inputs &amp; Assumptions'!$K$32,IF('Model Inputs &amp; Assumptions'!$H$32="CPM",'Model Inputs &amp; Assumptions'!$I$32*'Model Inputs &amp; Assumptions'!$K$32*C2235/1000,IF('Model Inputs &amp; Assumptions'!$H$32="CPC",'Model Inputs &amp; Assumptions'!$I$32*'Model Inputs &amp; Assumptions'!$K$32*G2235,0)))</f>
        <v>9711.96</v>
      </c>
      <c r="J2235" s="50" t="n">
        <f aca="false">H2235*INDEX('Model Inputs &amp; Assumptions'!$D$40:$D$42,MATCH('Model Inputs &amp; Assumptions'!$L$32,'Model Inputs &amp; Assumptions'!$A$40:$A$42,0))*INDEX('Model Inputs &amp; Assumptions'!$H$40:$H$42,MATCH('Model Inputs &amp; Assumptions'!$L$32,'Model Inputs &amp; Assumptions'!$A$40:$A$42,0))</f>
        <v>874676.165965945</v>
      </c>
      <c r="K2235" s="49" t="n">
        <f aca="false">H2235*INDEX('Model Inputs &amp; Assumptions'!$G$40:$G$42,MATCH('Model Inputs &amp; Assumptions'!$L$32,'Model Inputs &amp; Assumptions'!$A$40:$A$42,0))*INDEX('Model Inputs &amp; Assumptions'!$H$40:$H$42,MATCH('Model Inputs &amp; Assumptions'!$L$32,'Model Inputs &amp; Assumptions'!$A$40:$A$42,0))</f>
        <v>18368.1994852848</v>
      </c>
      <c r="L2235" s="51" t="n">
        <f aca="false">IFERROR(K2235/I2235,0)</f>
        <v>1.89129686338132</v>
      </c>
      <c r="M2235" s="49" t="n">
        <f aca="false">IFERROR(I2235/H2235,0)</f>
        <v>59.9588579644023</v>
      </c>
      <c r="N2235" s="52" t="str">
        <f aca="false">'Model Inputs &amp; Assumptions'!$L$32</f>
        <v>PRD-SP01</v>
      </c>
      <c r="P2235" s="53" t="n">
        <v>-1.162901</v>
      </c>
      <c r="Q2235" s="53" t="n">
        <v>0.33929</v>
      </c>
      <c r="R2235" s="53" t="n">
        <v>0.479659</v>
      </c>
      <c r="S2235" s="53" t="n">
        <v>0.642565</v>
      </c>
    </row>
    <row r="2236" customFormat="false" ht="15" hidden="false" customHeight="false" outlineLevel="0" collapsed="false">
      <c r="A2236" s="43" t="n">
        <v>233</v>
      </c>
      <c r="B2236" s="44" t="str">
        <f aca="false">'Model Inputs &amp; Assumptions'!$B$32</f>
        <v>Trade Republic — In-App Display</v>
      </c>
      <c r="C2236" s="45" t="n">
        <f aca="false">ROUND(MAX(0,'Model Inputs &amp; Assumptions'!$S$32*EXP('Model Inputs &amp; Assumptions'!$T$32*P2236-'Model Inputs &amp; Assumptions'!$T$32^2/2)),0)</f>
        <v>975633</v>
      </c>
      <c r="D2236" s="46" t="n">
        <f aca="false">MIN(1,'Model Inputs &amp; Assumptions'!$U$32*EXP('Model Inputs &amp; Assumptions'!$V$32*Q2236-'Model Inputs &amp; Assumptions'!$V$32^2/2))</f>
        <v>0</v>
      </c>
      <c r="E2236" s="45" t="n">
        <f aca="false">ROUND(C2236*D2236,0)</f>
        <v>0</v>
      </c>
      <c r="F2236" s="47" t="n">
        <f aca="false">MIN(1,'Model Inputs &amp; Assumptions'!$W$32*EXP('Model Inputs &amp; Assumptions'!$X$32*R2236-'Model Inputs &amp; Assumptions'!$X$32^2/2))</f>
        <v>0.00230897838352722</v>
      </c>
      <c r="G2236" s="45" t="n">
        <f aca="false">ROUND(C2236*F2236,0)</f>
        <v>2253</v>
      </c>
      <c r="H2236" s="48" t="n">
        <f aca="false">MAX(0,(C2236*'Model Inputs &amp; Assumptions'!$N$32+E2236*'Model Inputs &amp; Assumptions'!$O$32+G2236*'Model Inputs &amp; Assumptions'!$P$32)*EXP('Model Inputs &amp; Assumptions'!$Q$32*S2236-'Model Inputs &amp; Assumptions'!$Q$32^2/2))</f>
        <v>55.0466513031031</v>
      </c>
      <c r="I2236" s="49" t="n">
        <f aca="false">IF('Model Inputs &amp; Assumptions'!$H$32="Fixed",'Model Inputs &amp; Assumptions'!$I$32*'Model Inputs &amp; Assumptions'!$K$32,IF('Model Inputs &amp; Assumptions'!$H$32="CPM",'Model Inputs &amp; Assumptions'!$I$32*'Model Inputs &amp; Assumptions'!$K$32*C2236/1000,IF('Model Inputs &amp; Assumptions'!$H$32="CPC",'Model Inputs &amp; Assumptions'!$I$32*'Model Inputs &amp; Assumptions'!$K$32*G2236,0)))</f>
        <v>11707.596</v>
      </c>
      <c r="J2236" s="50" t="n">
        <f aca="false">H2236*INDEX('Model Inputs &amp; Assumptions'!$D$40:$D$42,MATCH('Model Inputs &amp; Assumptions'!$L$32,'Model Inputs &amp; Assumptions'!$A$40:$A$42,0))*INDEX('Model Inputs &amp; Assumptions'!$H$40:$H$42,MATCH('Model Inputs &amp; Assumptions'!$L$32,'Model Inputs &amp; Assumptions'!$A$40:$A$42,0))</f>
        <v>297251.917036757</v>
      </c>
      <c r="K2236" s="49" t="n">
        <f aca="false">H2236*INDEX('Model Inputs &amp; Assumptions'!$G$40:$G$42,MATCH('Model Inputs &amp; Assumptions'!$L$32,'Model Inputs &amp; Assumptions'!$A$40:$A$42,0))*INDEX('Model Inputs &amp; Assumptions'!$H$40:$H$42,MATCH('Model Inputs &amp; Assumptions'!$L$32,'Model Inputs &amp; Assumptions'!$A$40:$A$42,0))</f>
        <v>6242.29025777189</v>
      </c>
      <c r="L2236" s="51" t="n">
        <f aca="false">IFERROR(K2236/I2236,0)</f>
        <v>0.533182923101539</v>
      </c>
      <c r="M2236" s="49" t="n">
        <f aca="false">IFERROR(I2236/H2236,0)</f>
        <v>212.68498124499</v>
      </c>
      <c r="N2236" s="52" t="str">
        <f aca="false">'Model Inputs &amp; Assumptions'!$L$32</f>
        <v>PRD-SP01</v>
      </c>
      <c r="P2236" s="53" t="n">
        <v>-0.539969</v>
      </c>
      <c r="Q2236" s="53" t="n">
        <v>-0.31712</v>
      </c>
      <c r="R2236" s="53" t="n">
        <v>-1.236526</v>
      </c>
      <c r="S2236" s="53" t="n">
        <v>-2.041229</v>
      </c>
    </row>
    <row r="2237" customFormat="false" ht="15" hidden="false" customHeight="false" outlineLevel="0" collapsed="false">
      <c r="A2237" s="43" t="n">
        <v>234</v>
      </c>
      <c r="B2237" s="44" t="str">
        <f aca="false">'Model Inputs &amp; Assumptions'!$B$32</f>
        <v>Trade Republic — In-App Display</v>
      </c>
      <c r="C2237" s="45" t="n">
        <f aca="false">ROUND(MAX(0,'Model Inputs &amp; Assumptions'!$S$32*EXP('Model Inputs &amp; Assumptions'!$T$32*P2237-'Model Inputs &amp; Assumptions'!$T$32^2/2)),0)</f>
        <v>1494239</v>
      </c>
      <c r="D2237" s="46" t="n">
        <f aca="false">MIN(1,'Model Inputs &amp; Assumptions'!$U$32*EXP('Model Inputs &amp; Assumptions'!$V$32*Q2237-'Model Inputs &amp; Assumptions'!$V$32^2/2))</f>
        <v>0</v>
      </c>
      <c r="E2237" s="45" t="n">
        <f aca="false">ROUND(C2237*D2237,0)</f>
        <v>0</v>
      </c>
      <c r="F2237" s="47" t="n">
        <f aca="false">MIN(1,'Model Inputs &amp; Assumptions'!$W$32*EXP('Model Inputs &amp; Assumptions'!$X$32*R2237-'Model Inputs &amp; Assumptions'!$X$32^2/2))</f>
        <v>0.00351999218168516</v>
      </c>
      <c r="G2237" s="45" t="n">
        <f aca="false">ROUND(C2237*F2237,0)</f>
        <v>5260</v>
      </c>
      <c r="H2237" s="48" t="n">
        <f aca="false">MAX(0,(C2237*'Model Inputs &amp; Assumptions'!$N$32+E2237*'Model Inputs &amp; Assumptions'!$O$32+G2237*'Model Inputs &amp; Assumptions'!$P$32)*EXP('Model Inputs &amp; Assumptions'!$Q$32*S2237-'Model Inputs &amp; Assumptions'!$Q$32^2/2))</f>
        <v>151.152919534955</v>
      </c>
      <c r="I2237" s="49" t="n">
        <f aca="false">IF('Model Inputs &amp; Assumptions'!$H$32="Fixed",'Model Inputs &amp; Assumptions'!$I$32*'Model Inputs &amp; Assumptions'!$K$32,IF('Model Inputs &amp; Assumptions'!$H$32="CPM",'Model Inputs &amp; Assumptions'!$I$32*'Model Inputs &amp; Assumptions'!$K$32*C2237/1000,IF('Model Inputs &amp; Assumptions'!$H$32="CPC",'Model Inputs &amp; Assumptions'!$I$32*'Model Inputs &amp; Assumptions'!$K$32*G2237,0)))</f>
        <v>17930.868</v>
      </c>
      <c r="J2237" s="50" t="n">
        <f aca="false">H2237*INDEX('Model Inputs &amp; Assumptions'!$D$40:$D$42,MATCH('Model Inputs &amp; Assumptions'!$L$32,'Model Inputs &amp; Assumptions'!$A$40:$A$42,0))*INDEX('Model Inputs &amp; Assumptions'!$H$40:$H$42,MATCH('Model Inputs &amp; Assumptions'!$L$32,'Model Inputs &amp; Assumptions'!$A$40:$A$42,0))</f>
        <v>816225.765488757</v>
      </c>
      <c r="K2237" s="49" t="n">
        <f aca="false">H2237*INDEX('Model Inputs &amp; Assumptions'!$G$40:$G$42,MATCH('Model Inputs &amp; Assumptions'!$L$32,'Model Inputs &amp; Assumptions'!$A$40:$A$42,0))*INDEX('Model Inputs &amp; Assumptions'!$H$40:$H$42,MATCH('Model Inputs &amp; Assumptions'!$L$32,'Model Inputs &amp; Assumptions'!$A$40:$A$42,0))</f>
        <v>17140.7410752639</v>
      </c>
      <c r="L2237" s="51" t="n">
        <f aca="false">IFERROR(K2237/I2237,0)</f>
        <v>0.955934820069163</v>
      </c>
      <c r="M2237" s="49" t="n">
        <f aca="false">IFERROR(I2237/H2237,0)</f>
        <v>118.627334855106</v>
      </c>
      <c r="N2237" s="52" t="str">
        <f aca="false">'Model Inputs &amp; Assumptions'!$L$32</f>
        <v>PRD-SP01</v>
      </c>
      <c r="P2237" s="53" t="n">
        <v>0.880984</v>
      </c>
      <c r="Q2237" s="53" t="n">
        <v>-0.597922</v>
      </c>
      <c r="R2237" s="53" t="n">
        <v>0.168986</v>
      </c>
      <c r="S2237" s="53" t="n">
        <v>-1.461791</v>
      </c>
    </row>
    <row r="2238" customFormat="false" ht="15" hidden="false" customHeight="false" outlineLevel="0" collapsed="false">
      <c r="A2238" s="43" t="n">
        <v>235</v>
      </c>
      <c r="B2238" s="44" t="str">
        <f aca="false">'Model Inputs &amp; Assumptions'!$B$32</f>
        <v>Trade Republic — In-App Display</v>
      </c>
      <c r="C2238" s="45" t="n">
        <f aca="false">ROUND(MAX(0,'Model Inputs &amp; Assumptions'!$S$32*EXP('Model Inputs &amp; Assumptions'!$T$32*P2238-'Model Inputs &amp; Assumptions'!$T$32^2/2)),0)</f>
        <v>875558</v>
      </c>
      <c r="D2238" s="46" t="n">
        <f aca="false">MIN(1,'Model Inputs &amp; Assumptions'!$U$32*EXP('Model Inputs &amp; Assumptions'!$V$32*Q2238-'Model Inputs &amp; Assumptions'!$V$32^2/2))</f>
        <v>0</v>
      </c>
      <c r="E2238" s="45" t="n">
        <f aca="false">ROUND(C2238*D2238,0)</f>
        <v>0</v>
      </c>
      <c r="F2238" s="47" t="n">
        <f aca="false">MIN(1,'Model Inputs &amp; Assumptions'!$W$32*EXP('Model Inputs &amp; Assumptions'!$X$32*R2238-'Model Inputs &amp; Assumptions'!$X$32^2/2))</f>
        <v>0.00277607696802885</v>
      </c>
      <c r="G2238" s="45" t="n">
        <f aca="false">ROUND(C2238*F2238,0)</f>
        <v>2431</v>
      </c>
      <c r="H2238" s="48" t="n">
        <f aca="false">MAX(0,(C2238*'Model Inputs &amp; Assumptions'!$N$32+E2238*'Model Inputs &amp; Assumptions'!$O$32+G2238*'Model Inputs &amp; Assumptions'!$P$32)*EXP('Model Inputs &amp; Assumptions'!$Q$32*S2238-'Model Inputs &amp; Assumptions'!$Q$32^2/2))</f>
        <v>109.552769356336</v>
      </c>
      <c r="I2238" s="49" t="n">
        <f aca="false">IF('Model Inputs &amp; Assumptions'!$H$32="Fixed",'Model Inputs &amp; Assumptions'!$I$32*'Model Inputs &amp; Assumptions'!$K$32,IF('Model Inputs &amp; Assumptions'!$H$32="CPM",'Model Inputs &amp; Assumptions'!$I$32*'Model Inputs &amp; Assumptions'!$K$32*C2238/1000,IF('Model Inputs &amp; Assumptions'!$H$32="CPC",'Model Inputs &amp; Assumptions'!$I$32*'Model Inputs &amp; Assumptions'!$K$32*G2238,0)))</f>
        <v>10506.696</v>
      </c>
      <c r="J2238" s="50" t="n">
        <f aca="false">H2238*INDEX('Model Inputs &amp; Assumptions'!$D$40:$D$42,MATCH('Model Inputs &amp; Assumptions'!$L$32,'Model Inputs &amp; Assumptions'!$A$40:$A$42,0))*INDEX('Model Inputs &amp; Assumptions'!$H$40:$H$42,MATCH('Model Inputs &amp; Assumptions'!$L$32,'Model Inputs &amp; Assumptions'!$A$40:$A$42,0))</f>
        <v>591584.954524216</v>
      </c>
      <c r="K2238" s="49" t="n">
        <f aca="false">H2238*INDEX('Model Inputs &amp; Assumptions'!$G$40:$G$42,MATCH('Model Inputs &amp; Assumptions'!$L$32,'Model Inputs &amp; Assumptions'!$A$40:$A$42,0))*INDEX('Model Inputs &amp; Assumptions'!$H$40:$H$42,MATCH('Model Inputs &amp; Assumptions'!$L$32,'Model Inputs &amp; Assumptions'!$A$40:$A$42,0))</f>
        <v>12423.2840450085</v>
      </c>
      <c r="L2238" s="51" t="n">
        <f aca="false">IFERROR(K2238/I2238,0)</f>
        <v>1.18241586555931</v>
      </c>
      <c r="M2238" s="49" t="n">
        <f aca="false">IFERROR(I2238/H2238,0)</f>
        <v>95.9053437145477</v>
      </c>
      <c r="N2238" s="52" t="str">
        <f aca="false">'Model Inputs &amp; Assumptions'!$L$32</f>
        <v>PRD-SP01</v>
      </c>
      <c r="P2238" s="53" t="n">
        <v>-0.900719</v>
      </c>
      <c r="Q2238" s="53" t="n">
        <v>-0.533755</v>
      </c>
      <c r="R2238" s="53" t="n">
        <v>-0.622414</v>
      </c>
      <c r="S2238" s="53" t="n">
        <v>0.145147</v>
      </c>
    </row>
    <row r="2239" customFormat="false" ht="15" hidden="false" customHeight="false" outlineLevel="0" collapsed="false">
      <c r="A2239" s="43" t="n">
        <v>236</v>
      </c>
      <c r="B2239" s="44" t="str">
        <f aca="false">'Model Inputs &amp; Assumptions'!$B$32</f>
        <v>Trade Republic — In-App Display</v>
      </c>
      <c r="C2239" s="45" t="n">
        <f aca="false">ROUND(MAX(0,'Model Inputs &amp; Assumptions'!$S$32*EXP('Model Inputs &amp; Assumptions'!$T$32*P2239-'Model Inputs &amp; Assumptions'!$T$32^2/2)),0)</f>
        <v>843518</v>
      </c>
      <c r="D2239" s="46" t="n">
        <f aca="false">MIN(1,'Model Inputs &amp; Assumptions'!$U$32*EXP('Model Inputs &amp; Assumptions'!$V$32*Q2239-'Model Inputs &amp; Assumptions'!$V$32^2/2))</f>
        <v>0</v>
      </c>
      <c r="E2239" s="45" t="n">
        <f aca="false">ROUND(C2239*D2239,0)</f>
        <v>0</v>
      </c>
      <c r="F2239" s="47" t="n">
        <f aca="false">MIN(1,'Model Inputs &amp; Assumptions'!$W$32*EXP('Model Inputs &amp; Assumptions'!$X$32*R2239-'Model Inputs &amp; Assumptions'!$X$32^2/2))</f>
        <v>0.00421710961698807</v>
      </c>
      <c r="G2239" s="45" t="n">
        <f aca="false">ROUND(C2239*F2239,0)</f>
        <v>3557</v>
      </c>
      <c r="H2239" s="48" t="n">
        <f aca="false">MAX(0,(C2239*'Model Inputs &amp; Assumptions'!$N$32+E2239*'Model Inputs &amp; Assumptions'!$O$32+G2239*'Model Inputs &amp; Assumptions'!$P$32)*EXP('Model Inputs &amp; Assumptions'!$Q$32*S2239-'Model Inputs &amp; Assumptions'!$Q$32^2/2))</f>
        <v>152.563640345401</v>
      </c>
      <c r="I2239" s="49" t="n">
        <f aca="false">IF('Model Inputs &amp; Assumptions'!$H$32="Fixed",'Model Inputs &amp; Assumptions'!$I$32*'Model Inputs &amp; Assumptions'!$K$32,IF('Model Inputs &amp; Assumptions'!$H$32="CPM",'Model Inputs &amp; Assumptions'!$I$32*'Model Inputs &amp; Assumptions'!$K$32*C2239/1000,IF('Model Inputs &amp; Assumptions'!$H$32="CPC",'Model Inputs &amp; Assumptions'!$I$32*'Model Inputs &amp; Assumptions'!$K$32*G2239,0)))</f>
        <v>10122.216</v>
      </c>
      <c r="J2239" s="50" t="n">
        <f aca="false">H2239*INDEX('Model Inputs &amp; Assumptions'!$D$40:$D$42,MATCH('Model Inputs &amp; Assumptions'!$L$32,'Model Inputs &amp; Assumptions'!$A$40:$A$42,0))*INDEX('Model Inputs &amp; Assumptions'!$H$40:$H$42,MATCH('Model Inputs &amp; Assumptions'!$L$32,'Model Inputs &amp; Assumptions'!$A$40:$A$42,0))</f>
        <v>823843.657865164</v>
      </c>
      <c r="K2239" s="49" t="n">
        <f aca="false">H2239*INDEX('Model Inputs &amp; Assumptions'!$G$40:$G$42,MATCH('Model Inputs &amp; Assumptions'!$L$32,'Model Inputs &amp; Assumptions'!$A$40:$A$42,0))*INDEX('Model Inputs &amp; Assumptions'!$H$40:$H$42,MATCH('Model Inputs &amp; Assumptions'!$L$32,'Model Inputs &amp; Assumptions'!$A$40:$A$42,0))</f>
        <v>17300.7168151684</v>
      </c>
      <c r="L2239" s="51" t="n">
        <f aca="false">IFERROR(K2239/I2239,0)</f>
        <v>1.70918273381722</v>
      </c>
      <c r="M2239" s="49" t="n">
        <f aca="false">IFERROR(I2239/H2239,0)</f>
        <v>66.3474991622088</v>
      </c>
      <c r="N2239" s="52" t="str">
        <f aca="false">'Model Inputs &amp; Assumptions'!$L$32</f>
        <v>PRD-SP01</v>
      </c>
      <c r="P2239" s="53" t="n">
        <v>-1.024987</v>
      </c>
      <c r="Q2239" s="53" t="n">
        <v>0.679651</v>
      </c>
      <c r="R2239" s="53" t="n">
        <v>0.77129</v>
      </c>
      <c r="S2239" s="53" t="n">
        <v>-0.031422</v>
      </c>
    </row>
    <row r="2240" customFormat="false" ht="15" hidden="false" customHeight="false" outlineLevel="0" collapsed="false">
      <c r="A2240" s="43" t="n">
        <v>237</v>
      </c>
      <c r="B2240" s="44" t="str">
        <f aca="false">'Model Inputs &amp; Assumptions'!$B$32</f>
        <v>Trade Republic — In-App Display</v>
      </c>
      <c r="C2240" s="45" t="n">
        <f aca="false">ROUND(MAX(0,'Model Inputs &amp; Assumptions'!$S$32*EXP('Model Inputs &amp; Assumptions'!$T$32*P2240-'Model Inputs &amp; Assumptions'!$T$32^2/2)),0)</f>
        <v>1437375</v>
      </c>
      <c r="D2240" s="46" t="n">
        <f aca="false">MIN(1,'Model Inputs &amp; Assumptions'!$U$32*EXP('Model Inputs &amp; Assumptions'!$V$32*Q2240-'Model Inputs &amp; Assumptions'!$V$32^2/2))</f>
        <v>0</v>
      </c>
      <c r="E2240" s="45" t="n">
        <f aca="false">ROUND(C2240*D2240,0)</f>
        <v>0</v>
      </c>
      <c r="F2240" s="47" t="n">
        <f aca="false">MIN(1,'Model Inputs &amp; Assumptions'!$W$32*EXP('Model Inputs &amp; Assumptions'!$X$32*R2240-'Model Inputs &amp; Assumptions'!$X$32^2/2))</f>
        <v>0.00341990737883354</v>
      </c>
      <c r="G2240" s="45" t="n">
        <f aca="false">ROUND(C2240*F2240,0)</f>
        <v>4916</v>
      </c>
      <c r="H2240" s="48" t="n">
        <f aca="false">MAX(0,(C2240*'Model Inputs &amp; Assumptions'!$N$32+E2240*'Model Inputs &amp; Assumptions'!$O$32+G2240*'Model Inputs &amp; Assumptions'!$P$32)*EXP('Model Inputs &amp; Assumptions'!$Q$32*S2240-'Model Inputs &amp; Assumptions'!$Q$32^2/2))</f>
        <v>252.060052192749</v>
      </c>
      <c r="I2240" s="49" t="n">
        <f aca="false">IF('Model Inputs &amp; Assumptions'!$H$32="Fixed",'Model Inputs &amp; Assumptions'!$I$32*'Model Inputs &amp; Assumptions'!$K$32,IF('Model Inputs &amp; Assumptions'!$H$32="CPM",'Model Inputs &amp; Assumptions'!$I$32*'Model Inputs &amp; Assumptions'!$K$32*C2240/1000,IF('Model Inputs &amp; Assumptions'!$H$32="CPC",'Model Inputs &amp; Assumptions'!$I$32*'Model Inputs &amp; Assumptions'!$K$32*G2240,0)))</f>
        <v>17248.5</v>
      </c>
      <c r="J2240" s="50" t="n">
        <f aca="false">H2240*INDEX('Model Inputs &amp; Assumptions'!$D$40:$D$42,MATCH('Model Inputs &amp; Assumptions'!$L$32,'Model Inputs &amp; Assumptions'!$A$40:$A$42,0))*INDEX('Model Inputs &amp; Assumptions'!$H$40:$H$42,MATCH('Model Inputs &amp; Assumptions'!$L$32,'Model Inputs &amp; Assumptions'!$A$40:$A$42,0))</f>
        <v>1361124.28184085</v>
      </c>
      <c r="K2240" s="49" t="n">
        <f aca="false">H2240*INDEX('Model Inputs &amp; Assumptions'!$G$40:$G$42,MATCH('Model Inputs &amp; Assumptions'!$L$32,'Model Inputs &amp; Assumptions'!$A$40:$A$42,0))*INDEX('Model Inputs &amp; Assumptions'!$H$40:$H$42,MATCH('Model Inputs &amp; Assumptions'!$L$32,'Model Inputs &amp; Assumptions'!$A$40:$A$42,0))</f>
        <v>28583.6099186578</v>
      </c>
      <c r="L2240" s="51" t="n">
        <f aca="false">IFERROR(K2240/I2240,0)</f>
        <v>1.65716496615113</v>
      </c>
      <c r="M2240" s="49" t="n">
        <f aca="false">IFERROR(I2240/H2240,0)</f>
        <v>68.4301215125122</v>
      </c>
      <c r="N2240" s="52" t="str">
        <f aca="false">'Model Inputs &amp; Assumptions'!$L$32</f>
        <v>PRD-SP01</v>
      </c>
      <c r="P2240" s="53" t="n">
        <v>0.751657</v>
      </c>
      <c r="Q2240" s="53" t="n">
        <v>-0.397048</v>
      </c>
      <c r="R2240" s="53" t="n">
        <v>0.072835</v>
      </c>
      <c r="S2240" s="53" t="n">
        <v>0.606106</v>
      </c>
    </row>
    <row r="2241" customFormat="false" ht="15" hidden="false" customHeight="false" outlineLevel="0" collapsed="false">
      <c r="A2241" s="43" t="n">
        <v>238</v>
      </c>
      <c r="B2241" s="44" t="str">
        <f aca="false">'Model Inputs &amp; Assumptions'!$B$32</f>
        <v>Trade Republic — In-App Display</v>
      </c>
      <c r="C2241" s="45" t="n">
        <f aca="false">ROUND(MAX(0,'Model Inputs &amp; Assumptions'!$S$32*EXP('Model Inputs &amp; Assumptions'!$T$32*P2241-'Model Inputs &amp; Assumptions'!$T$32^2/2)),0)</f>
        <v>1125404</v>
      </c>
      <c r="D2241" s="46" t="n">
        <f aca="false">MIN(1,'Model Inputs &amp; Assumptions'!$U$32*EXP('Model Inputs &amp; Assumptions'!$V$32*Q2241-'Model Inputs &amp; Assumptions'!$V$32^2/2))</f>
        <v>0</v>
      </c>
      <c r="E2241" s="45" t="n">
        <f aca="false">ROUND(C2241*D2241,0)</f>
        <v>0</v>
      </c>
      <c r="F2241" s="47" t="n">
        <f aca="false">MIN(1,'Model Inputs &amp; Assumptions'!$W$32*EXP('Model Inputs &amp; Assumptions'!$X$32*R2241-'Model Inputs &amp; Assumptions'!$X$32^2/2))</f>
        <v>0.00472578728625425</v>
      </c>
      <c r="G2241" s="45" t="n">
        <f aca="false">ROUND(C2241*F2241,0)</f>
        <v>5318</v>
      </c>
      <c r="H2241" s="48" t="n">
        <f aca="false">MAX(0,(C2241*'Model Inputs &amp; Assumptions'!$N$32+E2241*'Model Inputs &amp; Assumptions'!$O$32+G2241*'Model Inputs &amp; Assumptions'!$P$32)*EXP('Model Inputs &amp; Assumptions'!$Q$32*S2241-'Model Inputs &amp; Assumptions'!$Q$32^2/2))</f>
        <v>397.853156064109</v>
      </c>
      <c r="I2241" s="49" t="n">
        <f aca="false">IF('Model Inputs &amp; Assumptions'!$H$32="Fixed",'Model Inputs &amp; Assumptions'!$I$32*'Model Inputs &amp; Assumptions'!$K$32,IF('Model Inputs &amp; Assumptions'!$H$32="CPM",'Model Inputs &amp; Assumptions'!$I$32*'Model Inputs &amp; Assumptions'!$K$32*C2241/1000,IF('Model Inputs &amp; Assumptions'!$H$32="CPC",'Model Inputs &amp; Assumptions'!$I$32*'Model Inputs &amp; Assumptions'!$K$32*G2241,0)))</f>
        <v>13504.848</v>
      </c>
      <c r="J2241" s="50" t="n">
        <f aca="false">H2241*INDEX('Model Inputs &amp; Assumptions'!$D$40:$D$42,MATCH('Model Inputs &amp; Assumptions'!$L$32,'Model Inputs &amp; Assumptions'!$A$40:$A$42,0))*INDEX('Model Inputs &amp; Assumptions'!$H$40:$H$42,MATCH('Model Inputs &amp; Assumptions'!$L$32,'Model Inputs &amp; Assumptions'!$A$40:$A$42,0))</f>
        <v>2148407.04274619</v>
      </c>
      <c r="K2241" s="49" t="n">
        <f aca="false">H2241*INDEX('Model Inputs &amp; Assumptions'!$G$40:$G$42,MATCH('Model Inputs &amp; Assumptions'!$L$32,'Model Inputs &amp; Assumptions'!$A$40:$A$42,0))*INDEX('Model Inputs &amp; Assumptions'!$H$40:$H$42,MATCH('Model Inputs &amp; Assumptions'!$L$32,'Model Inputs &amp; Assumptions'!$A$40:$A$42,0))</f>
        <v>45116.54789767</v>
      </c>
      <c r="L2241" s="51" t="n">
        <f aca="false">IFERROR(K2241/I2241,0)</f>
        <v>3.34076680445941</v>
      </c>
      <c r="M2241" s="49" t="n">
        <f aca="false">IFERROR(I2241/H2241,0)</f>
        <v>33.944302801569</v>
      </c>
      <c r="N2241" s="52" t="str">
        <f aca="false">'Model Inputs &amp; Assumptions'!$L$32</f>
        <v>PRD-SP01</v>
      </c>
      <c r="P2241" s="53" t="n">
        <v>-0.063931</v>
      </c>
      <c r="Q2241" s="53" t="n">
        <v>0.699019</v>
      </c>
      <c r="R2241" s="53" t="n">
        <v>1.150904</v>
      </c>
      <c r="S2241" s="53" t="n">
        <v>1.95544</v>
      </c>
    </row>
    <row r="2242" customFormat="false" ht="15" hidden="false" customHeight="false" outlineLevel="0" collapsed="false">
      <c r="A2242" s="43" t="n">
        <v>239</v>
      </c>
      <c r="B2242" s="44" t="str">
        <f aca="false">'Model Inputs &amp; Assumptions'!$B$32</f>
        <v>Trade Republic — In-App Display</v>
      </c>
      <c r="C2242" s="45" t="n">
        <f aca="false">ROUND(MAX(0,'Model Inputs &amp; Assumptions'!$S$32*EXP('Model Inputs &amp; Assumptions'!$T$32*P2242-'Model Inputs &amp; Assumptions'!$T$32^2/2)),0)</f>
        <v>1065652</v>
      </c>
      <c r="D2242" s="46" t="n">
        <f aca="false">MIN(1,'Model Inputs &amp; Assumptions'!$U$32*EXP('Model Inputs &amp; Assumptions'!$V$32*Q2242-'Model Inputs &amp; Assumptions'!$V$32^2/2))</f>
        <v>0</v>
      </c>
      <c r="E2242" s="45" t="n">
        <f aca="false">ROUND(C2242*D2242,0)</f>
        <v>0</v>
      </c>
      <c r="F2242" s="47" t="n">
        <f aca="false">MIN(1,'Model Inputs &amp; Assumptions'!$W$32*EXP('Model Inputs &amp; Assumptions'!$X$32*R2242-'Model Inputs &amp; Assumptions'!$X$32^2/2))</f>
        <v>0.00421569670030283</v>
      </c>
      <c r="G2242" s="45" t="n">
        <f aca="false">ROUND(C2242*F2242,0)</f>
        <v>4492</v>
      </c>
      <c r="H2242" s="48" t="n">
        <f aca="false">MAX(0,(C2242*'Model Inputs &amp; Assumptions'!$N$32+E2242*'Model Inputs &amp; Assumptions'!$O$32+G2242*'Model Inputs &amp; Assumptions'!$P$32)*EXP('Model Inputs &amp; Assumptions'!$Q$32*S2242-'Model Inputs &amp; Assumptions'!$Q$32^2/2))</f>
        <v>139.521105907688</v>
      </c>
      <c r="I2242" s="49" t="n">
        <f aca="false">IF('Model Inputs &amp; Assumptions'!$H$32="Fixed",'Model Inputs &amp; Assumptions'!$I$32*'Model Inputs &amp; Assumptions'!$K$32,IF('Model Inputs &amp; Assumptions'!$H$32="CPM",'Model Inputs &amp; Assumptions'!$I$32*'Model Inputs &amp; Assumptions'!$K$32*C2242/1000,IF('Model Inputs &amp; Assumptions'!$H$32="CPC",'Model Inputs &amp; Assumptions'!$I$32*'Model Inputs &amp; Assumptions'!$K$32*G2242,0)))</f>
        <v>12787.824</v>
      </c>
      <c r="J2242" s="50" t="n">
        <f aca="false">H2242*INDEX('Model Inputs &amp; Assumptions'!$D$40:$D$42,MATCH('Model Inputs &amp; Assumptions'!$L$32,'Model Inputs &amp; Assumptions'!$A$40:$A$42,0))*INDEX('Model Inputs &amp; Assumptions'!$H$40:$H$42,MATCH('Model Inputs &amp; Assumptions'!$L$32,'Model Inputs &amp; Assumptions'!$A$40:$A$42,0))</f>
        <v>753413.971901517</v>
      </c>
      <c r="K2242" s="49" t="n">
        <f aca="false">H2242*INDEX('Model Inputs &amp; Assumptions'!$G$40:$G$42,MATCH('Model Inputs &amp; Assumptions'!$L$32,'Model Inputs &amp; Assumptions'!$A$40:$A$42,0))*INDEX('Model Inputs &amp; Assumptions'!$H$40:$H$42,MATCH('Model Inputs &amp; Assumptions'!$L$32,'Model Inputs &amp; Assumptions'!$A$40:$A$42,0))</f>
        <v>15821.6934099319</v>
      </c>
      <c r="L2242" s="51" t="n">
        <f aca="false">IFERROR(K2242/I2242,0)</f>
        <v>1.23724672860151</v>
      </c>
      <c r="M2242" s="49" t="n">
        <f aca="false">IFERROR(I2242/H2242,0)</f>
        <v>91.6551221179456</v>
      </c>
      <c r="N2242" s="52" t="str">
        <f aca="false">'Model Inputs &amp; Assumptions'!$L$32</f>
        <v>PRD-SP01</v>
      </c>
      <c r="P2242" s="53" t="n">
        <v>-0.245784</v>
      </c>
      <c r="Q2242" s="53" t="n">
        <v>-0.678779</v>
      </c>
      <c r="R2242" s="53" t="n">
        <v>0.770173</v>
      </c>
      <c r="S2242" s="53" t="n">
        <v>-1.184088</v>
      </c>
    </row>
    <row r="2243" customFormat="false" ht="15" hidden="false" customHeight="false" outlineLevel="0" collapsed="false">
      <c r="A2243" s="43" t="n">
        <v>240</v>
      </c>
      <c r="B2243" s="44" t="str">
        <f aca="false">'Model Inputs &amp; Assumptions'!$B$32</f>
        <v>Trade Republic — In-App Display</v>
      </c>
      <c r="C2243" s="45" t="n">
        <f aca="false">ROUND(MAX(0,'Model Inputs &amp; Assumptions'!$S$32*EXP('Model Inputs &amp; Assumptions'!$T$32*P2243-'Model Inputs &amp; Assumptions'!$T$32^2/2)),0)</f>
        <v>1559717</v>
      </c>
      <c r="D2243" s="46" t="n">
        <f aca="false">MIN(1,'Model Inputs &amp; Assumptions'!$U$32*EXP('Model Inputs &amp; Assumptions'!$V$32*Q2243-'Model Inputs &amp; Assumptions'!$V$32^2/2))</f>
        <v>0</v>
      </c>
      <c r="E2243" s="45" t="n">
        <f aca="false">ROUND(C2243*D2243,0)</f>
        <v>0</v>
      </c>
      <c r="F2243" s="47" t="n">
        <f aca="false">MIN(1,'Model Inputs &amp; Assumptions'!$W$32*EXP('Model Inputs &amp; Assumptions'!$X$32*R2243-'Model Inputs &amp; Assumptions'!$X$32^2/2))</f>
        <v>0.00175893122926395</v>
      </c>
      <c r="G2243" s="45" t="n">
        <f aca="false">ROUND(C2243*F2243,0)</f>
        <v>2743</v>
      </c>
      <c r="H2243" s="48" t="n">
        <f aca="false">MAX(0,(C2243*'Model Inputs &amp; Assumptions'!$N$32+E2243*'Model Inputs &amp; Assumptions'!$O$32+G2243*'Model Inputs &amp; Assumptions'!$P$32)*EXP('Model Inputs &amp; Assumptions'!$Q$32*S2243-'Model Inputs &amp; Assumptions'!$Q$32^2/2))</f>
        <v>150.414609093072</v>
      </c>
      <c r="I2243" s="49" t="n">
        <f aca="false">IF('Model Inputs &amp; Assumptions'!$H$32="Fixed",'Model Inputs &amp; Assumptions'!$I$32*'Model Inputs &amp; Assumptions'!$K$32,IF('Model Inputs &amp; Assumptions'!$H$32="CPM",'Model Inputs &amp; Assumptions'!$I$32*'Model Inputs &amp; Assumptions'!$K$32*C2243/1000,IF('Model Inputs &amp; Assumptions'!$H$32="CPC",'Model Inputs &amp; Assumptions'!$I$32*'Model Inputs &amp; Assumptions'!$K$32*G2243,0)))</f>
        <v>18716.604</v>
      </c>
      <c r="J2243" s="50" t="n">
        <f aca="false">H2243*INDEX('Model Inputs &amp; Assumptions'!$D$40:$D$42,MATCH('Model Inputs &amp; Assumptions'!$L$32,'Model Inputs &amp; Assumptions'!$A$40:$A$42,0))*INDEX('Model Inputs &amp; Assumptions'!$H$40:$H$42,MATCH('Model Inputs &amp; Assumptions'!$L$32,'Model Inputs &amp; Assumptions'!$A$40:$A$42,0))</f>
        <v>812238.889102587</v>
      </c>
      <c r="K2243" s="49" t="n">
        <f aca="false">H2243*INDEX('Model Inputs &amp; Assumptions'!$G$40:$G$42,MATCH('Model Inputs &amp; Assumptions'!$L$32,'Model Inputs &amp; Assumptions'!$A$40:$A$42,0))*INDEX('Model Inputs &amp; Assumptions'!$H$40:$H$42,MATCH('Model Inputs &amp; Assumptions'!$L$32,'Model Inputs &amp; Assumptions'!$A$40:$A$42,0))</f>
        <v>17057.0166711543</v>
      </c>
      <c r="L2243" s="51" t="n">
        <f aca="false">IFERROR(K2243/I2243,0)</f>
        <v>0.911330745211809</v>
      </c>
      <c r="M2243" s="49" t="n">
        <f aca="false">IFERROR(I2243/H2243,0)</f>
        <v>124.433418488086</v>
      </c>
      <c r="N2243" s="52" t="str">
        <f aca="false">'Model Inputs &amp; Assumptions'!$L$32</f>
        <v>PRD-SP01</v>
      </c>
      <c r="P2243" s="53" t="n">
        <v>1.023943</v>
      </c>
      <c r="Q2243" s="53" t="n">
        <v>0.537051</v>
      </c>
      <c r="R2243" s="53" t="n">
        <v>-2.143522</v>
      </c>
      <c r="S2243" s="53" t="n">
        <v>0.846003</v>
      </c>
    </row>
    <row r="2244" customFormat="false" ht="15" hidden="false" customHeight="false" outlineLevel="0" collapsed="false">
      <c r="A2244" s="43" t="n">
        <v>241</v>
      </c>
      <c r="B2244" s="44" t="str">
        <f aca="false">'Model Inputs &amp; Assumptions'!$B$32</f>
        <v>Trade Republic — In-App Display</v>
      </c>
      <c r="C2244" s="45" t="n">
        <f aca="false">ROUND(MAX(0,'Model Inputs &amp; Assumptions'!$S$32*EXP('Model Inputs &amp; Assumptions'!$T$32*P2244-'Model Inputs &amp; Assumptions'!$T$32^2/2)),0)</f>
        <v>1482732</v>
      </c>
      <c r="D2244" s="46" t="n">
        <f aca="false">MIN(1,'Model Inputs &amp; Assumptions'!$U$32*EXP('Model Inputs &amp; Assumptions'!$V$32*Q2244-'Model Inputs &amp; Assumptions'!$V$32^2/2))</f>
        <v>0</v>
      </c>
      <c r="E2244" s="45" t="n">
        <f aca="false">ROUND(C2244*D2244,0)</f>
        <v>0</v>
      </c>
      <c r="F2244" s="47" t="n">
        <f aca="false">MIN(1,'Model Inputs &amp; Assumptions'!$W$32*EXP('Model Inputs &amp; Assumptions'!$X$32*R2244-'Model Inputs &amp; Assumptions'!$X$32^2/2))</f>
        <v>0.00290568559753614</v>
      </c>
      <c r="G2244" s="45" t="n">
        <f aca="false">ROUND(C2244*F2244,0)</f>
        <v>4308</v>
      </c>
      <c r="H2244" s="48" t="n">
        <f aca="false">MAX(0,(C2244*'Model Inputs &amp; Assumptions'!$N$32+E2244*'Model Inputs &amp; Assumptions'!$O$32+G2244*'Model Inputs &amp; Assumptions'!$P$32)*EXP('Model Inputs &amp; Assumptions'!$Q$32*S2244-'Model Inputs &amp; Assumptions'!$Q$32^2/2))</f>
        <v>165.832089776038</v>
      </c>
      <c r="I2244" s="49" t="n">
        <f aca="false">IF('Model Inputs &amp; Assumptions'!$H$32="Fixed",'Model Inputs &amp; Assumptions'!$I$32*'Model Inputs &amp; Assumptions'!$K$32,IF('Model Inputs &amp; Assumptions'!$H$32="CPM",'Model Inputs &amp; Assumptions'!$I$32*'Model Inputs &amp; Assumptions'!$K$32*C2244/1000,IF('Model Inputs &amp; Assumptions'!$H$32="CPC",'Model Inputs &amp; Assumptions'!$I$32*'Model Inputs &amp; Assumptions'!$K$32*G2244,0)))</f>
        <v>17792.784</v>
      </c>
      <c r="J2244" s="50" t="n">
        <f aca="false">H2244*INDEX('Model Inputs &amp; Assumptions'!$D$40:$D$42,MATCH('Model Inputs &amp; Assumptions'!$L$32,'Model Inputs &amp; Assumptions'!$A$40:$A$42,0))*INDEX('Model Inputs &amp; Assumptions'!$H$40:$H$42,MATCH('Model Inputs &amp; Assumptions'!$L$32,'Model Inputs &amp; Assumptions'!$A$40:$A$42,0))</f>
        <v>895493.284790607</v>
      </c>
      <c r="K2244" s="49" t="n">
        <f aca="false">H2244*INDEX('Model Inputs &amp; Assumptions'!$G$40:$G$42,MATCH('Model Inputs &amp; Assumptions'!$L$32,'Model Inputs &amp; Assumptions'!$A$40:$A$42,0))*INDEX('Model Inputs &amp; Assumptions'!$H$40:$H$42,MATCH('Model Inputs &amp; Assumptions'!$L$32,'Model Inputs &amp; Assumptions'!$A$40:$A$42,0))</f>
        <v>18805.3589806028</v>
      </c>
      <c r="L2244" s="51" t="n">
        <f aca="false">IFERROR(K2244/I2244,0)</f>
        <v>1.05690930551412</v>
      </c>
      <c r="M2244" s="49" t="n">
        <f aca="false">IFERROR(I2244/H2244,0)</f>
        <v>107.293974429375</v>
      </c>
      <c r="N2244" s="52" t="str">
        <f aca="false">'Model Inputs &amp; Assumptions'!$L$32</f>
        <v>PRD-SP01</v>
      </c>
      <c r="P2244" s="53" t="n">
        <v>0.855215</v>
      </c>
      <c r="Q2244" s="53" t="n">
        <v>0.800222</v>
      </c>
      <c r="R2244" s="53" t="n">
        <v>-0.470312</v>
      </c>
      <c r="S2244" s="53" t="n">
        <v>-0.417716</v>
      </c>
    </row>
    <row r="2245" customFormat="false" ht="15" hidden="false" customHeight="false" outlineLevel="0" collapsed="false">
      <c r="A2245" s="43" t="n">
        <v>242</v>
      </c>
      <c r="B2245" s="44" t="str">
        <f aca="false">'Model Inputs &amp; Assumptions'!$B$32</f>
        <v>Trade Republic — In-App Display</v>
      </c>
      <c r="C2245" s="45" t="n">
        <f aca="false">ROUND(MAX(0,'Model Inputs &amp; Assumptions'!$S$32*EXP('Model Inputs &amp; Assumptions'!$T$32*P2245-'Model Inputs &amp; Assumptions'!$T$32^2/2)),0)</f>
        <v>1947422</v>
      </c>
      <c r="D2245" s="46" t="n">
        <f aca="false">MIN(1,'Model Inputs &amp; Assumptions'!$U$32*EXP('Model Inputs &amp; Assumptions'!$V$32*Q2245-'Model Inputs &amp; Assumptions'!$V$32^2/2))</f>
        <v>0</v>
      </c>
      <c r="E2245" s="45" t="n">
        <f aca="false">ROUND(C2245*D2245,0)</f>
        <v>0</v>
      </c>
      <c r="F2245" s="47" t="n">
        <f aca="false">MIN(1,'Model Inputs &amp; Assumptions'!$W$32*EXP('Model Inputs &amp; Assumptions'!$X$32*R2245-'Model Inputs &amp; Assumptions'!$X$32^2/2))</f>
        <v>0.00271084845385654</v>
      </c>
      <c r="G2245" s="45" t="n">
        <f aca="false">ROUND(C2245*F2245,0)</f>
        <v>5279</v>
      </c>
      <c r="H2245" s="48" t="n">
        <f aca="false">MAX(0,(C2245*'Model Inputs &amp; Assumptions'!$N$32+E2245*'Model Inputs &amp; Assumptions'!$O$32+G2245*'Model Inputs &amp; Assumptions'!$P$32)*EXP('Model Inputs &amp; Assumptions'!$Q$32*S2245-'Model Inputs &amp; Assumptions'!$Q$32^2/2))</f>
        <v>282.275136210483</v>
      </c>
      <c r="I2245" s="49" t="n">
        <f aca="false">IF('Model Inputs &amp; Assumptions'!$H$32="Fixed",'Model Inputs &amp; Assumptions'!$I$32*'Model Inputs &amp; Assumptions'!$K$32,IF('Model Inputs &amp; Assumptions'!$H$32="CPM",'Model Inputs &amp; Assumptions'!$I$32*'Model Inputs &amp; Assumptions'!$K$32*C2245/1000,IF('Model Inputs &amp; Assumptions'!$H$32="CPC",'Model Inputs &amp; Assumptions'!$I$32*'Model Inputs &amp; Assumptions'!$K$32*G2245,0)))</f>
        <v>23369.064</v>
      </c>
      <c r="J2245" s="50" t="n">
        <f aca="false">H2245*INDEX('Model Inputs &amp; Assumptions'!$D$40:$D$42,MATCH('Model Inputs &amp; Assumptions'!$L$32,'Model Inputs &amp; Assumptions'!$A$40:$A$42,0))*INDEX('Model Inputs &amp; Assumptions'!$H$40:$H$42,MATCH('Model Inputs &amp; Assumptions'!$L$32,'Model Inputs &amp; Assumptions'!$A$40:$A$42,0))</f>
        <v>1524285.73553661</v>
      </c>
      <c r="K2245" s="49" t="n">
        <f aca="false">H2245*INDEX('Model Inputs &amp; Assumptions'!$G$40:$G$42,MATCH('Model Inputs &amp; Assumptions'!$L$32,'Model Inputs &amp; Assumptions'!$A$40:$A$42,0))*INDEX('Model Inputs &amp; Assumptions'!$H$40:$H$42,MATCH('Model Inputs &amp; Assumptions'!$L$32,'Model Inputs &amp; Assumptions'!$A$40:$A$42,0))</f>
        <v>32010.0004462688</v>
      </c>
      <c r="L2245" s="51" t="n">
        <f aca="false">IFERROR(K2245/I2245,0)</f>
        <v>1.36975962949431</v>
      </c>
      <c r="M2245" s="49" t="n">
        <f aca="false">IFERROR(I2245/H2245,0)</f>
        <v>82.7882480679223</v>
      </c>
      <c r="N2245" s="52" t="str">
        <f aca="false">'Model Inputs &amp; Assumptions'!$L$32</f>
        <v>PRD-SP01</v>
      </c>
      <c r="P2245" s="53" t="n">
        <v>1.76395</v>
      </c>
      <c r="Q2245" s="53" t="n">
        <v>-0.33907</v>
      </c>
      <c r="R2245" s="53" t="n">
        <v>-0.701671</v>
      </c>
      <c r="S2245" s="53" t="n">
        <v>0.756011</v>
      </c>
    </row>
    <row r="2246" customFormat="false" ht="15" hidden="false" customHeight="false" outlineLevel="0" collapsed="false">
      <c r="A2246" s="43" t="n">
        <v>243</v>
      </c>
      <c r="B2246" s="44" t="str">
        <f aca="false">'Model Inputs &amp; Assumptions'!$B$32</f>
        <v>Trade Republic — In-App Display</v>
      </c>
      <c r="C2246" s="45" t="n">
        <f aca="false">ROUND(MAX(0,'Model Inputs &amp; Assumptions'!$S$32*EXP('Model Inputs &amp; Assumptions'!$T$32*P2246-'Model Inputs &amp; Assumptions'!$T$32^2/2)),0)</f>
        <v>1181255</v>
      </c>
      <c r="D2246" s="46" t="n">
        <f aca="false">MIN(1,'Model Inputs &amp; Assumptions'!$U$32*EXP('Model Inputs &amp; Assumptions'!$V$32*Q2246-'Model Inputs &amp; Assumptions'!$V$32^2/2))</f>
        <v>0</v>
      </c>
      <c r="E2246" s="45" t="n">
        <f aca="false">ROUND(C2246*D2246,0)</f>
        <v>0</v>
      </c>
      <c r="F2246" s="47" t="n">
        <f aca="false">MIN(1,'Model Inputs &amp; Assumptions'!$W$32*EXP('Model Inputs &amp; Assumptions'!$X$32*R2246-'Model Inputs &amp; Assumptions'!$X$32^2/2))</f>
        <v>0.00257917471149405</v>
      </c>
      <c r="G2246" s="45" t="n">
        <f aca="false">ROUND(C2246*F2246,0)</f>
        <v>3047</v>
      </c>
      <c r="H2246" s="48" t="n">
        <f aca="false">MAX(0,(C2246*'Model Inputs &amp; Assumptions'!$N$32+E2246*'Model Inputs &amp; Assumptions'!$O$32+G2246*'Model Inputs &amp; Assumptions'!$P$32)*EXP('Model Inputs &amp; Assumptions'!$Q$32*S2246-'Model Inputs &amp; Assumptions'!$Q$32^2/2))</f>
        <v>248.842635261175</v>
      </c>
      <c r="I2246" s="49" t="n">
        <f aca="false">IF('Model Inputs &amp; Assumptions'!$H$32="Fixed",'Model Inputs &amp; Assumptions'!$I$32*'Model Inputs &amp; Assumptions'!$K$32,IF('Model Inputs &amp; Assumptions'!$H$32="CPM",'Model Inputs &amp; Assumptions'!$I$32*'Model Inputs &amp; Assumptions'!$K$32*C2246/1000,IF('Model Inputs &amp; Assumptions'!$H$32="CPC",'Model Inputs &amp; Assumptions'!$I$32*'Model Inputs &amp; Assumptions'!$K$32*G2246,0)))</f>
        <v>14175.06</v>
      </c>
      <c r="J2246" s="50" t="n">
        <f aca="false">H2246*INDEX('Model Inputs &amp; Assumptions'!$D$40:$D$42,MATCH('Model Inputs &amp; Assumptions'!$L$32,'Model Inputs &amp; Assumptions'!$A$40:$A$42,0))*INDEX('Model Inputs &amp; Assumptions'!$H$40:$H$42,MATCH('Model Inputs &amp; Assumptions'!$L$32,'Model Inputs &amp; Assumptions'!$A$40:$A$42,0))</f>
        <v>1343750.23041034</v>
      </c>
      <c r="K2246" s="49" t="n">
        <f aca="false">H2246*INDEX('Model Inputs &amp; Assumptions'!$G$40:$G$42,MATCH('Model Inputs &amp; Assumptions'!$L$32,'Model Inputs &amp; Assumptions'!$A$40:$A$42,0))*INDEX('Model Inputs &amp; Assumptions'!$H$40:$H$42,MATCH('Model Inputs &amp; Assumptions'!$L$32,'Model Inputs &amp; Assumptions'!$A$40:$A$42,0))</f>
        <v>28218.7548386172</v>
      </c>
      <c r="L2246" s="51" t="n">
        <f aca="false">IFERROR(K2246/I2246,0)</f>
        <v>1.99073265570779</v>
      </c>
      <c r="M2246" s="49" t="n">
        <f aca="false">IFERROR(I2246/H2246,0)</f>
        <v>56.9639522790074</v>
      </c>
      <c r="N2246" s="52" t="str">
        <f aca="false">'Model Inputs &amp; Assumptions'!$L$32</f>
        <v>PRD-SP01</v>
      </c>
      <c r="P2246" s="53" t="n">
        <v>0.09752</v>
      </c>
      <c r="Q2246" s="53" t="n">
        <v>0.45896</v>
      </c>
      <c r="R2246" s="53" t="n">
        <v>-0.867645</v>
      </c>
      <c r="S2246" s="53" t="n">
        <v>2.268574</v>
      </c>
    </row>
    <row r="2247" customFormat="false" ht="15" hidden="false" customHeight="false" outlineLevel="0" collapsed="false">
      <c r="A2247" s="43" t="n">
        <v>244</v>
      </c>
      <c r="B2247" s="44" t="str">
        <f aca="false">'Model Inputs &amp; Assumptions'!$B$32</f>
        <v>Trade Republic — In-App Display</v>
      </c>
      <c r="C2247" s="45" t="n">
        <f aca="false">ROUND(MAX(0,'Model Inputs &amp; Assumptions'!$S$32*EXP('Model Inputs &amp; Assumptions'!$T$32*P2247-'Model Inputs &amp; Assumptions'!$T$32^2/2)),0)</f>
        <v>1124509</v>
      </c>
      <c r="D2247" s="46" t="n">
        <f aca="false">MIN(1,'Model Inputs &amp; Assumptions'!$U$32*EXP('Model Inputs &amp; Assumptions'!$V$32*Q2247-'Model Inputs &amp; Assumptions'!$V$32^2/2))</f>
        <v>0</v>
      </c>
      <c r="E2247" s="45" t="n">
        <f aca="false">ROUND(C2247*D2247,0)</f>
        <v>0</v>
      </c>
      <c r="F2247" s="47" t="n">
        <f aca="false">MIN(1,'Model Inputs &amp; Assumptions'!$W$32*EXP('Model Inputs &amp; Assumptions'!$X$32*R2247-'Model Inputs &amp; Assumptions'!$X$32^2/2))</f>
        <v>0.00262147298680046</v>
      </c>
      <c r="G2247" s="45" t="n">
        <f aca="false">ROUND(C2247*F2247,0)</f>
        <v>2948</v>
      </c>
      <c r="H2247" s="48" t="n">
        <f aca="false">MAX(0,(C2247*'Model Inputs &amp; Assumptions'!$N$32+E2247*'Model Inputs &amp; Assumptions'!$O$32+G2247*'Model Inputs &amp; Assumptions'!$P$32)*EXP('Model Inputs &amp; Assumptions'!$Q$32*S2247-'Model Inputs &amp; Assumptions'!$Q$32^2/2))</f>
        <v>143.577210691122</v>
      </c>
      <c r="I2247" s="49" t="n">
        <f aca="false">IF('Model Inputs &amp; Assumptions'!$H$32="Fixed",'Model Inputs &amp; Assumptions'!$I$32*'Model Inputs &amp; Assumptions'!$K$32,IF('Model Inputs &amp; Assumptions'!$H$32="CPM",'Model Inputs &amp; Assumptions'!$I$32*'Model Inputs &amp; Assumptions'!$K$32*C2247/1000,IF('Model Inputs &amp; Assumptions'!$H$32="CPC",'Model Inputs &amp; Assumptions'!$I$32*'Model Inputs &amp; Assumptions'!$K$32*G2247,0)))</f>
        <v>13494.108</v>
      </c>
      <c r="J2247" s="50" t="n">
        <f aca="false">H2247*INDEX('Model Inputs &amp; Assumptions'!$D$40:$D$42,MATCH('Model Inputs &amp; Assumptions'!$L$32,'Model Inputs &amp; Assumptions'!$A$40:$A$42,0))*INDEX('Model Inputs &amp; Assumptions'!$H$40:$H$42,MATCH('Model Inputs &amp; Assumptions'!$L$32,'Model Inputs &amp; Assumptions'!$A$40:$A$42,0))</f>
        <v>775316.937732059</v>
      </c>
      <c r="K2247" s="49" t="n">
        <f aca="false">H2247*INDEX('Model Inputs &amp; Assumptions'!$G$40:$G$42,MATCH('Model Inputs &amp; Assumptions'!$L$32,'Model Inputs &amp; Assumptions'!$A$40:$A$42,0))*INDEX('Model Inputs &amp; Assumptions'!$H$40:$H$42,MATCH('Model Inputs &amp; Assumptions'!$L$32,'Model Inputs &amp; Assumptions'!$A$40:$A$42,0))</f>
        <v>16281.6556923732</v>
      </c>
      <c r="L2247" s="51" t="n">
        <f aca="false">IFERROR(K2247/I2247,0)</f>
        <v>1.20657517283641</v>
      </c>
      <c r="M2247" s="49" t="n">
        <f aca="false">IFERROR(I2247/H2247,0)</f>
        <v>93.9850268370926</v>
      </c>
      <c r="N2247" s="52" t="str">
        <f aca="false">'Model Inputs &amp; Assumptions'!$L$32</f>
        <v>PRD-SP01</v>
      </c>
      <c r="P2247" s="53" t="n">
        <v>-0.066584</v>
      </c>
      <c r="Q2247" s="53" t="n">
        <v>0.301294</v>
      </c>
      <c r="R2247" s="53" t="n">
        <v>-0.813422</v>
      </c>
      <c r="S2247" s="53" t="n">
        <v>0.422441</v>
      </c>
    </row>
    <row r="2248" customFormat="false" ht="15" hidden="false" customHeight="false" outlineLevel="0" collapsed="false">
      <c r="A2248" s="43" t="n">
        <v>245</v>
      </c>
      <c r="B2248" s="44" t="str">
        <f aca="false">'Model Inputs &amp; Assumptions'!$B$32</f>
        <v>Trade Republic — In-App Display</v>
      </c>
      <c r="C2248" s="45" t="n">
        <f aca="false">ROUND(MAX(0,'Model Inputs &amp; Assumptions'!$S$32*EXP('Model Inputs &amp; Assumptions'!$T$32*P2248-'Model Inputs &amp; Assumptions'!$T$32^2/2)),0)</f>
        <v>1264503</v>
      </c>
      <c r="D2248" s="46" t="n">
        <f aca="false">MIN(1,'Model Inputs &amp; Assumptions'!$U$32*EXP('Model Inputs &amp; Assumptions'!$V$32*Q2248-'Model Inputs &amp; Assumptions'!$V$32^2/2))</f>
        <v>0</v>
      </c>
      <c r="E2248" s="45" t="n">
        <f aca="false">ROUND(C2248*D2248,0)</f>
        <v>0</v>
      </c>
      <c r="F2248" s="47" t="n">
        <f aca="false">MIN(1,'Model Inputs &amp; Assumptions'!$W$32*EXP('Model Inputs &amp; Assumptions'!$X$32*R2248-'Model Inputs &amp; Assumptions'!$X$32^2/2))</f>
        <v>0.00308058516783129</v>
      </c>
      <c r="G2248" s="45" t="n">
        <f aca="false">ROUND(C2248*F2248,0)</f>
        <v>3895</v>
      </c>
      <c r="H2248" s="48" t="n">
        <f aca="false">MAX(0,(C2248*'Model Inputs &amp; Assumptions'!$N$32+E2248*'Model Inputs &amp; Assumptions'!$O$32+G2248*'Model Inputs &amp; Assumptions'!$P$32)*EXP('Model Inputs &amp; Assumptions'!$Q$32*S2248-'Model Inputs &amp; Assumptions'!$Q$32^2/2))</f>
        <v>117.297608680137</v>
      </c>
      <c r="I2248" s="49" t="n">
        <f aca="false">IF('Model Inputs &amp; Assumptions'!$H$32="Fixed",'Model Inputs &amp; Assumptions'!$I$32*'Model Inputs &amp; Assumptions'!$K$32,IF('Model Inputs &amp; Assumptions'!$H$32="CPM",'Model Inputs &amp; Assumptions'!$I$32*'Model Inputs &amp; Assumptions'!$K$32*C2248/1000,IF('Model Inputs &amp; Assumptions'!$H$32="CPC",'Model Inputs &amp; Assumptions'!$I$32*'Model Inputs &amp; Assumptions'!$K$32*G2248,0)))</f>
        <v>15174.036</v>
      </c>
      <c r="J2248" s="50" t="n">
        <f aca="false">H2248*INDEX('Model Inputs &amp; Assumptions'!$D$40:$D$42,MATCH('Model Inputs &amp; Assumptions'!$L$32,'Model Inputs &amp; Assumptions'!$A$40:$A$42,0))*INDEX('Model Inputs &amp; Assumptions'!$H$40:$H$42,MATCH('Model Inputs &amp; Assumptions'!$L$32,'Model Inputs &amp; Assumptions'!$A$40:$A$42,0))</f>
        <v>633407.08687274</v>
      </c>
      <c r="K2248" s="49" t="n">
        <f aca="false">H2248*INDEX('Model Inputs &amp; Assumptions'!$G$40:$G$42,MATCH('Model Inputs &amp; Assumptions'!$L$32,'Model Inputs &amp; Assumptions'!$A$40:$A$42,0))*INDEX('Model Inputs &amp; Assumptions'!$H$40:$H$42,MATCH('Model Inputs &amp; Assumptions'!$L$32,'Model Inputs &amp; Assumptions'!$A$40:$A$42,0))</f>
        <v>13301.5488243275</v>
      </c>
      <c r="L2248" s="51" t="n">
        <f aca="false">IFERROR(K2248/I2248,0)</f>
        <v>0.876599266294579</v>
      </c>
      <c r="M2248" s="49" t="n">
        <f aca="false">IFERROR(I2248/H2248,0)</f>
        <v>129.363557967994</v>
      </c>
      <c r="N2248" s="52" t="str">
        <f aca="false">'Model Inputs &amp; Assumptions'!$L$32</f>
        <v>PRD-SP01</v>
      </c>
      <c r="P2248" s="53" t="n">
        <v>0.324525</v>
      </c>
      <c r="Q2248" s="53" t="n">
        <v>-0.450683</v>
      </c>
      <c r="R2248" s="53" t="n">
        <v>-0.275478</v>
      </c>
      <c r="S2248" s="53" t="n">
        <v>-1.294435</v>
      </c>
    </row>
    <row r="2249" customFormat="false" ht="15" hidden="false" customHeight="false" outlineLevel="0" collapsed="false">
      <c r="A2249" s="43" t="n">
        <v>246</v>
      </c>
      <c r="B2249" s="44" t="str">
        <f aca="false">'Model Inputs &amp; Assumptions'!$B$32</f>
        <v>Trade Republic — In-App Display</v>
      </c>
      <c r="C2249" s="45" t="n">
        <f aca="false">ROUND(MAX(0,'Model Inputs &amp; Assumptions'!$S$32*EXP('Model Inputs &amp; Assumptions'!$T$32*P2249-'Model Inputs &amp; Assumptions'!$T$32^2/2)),0)</f>
        <v>1671115</v>
      </c>
      <c r="D2249" s="46" t="n">
        <f aca="false">MIN(1,'Model Inputs &amp; Assumptions'!$U$32*EXP('Model Inputs &amp; Assumptions'!$V$32*Q2249-'Model Inputs &amp; Assumptions'!$V$32^2/2))</f>
        <v>0</v>
      </c>
      <c r="E2249" s="45" t="n">
        <f aca="false">ROUND(C2249*D2249,0)</f>
        <v>0</v>
      </c>
      <c r="F2249" s="47" t="n">
        <f aca="false">MIN(1,'Model Inputs &amp; Assumptions'!$W$32*EXP('Model Inputs &amp; Assumptions'!$X$32*R2249-'Model Inputs &amp; Assumptions'!$X$32^2/2))</f>
        <v>0.00306495463559927</v>
      </c>
      <c r="G2249" s="45" t="n">
        <f aca="false">ROUND(C2249*F2249,0)</f>
        <v>5122</v>
      </c>
      <c r="H2249" s="48" t="n">
        <f aca="false">MAX(0,(C2249*'Model Inputs &amp; Assumptions'!$N$32+E2249*'Model Inputs &amp; Assumptions'!$O$32+G2249*'Model Inputs &amp; Assumptions'!$P$32)*EXP('Model Inputs &amp; Assumptions'!$Q$32*S2249-'Model Inputs &amp; Assumptions'!$Q$32^2/2))</f>
        <v>229.886722687895</v>
      </c>
      <c r="I2249" s="49" t="n">
        <f aca="false">IF('Model Inputs &amp; Assumptions'!$H$32="Fixed",'Model Inputs &amp; Assumptions'!$I$32*'Model Inputs &amp; Assumptions'!$K$32,IF('Model Inputs &amp; Assumptions'!$H$32="CPM",'Model Inputs &amp; Assumptions'!$I$32*'Model Inputs &amp; Assumptions'!$K$32*C2249/1000,IF('Model Inputs &amp; Assumptions'!$H$32="CPC",'Model Inputs &amp; Assumptions'!$I$32*'Model Inputs &amp; Assumptions'!$K$32*G2249,0)))</f>
        <v>20053.38</v>
      </c>
      <c r="J2249" s="50" t="n">
        <f aca="false">H2249*INDEX('Model Inputs &amp; Assumptions'!$D$40:$D$42,MATCH('Model Inputs &amp; Assumptions'!$L$32,'Model Inputs &amp; Assumptions'!$A$40:$A$42,0))*INDEX('Model Inputs &amp; Assumptions'!$H$40:$H$42,MATCH('Model Inputs &amp; Assumptions'!$L$32,'Model Inputs &amp; Assumptions'!$A$40:$A$42,0))</f>
        <v>1241388.30251463</v>
      </c>
      <c r="K2249" s="49" t="n">
        <f aca="false">H2249*INDEX('Model Inputs &amp; Assumptions'!$G$40:$G$42,MATCH('Model Inputs &amp; Assumptions'!$L$32,'Model Inputs &amp; Assumptions'!$A$40:$A$42,0))*INDEX('Model Inputs &amp; Assumptions'!$H$40:$H$42,MATCH('Model Inputs &amp; Assumptions'!$L$32,'Model Inputs &amp; Assumptions'!$A$40:$A$42,0))</f>
        <v>26069.1543528073</v>
      </c>
      <c r="L2249" s="51" t="n">
        <f aca="false">IFERROR(K2249/I2249,0)</f>
        <v>1.29998804953615</v>
      </c>
      <c r="M2249" s="49" t="n">
        <f aca="false">IFERROR(I2249/H2249,0)</f>
        <v>87.2315711213361</v>
      </c>
      <c r="N2249" s="52" t="str">
        <f aca="false">'Model Inputs &amp; Assumptions'!$L$32</f>
        <v>PRD-SP01</v>
      </c>
      <c r="P2249" s="53" t="n">
        <v>1.253899</v>
      </c>
      <c r="Q2249" s="53" t="n">
        <v>-0.088319</v>
      </c>
      <c r="R2249" s="53" t="n">
        <v>-0.292434</v>
      </c>
      <c r="S2249" s="53" t="n">
        <v>0.13064</v>
      </c>
    </row>
    <row r="2250" customFormat="false" ht="15" hidden="false" customHeight="false" outlineLevel="0" collapsed="false">
      <c r="A2250" s="43" t="n">
        <v>247</v>
      </c>
      <c r="B2250" s="44" t="str">
        <f aca="false">'Model Inputs &amp; Assumptions'!$B$32</f>
        <v>Trade Republic — In-App Display</v>
      </c>
      <c r="C2250" s="45" t="n">
        <f aca="false">ROUND(MAX(0,'Model Inputs &amp; Assumptions'!$S$32*EXP('Model Inputs &amp; Assumptions'!$T$32*P2250-'Model Inputs &amp; Assumptions'!$T$32^2/2)),0)</f>
        <v>904527</v>
      </c>
      <c r="D2250" s="46" t="n">
        <f aca="false">MIN(1,'Model Inputs &amp; Assumptions'!$U$32*EXP('Model Inputs &amp; Assumptions'!$V$32*Q2250-'Model Inputs &amp; Assumptions'!$V$32^2/2))</f>
        <v>0</v>
      </c>
      <c r="E2250" s="45" t="n">
        <f aca="false">ROUND(C2250*D2250,0)</f>
        <v>0</v>
      </c>
      <c r="F2250" s="47" t="n">
        <f aca="false">MIN(1,'Model Inputs &amp; Assumptions'!$W$32*EXP('Model Inputs &amp; Assumptions'!$X$32*R2250-'Model Inputs &amp; Assumptions'!$X$32^2/2))</f>
        <v>0.0036236832049075</v>
      </c>
      <c r="G2250" s="45" t="n">
        <f aca="false">ROUND(C2250*F2250,0)</f>
        <v>3278</v>
      </c>
      <c r="H2250" s="48" t="n">
        <f aca="false">MAX(0,(C2250*'Model Inputs &amp; Assumptions'!$N$32+E2250*'Model Inputs &amp; Assumptions'!$O$32+G2250*'Model Inputs &amp; Assumptions'!$P$32)*EXP('Model Inputs &amp; Assumptions'!$Q$32*S2250-'Model Inputs &amp; Assumptions'!$Q$32^2/2))</f>
        <v>172.986481545996</v>
      </c>
      <c r="I2250" s="49" t="n">
        <f aca="false">IF('Model Inputs &amp; Assumptions'!$H$32="Fixed",'Model Inputs &amp; Assumptions'!$I$32*'Model Inputs &amp; Assumptions'!$K$32,IF('Model Inputs &amp; Assumptions'!$H$32="CPM",'Model Inputs &amp; Assumptions'!$I$32*'Model Inputs &amp; Assumptions'!$K$32*C2250/1000,IF('Model Inputs &amp; Assumptions'!$H$32="CPC",'Model Inputs &amp; Assumptions'!$I$32*'Model Inputs &amp; Assumptions'!$K$32*G2250,0)))</f>
        <v>10854.324</v>
      </c>
      <c r="J2250" s="50" t="n">
        <f aca="false">H2250*INDEX('Model Inputs &amp; Assumptions'!$D$40:$D$42,MATCH('Model Inputs &amp; Assumptions'!$L$32,'Model Inputs &amp; Assumptions'!$A$40:$A$42,0))*INDEX('Model Inputs &amp; Assumptions'!$H$40:$H$42,MATCH('Model Inputs &amp; Assumptions'!$L$32,'Model Inputs &amp; Assumptions'!$A$40:$A$42,0))</f>
        <v>934127.000348376</v>
      </c>
      <c r="K2250" s="49" t="n">
        <f aca="false">H2250*INDEX('Model Inputs &amp; Assumptions'!$G$40:$G$42,MATCH('Model Inputs &amp; Assumptions'!$L$32,'Model Inputs &amp; Assumptions'!$A$40:$A$42,0))*INDEX('Model Inputs &amp; Assumptions'!$H$40:$H$42,MATCH('Model Inputs &amp; Assumptions'!$L$32,'Model Inputs &amp; Assumptions'!$A$40:$A$42,0))</f>
        <v>19616.6670073159</v>
      </c>
      <c r="L2250" s="51" t="n">
        <f aca="false">IFERROR(K2250/I2250,0)</f>
        <v>1.80726750070441</v>
      </c>
      <c r="M2250" s="49" t="n">
        <f aca="false">IFERROR(I2250/H2250,0)</f>
        <v>62.7466603343449</v>
      </c>
      <c r="N2250" s="52" t="str">
        <f aca="false">'Model Inputs &amp; Assumptions'!$L$32</f>
        <v>PRD-SP01</v>
      </c>
      <c r="P2250" s="53" t="n">
        <v>-0.792216</v>
      </c>
      <c r="Q2250" s="53" t="n">
        <v>2.197871</v>
      </c>
      <c r="R2250" s="53" t="n">
        <v>0.26576</v>
      </c>
      <c r="S2250" s="53" t="n">
        <v>0.708991</v>
      </c>
    </row>
    <row r="2251" customFormat="false" ht="15" hidden="false" customHeight="false" outlineLevel="0" collapsed="false">
      <c r="A2251" s="43" t="n">
        <v>248</v>
      </c>
      <c r="B2251" s="44" t="str">
        <f aca="false">'Model Inputs &amp; Assumptions'!$B$32</f>
        <v>Trade Republic — In-App Display</v>
      </c>
      <c r="C2251" s="45" t="n">
        <f aca="false">ROUND(MAX(0,'Model Inputs &amp; Assumptions'!$S$32*EXP('Model Inputs &amp; Assumptions'!$T$32*P2251-'Model Inputs &amp; Assumptions'!$T$32^2/2)),0)</f>
        <v>1691763</v>
      </c>
      <c r="D2251" s="46" t="n">
        <f aca="false">MIN(1,'Model Inputs &amp; Assumptions'!$U$32*EXP('Model Inputs &amp; Assumptions'!$V$32*Q2251-'Model Inputs &amp; Assumptions'!$V$32^2/2))</f>
        <v>0</v>
      </c>
      <c r="E2251" s="45" t="n">
        <f aca="false">ROUND(C2251*D2251,0)</f>
        <v>0</v>
      </c>
      <c r="F2251" s="47" t="n">
        <f aca="false">MIN(1,'Model Inputs &amp; Assumptions'!$W$32*EXP('Model Inputs &amp; Assumptions'!$X$32*R2251-'Model Inputs &amp; Assumptions'!$X$32^2/2))</f>
        <v>0.00268985467635716</v>
      </c>
      <c r="G2251" s="45" t="n">
        <f aca="false">ROUND(C2251*F2251,0)</f>
        <v>4551</v>
      </c>
      <c r="H2251" s="48" t="n">
        <f aca="false">MAX(0,(C2251*'Model Inputs &amp; Assumptions'!$N$32+E2251*'Model Inputs &amp; Assumptions'!$O$32+G2251*'Model Inputs &amp; Assumptions'!$P$32)*EXP('Model Inputs &amp; Assumptions'!$Q$32*S2251-'Model Inputs &amp; Assumptions'!$Q$32^2/2))</f>
        <v>136.71900468168</v>
      </c>
      <c r="I2251" s="49" t="n">
        <f aca="false">IF('Model Inputs &amp; Assumptions'!$H$32="Fixed",'Model Inputs &amp; Assumptions'!$I$32*'Model Inputs &amp; Assumptions'!$K$32,IF('Model Inputs &amp; Assumptions'!$H$32="CPM",'Model Inputs &amp; Assumptions'!$I$32*'Model Inputs &amp; Assumptions'!$K$32*C2251/1000,IF('Model Inputs &amp; Assumptions'!$H$32="CPC",'Model Inputs &amp; Assumptions'!$I$32*'Model Inputs &amp; Assumptions'!$K$32*G2251,0)))</f>
        <v>20301.156</v>
      </c>
      <c r="J2251" s="50" t="n">
        <f aca="false">H2251*INDEX('Model Inputs &amp; Assumptions'!$D$40:$D$42,MATCH('Model Inputs &amp; Assumptions'!$L$32,'Model Inputs &amp; Assumptions'!$A$40:$A$42,0))*INDEX('Model Inputs &amp; Assumptions'!$H$40:$H$42,MATCH('Model Inputs &amp; Assumptions'!$L$32,'Model Inputs &amp; Assumptions'!$A$40:$A$42,0))</f>
        <v>738282.62528107</v>
      </c>
      <c r="K2251" s="49" t="n">
        <f aca="false">H2251*INDEX('Model Inputs &amp; Assumptions'!$G$40:$G$42,MATCH('Model Inputs &amp; Assumptions'!$L$32,'Model Inputs &amp; Assumptions'!$A$40:$A$42,0))*INDEX('Model Inputs &amp; Assumptions'!$H$40:$H$42,MATCH('Model Inputs &amp; Assumptions'!$L$32,'Model Inputs &amp; Assumptions'!$A$40:$A$42,0))</f>
        <v>15503.9351309025</v>
      </c>
      <c r="L2251" s="51" t="n">
        <f aca="false">IFERROR(K2251/I2251,0)</f>
        <v>0.763697157487114</v>
      </c>
      <c r="M2251" s="49" t="n">
        <f aca="false">IFERROR(I2251/H2251,0)</f>
        <v>148.488178708343</v>
      </c>
      <c r="N2251" s="52" t="str">
        <f aca="false">'Model Inputs &amp; Assumptions'!$L$32</f>
        <v>PRD-SP01</v>
      </c>
      <c r="P2251" s="53" t="n">
        <v>1.294833</v>
      </c>
      <c r="Q2251" s="53" t="n">
        <v>1.257484</v>
      </c>
      <c r="R2251" s="53" t="n">
        <v>-0.727586</v>
      </c>
      <c r="S2251" s="53" t="n">
        <v>-1.303149</v>
      </c>
    </row>
    <row r="2252" customFormat="false" ht="15" hidden="false" customHeight="false" outlineLevel="0" collapsed="false">
      <c r="A2252" s="43" t="n">
        <v>249</v>
      </c>
      <c r="B2252" s="44" t="str">
        <f aca="false">'Model Inputs &amp; Assumptions'!$B$32</f>
        <v>Trade Republic — In-App Display</v>
      </c>
      <c r="C2252" s="45" t="n">
        <f aca="false">ROUND(MAX(0,'Model Inputs &amp; Assumptions'!$S$32*EXP('Model Inputs &amp; Assumptions'!$T$32*P2252-'Model Inputs &amp; Assumptions'!$T$32^2/2)),0)</f>
        <v>675092</v>
      </c>
      <c r="D2252" s="46" t="n">
        <f aca="false">MIN(1,'Model Inputs &amp; Assumptions'!$U$32*EXP('Model Inputs &amp; Assumptions'!$V$32*Q2252-'Model Inputs &amp; Assumptions'!$V$32^2/2))</f>
        <v>0</v>
      </c>
      <c r="E2252" s="45" t="n">
        <f aca="false">ROUND(C2252*D2252,0)</f>
        <v>0</v>
      </c>
      <c r="F2252" s="47" t="n">
        <f aca="false">MIN(1,'Model Inputs &amp; Assumptions'!$W$32*EXP('Model Inputs &amp; Assumptions'!$X$32*R2252-'Model Inputs &amp; Assumptions'!$X$32^2/2))</f>
        <v>0.00360219963464526</v>
      </c>
      <c r="G2252" s="45" t="n">
        <f aca="false">ROUND(C2252*F2252,0)</f>
        <v>2432</v>
      </c>
      <c r="H2252" s="48" t="n">
        <f aca="false">MAX(0,(C2252*'Model Inputs &amp; Assumptions'!$N$32+E2252*'Model Inputs &amp; Assumptions'!$O$32+G2252*'Model Inputs &amp; Assumptions'!$P$32)*EXP('Model Inputs &amp; Assumptions'!$Q$32*S2252-'Model Inputs &amp; Assumptions'!$Q$32^2/2))</f>
        <v>130.512866252263</v>
      </c>
      <c r="I2252" s="49" t="n">
        <f aca="false">IF('Model Inputs &amp; Assumptions'!$H$32="Fixed",'Model Inputs &amp; Assumptions'!$I$32*'Model Inputs &amp; Assumptions'!$K$32,IF('Model Inputs &amp; Assumptions'!$H$32="CPM",'Model Inputs &amp; Assumptions'!$I$32*'Model Inputs &amp; Assumptions'!$K$32*C2252/1000,IF('Model Inputs &amp; Assumptions'!$H$32="CPC",'Model Inputs &amp; Assumptions'!$I$32*'Model Inputs &amp; Assumptions'!$K$32*G2252,0)))</f>
        <v>8101.104</v>
      </c>
      <c r="J2252" s="50" t="n">
        <f aca="false">H2252*INDEX('Model Inputs &amp; Assumptions'!$D$40:$D$42,MATCH('Model Inputs &amp; Assumptions'!$L$32,'Model Inputs &amp; Assumptions'!$A$40:$A$42,0))*INDEX('Model Inputs &amp; Assumptions'!$H$40:$H$42,MATCH('Model Inputs &amp; Assumptions'!$L$32,'Model Inputs &amp; Assumptions'!$A$40:$A$42,0))</f>
        <v>704769.477762218</v>
      </c>
      <c r="K2252" s="49" t="n">
        <f aca="false">H2252*INDEX('Model Inputs &amp; Assumptions'!$G$40:$G$42,MATCH('Model Inputs &amp; Assumptions'!$L$32,'Model Inputs &amp; Assumptions'!$A$40:$A$42,0))*INDEX('Model Inputs &amp; Assumptions'!$H$40:$H$42,MATCH('Model Inputs &amp; Assumptions'!$L$32,'Model Inputs &amp; Assumptions'!$A$40:$A$42,0))</f>
        <v>14800.1590330066</v>
      </c>
      <c r="L2252" s="51" t="n">
        <f aca="false">IFERROR(K2252/I2252,0)</f>
        <v>1.82693112358594</v>
      </c>
      <c r="M2252" s="49" t="n">
        <f aca="false">IFERROR(I2252/H2252,0)</f>
        <v>62.0713055549767</v>
      </c>
      <c r="N2252" s="52" t="str">
        <f aca="false">'Model Inputs &amp; Assumptions'!$L$32</f>
        <v>PRD-SP01</v>
      </c>
      <c r="P2252" s="53" t="n">
        <v>-1.767428</v>
      </c>
      <c r="Q2252" s="53" t="n">
        <v>-1.702438</v>
      </c>
      <c r="R2252" s="53" t="n">
        <v>0.245939</v>
      </c>
      <c r="S2252" s="53" t="n">
        <v>0.768912</v>
      </c>
    </row>
    <row r="2253" customFormat="false" ht="15" hidden="false" customHeight="false" outlineLevel="0" collapsed="false">
      <c r="A2253" s="43" t="n">
        <v>250</v>
      </c>
      <c r="B2253" s="44" t="str">
        <f aca="false">'Model Inputs &amp; Assumptions'!$B$32</f>
        <v>Trade Republic — In-App Display</v>
      </c>
      <c r="C2253" s="45" t="n">
        <f aca="false">ROUND(MAX(0,'Model Inputs &amp; Assumptions'!$S$32*EXP('Model Inputs &amp; Assumptions'!$T$32*P2253-'Model Inputs &amp; Assumptions'!$T$32^2/2)),0)</f>
        <v>767984</v>
      </c>
      <c r="D2253" s="46" t="n">
        <f aca="false">MIN(1,'Model Inputs &amp; Assumptions'!$U$32*EXP('Model Inputs &amp; Assumptions'!$V$32*Q2253-'Model Inputs &amp; Assumptions'!$V$32^2/2))</f>
        <v>0</v>
      </c>
      <c r="E2253" s="45" t="n">
        <f aca="false">ROUND(C2253*D2253,0)</f>
        <v>0</v>
      </c>
      <c r="F2253" s="47" t="n">
        <f aca="false">MIN(1,'Model Inputs &amp; Assumptions'!$W$32*EXP('Model Inputs &amp; Assumptions'!$X$32*R2253-'Model Inputs &amp; Assumptions'!$X$32^2/2))</f>
        <v>0.00280937311720673</v>
      </c>
      <c r="G2253" s="45" t="n">
        <f aca="false">ROUND(C2253*F2253,0)</f>
        <v>2158</v>
      </c>
      <c r="H2253" s="48" t="n">
        <f aca="false">MAX(0,(C2253*'Model Inputs &amp; Assumptions'!$N$32+E2253*'Model Inputs &amp; Assumptions'!$O$32+G2253*'Model Inputs &amp; Assumptions'!$P$32)*EXP('Model Inputs &amp; Assumptions'!$Q$32*S2253-'Model Inputs &amp; Assumptions'!$Q$32^2/2))</f>
        <v>154.805980883295</v>
      </c>
      <c r="I2253" s="49" t="n">
        <f aca="false">IF('Model Inputs &amp; Assumptions'!$H$32="Fixed",'Model Inputs &amp; Assumptions'!$I$32*'Model Inputs &amp; Assumptions'!$K$32,IF('Model Inputs &amp; Assumptions'!$H$32="CPM",'Model Inputs &amp; Assumptions'!$I$32*'Model Inputs &amp; Assumptions'!$K$32*C2253/1000,IF('Model Inputs &amp; Assumptions'!$H$32="CPC",'Model Inputs &amp; Assumptions'!$I$32*'Model Inputs &amp; Assumptions'!$K$32*G2253,0)))</f>
        <v>9215.808</v>
      </c>
      <c r="J2253" s="50" t="n">
        <f aca="false">H2253*INDEX('Model Inputs &amp; Assumptions'!$D$40:$D$42,MATCH('Model Inputs &amp; Assumptions'!$L$32,'Model Inputs &amp; Assumptions'!$A$40:$A$42,0))*INDEX('Model Inputs &amp; Assumptions'!$H$40:$H$42,MATCH('Model Inputs &amp; Assumptions'!$L$32,'Model Inputs &amp; Assumptions'!$A$40:$A$42,0))</f>
        <v>835952.296769792</v>
      </c>
      <c r="K2253" s="49" t="n">
        <f aca="false">H2253*INDEX('Model Inputs &amp; Assumptions'!$G$40:$G$42,MATCH('Model Inputs &amp; Assumptions'!$L$32,'Model Inputs &amp; Assumptions'!$A$40:$A$42,0))*INDEX('Model Inputs &amp; Assumptions'!$H$40:$H$42,MATCH('Model Inputs &amp; Assumptions'!$L$32,'Model Inputs &amp; Assumptions'!$A$40:$A$42,0))</f>
        <v>17554.9982321656</v>
      </c>
      <c r="L2253" s="51" t="n">
        <f aca="false">IFERROR(K2253/I2253,0)</f>
        <v>1.90487890287706</v>
      </c>
      <c r="M2253" s="49" t="n">
        <f aca="false">IFERROR(I2253/H2253,0)</f>
        <v>59.5313433461438</v>
      </c>
      <c r="N2253" s="52" t="str">
        <f aca="false">'Model Inputs &amp; Assumptions'!$L$32</f>
        <v>PRD-SP01</v>
      </c>
      <c r="P2253" s="53" t="n">
        <v>-1.337694</v>
      </c>
      <c r="Q2253" s="53" t="n">
        <v>0.352006</v>
      </c>
      <c r="R2253" s="53" t="n">
        <v>-0.582672</v>
      </c>
      <c r="S2253" s="53" t="n">
        <v>1.805458</v>
      </c>
    </row>
    <row r="2254" customFormat="false" ht="15" hidden="false" customHeight="false" outlineLevel="0" collapsed="false">
      <c r="A2254" s="43" t="n">
        <v>251</v>
      </c>
      <c r="B2254" s="44" t="str">
        <f aca="false">'Model Inputs &amp; Assumptions'!$B$32</f>
        <v>Trade Republic — In-App Display</v>
      </c>
      <c r="C2254" s="45" t="n">
        <f aca="false">ROUND(MAX(0,'Model Inputs &amp; Assumptions'!$S$32*EXP('Model Inputs &amp; Assumptions'!$T$32*P2254-'Model Inputs &amp; Assumptions'!$T$32^2/2)),0)</f>
        <v>1672748</v>
      </c>
      <c r="D2254" s="46" t="n">
        <f aca="false">MIN(1,'Model Inputs &amp; Assumptions'!$U$32*EXP('Model Inputs &amp; Assumptions'!$V$32*Q2254-'Model Inputs &amp; Assumptions'!$V$32^2/2))</f>
        <v>0</v>
      </c>
      <c r="E2254" s="45" t="n">
        <f aca="false">ROUND(C2254*D2254,0)</f>
        <v>0</v>
      </c>
      <c r="F2254" s="47" t="n">
        <f aca="false">MIN(1,'Model Inputs &amp; Assumptions'!$W$32*EXP('Model Inputs &amp; Assumptions'!$X$32*R2254-'Model Inputs &amp; Assumptions'!$X$32^2/2))</f>
        <v>0.00328092950688561</v>
      </c>
      <c r="G2254" s="45" t="n">
        <f aca="false">ROUND(C2254*F2254,0)</f>
        <v>5488</v>
      </c>
      <c r="H2254" s="48" t="n">
        <f aca="false">MAX(0,(C2254*'Model Inputs &amp; Assumptions'!$N$32+E2254*'Model Inputs &amp; Assumptions'!$O$32+G2254*'Model Inputs &amp; Assumptions'!$P$32)*EXP('Model Inputs &amp; Assumptions'!$Q$32*S2254-'Model Inputs &amp; Assumptions'!$Q$32^2/2))</f>
        <v>206.428160368321</v>
      </c>
      <c r="I2254" s="49" t="n">
        <f aca="false">IF('Model Inputs &amp; Assumptions'!$H$32="Fixed",'Model Inputs &amp; Assumptions'!$I$32*'Model Inputs &amp; Assumptions'!$K$32,IF('Model Inputs &amp; Assumptions'!$H$32="CPM",'Model Inputs &amp; Assumptions'!$I$32*'Model Inputs &amp; Assumptions'!$K$32*C2254/1000,IF('Model Inputs &amp; Assumptions'!$H$32="CPC",'Model Inputs &amp; Assumptions'!$I$32*'Model Inputs &amp; Assumptions'!$K$32*G2254,0)))</f>
        <v>20072.976</v>
      </c>
      <c r="J2254" s="50" t="n">
        <f aca="false">H2254*INDEX('Model Inputs &amp; Assumptions'!$D$40:$D$42,MATCH('Model Inputs &amp; Assumptions'!$L$32,'Model Inputs &amp; Assumptions'!$A$40:$A$42,0))*INDEX('Model Inputs &amp; Assumptions'!$H$40:$H$42,MATCH('Model Inputs &amp; Assumptions'!$L$32,'Model Inputs &amp; Assumptions'!$A$40:$A$42,0))</f>
        <v>1114712.06598893</v>
      </c>
      <c r="K2254" s="49" t="n">
        <f aca="false">H2254*INDEX('Model Inputs &amp; Assumptions'!$G$40:$G$42,MATCH('Model Inputs &amp; Assumptions'!$L$32,'Model Inputs &amp; Assumptions'!$A$40:$A$42,0))*INDEX('Model Inputs &amp; Assumptions'!$H$40:$H$42,MATCH('Model Inputs &amp; Assumptions'!$L$32,'Model Inputs &amp; Assumptions'!$A$40:$A$42,0))</f>
        <v>23408.9533857676</v>
      </c>
      <c r="L2254" s="51" t="n">
        <f aca="false">IFERROR(K2254/I2254,0)</f>
        <v>1.16619246621764</v>
      </c>
      <c r="M2254" s="49" t="n">
        <f aca="false">IFERROR(I2254/H2254,0)</f>
        <v>97.239523736416</v>
      </c>
      <c r="N2254" s="52" t="str">
        <f aca="false">'Model Inputs &amp; Assumptions'!$L$32</f>
        <v>PRD-SP01</v>
      </c>
      <c r="P2254" s="53" t="n">
        <v>1.257155</v>
      </c>
      <c r="Q2254" s="53" t="n">
        <v>0.284237</v>
      </c>
      <c r="R2254" s="53" t="n">
        <v>-0.065454</v>
      </c>
      <c r="S2254" s="53" t="n">
        <v>-0.500264</v>
      </c>
    </row>
    <row r="2255" customFormat="false" ht="15" hidden="false" customHeight="false" outlineLevel="0" collapsed="false">
      <c r="A2255" s="43" t="n">
        <v>252</v>
      </c>
      <c r="B2255" s="44" t="str">
        <f aca="false">'Model Inputs &amp; Assumptions'!$B$32</f>
        <v>Trade Republic — In-App Display</v>
      </c>
      <c r="C2255" s="45" t="n">
        <f aca="false">ROUND(MAX(0,'Model Inputs &amp; Assumptions'!$S$32*EXP('Model Inputs &amp; Assumptions'!$T$32*P2255-'Model Inputs &amp; Assumptions'!$T$32^2/2)),0)</f>
        <v>933719</v>
      </c>
      <c r="D2255" s="46" t="n">
        <f aca="false">MIN(1,'Model Inputs &amp; Assumptions'!$U$32*EXP('Model Inputs &amp; Assumptions'!$V$32*Q2255-'Model Inputs &amp; Assumptions'!$V$32^2/2))</f>
        <v>0</v>
      </c>
      <c r="E2255" s="45" t="n">
        <f aca="false">ROUND(C2255*D2255,0)</f>
        <v>0</v>
      </c>
      <c r="F2255" s="47" t="n">
        <f aca="false">MIN(1,'Model Inputs &amp; Assumptions'!$W$32*EXP('Model Inputs &amp; Assumptions'!$X$32*R2255-'Model Inputs &amp; Assumptions'!$X$32^2/2))</f>
        <v>0.00479221136867465</v>
      </c>
      <c r="G2255" s="45" t="n">
        <f aca="false">ROUND(C2255*F2255,0)</f>
        <v>4475</v>
      </c>
      <c r="H2255" s="48" t="n">
        <f aca="false">MAX(0,(C2255*'Model Inputs &amp; Assumptions'!$N$32+E2255*'Model Inputs &amp; Assumptions'!$O$32+G2255*'Model Inputs &amp; Assumptions'!$P$32)*EXP('Model Inputs &amp; Assumptions'!$Q$32*S2255-'Model Inputs &amp; Assumptions'!$Q$32^2/2))</f>
        <v>162.671111482161</v>
      </c>
      <c r="I2255" s="49" t="n">
        <f aca="false">IF('Model Inputs &amp; Assumptions'!$H$32="Fixed",'Model Inputs &amp; Assumptions'!$I$32*'Model Inputs &amp; Assumptions'!$K$32,IF('Model Inputs &amp; Assumptions'!$H$32="CPM",'Model Inputs &amp; Assumptions'!$I$32*'Model Inputs &amp; Assumptions'!$K$32*C2255/1000,IF('Model Inputs &amp; Assumptions'!$H$32="CPC",'Model Inputs &amp; Assumptions'!$I$32*'Model Inputs &amp; Assumptions'!$K$32*G2255,0)))</f>
        <v>11204.628</v>
      </c>
      <c r="J2255" s="50" t="n">
        <f aca="false">H2255*INDEX('Model Inputs &amp; Assumptions'!$D$40:$D$42,MATCH('Model Inputs &amp; Assumptions'!$L$32,'Model Inputs &amp; Assumptions'!$A$40:$A$42,0))*INDEX('Model Inputs &amp; Assumptions'!$H$40:$H$42,MATCH('Model Inputs &amp; Assumptions'!$L$32,'Model Inputs &amp; Assumptions'!$A$40:$A$42,0))</f>
        <v>878424.002003667</v>
      </c>
      <c r="K2255" s="49" t="n">
        <f aca="false">H2255*INDEX('Model Inputs &amp; Assumptions'!$G$40:$G$42,MATCH('Model Inputs &amp; Assumptions'!$L$32,'Model Inputs &amp; Assumptions'!$A$40:$A$42,0))*INDEX('Model Inputs &amp; Assumptions'!$H$40:$H$42,MATCH('Model Inputs &amp; Assumptions'!$L$32,'Model Inputs &amp; Assumptions'!$A$40:$A$42,0))</f>
        <v>18446.904042077</v>
      </c>
      <c r="L2255" s="51" t="n">
        <f aca="false">IFERROR(K2255/I2255,0)</f>
        <v>1.64636470234237</v>
      </c>
      <c r="M2255" s="49" t="n">
        <f aca="false">IFERROR(I2255/H2255,0)</f>
        <v>68.8790277383011</v>
      </c>
      <c r="N2255" s="52" t="str">
        <f aca="false">'Model Inputs &amp; Assumptions'!$L$32</f>
        <v>PRD-SP01</v>
      </c>
      <c r="P2255" s="53" t="n">
        <v>-0.686336</v>
      </c>
      <c r="Q2255" s="53" t="n">
        <v>0.15943</v>
      </c>
      <c r="R2255" s="53" t="n">
        <v>1.19743</v>
      </c>
      <c r="S2255" s="53" t="n">
        <v>-0.62228</v>
      </c>
    </row>
    <row r="2256" customFormat="false" ht="15" hidden="false" customHeight="false" outlineLevel="0" collapsed="false">
      <c r="A2256" s="43" t="n">
        <v>253</v>
      </c>
      <c r="B2256" s="44" t="str">
        <f aca="false">'Model Inputs &amp; Assumptions'!$B$32</f>
        <v>Trade Republic — In-App Display</v>
      </c>
      <c r="C2256" s="45" t="n">
        <f aca="false">ROUND(MAX(0,'Model Inputs &amp; Assumptions'!$S$32*EXP('Model Inputs &amp; Assumptions'!$T$32*P2256-'Model Inputs &amp; Assumptions'!$T$32^2/2)),0)</f>
        <v>1344698</v>
      </c>
      <c r="D2256" s="46" t="n">
        <f aca="false">MIN(1,'Model Inputs &amp; Assumptions'!$U$32*EXP('Model Inputs &amp; Assumptions'!$V$32*Q2256-'Model Inputs &amp; Assumptions'!$V$32^2/2))</f>
        <v>0</v>
      </c>
      <c r="E2256" s="45" t="n">
        <f aca="false">ROUND(C2256*D2256,0)</f>
        <v>0</v>
      </c>
      <c r="F2256" s="47" t="n">
        <f aca="false">MIN(1,'Model Inputs &amp; Assumptions'!$W$32*EXP('Model Inputs &amp; Assumptions'!$X$32*R2256-'Model Inputs &amp; Assumptions'!$X$32^2/2))</f>
        <v>0.00435966303356814</v>
      </c>
      <c r="G2256" s="45" t="n">
        <f aca="false">ROUND(C2256*F2256,0)</f>
        <v>5862</v>
      </c>
      <c r="H2256" s="48" t="n">
        <f aca="false">MAX(0,(C2256*'Model Inputs &amp; Assumptions'!$N$32+E2256*'Model Inputs &amp; Assumptions'!$O$32+G2256*'Model Inputs &amp; Assumptions'!$P$32)*EXP('Model Inputs &amp; Assumptions'!$Q$32*S2256-'Model Inputs &amp; Assumptions'!$Q$32^2/2))</f>
        <v>216.835268096918</v>
      </c>
      <c r="I2256" s="49" t="n">
        <f aca="false">IF('Model Inputs &amp; Assumptions'!$H$32="Fixed",'Model Inputs &amp; Assumptions'!$I$32*'Model Inputs &amp; Assumptions'!$K$32,IF('Model Inputs &amp; Assumptions'!$H$32="CPM",'Model Inputs &amp; Assumptions'!$I$32*'Model Inputs &amp; Assumptions'!$K$32*C2256/1000,IF('Model Inputs &amp; Assumptions'!$H$32="CPC",'Model Inputs &amp; Assumptions'!$I$32*'Model Inputs &amp; Assumptions'!$K$32*G2256,0)))</f>
        <v>16136.376</v>
      </c>
      <c r="J2256" s="50" t="n">
        <f aca="false">H2256*INDEX('Model Inputs &amp; Assumptions'!$D$40:$D$42,MATCH('Model Inputs &amp; Assumptions'!$L$32,'Model Inputs &amp; Assumptions'!$A$40:$A$42,0))*INDEX('Model Inputs &amp; Assumptions'!$H$40:$H$42,MATCH('Model Inputs &amp; Assumptions'!$L$32,'Model Inputs &amp; Assumptions'!$A$40:$A$42,0))</f>
        <v>1170910.44772336</v>
      </c>
      <c r="K2256" s="49" t="n">
        <f aca="false">H2256*INDEX('Model Inputs &amp; Assumptions'!$G$40:$G$42,MATCH('Model Inputs &amp; Assumptions'!$L$32,'Model Inputs &amp; Assumptions'!$A$40:$A$42,0))*INDEX('Model Inputs &amp; Assumptions'!$H$40:$H$42,MATCH('Model Inputs &amp; Assumptions'!$L$32,'Model Inputs &amp; Assumptions'!$A$40:$A$42,0))</f>
        <v>24589.1194021905</v>
      </c>
      <c r="L2256" s="51" t="n">
        <f aca="false">IFERROR(K2256/I2256,0)</f>
        <v>1.52383158412958</v>
      </c>
      <c r="M2256" s="49" t="n">
        <f aca="false">IFERROR(I2256/H2256,0)</f>
        <v>74.417672649025</v>
      </c>
      <c r="N2256" s="52" t="str">
        <f aca="false">'Model Inputs &amp; Assumptions'!$L$32</f>
        <v>PRD-SP01</v>
      </c>
      <c r="P2256" s="53" t="n">
        <v>0.529493</v>
      </c>
      <c r="Q2256" s="53" t="n">
        <v>0.761532</v>
      </c>
      <c r="R2256" s="53" t="n">
        <v>0.882106</v>
      </c>
      <c r="S2256" s="53" t="n">
        <v>-0.560055</v>
      </c>
    </row>
    <row r="2257" customFormat="false" ht="15" hidden="false" customHeight="false" outlineLevel="0" collapsed="false">
      <c r="A2257" s="43" t="n">
        <v>254</v>
      </c>
      <c r="B2257" s="44" t="str">
        <f aca="false">'Model Inputs &amp; Assumptions'!$B$32</f>
        <v>Trade Republic — In-App Display</v>
      </c>
      <c r="C2257" s="45" t="n">
        <f aca="false">ROUND(MAX(0,'Model Inputs &amp; Assumptions'!$S$32*EXP('Model Inputs &amp; Assumptions'!$T$32*P2257-'Model Inputs &amp; Assumptions'!$T$32^2/2)),0)</f>
        <v>743111</v>
      </c>
      <c r="D2257" s="46" t="n">
        <f aca="false">MIN(1,'Model Inputs &amp; Assumptions'!$U$32*EXP('Model Inputs &amp; Assumptions'!$V$32*Q2257-'Model Inputs &amp; Assumptions'!$V$32^2/2))</f>
        <v>0</v>
      </c>
      <c r="E2257" s="45" t="n">
        <f aca="false">ROUND(C2257*D2257,0)</f>
        <v>0</v>
      </c>
      <c r="F2257" s="47" t="n">
        <f aca="false">MIN(1,'Model Inputs &amp; Assumptions'!$W$32*EXP('Model Inputs &amp; Assumptions'!$X$32*R2257-'Model Inputs &amp; Assumptions'!$X$32^2/2))</f>
        <v>0.00448597143502546</v>
      </c>
      <c r="G2257" s="45" t="n">
        <f aca="false">ROUND(C2257*F2257,0)</f>
        <v>3334</v>
      </c>
      <c r="H2257" s="48" t="n">
        <f aca="false">MAX(0,(C2257*'Model Inputs &amp; Assumptions'!$N$32+E2257*'Model Inputs &amp; Assumptions'!$O$32+G2257*'Model Inputs &amp; Assumptions'!$P$32)*EXP('Model Inputs &amp; Assumptions'!$Q$32*S2257-'Model Inputs &amp; Assumptions'!$Q$32^2/2))</f>
        <v>153.478822616488</v>
      </c>
      <c r="I2257" s="49" t="n">
        <f aca="false">IF('Model Inputs &amp; Assumptions'!$H$32="Fixed",'Model Inputs &amp; Assumptions'!$I$32*'Model Inputs &amp; Assumptions'!$K$32,IF('Model Inputs &amp; Assumptions'!$H$32="CPM",'Model Inputs &amp; Assumptions'!$I$32*'Model Inputs &amp; Assumptions'!$K$32*C2257/1000,IF('Model Inputs &amp; Assumptions'!$H$32="CPC",'Model Inputs &amp; Assumptions'!$I$32*'Model Inputs &amp; Assumptions'!$K$32*G2257,0)))</f>
        <v>8917.332</v>
      </c>
      <c r="J2257" s="50" t="n">
        <f aca="false">H2257*INDEX('Model Inputs &amp; Assumptions'!$D$40:$D$42,MATCH('Model Inputs &amp; Assumptions'!$L$32,'Model Inputs &amp; Assumptions'!$A$40:$A$42,0))*INDEX('Model Inputs &amp; Assumptions'!$H$40:$H$42,MATCH('Model Inputs &amp; Assumptions'!$L$32,'Model Inputs &amp; Assumptions'!$A$40:$A$42,0))</f>
        <v>828785.642129034</v>
      </c>
      <c r="K2257" s="49" t="n">
        <f aca="false">H2257*INDEX('Model Inputs &amp; Assumptions'!$G$40:$G$42,MATCH('Model Inputs &amp; Assumptions'!$L$32,'Model Inputs &amp; Assumptions'!$A$40:$A$42,0))*INDEX('Model Inputs &amp; Assumptions'!$H$40:$H$42,MATCH('Model Inputs &amp; Assumptions'!$L$32,'Model Inputs &amp; Assumptions'!$A$40:$A$42,0))</f>
        <v>17404.4984847097</v>
      </c>
      <c r="L2257" s="51" t="n">
        <f aca="false">IFERROR(K2257/I2257,0)</f>
        <v>1.95176073793257</v>
      </c>
      <c r="M2257" s="49" t="n">
        <f aca="false">IFERROR(I2257/H2257,0)</f>
        <v>58.1013839432597</v>
      </c>
      <c r="N2257" s="52" t="str">
        <f aca="false">'Model Inputs &amp; Assumptions'!$L$32</f>
        <v>PRD-SP01</v>
      </c>
      <c r="P2257" s="53" t="n">
        <v>-1.447436</v>
      </c>
      <c r="Q2257" s="53" t="n">
        <v>-1.169964</v>
      </c>
      <c r="R2257" s="53" t="n">
        <v>0.977307</v>
      </c>
      <c r="S2257" s="53" t="n">
        <v>0.221169</v>
      </c>
    </row>
    <row r="2258" customFormat="false" ht="15" hidden="false" customHeight="false" outlineLevel="0" collapsed="false">
      <c r="A2258" s="43" t="n">
        <v>255</v>
      </c>
      <c r="B2258" s="44" t="str">
        <f aca="false">'Model Inputs &amp; Assumptions'!$B$32</f>
        <v>Trade Republic — In-App Display</v>
      </c>
      <c r="C2258" s="45" t="n">
        <f aca="false">ROUND(MAX(0,'Model Inputs &amp; Assumptions'!$S$32*EXP('Model Inputs &amp; Assumptions'!$T$32*P2258-'Model Inputs &amp; Assumptions'!$T$32^2/2)),0)</f>
        <v>876900</v>
      </c>
      <c r="D2258" s="46" t="n">
        <f aca="false">MIN(1,'Model Inputs &amp; Assumptions'!$U$32*EXP('Model Inputs &amp; Assumptions'!$V$32*Q2258-'Model Inputs &amp; Assumptions'!$V$32^2/2))</f>
        <v>0</v>
      </c>
      <c r="E2258" s="45" t="n">
        <f aca="false">ROUND(C2258*D2258,0)</f>
        <v>0</v>
      </c>
      <c r="F2258" s="47" t="n">
        <f aca="false">MIN(1,'Model Inputs &amp; Assumptions'!$W$32*EXP('Model Inputs &amp; Assumptions'!$X$32*R2258-'Model Inputs &amp; Assumptions'!$X$32^2/2))</f>
        <v>0.00233624109588541</v>
      </c>
      <c r="G2258" s="45" t="n">
        <f aca="false">ROUND(C2258*F2258,0)</f>
        <v>2049</v>
      </c>
      <c r="H2258" s="48" t="n">
        <f aca="false">MAX(0,(C2258*'Model Inputs &amp; Assumptions'!$N$32+E2258*'Model Inputs &amp; Assumptions'!$O$32+G2258*'Model Inputs &amp; Assumptions'!$P$32)*EXP('Model Inputs &amp; Assumptions'!$Q$32*S2258-'Model Inputs &amp; Assumptions'!$Q$32^2/2))</f>
        <v>102.605091783739</v>
      </c>
      <c r="I2258" s="49" t="n">
        <f aca="false">IF('Model Inputs &amp; Assumptions'!$H$32="Fixed",'Model Inputs &amp; Assumptions'!$I$32*'Model Inputs &amp; Assumptions'!$K$32,IF('Model Inputs &amp; Assumptions'!$H$32="CPM",'Model Inputs &amp; Assumptions'!$I$32*'Model Inputs &amp; Assumptions'!$K$32*C2258/1000,IF('Model Inputs &amp; Assumptions'!$H$32="CPC",'Model Inputs &amp; Assumptions'!$I$32*'Model Inputs &amp; Assumptions'!$K$32*G2258,0)))</f>
        <v>10522.8</v>
      </c>
      <c r="J2258" s="50" t="n">
        <f aca="false">H2258*INDEX('Model Inputs &amp; Assumptions'!$D$40:$D$42,MATCH('Model Inputs &amp; Assumptions'!$L$32,'Model Inputs &amp; Assumptions'!$A$40:$A$42,0))*INDEX('Model Inputs &amp; Assumptions'!$H$40:$H$42,MATCH('Model Inputs &amp; Assumptions'!$L$32,'Model Inputs &amp; Assumptions'!$A$40:$A$42,0))</f>
        <v>554067.495632188</v>
      </c>
      <c r="K2258" s="49" t="n">
        <f aca="false">H2258*INDEX('Model Inputs &amp; Assumptions'!$G$40:$G$42,MATCH('Model Inputs &amp; Assumptions'!$L$32,'Model Inputs &amp; Assumptions'!$A$40:$A$42,0))*INDEX('Model Inputs &amp; Assumptions'!$H$40:$H$42,MATCH('Model Inputs &amp; Assumptions'!$L$32,'Model Inputs &amp; Assumptions'!$A$40:$A$42,0))</f>
        <v>11635.417408276</v>
      </c>
      <c r="L2258" s="51" t="n">
        <f aca="false">IFERROR(K2258/I2258,0)</f>
        <v>1.10573396893184</v>
      </c>
      <c r="M2258" s="49" t="n">
        <f aca="false">IFERROR(I2258/H2258,0)</f>
        <v>102.556313893067</v>
      </c>
      <c r="N2258" s="52" t="str">
        <f aca="false">'Model Inputs &amp; Assumptions'!$L$32</f>
        <v>PRD-SP01</v>
      </c>
      <c r="P2258" s="53" t="n">
        <v>-0.895614</v>
      </c>
      <c r="Q2258" s="53" t="n">
        <v>1.476344</v>
      </c>
      <c r="R2258" s="53" t="n">
        <v>-1.197399</v>
      </c>
      <c r="S2258" s="53" t="n">
        <v>0.52169</v>
      </c>
    </row>
    <row r="2259" customFormat="false" ht="15" hidden="false" customHeight="false" outlineLevel="0" collapsed="false">
      <c r="A2259" s="43" t="n">
        <v>256</v>
      </c>
      <c r="B2259" s="44" t="str">
        <f aca="false">'Model Inputs &amp; Assumptions'!$B$32</f>
        <v>Trade Republic — In-App Display</v>
      </c>
      <c r="C2259" s="45" t="n">
        <f aca="false">ROUND(MAX(0,'Model Inputs &amp; Assumptions'!$S$32*EXP('Model Inputs &amp; Assumptions'!$T$32*P2259-'Model Inputs &amp; Assumptions'!$T$32^2/2)),0)</f>
        <v>773155</v>
      </c>
      <c r="D2259" s="46" t="n">
        <f aca="false">MIN(1,'Model Inputs &amp; Assumptions'!$U$32*EXP('Model Inputs &amp; Assumptions'!$V$32*Q2259-'Model Inputs &amp; Assumptions'!$V$32^2/2))</f>
        <v>0</v>
      </c>
      <c r="E2259" s="45" t="n">
        <f aca="false">ROUND(C2259*D2259,0)</f>
        <v>0</v>
      </c>
      <c r="F2259" s="47" t="n">
        <f aca="false">MIN(1,'Model Inputs &amp; Assumptions'!$W$32*EXP('Model Inputs &amp; Assumptions'!$X$32*R2259-'Model Inputs &amp; Assumptions'!$X$32^2/2))</f>
        <v>0.0030462242365656</v>
      </c>
      <c r="G2259" s="45" t="n">
        <f aca="false">ROUND(C2259*F2259,0)</f>
        <v>2355</v>
      </c>
      <c r="H2259" s="48" t="n">
        <f aca="false">MAX(0,(C2259*'Model Inputs &amp; Assumptions'!$N$32+E2259*'Model Inputs &amp; Assumptions'!$O$32+G2259*'Model Inputs &amp; Assumptions'!$P$32)*EXP('Model Inputs &amp; Assumptions'!$Q$32*S2259-'Model Inputs &amp; Assumptions'!$Q$32^2/2))</f>
        <v>71.4530633317152</v>
      </c>
      <c r="I2259" s="49" t="n">
        <f aca="false">IF('Model Inputs &amp; Assumptions'!$H$32="Fixed",'Model Inputs &amp; Assumptions'!$I$32*'Model Inputs &amp; Assumptions'!$K$32,IF('Model Inputs &amp; Assumptions'!$H$32="CPM",'Model Inputs &amp; Assumptions'!$I$32*'Model Inputs &amp; Assumptions'!$K$32*C2259/1000,IF('Model Inputs &amp; Assumptions'!$H$32="CPC",'Model Inputs &amp; Assumptions'!$I$32*'Model Inputs &amp; Assumptions'!$K$32*G2259,0)))</f>
        <v>9277.86</v>
      </c>
      <c r="J2259" s="50" t="n">
        <f aca="false">H2259*INDEX('Model Inputs &amp; Assumptions'!$D$40:$D$42,MATCH('Model Inputs &amp; Assumptions'!$L$32,'Model Inputs &amp; Assumptions'!$A$40:$A$42,0))*INDEX('Model Inputs &amp; Assumptions'!$H$40:$H$42,MATCH('Model Inputs &amp; Assumptions'!$L$32,'Model Inputs &amp; Assumptions'!$A$40:$A$42,0))</f>
        <v>385846.541991262</v>
      </c>
      <c r="K2259" s="49" t="n">
        <f aca="false">H2259*INDEX('Model Inputs &amp; Assumptions'!$G$40:$G$42,MATCH('Model Inputs &amp; Assumptions'!$L$32,'Model Inputs &amp; Assumptions'!$A$40:$A$42,0))*INDEX('Model Inputs &amp; Assumptions'!$H$40:$H$42,MATCH('Model Inputs &amp; Assumptions'!$L$32,'Model Inputs &amp; Assumptions'!$A$40:$A$42,0))</f>
        <v>8102.77738181651</v>
      </c>
      <c r="L2259" s="51" t="n">
        <f aca="false">IFERROR(K2259/I2259,0)</f>
        <v>0.873345510906233</v>
      </c>
      <c r="M2259" s="49" t="n">
        <f aca="false">IFERROR(I2259/H2259,0)</f>
        <v>129.845517706194</v>
      </c>
      <c r="N2259" s="52" t="str">
        <f aca="false">'Model Inputs &amp; Assumptions'!$L$32</f>
        <v>PRD-SP01</v>
      </c>
      <c r="P2259" s="53" t="n">
        <v>-1.315323</v>
      </c>
      <c r="Q2259" s="53" t="n">
        <v>0.129635</v>
      </c>
      <c r="R2259" s="53" t="n">
        <v>-0.312867</v>
      </c>
      <c r="S2259" s="53" t="n">
        <v>-1.267723</v>
      </c>
    </row>
    <row r="2260" customFormat="false" ht="15" hidden="false" customHeight="false" outlineLevel="0" collapsed="false">
      <c r="A2260" s="43" t="n">
        <v>257</v>
      </c>
      <c r="B2260" s="44" t="str">
        <f aca="false">'Model Inputs &amp; Assumptions'!$B$32</f>
        <v>Trade Republic — In-App Display</v>
      </c>
      <c r="C2260" s="45" t="n">
        <f aca="false">ROUND(MAX(0,'Model Inputs &amp; Assumptions'!$S$32*EXP('Model Inputs &amp; Assumptions'!$T$32*P2260-'Model Inputs &amp; Assumptions'!$T$32^2/2)),0)</f>
        <v>995830</v>
      </c>
      <c r="D2260" s="46" t="n">
        <f aca="false">MIN(1,'Model Inputs &amp; Assumptions'!$U$32*EXP('Model Inputs &amp; Assumptions'!$V$32*Q2260-'Model Inputs &amp; Assumptions'!$V$32^2/2))</f>
        <v>0</v>
      </c>
      <c r="E2260" s="45" t="n">
        <f aca="false">ROUND(C2260*D2260,0)</f>
        <v>0</v>
      </c>
      <c r="F2260" s="47" t="n">
        <f aca="false">MIN(1,'Model Inputs &amp; Assumptions'!$W$32*EXP('Model Inputs &amp; Assumptions'!$X$32*R2260-'Model Inputs &amp; Assumptions'!$X$32^2/2))</f>
        <v>0.00501524597714575</v>
      </c>
      <c r="G2260" s="45" t="n">
        <f aca="false">ROUND(C2260*F2260,0)</f>
        <v>4994</v>
      </c>
      <c r="H2260" s="48" t="n">
        <f aca="false">MAX(0,(C2260*'Model Inputs &amp; Assumptions'!$N$32+E2260*'Model Inputs &amp; Assumptions'!$O$32+G2260*'Model Inputs &amp; Assumptions'!$P$32)*EXP('Model Inputs &amp; Assumptions'!$Q$32*S2260-'Model Inputs &amp; Assumptions'!$Q$32^2/2))</f>
        <v>256.255112539667</v>
      </c>
      <c r="I2260" s="49" t="n">
        <f aca="false">IF('Model Inputs &amp; Assumptions'!$H$32="Fixed",'Model Inputs &amp; Assumptions'!$I$32*'Model Inputs &amp; Assumptions'!$K$32,IF('Model Inputs &amp; Assumptions'!$H$32="CPM",'Model Inputs &amp; Assumptions'!$I$32*'Model Inputs &amp; Assumptions'!$K$32*C2260/1000,IF('Model Inputs &amp; Assumptions'!$H$32="CPC",'Model Inputs &amp; Assumptions'!$I$32*'Model Inputs &amp; Assumptions'!$K$32*G2260,0)))</f>
        <v>11949.96</v>
      </c>
      <c r="J2260" s="50" t="n">
        <f aca="false">H2260*INDEX('Model Inputs &amp; Assumptions'!$D$40:$D$42,MATCH('Model Inputs &amp; Assumptions'!$L$32,'Model Inputs &amp; Assumptions'!$A$40:$A$42,0))*INDEX('Model Inputs &amp; Assumptions'!$H$40:$H$42,MATCH('Model Inputs &amp; Assumptions'!$L$32,'Model Inputs &amp; Assumptions'!$A$40:$A$42,0))</f>
        <v>1383777.6077142</v>
      </c>
      <c r="K2260" s="49" t="n">
        <f aca="false">H2260*INDEX('Model Inputs &amp; Assumptions'!$G$40:$G$42,MATCH('Model Inputs &amp; Assumptions'!$L$32,'Model Inputs &amp; Assumptions'!$A$40:$A$42,0))*INDEX('Model Inputs &amp; Assumptions'!$H$40:$H$42,MATCH('Model Inputs &amp; Assumptions'!$L$32,'Model Inputs &amp; Assumptions'!$A$40:$A$42,0))</f>
        <v>29059.3297619982</v>
      </c>
      <c r="L2260" s="51" t="n">
        <f aca="false">IFERROR(K2260/I2260,0)</f>
        <v>2.43175121607087</v>
      </c>
      <c r="M2260" s="49" t="n">
        <f aca="false">IFERROR(I2260/H2260,0)</f>
        <v>46.6330598502702</v>
      </c>
      <c r="N2260" s="52" t="str">
        <f aca="false">'Model Inputs &amp; Assumptions'!$L$32</f>
        <v>PRD-SP01</v>
      </c>
      <c r="P2260" s="53" t="n">
        <v>-0.471666</v>
      </c>
      <c r="Q2260" s="53" t="n">
        <v>0.568668</v>
      </c>
      <c r="R2260" s="53" t="n">
        <v>1.349065</v>
      </c>
      <c r="S2260" s="53" t="n">
        <v>0.608835</v>
      </c>
    </row>
    <row r="2261" customFormat="false" ht="15" hidden="false" customHeight="false" outlineLevel="0" collapsed="false">
      <c r="A2261" s="43" t="n">
        <v>258</v>
      </c>
      <c r="B2261" s="44" t="str">
        <f aca="false">'Model Inputs &amp; Assumptions'!$B$32</f>
        <v>Trade Republic — In-App Display</v>
      </c>
      <c r="C2261" s="45" t="n">
        <f aca="false">ROUND(MAX(0,'Model Inputs &amp; Assumptions'!$S$32*EXP('Model Inputs &amp; Assumptions'!$T$32*P2261-'Model Inputs &amp; Assumptions'!$T$32^2/2)),0)</f>
        <v>1630820</v>
      </c>
      <c r="D2261" s="46" t="n">
        <f aca="false">MIN(1,'Model Inputs &amp; Assumptions'!$U$32*EXP('Model Inputs &amp; Assumptions'!$V$32*Q2261-'Model Inputs &amp; Assumptions'!$V$32^2/2))</f>
        <v>0</v>
      </c>
      <c r="E2261" s="45" t="n">
        <f aca="false">ROUND(C2261*D2261,0)</f>
        <v>0</v>
      </c>
      <c r="F2261" s="47" t="n">
        <f aca="false">MIN(1,'Model Inputs &amp; Assumptions'!$W$32*EXP('Model Inputs &amp; Assumptions'!$X$32*R2261-'Model Inputs &amp; Assumptions'!$X$32^2/2))</f>
        <v>0.00666179300637428</v>
      </c>
      <c r="G2261" s="45" t="n">
        <f aca="false">ROUND(C2261*F2261,0)</f>
        <v>10864</v>
      </c>
      <c r="H2261" s="48" t="n">
        <f aca="false">MAX(0,(C2261*'Model Inputs &amp; Assumptions'!$N$32+E2261*'Model Inputs &amp; Assumptions'!$O$32+G2261*'Model Inputs &amp; Assumptions'!$P$32)*EXP('Model Inputs &amp; Assumptions'!$Q$32*S2261-'Model Inputs &amp; Assumptions'!$Q$32^2/2))</f>
        <v>542.997209341601</v>
      </c>
      <c r="I2261" s="49" t="n">
        <f aca="false">IF('Model Inputs &amp; Assumptions'!$H$32="Fixed",'Model Inputs &amp; Assumptions'!$I$32*'Model Inputs &amp; Assumptions'!$K$32,IF('Model Inputs &amp; Assumptions'!$H$32="CPM",'Model Inputs &amp; Assumptions'!$I$32*'Model Inputs &amp; Assumptions'!$K$32*C2261/1000,IF('Model Inputs &amp; Assumptions'!$H$32="CPC",'Model Inputs &amp; Assumptions'!$I$32*'Model Inputs &amp; Assumptions'!$K$32*G2261,0)))</f>
        <v>19569.84</v>
      </c>
      <c r="J2261" s="50" t="n">
        <f aca="false">H2261*INDEX('Model Inputs &amp; Assumptions'!$D$40:$D$42,MATCH('Model Inputs &amp; Assumptions'!$L$32,'Model Inputs &amp; Assumptions'!$A$40:$A$42,0))*INDEX('Model Inputs &amp; Assumptions'!$H$40:$H$42,MATCH('Model Inputs &amp; Assumptions'!$L$32,'Model Inputs &amp; Assumptions'!$A$40:$A$42,0))</f>
        <v>2932184.93044464</v>
      </c>
      <c r="K2261" s="49" t="n">
        <f aca="false">H2261*INDEX('Model Inputs &amp; Assumptions'!$G$40:$G$42,MATCH('Model Inputs &amp; Assumptions'!$L$32,'Model Inputs &amp; Assumptions'!$A$40:$A$42,0))*INDEX('Model Inputs &amp; Assumptions'!$H$40:$H$42,MATCH('Model Inputs &amp; Assumptions'!$L$32,'Model Inputs &amp; Assumptions'!$A$40:$A$42,0))</f>
        <v>61575.8835393375</v>
      </c>
      <c r="L2261" s="51" t="n">
        <f aca="false">IFERROR(K2261/I2261,0)</f>
        <v>3.14646841973861</v>
      </c>
      <c r="M2261" s="49" t="n">
        <f aca="false">IFERROR(I2261/H2261,0)</f>
        <v>36.0404062181627</v>
      </c>
      <c r="N2261" s="52" t="str">
        <f aca="false">'Model Inputs &amp; Assumptions'!$L$32</f>
        <v>PRD-SP01</v>
      </c>
      <c r="P2261" s="53" t="n">
        <v>1.172539</v>
      </c>
      <c r="Q2261" s="53" t="n">
        <v>-0.463435</v>
      </c>
      <c r="R2261" s="53" t="n">
        <v>2.295419</v>
      </c>
      <c r="S2261" s="53" t="n">
        <v>0.514954</v>
      </c>
    </row>
    <row r="2262" customFormat="false" ht="15" hidden="false" customHeight="false" outlineLevel="0" collapsed="false">
      <c r="A2262" s="43" t="n">
        <v>259</v>
      </c>
      <c r="B2262" s="44" t="str">
        <f aca="false">'Model Inputs &amp; Assumptions'!$B$32</f>
        <v>Trade Republic — In-App Display</v>
      </c>
      <c r="C2262" s="45" t="n">
        <f aca="false">ROUND(MAX(0,'Model Inputs &amp; Assumptions'!$S$32*EXP('Model Inputs &amp; Assumptions'!$T$32*P2262-'Model Inputs &amp; Assumptions'!$T$32^2/2)),0)</f>
        <v>1044006</v>
      </c>
      <c r="D2262" s="46" t="n">
        <f aca="false">MIN(1,'Model Inputs &amp; Assumptions'!$U$32*EXP('Model Inputs &amp; Assumptions'!$V$32*Q2262-'Model Inputs &amp; Assumptions'!$V$32^2/2))</f>
        <v>0</v>
      </c>
      <c r="E2262" s="45" t="n">
        <f aca="false">ROUND(C2262*D2262,0)</f>
        <v>0</v>
      </c>
      <c r="F2262" s="47" t="n">
        <f aca="false">MIN(1,'Model Inputs &amp; Assumptions'!$W$32*EXP('Model Inputs &amp; Assumptions'!$X$32*R2262-'Model Inputs &amp; Assumptions'!$X$32^2/2))</f>
        <v>0.00227333125393471</v>
      </c>
      <c r="G2262" s="45" t="n">
        <f aca="false">ROUND(C2262*F2262,0)</f>
        <v>2373</v>
      </c>
      <c r="H2262" s="48" t="n">
        <f aca="false">MAX(0,(C2262*'Model Inputs &amp; Assumptions'!$N$32+E2262*'Model Inputs &amp; Assumptions'!$O$32+G2262*'Model Inputs &amp; Assumptions'!$P$32)*EXP('Model Inputs &amp; Assumptions'!$Q$32*S2262-'Model Inputs &amp; Assumptions'!$Q$32^2/2))</f>
        <v>94.7014041303317</v>
      </c>
      <c r="I2262" s="49" t="n">
        <f aca="false">IF('Model Inputs &amp; Assumptions'!$H$32="Fixed",'Model Inputs &amp; Assumptions'!$I$32*'Model Inputs &amp; Assumptions'!$K$32,IF('Model Inputs &amp; Assumptions'!$H$32="CPM",'Model Inputs &amp; Assumptions'!$I$32*'Model Inputs &amp; Assumptions'!$K$32*C2262/1000,IF('Model Inputs &amp; Assumptions'!$H$32="CPC",'Model Inputs &amp; Assumptions'!$I$32*'Model Inputs &amp; Assumptions'!$K$32*G2262,0)))</f>
        <v>12528.072</v>
      </c>
      <c r="J2262" s="50" t="n">
        <f aca="false">H2262*INDEX('Model Inputs &amp; Assumptions'!$D$40:$D$42,MATCH('Model Inputs &amp; Assumptions'!$L$32,'Model Inputs &amp; Assumptions'!$A$40:$A$42,0))*INDEX('Model Inputs &amp; Assumptions'!$H$40:$H$42,MATCH('Model Inputs &amp; Assumptions'!$L$32,'Model Inputs &amp; Assumptions'!$A$40:$A$42,0))</f>
        <v>511387.582303791</v>
      </c>
      <c r="K2262" s="49" t="n">
        <f aca="false">H2262*INDEX('Model Inputs &amp; Assumptions'!$G$40:$G$42,MATCH('Model Inputs &amp; Assumptions'!$L$32,'Model Inputs &amp; Assumptions'!$A$40:$A$42,0))*INDEX('Model Inputs &amp; Assumptions'!$H$40:$H$42,MATCH('Model Inputs &amp; Assumptions'!$L$32,'Model Inputs &amp; Assumptions'!$A$40:$A$42,0))</f>
        <v>10739.1392283796</v>
      </c>
      <c r="L2262" s="51" t="n">
        <f aca="false">IFERROR(K2262/I2262,0)</f>
        <v>0.857206059190881</v>
      </c>
      <c r="M2262" s="49" t="n">
        <f aca="false">IFERROR(I2262/H2262,0)</f>
        <v>132.290245483144</v>
      </c>
      <c r="N2262" s="52" t="str">
        <f aca="false">'Model Inputs &amp; Assumptions'!$L$32</f>
        <v>PRD-SP01</v>
      </c>
      <c r="P2262" s="53" t="n">
        <v>-0.314188</v>
      </c>
      <c r="Q2262" s="53" t="n">
        <v>1.178174</v>
      </c>
      <c r="R2262" s="53" t="n">
        <v>-1.288389</v>
      </c>
      <c r="S2262" s="53" t="n">
        <v>-0.288888</v>
      </c>
    </row>
    <row r="2263" customFormat="false" ht="15" hidden="false" customHeight="false" outlineLevel="0" collapsed="false">
      <c r="A2263" s="43" t="n">
        <v>260</v>
      </c>
      <c r="B2263" s="44" t="str">
        <f aca="false">'Model Inputs &amp; Assumptions'!$B$32</f>
        <v>Trade Republic — In-App Display</v>
      </c>
      <c r="C2263" s="45" t="n">
        <f aca="false">ROUND(MAX(0,'Model Inputs &amp; Assumptions'!$S$32*EXP('Model Inputs &amp; Assumptions'!$T$32*P2263-'Model Inputs &amp; Assumptions'!$T$32^2/2)),0)</f>
        <v>1528875</v>
      </c>
      <c r="D2263" s="46" t="n">
        <f aca="false">MIN(1,'Model Inputs &amp; Assumptions'!$U$32*EXP('Model Inputs &amp; Assumptions'!$V$32*Q2263-'Model Inputs &amp; Assumptions'!$V$32^2/2))</f>
        <v>0</v>
      </c>
      <c r="E2263" s="45" t="n">
        <f aca="false">ROUND(C2263*D2263,0)</f>
        <v>0</v>
      </c>
      <c r="F2263" s="47" t="n">
        <f aca="false">MIN(1,'Model Inputs &amp; Assumptions'!$W$32*EXP('Model Inputs &amp; Assumptions'!$X$32*R2263-'Model Inputs &amp; Assumptions'!$X$32^2/2))</f>
        <v>0.00386185395925801</v>
      </c>
      <c r="G2263" s="45" t="n">
        <f aca="false">ROUND(C2263*F2263,0)</f>
        <v>5904</v>
      </c>
      <c r="H2263" s="48" t="n">
        <f aca="false">MAX(0,(C2263*'Model Inputs &amp; Assumptions'!$N$32+E2263*'Model Inputs &amp; Assumptions'!$O$32+G2263*'Model Inputs &amp; Assumptions'!$P$32)*EXP('Model Inputs &amp; Assumptions'!$Q$32*S2263-'Model Inputs &amp; Assumptions'!$Q$32^2/2))</f>
        <v>264.780657862344</v>
      </c>
      <c r="I2263" s="49" t="n">
        <f aca="false">IF('Model Inputs &amp; Assumptions'!$H$32="Fixed",'Model Inputs &amp; Assumptions'!$I$32*'Model Inputs &amp; Assumptions'!$K$32,IF('Model Inputs &amp; Assumptions'!$H$32="CPM",'Model Inputs &amp; Assumptions'!$I$32*'Model Inputs &amp; Assumptions'!$K$32*C2263/1000,IF('Model Inputs &amp; Assumptions'!$H$32="CPC",'Model Inputs &amp; Assumptions'!$I$32*'Model Inputs &amp; Assumptions'!$K$32*G2263,0)))</f>
        <v>18346.5</v>
      </c>
      <c r="J2263" s="50" t="n">
        <f aca="false">H2263*INDEX('Model Inputs &amp; Assumptions'!$D$40:$D$42,MATCH('Model Inputs &amp; Assumptions'!$L$32,'Model Inputs &amp; Assumptions'!$A$40:$A$42,0))*INDEX('Model Inputs &amp; Assumptions'!$H$40:$H$42,MATCH('Model Inputs &amp; Assumptions'!$L$32,'Model Inputs &amp; Assumptions'!$A$40:$A$42,0))</f>
        <v>1429815.55245666</v>
      </c>
      <c r="K2263" s="49" t="n">
        <f aca="false">H2263*INDEX('Model Inputs &amp; Assumptions'!$G$40:$G$42,MATCH('Model Inputs &amp; Assumptions'!$L$32,'Model Inputs &amp; Assumptions'!$A$40:$A$42,0))*INDEX('Model Inputs &amp; Assumptions'!$H$40:$H$42,MATCH('Model Inputs &amp; Assumptions'!$L$32,'Model Inputs &amp; Assumptions'!$A$40:$A$42,0))</f>
        <v>30026.1266015898</v>
      </c>
      <c r="L2263" s="51" t="n">
        <f aca="false">IFERROR(K2263/I2263,0)</f>
        <v>1.63661333778049</v>
      </c>
      <c r="M2263" s="49" t="n">
        <f aca="false">IFERROR(I2263/H2263,0)</f>
        <v>69.2894267584232</v>
      </c>
      <c r="N2263" s="52" t="str">
        <f aca="false">'Model Inputs &amp; Assumptions'!$L$32</f>
        <v>PRD-SP01</v>
      </c>
      <c r="P2263" s="53" t="n">
        <v>0.957368</v>
      </c>
      <c r="Q2263" s="53" t="n">
        <v>-1.235687</v>
      </c>
      <c r="R2263" s="53" t="n">
        <v>0.477948</v>
      </c>
      <c r="S2263" s="53" t="n">
        <v>0.12789</v>
      </c>
    </row>
    <row r="2264" customFormat="false" ht="15" hidden="false" customHeight="false" outlineLevel="0" collapsed="false">
      <c r="A2264" s="43" t="n">
        <v>261</v>
      </c>
      <c r="B2264" s="44" t="str">
        <f aca="false">'Model Inputs &amp; Assumptions'!$B$32</f>
        <v>Trade Republic — In-App Display</v>
      </c>
      <c r="C2264" s="45" t="n">
        <f aca="false">ROUND(MAX(0,'Model Inputs &amp; Assumptions'!$S$32*EXP('Model Inputs &amp; Assumptions'!$T$32*P2264-'Model Inputs &amp; Assumptions'!$T$32^2/2)),0)</f>
        <v>1281653</v>
      </c>
      <c r="D2264" s="46" t="n">
        <f aca="false">MIN(1,'Model Inputs &amp; Assumptions'!$U$32*EXP('Model Inputs &amp; Assumptions'!$V$32*Q2264-'Model Inputs &amp; Assumptions'!$V$32^2/2))</f>
        <v>0</v>
      </c>
      <c r="E2264" s="45" t="n">
        <f aca="false">ROUND(C2264*D2264,0)</f>
        <v>0</v>
      </c>
      <c r="F2264" s="47" t="n">
        <f aca="false">MIN(1,'Model Inputs &amp; Assumptions'!$W$32*EXP('Model Inputs &amp; Assumptions'!$X$32*R2264-'Model Inputs &amp; Assumptions'!$X$32^2/2))</f>
        <v>0.00160411109536501</v>
      </c>
      <c r="G2264" s="45" t="n">
        <f aca="false">ROUND(C2264*F2264,0)</f>
        <v>2056</v>
      </c>
      <c r="H2264" s="48" t="n">
        <f aca="false">MAX(0,(C2264*'Model Inputs &amp; Assumptions'!$N$32+E2264*'Model Inputs &amp; Assumptions'!$O$32+G2264*'Model Inputs &amp; Assumptions'!$P$32)*EXP('Model Inputs &amp; Assumptions'!$Q$32*S2264-'Model Inputs &amp; Assumptions'!$Q$32^2/2))</f>
        <v>99.3524786510228</v>
      </c>
      <c r="I2264" s="49" t="n">
        <f aca="false">IF('Model Inputs &amp; Assumptions'!$H$32="Fixed",'Model Inputs &amp; Assumptions'!$I$32*'Model Inputs &amp; Assumptions'!$K$32,IF('Model Inputs &amp; Assumptions'!$H$32="CPM",'Model Inputs &amp; Assumptions'!$I$32*'Model Inputs &amp; Assumptions'!$K$32*C2264/1000,IF('Model Inputs &amp; Assumptions'!$H$32="CPC",'Model Inputs &amp; Assumptions'!$I$32*'Model Inputs &amp; Assumptions'!$K$32*G2264,0)))</f>
        <v>15379.836</v>
      </c>
      <c r="J2264" s="50" t="n">
        <f aca="false">H2264*INDEX('Model Inputs &amp; Assumptions'!$D$40:$D$42,MATCH('Model Inputs &amp; Assumptions'!$L$32,'Model Inputs &amp; Assumptions'!$A$40:$A$42,0))*INDEX('Model Inputs &amp; Assumptions'!$H$40:$H$42,MATCH('Model Inputs &amp; Assumptions'!$L$32,'Model Inputs &amp; Assumptions'!$A$40:$A$42,0))</f>
        <v>536503.384715523</v>
      </c>
      <c r="K2264" s="49" t="n">
        <f aca="false">H2264*INDEX('Model Inputs &amp; Assumptions'!$G$40:$G$42,MATCH('Model Inputs &amp; Assumptions'!$L$32,'Model Inputs &amp; Assumptions'!$A$40:$A$42,0))*INDEX('Model Inputs &amp; Assumptions'!$H$40:$H$42,MATCH('Model Inputs &amp; Assumptions'!$L$32,'Model Inputs &amp; Assumptions'!$A$40:$A$42,0))</f>
        <v>11266.571079026</v>
      </c>
      <c r="L2264" s="51" t="n">
        <f aca="false">IFERROR(K2264/I2264,0)</f>
        <v>0.732554695578417</v>
      </c>
      <c r="M2264" s="49" t="n">
        <f aca="false">IFERROR(I2264/H2264,0)</f>
        <v>154.800727760622</v>
      </c>
      <c r="N2264" s="52" t="str">
        <f aca="false">'Model Inputs &amp; Assumptions'!$L$32</f>
        <v>PRD-SP01</v>
      </c>
      <c r="P2264" s="53" t="n">
        <v>0.36943</v>
      </c>
      <c r="Q2264" s="53" t="n">
        <v>1.273434</v>
      </c>
      <c r="R2264" s="53" t="n">
        <v>-2.450644</v>
      </c>
      <c r="S2264" s="53" t="n">
        <v>0.394461</v>
      </c>
    </row>
    <row r="2265" customFormat="false" ht="15" hidden="false" customHeight="false" outlineLevel="0" collapsed="false">
      <c r="A2265" s="43" t="n">
        <v>262</v>
      </c>
      <c r="B2265" s="44" t="str">
        <f aca="false">'Model Inputs &amp; Assumptions'!$B$32</f>
        <v>Trade Republic — In-App Display</v>
      </c>
      <c r="C2265" s="45" t="n">
        <f aca="false">ROUND(MAX(0,'Model Inputs &amp; Assumptions'!$S$32*EXP('Model Inputs &amp; Assumptions'!$T$32*P2265-'Model Inputs &amp; Assumptions'!$T$32^2/2)),0)</f>
        <v>796640</v>
      </c>
      <c r="D2265" s="46" t="n">
        <f aca="false">MIN(1,'Model Inputs &amp; Assumptions'!$U$32*EXP('Model Inputs &amp; Assumptions'!$V$32*Q2265-'Model Inputs &amp; Assumptions'!$V$32^2/2))</f>
        <v>0</v>
      </c>
      <c r="E2265" s="45" t="n">
        <f aca="false">ROUND(C2265*D2265,0)</f>
        <v>0</v>
      </c>
      <c r="F2265" s="47" t="n">
        <f aca="false">MIN(1,'Model Inputs &amp; Assumptions'!$W$32*EXP('Model Inputs &amp; Assumptions'!$X$32*R2265-'Model Inputs &amp; Assumptions'!$X$32^2/2))</f>
        <v>0.00484736892712057</v>
      </c>
      <c r="G2265" s="45" t="n">
        <f aca="false">ROUND(C2265*F2265,0)</f>
        <v>3862</v>
      </c>
      <c r="H2265" s="48" t="n">
        <f aca="false">MAX(0,(C2265*'Model Inputs &amp; Assumptions'!$N$32+E2265*'Model Inputs &amp; Assumptions'!$O$32+G2265*'Model Inputs &amp; Assumptions'!$P$32)*EXP('Model Inputs &amp; Assumptions'!$Q$32*S2265-'Model Inputs &amp; Assumptions'!$Q$32^2/2))</f>
        <v>190.771304838682</v>
      </c>
      <c r="I2265" s="49" t="n">
        <f aca="false">IF('Model Inputs &amp; Assumptions'!$H$32="Fixed",'Model Inputs &amp; Assumptions'!$I$32*'Model Inputs &amp; Assumptions'!$K$32,IF('Model Inputs &amp; Assumptions'!$H$32="CPM",'Model Inputs &amp; Assumptions'!$I$32*'Model Inputs &amp; Assumptions'!$K$32*C2265/1000,IF('Model Inputs &amp; Assumptions'!$H$32="CPC",'Model Inputs &amp; Assumptions'!$I$32*'Model Inputs &amp; Assumptions'!$K$32*G2265,0)))</f>
        <v>9559.68</v>
      </c>
      <c r="J2265" s="50" t="n">
        <f aca="false">H2265*INDEX('Model Inputs &amp; Assumptions'!$D$40:$D$42,MATCH('Model Inputs &amp; Assumptions'!$L$32,'Model Inputs &amp; Assumptions'!$A$40:$A$42,0))*INDEX('Model Inputs &amp; Assumptions'!$H$40:$H$42,MATCH('Model Inputs &amp; Assumptions'!$L$32,'Model Inputs &amp; Assumptions'!$A$40:$A$42,0))</f>
        <v>1030165.04612888</v>
      </c>
      <c r="K2265" s="49" t="n">
        <f aca="false">H2265*INDEX('Model Inputs &amp; Assumptions'!$G$40:$G$42,MATCH('Model Inputs &amp; Assumptions'!$L$32,'Model Inputs &amp; Assumptions'!$A$40:$A$42,0))*INDEX('Model Inputs &amp; Assumptions'!$H$40:$H$42,MATCH('Model Inputs &amp; Assumptions'!$L$32,'Model Inputs &amp; Assumptions'!$A$40:$A$42,0))</f>
        <v>21633.4659687065</v>
      </c>
      <c r="L2265" s="51" t="n">
        <f aca="false">IFERROR(K2265/I2265,0)</f>
        <v>2.26299059892241</v>
      </c>
      <c r="M2265" s="49" t="n">
        <f aca="false">IFERROR(I2265/H2265,0)</f>
        <v>50.1106809961999</v>
      </c>
      <c r="N2265" s="52" t="str">
        <f aca="false">'Model Inputs &amp; Assumptions'!$L$32</f>
        <v>PRD-SP01</v>
      </c>
      <c r="P2265" s="53" t="n">
        <v>-1.215578</v>
      </c>
      <c r="Q2265" s="53" t="n">
        <v>-0.497284</v>
      </c>
      <c r="R2265" s="53" t="n">
        <v>1.235577</v>
      </c>
      <c r="S2265" s="53" t="n">
        <v>0.472956</v>
      </c>
    </row>
    <row r="2266" customFormat="false" ht="15" hidden="false" customHeight="false" outlineLevel="0" collapsed="false">
      <c r="A2266" s="43" t="n">
        <v>263</v>
      </c>
      <c r="B2266" s="44" t="str">
        <f aca="false">'Model Inputs &amp; Assumptions'!$B$32</f>
        <v>Trade Republic — In-App Display</v>
      </c>
      <c r="C2266" s="45" t="n">
        <f aca="false">ROUND(MAX(0,'Model Inputs &amp; Assumptions'!$S$32*EXP('Model Inputs &amp; Assumptions'!$T$32*P2266-'Model Inputs &amp; Assumptions'!$T$32^2/2)),0)</f>
        <v>1241147</v>
      </c>
      <c r="D2266" s="46" t="n">
        <f aca="false">MIN(1,'Model Inputs &amp; Assumptions'!$U$32*EXP('Model Inputs &amp; Assumptions'!$V$32*Q2266-'Model Inputs &amp; Assumptions'!$V$32^2/2))</f>
        <v>0</v>
      </c>
      <c r="E2266" s="45" t="n">
        <f aca="false">ROUND(C2266*D2266,0)</f>
        <v>0</v>
      </c>
      <c r="F2266" s="47" t="n">
        <f aca="false">MIN(1,'Model Inputs &amp; Assumptions'!$W$32*EXP('Model Inputs &amp; Assumptions'!$X$32*R2266-'Model Inputs &amp; Assumptions'!$X$32^2/2))</f>
        <v>0.00352610854788721</v>
      </c>
      <c r="G2266" s="45" t="n">
        <f aca="false">ROUND(C2266*F2266,0)</f>
        <v>4376</v>
      </c>
      <c r="H2266" s="48" t="n">
        <f aca="false">MAX(0,(C2266*'Model Inputs &amp; Assumptions'!$N$32+E2266*'Model Inputs &amp; Assumptions'!$O$32+G2266*'Model Inputs &amp; Assumptions'!$P$32)*EXP('Model Inputs &amp; Assumptions'!$Q$32*S2266-'Model Inputs &amp; Assumptions'!$Q$32^2/2))</f>
        <v>156.84144567401</v>
      </c>
      <c r="I2266" s="49" t="n">
        <f aca="false">IF('Model Inputs &amp; Assumptions'!$H$32="Fixed",'Model Inputs &amp; Assumptions'!$I$32*'Model Inputs &amp; Assumptions'!$K$32,IF('Model Inputs &amp; Assumptions'!$H$32="CPM",'Model Inputs &amp; Assumptions'!$I$32*'Model Inputs &amp; Assumptions'!$K$32*C2266/1000,IF('Model Inputs &amp; Assumptions'!$H$32="CPC",'Model Inputs &amp; Assumptions'!$I$32*'Model Inputs &amp; Assumptions'!$K$32*G2266,0)))</f>
        <v>14893.764</v>
      </c>
      <c r="J2266" s="50" t="n">
        <f aca="false">H2266*INDEX('Model Inputs &amp; Assumptions'!$D$40:$D$42,MATCH('Model Inputs &amp; Assumptions'!$L$32,'Model Inputs &amp; Assumptions'!$A$40:$A$42,0))*INDEX('Model Inputs &amp; Assumptions'!$H$40:$H$42,MATCH('Model Inputs &amp; Assumptions'!$L$32,'Model Inputs &amp; Assumptions'!$A$40:$A$42,0))</f>
        <v>846943.806639652</v>
      </c>
      <c r="K2266" s="49" t="n">
        <f aca="false">H2266*INDEX('Model Inputs &amp; Assumptions'!$G$40:$G$42,MATCH('Model Inputs &amp; Assumptions'!$L$32,'Model Inputs &amp; Assumptions'!$A$40:$A$42,0))*INDEX('Model Inputs &amp; Assumptions'!$H$40:$H$42,MATCH('Model Inputs &amp; Assumptions'!$L$32,'Model Inputs &amp; Assumptions'!$A$40:$A$42,0))</f>
        <v>17785.8199394327</v>
      </c>
      <c r="L2266" s="51" t="n">
        <f aca="false">IFERROR(K2266/I2266,0)</f>
        <v>1.19417898252132</v>
      </c>
      <c r="M2266" s="49" t="n">
        <f aca="false">IFERROR(I2266/H2266,0)</f>
        <v>94.9606396191748</v>
      </c>
      <c r="N2266" s="52" t="str">
        <f aca="false">'Model Inputs &amp; Assumptions'!$L$32</f>
        <v>PRD-SP01</v>
      </c>
      <c r="P2266" s="53" t="n">
        <v>0.262382</v>
      </c>
      <c r="Q2266" s="53" t="n">
        <v>-1.534077</v>
      </c>
      <c r="R2266" s="53" t="n">
        <v>0.174773</v>
      </c>
      <c r="S2266" s="53" t="n">
        <v>-0.672722</v>
      </c>
    </row>
    <row r="2267" customFormat="false" ht="15" hidden="false" customHeight="false" outlineLevel="0" collapsed="false">
      <c r="A2267" s="43" t="n">
        <v>264</v>
      </c>
      <c r="B2267" s="44" t="str">
        <f aca="false">'Model Inputs &amp; Assumptions'!$B$32</f>
        <v>Trade Republic — In-App Display</v>
      </c>
      <c r="C2267" s="45" t="n">
        <f aca="false">ROUND(MAX(0,'Model Inputs &amp; Assumptions'!$S$32*EXP('Model Inputs &amp; Assumptions'!$T$32*P2267-'Model Inputs &amp; Assumptions'!$T$32^2/2)),0)</f>
        <v>1028288</v>
      </c>
      <c r="D2267" s="46" t="n">
        <f aca="false">MIN(1,'Model Inputs &amp; Assumptions'!$U$32*EXP('Model Inputs &amp; Assumptions'!$V$32*Q2267-'Model Inputs &amp; Assumptions'!$V$32^2/2))</f>
        <v>0</v>
      </c>
      <c r="E2267" s="45" t="n">
        <f aca="false">ROUND(C2267*D2267,0)</f>
        <v>0</v>
      </c>
      <c r="F2267" s="47" t="n">
        <f aca="false">MIN(1,'Model Inputs &amp; Assumptions'!$W$32*EXP('Model Inputs &amp; Assumptions'!$X$32*R2267-'Model Inputs &amp; Assumptions'!$X$32^2/2))</f>
        <v>0.00333072723319311</v>
      </c>
      <c r="G2267" s="45" t="n">
        <f aca="false">ROUND(C2267*F2267,0)</f>
        <v>3425</v>
      </c>
      <c r="H2267" s="48" t="n">
        <f aca="false">MAX(0,(C2267*'Model Inputs &amp; Assumptions'!$N$32+E2267*'Model Inputs &amp; Assumptions'!$O$32+G2267*'Model Inputs &amp; Assumptions'!$P$32)*EXP('Model Inputs &amp; Assumptions'!$Q$32*S2267-'Model Inputs &amp; Assumptions'!$Q$32^2/2))</f>
        <v>158.131872578528</v>
      </c>
      <c r="I2267" s="49" t="n">
        <f aca="false">IF('Model Inputs &amp; Assumptions'!$H$32="Fixed",'Model Inputs &amp; Assumptions'!$I$32*'Model Inputs &amp; Assumptions'!$K$32,IF('Model Inputs &amp; Assumptions'!$H$32="CPM",'Model Inputs &amp; Assumptions'!$I$32*'Model Inputs &amp; Assumptions'!$K$32*C2267/1000,IF('Model Inputs &amp; Assumptions'!$H$32="CPC",'Model Inputs &amp; Assumptions'!$I$32*'Model Inputs &amp; Assumptions'!$K$32*G2267,0)))</f>
        <v>12339.456</v>
      </c>
      <c r="J2267" s="50" t="n">
        <f aca="false">H2267*INDEX('Model Inputs &amp; Assumptions'!$D$40:$D$42,MATCH('Model Inputs &amp; Assumptions'!$L$32,'Model Inputs &amp; Assumptions'!$A$40:$A$42,0))*INDEX('Model Inputs &amp; Assumptions'!$H$40:$H$42,MATCH('Model Inputs &amp; Assumptions'!$L$32,'Model Inputs &amp; Assumptions'!$A$40:$A$42,0))</f>
        <v>853912.111924049</v>
      </c>
      <c r="K2267" s="49" t="n">
        <f aca="false">H2267*INDEX('Model Inputs &amp; Assumptions'!$G$40:$G$42,MATCH('Model Inputs &amp; Assumptions'!$L$32,'Model Inputs &amp; Assumptions'!$A$40:$A$42,0))*INDEX('Model Inputs &amp; Assumptions'!$H$40:$H$42,MATCH('Model Inputs &amp; Assumptions'!$L$32,'Model Inputs &amp; Assumptions'!$A$40:$A$42,0))</f>
        <v>17932.154350405</v>
      </c>
      <c r="L2267" s="51" t="n">
        <f aca="false">IFERROR(K2267/I2267,0)</f>
        <v>1.45323702685151</v>
      </c>
      <c r="M2267" s="49" t="n">
        <f aca="false">IFERROR(I2267/H2267,0)</f>
        <v>78.0326938446408</v>
      </c>
      <c r="N2267" s="52" t="str">
        <f aca="false">'Model Inputs &amp; Assumptions'!$L$32</f>
        <v>PRD-SP01</v>
      </c>
      <c r="P2267" s="53" t="n">
        <v>-0.364755</v>
      </c>
      <c r="Q2267" s="53" t="n">
        <v>-0.49924</v>
      </c>
      <c r="R2267" s="53" t="n">
        <v>-0.015241</v>
      </c>
      <c r="S2267" s="53" t="n">
        <v>0.231662</v>
      </c>
    </row>
    <row r="2268" customFormat="false" ht="15" hidden="false" customHeight="false" outlineLevel="0" collapsed="false">
      <c r="A2268" s="43" t="n">
        <v>265</v>
      </c>
      <c r="B2268" s="44" t="str">
        <f aca="false">'Model Inputs &amp; Assumptions'!$B$32</f>
        <v>Trade Republic — In-App Display</v>
      </c>
      <c r="C2268" s="45" t="n">
        <f aca="false">ROUND(MAX(0,'Model Inputs &amp; Assumptions'!$S$32*EXP('Model Inputs &amp; Assumptions'!$T$32*P2268-'Model Inputs &amp; Assumptions'!$T$32^2/2)),0)</f>
        <v>1204543</v>
      </c>
      <c r="D2268" s="46" t="n">
        <f aca="false">MIN(1,'Model Inputs &amp; Assumptions'!$U$32*EXP('Model Inputs &amp; Assumptions'!$V$32*Q2268-'Model Inputs &amp; Assumptions'!$V$32^2/2))</f>
        <v>0</v>
      </c>
      <c r="E2268" s="45" t="n">
        <f aca="false">ROUND(C2268*D2268,0)</f>
        <v>0</v>
      </c>
      <c r="F2268" s="47" t="n">
        <f aca="false">MIN(1,'Model Inputs &amp; Assumptions'!$W$32*EXP('Model Inputs &amp; Assumptions'!$X$32*R2268-'Model Inputs &amp; Assumptions'!$X$32^2/2))</f>
        <v>0.00382109017678103</v>
      </c>
      <c r="G2268" s="45" t="n">
        <f aca="false">ROUND(C2268*F2268,0)</f>
        <v>4603</v>
      </c>
      <c r="H2268" s="48" t="n">
        <f aca="false">MAX(0,(C2268*'Model Inputs &amp; Assumptions'!$N$32+E2268*'Model Inputs &amp; Assumptions'!$O$32+G2268*'Model Inputs &amp; Assumptions'!$P$32)*EXP('Model Inputs &amp; Assumptions'!$Q$32*S2268-'Model Inputs &amp; Assumptions'!$Q$32^2/2))</f>
        <v>156.09414434365</v>
      </c>
      <c r="I2268" s="49" t="n">
        <f aca="false">IF('Model Inputs &amp; Assumptions'!$H$32="Fixed",'Model Inputs &amp; Assumptions'!$I$32*'Model Inputs &amp; Assumptions'!$K$32,IF('Model Inputs &amp; Assumptions'!$H$32="CPM",'Model Inputs &amp; Assumptions'!$I$32*'Model Inputs &amp; Assumptions'!$K$32*C2268/1000,IF('Model Inputs &amp; Assumptions'!$H$32="CPC",'Model Inputs &amp; Assumptions'!$I$32*'Model Inputs &amp; Assumptions'!$K$32*G2268,0)))</f>
        <v>14454.516</v>
      </c>
      <c r="J2268" s="50" t="n">
        <f aca="false">H2268*INDEX('Model Inputs &amp; Assumptions'!$D$40:$D$42,MATCH('Model Inputs &amp; Assumptions'!$L$32,'Model Inputs &amp; Assumptions'!$A$40:$A$42,0))*INDEX('Model Inputs &amp; Assumptions'!$H$40:$H$42,MATCH('Model Inputs &amp; Assumptions'!$L$32,'Model Inputs &amp; Assumptions'!$A$40:$A$42,0))</f>
        <v>842908.379455712</v>
      </c>
      <c r="K2268" s="49" t="n">
        <f aca="false">H2268*INDEX('Model Inputs &amp; Assumptions'!$G$40:$G$42,MATCH('Model Inputs &amp; Assumptions'!$L$32,'Model Inputs &amp; Assumptions'!$A$40:$A$42,0))*INDEX('Model Inputs &amp; Assumptions'!$H$40:$H$42,MATCH('Model Inputs &amp; Assumptions'!$L$32,'Model Inputs &amp; Assumptions'!$A$40:$A$42,0))</f>
        <v>17701.07596857</v>
      </c>
      <c r="L2268" s="51" t="n">
        <f aca="false">IFERROR(K2268/I2268,0)</f>
        <v>1.22460523538595</v>
      </c>
      <c r="M2268" s="49" t="n">
        <f aca="false">IFERROR(I2268/H2268,0)</f>
        <v>92.6012699629369</v>
      </c>
      <c r="N2268" s="52" t="str">
        <f aca="false">'Model Inputs &amp; Assumptions'!$L$32</f>
        <v>PRD-SP01</v>
      </c>
      <c r="P2268" s="53" t="n">
        <v>0.162596</v>
      </c>
      <c r="Q2268" s="53" t="n">
        <v>-0.072538</v>
      </c>
      <c r="R2268" s="53" t="n">
        <v>0.442576</v>
      </c>
      <c r="S2268" s="53" t="n">
        <v>-0.870398</v>
      </c>
    </row>
    <row r="2269" customFormat="false" ht="15" hidden="false" customHeight="false" outlineLevel="0" collapsed="false">
      <c r="A2269" s="43" t="n">
        <v>266</v>
      </c>
      <c r="B2269" s="44" t="str">
        <f aca="false">'Model Inputs &amp; Assumptions'!$B$32</f>
        <v>Trade Republic — In-App Display</v>
      </c>
      <c r="C2269" s="45" t="n">
        <f aca="false">ROUND(MAX(0,'Model Inputs &amp; Assumptions'!$S$32*EXP('Model Inputs &amp; Assumptions'!$T$32*P2269-'Model Inputs &amp; Assumptions'!$T$32^2/2)),0)</f>
        <v>904815</v>
      </c>
      <c r="D2269" s="46" t="n">
        <f aca="false">MIN(1,'Model Inputs &amp; Assumptions'!$U$32*EXP('Model Inputs &amp; Assumptions'!$V$32*Q2269-'Model Inputs &amp; Assumptions'!$V$32^2/2))</f>
        <v>0</v>
      </c>
      <c r="E2269" s="45" t="n">
        <f aca="false">ROUND(C2269*D2269,0)</f>
        <v>0</v>
      </c>
      <c r="F2269" s="47" t="n">
        <f aca="false">MIN(1,'Model Inputs &amp; Assumptions'!$W$32*EXP('Model Inputs &amp; Assumptions'!$X$32*R2269-'Model Inputs &amp; Assumptions'!$X$32^2/2))</f>
        <v>0.00514006625003238</v>
      </c>
      <c r="G2269" s="45" t="n">
        <f aca="false">ROUND(C2269*F2269,0)</f>
        <v>4651</v>
      </c>
      <c r="H2269" s="48" t="n">
        <f aca="false">MAX(0,(C2269*'Model Inputs &amp; Assumptions'!$N$32+E2269*'Model Inputs &amp; Assumptions'!$O$32+G2269*'Model Inputs &amp; Assumptions'!$P$32)*EXP('Model Inputs &amp; Assumptions'!$Q$32*S2269-'Model Inputs &amp; Assumptions'!$Q$32^2/2))</f>
        <v>207.758540004512</v>
      </c>
      <c r="I2269" s="49" t="n">
        <f aca="false">IF('Model Inputs &amp; Assumptions'!$H$32="Fixed",'Model Inputs &amp; Assumptions'!$I$32*'Model Inputs &amp; Assumptions'!$K$32,IF('Model Inputs &amp; Assumptions'!$H$32="CPM",'Model Inputs &amp; Assumptions'!$I$32*'Model Inputs &amp; Assumptions'!$K$32*C2269/1000,IF('Model Inputs &amp; Assumptions'!$H$32="CPC",'Model Inputs &amp; Assumptions'!$I$32*'Model Inputs &amp; Assumptions'!$K$32*G2269,0)))</f>
        <v>10857.78</v>
      </c>
      <c r="J2269" s="50" t="n">
        <f aca="false">H2269*INDEX('Model Inputs &amp; Assumptions'!$D$40:$D$42,MATCH('Model Inputs &amp; Assumptions'!$L$32,'Model Inputs &amp; Assumptions'!$A$40:$A$42,0))*INDEX('Model Inputs &amp; Assumptions'!$H$40:$H$42,MATCH('Model Inputs &amp; Assumptions'!$L$32,'Model Inputs &amp; Assumptions'!$A$40:$A$42,0))</f>
        <v>1121896.11602436</v>
      </c>
      <c r="K2269" s="49" t="n">
        <f aca="false">H2269*INDEX('Model Inputs &amp; Assumptions'!$G$40:$G$42,MATCH('Model Inputs &amp; Assumptions'!$L$32,'Model Inputs &amp; Assumptions'!$A$40:$A$42,0))*INDEX('Model Inputs &amp; Assumptions'!$H$40:$H$42,MATCH('Model Inputs &amp; Assumptions'!$L$32,'Model Inputs &amp; Assumptions'!$A$40:$A$42,0))</f>
        <v>23559.8184365116</v>
      </c>
      <c r="L2269" s="51" t="n">
        <f aca="false">IFERROR(K2269/I2269,0)</f>
        <v>2.16985594076428</v>
      </c>
      <c r="M2269" s="49" t="n">
        <f aca="false">IFERROR(I2269/H2269,0)</f>
        <v>52.2615339892368</v>
      </c>
      <c r="N2269" s="52" t="str">
        <f aca="false">'Model Inputs &amp; Assumptions'!$L$32</f>
        <v>PRD-SP01</v>
      </c>
      <c r="P2269" s="53" t="n">
        <v>-0.791154</v>
      </c>
      <c r="Q2269" s="53" t="n">
        <v>-0.494201</v>
      </c>
      <c r="R2269" s="53" t="n">
        <v>1.43101</v>
      </c>
      <c r="S2269" s="53" t="n">
        <v>0.113685</v>
      </c>
    </row>
    <row r="2270" customFormat="false" ht="15" hidden="false" customHeight="false" outlineLevel="0" collapsed="false">
      <c r="A2270" s="43" t="n">
        <v>267</v>
      </c>
      <c r="B2270" s="44" t="str">
        <f aca="false">'Model Inputs &amp; Assumptions'!$B$32</f>
        <v>Trade Republic — In-App Display</v>
      </c>
      <c r="C2270" s="45" t="n">
        <f aca="false">ROUND(MAX(0,'Model Inputs &amp; Assumptions'!$S$32*EXP('Model Inputs &amp; Assumptions'!$T$32*P2270-'Model Inputs &amp; Assumptions'!$T$32^2/2)),0)</f>
        <v>1346234</v>
      </c>
      <c r="D2270" s="46" t="n">
        <f aca="false">MIN(1,'Model Inputs &amp; Assumptions'!$U$32*EXP('Model Inputs &amp; Assumptions'!$V$32*Q2270-'Model Inputs &amp; Assumptions'!$V$32^2/2))</f>
        <v>0</v>
      </c>
      <c r="E2270" s="45" t="n">
        <f aca="false">ROUND(C2270*D2270,0)</f>
        <v>0</v>
      </c>
      <c r="F2270" s="47" t="n">
        <f aca="false">MIN(1,'Model Inputs &amp; Assumptions'!$W$32*EXP('Model Inputs &amp; Assumptions'!$X$32*R2270-'Model Inputs &amp; Assumptions'!$X$32^2/2))</f>
        <v>0.00333452342629574</v>
      </c>
      <c r="G2270" s="45" t="n">
        <f aca="false">ROUND(C2270*F2270,0)</f>
        <v>4489</v>
      </c>
      <c r="H2270" s="48" t="n">
        <f aca="false">MAX(0,(C2270*'Model Inputs &amp; Assumptions'!$N$32+E2270*'Model Inputs &amp; Assumptions'!$O$32+G2270*'Model Inputs &amp; Assumptions'!$P$32)*EXP('Model Inputs &amp; Assumptions'!$Q$32*S2270-'Model Inputs &amp; Assumptions'!$Q$32^2/2))</f>
        <v>262.709297873752</v>
      </c>
      <c r="I2270" s="49" t="n">
        <f aca="false">IF('Model Inputs &amp; Assumptions'!$H$32="Fixed",'Model Inputs &amp; Assumptions'!$I$32*'Model Inputs &amp; Assumptions'!$K$32,IF('Model Inputs &amp; Assumptions'!$H$32="CPM",'Model Inputs &amp; Assumptions'!$I$32*'Model Inputs &amp; Assumptions'!$K$32*C2270/1000,IF('Model Inputs &amp; Assumptions'!$H$32="CPC",'Model Inputs &amp; Assumptions'!$I$32*'Model Inputs &amp; Assumptions'!$K$32*G2270,0)))</f>
        <v>16154.808</v>
      </c>
      <c r="J2270" s="50" t="n">
        <f aca="false">H2270*INDEX('Model Inputs &amp; Assumptions'!$D$40:$D$42,MATCH('Model Inputs &amp; Assumptions'!$L$32,'Model Inputs &amp; Assumptions'!$A$40:$A$42,0))*INDEX('Model Inputs &amp; Assumptions'!$H$40:$H$42,MATCH('Model Inputs &amp; Assumptions'!$L$32,'Model Inputs &amp; Assumptions'!$A$40:$A$42,0))</f>
        <v>1418630.20851826</v>
      </c>
      <c r="K2270" s="49" t="n">
        <f aca="false">H2270*INDEX('Model Inputs &amp; Assumptions'!$G$40:$G$42,MATCH('Model Inputs &amp; Assumptions'!$L$32,'Model Inputs &amp; Assumptions'!$A$40:$A$42,0))*INDEX('Model Inputs &amp; Assumptions'!$H$40:$H$42,MATCH('Model Inputs &amp; Assumptions'!$L$32,'Model Inputs &amp; Assumptions'!$A$40:$A$42,0))</f>
        <v>29791.2343788835</v>
      </c>
      <c r="L2270" s="51" t="n">
        <f aca="false">IFERROR(K2270/I2270,0)</f>
        <v>1.84410946752716</v>
      </c>
      <c r="M2270" s="49" t="n">
        <f aca="false">IFERROR(I2270/H2270,0)</f>
        <v>61.493095717394</v>
      </c>
      <c r="N2270" s="52" t="str">
        <f aca="false">'Model Inputs &amp; Assumptions'!$L$32</f>
        <v>PRD-SP01</v>
      </c>
      <c r="P2270" s="53" t="n">
        <v>0.533299</v>
      </c>
      <c r="Q2270" s="53" t="n">
        <v>0.185362</v>
      </c>
      <c r="R2270" s="53" t="n">
        <v>-0.011444</v>
      </c>
      <c r="S2270" s="53" t="n">
        <v>1.078413</v>
      </c>
    </row>
    <row r="2271" customFormat="false" ht="15" hidden="false" customHeight="false" outlineLevel="0" collapsed="false">
      <c r="A2271" s="43" t="n">
        <v>268</v>
      </c>
      <c r="B2271" s="44" t="str">
        <f aca="false">'Model Inputs &amp; Assumptions'!$B$32</f>
        <v>Trade Republic — In-App Display</v>
      </c>
      <c r="C2271" s="45" t="n">
        <f aca="false">ROUND(MAX(0,'Model Inputs &amp; Assumptions'!$S$32*EXP('Model Inputs &amp; Assumptions'!$T$32*P2271-'Model Inputs &amp; Assumptions'!$T$32^2/2)),0)</f>
        <v>1495785</v>
      </c>
      <c r="D2271" s="46" t="n">
        <f aca="false">MIN(1,'Model Inputs &amp; Assumptions'!$U$32*EXP('Model Inputs &amp; Assumptions'!$V$32*Q2271-'Model Inputs &amp; Assumptions'!$V$32^2/2))</f>
        <v>0</v>
      </c>
      <c r="E2271" s="45" t="n">
        <f aca="false">ROUND(C2271*D2271,0)</f>
        <v>0</v>
      </c>
      <c r="F2271" s="47" t="n">
        <f aca="false">MIN(1,'Model Inputs &amp; Assumptions'!$W$32*EXP('Model Inputs &amp; Assumptions'!$X$32*R2271-'Model Inputs &amp; Assumptions'!$X$32^2/2))</f>
        <v>0.0018610321785226</v>
      </c>
      <c r="G2271" s="45" t="n">
        <f aca="false">ROUND(C2271*F2271,0)</f>
        <v>2784</v>
      </c>
      <c r="H2271" s="48" t="n">
        <f aca="false">MAX(0,(C2271*'Model Inputs &amp; Assumptions'!$N$32+E2271*'Model Inputs &amp; Assumptions'!$O$32+G2271*'Model Inputs &amp; Assumptions'!$P$32)*EXP('Model Inputs &amp; Assumptions'!$Q$32*S2271-'Model Inputs &amp; Assumptions'!$Q$32^2/2))</f>
        <v>131.964278988778</v>
      </c>
      <c r="I2271" s="49" t="n">
        <f aca="false">IF('Model Inputs &amp; Assumptions'!$H$32="Fixed",'Model Inputs &amp; Assumptions'!$I$32*'Model Inputs &amp; Assumptions'!$K$32,IF('Model Inputs &amp; Assumptions'!$H$32="CPM",'Model Inputs &amp; Assumptions'!$I$32*'Model Inputs &amp; Assumptions'!$K$32*C2271/1000,IF('Model Inputs &amp; Assumptions'!$H$32="CPC",'Model Inputs &amp; Assumptions'!$I$32*'Model Inputs &amp; Assumptions'!$K$32*G2271,0)))</f>
        <v>17949.42</v>
      </c>
      <c r="J2271" s="50" t="n">
        <f aca="false">H2271*INDEX('Model Inputs &amp; Assumptions'!$D$40:$D$42,MATCH('Model Inputs &amp; Assumptions'!$L$32,'Model Inputs &amp; Assumptions'!$A$40:$A$42,0))*INDEX('Model Inputs &amp; Assumptions'!$H$40:$H$42,MATCH('Model Inputs &amp; Assumptions'!$L$32,'Model Inputs &amp; Assumptions'!$A$40:$A$42,0))</f>
        <v>712607.106539402</v>
      </c>
      <c r="K2271" s="49" t="n">
        <f aca="false">H2271*INDEX('Model Inputs &amp; Assumptions'!$G$40:$G$42,MATCH('Model Inputs &amp; Assumptions'!$L$32,'Model Inputs &amp; Assumptions'!$A$40:$A$42,0))*INDEX('Model Inputs &amp; Assumptions'!$H$40:$H$42,MATCH('Model Inputs &amp; Assumptions'!$L$32,'Model Inputs &amp; Assumptions'!$A$40:$A$42,0))</f>
        <v>14964.7492373274</v>
      </c>
      <c r="L2271" s="51" t="n">
        <f aca="false">IFERROR(K2271/I2271,0)</f>
        <v>0.833717704378606</v>
      </c>
      <c r="M2271" s="49" t="n">
        <f aca="false">IFERROR(I2271/H2271,0)</f>
        <v>136.017262683081</v>
      </c>
      <c r="N2271" s="52" t="str">
        <f aca="false">'Model Inputs &amp; Assumptions'!$L$32</f>
        <v>PRD-SP01</v>
      </c>
      <c r="P2271" s="53" t="n">
        <v>0.884432</v>
      </c>
      <c r="Q2271" s="53" t="n">
        <v>1.060519</v>
      </c>
      <c r="R2271" s="53" t="n">
        <v>-1.955439</v>
      </c>
      <c r="S2271" s="53" t="n">
        <v>0.325643</v>
      </c>
    </row>
    <row r="2272" customFormat="false" ht="15" hidden="false" customHeight="false" outlineLevel="0" collapsed="false">
      <c r="A2272" s="43" t="n">
        <v>269</v>
      </c>
      <c r="B2272" s="44" t="str">
        <f aca="false">'Model Inputs &amp; Assumptions'!$B$32</f>
        <v>Trade Republic — In-App Display</v>
      </c>
      <c r="C2272" s="45" t="n">
        <f aca="false">ROUND(MAX(0,'Model Inputs &amp; Assumptions'!$S$32*EXP('Model Inputs &amp; Assumptions'!$T$32*P2272-'Model Inputs &amp; Assumptions'!$T$32^2/2)),0)</f>
        <v>1316674</v>
      </c>
      <c r="D2272" s="46" t="n">
        <f aca="false">MIN(1,'Model Inputs &amp; Assumptions'!$U$32*EXP('Model Inputs &amp; Assumptions'!$V$32*Q2272-'Model Inputs &amp; Assumptions'!$V$32^2/2))</f>
        <v>0</v>
      </c>
      <c r="E2272" s="45" t="n">
        <f aca="false">ROUND(C2272*D2272,0)</f>
        <v>0</v>
      </c>
      <c r="F2272" s="47" t="n">
        <f aca="false">MIN(1,'Model Inputs &amp; Assumptions'!$W$32*EXP('Model Inputs &amp; Assumptions'!$X$32*R2272-'Model Inputs &amp; Assumptions'!$X$32^2/2))</f>
        <v>0.00255751368177088</v>
      </c>
      <c r="G2272" s="45" t="n">
        <f aca="false">ROUND(C2272*F2272,0)</f>
        <v>3367</v>
      </c>
      <c r="H2272" s="48" t="n">
        <f aca="false">MAX(0,(C2272*'Model Inputs &amp; Assumptions'!$N$32+E2272*'Model Inputs &amp; Assumptions'!$O$32+G2272*'Model Inputs &amp; Assumptions'!$P$32)*EXP('Model Inputs &amp; Assumptions'!$Q$32*S2272-'Model Inputs &amp; Assumptions'!$Q$32^2/2))</f>
        <v>157.141034330561</v>
      </c>
      <c r="I2272" s="49" t="n">
        <f aca="false">IF('Model Inputs &amp; Assumptions'!$H$32="Fixed",'Model Inputs &amp; Assumptions'!$I$32*'Model Inputs &amp; Assumptions'!$K$32,IF('Model Inputs &amp; Assumptions'!$H$32="CPM",'Model Inputs &amp; Assumptions'!$I$32*'Model Inputs &amp; Assumptions'!$K$32*C2272/1000,IF('Model Inputs &amp; Assumptions'!$H$32="CPC",'Model Inputs &amp; Assumptions'!$I$32*'Model Inputs &amp; Assumptions'!$K$32*G2272,0)))</f>
        <v>15800.088</v>
      </c>
      <c r="J2272" s="50" t="n">
        <f aca="false">H2272*INDEX('Model Inputs &amp; Assumptions'!$D$40:$D$42,MATCH('Model Inputs &amp; Assumptions'!$L$32,'Model Inputs &amp; Assumptions'!$A$40:$A$42,0))*INDEX('Model Inputs &amp; Assumptions'!$H$40:$H$42,MATCH('Model Inputs &amp; Assumptions'!$L$32,'Model Inputs &amp; Assumptions'!$A$40:$A$42,0))</f>
        <v>848561.585385027</v>
      </c>
      <c r="K2272" s="49" t="n">
        <f aca="false">H2272*INDEX('Model Inputs &amp; Assumptions'!$G$40:$G$42,MATCH('Model Inputs &amp; Assumptions'!$L$32,'Model Inputs &amp; Assumptions'!$A$40:$A$42,0))*INDEX('Model Inputs &amp; Assumptions'!$H$40:$H$42,MATCH('Model Inputs &amp; Assumptions'!$L$32,'Model Inputs &amp; Assumptions'!$A$40:$A$42,0))</f>
        <v>17819.7932930856</v>
      </c>
      <c r="L2272" s="51" t="n">
        <f aca="false">IFERROR(K2272/I2272,0)</f>
        <v>1.12782873697194</v>
      </c>
      <c r="M2272" s="49" t="n">
        <f aca="false">IFERROR(I2272/H2272,0)</f>
        <v>100.547180864058</v>
      </c>
      <c r="N2272" s="52" t="str">
        <f aca="false">'Model Inputs &amp; Assumptions'!$L$32</f>
        <v>PRD-SP01</v>
      </c>
      <c r="P2272" s="53" t="n">
        <v>0.459292</v>
      </c>
      <c r="Q2272" s="53" t="n">
        <v>1.716465</v>
      </c>
      <c r="R2272" s="53" t="n">
        <v>-0.895758</v>
      </c>
      <c r="S2272" s="53" t="n">
        <v>0.270211</v>
      </c>
    </row>
    <row r="2273" customFormat="false" ht="15" hidden="false" customHeight="false" outlineLevel="0" collapsed="false">
      <c r="A2273" s="43" t="n">
        <v>270</v>
      </c>
      <c r="B2273" s="44" t="str">
        <f aca="false">'Model Inputs &amp; Assumptions'!$B$32</f>
        <v>Trade Republic — In-App Display</v>
      </c>
      <c r="C2273" s="45" t="n">
        <f aca="false">ROUND(MAX(0,'Model Inputs &amp; Assumptions'!$S$32*EXP('Model Inputs &amp; Assumptions'!$T$32*P2273-'Model Inputs &amp; Assumptions'!$T$32^2/2)),0)</f>
        <v>1386481</v>
      </c>
      <c r="D2273" s="46" t="n">
        <f aca="false">MIN(1,'Model Inputs &amp; Assumptions'!$U$32*EXP('Model Inputs &amp; Assumptions'!$V$32*Q2273-'Model Inputs &amp; Assumptions'!$V$32^2/2))</f>
        <v>0</v>
      </c>
      <c r="E2273" s="45" t="n">
        <f aca="false">ROUND(C2273*D2273,0)</f>
        <v>0</v>
      </c>
      <c r="F2273" s="47" t="n">
        <f aca="false">MIN(1,'Model Inputs &amp; Assumptions'!$W$32*EXP('Model Inputs &amp; Assumptions'!$X$32*R2273-'Model Inputs &amp; Assumptions'!$X$32^2/2))</f>
        <v>0.00535560228177679</v>
      </c>
      <c r="G2273" s="45" t="n">
        <f aca="false">ROUND(C2273*F2273,0)</f>
        <v>7425</v>
      </c>
      <c r="H2273" s="48" t="n">
        <f aca="false">MAX(0,(C2273*'Model Inputs &amp; Assumptions'!$N$32+E2273*'Model Inputs &amp; Assumptions'!$O$32+G2273*'Model Inputs &amp; Assumptions'!$P$32)*EXP('Model Inputs &amp; Assumptions'!$Q$32*S2273-'Model Inputs &amp; Assumptions'!$Q$32^2/2))</f>
        <v>248.252430760167</v>
      </c>
      <c r="I2273" s="49" t="n">
        <f aca="false">IF('Model Inputs &amp; Assumptions'!$H$32="Fixed",'Model Inputs &amp; Assumptions'!$I$32*'Model Inputs &amp; Assumptions'!$K$32,IF('Model Inputs &amp; Assumptions'!$H$32="CPM",'Model Inputs &amp; Assumptions'!$I$32*'Model Inputs &amp; Assumptions'!$K$32*C2273/1000,IF('Model Inputs &amp; Assumptions'!$H$32="CPC",'Model Inputs &amp; Assumptions'!$I$32*'Model Inputs &amp; Assumptions'!$K$32*G2273,0)))</f>
        <v>16637.772</v>
      </c>
      <c r="J2273" s="50" t="n">
        <f aca="false">H2273*INDEX('Model Inputs &amp; Assumptions'!$D$40:$D$42,MATCH('Model Inputs &amp; Assumptions'!$L$32,'Model Inputs &amp; Assumptions'!$A$40:$A$42,0))*INDEX('Model Inputs &amp; Assumptions'!$H$40:$H$42,MATCH('Model Inputs &amp; Assumptions'!$L$32,'Model Inputs &amp; Assumptions'!$A$40:$A$42,0))</f>
        <v>1340563.1261049</v>
      </c>
      <c r="K2273" s="49" t="n">
        <f aca="false">H2273*INDEX('Model Inputs &amp; Assumptions'!$G$40:$G$42,MATCH('Model Inputs &amp; Assumptions'!$L$32,'Model Inputs &amp; Assumptions'!$A$40:$A$42,0))*INDEX('Model Inputs &amp; Assumptions'!$H$40:$H$42,MATCH('Model Inputs &amp; Assumptions'!$L$32,'Model Inputs &amp; Assumptions'!$A$40:$A$42,0))</f>
        <v>28151.8256482029</v>
      </c>
      <c r="L2273" s="51" t="n">
        <f aca="false">IFERROR(K2273/I2273,0)</f>
        <v>1.69204300000041</v>
      </c>
      <c r="M2273" s="49" t="n">
        <f aca="false">IFERROR(I2273/H2273,0)</f>
        <v>67.01957337962</v>
      </c>
      <c r="N2273" s="52" t="str">
        <f aca="false">'Model Inputs &amp; Assumptions'!$L$32</f>
        <v>PRD-SP01</v>
      </c>
      <c r="P2273" s="53" t="n">
        <v>0.63149</v>
      </c>
      <c r="Q2273" s="53" t="n">
        <v>0.51211</v>
      </c>
      <c r="R2273" s="53" t="n">
        <v>1.567934</v>
      </c>
      <c r="S2273" s="53" t="n">
        <v>-0.920961</v>
      </c>
    </row>
    <row r="2274" customFormat="false" ht="15" hidden="false" customHeight="false" outlineLevel="0" collapsed="false">
      <c r="A2274" s="43" t="n">
        <v>271</v>
      </c>
      <c r="B2274" s="44" t="str">
        <f aca="false">'Model Inputs &amp; Assumptions'!$B$32</f>
        <v>Trade Republic — In-App Display</v>
      </c>
      <c r="C2274" s="45" t="n">
        <f aca="false">ROUND(MAX(0,'Model Inputs &amp; Assumptions'!$S$32*EXP('Model Inputs &amp; Assumptions'!$T$32*P2274-'Model Inputs &amp; Assumptions'!$T$32^2/2)),0)</f>
        <v>923870</v>
      </c>
      <c r="D2274" s="46" t="n">
        <f aca="false">MIN(1,'Model Inputs &amp; Assumptions'!$U$32*EXP('Model Inputs &amp; Assumptions'!$V$32*Q2274-'Model Inputs &amp; Assumptions'!$V$32^2/2))</f>
        <v>0</v>
      </c>
      <c r="E2274" s="45" t="n">
        <f aca="false">ROUND(C2274*D2274,0)</f>
        <v>0</v>
      </c>
      <c r="F2274" s="47" t="n">
        <f aca="false">MIN(1,'Model Inputs &amp; Assumptions'!$W$32*EXP('Model Inputs &amp; Assumptions'!$X$32*R2274-'Model Inputs &amp; Assumptions'!$X$32^2/2))</f>
        <v>0.00252249721326901</v>
      </c>
      <c r="G2274" s="45" t="n">
        <f aca="false">ROUND(C2274*F2274,0)</f>
        <v>2330</v>
      </c>
      <c r="H2274" s="48" t="n">
        <f aca="false">MAX(0,(C2274*'Model Inputs &amp; Assumptions'!$N$32+E2274*'Model Inputs &amp; Assumptions'!$O$32+G2274*'Model Inputs &amp; Assumptions'!$P$32)*EXP('Model Inputs &amp; Assumptions'!$Q$32*S2274-'Model Inputs &amp; Assumptions'!$Q$32^2/2))</f>
        <v>93.3574839230536</v>
      </c>
      <c r="I2274" s="49" t="n">
        <f aca="false">IF('Model Inputs &amp; Assumptions'!$H$32="Fixed",'Model Inputs &amp; Assumptions'!$I$32*'Model Inputs &amp; Assumptions'!$K$32,IF('Model Inputs &amp; Assumptions'!$H$32="CPM",'Model Inputs &amp; Assumptions'!$I$32*'Model Inputs &amp; Assumptions'!$K$32*C2274/1000,IF('Model Inputs &amp; Assumptions'!$H$32="CPC",'Model Inputs &amp; Assumptions'!$I$32*'Model Inputs &amp; Assumptions'!$K$32*G2274,0)))</f>
        <v>11086.44</v>
      </c>
      <c r="J2274" s="50" t="n">
        <f aca="false">H2274*INDEX('Model Inputs &amp; Assumptions'!$D$40:$D$42,MATCH('Model Inputs &amp; Assumptions'!$L$32,'Model Inputs &amp; Assumptions'!$A$40:$A$42,0))*INDEX('Model Inputs &amp; Assumptions'!$H$40:$H$42,MATCH('Model Inputs &amp; Assumptions'!$L$32,'Model Inputs &amp; Assumptions'!$A$40:$A$42,0))</f>
        <v>504130.413184489</v>
      </c>
      <c r="K2274" s="49" t="n">
        <f aca="false">H2274*INDEX('Model Inputs &amp; Assumptions'!$G$40:$G$42,MATCH('Model Inputs &amp; Assumptions'!$L$32,'Model Inputs &amp; Assumptions'!$A$40:$A$42,0))*INDEX('Model Inputs &amp; Assumptions'!$H$40:$H$42,MATCH('Model Inputs &amp; Assumptions'!$L$32,'Model Inputs &amp; Assumptions'!$A$40:$A$42,0))</f>
        <v>10586.7386768743</v>
      </c>
      <c r="L2274" s="51" t="n">
        <f aca="false">IFERROR(K2274/I2274,0)</f>
        <v>0.954926800386262</v>
      </c>
      <c r="M2274" s="49" t="n">
        <f aca="false">IFERROR(I2274/H2274,0)</f>
        <v>118.752557739641</v>
      </c>
      <c r="N2274" s="52" t="str">
        <f aca="false">'Model Inputs &amp; Assumptions'!$L$32</f>
        <v>PRD-SP01</v>
      </c>
      <c r="P2274" s="53" t="n">
        <v>-0.721685</v>
      </c>
      <c r="Q2274" s="53" t="n">
        <v>0.22587</v>
      </c>
      <c r="R2274" s="53" t="n">
        <v>-0.941712</v>
      </c>
      <c r="S2274" s="53" t="n">
        <v>-0.274624</v>
      </c>
    </row>
    <row r="2275" customFormat="false" ht="15" hidden="false" customHeight="false" outlineLevel="0" collapsed="false">
      <c r="A2275" s="43" t="n">
        <v>272</v>
      </c>
      <c r="B2275" s="44" t="str">
        <f aca="false">'Model Inputs &amp; Assumptions'!$B$32</f>
        <v>Trade Republic — In-App Display</v>
      </c>
      <c r="C2275" s="45" t="n">
        <f aca="false">ROUND(MAX(0,'Model Inputs &amp; Assumptions'!$S$32*EXP('Model Inputs &amp; Assumptions'!$T$32*P2275-'Model Inputs &amp; Assumptions'!$T$32^2/2)),0)</f>
        <v>1402112</v>
      </c>
      <c r="D2275" s="46" t="n">
        <f aca="false">MIN(1,'Model Inputs &amp; Assumptions'!$U$32*EXP('Model Inputs &amp; Assumptions'!$V$32*Q2275-'Model Inputs &amp; Assumptions'!$V$32^2/2))</f>
        <v>0</v>
      </c>
      <c r="E2275" s="45" t="n">
        <f aca="false">ROUND(C2275*D2275,0)</f>
        <v>0</v>
      </c>
      <c r="F2275" s="47" t="n">
        <f aca="false">MIN(1,'Model Inputs &amp; Assumptions'!$W$32*EXP('Model Inputs &amp; Assumptions'!$X$32*R2275-'Model Inputs &amp; Assumptions'!$X$32^2/2))</f>
        <v>0.00387953332172531</v>
      </c>
      <c r="G2275" s="45" t="n">
        <f aca="false">ROUND(C2275*F2275,0)</f>
        <v>5440</v>
      </c>
      <c r="H2275" s="48" t="n">
        <f aca="false">MAX(0,(C2275*'Model Inputs &amp; Assumptions'!$N$32+E2275*'Model Inputs &amp; Assumptions'!$O$32+G2275*'Model Inputs &amp; Assumptions'!$P$32)*EXP('Model Inputs &amp; Assumptions'!$Q$32*S2275-'Model Inputs &amp; Assumptions'!$Q$32^2/2))</f>
        <v>336.900619972597</v>
      </c>
      <c r="I2275" s="49" t="n">
        <f aca="false">IF('Model Inputs &amp; Assumptions'!$H$32="Fixed",'Model Inputs &amp; Assumptions'!$I$32*'Model Inputs &amp; Assumptions'!$K$32,IF('Model Inputs &amp; Assumptions'!$H$32="CPM",'Model Inputs &amp; Assumptions'!$I$32*'Model Inputs &amp; Assumptions'!$K$32*C2275/1000,IF('Model Inputs &amp; Assumptions'!$H$32="CPC",'Model Inputs &amp; Assumptions'!$I$32*'Model Inputs &amp; Assumptions'!$K$32*G2275,0)))</f>
        <v>16825.344</v>
      </c>
      <c r="J2275" s="50" t="n">
        <f aca="false">H2275*INDEX('Model Inputs &amp; Assumptions'!$D$40:$D$42,MATCH('Model Inputs &amp; Assumptions'!$L$32,'Model Inputs &amp; Assumptions'!$A$40:$A$42,0))*INDEX('Model Inputs &amp; Assumptions'!$H$40:$H$42,MATCH('Model Inputs &amp; Assumptions'!$L$32,'Model Inputs &amp; Assumptions'!$A$40:$A$42,0))</f>
        <v>1819263.34785202</v>
      </c>
      <c r="K2275" s="49" t="n">
        <f aca="false">H2275*INDEX('Model Inputs &amp; Assumptions'!$G$40:$G$42,MATCH('Model Inputs &amp; Assumptions'!$L$32,'Model Inputs &amp; Assumptions'!$A$40:$A$42,0))*INDEX('Model Inputs &amp; Assumptions'!$H$40:$H$42,MATCH('Model Inputs &amp; Assumptions'!$L$32,'Model Inputs &amp; Assumptions'!$A$40:$A$42,0))</f>
        <v>38204.5303048925</v>
      </c>
      <c r="L2275" s="51" t="n">
        <f aca="false">IFERROR(K2275/I2275,0)</f>
        <v>2.27065374145649</v>
      </c>
      <c r="M2275" s="49" t="n">
        <f aca="false">IFERROR(I2275/H2275,0)</f>
        <v>49.9415643739942</v>
      </c>
      <c r="N2275" s="52" t="str">
        <f aca="false">'Model Inputs &amp; Assumptions'!$L$32</f>
        <v>PRD-SP01</v>
      </c>
      <c r="P2275" s="53" t="n">
        <v>0.66886</v>
      </c>
      <c r="Q2275" s="53" t="n">
        <v>-0.608494</v>
      </c>
      <c r="R2275" s="53" t="n">
        <v>0.493173</v>
      </c>
      <c r="S2275" s="53" t="n">
        <v>1.280523</v>
      </c>
    </row>
    <row r="2276" customFormat="false" ht="15" hidden="false" customHeight="false" outlineLevel="0" collapsed="false">
      <c r="A2276" s="43" t="n">
        <v>273</v>
      </c>
      <c r="B2276" s="44" t="str">
        <f aca="false">'Model Inputs &amp; Assumptions'!$B$32</f>
        <v>Trade Republic — In-App Display</v>
      </c>
      <c r="C2276" s="45" t="n">
        <f aca="false">ROUND(MAX(0,'Model Inputs &amp; Assumptions'!$S$32*EXP('Model Inputs &amp; Assumptions'!$T$32*P2276-'Model Inputs &amp; Assumptions'!$T$32^2/2)),0)</f>
        <v>1436248</v>
      </c>
      <c r="D2276" s="46" t="n">
        <f aca="false">MIN(1,'Model Inputs &amp; Assumptions'!$U$32*EXP('Model Inputs &amp; Assumptions'!$V$32*Q2276-'Model Inputs &amp; Assumptions'!$V$32^2/2))</f>
        <v>0</v>
      </c>
      <c r="E2276" s="45" t="n">
        <f aca="false">ROUND(C2276*D2276,0)</f>
        <v>0</v>
      </c>
      <c r="F2276" s="47" t="n">
        <f aca="false">MIN(1,'Model Inputs &amp; Assumptions'!$W$32*EXP('Model Inputs &amp; Assumptions'!$X$32*R2276-'Model Inputs &amp; Assumptions'!$X$32^2/2))</f>
        <v>0.00239284053476241</v>
      </c>
      <c r="G2276" s="45" t="n">
        <f aca="false">ROUND(C2276*F2276,0)</f>
        <v>3437</v>
      </c>
      <c r="H2276" s="48" t="n">
        <f aca="false">MAX(0,(C2276*'Model Inputs &amp; Assumptions'!$N$32+E2276*'Model Inputs &amp; Assumptions'!$O$32+G2276*'Model Inputs &amp; Assumptions'!$P$32)*EXP('Model Inputs &amp; Assumptions'!$Q$32*S2276-'Model Inputs &amp; Assumptions'!$Q$32^2/2))</f>
        <v>168.794920120814</v>
      </c>
      <c r="I2276" s="49" t="n">
        <f aca="false">IF('Model Inputs &amp; Assumptions'!$H$32="Fixed",'Model Inputs &amp; Assumptions'!$I$32*'Model Inputs &amp; Assumptions'!$K$32,IF('Model Inputs &amp; Assumptions'!$H$32="CPM",'Model Inputs &amp; Assumptions'!$I$32*'Model Inputs &amp; Assumptions'!$K$32*C2276/1000,IF('Model Inputs &amp; Assumptions'!$H$32="CPC",'Model Inputs &amp; Assumptions'!$I$32*'Model Inputs &amp; Assumptions'!$K$32*G2276,0)))</f>
        <v>17234.976</v>
      </c>
      <c r="J2276" s="50" t="n">
        <f aca="false">H2276*INDEX('Model Inputs &amp; Assumptions'!$D$40:$D$42,MATCH('Model Inputs &amp; Assumptions'!$L$32,'Model Inputs &amp; Assumptions'!$A$40:$A$42,0))*INDEX('Model Inputs &amp; Assumptions'!$H$40:$H$42,MATCH('Model Inputs &amp; Assumptions'!$L$32,'Model Inputs &amp; Assumptions'!$A$40:$A$42,0))</f>
        <v>911492.568652398</v>
      </c>
      <c r="K2276" s="49" t="n">
        <f aca="false">H2276*INDEX('Model Inputs &amp; Assumptions'!$G$40:$G$42,MATCH('Model Inputs &amp; Assumptions'!$L$32,'Model Inputs &amp; Assumptions'!$A$40:$A$42,0))*INDEX('Model Inputs &amp; Assumptions'!$H$40:$H$42,MATCH('Model Inputs &amp; Assumptions'!$L$32,'Model Inputs &amp; Assumptions'!$A$40:$A$42,0))</f>
        <v>19141.3439417004</v>
      </c>
      <c r="L2276" s="51" t="n">
        <f aca="false">IFERROR(K2276/I2276,0)</f>
        <v>1.11061042044389</v>
      </c>
      <c r="M2276" s="49" t="n">
        <f aca="false">IFERROR(I2276/H2276,0)</f>
        <v>102.106011174176</v>
      </c>
      <c r="N2276" s="52" t="str">
        <f aca="false">'Model Inputs &amp; Assumptions'!$L$32</f>
        <v>PRD-SP01</v>
      </c>
      <c r="P2276" s="53" t="n">
        <v>0.749042</v>
      </c>
      <c r="Q2276" s="53" t="n">
        <v>0.715702</v>
      </c>
      <c r="R2276" s="53" t="n">
        <v>-1.117606</v>
      </c>
      <c r="S2276" s="53" t="n">
        <v>0.452225</v>
      </c>
    </row>
    <row r="2277" customFormat="false" ht="15" hidden="false" customHeight="false" outlineLevel="0" collapsed="false">
      <c r="A2277" s="43" t="n">
        <v>274</v>
      </c>
      <c r="B2277" s="44" t="str">
        <f aca="false">'Model Inputs &amp; Assumptions'!$B$32</f>
        <v>Trade Republic — In-App Display</v>
      </c>
      <c r="C2277" s="45" t="n">
        <f aca="false">ROUND(MAX(0,'Model Inputs &amp; Assumptions'!$S$32*EXP('Model Inputs &amp; Assumptions'!$T$32*P2277-'Model Inputs &amp; Assumptions'!$T$32^2/2)),0)</f>
        <v>963387</v>
      </c>
      <c r="D2277" s="46" t="n">
        <f aca="false">MIN(1,'Model Inputs &amp; Assumptions'!$U$32*EXP('Model Inputs &amp; Assumptions'!$V$32*Q2277-'Model Inputs &amp; Assumptions'!$V$32^2/2))</f>
        <v>0</v>
      </c>
      <c r="E2277" s="45" t="n">
        <f aca="false">ROUND(C2277*D2277,0)</f>
        <v>0</v>
      </c>
      <c r="F2277" s="47" t="n">
        <f aca="false">MIN(1,'Model Inputs &amp; Assumptions'!$W$32*EXP('Model Inputs &amp; Assumptions'!$X$32*R2277-'Model Inputs &amp; Assumptions'!$X$32^2/2))</f>
        <v>0.00224090044282071</v>
      </c>
      <c r="G2277" s="45" t="n">
        <f aca="false">ROUND(C2277*F2277,0)</f>
        <v>2159</v>
      </c>
      <c r="H2277" s="48" t="n">
        <f aca="false">MAX(0,(C2277*'Model Inputs &amp; Assumptions'!$N$32+E2277*'Model Inputs &amp; Assumptions'!$O$32+G2277*'Model Inputs &amp; Assumptions'!$P$32)*EXP('Model Inputs &amp; Assumptions'!$Q$32*S2277-'Model Inputs &amp; Assumptions'!$Q$32^2/2))</f>
        <v>69.460960915388</v>
      </c>
      <c r="I2277" s="49" t="n">
        <f aca="false">IF('Model Inputs &amp; Assumptions'!$H$32="Fixed",'Model Inputs &amp; Assumptions'!$I$32*'Model Inputs &amp; Assumptions'!$K$32,IF('Model Inputs &amp; Assumptions'!$H$32="CPM",'Model Inputs &amp; Assumptions'!$I$32*'Model Inputs &amp; Assumptions'!$K$32*C2277/1000,IF('Model Inputs &amp; Assumptions'!$H$32="CPC",'Model Inputs &amp; Assumptions'!$I$32*'Model Inputs &amp; Assumptions'!$K$32*G2277,0)))</f>
        <v>11560.644</v>
      </c>
      <c r="J2277" s="50" t="n">
        <f aca="false">H2277*INDEX('Model Inputs &amp; Assumptions'!$D$40:$D$42,MATCH('Model Inputs &amp; Assumptions'!$L$32,'Model Inputs &amp; Assumptions'!$A$40:$A$42,0))*INDEX('Model Inputs &amp; Assumptions'!$H$40:$H$42,MATCH('Model Inputs &amp; Assumptions'!$L$32,'Model Inputs &amp; Assumptions'!$A$40:$A$42,0))</f>
        <v>375089.188943095</v>
      </c>
      <c r="K2277" s="49" t="n">
        <f aca="false">H2277*INDEX('Model Inputs &amp; Assumptions'!$G$40:$G$42,MATCH('Model Inputs &amp; Assumptions'!$L$32,'Model Inputs &amp; Assumptions'!$A$40:$A$42,0))*INDEX('Model Inputs &amp; Assumptions'!$H$40:$H$42,MATCH('Model Inputs &amp; Assumptions'!$L$32,'Model Inputs &amp; Assumptions'!$A$40:$A$42,0))</f>
        <v>7876.87296780499</v>
      </c>
      <c r="L2277" s="51" t="n">
        <f aca="false">IFERROR(K2277/I2277,0)</f>
        <v>0.681352437442498</v>
      </c>
      <c r="M2277" s="49" t="n">
        <f aca="false">IFERROR(I2277/H2277,0)</f>
        <v>166.433689480373</v>
      </c>
      <c r="N2277" s="52" t="str">
        <f aca="false">'Model Inputs &amp; Assumptions'!$L$32</f>
        <v>PRD-SP01</v>
      </c>
      <c r="P2277" s="53" t="n">
        <v>-0.582072</v>
      </c>
      <c r="Q2277" s="53" t="n">
        <v>-2.854226</v>
      </c>
      <c r="R2277" s="53" t="n">
        <v>-1.336284</v>
      </c>
      <c r="S2277" s="53" t="n">
        <v>-1.058367</v>
      </c>
    </row>
    <row r="2278" customFormat="false" ht="15" hidden="false" customHeight="false" outlineLevel="0" collapsed="false">
      <c r="A2278" s="43" t="n">
        <v>275</v>
      </c>
      <c r="B2278" s="44" t="str">
        <f aca="false">'Model Inputs &amp; Assumptions'!$B$32</f>
        <v>Trade Republic — In-App Display</v>
      </c>
      <c r="C2278" s="45" t="n">
        <f aca="false">ROUND(MAX(0,'Model Inputs &amp; Assumptions'!$S$32*EXP('Model Inputs &amp; Assumptions'!$T$32*P2278-'Model Inputs &amp; Assumptions'!$T$32^2/2)),0)</f>
        <v>810978</v>
      </c>
      <c r="D2278" s="46" t="n">
        <f aca="false">MIN(1,'Model Inputs &amp; Assumptions'!$U$32*EXP('Model Inputs &amp; Assumptions'!$V$32*Q2278-'Model Inputs &amp; Assumptions'!$V$32^2/2))</f>
        <v>0</v>
      </c>
      <c r="E2278" s="45" t="n">
        <f aca="false">ROUND(C2278*D2278,0)</f>
        <v>0</v>
      </c>
      <c r="F2278" s="47" t="n">
        <f aca="false">MIN(1,'Model Inputs &amp; Assumptions'!$W$32*EXP('Model Inputs &amp; Assumptions'!$X$32*R2278-'Model Inputs &amp; Assumptions'!$X$32^2/2))</f>
        <v>0.00555385715079524</v>
      </c>
      <c r="G2278" s="45" t="n">
        <f aca="false">ROUND(C2278*F2278,0)</f>
        <v>4504</v>
      </c>
      <c r="H2278" s="48" t="n">
        <f aca="false">MAX(0,(C2278*'Model Inputs &amp; Assumptions'!$N$32+E2278*'Model Inputs &amp; Assumptions'!$O$32+G2278*'Model Inputs &amp; Assumptions'!$P$32)*EXP('Model Inputs &amp; Assumptions'!$Q$32*S2278-'Model Inputs &amp; Assumptions'!$Q$32^2/2))</f>
        <v>109.490166394529</v>
      </c>
      <c r="I2278" s="49" t="n">
        <f aca="false">IF('Model Inputs &amp; Assumptions'!$H$32="Fixed",'Model Inputs &amp; Assumptions'!$I$32*'Model Inputs &amp; Assumptions'!$K$32,IF('Model Inputs &amp; Assumptions'!$H$32="CPM",'Model Inputs &amp; Assumptions'!$I$32*'Model Inputs &amp; Assumptions'!$K$32*C2278/1000,IF('Model Inputs &amp; Assumptions'!$H$32="CPC",'Model Inputs &amp; Assumptions'!$I$32*'Model Inputs &amp; Assumptions'!$K$32*G2278,0)))</f>
        <v>9731.736</v>
      </c>
      <c r="J2278" s="50" t="n">
        <f aca="false">H2278*INDEX('Model Inputs &amp; Assumptions'!$D$40:$D$42,MATCH('Model Inputs &amp; Assumptions'!$L$32,'Model Inputs &amp; Assumptions'!$A$40:$A$42,0))*INDEX('Model Inputs &amp; Assumptions'!$H$40:$H$42,MATCH('Model Inputs &amp; Assumptions'!$L$32,'Model Inputs &amp; Assumptions'!$A$40:$A$42,0))</f>
        <v>591246.898530458</v>
      </c>
      <c r="K2278" s="49" t="n">
        <f aca="false">H2278*INDEX('Model Inputs &amp; Assumptions'!$G$40:$G$42,MATCH('Model Inputs &amp; Assumptions'!$L$32,'Model Inputs &amp; Assumptions'!$A$40:$A$42,0))*INDEX('Model Inputs &amp; Assumptions'!$H$40:$H$42,MATCH('Model Inputs &amp; Assumptions'!$L$32,'Model Inputs &amp; Assumptions'!$A$40:$A$42,0))</f>
        <v>12416.1848691396</v>
      </c>
      <c r="L2278" s="51" t="n">
        <f aca="false">IFERROR(K2278/I2278,0)</f>
        <v>1.27584481012839</v>
      </c>
      <c r="M2278" s="49" t="n">
        <f aca="false">IFERROR(I2278/H2278,0)</f>
        <v>88.882283409209</v>
      </c>
      <c r="N2278" s="52" t="str">
        <f aca="false">'Model Inputs &amp; Assumptions'!$L$32</f>
        <v>PRD-SP01</v>
      </c>
      <c r="P2278" s="53" t="n">
        <v>-1.156119</v>
      </c>
      <c r="Q2278" s="53" t="n">
        <v>0.35209</v>
      </c>
      <c r="R2278" s="53" t="n">
        <v>1.689099</v>
      </c>
      <c r="S2278" s="53" t="n">
        <v>-2.059263</v>
      </c>
    </row>
    <row r="2279" customFormat="false" ht="15" hidden="false" customHeight="false" outlineLevel="0" collapsed="false">
      <c r="A2279" s="43" t="n">
        <v>276</v>
      </c>
      <c r="B2279" s="44" t="str">
        <f aca="false">'Model Inputs &amp; Assumptions'!$B$32</f>
        <v>Trade Republic — In-App Display</v>
      </c>
      <c r="C2279" s="45" t="n">
        <f aca="false">ROUND(MAX(0,'Model Inputs &amp; Assumptions'!$S$32*EXP('Model Inputs &amp; Assumptions'!$T$32*P2279-'Model Inputs &amp; Assumptions'!$T$32^2/2)),0)</f>
        <v>1096631</v>
      </c>
      <c r="D2279" s="46" t="n">
        <f aca="false">MIN(1,'Model Inputs &amp; Assumptions'!$U$32*EXP('Model Inputs &amp; Assumptions'!$V$32*Q2279-'Model Inputs &amp; Assumptions'!$V$32^2/2))</f>
        <v>0</v>
      </c>
      <c r="E2279" s="45" t="n">
        <f aca="false">ROUND(C2279*D2279,0)</f>
        <v>0</v>
      </c>
      <c r="F2279" s="47" t="n">
        <f aca="false">MIN(1,'Model Inputs &amp; Assumptions'!$W$32*EXP('Model Inputs &amp; Assumptions'!$X$32*R2279-'Model Inputs &amp; Assumptions'!$X$32^2/2))</f>
        <v>0.00308351989803141</v>
      </c>
      <c r="G2279" s="45" t="n">
        <f aca="false">ROUND(C2279*F2279,0)</f>
        <v>3381</v>
      </c>
      <c r="H2279" s="48" t="n">
        <f aca="false">MAX(0,(C2279*'Model Inputs &amp; Assumptions'!$N$32+E2279*'Model Inputs &amp; Assumptions'!$O$32+G2279*'Model Inputs &amp; Assumptions'!$P$32)*EXP('Model Inputs &amp; Assumptions'!$Q$32*S2279-'Model Inputs &amp; Assumptions'!$Q$32^2/2))</f>
        <v>150.841541759495</v>
      </c>
      <c r="I2279" s="49" t="n">
        <f aca="false">IF('Model Inputs &amp; Assumptions'!$H$32="Fixed",'Model Inputs &amp; Assumptions'!$I$32*'Model Inputs &amp; Assumptions'!$K$32,IF('Model Inputs &amp; Assumptions'!$H$32="CPM",'Model Inputs &amp; Assumptions'!$I$32*'Model Inputs &amp; Assumptions'!$K$32*C2279/1000,IF('Model Inputs &amp; Assumptions'!$H$32="CPC",'Model Inputs &amp; Assumptions'!$I$32*'Model Inputs &amp; Assumptions'!$K$32*G2279,0)))</f>
        <v>13159.572</v>
      </c>
      <c r="J2279" s="50" t="n">
        <f aca="false">H2279*INDEX('Model Inputs &amp; Assumptions'!$D$40:$D$42,MATCH('Model Inputs &amp; Assumptions'!$L$32,'Model Inputs &amp; Assumptions'!$A$40:$A$42,0))*INDEX('Model Inputs &amp; Assumptions'!$H$40:$H$42,MATCH('Model Inputs &amp; Assumptions'!$L$32,'Model Inputs &amp; Assumptions'!$A$40:$A$42,0))</f>
        <v>814544.325501273</v>
      </c>
      <c r="K2279" s="49" t="n">
        <f aca="false">H2279*INDEX('Model Inputs &amp; Assumptions'!$G$40:$G$42,MATCH('Model Inputs &amp; Assumptions'!$L$32,'Model Inputs &amp; Assumptions'!$A$40:$A$42,0))*INDEX('Model Inputs &amp; Assumptions'!$H$40:$H$42,MATCH('Model Inputs &amp; Assumptions'!$L$32,'Model Inputs &amp; Assumptions'!$A$40:$A$42,0))</f>
        <v>17105.4308355267</v>
      </c>
      <c r="L2279" s="51" t="n">
        <f aca="false">IFERROR(K2279/I2279,0)</f>
        <v>1.29984704939695</v>
      </c>
      <c r="M2279" s="49" t="n">
        <f aca="false">IFERROR(I2279/H2279,0)</f>
        <v>87.2410335143743</v>
      </c>
      <c r="N2279" s="52" t="str">
        <f aca="false">'Model Inputs &amp; Assumptions'!$L$32</f>
        <v>PRD-SP01</v>
      </c>
      <c r="P2279" s="53" t="n">
        <v>-0.150263</v>
      </c>
      <c r="Q2279" s="53" t="n">
        <v>-0.250825</v>
      </c>
      <c r="R2279" s="53" t="n">
        <v>-0.272304</v>
      </c>
      <c r="S2279" s="53" t="n">
        <v>0.109271</v>
      </c>
    </row>
    <row r="2280" customFormat="false" ht="15" hidden="false" customHeight="false" outlineLevel="0" collapsed="false">
      <c r="A2280" s="43" t="n">
        <v>277</v>
      </c>
      <c r="B2280" s="44" t="str">
        <f aca="false">'Model Inputs &amp; Assumptions'!$B$32</f>
        <v>Trade Republic — In-App Display</v>
      </c>
      <c r="C2280" s="45" t="n">
        <f aca="false">ROUND(MAX(0,'Model Inputs &amp; Assumptions'!$S$32*EXP('Model Inputs &amp; Assumptions'!$T$32*P2280-'Model Inputs &amp; Assumptions'!$T$32^2/2)),0)</f>
        <v>967955</v>
      </c>
      <c r="D2280" s="46" t="n">
        <f aca="false">MIN(1,'Model Inputs &amp; Assumptions'!$U$32*EXP('Model Inputs &amp; Assumptions'!$V$32*Q2280-'Model Inputs &amp; Assumptions'!$V$32^2/2))</f>
        <v>0</v>
      </c>
      <c r="E2280" s="45" t="n">
        <f aca="false">ROUND(C2280*D2280,0)</f>
        <v>0</v>
      </c>
      <c r="F2280" s="47" t="n">
        <f aca="false">MIN(1,'Model Inputs &amp; Assumptions'!$W$32*EXP('Model Inputs &amp; Assumptions'!$X$32*R2280-'Model Inputs &amp; Assumptions'!$X$32^2/2))</f>
        <v>0.00301347671945963</v>
      </c>
      <c r="G2280" s="45" t="n">
        <f aca="false">ROUND(C2280*F2280,0)</f>
        <v>2917</v>
      </c>
      <c r="H2280" s="48" t="n">
        <f aca="false">MAX(0,(C2280*'Model Inputs &amp; Assumptions'!$N$32+E2280*'Model Inputs &amp; Assumptions'!$O$32+G2280*'Model Inputs &amp; Assumptions'!$P$32)*EXP('Model Inputs &amp; Assumptions'!$Q$32*S2280-'Model Inputs &amp; Assumptions'!$Q$32^2/2))</f>
        <v>146.243695962921</v>
      </c>
      <c r="I2280" s="49" t="n">
        <f aca="false">IF('Model Inputs &amp; Assumptions'!$H$32="Fixed",'Model Inputs &amp; Assumptions'!$I$32*'Model Inputs &amp; Assumptions'!$K$32,IF('Model Inputs &amp; Assumptions'!$H$32="CPM",'Model Inputs &amp; Assumptions'!$I$32*'Model Inputs &amp; Assumptions'!$K$32*C2280/1000,IF('Model Inputs &amp; Assumptions'!$H$32="CPC",'Model Inputs &amp; Assumptions'!$I$32*'Model Inputs &amp; Assumptions'!$K$32*G2280,0)))</f>
        <v>11615.46</v>
      </c>
      <c r="J2280" s="50" t="n">
        <f aca="false">H2280*INDEX('Model Inputs &amp; Assumptions'!$D$40:$D$42,MATCH('Model Inputs &amp; Assumptions'!$L$32,'Model Inputs &amp; Assumptions'!$A$40:$A$42,0))*INDEX('Model Inputs &amp; Assumptions'!$H$40:$H$42,MATCH('Model Inputs &amp; Assumptions'!$L$32,'Model Inputs &amp; Assumptions'!$A$40:$A$42,0))</f>
        <v>789715.958199774</v>
      </c>
      <c r="K2280" s="49" t="n">
        <f aca="false">H2280*INDEX('Model Inputs &amp; Assumptions'!$G$40:$G$42,MATCH('Model Inputs &amp; Assumptions'!$L$32,'Model Inputs &amp; Assumptions'!$A$40:$A$42,0))*INDEX('Model Inputs &amp; Assumptions'!$H$40:$H$42,MATCH('Model Inputs &amp; Assumptions'!$L$32,'Model Inputs &amp; Assumptions'!$A$40:$A$42,0))</f>
        <v>16584.0351221953</v>
      </c>
      <c r="L2280" s="51" t="n">
        <f aca="false">IFERROR(K2280/I2280,0)</f>
        <v>1.42775534694237</v>
      </c>
      <c r="M2280" s="49" t="n">
        <f aca="false">IFERROR(I2280/H2280,0)</f>
        <v>79.4253723110568</v>
      </c>
      <c r="N2280" s="52" t="str">
        <f aca="false">'Model Inputs &amp; Assumptions'!$L$32</f>
        <v>PRD-SP01</v>
      </c>
      <c r="P2280" s="53" t="n">
        <v>-0.566305</v>
      </c>
      <c r="Q2280" s="53" t="n">
        <v>-0.991353</v>
      </c>
      <c r="R2280" s="53" t="n">
        <v>-0.348895</v>
      </c>
      <c r="S2280" s="53" t="n">
        <v>0.525915</v>
      </c>
    </row>
    <row r="2281" customFormat="false" ht="15" hidden="false" customHeight="false" outlineLevel="0" collapsed="false">
      <c r="A2281" s="43" t="n">
        <v>278</v>
      </c>
      <c r="B2281" s="44" t="str">
        <f aca="false">'Model Inputs &amp; Assumptions'!$B$32</f>
        <v>Trade Republic — In-App Display</v>
      </c>
      <c r="C2281" s="45" t="n">
        <f aca="false">ROUND(MAX(0,'Model Inputs &amp; Assumptions'!$S$32*EXP('Model Inputs &amp; Assumptions'!$T$32*P2281-'Model Inputs &amp; Assumptions'!$T$32^2/2)),0)</f>
        <v>1896629</v>
      </c>
      <c r="D2281" s="46" t="n">
        <f aca="false">MIN(1,'Model Inputs &amp; Assumptions'!$U$32*EXP('Model Inputs &amp; Assumptions'!$V$32*Q2281-'Model Inputs &amp; Assumptions'!$V$32^2/2))</f>
        <v>0</v>
      </c>
      <c r="E2281" s="45" t="n">
        <f aca="false">ROUND(C2281*D2281,0)</f>
        <v>0</v>
      </c>
      <c r="F2281" s="47" t="n">
        <f aca="false">MIN(1,'Model Inputs &amp; Assumptions'!$W$32*EXP('Model Inputs &amp; Assumptions'!$X$32*R2281-'Model Inputs &amp; Assumptions'!$X$32^2/2))</f>
        <v>0.00317260262533758</v>
      </c>
      <c r="G2281" s="45" t="n">
        <f aca="false">ROUND(C2281*F2281,0)</f>
        <v>6017</v>
      </c>
      <c r="H2281" s="48" t="n">
        <f aca="false">MAX(0,(C2281*'Model Inputs &amp; Assumptions'!$N$32+E2281*'Model Inputs &amp; Assumptions'!$O$32+G2281*'Model Inputs &amp; Assumptions'!$P$32)*EXP('Model Inputs &amp; Assumptions'!$Q$32*S2281-'Model Inputs &amp; Assumptions'!$Q$32^2/2))</f>
        <v>381.331748033633</v>
      </c>
      <c r="I2281" s="49" t="n">
        <f aca="false">IF('Model Inputs &amp; Assumptions'!$H$32="Fixed",'Model Inputs &amp; Assumptions'!$I$32*'Model Inputs &amp; Assumptions'!$K$32,IF('Model Inputs &amp; Assumptions'!$H$32="CPM",'Model Inputs &amp; Assumptions'!$I$32*'Model Inputs &amp; Assumptions'!$K$32*C2281/1000,IF('Model Inputs &amp; Assumptions'!$H$32="CPC",'Model Inputs &amp; Assumptions'!$I$32*'Model Inputs &amp; Assumptions'!$K$32*G2281,0)))</f>
        <v>22759.548</v>
      </c>
      <c r="J2281" s="50" t="n">
        <f aca="false">H2281*INDEX('Model Inputs &amp; Assumptions'!$D$40:$D$42,MATCH('Model Inputs &amp; Assumptions'!$L$32,'Model Inputs &amp; Assumptions'!$A$40:$A$42,0))*INDEX('Model Inputs &amp; Assumptions'!$H$40:$H$42,MATCH('Model Inputs &amp; Assumptions'!$L$32,'Model Inputs &amp; Assumptions'!$A$40:$A$42,0))</f>
        <v>2059191.43938162</v>
      </c>
      <c r="K2281" s="49" t="n">
        <f aca="false">H2281*INDEX('Model Inputs &amp; Assumptions'!$G$40:$G$42,MATCH('Model Inputs &amp; Assumptions'!$L$32,'Model Inputs &amp; Assumptions'!$A$40:$A$42,0))*INDEX('Model Inputs &amp; Assumptions'!$H$40:$H$42,MATCH('Model Inputs &amp; Assumptions'!$L$32,'Model Inputs &amp; Assumptions'!$A$40:$A$42,0))</f>
        <v>43243.020227014</v>
      </c>
      <c r="L2281" s="51" t="n">
        <f aca="false">IFERROR(K2281/I2281,0)</f>
        <v>1.89999468473689</v>
      </c>
      <c r="M2281" s="49" t="n">
        <f aca="false">IFERROR(I2281/H2281,0)</f>
        <v>59.6843774937738</v>
      </c>
      <c r="N2281" s="52" t="str">
        <f aca="false">'Model Inputs &amp; Assumptions'!$L$32</f>
        <v>PRD-SP01</v>
      </c>
      <c r="P2281" s="53" t="n">
        <v>1.675855</v>
      </c>
      <c r="Q2281" s="53" t="n">
        <v>1.359154</v>
      </c>
      <c r="R2281" s="53" t="n">
        <v>-0.177369</v>
      </c>
      <c r="S2281" s="53" t="n">
        <v>1.362923</v>
      </c>
    </row>
    <row r="2282" customFormat="false" ht="15" hidden="false" customHeight="false" outlineLevel="0" collapsed="false">
      <c r="A2282" s="43" t="n">
        <v>279</v>
      </c>
      <c r="B2282" s="44" t="str">
        <f aca="false">'Model Inputs &amp; Assumptions'!$B$32</f>
        <v>Trade Republic — In-App Display</v>
      </c>
      <c r="C2282" s="45" t="n">
        <f aca="false">ROUND(MAX(0,'Model Inputs &amp; Assumptions'!$S$32*EXP('Model Inputs &amp; Assumptions'!$T$32*P2282-'Model Inputs &amp; Assumptions'!$T$32^2/2)),0)</f>
        <v>1112535</v>
      </c>
      <c r="D2282" s="46" t="n">
        <f aca="false">MIN(1,'Model Inputs &amp; Assumptions'!$U$32*EXP('Model Inputs &amp; Assumptions'!$V$32*Q2282-'Model Inputs &amp; Assumptions'!$V$32^2/2))</f>
        <v>0</v>
      </c>
      <c r="E2282" s="45" t="n">
        <f aca="false">ROUND(C2282*D2282,0)</f>
        <v>0</v>
      </c>
      <c r="F2282" s="47" t="n">
        <f aca="false">MIN(1,'Model Inputs &amp; Assumptions'!$W$32*EXP('Model Inputs &amp; Assumptions'!$X$32*R2282-'Model Inputs &amp; Assumptions'!$X$32^2/2))</f>
        <v>0.00213165818719634</v>
      </c>
      <c r="G2282" s="45" t="n">
        <f aca="false">ROUND(C2282*F2282,0)</f>
        <v>2372</v>
      </c>
      <c r="H2282" s="48" t="n">
        <f aca="false">MAX(0,(C2282*'Model Inputs &amp; Assumptions'!$N$32+E2282*'Model Inputs &amp; Assumptions'!$O$32+G2282*'Model Inputs &amp; Assumptions'!$P$32)*EXP('Model Inputs &amp; Assumptions'!$Q$32*S2282-'Model Inputs &amp; Assumptions'!$Q$32^2/2))</f>
        <v>73.0142108153118</v>
      </c>
      <c r="I2282" s="49" t="n">
        <f aca="false">IF('Model Inputs &amp; Assumptions'!$H$32="Fixed",'Model Inputs &amp; Assumptions'!$I$32*'Model Inputs &amp; Assumptions'!$K$32,IF('Model Inputs &amp; Assumptions'!$H$32="CPM",'Model Inputs &amp; Assumptions'!$I$32*'Model Inputs &amp; Assumptions'!$K$32*C2282/1000,IF('Model Inputs &amp; Assumptions'!$H$32="CPC",'Model Inputs &amp; Assumptions'!$I$32*'Model Inputs &amp; Assumptions'!$K$32*G2282,0)))</f>
        <v>13350.42</v>
      </c>
      <c r="J2282" s="50" t="n">
        <f aca="false">H2282*INDEX('Model Inputs &amp; Assumptions'!$D$40:$D$42,MATCH('Model Inputs &amp; Assumptions'!$L$32,'Model Inputs &amp; Assumptions'!$A$40:$A$42,0))*INDEX('Model Inputs &amp; Assumptions'!$H$40:$H$42,MATCH('Model Inputs &amp; Assumptions'!$L$32,'Model Inputs &amp; Assumptions'!$A$40:$A$42,0))</f>
        <v>394276.738402683</v>
      </c>
      <c r="K2282" s="49" t="n">
        <f aca="false">H2282*INDEX('Model Inputs &amp; Assumptions'!$G$40:$G$42,MATCH('Model Inputs &amp; Assumptions'!$L$32,'Model Inputs &amp; Assumptions'!$A$40:$A$42,0))*INDEX('Model Inputs &amp; Assumptions'!$H$40:$H$42,MATCH('Model Inputs &amp; Assumptions'!$L$32,'Model Inputs &amp; Assumptions'!$A$40:$A$42,0))</f>
        <v>8279.81150645635</v>
      </c>
      <c r="L2282" s="51" t="n">
        <f aca="false">IFERROR(K2282/I2282,0)</f>
        <v>0.62019108810482</v>
      </c>
      <c r="M2282" s="49" t="n">
        <f aca="false">IFERROR(I2282/H2282,0)</f>
        <v>182.846871190181</v>
      </c>
      <c r="N2282" s="52" t="str">
        <f aca="false">'Model Inputs &amp; Assumptions'!$L$32</f>
        <v>PRD-SP01</v>
      </c>
      <c r="P2282" s="53" t="n">
        <v>-0.102267</v>
      </c>
      <c r="Q2282" s="53" t="n">
        <v>1.409976</v>
      </c>
      <c r="R2282" s="53" t="n">
        <v>-1.502876</v>
      </c>
      <c r="S2282" s="53" t="n">
        <v>-1.216221</v>
      </c>
    </row>
    <row r="2283" customFormat="false" ht="15" hidden="false" customHeight="false" outlineLevel="0" collapsed="false">
      <c r="A2283" s="43" t="n">
        <v>280</v>
      </c>
      <c r="B2283" s="44" t="str">
        <f aca="false">'Model Inputs &amp; Assumptions'!$B$32</f>
        <v>Trade Republic — In-App Display</v>
      </c>
      <c r="C2283" s="45" t="n">
        <f aca="false">ROUND(MAX(0,'Model Inputs &amp; Assumptions'!$S$32*EXP('Model Inputs &amp; Assumptions'!$T$32*P2283-'Model Inputs &amp; Assumptions'!$T$32^2/2)),0)</f>
        <v>840777</v>
      </c>
      <c r="D2283" s="46" t="n">
        <f aca="false">MIN(1,'Model Inputs &amp; Assumptions'!$U$32*EXP('Model Inputs &amp; Assumptions'!$V$32*Q2283-'Model Inputs &amp; Assumptions'!$V$32^2/2))</f>
        <v>0</v>
      </c>
      <c r="E2283" s="45" t="n">
        <f aca="false">ROUND(C2283*D2283,0)</f>
        <v>0</v>
      </c>
      <c r="F2283" s="47" t="n">
        <f aca="false">MIN(1,'Model Inputs &amp; Assumptions'!$W$32*EXP('Model Inputs &amp; Assumptions'!$X$32*R2283-'Model Inputs &amp; Assumptions'!$X$32^2/2))</f>
        <v>0.00318842246211396</v>
      </c>
      <c r="G2283" s="45" t="n">
        <f aca="false">ROUND(C2283*F2283,0)</f>
        <v>2681</v>
      </c>
      <c r="H2283" s="48" t="n">
        <f aca="false">MAX(0,(C2283*'Model Inputs &amp; Assumptions'!$N$32+E2283*'Model Inputs &amp; Assumptions'!$O$32+G2283*'Model Inputs &amp; Assumptions'!$P$32)*EXP('Model Inputs &amp; Assumptions'!$Q$32*S2283-'Model Inputs &amp; Assumptions'!$Q$32^2/2))</f>
        <v>90.114404934715</v>
      </c>
      <c r="I2283" s="49" t="n">
        <f aca="false">IF('Model Inputs &amp; Assumptions'!$H$32="Fixed",'Model Inputs &amp; Assumptions'!$I$32*'Model Inputs &amp; Assumptions'!$K$32,IF('Model Inputs &amp; Assumptions'!$H$32="CPM",'Model Inputs &amp; Assumptions'!$I$32*'Model Inputs &amp; Assumptions'!$K$32*C2283/1000,IF('Model Inputs &amp; Assumptions'!$H$32="CPC",'Model Inputs &amp; Assumptions'!$I$32*'Model Inputs &amp; Assumptions'!$K$32*G2283,0)))</f>
        <v>10089.324</v>
      </c>
      <c r="J2283" s="50" t="n">
        <f aca="false">H2283*INDEX('Model Inputs &amp; Assumptions'!$D$40:$D$42,MATCH('Model Inputs &amp; Assumptions'!$L$32,'Model Inputs &amp; Assumptions'!$A$40:$A$42,0))*INDEX('Model Inputs &amp; Assumptions'!$H$40:$H$42,MATCH('Model Inputs &amp; Assumptions'!$L$32,'Model Inputs &amp; Assumptions'!$A$40:$A$42,0))</f>
        <v>486617.786647461</v>
      </c>
      <c r="K2283" s="49" t="n">
        <f aca="false">H2283*INDEX('Model Inputs &amp; Assumptions'!$G$40:$G$42,MATCH('Model Inputs &amp; Assumptions'!$L$32,'Model Inputs &amp; Assumptions'!$A$40:$A$42,0))*INDEX('Model Inputs &amp; Assumptions'!$H$40:$H$42,MATCH('Model Inputs &amp; Assumptions'!$L$32,'Model Inputs &amp; Assumptions'!$A$40:$A$42,0))</f>
        <v>10218.9735195967</v>
      </c>
      <c r="L2283" s="51" t="n">
        <f aca="false">IFERROR(K2283/I2283,0)</f>
        <v>1.01285016910912</v>
      </c>
      <c r="M2283" s="49" t="n">
        <f aca="false">IFERROR(I2283/H2283,0)</f>
        <v>111.961278635856</v>
      </c>
      <c r="N2283" s="52" t="str">
        <f aca="false">'Model Inputs &amp; Assumptions'!$L$32</f>
        <v>PRD-SP01</v>
      </c>
      <c r="P2283" s="53" t="n">
        <v>-1.035836</v>
      </c>
      <c r="Q2283" s="53" t="n">
        <v>0.4889</v>
      </c>
      <c r="R2283" s="53" t="n">
        <v>-0.160789</v>
      </c>
      <c r="S2283" s="53" t="n">
        <v>-0.902044</v>
      </c>
    </row>
    <row r="2284" customFormat="false" ht="15" hidden="false" customHeight="false" outlineLevel="0" collapsed="false">
      <c r="A2284" s="43" t="n">
        <v>281</v>
      </c>
      <c r="B2284" s="44" t="str">
        <f aca="false">'Model Inputs &amp; Assumptions'!$B$32</f>
        <v>Trade Republic — In-App Display</v>
      </c>
      <c r="C2284" s="45" t="n">
        <f aca="false">ROUND(MAX(0,'Model Inputs &amp; Assumptions'!$S$32*EXP('Model Inputs &amp; Assumptions'!$T$32*P2284-'Model Inputs &amp; Assumptions'!$T$32^2/2)),0)</f>
        <v>919309</v>
      </c>
      <c r="D2284" s="46" t="n">
        <f aca="false">MIN(1,'Model Inputs &amp; Assumptions'!$U$32*EXP('Model Inputs &amp; Assumptions'!$V$32*Q2284-'Model Inputs &amp; Assumptions'!$V$32^2/2))</f>
        <v>0</v>
      </c>
      <c r="E2284" s="45" t="n">
        <f aca="false">ROUND(C2284*D2284,0)</f>
        <v>0</v>
      </c>
      <c r="F2284" s="47" t="n">
        <f aca="false">MIN(1,'Model Inputs &amp; Assumptions'!$W$32*EXP('Model Inputs &amp; Assumptions'!$X$32*R2284-'Model Inputs &amp; Assumptions'!$X$32^2/2))</f>
        <v>0.00183768783221717</v>
      </c>
      <c r="G2284" s="45" t="n">
        <f aca="false">ROUND(C2284*F2284,0)</f>
        <v>1689</v>
      </c>
      <c r="H2284" s="48" t="n">
        <f aca="false">MAX(0,(C2284*'Model Inputs &amp; Assumptions'!$N$32+E2284*'Model Inputs &amp; Assumptions'!$O$32+G2284*'Model Inputs &amp; Assumptions'!$P$32)*EXP('Model Inputs &amp; Assumptions'!$Q$32*S2284-'Model Inputs &amp; Assumptions'!$Q$32^2/2))</f>
        <v>61.2390297705158</v>
      </c>
      <c r="I2284" s="49" t="n">
        <f aca="false">IF('Model Inputs &amp; Assumptions'!$H$32="Fixed",'Model Inputs &amp; Assumptions'!$I$32*'Model Inputs &amp; Assumptions'!$K$32,IF('Model Inputs &amp; Assumptions'!$H$32="CPM",'Model Inputs &amp; Assumptions'!$I$32*'Model Inputs &amp; Assumptions'!$K$32*C2284/1000,IF('Model Inputs &amp; Assumptions'!$H$32="CPC",'Model Inputs &amp; Assumptions'!$I$32*'Model Inputs &amp; Assumptions'!$K$32*G2284,0)))</f>
        <v>11031.708</v>
      </c>
      <c r="J2284" s="50" t="n">
        <f aca="false">H2284*INDEX('Model Inputs &amp; Assumptions'!$D$40:$D$42,MATCH('Model Inputs &amp; Assumptions'!$L$32,'Model Inputs &amp; Assumptions'!$A$40:$A$42,0))*INDEX('Model Inputs &amp; Assumptions'!$H$40:$H$42,MATCH('Model Inputs &amp; Assumptions'!$L$32,'Model Inputs &amp; Assumptions'!$A$40:$A$42,0))</f>
        <v>330690.760760785</v>
      </c>
      <c r="K2284" s="49" t="n">
        <f aca="false">H2284*INDEX('Model Inputs &amp; Assumptions'!$G$40:$G$42,MATCH('Model Inputs &amp; Assumptions'!$L$32,'Model Inputs &amp; Assumptions'!$A$40:$A$42,0))*INDEX('Model Inputs &amp; Assumptions'!$H$40:$H$42,MATCH('Model Inputs &amp; Assumptions'!$L$32,'Model Inputs &amp; Assumptions'!$A$40:$A$42,0))</f>
        <v>6944.50597597649</v>
      </c>
      <c r="L2284" s="51" t="n">
        <f aca="false">IFERROR(K2284/I2284,0)</f>
        <v>0.62950415076038</v>
      </c>
      <c r="M2284" s="49" t="n">
        <f aca="false">IFERROR(I2284/H2284,0)</f>
        <v>180.141782803217</v>
      </c>
      <c r="N2284" s="52" t="str">
        <f aca="false">'Model Inputs &amp; Assumptions'!$L$32</f>
        <v>PRD-SP01</v>
      </c>
      <c r="P2284" s="53" t="n">
        <v>-0.73818</v>
      </c>
      <c r="Q2284" s="53" t="n">
        <v>-0.784596</v>
      </c>
      <c r="R2284" s="53" t="n">
        <v>-1.997516</v>
      </c>
      <c r="S2284" s="53" t="n">
        <v>-0.63148</v>
      </c>
    </row>
    <row r="2285" customFormat="false" ht="15" hidden="false" customHeight="false" outlineLevel="0" collapsed="false">
      <c r="A2285" s="43" t="n">
        <v>282</v>
      </c>
      <c r="B2285" s="44" t="str">
        <f aca="false">'Model Inputs &amp; Assumptions'!$B$32</f>
        <v>Trade Republic — In-App Display</v>
      </c>
      <c r="C2285" s="45" t="n">
        <f aca="false">ROUND(MAX(0,'Model Inputs &amp; Assumptions'!$S$32*EXP('Model Inputs &amp; Assumptions'!$T$32*P2285-'Model Inputs &amp; Assumptions'!$T$32^2/2)),0)</f>
        <v>633657</v>
      </c>
      <c r="D2285" s="46" t="n">
        <f aca="false">MIN(1,'Model Inputs &amp; Assumptions'!$U$32*EXP('Model Inputs &amp; Assumptions'!$V$32*Q2285-'Model Inputs &amp; Assumptions'!$V$32^2/2))</f>
        <v>0</v>
      </c>
      <c r="E2285" s="45" t="n">
        <f aca="false">ROUND(C2285*D2285,0)</f>
        <v>0</v>
      </c>
      <c r="F2285" s="47" t="n">
        <f aca="false">MIN(1,'Model Inputs &amp; Assumptions'!$W$32*EXP('Model Inputs &amp; Assumptions'!$X$32*R2285-'Model Inputs &amp; Assumptions'!$X$32^2/2))</f>
        <v>0.00300469140387374</v>
      </c>
      <c r="G2285" s="45" t="n">
        <f aca="false">ROUND(C2285*F2285,0)</f>
        <v>1904</v>
      </c>
      <c r="H2285" s="48" t="n">
        <f aca="false">MAX(0,(C2285*'Model Inputs &amp; Assumptions'!$N$32+E2285*'Model Inputs &amp; Assumptions'!$O$32+G2285*'Model Inputs &amp; Assumptions'!$P$32)*EXP('Model Inputs &amp; Assumptions'!$Q$32*S2285-'Model Inputs &amp; Assumptions'!$Q$32^2/2))</f>
        <v>89.8243652215354</v>
      </c>
      <c r="I2285" s="49" t="n">
        <f aca="false">IF('Model Inputs &amp; Assumptions'!$H$32="Fixed",'Model Inputs &amp; Assumptions'!$I$32*'Model Inputs &amp; Assumptions'!$K$32,IF('Model Inputs &amp; Assumptions'!$H$32="CPM",'Model Inputs &amp; Assumptions'!$I$32*'Model Inputs &amp; Assumptions'!$K$32*C2285/1000,IF('Model Inputs &amp; Assumptions'!$H$32="CPC",'Model Inputs &amp; Assumptions'!$I$32*'Model Inputs &amp; Assumptions'!$K$32*G2285,0)))</f>
        <v>7603.884</v>
      </c>
      <c r="J2285" s="50" t="n">
        <f aca="false">H2285*INDEX('Model Inputs &amp; Assumptions'!$D$40:$D$42,MATCH('Model Inputs &amp; Assumptions'!$L$32,'Model Inputs &amp; Assumptions'!$A$40:$A$42,0))*INDEX('Model Inputs &amp; Assumptions'!$H$40:$H$42,MATCH('Model Inputs &amp; Assumptions'!$L$32,'Model Inputs &amp; Assumptions'!$A$40:$A$42,0))</f>
        <v>485051.572196291</v>
      </c>
      <c r="K2285" s="49" t="n">
        <f aca="false">H2285*INDEX('Model Inputs &amp; Assumptions'!$G$40:$G$42,MATCH('Model Inputs &amp; Assumptions'!$L$32,'Model Inputs &amp; Assumptions'!$A$40:$A$42,0))*INDEX('Model Inputs &amp; Assumptions'!$H$40:$H$42,MATCH('Model Inputs &amp; Assumptions'!$L$32,'Model Inputs &amp; Assumptions'!$A$40:$A$42,0))</f>
        <v>10186.0830161221</v>
      </c>
      <c r="L2285" s="51" t="n">
        <f aca="false">IFERROR(K2285/I2285,0)</f>
        <v>1.33958948033954</v>
      </c>
      <c r="M2285" s="49" t="n">
        <f aca="false">IFERROR(I2285/H2285,0)</f>
        <v>84.6527997303004</v>
      </c>
      <c r="N2285" s="52" t="str">
        <f aca="false">'Model Inputs &amp; Assumptions'!$L$32</f>
        <v>PRD-SP01</v>
      </c>
      <c r="P2285" s="53" t="n">
        <v>-1.978562</v>
      </c>
      <c r="Q2285" s="53" t="n">
        <v>0.564371</v>
      </c>
      <c r="R2285" s="53" t="n">
        <v>-0.358627</v>
      </c>
      <c r="S2285" s="53" t="n">
        <v>0.308703</v>
      </c>
    </row>
    <row r="2286" customFormat="false" ht="15" hidden="false" customHeight="false" outlineLevel="0" collapsed="false">
      <c r="A2286" s="43" t="n">
        <v>283</v>
      </c>
      <c r="B2286" s="44" t="str">
        <f aca="false">'Model Inputs &amp; Assumptions'!$B$32</f>
        <v>Trade Republic — In-App Display</v>
      </c>
      <c r="C2286" s="45" t="n">
        <f aca="false">ROUND(MAX(0,'Model Inputs &amp; Assumptions'!$S$32*EXP('Model Inputs &amp; Assumptions'!$T$32*P2286-'Model Inputs &amp; Assumptions'!$T$32^2/2)),0)</f>
        <v>1539814</v>
      </c>
      <c r="D2286" s="46" t="n">
        <f aca="false">MIN(1,'Model Inputs &amp; Assumptions'!$U$32*EXP('Model Inputs &amp; Assumptions'!$V$32*Q2286-'Model Inputs &amp; Assumptions'!$V$32^2/2))</f>
        <v>0</v>
      </c>
      <c r="E2286" s="45" t="n">
        <f aca="false">ROUND(C2286*D2286,0)</f>
        <v>0</v>
      </c>
      <c r="F2286" s="47" t="n">
        <f aca="false">MIN(1,'Model Inputs &amp; Assumptions'!$W$32*EXP('Model Inputs &amp; Assumptions'!$X$32*R2286-'Model Inputs &amp; Assumptions'!$X$32^2/2))</f>
        <v>0.00260655432854774</v>
      </c>
      <c r="G2286" s="45" t="n">
        <f aca="false">ROUND(C2286*F2286,0)</f>
        <v>4014</v>
      </c>
      <c r="H2286" s="48" t="n">
        <f aca="false">MAX(0,(C2286*'Model Inputs &amp; Assumptions'!$N$32+E2286*'Model Inputs &amp; Assumptions'!$O$32+G2286*'Model Inputs &amp; Assumptions'!$P$32)*EXP('Model Inputs &amp; Assumptions'!$Q$32*S2286-'Model Inputs &amp; Assumptions'!$Q$32^2/2))</f>
        <v>169.216855354413</v>
      </c>
      <c r="I2286" s="49" t="n">
        <f aca="false">IF('Model Inputs &amp; Assumptions'!$H$32="Fixed",'Model Inputs &amp; Assumptions'!$I$32*'Model Inputs &amp; Assumptions'!$K$32,IF('Model Inputs &amp; Assumptions'!$H$32="CPM",'Model Inputs &amp; Assumptions'!$I$32*'Model Inputs &amp; Assumptions'!$K$32*C2286/1000,IF('Model Inputs &amp; Assumptions'!$H$32="CPC",'Model Inputs &amp; Assumptions'!$I$32*'Model Inputs &amp; Assumptions'!$K$32*G2286,0)))</f>
        <v>18477.768</v>
      </c>
      <c r="J2286" s="50" t="n">
        <f aca="false">H2286*INDEX('Model Inputs &amp; Assumptions'!$D$40:$D$42,MATCH('Model Inputs &amp; Assumptions'!$L$32,'Model Inputs &amp; Assumptions'!$A$40:$A$42,0))*INDEX('Model Inputs &amp; Assumptions'!$H$40:$H$42,MATCH('Model Inputs &amp; Assumptions'!$L$32,'Model Inputs &amp; Assumptions'!$A$40:$A$42,0))</f>
        <v>913771.018913828</v>
      </c>
      <c r="K2286" s="49" t="n">
        <f aca="false">H2286*INDEX('Model Inputs &amp; Assumptions'!$G$40:$G$42,MATCH('Model Inputs &amp; Assumptions'!$L$32,'Model Inputs &amp; Assumptions'!$A$40:$A$42,0))*INDEX('Model Inputs &amp; Assumptions'!$H$40:$H$42,MATCH('Model Inputs &amp; Assumptions'!$L$32,'Model Inputs &amp; Assumptions'!$A$40:$A$42,0))</f>
        <v>19189.1913971904</v>
      </c>
      <c r="L2286" s="51" t="n">
        <f aca="false">IFERROR(K2286/I2286,0)</f>
        <v>1.03850158726911</v>
      </c>
      <c r="M2286" s="49" t="n">
        <f aca="false">IFERROR(I2286/H2286,0)</f>
        <v>109.195788807797</v>
      </c>
      <c r="N2286" s="52" t="str">
        <f aca="false">'Model Inputs &amp; Assumptions'!$L$32</f>
        <v>PRD-SP01</v>
      </c>
      <c r="P2286" s="53" t="n">
        <v>0.981134</v>
      </c>
      <c r="Q2286" s="53" t="n">
        <v>0.658255</v>
      </c>
      <c r="R2286" s="53" t="n">
        <v>-0.832446</v>
      </c>
      <c r="S2286" s="53" t="n">
        <v>-0.093106</v>
      </c>
    </row>
    <row r="2287" customFormat="false" ht="15" hidden="false" customHeight="false" outlineLevel="0" collapsed="false">
      <c r="A2287" s="43" t="n">
        <v>284</v>
      </c>
      <c r="B2287" s="44" t="str">
        <f aca="false">'Model Inputs &amp; Assumptions'!$B$32</f>
        <v>Trade Republic — In-App Display</v>
      </c>
      <c r="C2287" s="45" t="n">
        <f aca="false">ROUND(MAX(0,'Model Inputs &amp; Assumptions'!$S$32*EXP('Model Inputs &amp; Assumptions'!$T$32*P2287-'Model Inputs &amp; Assumptions'!$T$32^2/2)),0)</f>
        <v>1193948</v>
      </c>
      <c r="D2287" s="46" t="n">
        <f aca="false">MIN(1,'Model Inputs &amp; Assumptions'!$U$32*EXP('Model Inputs &amp; Assumptions'!$V$32*Q2287-'Model Inputs &amp; Assumptions'!$V$32^2/2))</f>
        <v>0</v>
      </c>
      <c r="E2287" s="45" t="n">
        <f aca="false">ROUND(C2287*D2287,0)</f>
        <v>0</v>
      </c>
      <c r="F2287" s="47" t="n">
        <f aca="false">MIN(1,'Model Inputs &amp; Assumptions'!$W$32*EXP('Model Inputs &amp; Assumptions'!$X$32*R2287-'Model Inputs &amp; Assumptions'!$X$32^2/2))</f>
        <v>0.00453836796565848</v>
      </c>
      <c r="G2287" s="45" t="n">
        <f aca="false">ROUND(C2287*F2287,0)</f>
        <v>5419</v>
      </c>
      <c r="H2287" s="48" t="n">
        <f aca="false">MAX(0,(C2287*'Model Inputs &amp; Assumptions'!$N$32+E2287*'Model Inputs &amp; Assumptions'!$O$32+G2287*'Model Inputs &amp; Assumptions'!$P$32)*EXP('Model Inputs &amp; Assumptions'!$Q$32*S2287-'Model Inputs &amp; Assumptions'!$Q$32^2/2))</f>
        <v>190.682661152019</v>
      </c>
      <c r="I2287" s="49" t="n">
        <f aca="false">IF('Model Inputs &amp; Assumptions'!$H$32="Fixed",'Model Inputs &amp; Assumptions'!$I$32*'Model Inputs &amp; Assumptions'!$K$32,IF('Model Inputs &amp; Assumptions'!$H$32="CPM",'Model Inputs &amp; Assumptions'!$I$32*'Model Inputs &amp; Assumptions'!$K$32*C2287/1000,IF('Model Inputs &amp; Assumptions'!$H$32="CPC",'Model Inputs &amp; Assumptions'!$I$32*'Model Inputs &amp; Assumptions'!$K$32*G2287,0)))</f>
        <v>14327.376</v>
      </c>
      <c r="J2287" s="50" t="n">
        <f aca="false">H2287*INDEX('Model Inputs &amp; Assumptions'!$D$40:$D$42,MATCH('Model Inputs &amp; Assumptions'!$L$32,'Model Inputs &amp; Assumptions'!$A$40:$A$42,0))*INDEX('Model Inputs &amp; Assumptions'!$H$40:$H$42,MATCH('Model Inputs &amp; Assumptions'!$L$32,'Model Inputs &amp; Assumptions'!$A$40:$A$42,0))</f>
        <v>1029686.3702209</v>
      </c>
      <c r="K2287" s="49" t="n">
        <f aca="false">H2287*INDEX('Model Inputs &amp; Assumptions'!$G$40:$G$42,MATCH('Model Inputs &amp; Assumptions'!$L$32,'Model Inputs &amp; Assumptions'!$A$40:$A$42,0))*INDEX('Model Inputs &amp; Assumptions'!$H$40:$H$42,MATCH('Model Inputs &amp; Assumptions'!$L$32,'Model Inputs &amp; Assumptions'!$A$40:$A$42,0))</f>
        <v>21623.413774639</v>
      </c>
      <c r="L2287" s="51" t="n">
        <f aca="false">IFERROR(K2287/I2287,0)</f>
        <v>1.50923754458869</v>
      </c>
      <c r="M2287" s="49" t="n">
        <f aca="false">IFERROR(I2287/H2287,0)</f>
        <v>75.1372773667014</v>
      </c>
      <c r="N2287" s="52" t="str">
        <f aca="false">'Model Inputs &amp; Assumptions'!$L$32</f>
        <v>PRD-SP01</v>
      </c>
      <c r="P2287" s="53" t="n">
        <v>0.133147</v>
      </c>
      <c r="Q2287" s="53" t="n">
        <v>0.227985</v>
      </c>
      <c r="R2287" s="53" t="n">
        <v>1.016015</v>
      </c>
      <c r="S2287" s="53" t="n">
        <v>-0.73844</v>
      </c>
    </row>
    <row r="2288" customFormat="false" ht="15" hidden="false" customHeight="false" outlineLevel="0" collapsed="false">
      <c r="A2288" s="43" t="n">
        <v>285</v>
      </c>
      <c r="B2288" s="44" t="str">
        <f aca="false">'Model Inputs &amp; Assumptions'!$B$32</f>
        <v>Trade Republic — In-App Display</v>
      </c>
      <c r="C2288" s="45" t="n">
        <f aca="false">ROUND(MAX(0,'Model Inputs &amp; Assumptions'!$S$32*EXP('Model Inputs &amp; Assumptions'!$T$32*P2288-'Model Inputs &amp; Assumptions'!$T$32^2/2)),0)</f>
        <v>787192</v>
      </c>
      <c r="D2288" s="46" t="n">
        <f aca="false">MIN(1,'Model Inputs &amp; Assumptions'!$U$32*EXP('Model Inputs &amp; Assumptions'!$V$32*Q2288-'Model Inputs &amp; Assumptions'!$V$32^2/2))</f>
        <v>0</v>
      </c>
      <c r="E2288" s="45" t="n">
        <f aca="false">ROUND(C2288*D2288,0)</f>
        <v>0</v>
      </c>
      <c r="F2288" s="47" t="n">
        <f aca="false">MIN(1,'Model Inputs &amp; Assumptions'!$W$32*EXP('Model Inputs &amp; Assumptions'!$X$32*R2288-'Model Inputs &amp; Assumptions'!$X$32^2/2))</f>
        <v>0.00220163302367191</v>
      </c>
      <c r="G2288" s="45" t="n">
        <f aca="false">ROUND(C2288*F2288,0)</f>
        <v>1733</v>
      </c>
      <c r="H2288" s="48" t="n">
        <f aca="false">MAX(0,(C2288*'Model Inputs &amp; Assumptions'!$N$32+E2288*'Model Inputs &amp; Assumptions'!$O$32+G2288*'Model Inputs &amp; Assumptions'!$P$32)*EXP('Model Inputs &amp; Assumptions'!$Q$32*S2288-'Model Inputs &amp; Assumptions'!$Q$32^2/2))</f>
        <v>66.1805901965549</v>
      </c>
      <c r="I2288" s="49" t="n">
        <f aca="false">IF('Model Inputs &amp; Assumptions'!$H$32="Fixed",'Model Inputs &amp; Assumptions'!$I$32*'Model Inputs &amp; Assumptions'!$K$32,IF('Model Inputs &amp; Assumptions'!$H$32="CPM",'Model Inputs &amp; Assumptions'!$I$32*'Model Inputs &amp; Assumptions'!$K$32*C2288/1000,IF('Model Inputs &amp; Assumptions'!$H$32="CPC",'Model Inputs &amp; Assumptions'!$I$32*'Model Inputs &amp; Assumptions'!$K$32*G2288,0)))</f>
        <v>9446.304</v>
      </c>
      <c r="J2288" s="50" t="n">
        <f aca="false">H2288*INDEX('Model Inputs &amp; Assumptions'!$D$40:$D$42,MATCH('Model Inputs &amp; Assumptions'!$L$32,'Model Inputs &amp; Assumptions'!$A$40:$A$42,0))*INDEX('Model Inputs &amp; Assumptions'!$H$40:$H$42,MATCH('Model Inputs &amp; Assumptions'!$L$32,'Model Inputs &amp; Assumptions'!$A$40:$A$42,0))</f>
        <v>357375.187061396</v>
      </c>
      <c r="K2288" s="49" t="n">
        <f aca="false">H2288*INDEX('Model Inputs &amp; Assumptions'!$G$40:$G$42,MATCH('Model Inputs &amp; Assumptions'!$L$32,'Model Inputs &amp; Assumptions'!$A$40:$A$42,0))*INDEX('Model Inputs &amp; Assumptions'!$H$40:$H$42,MATCH('Model Inputs &amp; Assumptions'!$L$32,'Model Inputs &amp; Assumptions'!$A$40:$A$42,0))</f>
        <v>7504.87892828932</v>
      </c>
      <c r="L2288" s="51" t="n">
        <f aca="false">IFERROR(K2288/I2288,0)</f>
        <v>0.794477811458251</v>
      </c>
      <c r="M2288" s="49" t="n">
        <f aca="false">IFERROR(I2288/H2288,0)</f>
        <v>142.73526379781</v>
      </c>
      <c r="N2288" s="52" t="str">
        <f aca="false">'Model Inputs &amp; Assumptions'!$L$32</f>
        <v>PRD-SP01</v>
      </c>
      <c r="P2288" s="53" t="n">
        <v>-1.255347</v>
      </c>
      <c r="Q2288" s="53" t="n">
        <v>0.098706</v>
      </c>
      <c r="R2288" s="53" t="n">
        <v>-1.395212</v>
      </c>
      <c r="S2288" s="53" t="n">
        <v>-0.446176</v>
      </c>
    </row>
    <row r="2289" customFormat="false" ht="15" hidden="false" customHeight="false" outlineLevel="0" collapsed="false">
      <c r="A2289" s="43" t="n">
        <v>286</v>
      </c>
      <c r="B2289" s="44" t="str">
        <f aca="false">'Model Inputs &amp; Assumptions'!$B$32</f>
        <v>Trade Republic — In-App Display</v>
      </c>
      <c r="C2289" s="45" t="n">
        <f aca="false">ROUND(MAX(0,'Model Inputs &amp; Assumptions'!$S$32*EXP('Model Inputs &amp; Assumptions'!$T$32*P2289-'Model Inputs &amp; Assumptions'!$T$32^2/2)),0)</f>
        <v>1054530</v>
      </c>
      <c r="D2289" s="46" t="n">
        <f aca="false">MIN(1,'Model Inputs &amp; Assumptions'!$U$32*EXP('Model Inputs &amp; Assumptions'!$V$32*Q2289-'Model Inputs &amp; Assumptions'!$V$32^2/2))</f>
        <v>0</v>
      </c>
      <c r="E2289" s="45" t="n">
        <f aca="false">ROUND(C2289*D2289,0)</f>
        <v>0</v>
      </c>
      <c r="F2289" s="47" t="n">
        <f aca="false">MIN(1,'Model Inputs &amp; Assumptions'!$W$32*EXP('Model Inputs &amp; Assumptions'!$X$32*R2289-'Model Inputs &amp; Assumptions'!$X$32^2/2))</f>
        <v>0.00435461485295318</v>
      </c>
      <c r="G2289" s="45" t="n">
        <f aca="false">ROUND(C2289*F2289,0)</f>
        <v>4592</v>
      </c>
      <c r="H2289" s="48" t="n">
        <f aca="false">MAX(0,(C2289*'Model Inputs &amp; Assumptions'!$N$32+E2289*'Model Inputs &amp; Assumptions'!$O$32+G2289*'Model Inputs &amp; Assumptions'!$P$32)*EXP('Model Inputs &amp; Assumptions'!$Q$32*S2289-'Model Inputs &amp; Assumptions'!$Q$32^2/2))</f>
        <v>153.18097550024</v>
      </c>
      <c r="I2289" s="49" t="n">
        <f aca="false">IF('Model Inputs &amp; Assumptions'!$H$32="Fixed",'Model Inputs &amp; Assumptions'!$I$32*'Model Inputs &amp; Assumptions'!$K$32,IF('Model Inputs &amp; Assumptions'!$H$32="CPM",'Model Inputs &amp; Assumptions'!$I$32*'Model Inputs &amp; Assumptions'!$K$32*C2289/1000,IF('Model Inputs &amp; Assumptions'!$H$32="CPC",'Model Inputs &amp; Assumptions'!$I$32*'Model Inputs &amp; Assumptions'!$K$32*G2289,0)))</f>
        <v>12654.36</v>
      </c>
      <c r="J2289" s="50" t="n">
        <f aca="false">H2289*INDEX('Model Inputs &amp; Assumptions'!$D$40:$D$42,MATCH('Model Inputs &amp; Assumptions'!$L$32,'Model Inputs &amp; Assumptions'!$A$40:$A$42,0))*INDEX('Model Inputs &amp; Assumptions'!$H$40:$H$42,MATCH('Model Inputs &amp; Assumptions'!$L$32,'Model Inputs &amp; Assumptions'!$A$40:$A$42,0))</f>
        <v>827177.267701297</v>
      </c>
      <c r="K2289" s="49" t="n">
        <f aca="false">H2289*INDEX('Model Inputs &amp; Assumptions'!$G$40:$G$42,MATCH('Model Inputs &amp; Assumptions'!$L$32,'Model Inputs &amp; Assumptions'!$A$40:$A$42,0))*INDEX('Model Inputs &amp; Assumptions'!$H$40:$H$42,MATCH('Model Inputs &amp; Assumptions'!$L$32,'Model Inputs &amp; Assumptions'!$A$40:$A$42,0))</f>
        <v>17370.7226217272</v>
      </c>
      <c r="L2289" s="51" t="n">
        <f aca="false">IFERROR(K2289/I2289,0)</f>
        <v>1.37270653132416</v>
      </c>
      <c r="M2289" s="49" t="n">
        <f aca="false">IFERROR(I2289/H2289,0)</f>
        <v>82.6105197376821</v>
      </c>
      <c r="N2289" s="52" t="str">
        <f aca="false">'Model Inputs &amp; Assumptions'!$L$32</f>
        <v>PRD-SP01</v>
      </c>
      <c r="P2289" s="53" t="n">
        <v>-0.280754</v>
      </c>
      <c r="Q2289" s="53" t="n">
        <v>-1.20046</v>
      </c>
      <c r="R2289" s="53" t="n">
        <v>0.878244</v>
      </c>
      <c r="S2289" s="53" t="n">
        <v>-0.929136</v>
      </c>
    </row>
    <row r="2290" customFormat="false" ht="15" hidden="false" customHeight="false" outlineLevel="0" collapsed="false">
      <c r="A2290" s="43" t="n">
        <v>287</v>
      </c>
      <c r="B2290" s="44" t="str">
        <f aca="false">'Model Inputs &amp; Assumptions'!$B$32</f>
        <v>Trade Republic — In-App Display</v>
      </c>
      <c r="C2290" s="45" t="n">
        <f aca="false">ROUND(MAX(0,'Model Inputs &amp; Assumptions'!$S$32*EXP('Model Inputs &amp; Assumptions'!$T$32*P2290-'Model Inputs &amp; Assumptions'!$T$32^2/2)),0)</f>
        <v>828405</v>
      </c>
      <c r="D2290" s="46" t="n">
        <f aca="false">MIN(1,'Model Inputs &amp; Assumptions'!$U$32*EXP('Model Inputs &amp; Assumptions'!$V$32*Q2290-'Model Inputs &amp; Assumptions'!$V$32^2/2))</f>
        <v>0</v>
      </c>
      <c r="E2290" s="45" t="n">
        <f aca="false">ROUND(C2290*D2290,0)</f>
        <v>0</v>
      </c>
      <c r="F2290" s="47" t="n">
        <f aca="false">MIN(1,'Model Inputs &amp; Assumptions'!$W$32*EXP('Model Inputs &amp; Assumptions'!$X$32*R2290-'Model Inputs &amp; Assumptions'!$X$32^2/2))</f>
        <v>0.0054743101540043</v>
      </c>
      <c r="G2290" s="45" t="n">
        <f aca="false">ROUND(C2290*F2290,0)</f>
        <v>4535</v>
      </c>
      <c r="H2290" s="48" t="n">
        <f aca="false">MAX(0,(C2290*'Model Inputs &amp; Assumptions'!$N$32+E2290*'Model Inputs &amp; Assumptions'!$O$32+G2290*'Model Inputs &amp; Assumptions'!$P$32)*EXP('Model Inputs &amp; Assumptions'!$Q$32*S2290-'Model Inputs &amp; Assumptions'!$Q$32^2/2))</f>
        <v>189.229940756157</v>
      </c>
      <c r="I2290" s="49" t="n">
        <f aca="false">IF('Model Inputs &amp; Assumptions'!$H$32="Fixed",'Model Inputs &amp; Assumptions'!$I$32*'Model Inputs &amp; Assumptions'!$K$32,IF('Model Inputs &amp; Assumptions'!$H$32="CPM",'Model Inputs &amp; Assumptions'!$I$32*'Model Inputs &amp; Assumptions'!$K$32*C2290/1000,IF('Model Inputs &amp; Assumptions'!$H$32="CPC",'Model Inputs &amp; Assumptions'!$I$32*'Model Inputs &amp; Assumptions'!$K$32*G2290,0)))</f>
        <v>9940.86</v>
      </c>
      <c r="J2290" s="50" t="n">
        <f aca="false">H2290*INDEX('Model Inputs &amp; Assumptions'!$D$40:$D$42,MATCH('Model Inputs &amp; Assumptions'!$L$32,'Model Inputs &amp; Assumptions'!$A$40:$A$42,0))*INDEX('Model Inputs &amp; Assumptions'!$H$40:$H$42,MATCH('Model Inputs &amp; Assumptions'!$L$32,'Model Inputs &amp; Assumptions'!$A$40:$A$42,0))</f>
        <v>1021841.68008325</v>
      </c>
      <c r="K2290" s="49" t="n">
        <f aca="false">H2290*INDEX('Model Inputs &amp; Assumptions'!$G$40:$G$42,MATCH('Model Inputs &amp; Assumptions'!$L$32,'Model Inputs &amp; Assumptions'!$A$40:$A$42,0))*INDEX('Model Inputs &amp; Assumptions'!$H$40:$H$42,MATCH('Model Inputs &amp; Assumptions'!$L$32,'Model Inputs &amp; Assumptions'!$A$40:$A$42,0))</f>
        <v>21458.6752817482</v>
      </c>
      <c r="L2290" s="51" t="n">
        <f aca="false">IFERROR(K2290/I2290,0)</f>
        <v>2.1586336878045</v>
      </c>
      <c r="M2290" s="49" t="n">
        <f aca="false">IFERROR(I2290/H2290,0)</f>
        <v>52.5332299966729</v>
      </c>
      <c r="N2290" s="52" t="str">
        <f aca="false">'Model Inputs &amp; Assumptions'!$L$32</f>
        <v>PRD-SP01</v>
      </c>
      <c r="P2290" s="53" t="n">
        <v>-1.085249</v>
      </c>
      <c r="Q2290" s="53" t="n">
        <v>0.004365</v>
      </c>
      <c r="R2290" s="53" t="n">
        <v>1.641011</v>
      </c>
      <c r="S2290" s="53" t="n">
        <v>-0.129731</v>
      </c>
    </row>
    <row r="2291" customFormat="false" ht="15" hidden="false" customHeight="false" outlineLevel="0" collapsed="false">
      <c r="A2291" s="43" t="n">
        <v>288</v>
      </c>
      <c r="B2291" s="44" t="str">
        <f aca="false">'Model Inputs &amp; Assumptions'!$B$32</f>
        <v>Trade Republic — In-App Display</v>
      </c>
      <c r="C2291" s="45" t="n">
        <f aca="false">ROUND(MAX(0,'Model Inputs &amp; Assumptions'!$S$32*EXP('Model Inputs &amp; Assumptions'!$T$32*P2291-'Model Inputs &amp; Assumptions'!$T$32^2/2)),0)</f>
        <v>1451055</v>
      </c>
      <c r="D2291" s="46" t="n">
        <f aca="false">MIN(1,'Model Inputs &amp; Assumptions'!$U$32*EXP('Model Inputs &amp; Assumptions'!$V$32*Q2291-'Model Inputs &amp; Assumptions'!$V$32^2/2))</f>
        <v>0</v>
      </c>
      <c r="E2291" s="45" t="n">
        <f aca="false">ROUND(C2291*D2291,0)</f>
        <v>0</v>
      </c>
      <c r="F2291" s="47" t="n">
        <f aca="false">MIN(1,'Model Inputs &amp; Assumptions'!$W$32*EXP('Model Inputs &amp; Assumptions'!$X$32*R2291-'Model Inputs &amp; Assumptions'!$X$32^2/2))</f>
        <v>0.00655874234251026</v>
      </c>
      <c r="G2291" s="45" t="n">
        <f aca="false">ROUND(C2291*F2291,0)</f>
        <v>9517</v>
      </c>
      <c r="H2291" s="48" t="n">
        <f aca="false">MAX(0,(C2291*'Model Inputs &amp; Assumptions'!$N$32+E2291*'Model Inputs &amp; Assumptions'!$O$32+G2291*'Model Inputs &amp; Assumptions'!$P$32)*EXP('Model Inputs &amp; Assumptions'!$Q$32*S2291-'Model Inputs &amp; Assumptions'!$Q$32^2/2))</f>
        <v>329.904943465152</v>
      </c>
      <c r="I2291" s="49" t="n">
        <f aca="false">IF('Model Inputs &amp; Assumptions'!$H$32="Fixed",'Model Inputs &amp; Assumptions'!$I$32*'Model Inputs &amp; Assumptions'!$K$32,IF('Model Inputs &amp; Assumptions'!$H$32="CPM",'Model Inputs &amp; Assumptions'!$I$32*'Model Inputs &amp; Assumptions'!$K$32*C2291/1000,IF('Model Inputs &amp; Assumptions'!$H$32="CPC",'Model Inputs &amp; Assumptions'!$I$32*'Model Inputs &amp; Assumptions'!$K$32*G2291,0)))</f>
        <v>17412.66</v>
      </c>
      <c r="J2291" s="50" t="n">
        <f aca="false">H2291*INDEX('Model Inputs &amp; Assumptions'!$D$40:$D$42,MATCH('Model Inputs &amp; Assumptions'!$L$32,'Model Inputs &amp; Assumptions'!$A$40:$A$42,0))*INDEX('Model Inputs &amp; Assumptions'!$H$40:$H$42,MATCH('Model Inputs &amp; Assumptions'!$L$32,'Model Inputs &amp; Assumptions'!$A$40:$A$42,0))</f>
        <v>1781486.69471182</v>
      </c>
      <c r="K2291" s="49" t="n">
        <f aca="false">H2291*INDEX('Model Inputs &amp; Assumptions'!$G$40:$G$42,MATCH('Model Inputs &amp; Assumptions'!$L$32,'Model Inputs &amp; Assumptions'!$A$40:$A$42,0))*INDEX('Model Inputs &amp; Assumptions'!$H$40:$H$42,MATCH('Model Inputs &amp; Assumptions'!$L$32,'Model Inputs &amp; Assumptions'!$A$40:$A$42,0))</f>
        <v>37411.2205889482</v>
      </c>
      <c r="L2291" s="51" t="n">
        <f aca="false">IFERROR(K2291/I2291,0)</f>
        <v>2.14850692478623</v>
      </c>
      <c r="M2291" s="49" t="n">
        <f aca="false">IFERROR(I2291/H2291,0)</f>
        <v>52.7808398901404</v>
      </c>
      <c r="N2291" s="52" t="str">
        <f aca="false">'Model Inputs &amp; Assumptions'!$L$32</f>
        <v>PRD-SP01</v>
      </c>
      <c r="P2291" s="53" t="n">
        <v>0.783231</v>
      </c>
      <c r="Q2291" s="53" t="n">
        <v>1.365503</v>
      </c>
      <c r="R2291" s="53" t="n">
        <v>2.243453</v>
      </c>
      <c r="S2291" s="53" t="n">
        <v>-0.79192</v>
      </c>
    </row>
    <row r="2292" customFormat="false" ht="15" hidden="false" customHeight="false" outlineLevel="0" collapsed="false">
      <c r="A2292" s="43" t="n">
        <v>289</v>
      </c>
      <c r="B2292" s="44" t="str">
        <f aca="false">'Model Inputs &amp; Assumptions'!$B$32</f>
        <v>Trade Republic — In-App Display</v>
      </c>
      <c r="C2292" s="45" t="n">
        <f aca="false">ROUND(MAX(0,'Model Inputs &amp; Assumptions'!$S$32*EXP('Model Inputs &amp; Assumptions'!$T$32*P2292-'Model Inputs &amp; Assumptions'!$T$32^2/2)),0)</f>
        <v>1159667</v>
      </c>
      <c r="D2292" s="46" t="n">
        <f aca="false">MIN(1,'Model Inputs &amp; Assumptions'!$U$32*EXP('Model Inputs &amp; Assumptions'!$V$32*Q2292-'Model Inputs &amp; Assumptions'!$V$32^2/2))</f>
        <v>0</v>
      </c>
      <c r="E2292" s="45" t="n">
        <f aca="false">ROUND(C2292*D2292,0)</f>
        <v>0</v>
      </c>
      <c r="F2292" s="47" t="n">
        <f aca="false">MIN(1,'Model Inputs &amp; Assumptions'!$W$32*EXP('Model Inputs &amp; Assumptions'!$X$32*R2292-'Model Inputs &amp; Assumptions'!$X$32^2/2))</f>
        <v>0.00287750922781622</v>
      </c>
      <c r="G2292" s="45" t="n">
        <f aca="false">ROUND(C2292*F2292,0)</f>
        <v>3337</v>
      </c>
      <c r="H2292" s="48" t="n">
        <f aca="false">MAX(0,(C2292*'Model Inputs &amp; Assumptions'!$N$32+E2292*'Model Inputs &amp; Assumptions'!$O$32+G2292*'Model Inputs &amp; Assumptions'!$P$32)*EXP('Model Inputs &amp; Assumptions'!$Q$32*S2292-'Model Inputs &amp; Assumptions'!$Q$32^2/2))</f>
        <v>194.899080663944</v>
      </c>
      <c r="I2292" s="49" t="n">
        <f aca="false">IF('Model Inputs &amp; Assumptions'!$H$32="Fixed",'Model Inputs &amp; Assumptions'!$I$32*'Model Inputs &amp; Assumptions'!$K$32,IF('Model Inputs &amp; Assumptions'!$H$32="CPM",'Model Inputs &amp; Assumptions'!$I$32*'Model Inputs &amp; Assumptions'!$K$32*C2292/1000,IF('Model Inputs &amp; Assumptions'!$H$32="CPC",'Model Inputs &amp; Assumptions'!$I$32*'Model Inputs &amp; Assumptions'!$K$32*G2292,0)))</f>
        <v>13916.004</v>
      </c>
      <c r="J2292" s="50" t="n">
        <f aca="false">H2292*INDEX('Model Inputs &amp; Assumptions'!$D$40:$D$42,MATCH('Model Inputs &amp; Assumptions'!$L$32,'Model Inputs &amp; Assumptions'!$A$40:$A$42,0))*INDEX('Model Inputs &amp; Assumptions'!$H$40:$H$42,MATCH('Model Inputs &amp; Assumptions'!$L$32,'Model Inputs &amp; Assumptions'!$A$40:$A$42,0))</f>
        <v>1052455.0355853</v>
      </c>
      <c r="K2292" s="49" t="n">
        <f aca="false">H2292*INDEX('Model Inputs &amp; Assumptions'!$G$40:$G$42,MATCH('Model Inputs &amp; Assumptions'!$L$32,'Model Inputs &amp; Assumptions'!$A$40:$A$42,0))*INDEX('Model Inputs &amp; Assumptions'!$H$40:$H$42,MATCH('Model Inputs &amp; Assumptions'!$L$32,'Model Inputs &amp; Assumptions'!$A$40:$A$42,0))</f>
        <v>22101.5557472912</v>
      </c>
      <c r="L2292" s="51" t="n">
        <f aca="false">IFERROR(K2292/I2292,0)</f>
        <v>1.58821136781013</v>
      </c>
      <c r="M2292" s="49" t="n">
        <f aca="false">IFERROR(I2292/H2292,0)</f>
        <v>71.4010756366511</v>
      </c>
      <c r="N2292" s="52" t="str">
        <f aca="false">'Model Inputs &amp; Assumptions'!$L$32</f>
        <v>PRD-SP01</v>
      </c>
      <c r="P2292" s="53" t="n">
        <v>0.036039</v>
      </c>
      <c r="Q2292" s="53" t="n">
        <v>-0.684775</v>
      </c>
      <c r="R2292" s="53" t="n">
        <v>-0.502793</v>
      </c>
      <c r="S2292" s="53" t="n">
        <v>1.07124</v>
      </c>
    </row>
    <row r="2293" customFormat="false" ht="15" hidden="false" customHeight="false" outlineLevel="0" collapsed="false">
      <c r="A2293" s="43" t="n">
        <v>290</v>
      </c>
      <c r="B2293" s="44" t="str">
        <f aca="false">'Model Inputs &amp; Assumptions'!$B$32</f>
        <v>Trade Republic — In-App Display</v>
      </c>
      <c r="C2293" s="45" t="n">
        <f aca="false">ROUND(MAX(0,'Model Inputs &amp; Assumptions'!$S$32*EXP('Model Inputs &amp; Assumptions'!$T$32*P2293-'Model Inputs &amp; Assumptions'!$T$32^2/2)),0)</f>
        <v>1114766</v>
      </c>
      <c r="D2293" s="46" t="n">
        <f aca="false">MIN(1,'Model Inputs &amp; Assumptions'!$U$32*EXP('Model Inputs &amp; Assumptions'!$V$32*Q2293-'Model Inputs &amp; Assumptions'!$V$32^2/2))</f>
        <v>0</v>
      </c>
      <c r="E2293" s="45" t="n">
        <f aca="false">ROUND(C2293*D2293,0)</f>
        <v>0</v>
      </c>
      <c r="F2293" s="47" t="n">
        <f aca="false">MIN(1,'Model Inputs &amp; Assumptions'!$W$32*EXP('Model Inputs &amp; Assumptions'!$X$32*R2293-'Model Inputs &amp; Assumptions'!$X$32^2/2))</f>
        <v>0.00360486985376853</v>
      </c>
      <c r="G2293" s="45" t="n">
        <f aca="false">ROUND(C2293*F2293,0)</f>
        <v>4019</v>
      </c>
      <c r="H2293" s="48" t="n">
        <f aca="false">MAX(0,(C2293*'Model Inputs &amp; Assumptions'!$N$32+E2293*'Model Inputs &amp; Assumptions'!$O$32+G2293*'Model Inputs &amp; Assumptions'!$P$32)*EXP('Model Inputs &amp; Assumptions'!$Q$32*S2293-'Model Inputs &amp; Assumptions'!$Q$32^2/2))</f>
        <v>182.722331297279</v>
      </c>
      <c r="I2293" s="49" t="n">
        <f aca="false">IF('Model Inputs &amp; Assumptions'!$H$32="Fixed",'Model Inputs &amp; Assumptions'!$I$32*'Model Inputs &amp; Assumptions'!$K$32,IF('Model Inputs &amp; Assumptions'!$H$32="CPM",'Model Inputs &amp; Assumptions'!$I$32*'Model Inputs &amp; Assumptions'!$K$32*C2293/1000,IF('Model Inputs &amp; Assumptions'!$H$32="CPC",'Model Inputs &amp; Assumptions'!$I$32*'Model Inputs &amp; Assumptions'!$K$32*G2293,0)))</f>
        <v>13377.192</v>
      </c>
      <c r="J2293" s="50" t="n">
        <f aca="false">H2293*INDEX('Model Inputs &amp; Assumptions'!$D$40:$D$42,MATCH('Model Inputs &amp; Assumptions'!$L$32,'Model Inputs &amp; Assumptions'!$A$40:$A$42,0))*INDEX('Model Inputs &amp; Assumptions'!$H$40:$H$42,MATCH('Model Inputs &amp; Assumptions'!$L$32,'Model Inputs &amp; Assumptions'!$A$40:$A$42,0))</f>
        <v>986700.589005306</v>
      </c>
      <c r="K2293" s="49" t="n">
        <f aca="false">H2293*INDEX('Model Inputs &amp; Assumptions'!$G$40:$G$42,MATCH('Model Inputs &amp; Assumptions'!$L$32,'Model Inputs &amp; Assumptions'!$A$40:$A$42,0))*INDEX('Model Inputs &amp; Assumptions'!$H$40:$H$42,MATCH('Model Inputs &amp; Assumptions'!$L$32,'Model Inputs &amp; Assumptions'!$A$40:$A$42,0))</f>
        <v>20720.7123691114</v>
      </c>
      <c r="L2293" s="51" t="n">
        <f aca="false">IFERROR(K2293/I2293,0)</f>
        <v>1.54895828430297</v>
      </c>
      <c r="M2293" s="49" t="n">
        <f aca="false">IFERROR(I2293/H2293,0)</f>
        <v>73.2104932387059</v>
      </c>
      <c r="N2293" s="52" t="str">
        <f aca="false">'Model Inputs &amp; Assumptions'!$L$32</f>
        <v>PRD-SP01</v>
      </c>
      <c r="P2293" s="53" t="n">
        <v>-0.09559</v>
      </c>
      <c r="Q2293" s="53" t="n">
        <v>0.470785</v>
      </c>
      <c r="R2293" s="53" t="n">
        <v>0.248409</v>
      </c>
      <c r="S2293" s="53" t="n">
        <v>0.176686</v>
      </c>
    </row>
    <row r="2294" customFormat="false" ht="15" hidden="false" customHeight="false" outlineLevel="0" collapsed="false">
      <c r="A2294" s="43" t="n">
        <v>291</v>
      </c>
      <c r="B2294" s="44" t="str">
        <f aca="false">'Model Inputs &amp; Assumptions'!$B$32</f>
        <v>Trade Republic — In-App Display</v>
      </c>
      <c r="C2294" s="45" t="n">
        <f aca="false">ROUND(MAX(0,'Model Inputs &amp; Assumptions'!$S$32*EXP('Model Inputs &amp; Assumptions'!$T$32*P2294-'Model Inputs &amp; Assumptions'!$T$32^2/2)),0)</f>
        <v>1599567</v>
      </c>
      <c r="D2294" s="46" t="n">
        <f aca="false">MIN(1,'Model Inputs &amp; Assumptions'!$U$32*EXP('Model Inputs &amp; Assumptions'!$V$32*Q2294-'Model Inputs &amp; Assumptions'!$V$32^2/2))</f>
        <v>0</v>
      </c>
      <c r="E2294" s="45" t="n">
        <f aca="false">ROUND(C2294*D2294,0)</f>
        <v>0</v>
      </c>
      <c r="F2294" s="47" t="n">
        <f aca="false">MIN(1,'Model Inputs &amp; Assumptions'!$W$32*EXP('Model Inputs &amp; Assumptions'!$X$32*R2294-'Model Inputs &amp; Assumptions'!$X$32^2/2))</f>
        <v>0.00384255330377853</v>
      </c>
      <c r="G2294" s="45" t="n">
        <f aca="false">ROUND(C2294*F2294,0)</f>
        <v>6146</v>
      </c>
      <c r="H2294" s="48" t="n">
        <f aca="false">MAX(0,(C2294*'Model Inputs &amp; Assumptions'!$N$32+E2294*'Model Inputs &amp; Assumptions'!$O$32+G2294*'Model Inputs &amp; Assumptions'!$P$32)*EXP('Model Inputs &amp; Assumptions'!$Q$32*S2294-'Model Inputs &amp; Assumptions'!$Q$32^2/2))</f>
        <v>183.735678235276</v>
      </c>
      <c r="I2294" s="49" t="n">
        <f aca="false">IF('Model Inputs &amp; Assumptions'!$H$32="Fixed",'Model Inputs &amp; Assumptions'!$I$32*'Model Inputs &amp; Assumptions'!$K$32,IF('Model Inputs &amp; Assumptions'!$H$32="CPM",'Model Inputs &amp; Assumptions'!$I$32*'Model Inputs &amp; Assumptions'!$K$32*C2294/1000,IF('Model Inputs &amp; Assumptions'!$H$32="CPC",'Model Inputs &amp; Assumptions'!$I$32*'Model Inputs &amp; Assumptions'!$K$32*G2294,0)))</f>
        <v>19194.804</v>
      </c>
      <c r="J2294" s="50" t="n">
        <f aca="false">H2294*INDEX('Model Inputs &amp; Assumptions'!$D$40:$D$42,MATCH('Model Inputs &amp; Assumptions'!$L$32,'Model Inputs &amp; Assumptions'!$A$40:$A$42,0))*INDEX('Model Inputs &amp; Assumptions'!$H$40:$H$42,MATCH('Model Inputs &amp; Assumptions'!$L$32,'Model Inputs &amp; Assumptions'!$A$40:$A$42,0))</f>
        <v>992172.662470489</v>
      </c>
      <c r="K2294" s="49" t="n">
        <f aca="false">H2294*INDEX('Model Inputs &amp; Assumptions'!$G$40:$G$42,MATCH('Model Inputs &amp; Assumptions'!$L$32,'Model Inputs &amp; Assumptions'!$A$40:$A$42,0))*INDEX('Model Inputs &amp; Assumptions'!$H$40:$H$42,MATCH('Model Inputs &amp; Assumptions'!$L$32,'Model Inputs &amp; Assumptions'!$A$40:$A$42,0))</f>
        <v>20835.6259118803</v>
      </c>
      <c r="L2294" s="51" t="n">
        <f aca="false">IFERROR(K2294/I2294,0)</f>
        <v>1.08548260830797</v>
      </c>
      <c r="M2294" s="49" t="n">
        <f aca="false">IFERROR(I2294/H2294,0)</f>
        <v>104.469660897438</v>
      </c>
      <c r="N2294" s="52" t="str">
        <f aca="false">'Model Inputs &amp; Assumptions'!$L$32</f>
        <v>PRD-SP01</v>
      </c>
      <c r="P2294" s="53" t="n">
        <v>1.108038</v>
      </c>
      <c r="Q2294" s="53" t="n">
        <v>-0.422399</v>
      </c>
      <c r="R2294" s="53" t="n">
        <v>0.461247</v>
      </c>
      <c r="S2294" s="53" t="n">
        <v>-1.320592</v>
      </c>
    </row>
    <row r="2295" customFormat="false" ht="15" hidden="false" customHeight="false" outlineLevel="0" collapsed="false">
      <c r="A2295" s="43" t="n">
        <v>292</v>
      </c>
      <c r="B2295" s="44" t="str">
        <f aca="false">'Model Inputs &amp; Assumptions'!$B$32</f>
        <v>Trade Republic — In-App Display</v>
      </c>
      <c r="C2295" s="45" t="n">
        <f aca="false">ROUND(MAX(0,'Model Inputs &amp; Assumptions'!$S$32*EXP('Model Inputs &amp; Assumptions'!$T$32*P2295-'Model Inputs &amp; Assumptions'!$T$32^2/2)),0)</f>
        <v>1134927</v>
      </c>
      <c r="D2295" s="46" t="n">
        <f aca="false">MIN(1,'Model Inputs &amp; Assumptions'!$U$32*EXP('Model Inputs &amp; Assumptions'!$V$32*Q2295-'Model Inputs &amp; Assumptions'!$V$32^2/2))</f>
        <v>0</v>
      </c>
      <c r="E2295" s="45" t="n">
        <f aca="false">ROUND(C2295*D2295,0)</f>
        <v>0</v>
      </c>
      <c r="F2295" s="47" t="n">
        <f aca="false">MIN(1,'Model Inputs &amp; Assumptions'!$W$32*EXP('Model Inputs &amp; Assumptions'!$X$32*R2295-'Model Inputs &amp; Assumptions'!$X$32^2/2))</f>
        <v>0.00404317012427312</v>
      </c>
      <c r="G2295" s="45" t="n">
        <f aca="false">ROUND(C2295*F2295,0)</f>
        <v>4589</v>
      </c>
      <c r="H2295" s="48" t="n">
        <f aca="false">MAX(0,(C2295*'Model Inputs &amp; Assumptions'!$N$32+E2295*'Model Inputs &amp; Assumptions'!$O$32+G2295*'Model Inputs &amp; Assumptions'!$P$32)*EXP('Model Inputs &amp; Assumptions'!$Q$32*S2295-'Model Inputs &amp; Assumptions'!$Q$32^2/2))</f>
        <v>150.022287318599</v>
      </c>
      <c r="I2295" s="49" t="n">
        <f aca="false">IF('Model Inputs &amp; Assumptions'!$H$32="Fixed",'Model Inputs &amp; Assumptions'!$I$32*'Model Inputs &amp; Assumptions'!$K$32,IF('Model Inputs &amp; Assumptions'!$H$32="CPM",'Model Inputs &amp; Assumptions'!$I$32*'Model Inputs &amp; Assumptions'!$K$32*C2295/1000,IF('Model Inputs &amp; Assumptions'!$H$32="CPC",'Model Inputs &amp; Assumptions'!$I$32*'Model Inputs &amp; Assumptions'!$K$32*G2295,0)))</f>
        <v>13619.124</v>
      </c>
      <c r="J2295" s="50" t="n">
        <f aca="false">H2295*INDEX('Model Inputs &amp; Assumptions'!$D$40:$D$42,MATCH('Model Inputs &amp; Assumptions'!$L$32,'Model Inputs &amp; Assumptions'!$A$40:$A$42,0))*INDEX('Model Inputs &amp; Assumptions'!$H$40:$H$42,MATCH('Model Inputs &amp; Assumptions'!$L$32,'Model Inputs &amp; Assumptions'!$A$40:$A$42,0))</f>
        <v>810120.351520433</v>
      </c>
      <c r="K2295" s="49" t="n">
        <f aca="false">H2295*INDEX('Model Inputs &amp; Assumptions'!$G$40:$G$42,MATCH('Model Inputs &amp; Assumptions'!$L$32,'Model Inputs &amp; Assumptions'!$A$40:$A$42,0))*INDEX('Model Inputs &amp; Assumptions'!$H$40:$H$42,MATCH('Model Inputs &amp; Assumptions'!$L$32,'Model Inputs &amp; Assumptions'!$A$40:$A$42,0))</f>
        <v>17012.5273819291</v>
      </c>
      <c r="L2295" s="51" t="n">
        <f aca="false">IFERROR(K2295/I2295,0)</f>
        <v>1.24916458517663</v>
      </c>
      <c r="M2295" s="49" t="n">
        <f aca="false">IFERROR(I2295/H2295,0)</f>
        <v>90.7806716149941</v>
      </c>
      <c r="N2295" s="52" t="str">
        <f aca="false">'Model Inputs &amp; Assumptions'!$L$32</f>
        <v>PRD-SP01</v>
      </c>
      <c r="P2295" s="53" t="n">
        <v>-0.035845</v>
      </c>
      <c r="Q2295" s="53" t="n">
        <v>1.177779</v>
      </c>
      <c r="R2295" s="53" t="n">
        <v>0.630887</v>
      </c>
      <c r="S2295" s="53" t="n">
        <v>-1.001217</v>
      </c>
    </row>
    <row r="2296" customFormat="false" ht="15" hidden="false" customHeight="false" outlineLevel="0" collapsed="false">
      <c r="A2296" s="43" t="n">
        <v>293</v>
      </c>
      <c r="B2296" s="44" t="str">
        <f aca="false">'Model Inputs &amp; Assumptions'!$B$32</f>
        <v>Trade Republic — In-App Display</v>
      </c>
      <c r="C2296" s="45" t="n">
        <f aca="false">ROUND(MAX(0,'Model Inputs &amp; Assumptions'!$S$32*EXP('Model Inputs &amp; Assumptions'!$T$32*P2296-'Model Inputs &amp; Assumptions'!$T$32^2/2)),0)</f>
        <v>1086024</v>
      </c>
      <c r="D2296" s="46" t="n">
        <f aca="false">MIN(1,'Model Inputs &amp; Assumptions'!$U$32*EXP('Model Inputs &amp; Assumptions'!$V$32*Q2296-'Model Inputs &amp; Assumptions'!$V$32^2/2))</f>
        <v>0</v>
      </c>
      <c r="E2296" s="45" t="n">
        <f aca="false">ROUND(C2296*D2296,0)</f>
        <v>0</v>
      </c>
      <c r="F2296" s="47" t="n">
        <f aca="false">MIN(1,'Model Inputs &amp; Assumptions'!$W$32*EXP('Model Inputs &amp; Assumptions'!$X$32*R2296-'Model Inputs &amp; Assumptions'!$X$32^2/2))</f>
        <v>0.00217596200628733</v>
      </c>
      <c r="G2296" s="45" t="n">
        <f aca="false">ROUND(C2296*F2296,0)</f>
        <v>2363</v>
      </c>
      <c r="H2296" s="48" t="n">
        <f aca="false">MAX(0,(C2296*'Model Inputs &amp; Assumptions'!$N$32+E2296*'Model Inputs &amp; Assumptions'!$O$32+G2296*'Model Inputs &amp; Assumptions'!$P$32)*EXP('Model Inputs &amp; Assumptions'!$Q$32*S2296-'Model Inputs &amp; Assumptions'!$Q$32^2/2))</f>
        <v>126.284978596886</v>
      </c>
      <c r="I2296" s="49" t="n">
        <f aca="false">IF('Model Inputs &amp; Assumptions'!$H$32="Fixed",'Model Inputs &amp; Assumptions'!$I$32*'Model Inputs &amp; Assumptions'!$K$32,IF('Model Inputs &amp; Assumptions'!$H$32="CPM",'Model Inputs &amp; Assumptions'!$I$32*'Model Inputs &amp; Assumptions'!$K$32*C2296/1000,IF('Model Inputs &amp; Assumptions'!$H$32="CPC",'Model Inputs &amp; Assumptions'!$I$32*'Model Inputs &amp; Assumptions'!$K$32*G2296,0)))</f>
        <v>13032.288</v>
      </c>
      <c r="J2296" s="50" t="n">
        <f aca="false">H2296*INDEX('Model Inputs &amp; Assumptions'!$D$40:$D$42,MATCH('Model Inputs &amp; Assumptions'!$L$32,'Model Inputs &amp; Assumptions'!$A$40:$A$42,0))*INDEX('Model Inputs &amp; Assumptions'!$H$40:$H$42,MATCH('Model Inputs &amp; Assumptions'!$L$32,'Model Inputs &amp; Assumptions'!$A$40:$A$42,0))</f>
        <v>681938.884423183</v>
      </c>
      <c r="K2296" s="49" t="n">
        <f aca="false">H2296*INDEX('Model Inputs &amp; Assumptions'!$G$40:$G$42,MATCH('Model Inputs &amp; Assumptions'!$L$32,'Model Inputs &amp; Assumptions'!$A$40:$A$42,0))*INDEX('Model Inputs &amp; Assumptions'!$H$40:$H$42,MATCH('Model Inputs &amp; Assumptions'!$L$32,'Model Inputs &amp; Assumptions'!$A$40:$A$42,0))</f>
        <v>14320.7165728868</v>
      </c>
      <c r="L2296" s="51" t="n">
        <f aca="false">IFERROR(K2296/I2296,0)</f>
        <v>1.09886434161729</v>
      </c>
      <c r="M2296" s="49" t="n">
        <f aca="false">IFERROR(I2296/H2296,0)</f>
        <v>103.197451864805</v>
      </c>
      <c r="N2296" s="52" t="str">
        <f aca="false">'Model Inputs &amp; Assumptions'!$L$32</f>
        <v>PRD-SP01</v>
      </c>
      <c r="P2296" s="53" t="n">
        <v>-0.182662</v>
      </c>
      <c r="Q2296" s="53" t="n">
        <v>1.114869</v>
      </c>
      <c r="R2296" s="53" t="n">
        <v>-1.434307</v>
      </c>
      <c r="S2296" s="53" t="n">
        <v>0.754095</v>
      </c>
    </row>
    <row r="2297" customFormat="false" ht="15" hidden="false" customHeight="false" outlineLevel="0" collapsed="false">
      <c r="A2297" s="43" t="n">
        <v>294</v>
      </c>
      <c r="B2297" s="44" t="str">
        <f aca="false">'Model Inputs &amp; Assumptions'!$B$32</f>
        <v>Trade Republic — In-App Display</v>
      </c>
      <c r="C2297" s="45" t="n">
        <f aca="false">ROUND(MAX(0,'Model Inputs &amp; Assumptions'!$S$32*EXP('Model Inputs &amp; Assumptions'!$T$32*P2297-'Model Inputs &amp; Assumptions'!$T$32^2/2)),0)</f>
        <v>2006001</v>
      </c>
      <c r="D2297" s="46" t="n">
        <f aca="false">MIN(1,'Model Inputs &amp; Assumptions'!$U$32*EXP('Model Inputs &amp; Assumptions'!$V$32*Q2297-'Model Inputs &amp; Assumptions'!$V$32^2/2))</f>
        <v>0</v>
      </c>
      <c r="E2297" s="45" t="n">
        <f aca="false">ROUND(C2297*D2297,0)</f>
        <v>0</v>
      </c>
      <c r="F2297" s="47" t="n">
        <f aca="false">MIN(1,'Model Inputs &amp; Assumptions'!$W$32*EXP('Model Inputs &amp; Assumptions'!$X$32*R2297-'Model Inputs &amp; Assumptions'!$X$32^2/2))</f>
        <v>0.00267841062572228</v>
      </c>
      <c r="G2297" s="45" t="n">
        <f aca="false">ROUND(C2297*F2297,0)</f>
        <v>5373</v>
      </c>
      <c r="H2297" s="48" t="n">
        <f aca="false">MAX(0,(C2297*'Model Inputs &amp; Assumptions'!$N$32+E2297*'Model Inputs &amp; Assumptions'!$O$32+G2297*'Model Inputs &amp; Assumptions'!$P$32)*EXP('Model Inputs &amp; Assumptions'!$Q$32*S2297-'Model Inputs &amp; Assumptions'!$Q$32^2/2))</f>
        <v>218.509003910938</v>
      </c>
      <c r="I2297" s="49" t="n">
        <f aca="false">IF('Model Inputs &amp; Assumptions'!$H$32="Fixed",'Model Inputs &amp; Assumptions'!$I$32*'Model Inputs &amp; Assumptions'!$K$32,IF('Model Inputs &amp; Assumptions'!$H$32="CPM",'Model Inputs &amp; Assumptions'!$I$32*'Model Inputs &amp; Assumptions'!$K$32*C2297/1000,IF('Model Inputs &amp; Assumptions'!$H$32="CPC",'Model Inputs &amp; Assumptions'!$I$32*'Model Inputs &amp; Assumptions'!$K$32*G2297,0)))</f>
        <v>24072.012</v>
      </c>
      <c r="J2297" s="50" t="n">
        <f aca="false">H2297*INDEX('Model Inputs &amp; Assumptions'!$D$40:$D$42,MATCH('Model Inputs &amp; Assumptions'!$L$32,'Model Inputs &amp; Assumptions'!$A$40:$A$42,0))*INDEX('Model Inputs &amp; Assumptions'!$H$40:$H$42,MATCH('Model Inputs &amp; Assumptions'!$L$32,'Model Inputs &amp; Assumptions'!$A$40:$A$42,0))</f>
        <v>1179948.62111906</v>
      </c>
      <c r="K2297" s="49" t="n">
        <f aca="false">H2297*INDEX('Model Inputs &amp; Assumptions'!$G$40:$G$42,MATCH('Model Inputs &amp; Assumptions'!$L$32,'Model Inputs &amp; Assumptions'!$A$40:$A$42,0))*INDEX('Model Inputs &amp; Assumptions'!$H$40:$H$42,MATCH('Model Inputs &amp; Assumptions'!$L$32,'Model Inputs &amp; Assumptions'!$A$40:$A$42,0))</f>
        <v>24778.9210435003</v>
      </c>
      <c r="L2297" s="51" t="n">
        <f aca="false">IFERROR(K2297/I2297,0)</f>
        <v>1.02936642950744</v>
      </c>
      <c r="M2297" s="49" t="n">
        <f aca="false">IFERROR(I2297/H2297,0)</f>
        <v>110.164851649827</v>
      </c>
      <c r="N2297" s="52" t="str">
        <f aca="false">'Model Inputs &amp; Assumptions'!$L$32</f>
        <v>PRD-SP01</v>
      </c>
      <c r="P2297" s="53" t="n">
        <v>1.862739</v>
      </c>
      <c r="Q2297" s="53" t="n">
        <v>2.587545</v>
      </c>
      <c r="R2297" s="53" t="n">
        <v>-0.741798</v>
      </c>
      <c r="S2297" s="53" t="n">
        <v>-0.221506</v>
      </c>
    </row>
    <row r="2298" customFormat="false" ht="15" hidden="false" customHeight="false" outlineLevel="0" collapsed="false">
      <c r="A2298" s="43" t="n">
        <v>295</v>
      </c>
      <c r="B2298" s="44" t="str">
        <f aca="false">'Model Inputs &amp; Assumptions'!$B$32</f>
        <v>Trade Republic — In-App Display</v>
      </c>
      <c r="C2298" s="45" t="n">
        <f aca="false">ROUND(MAX(0,'Model Inputs &amp; Assumptions'!$S$32*EXP('Model Inputs &amp; Assumptions'!$T$32*P2298-'Model Inputs &amp; Assumptions'!$T$32^2/2)),0)</f>
        <v>656069</v>
      </c>
      <c r="D2298" s="46" t="n">
        <f aca="false">MIN(1,'Model Inputs &amp; Assumptions'!$U$32*EXP('Model Inputs &amp; Assumptions'!$V$32*Q2298-'Model Inputs &amp; Assumptions'!$V$32^2/2))</f>
        <v>0</v>
      </c>
      <c r="E2298" s="45" t="n">
        <f aca="false">ROUND(C2298*D2298,0)</f>
        <v>0</v>
      </c>
      <c r="F2298" s="47" t="n">
        <f aca="false">MIN(1,'Model Inputs &amp; Assumptions'!$W$32*EXP('Model Inputs &amp; Assumptions'!$X$32*R2298-'Model Inputs &amp; Assumptions'!$X$32^2/2))</f>
        <v>0.00583850848896176</v>
      </c>
      <c r="G2298" s="45" t="n">
        <f aca="false">ROUND(C2298*F2298,0)</f>
        <v>3830</v>
      </c>
      <c r="H2298" s="48" t="n">
        <f aca="false">MAX(0,(C2298*'Model Inputs &amp; Assumptions'!$N$32+E2298*'Model Inputs &amp; Assumptions'!$O$32+G2298*'Model Inputs &amp; Assumptions'!$P$32)*EXP('Model Inputs &amp; Assumptions'!$Q$32*S2298-'Model Inputs &amp; Assumptions'!$Q$32^2/2))</f>
        <v>185.916322408504</v>
      </c>
      <c r="I2298" s="49" t="n">
        <f aca="false">IF('Model Inputs &amp; Assumptions'!$H$32="Fixed",'Model Inputs &amp; Assumptions'!$I$32*'Model Inputs &amp; Assumptions'!$K$32,IF('Model Inputs &amp; Assumptions'!$H$32="CPM",'Model Inputs &amp; Assumptions'!$I$32*'Model Inputs &amp; Assumptions'!$K$32*C2298/1000,IF('Model Inputs &amp; Assumptions'!$H$32="CPC",'Model Inputs &amp; Assumptions'!$I$32*'Model Inputs &amp; Assumptions'!$K$32*G2298,0)))</f>
        <v>7872.828</v>
      </c>
      <c r="J2298" s="50" t="n">
        <f aca="false">H2298*INDEX('Model Inputs &amp; Assumptions'!$D$40:$D$42,MATCH('Model Inputs &amp; Assumptions'!$L$32,'Model Inputs &amp; Assumptions'!$A$40:$A$42,0))*INDEX('Model Inputs &amp; Assumptions'!$H$40:$H$42,MATCH('Model Inputs &amp; Assumptions'!$L$32,'Model Inputs &amp; Assumptions'!$A$40:$A$42,0))</f>
        <v>1003948.14100592</v>
      </c>
      <c r="K2298" s="49" t="n">
        <f aca="false">H2298*INDEX('Model Inputs &amp; Assumptions'!$G$40:$G$42,MATCH('Model Inputs &amp; Assumptions'!$L$32,'Model Inputs &amp; Assumptions'!$A$40:$A$42,0))*INDEX('Model Inputs &amp; Assumptions'!$H$40:$H$42,MATCH('Model Inputs &amp; Assumptions'!$L$32,'Model Inputs &amp; Assumptions'!$A$40:$A$42,0))</f>
        <v>21082.9109611243</v>
      </c>
      <c r="L2298" s="51" t="n">
        <f aca="false">IFERROR(K2298/I2298,0)</f>
        <v>2.67793364228513</v>
      </c>
      <c r="M2298" s="49" t="n">
        <f aca="false">IFERROR(I2298/H2298,0)</f>
        <v>42.3460828936873</v>
      </c>
      <c r="N2298" s="52" t="str">
        <f aca="false">'Model Inputs &amp; Assumptions'!$L$32</f>
        <v>PRD-SP01</v>
      </c>
      <c r="P2298" s="53" t="n">
        <v>-1.862704</v>
      </c>
      <c r="Q2298" s="53" t="n">
        <v>0.418877</v>
      </c>
      <c r="R2298" s="53" t="n">
        <v>1.855708</v>
      </c>
      <c r="S2298" s="53" t="n">
        <v>0.410605</v>
      </c>
    </row>
    <row r="2299" customFormat="false" ht="15" hidden="false" customHeight="false" outlineLevel="0" collapsed="false">
      <c r="A2299" s="43" t="n">
        <v>296</v>
      </c>
      <c r="B2299" s="44" t="str">
        <f aca="false">'Model Inputs &amp; Assumptions'!$B$32</f>
        <v>Trade Republic — In-App Display</v>
      </c>
      <c r="C2299" s="45" t="n">
        <f aca="false">ROUND(MAX(0,'Model Inputs &amp; Assumptions'!$S$32*EXP('Model Inputs &amp; Assumptions'!$T$32*P2299-'Model Inputs &amp; Assumptions'!$T$32^2/2)),0)</f>
        <v>1129523</v>
      </c>
      <c r="D2299" s="46" t="n">
        <f aca="false">MIN(1,'Model Inputs &amp; Assumptions'!$U$32*EXP('Model Inputs &amp; Assumptions'!$V$32*Q2299-'Model Inputs &amp; Assumptions'!$V$32^2/2))</f>
        <v>0</v>
      </c>
      <c r="E2299" s="45" t="n">
        <f aca="false">ROUND(C2299*D2299,0)</f>
        <v>0</v>
      </c>
      <c r="F2299" s="47" t="n">
        <f aca="false">MIN(1,'Model Inputs &amp; Assumptions'!$W$32*EXP('Model Inputs &amp; Assumptions'!$X$32*R2299-'Model Inputs &amp; Assumptions'!$X$32^2/2))</f>
        <v>0.00272080139790528</v>
      </c>
      <c r="G2299" s="45" t="n">
        <f aca="false">ROUND(C2299*F2299,0)</f>
        <v>3073</v>
      </c>
      <c r="H2299" s="48" t="n">
        <f aca="false">MAX(0,(C2299*'Model Inputs &amp; Assumptions'!$N$32+E2299*'Model Inputs &amp; Assumptions'!$O$32+G2299*'Model Inputs &amp; Assumptions'!$P$32)*EXP('Model Inputs &amp; Assumptions'!$Q$32*S2299-'Model Inputs &amp; Assumptions'!$Q$32^2/2))</f>
        <v>150.717251207364</v>
      </c>
      <c r="I2299" s="49" t="n">
        <f aca="false">IF('Model Inputs &amp; Assumptions'!$H$32="Fixed",'Model Inputs &amp; Assumptions'!$I$32*'Model Inputs &amp; Assumptions'!$K$32,IF('Model Inputs &amp; Assumptions'!$H$32="CPM",'Model Inputs &amp; Assumptions'!$I$32*'Model Inputs &amp; Assumptions'!$K$32*C2299/1000,IF('Model Inputs &amp; Assumptions'!$H$32="CPC",'Model Inputs &amp; Assumptions'!$I$32*'Model Inputs &amp; Assumptions'!$K$32*G2299,0)))</f>
        <v>13554.276</v>
      </c>
      <c r="J2299" s="50" t="n">
        <f aca="false">H2299*INDEX('Model Inputs &amp; Assumptions'!$D$40:$D$42,MATCH('Model Inputs &amp; Assumptions'!$L$32,'Model Inputs &amp; Assumptions'!$A$40:$A$42,0))*INDEX('Model Inputs &amp; Assumptions'!$H$40:$H$42,MATCH('Model Inputs &amp; Assumptions'!$L$32,'Model Inputs &amp; Assumptions'!$A$40:$A$42,0))</f>
        <v>813873.156519763</v>
      </c>
      <c r="K2299" s="49" t="n">
        <f aca="false">H2299*INDEX('Model Inputs &amp; Assumptions'!$G$40:$G$42,MATCH('Model Inputs &amp; Assumptions'!$L$32,'Model Inputs &amp; Assumptions'!$A$40:$A$42,0))*INDEX('Model Inputs &amp; Assumptions'!$H$40:$H$42,MATCH('Model Inputs &amp; Assumptions'!$L$32,'Model Inputs &amp; Assumptions'!$A$40:$A$42,0))</f>
        <v>17091.336286915</v>
      </c>
      <c r="L2299" s="51" t="n">
        <f aca="false">IFERROR(K2299/I2299,0)</f>
        <v>1.26095530937359</v>
      </c>
      <c r="M2299" s="49" t="n">
        <f aca="false">IFERROR(I2299/H2299,0)</f>
        <v>89.9318153125777</v>
      </c>
      <c r="N2299" s="52" t="str">
        <f aca="false">'Model Inputs &amp; Assumptions'!$L$32</f>
        <v>PRD-SP01</v>
      </c>
      <c r="P2299" s="53" t="n">
        <v>-0.051753</v>
      </c>
      <c r="Q2299" s="53" t="n">
        <v>-0.813498</v>
      </c>
      <c r="R2299" s="53" t="n">
        <v>-0.689455</v>
      </c>
      <c r="S2299" s="53" t="n">
        <v>0.44746</v>
      </c>
    </row>
    <row r="2300" customFormat="false" ht="15" hidden="false" customHeight="false" outlineLevel="0" collapsed="false">
      <c r="A2300" s="43" t="n">
        <v>297</v>
      </c>
      <c r="B2300" s="44" t="str">
        <f aca="false">'Model Inputs &amp; Assumptions'!$B$32</f>
        <v>Trade Republic — In-App Display</v>
      </c>
      <c r="C2300" s="45" t="n">
        <f aca="false">ROUND(MAX(0,'Model Inputs &amp; Assumptions'!$S$32*EXP('Model Inputs &amp; Assumptions'!$T$32*P2300-'Model Inputs &amp; Assumptions'!$T$32^2/2)),0)</f>
        <v>1260150</v>
      </c>
      <c r="D2300" s="46" t="n">
        <f aca="false">MIN(1,'Model Inputs &amp; Assumptions'!$U$32*EXP('Model Inputs &amp; Assumptions'!$V$32*Q2300-'Model Inputs &amp; Assumptions'!$V$32^2/2))</f>
        <v>0</v>
      </c>
      <c r="E2300" s="45" t="n">
        <f aca="false">ROUND(C2300*D2300,0)</f>
        <v>0</v>
      </c>
      <c r="F2300" s="47" t="n">
        <f aca="false">MIN(1,'Model Inputs &amp; Assumptions'!$W$32*EXP('Model Inputs &amp; Assumptions'!$X$32*R2300-'Model Inputs &amp; Assumptions'!$X$32^2/2))</f>
        <v>0.00301837337429007</v>
      </c>
      <c r="G2300" s="45" t="n">
        <f aca="false">ROUND(C2300*F2300,0)</f>
        <v>3804</v>
      </c>
      <c r="H2300" s="48" t="n">
        <f aca="false">MAX(0,(C2300*'Model Inputs &amp; Assumptions'!$N$32+E2300*'Model Inputs &amp; Assumptions'!$O$32+G2300*'Model Inputs &amp; Assumptions'!$P$32)*EXP('Model Inputs &amp; Assumptions'!$Q$32*S2300-'Model Inputs &amp; Assumptions'!$Q$32^2/2))</f>
        <v>138.916983604107</v>
      </c>
      <c r="I2300" s="49" t="n">
        <f aca="false">IF('Model Inputs &amp; Assumptions'!$H$32="Fixed",'Model Inputs &amp; Assumptions'!$I$32*'Model Inputs &amp; Assumptions'!$K$32,IF('Model Inputs &amp; Assumptions'!$H$32="CPM",'Model Inputs &amp; Assumptions'!$I$32*'Model Inputs &amp; Assumptions'!$K$32*C2300/1000,IF('Model Inputs &amp; Assumptions'!$H$32="CPC",'Model Inputs &amp; Assumptions'!$I$32*'Model Inputs &amp; Assumptions'!$K$32*G2300,0)))</f>
        <v>15121.8</v>
      </c>
      <c r="J2300" s="50" t="n">
        <f aca="false">H2300*INDEX('Model Inputs &amp; Assumptions'!$D$40:$D$42,MATCH('Model Inputs &amp; Assumptions'!$L$32,'Model Inputs &amp; Assumptions'!$A$40:$A$42,0))*INDEX('Model Inputs &amp; Assumptions'!$H$40:$H$42,MATCH('Model Inputs &amp; Assumptions'!$L$32,'Model Inputs &amp; Assumptions'!$A$40:$A$42,0))</f>
        <v>750151.711462178</v>
      </c>
      <c r="K2300" s="49" t="n">
        <f aca="false">H2300*INDEX('Model Inputs &amp; Assumptions'!$G$40:$G$42,MATCH('Model Inputs &amp; Assumptions'!$L$32,'Model Inputs &amp; Assumptions'!$A$40:$A$42,0))*INDEX('Model Inputs &amp; Assumptions'!$H$40:$H$42,MATCH('Model Inputs &amp; Assumptions'!$L$32,'Model Inputs &amp; Assumptions'!$A$40:$A$42,0))</f>
        <v>15753.1859407057</v>
      </c>
      <c r="L2300" s="51" t="n">
        <f aca="false">IFERROR(K2300/I2300,0)</f>
        <v>1.04175335877381</v>
      </c>
      <c r="M2300" s="49" t="n">
        <f aca="false">IFERROR(I2300/H2300,0)</f>
        <v>108.854940610393</v>
      </c>
      <c r="N2300" s="52" t="str">
        <f aca="false">'Model Inputs &amp; Assumptions'!$L$32</f>
        <v>PRD-SP01</v>
      </c>
      <c r="P2300" s="53" t="n">
        <v>0.313031</v>
      </c>
      <c r="Q2300" s="53" t="n">
        <v>0.414419</v>
      </c>
      <c r="R2300" s="53" t="n">
        <v>-0.343483</v>
      </c>
      <c r="S2300" s="53" t="n">
        <v>-0.605854</v>
      </c>
    </row>
    <row r="2301" customFormat="false" ht="15" hidden="false" customHeight="false" outlineLevel="0" collapsed="false">
      <c r="A2301" s="43" t="n">
        <v>298</v>
      </c>
      <c r="B2301" s="44" t="str">
        <f aca="false">'Model Inputs &amp; Assumptions'!$B$32</f>
        <v>Trade Republic — In-App Display</v>
      </c>
      <c r="C2301" s="45" t="n">
        <f aca="false">ROUND(MAX(0,'Model Inputs &amp; Assumptions'!$S$32*EXP('Model Inputs &amp; Assumptions'!$T$32*P2301-'Model Inputs &amp; Assumptions'!$T$32^2/2)),0)</f>
        <v>1769941</v>
      </c>
      <c r="D2301" s="46" t="n">
        <f aca="false">MIN(1,'Model Inputs &amp; Assumptions'!$U$32*EXP('Model Inputs &amp; Assumptions'!$V$32*Q2301-'Model Inputs &amp; Assumptions'!$V$32^2/2))</f>
        <v>0</v>
      </c>
      <c r="E2301" s="45" t="n">
        <f aca="false">ROUND(C2301*D2301,0)</f>
        <v>0</v>
      </c>
      <c r="F2301" s="47" t="n">
        <f aca="false">MIN(1,'Model Inputs &amp; Assumptions'!$W$32*EXP('Model Inputs &amp; Assumptions'!$X$32*R2301-'Model Inputs &amp; Assumptions'!$X$32^2/2))</f>
        <v>0.00270621767600344</v>
      </c>
      <c r="G2301" s="45" t="n">
        <f aca="false">ROUND(C2301*F2301,0)</f>
        <v>4790</v>
      </c>
      <c r="H2301" s="48" t="n">
        <f aca="false">MAX(0,(C2301*'Model Inputs &amp; Assumptions'!$N$32+E2301*'Model Inputs &amp; Assumptions'!$O$32+G2301*'Model Inputs &amp; Assumptions'!$P$32)*EXP('Model Inputs &amp; Assumptions'!$Q$32*S2301-'Model Inputs &amp; Assumptions'!$Q$32^2/2))</f>
        <v>164.799064551344</v>
      </c>
      <c r="I2301" s="49" t="n">
        <f aca="false">IF('Model Inputs &amp; Assumptions'!$H$32="Fixed",'Model Inputs &amp; Assumptions'!$I$32*'Model Inputs &amp; Assumptions'!$K$32,IF('Model Inputs &amp; Assumptions'!$H$32="CPM",'Model Inputs &amp; Assumptions'!$I$32*'Model Inputs &amp; Assumptions'!$K$32*C2301/1000,IF('Model Inputs &amp; Assumptions'!$H$32="CPC",'Model Inputs &amp; Assumptions'!$I$32*'Model Inputs &amp; Assumptions'!$K$32*G2301,0)))</f>
        <v>21239.292</v>
      </c>
      <c r="J2301" s="50" t="n">
        <f aca="false">H2301*INDEX('Model Inputs &amp; Assumptions'!$D$40:$D$42,MATCH('Model Inputs &amp; Assumptions'!$L$32,'Model Inputs &amp; Assumptions'!$A$40:$A$42,0))*INDEX('Model Inputs &amp; Assumptions'!$H$40:$H$42,MATCH('Model Inputs &amp; Assumptions'!$L$32,'Model Inputs &amp; Assumptions'!$A$40:$A$42,0))</f>
        <v>889914.948577257</v>
      </c>
      <c r="K2301" s="49" t="n">
        <f aca="false">H2301*INDEX('Model Inputs &amp; Assumptions'!$G$40:$G$42,MATCH('Model Inputs &amp; Assumptions'!$L$32,'Model Inputs &amp; Assumptions'!$A$40:$A$42,0))*INDEX('Model Inputs &amp; Assumptions'!$H$40:$H$42,MATCH('Model Inputs &amp; Assumptions'!$L$32,'Model Inputs &amp; Assumptions'!$A$40:$A$42,0))</f>
        <v>18688.2139201224</v>
      </c>
      <c r="L2301" s="51" t="n">
        <f aca="false">IFERROR(K2301/I2301,0)</f>
        <v>0.879888742059876</v>
      </c>
      <c r="M2301" s="49" t="n">
        <f aca="false">IFERROR(I2301/H2301,0)</f>
        <v>128.879930585909</v>
      </c>
      <c r="N2301" s="52" t="str">
        <f aca="false">'Model Inputs &amp; Assumptions'!$L$32</f>
        <v>PRD-SP01</v>
      </c>
      <c r="P2301" s="53" t="n">
        <v>1.445415</v>
      </c>
      <c r="Q2301" s="53" t="n">
        <v>0.385248</v>
      </c>
      <c r="R2301" s="53" t="n">
        <v>-0.70737</v>
      </c>
      <c r="S2301" s="53" t="n">
        <v>-0.818807</v>
      </c>
    </row>
    <row r="2302" customFormat="false" ht="15" hidden="false" customHeight="false" outlineLevel="0" collapsed="false">
      <c r="A2302" s="43" t="n">
        <v>299</v>
      </c>
      <c r="B2302" s="44" t="str">
        <f aca="false">'Model Inputs &amp; Assumptions'!$B$32</f>
        <v>Trade Republic — In-App Display</v>
      </c>
      <c r="C2302" s="45" t="n">
        <f aca="false">ROUND(MAX(0,'Model Inputs &amp; Assumptions'!$S$32*EXP('Model Inputs &amp; Assumptions'!$T$32*P2302-'Model Inputs &amp; Assumptions'!$T$32^2/2)),0)</f>
        <v>1356816</v>
      </c>
      <c r="D2302" s="46" t="n">
        <f aca="false">MIN(1,'Model Inputs &amp; Assumptions'!$U$32*EXP('Model Inputs &amp; Assumptions'!$V$32*Q2302-'Model Inputs &amp; Assumptions'!$V$32^2/2))</f>
        <v>0</v>
      </c>
      <c r="E2302" s="45" t="n">
        <f aca="false">ROUND(C2302*D2302,0)</f>
        <v>0</v>
      </c>
      <c r="F2302" s="47" t="n">
        <f aca="false">MIN(1,'Model Inputs &amp; Assumptions'!$W$32*EXP('Model Inputs &amp; Assumptions'!$X$32*R2302-'Model Inputs &amp; Assumptions'!$X$32^2/2))</f>
        <v>0.00241723824763427</v>
      </c>
      <c r="G2302" s="45" t="n">
        <f aca="false">ROUND(C2302*F2302,0)</f>
        <v>3280</v>
      </c>
      <c r="H2302" s="48" t="n">
        <f aca="false">MAX(0,(C2302*'Model Inputs &amp; Assumptions'!$N$32+E2302*'Model Inputs &amp; Assumptions'!$O$32+G2302*'Model Inputs &amp; Assumptions'!$P$32)*EXP('Model Inputs &amp; Assumptions'!$Q$32*S2302-'Model Inputs &amp; Assumptions'!$Q$32^2/2))</f>
        <v>128.490893249007</v>
      </c>
      <c r="I2302" s="49" t="n">
        <f aca="false">IF('Model Inputs &amp; Assumptions'!$H$32="Fixed",'Model Inputs &amp; Assumptions'!$I$32*'Model Inputs &amp; Assumptions'!$K$32,IF('Model Inputs &amp; Assumptions'!$H$32="CPM",'Model Inputs &amp; Assumptions'!$I$32*'Model Inputs &amp; Assumptions'!$K$32*C2302/1000,IF('Model Inputs &amp; Assumptions'!$H$32="CPC",'Model Inputs &amp; Assumptions'!$I$32*'Model Inputs &amp; Assumptions'!$K$32*G2302,0)))</f>
        <v>16281.792</v>
      </c>
      <c r="J2302" s="50" t="n">
        <f aca="false">H2302*INDEX('Model Inputs &amp; Assumptions'!$D$40:$D$42,MATCH('Model Inputs &amp; Assumptions'!$L$32,'Model Inputs &amp; Assumptions'!$A$40:$A$42,0))*INDEX('Model Inputs &amp; Assumptions'!$H$40:$H$42,MATCH('Model Inputs &amp; Assumptions'!$L$32,'Model Inputs &amp; Assumptions'!$A$40:$A$42,0))</f>
        <v>693850.82354464</v>
      </c>
      <c r="K2302" s="49" t="n">
        <f aca="false">H2302*INDEX('Model Inputs &amp; Assumptions'!$G$40:$G$42,MATCH('Model Inputs &amp; Assumptions'!$L$32,'Model Inputs &amp; Assumptions'!$A$40:$A$42,0))*INDEX('Model Inputs &amp; Assumptions'!$H$40:$H$42,MATCH('Model Inputs &amp; Assumptions'!$L$32,'Model Inputs &amp; Assumptions'!$A$40:$A$42,0))</f>
        <v>14570.8672944374</v>
      </c>
      <c r="L2302" s="51" t="n">
        <f aca="false">IFERROR(K2302/I2302,0)</f>
        <v>0.894917911642493</v>
      </c>
      <c r="M2302" s="49" t="n">
        <f aca="false">IFERROR(I2302/H2302,0)</f>
        <v>126.715532815597</v>
      </c>
      <c r="N2302" s="52" t="str">
        <f aca="false">'Model Inputs &amp; Assumptions'!$L$32</f>
        <v>PRD-SP01</v>
      </c>
      <c r="P2302" s="53" t="n">
        <v>0.559398</v>
      </c>
      <c r="Q2302" s="53" t="n">
        <v>-0.129116</v>
      </c>
      <c r="R2302" s="53" t="n">
        <v>-1.083791</v>
      </c>
      <c r="S2302" s="53" t="n">
        <v>-0.355171</v>
      </c>
    </row>
    <row r="2303" customFormat="false" ht="15" hidden="false" customHeight="false" outlineLevel="0" collapsed="false">
      <c r="A2303" s="43" t="n">
        <v>300</v>
      </c>
      <c r="B2303" s="44" t="str">
        <f aca="false">'Model Inputs &amp; Assumptions'!$B$32</f>
        <v>Trade Republic — In-App Display</v>
      </c>
      <c r="C2303" s="45" t="n">
        <f aca="false">ROUND(MAX(0,'Model Inputs &amp; Assumptions'!$S$32*EXP('Model Inputs &amp; Assumptions'!$T$32*P2303-'Model Inputs &amp; Assumptions'!$T$32^2/2)),0)</f>
        <v>907414</v>
      </c>
      <c r="D2303" s="46" t="n">
        <f aca="false">MIN(1,'Model Inputs &amp; Assumptions'!$U$32*EXP('Model Inputs &amp; Assumptions'!$V$32*Q2303-'Model Inputs &amp; Assumptions'!$V$32^2/2))</f>
        <v>0</v>
      </c>
      <c r="E2303" s="45" t="n">
        <f aca="false">ROUND(C2303*D2303,0)</f>
        <v>0</v>
      </c>
      <c r="F2303" s="47" t="n">
        <f aca="false">MIN(1,'Model Inputs &amp; Assumptions'!$W$32*EXP('Model Inputs &amp; Assumptions'!$X$32*R2303-'Model Inputs &amp; Assumptions'!$X$32^2/2))</f>
        <v>0.0032018909863103</v>
      </c>
      <c r="G2303" s="45" t="n">
        <f aca="false">ROUND(C2303*F2303,0)</f>
        <v>2905</v>
      </c>
      <c r="H2303" s="48" t="n">
        <f aca="false">MAX(0,(C2303*'Model Inputs &amp; Assumptions'!$N$32+E2303*'Model Inputs &amp; Assumptions'!$O$32+G2303*'Model Inputs &amp; Assumptions'!$P$32)*EXP('Model Inputs &amp; Assumptions'!$Q$32*S2303-'Model Inputs &amp; Assumptions'!$Q$32^2/2))</f>
        <v>103.896980914445</v>
      </c>
      <c r="I2303" s="49" t="n">
        <f aca="false">IF('Model Inputs &amp; Assumptions'!$H$32="Fixed",'Model Inputs &amp; Assumptions'!$I$32*'Model Inputs &amp; Assumptions'!$K$32,IF('Model Inputs &amp; Assumptions'!$H$32="CPM",'Model Inputs &amp; Assumptions'!$I$32*'Model Inputs &amp; Assumptions'!$K$32*C2303/1000,IF('Model Inputs &amp; Assumptions'!$H$32="CPC",'Model Inputs &amp; Assumptions'!$I$32*'Model Inputs &amp; Assumptions'!$K$32*G2303,0)))</f>
        <v>10888.968</v>
      </c>
      <c r="J2303" s="50" t="n">
        <f aca="false">H2303*INDEX('Model Inputs &amp; Assumptions'!$D$40:$D$42,MATCH('Model Inputs &amp; Assumptions'!$L$32,'Model Inputs &amp; Assumptions'!$A$40:$A$42,0))*INDEX('Model Inputs &amp; Assumptions'!$H$40:$H$42,MATCH('Model Inputs &amp; Assumptions'!$L$32,'Model Inputs &amp; Assumptions'!$A$40:$A$42,0))</f>
        <v>561043.696938003</v>
      </c>
      <c r="K2303" s="49" t="n">
        <f aca="false">H2303*INDEX('Model Inputs &amp; Assumptions'!$G$40:$G$42,MATCH('Model Inputs &amp; Assumptions'!$L$32,'Model Inputs &amp; Assumptions'!$A$40:$A$42,0))*INDEX('Model Inputs &amp; Assumptions'!$H$40:$H$42,MATCH('Model Inputs &amp; Assumptions'!$L$32,'Model Inputs &amp; Assumptions'!$A$40:$A$42,0))</f>
        <v>11781.9176356981</v>
      </c>
      <c r="L2303" s="51" t="n">
        <f aca="false">IFERROR(K2303/I2303,0)</f>
        <v>1.08200498299729</v>
      </c>
      <c r="M2303" s="49" t="n">
        <f aca="false">IFERROR(I2303/H2303,0)</f>
        <v>104.805432305744</v>
      </c>
      <c r="N2303" s="52" t="str">
        <f aca="false">'Model Inputs &amp; Assumptions'!$L$32</f>
        <v>PRD-SP01</v>
      </c>
      <c r="P2303" s="53" t="n">
        <v>-0.781592</v>
      </c>
      <c r="Q2303" s="53" t="n">
        <v>-1.441588</v>
      </c>
      <c r="R2303" s="53" t="n">
        <v>-0.146738</v>
      </c>
      <c r="S2303" s="53" t="n">
        <v>-0.680343</v>
      </c>
    </row>
    <row r="2304" customFormat="false" ht="15" hidden="false" customHeight="false" outlineLevel="0" collapsed="false">
      <c r="A2304" s="43" t="n">
        <v>301</v>
      </c>
      <c r="B2304" s="44" t="str">
        <f aca="false">'Model Inputs &amp; Assumptions'!$B$32</f>
        <v>Trade Republic — In-App Display</v>
      </c>
      <c r="C2304" s="45" t="n">
        <f aca="false">ROUND(MAX(0,'Model Inputs &amp; Assumptions'!$S$32*EXP('Model Inputs &amp; Assumptions'!$T$32*P2304-'Model Inputs &amp; Assumptions'!$T$32^2/2)),0)</f>
        <v>1195431</v>
      </c>
      <c r="D2304" s="46" t="n">
        <f aca="false">MIN(1,'Model Inputs &amp; Assumptions'!$U$32*EXP('Model Inputs &amp; Assumptions'!$V$32*Q2304-'Model Inputs &amp; Assumptions'!$V$32^2/2))</f>
        <v>0</v>
      </c>
      <c r="E2304" s="45" t="n">
        <f aca="false">ROUND(C2304*D2304,0)</f>
        <v>0</v>
      </c>
      <c r="F2304" s="47" t="n">
        <f aca="false">MIN(1,'Model Inputs &amp; Assumptions'!$W$32*EXP('Model Inputs &amp; Assumptions'!$X$32*R2304-'Model Inputs &amp; Assumptions'!$X$32^2/2))</f>
        <v>0.00437806728772707</v>
      </c>
      <c r="G2304" s="45" t="n">
        <f aca="false">ROUND(C2304*F2304,0)</f>
        <v>5234</v>
      </c>
      <c r="H2304" s="48" t="n">
        <f aca="false">MAX(0,(C2304*'Model Inputs &amp; Assumptions'!$N$32+E2304*'Model Inputs &amp; Assumptions'!$O$32+G2304*'Model Inputs &amp; Assumptions'!$P$32)*EXP('Model Inputs &amp; Assumptions'!$Q$32*S2304-'Model Inputs &amp; Assumptions'!$Q$32^2/2))</f>
        <v>265.678745145787</v>
      </c>
      <c r="I2304" s="49" t="n">
        <f aca="false">IF('Model Inputs &amp; Assumptions'!$H$32="Fixed",'Model Inputs &amp; Assumptions'!$I$32*'Model Inputs &amp; Assumptions'!$K$32,IF('Model Inputs &amp; Assumptions'!$H$32="CPM",'Model Inputs &amp; Assumptions'!$I$32*'Model Inputs &amp; Assumptions'!$K$32*C2304/1000,IF('Model Inputs &amp; Assumptions'!$H$32="CPC",'Model Inputs &amp; Assumptions'!$I$32*'Model Inputs &amp; Assumptions'!$K$32*G2304,0)))</f>
        <v>14345.172</v>
      </c>
      <c r="J2304" s="50" t="n">
        <f aca="false">H2304*INDEX('Model Inputs &amp; Assumptions'!$D$40:$D$42,MATCH('Model Inputs &amp; Assumptions'!$L$32,'Model Inputs &amp; Assumptions'!$A$40:$A$42,0))*INDEX('Model Inputs &amp; Assumptions'!$H$40:$H$42,MATCH('Model Inputs &amp; Assumptions'!$L$32,'Model Inputs &amp; Assumptions'!$A$40:$A$42,0))</f>
        <v>1434665.22378725</v>
      </c>
      <c r="K2304" s="49" t="n">
        <f aca="false">H2304*INDEX('Model Inputs &amp; Assumptions'!$G$40:$G$42,MATCH('Model Inputs &amp; Assumptions'!$L$32,'Model Inputs &amp; Assumptions'!$A$40:$A$42,0))*INDEX('Model Inputs &amp; Assumptions'!$H$40:$H$42,MATCH('Model Inputs &amp; Assumptions'!$L$32,'Model Inputs &amp; Assumptions'!$A$40:$A$42,0))</f>
        <v>30127.9696995322</v>
      </c>
      <c r="L2304" s="51" t="n">
        <f aca="false">IFERROR(K2304/I2304,0)</f>
        <v>2.10021669308198</v>
      </c>
      <c r="M2304" s="49" t="n">
        <f aca="false">IFERROR(I2304/H2304,0)</f>
        <v>53.9944284670885</v>
      </c>
      <c r="N2304" s="52" t="str">
        <f aca="false">'Model Inputs &amp; Assumptions'!$L$32</f>
        <v>PRD-SP01</v>
      </c>
      <c r="P2304" s="53" t="n">
        <v>0.137283</v>
      </c>
      <c r="Q2304" s="53" t="n">
        <v>-0.209388</v>
      </c>
      <c r="R2304" s="53" t="n">
        <v>0.896148</v>
      </c>
      <c r="S2304" s="53" t="n">
        <v>0.570177</v>
      </c>
    </row>
    <row r="2305" customFormat="false" ht="15" hidden="false" customHeight="false" outlineLevel="0" collapsed="false">
      <c r="A2305" s="43" t="n">
        <v>302</v>
      </c>
      <c r="B2305" s="44" t="str">
        <f aca="false">'Model Inputs &amp; Assumptions'!$B$32</f>
        <v>Trade Republic — In-App Display</v>
      </c>
      <c r="C2305" s="45" t="n">
        <f aca="false">ROUND(MAX(0,'Model Inputs &amp; Assumptions'!$S$32*EXP('Model Inputs &amp; Assumptions'!$T$32*P2305-'Model Inputs &amp; Assumptions'!$T$32^2/2)),0)</f>
        <v>1324754</v>
      </c>
      <c r="D2305" s="46" t="n">
        <f aca="false">MIN(1,'Model Inputs &amp; Assumptions'!$U$32*EXP('Model Inputs &amp; Assumptions'!$V$32*Q2305-'Model Inputs &amp; Assumptions'!$V$32^2/2))</f>
        <v>0</v>
      </c>
      <c r="E2305" s="45" t="n">
        <f aca="false">ROUND(C2305*D2305,0)</f>
        <v>0</v>
      </c>
      <c r="F2305" s="47" t="n">
        <f aca="false">MIN(1,'Model Inputs &amp; Assumptions'!$W$32*EXP('Model Inputs &amp; Assumptions'!$X$32*R2305-'Model Inputs &amp; Assumptions'!$X$32^2/2))</f>
        <v>0.0030726327534175</v>
      </c>
      <c r="G2305" s="45" t="n">
        <f aca="false">ROUND(C2305*F2305,0)</f>
        <v>4070</v>
      </c>
      <c r="H2305" s="48" t="n">
        <f aca="false">MAX(0,(C2305*'Model Inputs &amp; Assumptions'!$N$32+E2305*'Model Inputs &amp; Assumptions'!$O$32+G2305*'Model Inputs &amp; Assumptions'!$P$32)*EXP('Model Inputs &amp; Assumptions'!$Q$32*S2305-'Model Inputs &amp; Assumptions'!$Q$32^2/2))</f>
        <v>188.607626954415</v>
      </c>
      <c r="I2305" s="49" t="n">
        <f aca="false">IF('Model Inputs &amp; Assumptions'!$H$32="Fixed",'Model Inputs &amp; Assumptions'!$I$32*'Model Inputs &amp; Assumptions'!$K$32,IF('Model Inputs &amp; Assumptions'!$H$32="CPM",'Model Inputs &amp; Assumptions'!$I$32*'Model Inputs &amp; Assumptions'!$K$32*C2305/1000,IF('Model Inputs &amp; Assumptions'!$H$32="CPC",'Model Inputs &amp; Assumptions'!$I$32*'Model Inputs &amp; Assumptions'!$K$32*G2305,0)))</f>
        <v>15897.048</v>
      </c>
      <c r="J2305" s="50" t="n">
        <f aca="false">H2305*INDEX('Model Inputs &amp; Assumptions'!$D$40:$D$42,MATCH('Model Inputs &amp; Assumptions'!$L$32,'Model Inputs &amp; Assumptions'!$A$40:$A$42,0))*INDEX('Model Inputs &amp; Assumptions'!$H$40:$H$42,MATCH('Model Inputs &amp; Assumptions'!$L$32,'Model Inputs &amp; Assumptions'!$A$40:$A$42,0))</f>
        <v>1018481.18555384</v>
      </c>
      <c r="K2305" s="49" t="n">
        <f aca="false">H2305*INDEX('Model Inputs &amp; Assumptions'!$G$40:$G$42,MATCH('Model Inputs &amp; Assumptions'!$L$32,'Model Inputs &amp; Assumptions'!$A$40:$A$42,0))*INDEX('Model Inputs &amp; Assumptions'!$H$40:$H$42,MATCH('Model Inputs &amp; Assumptions'!$L$32,'Model Inputs &amp; Assumptions'!$A$40:$A$42,0))</f>
        <v>21388.1048966307</v>
      </c>
      <c r="L2305" s="51" t="n">
        <f aca="false">IFERROR(K2305/I2305,0)</f>
        <v>1.34541361997716</v>
      </c>
      <c r="M2305" s="49" t="n">
        <f aca="false">IFERROR(I2305/H2305,0)</f>
        <v>84.2863475708868</v>
      </c>
      <c r="N2305" s="52" t="str">
        <f aca="false">'Model Inputs &amp; Assumptions'!$L$32</f>
        <v>PRD-SP01</v>
      </c>
      <c r="P2305" s="53" t="n">
        <v>0.479685</v>
      </c>
      <c r="Q2305" s="53" t="n">
        <v>-0.527827</v>
      </c>
      <c r="R2305" s="53" t="n">
        <v>-0.284094</v>
      </c>
      <c r="S2305" s="53" t="n">
        <v>0.244869</v>
      </c>
    </row>
    <row r="2306" customFormat="false" ht="15" hidden="false" customHeight="false" outlineLevel="0" collapsed="false">
      <c r="A2306" s="43" t="n">
        <v>303</v>
      </c>
      <c r="B2306" s="44" t="str">
        <f aca="false">'Model Inputs &amp; Assumptions'!$B$32</f>
        <v>Trade Republic — In-App Display</v>
      </c>
      <c r="C2306" s="45" t="n">
        <f aca="false">ROUND(MAX(0,'Model Inputs &amp; Assumptions'!$S$32*EXP('Model Inputs &amp; Assumptions'!$T$32*P2306-'Model Inputs &amp; Assumptions'!$T$32^2/2)),0)</f>
        <v>1262828</v>
      </c>
      <c r="D2306" s="46" t="n">
        <f aca="false">MIN(1,'Model Inputs &amp; Assumptions'!$U$32*EXP('Model Inputs &amp; Assumptions'!$V$32*Q2306-'Model Inputs &amp; Assumptions'!$V$32^2/2))</f>
        <v>0</v>
      </c>
      <c r="E2306" s="45" t="n">
        <f aca="false">ROUND(C2306*D2306,0)</f>
        <v>0</v>
      </c>
      <c r="F2306" s="47" t="n">
        <f aca="false">MIN(1,'Model Inputs &amp; Assumptions'!$W$32*EXP('Model Inputs &amp; Assumptions'!$X$32*R2306-'Model Inputs &amp; Assumptions'!$X$32^2/2))</f>
        <v>0.00359108170785541</v>
      </c>
      <c r="G2306" s="45" t="n">
        <f aca="false">ROUND(C2306*F2306,0)</f>
        <v>4535</v>
      </c>
      <c r="H2306" s="48" t="n">
        <f aca="false">MAX(0,(C2306*'Model Inputs &amp; Assumptions'!$N$32+E2306*'Model Inputs &amp; Assumptions'!$O$32+G2306*'Model Inputs &amp; Assumptions'!$P$32)*EXP('Model Inputs &amp; Assumptions'!$Q$32*S2306-'Model Inputs &amp; Assumptions'!$Q$32^2/2))</f>
        <v>232.279626687682</v>
      </c>
      <c r="I2306" s="49" t="n">
        <f aca="false">IF('Model Inputs &amp; Assumptions'!$H$32="Fixed",'Model Inputs &amp; Assumptions'!$I$32*'Model Inputs &amp; Assumptions'!$K$32,IF('Model Inputs &amp; Assumptions'!$H$32="CPM",'Model Inputs &amp; Assumptions'!$I$32*'Model Inputs &amp; Assumptions'!$K$32*C2306/1000,IF('Model Inputs &amp; Assumptions'!$H$32="CPC",'Model Inputs &amp; Assumptions'!$I$32*'Model Inputs &amp; Assumptions'!$K$32*G2306,0)))</f>
        <v>15153.936</v>
      </c>
      <c r="J2306" s="50" t="n">
        <f aca="false">H2306*INDEX('Model Inputs &amp; Assumptions'!$D$40:$D$42,MATCH('Model Inputs &amp; Assumptions'!$L$32,'Model Inputs &amp; Assumptions'!$A$40:$A$42,0))*INDEX('Model Inputs &amp; Assumptions'!$H$40:$H$42,MATCH('Model Inputs &amp; Assumptions'!$L$32,'Model Inputs &amp; Assumptions'!$A$40:$A$42,0))</f>
        <v>1254309.98411348</v>
      </c>
      <c r="K2306" s="49" t="n">
        <f aca="false">H2306*INDEX('Model Inputs &amp; Assumptions'!$G$40:$G$42,MATCH('Model Inputs &amp; Assumptions'!$L$32,'Model Inputs &amp; Assumptions'!$A$40:$A$42,0))*INDEX('Model Inputs &amp; Assumptions'!$H$40:$H$42,MATCH('Model Inputs &amp; Assumptions'!$L$32,'Model Inputs &amp; Assumptions'!$A$40:$A$42,0))</f>
        <v>26340.5096663831</v>
      </c>
      <c r="L2306" s="51" t="n">
        <f aca="false">IFERROR(K2306/I2306,0)</f>
        <v>1.73819591599061</v>
      </c>
      <c r="M2306" s="49" t="n">
        <f aca="false">IFERROR(I2306/H2306,0)</f>
        <v>65.2400566338763</v>
      </c>
      <c r="N2306" s="52" t="str">
        <f aca="false">'Model Inputs &amp; Assumptions'!$L$32</f>
        <v>PRD-SP01</v>
      </c>
      <c r="P2306" s="53" t="n">
        <v>0.320108</v>
      </c>
      <c r="Q2306" s="53" t="n">
        <v>-0.681166</v>
      </c>
      <c r="R2306" s="53" t="n">
        <v>0.235635</v>
      </c>
      <c r="S2306" s="53" t="n">
        <v>0.602337</v>
      </c>
    </row>
    <row r="2307" customFormat="false" ht="15" hidden="false" customHeight="false" outlineLevel="0" collapsed="false">
      <c r="A2307" s="43" t="n">
        <v>304</v>
      </c>
      <c r="B2307" s="44" t="str">
        <f aca="false">'Model Inputs &amp; Assumptions'!$B$32</f>
        <v>Trade Republic — In-App Display</v>
      </c>
      <c r="C2307" s="45" t="n">
        <f aca="false">ROUND(MAX(0,'Model Inputs &amp; Assumptions'!$S$32*EXP('Model Inputs &amp; Assumptions'!$T$32*P2307-'Model Inputs &amp; Assumptions'!$T$32^2/2)),0)</f>
        <v>522813</v>
      </c>
      <c r="D2307" s="46" t="n">
        <f aca="false">MIN(1,'Model Inputs &amp; Assumptions'!$U$32*EXP('Model Inputs &amp; Assumptions'!$V$32*Q2307-'Model Inputs &amp; Assumptions'!$V$32^2/2))</f>
        <v>0</v>
      </c>
      <c r="E2307" s="45" t="n">
        <f aca="false">ROUND(C2307*D2307,0)</f>
        <v>0</v>
      </c>
      <c r="F2307" s="47" t="n">
        <f aca="false">MIN(1,'Model Inputs &amp; Assumptions'!$W$32*EXP('Model Inputs &amp; Assumptions'!$X$32*R2307-'Model Inputs &amp; Assumptions'!$X$32^2/2))</f>
        <v>0.00454730008303957</v>
      </c>
      <c r="G2307" s="45" t="n">
        <f aca="false">ROUND(C2307*F2307,0)</f>
        <v>2377</v>
      </c>
      <c r="H2307" s="48" t="n">
        <f aca="false">MAX(0,(C2307*'Model Inputs &amp; Assumptions'!$N$32+E2307*'Model Inputs &amp; Assumptions'!$O$32+G2307*'Model Inputs &amp; Assumptions'!$P$32)*EXP('Model Inputs &amp; Assumptions'!$Q$32*S2307-'Model Inputs &amp; Assumptions'!$Q$32^2/2))</f>
        <v>126.651770794772</v>
      </c>
      <c r="I2307" s="49" t="n">
        <f aca="false">IF('Model Inputs &amp; Assumptions'!$H$32="Fixed",'Model Inputs &amp; Assumptions'!$I$32*'Model Inputs &amp; Assumptions'!$K$32,IF('Model Inputs &amp; Assumptions'!$H$32="CPM",'Model Inputs &amp; Assumptions'!$I$32*'Model Inputs &amp; Assumptions'!$K$32*C2307/1000,IF('Model Inputs &amp; Assumptions'!$H$32="CPC",'Model Inputs &amp; Assumptions'!$I$32*'Model Inputs &amp; Assumptions'!$K$32*G2307,0)))</f>
        <v>6273.756</v>
      </c>
      <c r="J2307" s="50" t="n">
        <f aca="false">H2307*INDEX('Model Inputs &amp; Assumptions'!$D$40:$D$42,MATCH('Model Inputs &amp; Assumptions'!$L$32,'Model Inputs &amp; Assumptions'!$A$40:$A$42,0))*INDEX('Model Inputs &amp; Assumptions'!$H$40:$H$42,MATCH('Model Inputs &amp; Assumptions'!$L$32,'Model Inputs &amp; Assumptions'!$A$40:$A$42,0))</f>
        <v>683919.562291769</v>
      </c>
      <c r="K2307" s="49" t="n">
        <f aca="false">H2307*INDEX('Model Inputs &amp; Assumptions'!$G$40:$G$42,MATCH('Model Inputs &amp; Assumptions'!$L$32,'Model Inputs &amp; Assumptions'!$A$40:$A$42,0))*INDEX('Model Inputs &amp; Assumptions'!$H$40:$H$42,MATCH('Model Inputs &amp; Assumptions'!$L$32,'Model Inputs &amp; Assumptions'!$A$40:$A$42,0))</f>
        <v>14362.3108081271</v>
      </c>
      <c r="L2307" s="51" t="n">
        <f aca="false">IFERROR(K2307/I2307,0)</f>
        <v>2.2892683120171</v>
      </c>
      <c r="M2307" s="49" t="n">
        <f aca="false">IFERROR(I2307/H2307,0)</f>
        <v>49.5354779536882</v>
      </c>
      <c r="N2307" s="52" t="str">
        <f aca="false">'Model Inputs &amp; Assumptions'!$L$32</f>
        <v>PRD-SP01</v>
      </c>
      <c r="P2307" s="53" t="n">
        <v>-2.619513</v>
      </c>
      <c r="Q2307" s="53" t="n">
        <v>2.483556</v>
      </c>
      <c r="R2307" s="53" t="n">
        <v>1.022569</v>
      </c>
      <c r="S2307" s="53" t="n">
        <v>0.743356</v>
      </c>
    </row>
    <row r="2308" customFormat="false" ht="15" hidden="false" customHeight="false" outlineLevel="0" collapsed="false">
      <c r="A2308" s="43" t="n">
        <v>305</v>
      </c>
      <c r="B2308" s="44" t="str">
        <f aca="false">'Model Inputs &amp; Assumptions'!$B$32</f>
        <v>Trade Republic — In-App Display</v>
      </c>
      <c r="C2308" s="45" t="n">
        <f aca="false">ROUND(MAX(0,'Model Inputs &amp; Assumptions'!$S$32*EXP('Model Inputs &amp; Assumptions'!$T$32*P2308-'Model Inputs &amp; Assumptions'!$T$32^2/2)),0)</f>
        <v>903085</v>
      </c>
      <c r="D2308" s="46" t="n">
        <f aca="false">MIN(1,'Model Inputs &amp; Assumptions'!$U$32*EXP('Model Inputs &amp; Assumptions'!$V$32*Q2308-'Model Inputs &amp; Assumptions'!$V$32^2/2))</f>
        <v>0</v>
      </c>
      <c r="E2308" s="45" t="n">
        <f aca="false">ROUND(C2308*D2308,0)</f>
        <v>0</v>
      </c>
      <c r="F2308" s="47" t="n">
        <f aca="false">MIN(1,'Model Inputs &amp; Assumptions'!$W$32*EXP('Model Inputs &amp; Assumptions'!$X$32*R2308-'Model Inputs &amp; Assumptions'!$X$32^2/2))</f>
        <v>0.00451578649853809</v>
      </c>
      <c r="G2308" s="45" t="n">
        <f aca="false">ROUND(C2308*F2308,0)</f>
        <v>4078</v>
      </c>
      <c r="H2308" s="48" t="n">
        <f aca="false">MAX(0,(C2308*'Model Inputs &amp; Assumptions'!$N$32+E2308*'Model Inputs &amp; Assumptions'!$O$32+G2308*'Model Inputs &amp; Assumptions'!$P$32)*EXP('Model Inputs &amp; Assumptions'!$Q$32*S2308-'Model Inputs &amp; Assumptions'!$Q$32^2/2))</f>
        <v>196.29627438702</v>
      </c>
      <c r="I2308" s="49" t="n">
        <f aca="false">IF('Model Inputs &amp; Assumptions'!$H$32="Fixed",'Model Inputs &amp; Assumptions'!$I$32*'Model Inputs &amp; Assumptions'!$K$32,IF('Model Inputs &amp; Assumptions'!$H$32="CPM",'Model Inputs &amp; Assumptions'!$I$32*'Model Inputs &amp; Assumptions'!$K$32*C2308/1000,IF('Model Inputs &amp; Assumptions'!$H$32="CPC",'Model Inputs &amp; Assumptions'!$I$32*'Model Inputs &amp; Assumptions'!$K$32*G2308,0)))</f>
        <v>10837.02</v>
      </c>
      <c r="J2308" s="50" t="n">
        <f aca="false">H2308*INDEX('Model Inputs &amp; Assumptions'!$D$40:$D$42,MATCH('Model Inputs &amp; Assumptions'!$L$32,'Model Inputs &amp; Assumptions'!$A$40:$A$42,0))*INDEX('Model Inputs &amp; Assumptions'!$H$40:$H$42,MATCH('Model Inputs &amp; Assumptions'!$L$32,'Model Inputs &amp; Assumptions'!$A$40:$A$42,0))</f>
        <v>1059999.88168991</v>
      </c>
      <c r="K2308" s="49" t="n">
        <f aca="false">H2308*INDEX('Model Inputs &amp; Assumptions'!$G$40:$G$42,MATCH('Model Inputs &amp; Assumptions'!$L$32,'Model Inputs &amp; Assumptions'!$A$40:$A$42,0))*INDEX('Model Inputs &amp; Assumptions'!$H$40:$H$42,MATCH('Model Inputs &amp; Assumptions'!$L$32,'Model Inputs &amp; Assumptions'!$A$40:$A$42,0))</f>
        <v>22259.9975154881</v>
      </c>
      <c r="L2308" s="51" t="n">
        <f aca="false">IFERROR(K2308/I2308,0)</f>
        <v>2.05406998561302</v>
      </c>
      <c r="M2308" s="49" t="n">
        <f aca="false">IFERROR(I2308/H2308,0)</f>
        <v>55.2074665392457</v>
      </c>
      <c r="N2308" s="52" t="str">
        <f aca="false">'Model Inputs &amp; Assumptions'!$L$32</f>
        <v>PRD-SP01</v>
      </c>
      <c r="P2308" s="53" t="n">
        <v>-0.797533</v>
      </c>
      <c r="Q2308" s="53" t="n">
        <v>0.584399</v>
      </c>
      <c r="R2308" s="53" t="n">
        <v>0.999388</v>
      </c>
      <c r="S2308" s="53" t="n">
        <v>0.380557</v>
      </c>
    </row>
    <row r="2309" customFormat="false" ht="15" hidden="false" customHeight="false" outlineLevel="0" collapsed="false">
      <c r="A2309" s="43" t="n">
        <v>306</v>
      </c>
      <c r="B2309" s="44" t="str">
        <f aca="false">'Model Inputs &amp; Assumptions'!$B$32</f>
        <v>Trade Republic — In-App Display</v>
      </c>
      <c r="C2309" s="45" t="n">
        <f aca="false">ROUND(MAX(0,'Model Inputs &amp; Assumptions'!$S$32*EXP('Model Inputs &amp; Assumptions'!$T$32*P2309-'Model Inputs &amp; Assumptions'!$T$32^2/2)),0)</f>
        <v>2499174</v>
      </c>
      <c r="D2309" s="46" t="n">
        <f aca="false">MIN(1,'Model Inputs &amp; Assumptions'!$U$32*EXP('Model Inputs &amp; Assumptions'!$V$32*Q2309-'Model Inputs &amp; Assumptions'!$V$32^2/2))</f>
        <v>0</v>
      </c>
      <c r="E2309" s="45" t="n">
        <f aca="false">ROUND(C2309*D2309,0)</f>
        <v>0</v>
      </c>
      <c r="F2309" s="47" t="n">
        <f aca="false">MIN(1,'Model Inputs &amp; Assumptions'!$W$32*EXP('Model Inputs &amp; Assumptions'!$X$32*R2309-'Model Inputs &amp; Assumptions'!$X$32^2/2))</f>
        <v>0.0034986090264743</v>
      </c>
      <c r="G2309" s="45" t="n">
        <f aca="false">ROUND(C2309*F2309,0)</f>
        <v>8744</v>
      </c>
      <c r="H2309" s="48" t="n">
        <f aca="false">MAX(0,(C2309*'Model Inputs &amp; Assumptions'!$N$32+E2309*'Model Inputs &amp; Assumptions'!$O$32+G2309*'Model Inputs &amp; Assumptions'!$P$32)*EXP('Model Inputs &amp; Assumptions'!$Q$32*S2309-'Model Inputs &amp; Assumptions'!$Q$32^2/2))</f>
        <v>301.190790866095</v>
      </c>
      <c r="I2309" s="49" t="n">
        <f aca="false">IF('Model Inputs &amp; Assumptions'!$H$32="Fixed",'Model Inputs &amp; Assumptions'!$I$32*'Model Inputs &amp; Assumptions'!$K$32,IF('Model Inputs &amp; Assumptions'!$H$32="CPM",'Model Inputs &amp; Assumptions'!$I$32*'Model Inputs &amp; Assumptions'!$K$32*C2309/1000,IF('Model Inputs &amp; Assumptions'!$H$32="CPC",'Model Inputs &amp; Assumptions'!$I$32*'Model Inputs &amp; Assumptions'!$K$32*G2309,0)))</f>
        <v>29990.088</v>
      </c>
      <c r="J2309" s="50" t="n">
        <f aca="false">H2309*INDEX('Model Inputs &amp; Assumptions'!$D$40:$D$42,MATCH('Model Inputs &amp; Assumptions'!$L$32,'Model Inputs &amp; Assumptions'!$A$40:$A$42,0))*INDEX('Model Inputs &amp; Assumptions'!$H$40:$H$42,MATCH('Model Inputs &amp; Assumptions'!$L$32,'Model Inputs &amp; Assumptions'!$A$40:$A$42,0))</f>
        <v>1626430.27067691</v>
      </c>
      <c r="K2309" s="49" t="n">
        <f aca="false">H2309*INDEX('Model Inputs &amp; Assumptions'!$G$40:$G$42,MATCH('Model Inputs &amp; Assumptions'!$L$32,'Model Inputs &amp; Assumptions'!$A$40:$A$42,0))*INDEX('Model Inputs &amp; Assumptions'!$H$40:$H$42,MATCH('Model Inputs &amp; Assumptions'!$L$32,'Model Inputs &amp; Assumptions'!$A$40:$A$42,0))</f>
        <v>34155.0356842151</v>
      </c>
      <c r="L2309" s="51" t="n">
        <f aca="false">IFERROR(K2309/I2309,0)</f>
        <v>1.13887747459144</v>
      </c>
      <c r="M2309" s="49" t="n">
        <f aca="false">IFERROR(I2309/H2309,0)</f>
        <v>99.5717296460541</v>
      </c>
      <c r="N2309" s="52" t="str">
        <f aca="false">'Model Inputs &amp; Assumptions'!$L$32</f>
        <v>PRD-SP01</v>
      </c>
      <c r="P2309" s="53" t="n">
        <v>2.595463</v>
      </c>
      <c r="Q2309" s="53" t="n">
        <v>-1.775611</v>
      </c>
      <c r="R2309" s="53" t="n">
        <v>0.148675</v>
      </c>
      <c r="S2309" s="53" t="n">
        <v>-0.814594</v>
      </c>
    </row>
    <row r="2310" customFormat="false" ht="15" hidden="false" customHeight="false" outlineLevel="0" collapsed="false">
      <c r="A2310" s="43" t="n">
        <v>307</v>
      </c>
      <c r="B2310" s="44" t="str">
        <f aca="false">'Model Inputs &amp; Assumptions'!$B$32</f>
        <v>Trade Republic — In-App Display</v>
      </c>
      <c r="C2310" s="45" t="n">
        <f aca="false">ROUND(MAX(0,'Model Inputs &amp; Assumptions'!$S$32*EXP('Model Inputs &amp; Assumptions'!$T$32*P2310-'Model Inputs &amp; Assumptions'!$T$32^2/2)),0)</f>
        <v>993448</v>
      </c>
      <c r="D2310" s="46" t="n">
        <f aca="false">MIN(1,'Model Inputs &amp; Assumptions'!$U$32*EXP('Model Inputs &amp; Assumptions'!$V$32*Q2310-'Model Inputs &amp; Assumptions'!$V$32^2/2))</f>
        <v>0</v>
      </c>
      <c r="E2310" s="45" t="n">
        <f aca="false">ROUND(C2310*D2310,0)</f>
        <v>0</v>
      </c>
      <c r="F2310" s="47" t="n">
        <f aca="false">MIN(1,'Model Inputs &amp; Assumptions'!$W$32*EXP('Model Inputs &amp; Assumptions'!$X$32*R2310-'Model Inputs &amp; Assumptions'!$X$32^2/2))</f>
        <v>0.00264437850645197</v>
      </c>
      <c r="G2310" s="45" t="n">
        <f aca="false">ROUND(C2310*F2310,0)</f>
        <v>2627</v>
      </c>
      <c r="H2310" s="48" t="n">
        <f aca="false">MAX(0,(C2310*'Model Inputs &amp; Assumptions'!$N$32+E2310*'Model Inputs &amp; Assumptions'!$O$32+G2310*'Model Inputs &amp; Assumptions'!$P$32)*EXP('Model Inputs &amp; Assumptions'!$Q$32*S2310-'Model Inputs &amp; Assumptions'!$Q$32^2/2))</f>
        <v>165.437546402976</v>
      </c>
      <c r="I2310" s="49" t="n">
        <f aca="false">IF('Model Inputs &amp; Assumptions'!$H$32="Fixed",'Model Inputs &amp; Assumptions'!$I$32*'Model Inputs &amp; Assumptions'!$K$32,IF('Model Inputs &amp; Assumptions'!$H$32="CPM",'Model Inputs &amp; Assumptions'!$I$32*'Model Inputs &amp; Assumptions'!$K$32*C2310/1000,IF('Model Inputs &amp; Assumptions'!$H$32="CPC",'Model Inputs &amp; Assumptions'!$I$32*'Model Inputs &amp; Assumptions'!$K$32*G2310,0)))</f>
        <v>11921.376</v>
      </c>
      <c r="J2310" s="50" t="n">
        <f aca="false">H2310*INDEX('Model Inputs &amp; Assumptions'!$D$40:$D$42,MATCH('Model Inputs &amp; Assumptions'!$L$32,'Model Inputs &amp; Assumptions'!$A$40:$A$42,0))*INDEX('Model Inputs &amp; Assumptions'!$H$40:$H$42,MATCH('Model Inputs &amp; Assumptions'!$L$32,'Model Inputs &amp; Assumptions'!$A$40:$A$42,0))</f>
        <v>893362.750576069</v>
      </c>
      <c r="K2310" s="49" t="n">
        <f aca="false">H2310*INDEX('Model Inputs &amp; Assumptions'!$G$40:$G$42,MATCH('Model Inputs &amp; Assumptions'!$L$32,'Model Inputs &amp; Assumptions'!$A$40:$A$42,0))*INDEX('Model Inputs &amp; Assumptions'!$H$40:$H$42,MATCH('Model Inputs &amp; Assumptions'!$L$32,'Model Inputs &amp; Assumptions'!$A$40:$A$42,0))</f>
        <v>18760.6177620974</v>
      </c>
      <c r="L2310" s="51" t="n">
        <f aca="false">IFERROR(K2310/I2310,0)</f>
        <v>1.57369566752172</v>
      </c>
      <c r="M2310" s="49" t="n">
        <f aca="false">IFERROR(I2310/H2310,0)</f>
        <v>72.0596760481548</v>
      </c>
      <c r="N2310" s="52" t="str">
        <f aca="false">'Model Inputs &amp; Assumptions'!$L$32</f>
        <v>PRD-SP01</v>
      </c>
      <c r="P2310" s="53" t="n">
        <v>-0.47965</v>
      </c>
      <c r="Q2310" s="53" t="n">
        <v>0.111215</v>
      </c>
      <c r="R2310" s="53" t="n">
        <v>-0.784423</v>
      </c>
      <c r="S2310" s="53" t="n">
        <v>1.340317</v>
      </c>
    </row>
    <row r="2311" customFormat="false" ht="15" hidden="false" customHeight="false" outlineLevel="0" collapsed="false">
      <c r="A2311" s="43" t="n">
        <v>308</v>
      </c>
      <c r="B2311" s="44" t="str">
        <f aca="false">'Model Inputs &amp; Assumptions'!$B$32</f>
        <v>Trade Republic — In-App Display</v>
      </c>
      <c r="C2311" s="45" t="n">
        <f aca="false">ROUND(MAX(0,'Model Inputs &amp; Assumptions'!$S$32*EXP('Model Inputs &amp; Assumptions'!$T$32*P2311-'Model Inputs &amp; Assumptions'!$T$32^2/2)),0)</f>
        <v>1451347</v>
      </c>
      <c r="D2311" s="46" t="n">
        <f aca="false">MIN(1,'Model Inputs &amp; Assumptions'!$U$32*EXP('Model Inputs &amp; Assumptions'!$V$32*Q2311-'Model Inputs &amp; Assumptions'!$V$32^2/2))</f>
        <v>0</v>
      </c>
      <c r="E2311" s="45" t="n">
        <f aca="false">ROUND(C2311*D2311,0)</f>
        <v>0</v>
      </c>
      <c r="F2311" s="47" t="n">
        <f aca="false">MIN(1,'Model Inputs &amp; Assumptions'!$W$32*EXP('Model Inputs &amp; Assumptions'!$X$32*R2311-'Model Inputs &amp; Assumptions'!$X$32^2/2))</f>
        <v>0.00278664055590867</v>
      </c>
      <c r="G2311" s="45" t="n">
        <f aca="false">ROUND(C2311*F2311,0)</f>
        <v>4044</v>
      </c>
      <c r="H2311" s="48" t="n">
        <f aca="false">MAX(0,(C2311*'Model Inputs &amp; Assumptions'!$N$32+E2311*'Model Inputs &amp; Assumptions'!$O$32+G2311*'Model Inputs &amp; Assumptions'!$P$32)*EXP('Model Inputs &amp; Assumptions'!$Q$32*S2311-'Model Inputs &amp; Assumptions'!$Q$32^2/2))</f>
        <v>153.263863026187</v>
      </c>
      <c r="I2311" s="49" t="n">
        <f aca="false">IF('Model Inputs &amp; Assumptions'!$H$32="Fixed",'Model Inputs &amp; Assumptions'!$I$32*'Model Inputs &amp; Assumptions'!$K$32,IF('Model Inputs &amp; Assumptions'!$H$32="CPM",'Model Inputs &amp; Assumptions'!$I$32*'Model Inputs &amp; Assumptions'!$K$32*C2311/1000,IF('Model Inputs &amp; Assumptions'!$H$32="CPC",'Model Inputs &amp; Assumptions'!$I$32*'Model Inputs &amp; Assumptions'!$K$32*G2311,0)))</f>
        <v>17416.164</v>
      </c>
      <c r="J2311" s="50" t="n">
        <f aca="false">H2311*INDEX('Model Inputs &amp; Assumptions'!$D$40:$D$42,MATCH('Model Inputs &amp; Assumptions'!$L$32,'Model Inputs &amp; Assumptions'!$A$40:$A$42,0))*INDEX('Model Inputs &amp; Assumptions'!$H$40:$H$42,MATCH('Model Inputs &amp; Assumptions'!$L$32,'Model Inputs &amp; Assumptions'!$A$40:$A$42,0))</f>
        <v>827624.860341408</v>
      </c>
      <c r="K2311" s="49" t="n">
        <f aca="false">H2311*INDEX('Model Inputs &amp; Assumptions'!$G$40:$G$42,MATCH('Model Inputs &amp; Assumptions'!$L$32,'Model Inputs &amp; Assumptions'!$A$40:$A$42,0))*INDEX('Model Inputs &amp; Assumptions'!$H$40:$H$42,MATCH('Model Inputs &amp; Assumptions'!$L$32,'Model Inputs &amp; Assumptions'!$A$40:$A$42,0))</f>
        <v>17380.1220671696</v>
      </c>
      <c r="L2311" s="51" t="n">
        <f aca="false">IFERROR(K2311/I2311,0)</f>
        <v>0.997930547000451</v>
      </c>
      <c r="M2311" s="49" t="n">
        <f aca="false">IFERROR(I2311/H2311,0)</f>
        <v>113.635162628155</v>
      </c>
      <c r="N2311" s="52" t="str">
        <f aca="false">'Model Inputs &amp; Assumptions'!$L$32</f>
        <v>PRD-SP01</v>
      </c>
      <c r="P2311" s="53" t="n">
        <v>0.783901</v>
      </c>
      <c r="Q2311" s="53" t="n">
        <v>-1.031509</v>
      </c>
      <c r="R2311" s="53" t="n">
        <v>-0.609754</v>
      </c>
      <c r="S2311" s="53" t="n">
        <v>-0.473342</v>
      </c>
    </row>
    <row r="2312" customFormat="false" ht="15" hidden="false" customHeight="false" outlineLevel="0" collapsed="false">
      <c r="A2312" s="43" t="n">
        <v>309</v>
      </c>
      <c r="B2312" s="44" t="str">
        <f aca="false">'Model Inputs &amp; Assumptions'!$B$32</f>
        <v>Trade Republic — In-App Display</v>
      </c>
      <c r="C2312" s="45" t="n">
        <f aca="false">ROUND(MAX(0,'Model Inputs &amp; Assumptions'!$S$32*EXP('Model Inputs &amp; Assumptions'!$T$32*P2312-'Model Inputs &amp; Assumptions'!$T$32^2/2)),0)</f>
        <v>1202751</v>
      </c>
      <c r="D2312" s="46" t="n">
        <f aca="false">MIN(1,'Model Inputs &amp; Assumptions'!$U$32*EXP('Model Inputs &amp; Assumptions'!$V$32*Q2312-'Model Inputs &amp; Assumptions'!$V$32^2/2))</f>
        <v>0</v>
      </c>
      <c r="E2312" s="45" t="n">
        <f aca="false">ROUND(C2312*D2312,0)</f>
        <v>0</v>
      </c>
      <c r="F2312" s="47" t="n">
        <f aca="false">MIN(1,'Model Inputs &amp; Assumptions'!$W$32*EXP('Model Inputs &amp; Assumptions'!$X$32*R2312-'Model Inputs &amp; Assumptions'!$X$32^2/2))</f>
        <v>0.00430265110383659</v>
      </c>
      <c r="G2312" s="45" t="n">
        <f aca="false">ROUND(C2312*F2312,0)</f>
        <v>5175</v>
      </c>
      <c r="H2312" s="48" t="n">
        <f aca="false">MAX(0,(C2312*'Model Inputs &amp; Assumptions'!$N$32+E2312*'Model Inputs &amp; Assumptions'!$O$32+G2312*'Model Inputs &amp; Assumptions'!$P$32)*EXP('Model Inputs &amp; Assumptions'!$Q$32*S2312-'Model Inputs &amp; Assumptions'!$Q$32^2/2))</f>
        <v>284.435623613214</v>
      </c>
      <c r="I2312" s="49" t="n">
        <f aca="false">IF('Model Inputs &amp; Assumptions'!$H$32="Fixed",'Model Inputs &amp; Assumptions'!$I$32*'Model Inputs &amp; Assumptions'!$K$32,IF('Model Inputs &amp; Assumptions'!$H$32="CPM",'Model Inputs &amp; Assumptions'!$I$32*'Model Inputs &amp; Assumptions'!$K$32*C2312/1000,IF('Model Inputs &amp; Assumptions'!$H$32="CPC",'Model Inputs &amp; Assumptions'!$I$32*'Model Inputs &amp; Assumptions'!$K$32*G2312,0)))</f>
        <v>14433.012</v>
      </c>
      <c r="J2312" s="50" t="n">
        <f aca="false">H2312*INDEX('Model Inputs &amp; Assumptions'!$D$40:$D$42,MATCH('Model Inputs &amp; Assumptions'!$L$32,'Model Inputs &amp; Assumptions'!$A$40:$A$42,0))*INDEX('Model Inputs &amp; Assumptions'!$H$40:$H$42,MATCH('Model Inputs &amp; Assumptions'!$L$32,'Model Inputs &amp; Assumptions'!$A$40:$A$42,0))</f>
        <v>1535952.36751136</v>
      </c>
      <c r="K2312" s="49" t="n">
        <f aca="false">H2312*INDEX('Model Inputs &amp; Assumptions'!$G$40:$G$42,MATCH('Model Inputs &amp; Assumptions'!$L$32,'Model Inputs &amp; Assumptions'!$A$40:$A$42,0))*INDEX('Model Inputs &amp; Assumptions'!$H$40:$H$42,MATCH('Model Inputs &amp; Assumptions'!$L$32,'Model Inputs &amp; Assumptions'!$A$40:$A$42,0))</f>
        <v>32254.9997177385</v>
      </c>
      <c r="L2312" s="51" t="n">
        <f aca="false">IFERROR(K2312/I2312,0)</f>
        <v>2.23480724035555</v>
      </c>
      <c r="M2312" s="49" t="n">
        <f aca="false">IFERROR(I2312/H2312,0)</f>
        <v>50.7426313787844</v>
      </c>
      <c r="N2312" s="52" t="str">
        <f aca="false">'Model Inputs &amp; Assumptions'!$L$32</f>
        <v>PRD-SP01</v>
      </c>
      <c r="P2312" s="53" t="n">
        <v>0.157632</v>
      </c>
      <c r="Q2312" s="53" t="n">
        <v>1.49478</v>
      </c>
      <c r="R2312" s="53" t="n">
        <v>0.838228</v>
      </c>
      <c r="S2312" s="53" t="n">
        <v>0.854304</v>
      </c>
    </row>
    <row r="2313" customFormat="false" ht="15" hidden="false" customHeight="false" outlineLevel="0" collapsed="false">
      <c r="A2313" s="43" t="n">
        <v>310</v>
      </c>
      <c r="B2313" s="44" t="str">
        <f aca="false">'Model Inputs &amp; Assumptions'!$B$32</f>
        <v>Trade Republic — In-App Display</v>
      </c>
      <c r="C2313" s="45" t="n">
        <f aca="false">ROUND(MAX(0,'Model Inputs &amp; Assumptions'!$S$32*EXP('Model Inputs &amp; Assumptions'!$T$32*P2313-'Model Inputs &amp; Assumptions'!$T$32^2/2)),0)</f>
        <v>1148820</v>
      </c>
      <c r="D2313" s="46" t="n">
        <f aca="false">MIN(1,'Model Inputs &amp; Assumptions'!$U$32*EXP('Model Inputs &amp; Assumptions'!$V$32*Q2313-'Model Inputs &amp; Assumptions'!$V$32^2/2))</f>
        <v>0</v>
      </c>
      <c r="E2313" s="45" t="n">
        <f aca="false">ROUND(C2313*D2313,0)</f>
        <v>0</v>
      </c>
      <c r="F2313" s="47" t="n">
        <f aca="false">MIN(1,'Model Inputs &amp; Assumptions'!$W$32*EXP('Model Inputs &amp; Assumptions'!$X$32*R2313-'Model Inputs &amp; Assumptions'!$X$32^2/2))</f>
        <v>0.00243279224209136</v>
      </c>
      <c r="G2313" s="45" t="n">
        <f aca="false">ROUND(C2313*F2313,0)</f>
        <v>2795</v>
      </c>
      <c r="H2313" s="48" t="n">
        <f aca="false">MAX(0,(C2313*'Model Inputs &amp; Assumptions'!$N$32+E2313*'Model Inputs &amp; Assumptions'!$O$32+G2313*'Model Inputs &amp; Assumptions'!$P$32)*EXP('Model Inputs &amp; Assumptions'!$Q$32*S2313-'Model Inputs &amp; Assumptions'!$Q$32^2/2))</f>
        <v>122.594190476158</v>
      </c>
      <c r="I2313" s="49" t="n">
        <f aca="false">IF('Model Inputs &amp; Assumptions'!$H$32="Fixed",'Model Inputs &amp; Assumptions'!$I$32*'Model Inputs &amp; Assumptions'!$K$32,IF('Model Inputs &amp; Assumptions'!$H$32="CPM",'Model Inputs &amp; Assumptions'!$I$32*'Model Inputs &amp; Assumptions'!$K$32*C2313/1000,IF('Model Inputs &amp; Assumptions'!$H$32="CPC",'Model Inputs &amp; Assumptions'!$I$32*'Model Inputs &amp; Assumptions'!$K$32*G2313,0)))</f>
        <v>13785.84</v>
      </c>
      <c r="J2313" s="50" t="n">
        <f aca="false">H2313*INDEX('Model Inputs &amp; Assumptions'!$D$40:$D$42,MATCH('Model Inputs &amp; Assumptions'!$L$32,'Model Inputs &amp; Assumptions'!$A$40:$A$42,0))*INDEX('Model Inputs &amp; Assumptions'!$H$40:$H$42,MATCH('Model Inputs &amp; Assumptions'!$L$32,'Model Inputs &amp; Assumptions'!$A$40:$A$42,0))</f>
        <v>662008.628571251</v>
      </c>
      <c r="K2313" s="49" t="n">
        <f aca="false">H2313*INDEX('Model Inputs &amp; Assumptions'!$G$40:$G$42,MATCH('Model Inputs &amp; Assumptions'!$L$32,'Model Inputs &amp; Assumptions'!$A$40:$A$42,0))*INDEX('Model Inputs &amp; Assumptions'!$H$40:$H$42,MATCH('Model Inputs &amp; Assumptions'!$L$32,'Model Inputs &amp; Assumptions'!$A$40:$A$42,0))</f>
        <v>13902.1811999963</v>
      </c>
      <c r="L2313" s="51" t="n">
        <f aca="false">IFERROR(K2313/I2313,0)</f>
        <v>1.00843918107248</v>
      </c>
      <c r="M2313" s="49" t="n">
        <f aca="false">IFERROR(I2313/H2313,0)</f>
        <v>112.451005601942</v>
      </c>
      <c r="N2313" s="52" t="str">
        <f aca="false">'Model Inputs &amp; Assumptions'!$L$32</f>
        <v>PRD-SP01</v>
      </c>
      <c r="P2313" s="53" t="n">
        <v>0.004714</v>
      </c>
      <c r="Q2313" s="53" t="n">
        <v>-1.20662</v>
      </c>
      <c r="R2313" s="53" t="n">
        <v>-1.062411</v>
      </c>
      <c r="S2313" s="53" t="n">
        <v>0.048518</v>
      </c>
    </row>
    <row r="2314" customFormat="false" ht="15" hidden="false" customHeight="false" outlineLevel="0" collapsed="false">
      <c r="A2314" s="43" t="n">
        <v>311</v>
      </c>
      <c r="B2314" s="44" t="str">
        <f aca="false">'Model Inputs &amp; Assumptions'!$B$32</f>
        <v>Trade Republic — In-App Display</v>
      </c>
      <c r="C2314" s="45" t="n">
        <f aca="false">ROUND(MAX(0,'Model Inputs &amp; Assumptions'!$S$32*EXP('Model Inputs &amp; Assumptions'!$T$32*P2314-'Model Inputs &amp; Assumptions'!$T$32^2/2)),0)</f>
        <v>1873428</v>
      </c>
      <c r="D2314" s="46" t="n">
        <f aca="false">MIN(1,'Model Inputs &amp; Assumptions'!$U$32*EXP('Model Inputs &amp; Assumptions'!$V$32*Q2314-'Model Inputs &amp; Assumptions'!$V$32^2/2))</f>
        <v>0</v>
      </c>
      <c r="E2314" s="45" t="n">
        <f aca="false">ROUND(C2314*D2314,0)</f>
        <v>0</v>
      </c>
      <c r="F2314" s="47" t="n">
        <f aca="false">MIN(1,'Model Inputs &amp; Assumptions'!$W$32*EXP('Model Inputs &amp; Assumptions'!$X$32*R2314-'Model Inputs &amp; Assumptions'!$X$32^2/2))</f>
        <v>0.00346821366859524</v>
      </c>
      <c r="G2314" s="45" t="n">
        <f aca="false">ROUND(C2314*F2314,0)</f>
        <v>6497</v>
      </c>
      <c r="H2314" s="48" t="n">
        <f aca="false">MAX(0,(C2314*'Model Inputs &amp; Assumptions'!$N$32+E2314*'Model Inputs &amp; Assumptions'!$O$32+G2314*'Model Inputs &amp; Assumptions'!$P$32)*EXP('Model Inputs &amp; Assumptions'!$Q$32*S2314-'Model Inputs &amp; Assumptions'!$Q$32^2/2))</f>
        <v>336.254038639837</v>
      </c>
      <c r="I2314" s="49" t="n">
        <f aca="false">IF('Model Inputs &amp; Assumptions'!$H$32="Fixed",'Model Inputs &amp; Assumptions'!$I$32*'Model Inputs &amp; Assumptions'!$K$32,IF('Model Inputs &amp; Assumptions'!$H$32="CPM",'Model Inputs &amp; Assumptions'!$I$32*'Model Inputs &amp; Assumptions'!$K$32*C2314/1000,IF('Model Inputs &amp; Assumptions'!$H$32="CPC",'Model Inputs &amp; Assumptions'!$I$32*'Model Inputs &amp; Assumptions'!$K$32*G2314,0)))</f>
        <v>22481.136</v>
      </c>
      <c r="J2314" s="50" t="n">
        <f aca="false">H2314*INDEX('Model Inputs &amp; Assumptions'!$D$40:$D$42,MATCH('Model Inputs &amp; Assumptions'!$L$32,'Model Inputs &amp; Assumptions'!$A$40:$A$42,0))*INDEX('Model Inputs &amp; Assumptions'!$H$40:$H$42,MATCH('Model Inputs &amp; Assumptions'!$L$32,'Model Inputs &amp; Assumptions'!$A$40:$A$42,0))</f>
        <v>1815771.80865512</v>
      </c>
      <c r="K2314" s="49" t="n">
        <f aca="false">H2314*INDEX('Model Inputs &amp; Assumptions'!$G$40:$G$42,MATCH('Model Inputs &amp; Assumptions'!$L$32,'Model Inputs &amp; Assumptions'!$A$40:$A$42,0))*INDEX('Model Inputs &amp; Assumptions'!$H$40:$H$42,MATCH('Model Inputs &amp; Assumptions'!$L$32,'Model Inputs &amp; Assumptions'!$A$40:$A$42,0))</f>
        <v>38131.2079817575</v>
      </c>
      <c r="L2314" s="51" t="n">
        <f aca="false">IFERROR(K2314/I2314,0)</f>
        <v>1.69614240053339</v>
      </c>
      <c r="M2314" s="49" t="n">
        <f aca="false">IFERROR(I2314/H2314,0)</f>
        <v>66.8575940111745</v>
      </c>
      <c r="N2314" s="52" t="str">
        <f aca="false">'Model Inputs &amp; Assumptions'!$L$32</f>
        <v>PRD-SP01</v>
      </c>
      <c r="P2314" s="53" t="n">
        <v>1.634827</v>
      </c>
      <c r="Q2314" s="53" t="n">
        <v>0.145787</v>
      </c>
      <c r="R2314" s="53" t="n">
        <v>0.119589</v>
      </c>
      <c r="S2314" s="53" t="n">
        <v>0.639514</v>
      </c>
    </row>
    <row r="2315" customFormat="false" ht="15" hidden="false" customHeight="false" outlineLevel="0" collapsed="false">
      <c r="A2315" s="43" t="n">
        <v>312</v>
      </c>
      <c r="B2315" s="44" t="str">
        <f aca="false">'Model Inputs &amp; Assumptions'!$B$32</f>
        <v>Trade Republic — In-App Display</v>
      </c>
      <c r="C2315" s="45" t="n">
        <f aca="false">ROUND(MAX(0,'Model Inputs &amp; Assumptions'!$S$32*EXP('Model Inputs &amp; Assumptions'!$T$32*P2315-'Model Inputs &amp; Assumptions'!$T$32^2/2)),0)</f>
        <v>883997</v>
      </c>
      <c r="D2315" s="46" t="n">
        <f aca="false">MIN(1,'Model Inputs &amp; Assumptions'!$U$32*EXP('Model Inputs &amp; Assumptions'!$V$32*Q2315-'Model Inputs &amp; Assumptions'!$V$32^2/2))</f>
        <v>0</v>
      </c>
      <c r="E2315" s="45" t="n">
        <f aca="false">ROUND(C2315*D2315,0)</f>
        <v>0</v>
      </c>
      <c r="F2315" s="47" t="n">
        <f aca="false">MIN(1,'Model Inputs &amp; Assumptions'!$W$32*EXP('Model Inputs &amp; Assumptions'!$X$32*R2315-'Model Inputs &amp; Assumptions'!$X$32^2/2))</f>
        <v>0.00273916483308895</v>
      </c>
      <c r="G2315" s="45" t="n">
        <f aca="false">ROUND(C2315*F2315,0)</f>
        <v>2421</v>
      </c>
      <c r="H2315" s="48" t="n">
        <f aca="false">MAX(0,(C2315*'Model Inputs &amp; Assumptions'!$N$32+E2315*'Model Inputs &amp; Assumptions'!$O$32+G2315*'Model Inputs &amp; Assumptions'!$P$32)*EXP('Model Inputs &amp; Assumptions'!$Q$32*S2315-'Model Inputs &amp; Assumptions'!$Q$32^2/2))</f>
        <v>73.0088077314837</v>
      </c>
      <c r="I2315" s="49" t="n">
        <f aca="false">IF('Model Inputs &amp; Assumptions'!$H$32="Fixed",'Model Inputs &amp; Assumptions'!$I$32*'Model Inputs &amp; Assumptions'!$K$32,IF('Model Inputs &amp; Assumptions'!$H$32="CPM",'Model Inputs &amp; Assumptions'!$I$32*'Model Inputs &amp; Assumptions'!$K$32*C2315/1000,IF('Model Inputs &amp; Assumptions'!$H$32="CPC",'Model Inputs &amp; Assumptions'!$I$32*'Model Inputs &amp; Assumptions'!$K$32*G2315,0)))</f>
        <v>10607.964</v>
      </c>
      <c r="J2315" s="50" t="n">
        <f aca="false">H2315*INDEX('Model Inputs &amp; Assumptions'!$D$40:$D$42,MATCH('Model Inputs &amp; Assumptions'!$L$32,'Model Inputs &amp; Assumptions'!$A$40:$A$42,0))*INDEX('Model Inputs &amp; Assumptions'!$H$40:$H$42,MATCH('Model Inputs &amp; Assumptions'!$L$32,'Model Inputs &amp; Assumptions'!$A$40:$A$42,0))</f>
        <v>394247.561750012</v>
      </c>
      <c r="K2315" s="49" t="n">
        <f aca="false">H2315*INDEX('Model Inputs &amp; Assumptions'!$G$40:$G$42,MATCH('Model Inputs &amp; Assumptions'!$L$32,'Model Inputs &amp; Assumptions'!$A$40:$A$42,0))*INDEX('Model Inputs &amp; Assumptions'!$H$40:$H$42,MATCH('Model Inputs &amp; Assumptions'!$L$32,'Model Inputs &amp; Assumptions'!$A$40:$A$42,0))</f>
        <v>8279.19879675025</v>
      </c>
      <c r="L2315" s="51" t="n">
        <f aca="false">IFERROR(K2315/I2315,0)</f>
        <v>0.78047010686973</v>
      </c>
      <c r="M2315" s="49" t="n">
        <f aca="false">IFERROR(I2315/H2315,0)</f>
        <v>145.297044693767</v>
      </c>
      <c r="N2315" s="52" t="str">
        <f aca="false">'Model Inputs &amp; Assumptions'!$L$32</f>
        <v>PRD-SP01</v>
      </c>
      <c r="P2315" s="53" t="n">
        <v>-0.868745</v>
      </c>
      <c r="Q2315" s="53" t="n">
        <v>1.144951</v>
      </c>
      <c r="R2315" s="53" t="n">
        <v>-0.667033</v>
      </c>
      <c r="S2315" s="53" t="n">
        <v>-1.289511</v>
      </c>
    </row>
    <row r="2316" customFormat="false" ht="15" hidden="false" customHeight="false" outlineLevel="0" collapsed="false">
      <c r="A2316" s="43" t="n">
        <v>313</v>
      </c>
      <c r="B2316" s="44" t="str">
        <f aca="false">'Model Inputs &amp; Assumptions'!$B$32</f>
        <v>Trade Republic — In-App Display</v>
      </c>
      <c r="C2316" s="45" t="n">
        <f aca="false">ROUND(MAX(0,'Model Inputs &amp; Assumptions'!$S$32*EXP('Model Inputs &amp; Assumptions'!$T$32*P2316-'Model Inputs &amp; Assumptions'!$T$32^2/2)),0)</f>
        <v>1082713</v>
      </c>
      <c r="D2316" s="46" t="n">
        <f aca="false">MIN(1,'Model Inputs &amp; Assumptions'!$U$32*EXP('Model Inputs &amp; Assumptions'!$V$32*Q2316-'Model Inputs &amp; Assumptions'!$V$32^2/2))</f>
        <v>0</v>
      </c>
      <c r="E2316" s="45" t="n">
        <f aca="false">ROUND(C2316*D2316,0)</f>
        <v>0</v>
      </c>
      <c r="F2316" s="47" t="n">
        <f aca="false">MIN(1,'Model Inputs &amp; Assumptions'!$W$32*EXP('Model Inputs &amp; Assumptions'!$X$32*R2316-'Model Inputs &amp; Assumptions'!$X$32^2/2))</f>
        <v>0.00356620237287024</v>
      </c>
      <c r="G2316" s="45" t="n">
        <f aca="false">ROUND(C2316*F2316,0)</f>
        <v>3861</v>
      </c>
      <c r="H2316" s="48" t="n">
        <f aca="false">MAX(0,(C2316*'Model Inputs &amp; Assumptions'!$N$32+E2316*'Model Inputs &amp; Assumptions'!$O$32+G2316*'Model Inputs &amp; Assumptions'!$P$32)*EXP('Model Inputs &amp; Assumptions'!$Q$32*S2316-'Model Inputs &amp; Assumptions'!$Q$32^2/2))</f>
        <v>218.713756524787</v>
      </c>
      <c r="I2316" s="49" t="n">
        <f aca="false">IF('Model Inputs &amp; Assumptions'!$H$32="Fixed",'Model Inputs &amp; Assumptions'!$I$32*'Model Inputs &amp; Assumptions'!$K$32,IF('Model Inputs &amp; Assumptions'!$H$32="CPM",'Model Inputs &amp; Assumptions'!$I$32*'Model Inputs &amp; Assumptions'!$K$32*C2316/1000,IF('Model Inputs &amp; Assumptions'!$H$32="CPC",'Model Inputs &amp; Assumptions'!$I$32*'Model Inputs &amp; Assumptions'!$K$32*G2316,0)))</f>
        <v>12992.556</v>
      </c>
      <c r="J2316" s="50" t="n">
        <f aca="false">H2316*INDEX('Model Inputs &amp; Assumptions'!$D$40:$D$42,MATCH('Model Inputs &amp; Assumptions'!$L$32,'Model Inputs &amp; Assumptions'!$A$40:$A$42,0))*INDEX('Model Inputs &amp; Assumptions'!$H$40:$H$42,MATCH('Model Inputs &amp; Assumptions'!$L$32,'Model Inputs &amp; Assumptions'!$A$40:$A$42,0))</f>
        <v>1181054.28523385</v>
      </c>
      <c r="K2316" s="49" t="n">
        <f aca="false">H2316*INDEX('Model Inputs &amp; Assumptions'!$G$40:$G$42,MATCH('Model Inputs &amp; Assumptions'!$L$32,'Model Inputs &amp; Assumptions'!$A$40:$A$42,0))*INDEX('Model Inputs &amp; Assumptions'!$H$40:$H$42,MATCH('Model Inputs &amp; Assumptions'!$L$32,'Model Inputs &amp; Assumptions'!$A$40:$A$42,0))</f>
        <v>24802.1399899108</v>
      </c>
      <c r="L2316" s="51" t="n">
        <f aca="false">IFERROR(K2316/I2316,0)</f>
        <v>1.90895001644871</v>
      </c>
      <c r="M2316" s="49" t="n">
        <f aca="false">IFERROR(I2316/H2316,0)</f>
        <v>59.4043840974748</v>
      </c>
      <c r="N2316" s="52" t="str">
        <f aca="false">'Model Inputs &amp; Assumptions'!$L$32</f>
        <v>PRD-SP01</v>
      </c>
      <c r="P2316" s="53" t="n">
        <v>-0.192838</v>
      </c>
      <c r="Q2316" s="53" t="n">
        <v>-1.20652</v>
      </c>
      <c r="R2316" s="53" t="n">
        <v>0.212461</v>
      </c>
      <c r="S2316" s="53" t="n">
        <v>0.962054</v>
      </c>
    </row>
    <row r="2317" customFormat="false" ht="15" hidden="false" customHeight="false" outlineLevel="0" collapsed="false">
      <c r="A2317" s="43" t="n">
        <v>314</v>
      </c>
      <c r="B2317" s="44" t="str">
        <f aca="false">'Model Inputs &amp; Assumptions'!$B$32</f>
        <v>Trade Republic — In-App Display</v>
      </c>
      <c r="C2317" s="45" t="n">
        <f aca="false">ROUND(MAX(0,'Model Inputs &amp; Assumptions'!$S$32*EXP('Model Inputs &amp; Assumptions'!$T$32*P2317-'Model Inputs &amp; Assumptions'!$T$32^2/2)),0)</f>
        <v>1163963</v>
      </c>
      <c r="D2317" s="46" t="n">
        <f aca="false">MIN(1,'Model Inputs &amp; Assumptions'!$U$32*EXP('Model Inputs &amp; Assumptions'!$V$32*Q2317-'Model Inputs &amp; Assumptions'!$V$32^2/2))</f>
        <v>0</v>
      </c>
      <c r="E2317" s="45" t="n">
        <f aca="false">ROUND(C2317*D2317,0)</f>
        <v>0</v>
      </c>
      <c r="F2317" s="47" t="n">
        <f aca="false">MIN(1,'Model Inputs &amp; Assumptions'!$W$32*EXP('Model Inputs &amp; Assumptions'!$X$32*R2317-'Model Inputs &amp; Assumptions'!$X$32^2/2))</f>
        <v>0.00307510229845501</v>
      </c>
      <c r="G2317" s="45" t="n">
        <f aca="false">ROUND(C2317*F2317,0)</f>
        <v>3579</v>
      </c>
      <c r="H2317" s="48" t="n">
        <f aca="false">MAX(0,(C2317*'Model Inputs &amp; Assumptions'!$N$32+E2317*'Model Inputs &amp; Assumptions'!$O$32+G2317*'Model Inputs &amp; Assumptions'!$P$32)*EXP('Model Inputs &amp; Assumptions'!$Q$32*S2317-'Model Inputs &amp; Assumptions'!$Q$32^2/2))</f>
        <v>96.9852011649394</v>
      </c>
      <c r="I2317" s="49" t="n">
        <f aca="false">IF('Model Inputs &amp; Assumptions'!$H$32="Fixed",'Model Inputs &amp; Assumptions'!$I$32*'Model Inputs &amp; Assumptions'!$K$32,IF('Model Inputs &amp; Assumptions'!$H$32="CPM",'Model Inputs &amp; Assumptions'!$I$32*'Model Inputs &amp; Assumptions'!$K$32*C2317/1000,IF('Model Inputs &amp; Assumptions'!$H$32="CPC",'Model Inputs &amp; Assumptions'!$I$32*'Model Inputs &amp; Assumptions'!$K$32*G2317,0)))</f>
        <v>13967.556</v>
      </c>
      <c r="J2317" s="50" t="n">
        <f aca="false">H2317*INDEX('Model Inputs &amp; Assumptions'!$D$40:$D$42,MATCH('Model Inputs &amp; Assumptions'!$L$32,'Model Inputs &amp; Assumptions'!$A$40:$A$42,0))*INDEX('Model Inputs &amp; Assumptions'!$H$40:$H$42,MATCH('Model Inputs &amp; Assumptions'!$L$32,'Model Inputs &amp; Assumptions'!$A$40:$A$42,0))</f>
        <v>523720.086290673</v>
      </c>
      <c r="K2317" s="49" t="n">
        <f aca="false">H2317*INDEX('Model Inputs &amp; Assumptions'!$G$40:$G$42,MATCH('Model Inputs &amp; Assumptions'!$L$32,'Model Inputs &amp; Assumptions'!$A$40:$A$42,0))*INDEX('Model Inputs &amp; Assumptions'!$H$40:$H$42,MATCH('Model Inputs &amp; Assumptions'!$L$32,'Model Inputs &amp; Assumptions'!$A$40:$A$42,0))</f>
        <v>10998.1218121041</v>
      </c>
      <c r="L2317" s="51" t="n">
        <f aca="false">IFERROR(K2317/I2317,0)</f>
        <v>0.787404884011499</v>
      </c>
      <c r="M2317" s="49" t="n">
        <f aca="false">IFERROR(I2317/H2317,0)</f>
        <v>144.017394738872</v>
      </c>
      <c r="N2317" s="52" t="str">
        <f aca="false">'Model Inputs &amp; Assumptions'!$L$32</f>
        <v>PRD-SP01</v>
      </c>
      <c r="P2317" s="53" t="n">
        <v>0.048364</v>
      </c>
      <c r="Q2317" s="53" t="n">
        <v>0.982501</v>
      </c>
      <c r="R2317" s="53" t="n">
        <v>-0.281416</v>
      </c>
      <c r="S2317" s="53" t="n">
        <v>-1.671384</v>
      </c>
    </row>
    <row r="2318" customFormat="false" ht="15" hidden="false" customHeight="false" outlineLevel="0" collapsed="false">
      <c r="A2318" s="43" t="n">
        <v>315</v>
      </c>
      <c r="B2318" s="44" t="str">
        <f aca="false">'Model Inputs &amp; Assumptions'!$B$32</f>
        <v>Trade Republic — In-App Display</v>
      </c>
      <c r="C2318" s="45" t="n">
        <f aca="false">ROUND(MAX(0,'Model Inputs &amp; Assumptions'!$S$32*EXP('Model Inputs &amp; Assumptions'!$T$32*P2318-'Model Inputs &amp; Assumptions'!$T$32^2/2)),0)</f>
        <v>1209149</v>
      </c>
      <c r="D2318" s="46" t="n">
        <f aca="false">MIN(1,'Model Inputs &amp; Assumptions'!$U$32*EXP('Model Inputs &amp; Assumptions'!$V$32*Q2318-'Model Inputs &amp; Assumptions'!$V$32^2/2))</f>
        <v>0</v>
      </c>
      <c r="E2318" s="45" t="n">
        <f aca="false">ROUND(C2318*D2318,0)</f>
        <v>0</v>
      </c>
      <c r="F2318" s="47" t="n">
        <f aca="false">MIN(1,'Model Inputs &amp; Assumptions'!$W$32*EXP('Model Inputs &amp; Assumptions'!$X$32*R2318-'Model Inputs &amp; Assumptions'!$X$32^2/2))</f>
        <v>0.00260136880120112</v>
      </c>
      <c r="G2318" s="45" t="n">
        <f aca="false">ROUND(C2318*F2318,0)</f>
        <v>3145</v>
      </c>
      <c r="H2318" s="48" t="n">
        <f aca="false">MAX(0,(C2318*'Model Inputs &amp; Assumptions'!$N$32+E2318*'Model Inputs &amp; Assumptions'!$O$32+G2318*'Model Inputs &amp; Assumptions'!$P$32)*EXP('Model Inputs &amp; Assumptions'!$Q$32*S2318-'Model Inputs &amp; Assumptions'!$Q$32^2/2))</f>
        <v>114.811317086865</v>
      </c>
      <c r="I2318" s="49" t="n">
        <f aca="false">IF('Model Inputs &amp; Assumptions'!$H$32="Fixed",'Model Inputs &amp; Assumptions'!$I$32*'Model Inputs &amp; Assumptions'!$K$32,IF('Model Inputs &amp; Assumptions'!$H$32="CPM",'Model Inputs &amp; Assumptions'!$I$32*'Model Inputs &amp; Assumptions'!$K$32*C2318/1000,IF('Model Inputs &amp; Assumptions'!$H$32="CPC",'Model Inputs &amp; Assumptions'!$I$32*'Model Inputs &amp; Assumptions'!$K$32*G2318,0)))</f>
        <v>14509.788</v>
      </c>
      <c r="J2318" s="50" t="n">
        <f aca="false">H2318*INDEX('Model Inputs &amp; Assumptions'!$D$40:$D$42,MATCH('Model Inputs &amp; Assumptions'!$L$32,'Model Inputs &amp; Assumptions'!$A$40:$A$42,0))*INDEX('Model Inputs &amp; Assumptions'!$H$40:$H$42,MATCH('Model Inputs &amp; Assumptions'!$L$32,'Model Inputs &amp; Assumptions'!$A$40:$A$42,0))</f>
        <v>619981.11226907</v>
      </c>
      <c r="K2318" s="49" t="n">
        <f aca="false">H2318*INDEX('Model Inputs &amp; Assumptions'!$G$40:$G$42,MATCH('Model Inputs &amp; Assumptions'!$L$32,'Model Inputs &amp; Assumptions'!$A$40:$A$42,0))*INDEX('Model Inputs &amp; Assumptions'!$H$40:$H$42,MATCH('Model Inputs &amp; Assumptions'!$L$32,'Model Inputs &amp; Assumptions'!$A$40:$A$42,0))</f>
        <v>13019.6033576505</v>
      </c>
      <c r="L2318" s="51" t="n">
        <f aca="false">IFERROR(K2318/I2318,0)</f>
        <v>0.897297972765037</v>
      </c>
      <c r="M2318" s="49" t="n">
        <f aca="false">IFERROR(I2318/H2318,0)</f>
        <v>126.379422936348</v>
      </c>
      <c r="N2318" s="52" t="str">
        <f aca="false">'Model Inputs &amp; Assumptions'!$L$32</f>
        <v>PRD-SP01</v>
      </c>
      <c r="P2318" s="53" t="n">
        <v>0.175317</v>
      </c>
      <c r="Q2318" s="53" t="n">
        <v>-1.19284</v>
      </c>
      <c r="R2318" s="53" t="n">
        <v>-0.839084</v>
      </c>
      <c r="S2318" s="53" t="n">
        <v>-0.607094</v>
      </c>
    </row>
    <row r="2319" customFormat="false" ht="15" hidden="false" customHeight="false" outlineLevel="0" collapsed="false">
      <c r="A2319" s="43" t="n">
        <v>316</v>
      </c>
      <c r="B2319" s="44" t="str">
        <f aca="false">'Model Inputs &amp; Assumptions'!$B$32</f>
        <v>Trade Republic — In-App Display</v>
      </c>
      <c r="C2319" s="45" t="n">
        <f aca="false">ROUND(MAX(0,'Model Inputs &amp; Assumptions'!$S$32*EXP('Model Inputs &amp; Assumptions'!$T$32*P2319-'Model Inputs &amp; Assumptions'!$T$32^2/2)),0)</f>
        <v>1181201</v>
      </c>
      <c r="D2319" s="46" t="n">
        <f aca="false">MIN(1,'Model Inputs &amp; Assumptions'!$U$32*EXP('Model Inputs &amp; Assumptions'!$V$32*Q2319-'Model Inputs &amp; Assumptions'!$V$32^2/2))</f>
        <v>0</v>
      </c>
      <c r="E2319" s="45" t="n">
        <f aca="false">ROUND(C2319*D2319,0)</f>
        <v>0</v>
      </c>
      <c r="F2319" s="47" t="n">
        <f aca="false">MIN(1,'Model Inputs &amp; Assumptions'!$W$32*EXP('Model Inputs &amp; Assumptions'!$X$32*R2319-'Model Inputs &amp; Assumptions'!$X$32^2/2))</f>
        <v>0.00380476705430731</v>
      </c>
      <c r="G2319" s="45" t="n">
        <f aca="false">ROUND(C2319*F2319,0)</f>
        <v>4494</v>
      </c>
      <c r="H2319" s="48" t="n">
        <f aca="false">MAX(0,(C2319*'Model Inputs &amp; Assumptions'!$N$32+E2319*'Model Inputs &amp; Assumptions'!$O$32+G2319*'Model Inputs &amp; Assumptions'!$P$32)*EXP('Model Inputs &amp; Assumptions'!$Q$32*S2319-'Model Inputs &amp; Assumptions'!$Q$32^2/2))</f>
        <v>197.677110305842</v>
      </c>
      <c r="I2319" s="49" t="n">
        <f aca="false">IF('Model Inputs &amp; Assumptions'!$H$32="Fixed",'Model Inputs &amp; Assumptions'!$I$32*'Model Inputs &amp; Assumptions'!$K$32,IF('Model Inputs &amp; Assumptions'!$H$32="CPM",'Model Inputs &amp; Assumptions'!$I$32*'Model Inputs &amp; Assumptions'!$K$32*C2319/1000,IF('Model Inputs &amp; Assumptions'!$H$32="CPC",'Model Inputs &amp; Assumptions'!$I$32*'Model Inputs &amp; Assumptions'!$K$32*G2319,0)))</f>
        <v>14174.412</v>
      </c>
      <c r="J2319" s="50" t="n">
        <f aca="false">H2319*INDEX('Model Inputs &amp; Assumptions'!$D$40:$D$42,MATCH('Model Inputs &amp; Assumptions'!$L$32,'Model Inputs &amp; Assumptions'!$A$40:$A$42,0))*INDEX('Model Inputs &amp; Assumptions'!$H$40:$H$42,MATCH('Model Inputs &amp; Assumptions'!$L$32,'Model Inputs &amp; Assumptions'!$A$40:$A$42,0))</f>
        <v>1067456.39565155</v>
      </c>
      <c r="K2319" s="49" t="n">
        <f aca="false">H2319*INDEX('Model Inputs &amp; Assumptions'!$G$40:$G$42,MATCH('Model Inputs &amp; Assumptions'!$L$32,'Model Inputs &amp; Assumptions'!$A$40:$A$42,0))*INDEX('Model Inputs &amp; Assumptions'!$H$40:$H$42,MATCH('Model Inputs &amp; Assumptions'!$L$32,'Model Inputs &amp; Assumptions'!$A$40:$A$42,0))</f>
        <v>22416.5843086825</v>
      </c>
      <c r="L2319" s="51" t="n">
        <f aca="false">IFERROR(K2319/I2319,0)</f>
        <v>1.58148248468314</v>
      </c>
      <c r="M2319" s="49" t="n">
        <f aca="false">IFERROR(I2319/H2319,0)</f>
        <v>71.7048725473051</v>
      </c>
      <c r="N2319" s="52" t="str">
        <f aca="false">'Model Inputs &amp; Assumptions'!$L$32</f>
        <v>PRD-SP01</v>
      </c>
      <c r="P2319" s="53" t="n">
        <v>0.097366</v>
      </c>
      <c r="Q2319" s="53" t="n">
        <v>-0.330442</v>
      </c>
      <c r="R2319" s="53" t="n">
        <v>0.428306</v>
      </c>
      <c r="S2319" s="53" t="n">
        <v>0.058676</v>
      </c>
    </row>
    <row r="2320" customFormat="false" ht="15" hidden="false" customHeight="false" outlineLevel="0" collapsed="false">
      <c r="A2320" s="43" t="n">
        <v>317</v>
      </c>
      <c r="B2320" s="44" t="str">
        <f aca="false">'Model Inputs &amp; Assumptions'!$B$32</f>
        <v>Trade Republic — In-App Display</v>
      </c>
      <c r="C2320" s="45" t="n">
        <f aca="false">ROUND(MAX(0,'Model Inputs &amp; Assumptions'!$S$32*EXP('Model Inputs &amp; Assumptions'!$T$32*P2320-'Model Inputs &amp; Assumptions'!$T$32^2/2)),0)</f>
        <v>1148460</v>
      </c>
      <c r="D2320" s="46" t="n">
        <f aca="false">MIN(1,'Model Inputs &amp; Assumptions'!$U$32*EXP('Model Inputs &amp; Assumptions'!$V$32*Q2320-'Model Inputs &amp; Assumptions'!$V$32^2/2))</f>
        <v>0</v>
      </c>
      <c r="E2320" s="45" t="n">
        <f aca="false">ROUND(C2320*D2320,0)</f>
        <v>0</v>
      </c>
      <c r="F2320" s="47" t="n">
        <f aca="false">MIN(1,'Model Inputs &amp; Assumptions'!$W$32*EXP('Model Inputs &amp; Assumptions'!$X$32*R2320-'Model Inputs &amp; Assumptions'!$X$32^2/2))</f>
        <v>0.00205100100377016</v>
      </c>
      <c r="G2320" s="45" t="n">
        <f aca="false">ROUND(C2320*F2320,0)</f>
        <v>2355</v>
      </c>
      <c r="H2320" s="48" t="n">
        <f aca="false">MAX(0,(C2320*'Model Inputs &amp; Assumptions'!$N$32+E2320*'Model Inputs &amp; Assumptions'!$O$32+G2320*'Model Inputs &amp; Assumptions'!$P$32)*EXP('Model Inputs &amp; Assumptions'!$Q$32*S2320-'Model Inputs &amp; Assumptions'!$Q$32^2/2))</f>
        <v>65.0030438485663</v>
      </c>
      <c r="I2320" s="49" t="n">
        <f aca="false">IF('Model Inputs &amp; Assumptions'!$H$32="Fixed",'Model Inputs &amp; Assumptions'!$I$32*'Model Inputs &amp; Assumptions'!$K$32,IF('Model Inputs &amp; Assumptions'!$H$32="CPM",'Model Inputs &amp; Assumptions'!$I$32*'Model Inputs &amp; Assumptions'!$K$32*C2320/1000,IF('Model Inputs &amp; Assumptions'!$H$32="CPC",'Model Inputs &amp; Assumptions'!$I$32*'Model Inputs &amp; Assumptions'!$K$32*G2320,0)))</f>
        <v>13781.52</v>
      </c>
      <c r="J2320" s="50" t="n">
        <f aca="false">H2320*INDEX('Model Inputs &amp; Assumptions'!$D$40:$D$42,MATCH('Model Inputs &amp; Assumptions'!$L$32,'Model Inputs &amp; Assumptions'!$A$40:$A$42,0))*INDEX('Model Inputs &amp; Assumptions'!$H$40:$H$42,MATCH('Model Inputs &amp; Assumptions'!$L$32,'Model Inputs &amp; Assumptions'!$A$40:$A$42,0))</f>
        <v>351016.436782258</v>
      </c>
      <c r="K2320" s="49" t="n">
        <f aca="false">H2320*INDEX('Model Inputs &amp; Assumptions'!$G$40:$G$42,MATCH('Model Inputs &amp; Assumptions'!$L$32,'Model Inputs &amp; Assumptions'!$A$40:$A$42,0))*INDEX('Model Inputs &amp; Assumptions'!$H$40:$H$42,MATCH('Model Inputs &amp; Assumptions'!$L$32,'Model Inputs &amp; Assumptions'!$A$40:$A$42,0))</f>
        <v>7371.34517242741</v>
      </c>
      <c r="L2320" s="51" t="n">
        <f aca="false">IFERROR(K2320/I2320,0)</f>
        <v>0.534871710263266</v>
      </c>
      <c r="M2320" s="49" t="n">
        <f aca="false">IFERROR(I2320/H2320,0)</f>
        <v>212.013456356075</v>
      </c>
      <c r="N2320" s="52" t="str">
        <f aca="false">'Model Inputs &amp; Assumptions'!$L$32</f>
        <v>PRD-SP01</v>
      </c>
      <c r="P2320" s="53" t="n">
        <v>0.003669</v>
      </c>
      <c r="Q2320" s="53" t="n">
        <v>0.059391</v>
      </c>
      <c r="R2320" s="53" t="n">
        <v>-1.63145</v>
      </c>
      <c r="S2320" s="53" t="n">
        <v>-1.605604</v>
      </c>
    </row>
    <row r="2321" customFormat="false" ht="15" hidden="false" customHeight="false" outlineLevel="0" collapsed="false">
      <c r="A2321" s="43" t="n">
        <v>318</v>
      </c>
      <c r="B2321" s="44" t="str">
        <f aca="false">'Model Inputs &amp; Assumptions'!$B$32</f>
        <v>Trade Republic — In-App Display</v>
      </c>
      <c r="C2321" s="45" t="n">
        <f aca="false">ROUND(MAX(0,'Model Inputs &amp; Assumptions'!$S$32*EXP('Model Inputs &amp; Assumptions'!$T$32*P2321-'Model Inputs &amp; Assumptions'!$T$32^2/2)),0)</f>
        <v>1215157</v>
      </c>
      <c r="D2321" s="46" t="n">
        <f aca="false">MIN(1,'Model Inputs &amp; Assumptions'!$U$32*EXP('Model Inputs &amp; Assumptions'!$V$32*Q2321-'Model Inputs &amp; Assumptions'!$V$32^2/2))</f>
        <v>0</v>
      </c>
      <c r="E2321" s="45" t="n">
        <f aca="false">ROUND(C2321*D2321,0)</f>
        <v>0</v>
      </c>
      <c r="F2321" s="47" t="n">
        <f aca="false">MIN(1,'Model Inputs &amp; Assumptions'!$W$32*EXP('Model Inputs &amp; Assumptions'!$X$32*R2321-'Model Inputs &amp; Assumptions'!$X$32^2/2))</f>
        <v>0.00520833834136185</v>
      </c>
      <c r="G2321" s="45" t="n">
        <f aca="false">ROUND(C2321*F2321,0)</f>
        <v>6329</v>
      </c>
      <c r="H2321" s="48" t="n">
        <f aca="false">MAX(0,(C2321*'Model Inputs &amp; Assumptions'!$N$32+E2321*'Model Inputs &amp; Assumptions'!$O$32+G2321*'Model Inputs &amp; Assumptions'!$P$32)*EXP('Model Inputs &amp; Assumptions'!$Q$32*S2321-'Model Inputs &amp; Assumptions'!$Q$32^2/2))</f>
        <v>348.498057244389</v>
      </c>
      <c r="I2321" s="49" t="n">
        <f aca="false">IF('Model Inputs &amp; Assumptions'!$H$32="Fixed",'Model Inputs &amp; Assumptions'!$I$32*'Model Inputs &amp; Assumptions'!$K$32,IF('Model Inputs &amp; Assumptions'!$H$32="CPM",'Model Inputs &amp; Assumptions'!$I$32*'Model Inputs &amp; Assumptions'!$K$32*C2321/1000,IF('Model Inputs &amp; Assumptions'!$H$32="CPC",'Model Inputs &amp; Assumptions'!$I$32*'Model Inputs &amp; Assumptions'!$K$32*G2321,0)))</f>
        <v>14581.884</v>
      </c>
      <c r="J2321" s="50" t="n">
        <f aca="false">H2321*INDEX('Model Inputs &amp; Assumptions'!$D$40:$D$42,MATCH('Model Inputs &amp; Assumptions'!$L$32,'Model Inputs &amp; Assumptions'!$A$40:$A$42,0))*INDEX('Model Inputs &amp; Assumptions'!$H$40:$H$42,MATCH('Model Inputs &amp; Assumptions'!$L$32,'Model Inputs &amp; Assumptions'!$A$40:$A$42,0))</f>
        <v>1881889.5091197</v>
      </c>
      <c r="K2321" s="49" t="n">
        <f aca="false">H2321*INDEX('Model Inputs &amp; Assumptions'!$G$40:$G$42,MATCH('Model Inputs &amp; Assumptions'!$L$32,'Model Inputs &amp; Assumptions'!$A$40:$A$42,0))*INDEX('Model Inputs &amp; Assumptions'!$H$40:$H$42,MATCH('Model Inputs &amp; Assumptions'!$L$32,'Model Inputs &amp; Assumptions'!$A$40:$A$42,0))</f>
        <v>39519.6796915137</v>
      </c>
      <c r="L2321" s="51" t="n">
        <f aca="false">IFERROR(K2321/I2321,0)</f>
        <v>2.71019023958178</v>
      </c>
      <c r="M2321" s="49" t="n">
        <f aca="false">IFERROR(I2321/H2321,0)</f>
        <v>41.8420811734232</v>
      </c>
      <c r="N2321" s="52" t="str">
        <f aca="false">'Model Inputs &amp; Assumptions'!$L$32</f>
        <v>PRD-SP01</v>
      </c>
      <c r="P2321" s="53" t="n">
        <v>0.19184</v>
      </c>
      <c r="Q2321" s="53" t="n">
        <v>-0.43638</v>
      </c>
      <c r="R2321" s="53" t="n">
        <v>1.474993</v>
      </c>
      <c r="S2321" s="53" t="n">
        <v>0.860814</v>
      </c>
    </row>
    <row r="2322" customFormat="false" ht="15" hidden="false" customHeight="false" outlineLevel="0" collapsed="false">
      <c r="A2322" s="43" t="n">
        <v>319</v>
      </c>
      <c r="B2322" s="44" t="str">
        <f aca="false">'Model Inputs &amp; Assumptions'!$B$32</f>
        <v>Trade Republic — In-App Display</v>
      </c>
      <c r="C2322" s="45" t="n">
        <f aca="false">ROUND(MAX(0,'Model Inputs &amp; Assumptions'!$S$32*EXP('Model Inputs &amp; Assumptions'!$T$32*P2322-'Model Inputs &amp; Assumptions'!$T$32^2/2)),0)</f>
        <v>915321</v>
      </c>
      <c r="D2322" s="46" t="n">
        <f aca="false">MIN(1,'Model Inputs &amp; Assumptions'!$U$32*EXP('Model Inputs &amp; Assumptions'!$V$32*Q2322-'Model Inputs &amp; Assumptions'!$V$32^2/2))</f>
        <v>0</v>
      </c>
      <c r="E2322" s="45" t="n">
        <f aca="false">ROUND(C2322*D2322,0)</f>
        <v>0</v>
      </c>
      <c r="F2322" s="47" t="n">
        <f aca="false">MIN(1,'Model Inputs &amp; Assumptions'!$W$32*EXP('Model Inputs &amp; Assumptions'!$X$32*R2322-'Model Inputs &amp; Assumptions'!$X$32^2/2))</f>
        <v>0.00273339566195224</v>
      </c>
      <c r="G2322" s="45" t="n">
        <f aca="false">ROUND(C2322*F2322,0)</f>
        <v>2502</v>
      </c>
      <c r="H2322" s="48" t="n">
        <f aca="false">MAX(0,(C2322*'Model Inputs &amp; Assumptions'!$N$32+E2322*'Model Inputs &amp; Assumptions'!$O$32+G2322*'Model Inputs &amp; Assumptions'!$P$32)*EXP('Model Inputs &amp; Assumptions'!$Q$32*S2322-'Model Inputs &amp; Assumptions'!$Q$32^2/2))</f>
        <v>103.108655689989</v>
      </c>
      <c r="I2322" s="49" t="n">
        <f aca="false">IF('Model Inputs &amp; Assumptions'!$H$32="Fixed",'Model Inputs &amp; Assumptions'!$I$32*'Model Inputs &amp; Assumptions'!$K$32,IF('Model Inputs &amp; Assumptions'!$H$32="CPM",'Model Inputs &amp; Assumptions'!$I$32*'Model Inputs &amp; Assumptions'!$K$32*C2322/1000,IF('Model Inputs &amp; Assumptions'!$H$32="CPC",'Model Inputs &amp; Assumptions'!$I$32*'Model Inputs &amp; Assumptions'!$K$32*G2322,0)))</f>
        <v>10983.852</v>
      </c>
      <c r="J2322" s="50" t="n">
        <f aca="false">H2322*INDEX('Model Inputs &amp; Assumptions'!$D$40:$D$42,MATCH('Model Inputs &amp; Assumptions'!$L$32,'Model Inputs &amp; Assumptions'!$A$40:$A$42,0))*INDEX('Model Inputs &amp; Assumptions'!$H$40:$H$42,MATCH('Model Inputs &amp; Assumptions'!$L$32,'Model Inputs &amp; Assumptions'!$A$40:$A$42,0))</f>
        <v>556786.740725941</v>
      </c>
      <c r="K2322" s="49" t="n">
        <f aca="false">H2322*INDEX('Model Inputs &amp; Assumptions'!$G$40:$G$42,MATCH('Model Inputs &amp; Assumptions'!$L$32,'Model Inputs &amp; Assumptions'!$A$40:$A$42,0))*INDEX('Model Inputs &amp; Assumptions'!$H$40:$H$42,MATCH('Model Inputs &amp; Assumptions'!$L$32,'Model Inputs &amp; Assumptions'!$A$40:$A$42,0))</f>
        <v>11692.5215552448</v>
      </c>
      <c r="L2322" s="51" t="n">
        <f aca="false">IFERROR(K2322/I2322,0)</f>
        <v>1.06451921923609</v>
      </c>
      <c r="M2322" s="49" t="n">
        <f aca="false">IFERROR(I2322/H2322,0)</f>
        <v>106.526963488153</v>
      </c>
      <c r="N2322" s="52" t="str">
        <f aca="false">'Model Inputs &amp; Assumptions'!$L$32</f>
        <v>PRD-SP01</v>
      </c>
      <c r="P2322" s="53" t="n">
        <v>-0.752673</v>
      </c>
      <c r="Q2322" s="53" t="n">
        <v>-0.888074</v>
      </c>
      <c r="R2322" s="53" t="n">
        <v>-0.674061</v>
      </c>
      <c r="S2322" s="53" t="n">
        <v>-0.174177</v>
      </c>
    </row>
    <row r="2323" customFormat="false" ht="15" hidden="false" customHeight="false" outlineLevel="0" collapsed="false">
      <c r="A2323" s="43" t="n">
        <v>320</v>
      </c>
      <c r="B2323" s="44" t="str">
        <f aca="false">'Model Inputs &amp; Assumptions'!$B$32</f>
        <v>Trade Republic — In-App Display</v>
      </c>
      <c r="C2323" s="45" t="n">
        <f aca="false">ROUND(MAX(0,'Model Inputs &amp; Assumptions'!$S$32*EXP('Model Inputs &amp; Assumptions'!$T$32*P2323-'Model Inputs &amp; Assumptions'!$T$32^2/2)),0)</f>
        <v>993873</v>
      </c>
      <c r="D2323" s="46" t="n">
        <f aca="false">MIN(1,'Model Inputs &amp; Assumptions'!$U$32*EXP('Model Inputs &amp; Assumptions'!$V$32*Q2323-'Model Inputs &amp; Assumptions'!$V$32^2/2))</f>
        <v>0</v>
      </c>
      <c r="E2323" s="45" t="n">
        <f aca="false">ROUND(C2323*D2323,0)</f>
        <v>0</v>
      </c>
      <c r="F2323" s="47" t="n">
        <f aca="false">MIN(1,'Model Inputs &amp; Assumptions'!$W$32*EXP('Model Inputs &amp; Assumptions'!$X$32*R2323-'Model Inputs &amp; Assumptions'!$X$32^2/2))</f>
        <v>0.0031423064499994</v>
      </c>
      <c r="G2323" s="45" t="n">
        <f aca="false">ROUND(C2323*F2323,0)</f>
        <v>3123</v>
      </c>
      <c r="H2323" s="48" t="n">
        <f aca="false">MAX(0,(C2323*'Model Inputs &amp; Assumptions'!$N$32+E2323*'Model Inputs &amp; Assumptions'!$O$32+G2323*'Model Inputs &amp; Assumptions'!$P$32)*EXP('Model Inputs &amp; Assumptions'!$Q$32*S2323-'Model Inputs &amp; Assumptions'!$Q$32^2/2))</f>
        <v>125.347516022195</v>
      </c>
      <c r="I2323" s="49" t="n">
        <f aca="false">IF('Model Inputs &amp; Assumptions'!$H$32="Fixed",'Model Inputs &amp; Assumptions'!$I$32*'Model Inputs &amp; Assumptions'!$K$32,IF('Model Inputs &amp; Assumptions'!$H$32="CPM",'Model Inputs &amp; Assumptions'!$I$32*'Model Inputs &amp; Assumptions'!$K$32*C2323/1000,IF('Model Inputs &amp; Assumptions'!$H$32="CPC",'Model Inputs &amp; Assumptions'!$I$32*'Model Inputs &amp; Assumptions'!$K$32*G2323,0)))</f>
        <v>11926.476</v>
      </c>
      <c r="J2323" s="50" t="n">
        <f aca="false">H2323*INDEX('Model Inputs &amp; Assumptions'!$D$40:$D$42,MATCH('Model Inputs &amp; Assumptions'!$L$32,'Model Inputs &amp; Assumptions'!$A$40:$A$42,0))*INDEX('Model Inputs &amp; Assumptions'!$H$40:$H$42,MATCH('Model Inputs &amp; Assumptions'!$L$32,'Model Inputs &amp; Assumptions'!$A$40:$A$42,0))</f>
        <v>676876.586519855</v>
      </c>
      <c r="K2323" s="49" t="n">
        <f aca="false">H2323*INDEX('Model Inputs &amp; Assumptions'!$G$40:$G$42,MATCH('Model Inputs &amp; Assumptions'!$L$32,'Model Inputs &amp; Assumptions'!$A$40:$A$42,0))*INDEX('Model Inputs &amp; Assumptions'!$H$40:$H$42,MATCH('Model Inputs &amp; Assumptions'!$L$32,'Model Inputs &amp; Assumptions'!$A$40:$A$42,0))</f>
        <v>14214.4083169169</v>
      </c>
      <c r="L2323" s="51" t="n">
        <f aca="false">IFERROR(K2323/I2323,0)</f>
        <v>1.19183640808206</v>
      </c>
      <c r="M2323" s="49" t="n">
        <f aca="false">IFERROR(I2323/H2323,0)</f>
        <v>95.1472863482048</v>
      </c>
      <c r="N2323" s="52" t="str">
        <f aca="false">'Model Inputs &amp; Assumptions'!$L$32</f>
        <v>PRD-SP01</v>
      </c>
      <c r="P2323" s="53" t="n">
        <v>-0.478226</v>
      </c>
      <c r="Q2323" s="53" t="n">
        <v>-0.224743</v>
      </c>
      <c r="R2323" s="53" t="n">
        <v>-0.209353</v>
      </c>
      <c r="S2323" s="53" t="n">
        <v>-0.268452</v>
      </c>
    </row>
    <row r="2324" customFormat="false" ht="15" hidden="false" customHeight="false" outlineLevel="0" collapsed="false">
      <c r="A2324" s="43" t="n">
        <v>321</v>
      </c>
      <c r="B2324" s="44" t="str">
        <f aca="false">'Model Inputs &amp; Assumptions'!$B$32</f>
        <v>Trade Republic — In-App Display</v>
      </c>
      <c r="C2324" s="45" t="n">
        <f aca="false">ROUND(MAX(0,'Model Inputs &amp; Assumptions'!$S$32*EXP('Model Inputs &amp; Assumptions'!$T$32*P2324-'Model Inputs &amp; Assumptions'!$T$32^2/2)),0)</f>
        <v>1104943</v>
      </c>
      <c r="D2324" s="46" t="n">
        <f aca="false">MIN(1,'Model Inputs &amp; Assumptions'!$U$32*EXP('Model Inputs &amp; Assumptions'!$V$32*Q2324-'Model Inputs &amp; Assumptions'!$V$32^2/2))</f>
        <v>0</v>
      </c>
      <c r="E2324" s="45" t="n">
        <f aca="false">ROUND(C2324*D2324,0)</f>
        <v>0</v>
      </c>
      <c r="F2324" s="47" t="n">
        <f aca="false">MIN(1,'Model Inputs &amp; Assumptions'!$W$32*EXP('Model Inputs &amp; Assumptions'!$X$32*R2324-'Model Inputs &amp; Assumptions'!$X$32^2/2))</f>
        <v>0.00436186478321871</v>
      </c>
      <c r="G2324" s="45" t="n">
        <f aca="false">ROUND(C2324*F2324,0)</f>
        <v>4820</v>
      </c>
      <c r="H2324" s="48" t="n">
        <f aca="false">MAX(0,(C2324*'Model Inputs &amp; Assumptions'!$N$32+E2324*'Model Inputs &amp; Assumptions'!$O$32+G2324*'Model Inputs &amp; Assumptions'!$P$32)*EXP('Model Inputs &amp; Assumptions'!$Q$32*S2324-'Model Inputs &amp; Assumptions'!$Q$32^2/2))</f>
        <v>203.980536062277</v>
      </c>
      <c r="I2324" s="49" t="n">
        <f aca="false">IF('Model Inputs &amp; Assumptions'!$H$32="Fixed",'Model Inputs &amp; Assumptions'!$I$32*'Model Inputs &amp; Assumptions'!$K$32,IF('Model Inputs &amp; Assumptions'!$H$32="CPM",'Model Inputs &amp; Assumptions'!$I$32*'Model Inputs &amp; Assumptions'!$K$32*C2324/1000,IF('Model Inputs &amp; Assumptions'!$H$32="CPC",'Model Inputs &amp; Assumptions'!$I$32*'Model Inputs &amp; Assumptions'!$K$32*G2324,0)))</f>
        <v>13259.316</v>
      </c>
      <c r="J2324" s="50" t="n">
        <f aca="false">H2324*INDEX('Model Inputs &amp; Assumptions'!$D$40:$D$42,MATCH('Model Inputs &amp; Assumptions'!$L$32,'Model Inputs &amp; Assumptions'!$A$40:$A$42,0))*INDEX('Model Inputs &amp; Assumptions'!$H$40:$H$42,MATCH('Model Inputs &amp; Assumptions'!$L$32,'Model Inputs &amp; Assumptions'!$A$40:$A$42,0))</f>
        <v>1101494.8947363</v>
      </c>
      <c r="K2324" s="49" t="n">
        <f aca="false">H2324*INDEX('Model Inputs &amp; Assumptions'!$G$40:$G$42,MATCH('Model Inputs &amp; Assumptions'!$L$32,'Model Inputs &amp; Assumptions'!$A$40:$A$42,0))*INDEX('Model Inputs &amp; Assumptions'!$H$40:$H$42,MATCH('Model Inputs &amp; Assumptions'!$L$32,'Model Inputs &amp; Assumptions'!$A$40:$A$42,0))</f>
        <v>23131.3927894622</v>
      </c>
      <c r="L2324" s="51" t="n">
        <f aca="false">IFERROR(K2324/I2324,0)</f>
        <v>1.74453891810575</v>
      </c>
      <c r="M2324" s="49" t="n">
        <f aca="false">IFERROR(I2324/H2324,0)</f>
        <v>65.0028490755206</v>
      </c>
      <c r="N2324" s="52" t="str">
        <f aca="false">'Model Inputs &amp; Assumptions'!$L$32</f>
        <v>PRD-SP01</v>
      </c>
      <c r="P2324" s="53" t="n">
        <v>-0.125094</v>
      </c>
      <c r="Q2324" s="53" t="n">
        <v>-1.109068</v>
      </c>
      <c r="R2324" s="53" t="n">
        <v>0.883789</v>
      </c>
      <c r="S2324" s="53" t="n">
        <v>-0.079328</v>
      </c>
    </row>
    <row r="2325" customFormat="false" ht="15" hidden="false" customHeight="false" outlineLevel="0" collapsed="false">
      <c r="A2325" s="43" t="n">
        <v>322</v>
      </c>
      <c r="B2325" s="44" t="str">
        <f aca="false">'Model Inputs &amp; Assumptions'!$B$32</f>
        <v>Trade Republic — In-App Display</v>
      </c>
      <c r="C2325" s="45" t="n">
        <f aca="false">ROUND(MAX(0,'Model Inputs &amp; Assumptions'!$S$32*EXP('Model Inputs &amp; Assumptions'!$T$32*P2325-'Model Inputs &amp; Assumptions'!$T$32^2/2)),0)</f>
        <v>1171137</v>
      </c>
      <c r="D2325" s="46" t="n">
        <f aca="false">MIN(1,'Model Inputs &amp; Assumptions'!$U$32*EXP('Model Inputs &amp; Assumptions'!$V$32*Q2325-'Model Inputs &amp; Assumptions'!$V$32^2/2))</f>
        <v>0</v>
      </c>
      <c r="E2325" s="45" t="n">
        <f aca="false">ROUND(C2325*D2325,0)</f>
        <v>0</v>
      </c>
      <c r="F2325" s="47" t="n">
        <f aca="false">MIN(1,'Model Inputs &amp; Assumptions'!$W$32*EXP('Model Inputs &amp; Assumptions'!$X$32*R2325-'Model Inputs &amp; Assumptions'!$X$32^2/2))</f>
        <v>0.00455007842234874</v>
      </c>
      <c r="G2325" s="45" t="n">
        <f aca="false">ROUND(C2325*F2325,0)</f>
        <v>5329</v>
      </c>
      <c r="H2325" s="48" t="n">
        <f aca="false">MAX(0,(C2325*'Model Inputs &amp; Assumptions'!$N$32+E2325*'Model Inputs &amp; Assumptions'!$O$32+G2325*'Model Inputs &amp; Assumptions'!$P$32)*EXP('Model Inputs &amp; Assumptions'!$Q$32*S2325-'Model Inputs &amp; Assumptions'!$Q$32^2/2))</f>
        <v>214.930081537103</v>
      </c>
      <c r="I2325" s="49" t="n">
        <f aca="false">IF('Model Inputs &amp; Assumptions'!$H$32="Fixed",'Model Inputs &amp; Assumptions'!$I$32*'Model Inputs &amp; Assumptions'!$K$32,IF('Model Inputs &amp; Assumptions'!$H$32="CPM",'Model Inputs &amp; Assumptions'!$I$32*'Model Inputs &amp; Assumptions'!$K$32*C2325/1000,IF('Model Inputs &amp; Assumptions'!$H$32="CPC",'Model Inputs &amp; Assumptions'!$I$32*'Model Inputs &amp; Assumptions'!$K$32*G2325,0)))</f>
        <v>14053.644</v>
      </c>
      <c r="J2325" s="50" t="n">
        <f aca="false">H2325*INDEX('Model Inputs &amp; Assumptions'!$D$40:$D$42,MATCH('Model Inputs &amp; Assumptions'!$L$32,'Model Inputs &amp; Assumptions'!$A$40:$A$42,0))*INDEX('Model Inputs &amp; Assumptions'!$H$40:$H$42,MATCH('Model Inputs &amp; Assumptions'!$L$32,'Model Inputs &amp; Assumptions'!$A$40:$A$42,0))</f>
        <v>1160622.44030035</v>
      </c>
      <c r="K2325" s="49" t="n">
        <f aca="false">H2325*INDEX('Model Inputs &amp; Assumptions'!$G$40:$G$42,MATCH('Model Inputs &amp; Assumptions'!$L$32,'Model Inputs &amp; Assumptions'!$A$40:$A$42,0))*INDEX('Model Inputs &amp; Assumptions'!$H$40:$H$42,MATCH('Model Inputs &amp; Assumptions'!$L$32,'Model Inputs &amp; Assumptions'!$A$40:$A$42,0))</f>
        <v>24373.0712463074</v>
      </c>
      <c r="L2325" s="51" t="n">
        <f aca="false">IFERROR(K2325/I2325,0)</f>
        <v>1.73428836295465</v>
      </c>
      <c r="M2325" s="49" t="n">
        <f aca="false">IFERROR(I2325/H2325,0)</f>
        <v>65.3870500559689</v>
      </c>
      <c r="N2325" s="52" t="str">
        <f aca="false">'Model Inputs &amp; Assumptions'!$L$32</f>
        <v>PRD-SP01</v>
      </c>
      <c r="P2325" s="53" t="n">
        <v>0.068846</v>
      </c>
      <c r="Q2325" s="53" t="n">
        <v>0.890677</v>
      </c>
      <c r="R2325" s="53" t="n">
        <v>1.024605</v>
      </c>
      <c r="S2325" s="53" t="n">
        <v>-0.251119</v>
      </c>
    </row>
    <row r="2326" customFormat="false" ht="15" hidden="false" customHeight="false" outlineLevel="0" collapsed="false">
      <c r="A2326" s="43" t="n">
        <v>323</v>
      </c>
      <c r="B2326" s="44" t="str">
        <f aca="false">'Model Inputs &amp; Assumptions'!$B$32</f>
        <v>Trade Republic — In-App Display</v>
      </c>
      <c r="C2326" s="45" t="n">
        <f aca="false">ROUND(MAX(0,'Model Inputs &amp; Assumptions'!$S$32*EXP('Model Inputs &amp; Assumptions'!$T$32*P2326-'Model Inputs &amp; Assumptions'!$T$32^2/2)),0)</f>
        <v>1678241</v>
      </c>
      <c r="D2326" s="46" t="n">
        <f aca="false">MIN(1,'Model Inputs &amp; Assumptions'!$U$32*EXP('Model Inputs &amp; Assumptions'!$V$32*Q2326-'Model Inputs &amp; Assumptions'!$V$32^2/2))</f>
        <v>0</v>
      </c>
      <c r="E2326" s="45" t="n">
        <f aca="false">ROUND(C2326*D2326,0)</f>
        <v>0</v>
      </c>
      <c r="F2326" s="47" t="n">
        <f aca="false">MIN(1,'Model Inputs &amp; Assumptions'!$W$32*EXP('Model Inputs &amp; Assumptions'!$X$32*R2326-'Model Inputs &amp; Assumptions'!$X$32^2/2))</f>
        <v>0.00287229904047994</v>
      </c>
      <c r="G2326" s="45" t="n">
        <f aca="false">ROUND(C2326*F2326,0)</f>
        <v>4820</v>
      </c>
      <c r="H2326" s="48" t="n">
        <f aca="false">MAX(0,(C2326*'Model Inputs &amp; Assumptions'!$N$32+E2326*'Model Inputs &amp; Assumptions'!$O$32+G2326*'Model Inputs &amp; Assumptions'!$P$32)*EXP('Model Inputs &amp; Assumptions'!$Q$32*S2326-'Model Inputs &amp; Assumptions'!$Q$32^2/2))</f>
        <v>152.696745327064</v>
      </c>
      <c r="I2326" s="49" t="n">
        <f aca="false">IF('Model Inputs &amp; Assumptions'!$H$32="Fixed",'Model Inputs &amp; Assumptions'!$I$32*'Model Inputs &amp; Assumptions'!$K$32,IF('Model Inputs &amp; Assumptions'!$H$32="CPM",'Model Inputs &amp; Assumptions'!$I$32*'Model Inputs &amp; Assumptions'!$K$32*C2326/1000,IF('Model Inputs &amp; Assumptions'!$H$32="CPC",'Model Inputs &amp; Assumptions'!$I$32*'Model Inputs &amp; Assumptions'!$K$32*G2326,0)))</f>
        <v>20138.892</v>
      </c>
      <c r="J2326" s="50" t="n">
        <f aca="false">H2326*INDEX('Model Inputs &amp; Assumptions'!$D$40:$D$42,MATCH('Model Inputs &amp; Assumptions'!$L$32,'Model Inputs &amp; Assumptions'!$A$40:$A$42,0))*INDEX('Model Inputs &amp; Assumptions'!$H$40:$H$42,MATCH('Model Inputs &amp; Assumptions'!$L$32,'Model Inputs &amp; Assumptions'!$A$40:$A$42,0))</f>
        <v>824562.424766148</v>
      </c>
      <c r="K2326" s="49" t="n">
        <f aca="false">H2326*INDEX('Model Inputs &amp; Assumptions'!$G$40:$G$42,MATCH('Model Inputs &amp; Assumptions'!$L$32,'Model Inputs &amp; Assumptions'!$A$40:$A$42,0))*INDEX('Model Inputs &amp; Assumptions'!$H$40:$H$42,MATCH('Model Inputs &amp; Assumptions'!$L$32,'Model Inputs &amp; Assumptions'!$A$40:$A$42,0))</f>
        <v>17315.8109200891</v>
      </c>
      <c r="L2326" s="51" t="n">
        <f aca="false">IFERROR(K2326/I2326,0)</f>
        <v>0.859819443894386</v>
      </c>
      <c r="M2326" s="49" t="n">
        <f aca="false">IFERROR(I2326/H2326,0)</f>
        <v>131.888154897238</v>
      </c>
      <c r="N2326" s="52" t="str">
        <f aca="false">'Model Inputs &amp; Assumptions'!$L$32</f>
        <v>PRD-SP01</v>
      </c>
      <c r="P2326" s="53" t="n">
        <v>1.268083</v>
      </c>
      <c r="Q2326" s="53" t="n">
        <v>0.156126</v>
      </c>
      <c r="R2326" s="53" t="n">
        <v>-0.508834</v>
      </c>
      <c r="S2326" s="53" t="n">
        <v>-1.113509</v>
      </c>
    </row>
    <row r="2327" customFormat="false" ht="15" hidden="false" customHeight="false" outlineLevel="0" collapsed="false">
      <c r="A2327" s="43" t="n">
        <v>324</v>
      </c>
      <c r="B2327" s="44" t="str">
        <f aca="false">'Model Inputs &amp; Assumptions'!$B$32</f>
        <v>Trade Republic — In-App Display</v>
      </c>
      <c r="C2327" s="45" t="n">
        <f aca="false">ROUND(MAX(0,'Model Inputs &amp; Assumptions'!$S$32*EXP('Model Inputs &amp; Assumptions'!$T$32*P2327-'Model Inputs &amp; Assumptions'!$T$32^2/2)),0)</f>
        <v>1172591</v>
      </c>
      <c r="D2327" s="46" t="n">
        <f aca="false">MIN(1,'Model Inputs &amp; Assumptions'!$U$32*EXP('Model Inputs &amp; Assumptions'!$V$32*Q2327-'Model Inputs &amp; Assumptions'!$V$32^2/2))</f>
        <v>0</v>
      </c>
      <c r="E2327" s="45" t="n">
        <f aca="false">ROUND(C2327*D2327,0)</f>
        <v>0</v>
      </c>
      <c r="F2327" s="47" t="n">
        <f aca="false">MIN(1,'Model Inputs &amp; Assumptions'!$W$32*EXP('Model Inputs &amp; Assumptions'!$X$32*R2327-'Model Inputs &amp; Assumptions'!$X$32^2/2))</f>
        <v>0.0054792589762006</v>
      </c>
      <c r="G2327" s="45" t="n">
        <f aca="false">ROUND(C2327*F2327,0)</f>
        <v>6425</v>
      </c>
      <c r="H2327" s="48" t="n">
        <f aca="false">MAX(0,(C2327*'Model Inputs &amp; Assumptions'!$N$32+E2327*'Model Inputs &amp; Assumptions'!$O$32+G2327*'Model Inputs &amp; Assumptions'!$P$32)*EXP('Model Inputs &amp; Assumptions'!$Q$32*S2327-'Model Inputs &amp; Assumptions'!$Q$32^2/2))</f>
        <v>174.864488154046</v>
      </c>
      <c r="I2327" s="49" t="n">
        <f aca="false">IF('Model Inputs &amp; Assumptions'!$H$32="Fixed",'Model Inputs &amp; Assumptions'!$I$32*'Model Inputs &amp; Assumptions'!$K$32,IF('Model Inputs &amp; Assumptions'!$H$32="CPM",'Model Inputs &amp; Assumptions'!$I$32*'Model Inputs &amp; Assumptions'!$K$32*C2327/1000,IF('Model Inputs &amp; Assumptions'!$H$32="CPC",'Model Inputs &amp; Assumptions'!$I$32*'Model Inputs &amp; Assumptions'!$K$32*G2327,0)))</f>
        <v>14071.092</v>
      </c>
      <c r="J2327" s="50" t="n">
        <f aca="false">H2327*INDEX('Model Inputs &amp; Assumptions'!$D$40:$D$42,MATCH('Model Inputs &amp; Assumptions'!$L$32,'Model Inputs &amp; Assumptions'!$A$40:$A$42,0))*INDEX('Model Inputs &amp; Assumptions'!$H$40:$H$42,MATCH('Model Inputs &amp; Assumptions'!$L$32,'Model Inputs &amp; Assumptions'!$A$40:$A$42,0))</f>
        <v>944268.236031851</v>
      </c>
      <c r="K2327" s="49" t="n">
        <f aca="false">H2327*INDEX('Model Inputs &amp; Assumptions'!$G$40:$G$42,MATCH('Model Inputs &amp; Assumptions'!$L$32,'Model Inputs &amp; Assumptions'!$A$40:$A$42,0))*INDEX('Model Inputs &amp; Assumptions'!$H$40:$H$42,MATCH('Model Inputs &amp; Assumptions'!$L$32,'Model Inputs &amp; Assumptions'!$A$40:$A$42,0))</f>
        <v>19829.6329566689</v>
      </c>
      <c r="L2327" s="51" t="n">
        <f aca="false">IFERROR(K2327/I2327,0)</f>
        <v>1.40924620183486</v>
      </c>
      <c r="M2327" s="49" t="n">
        <f aca="false">IFERROR(I2327/H2327,0)</f>
        <v>80.4685510965732</v>
      </c>
      <c r="N2327" s="52" t="str">
        <f aca="false">'Model Inputs &amp; Assumptions'!$L$32</f>
        <v>PRD-SP01</v>
      </c>
      <c r="P2327" s="53" t="n">
        <v>0.072981</v>
      </c>
      <c r="Q2327" s="53" t="n">
        <v>1.594023</v>
      </c>
      <c r="R2327" s="53" t="n">
        <v>1.644023</v>
      </c>
      <c r="S2327" s="53" t="n">
        <v>-1.655885</v>
      </c>
    </row>
    <row r="2328" customFormat="false" ht="15" hidden="false" customHeight="false" outlineLevel="0" collapsed="false">
      <c r="A2328" s="43" t="n">
        <v>325</v>
      </c>
      <c r="B2328" s="44" t="str">
        <f aca="false">'Model Inputs &amp; Assumptions'!$B$32</f>
        <v>Trade Republic — In-App Display</v>
      </c>
      <c r="C2328" s="45" t="n">
        <f aca="false">ROUND(MAX(0,'Model Inputs &amp; Assumptions'!$S$32*EXP('Model Inputs &amp; Assumptions'!$T$32*P2328-'Model Inputs &amp; Assumptions'!$T$32^2/2)),0)</f>
        <v>1155329</v>
      </c>
      <c r="D2328" s="46" t="n">
        <f aca="false">MIN(1,'Model Inputs &amp; Assumptions'!$U$32*EXP('Model Inputs &amp; Assumptions'!$V$32*Q2328-'Model Inputs &amp; Assumptions'!$V$32^2/2))</f>
        <v>0</v>
      </c>
      <c r="E2328" s="45" t="n">
        <f aca="false">ROUND(C2328*D2328,0)</f>
        <v>0</v>
      </c>
      <c r="F2328" s="47" t="n">
        <f aca="false">MIN(1,'Model Inputs &amp; Assumptions'!$W$32*EXP('Model Inputs &amp; Assumptions'!$X$32*R2328-'Model Inputs &amp; Assumptions'!$X$32^2/2))</f>
        <v>0.00312810211776773</v>
      </c>
      <c r="G2328" s="45" t="n">
        <f aca="false">ROUND(C2328*F2328,0)</f>
        <v>3614</v>
      </c>
      <c r="H2328" s="48" t="n">
        <f aca="false">MAX(0,(C2328*'Model Inputs &amp; Assumptions'!$N$32+E2328*'Model Inputs &amp; Assumptions'!$O$32+G2328*'Model Inputs &amp; Assumptions'!$P$32)*EXP('Model Inputs &amp; Assumptions'!$Q$32*S2328-'Model Inputs &amp; Assumptions'!$Q$32^2/2))</f>
        <v>162.946284237589</v>
      </c>
      <c r="I2328" s="49" t="n">
        <f aca="false">IF('Model Inputs &amp; Assumptions'!$H$32="Fixed",'Model Inputs &amp; Assumptions'!$I$32*'Model Inputs &amp; Assumptions'!$K$32,IF('Model Inputs &amp; Assumptions'!$H$32="CPM",'Model Inputs &amp; Assumptions'!$I$32*'Model Inputs &amp; Assumptions'!$K$32*C2328/1000,IF('Model Inputs &amp; Assumptions'!$H$32="CPC",'Model Inputs &amp; Assumptions'!$I$32*'Model Inputs &amp; Assumptions'!$K$32*G2328,0)))</f>
        <v>13863.948</v>
      </c>
      <c r="J2328" s="50" t="n">
        <f aca="false">H2328*INDEX('Model Inputs &amp; Assumptions'!$D$40:$D$42,MATCH('Model Inputs &amp; Assumptions'!$L$32,'Model Inputs &amp; Assumptions'!$A$40:$A$42,0))*INDEX('Model Inputs &amp; Assumptions'!$H$40:$H$42,MATCH('Model Inputs &amp; Assumptions'!$L$32,'Model Inputs &amp; Assumptions'!$A$40:$A$42,0))</f>
        <v>879909.934882982</v>
      </c>
      <c r="K2328" s="49" t="n">
        <f aca="false">H2328*INDEX('Model Inputs &amp; Assumptions'!$G$40:$G$42,MATCH('Model Inputs &amp; Assumptions'!$L$32,'Model Inputs &amp; Assumptions'!$A$40:$A$42,0))*INDEX('Model Inputs &amp; Assumptions'!$H$40:$H$42,MATCH('Model Inputs &amp; Assumptions'!$L$32,'Model Inputs &amp; Assumptions'!$A$40:$A$42,0))</f>
        <v>18478.1086325426</v>
      </c>
      <c r="L2328" s="51" t="n">
        <f aca="false">IFERROR(K2328/I2328,0)</f>
        <v>1.33281722006911</v>
      </c>
      <c r="M2328" s="49" t="n">
        <f aca="false">IFERROR(I2328/H2328,0)</f>
        <v>85.0829343232227</v>
      </c>
      <c r="N2328" s="52" t="str">
        <f aca="false">'Model Inputs &amp; Assumptions'!$L$32</f>
        <v>PRD-SP01</v>
      </c>
      <c r="P2328" s="53" t="n">
        <v>0.023546</v>
      </c>
      <c r="Q2328" s="53" t="n">
        <v>0.240378</v>
      </c>
      <c r="R2328" s="53" t="n">
        <v>-0.224455</v>
      </c>
      <c r="S2328" s="53" t="n">
        <v>0.146939</v>
      </c>
    </row>
    <row r="2329" customFormat="false" ht="15" hidden="false" customHeight="false" outlineLevel="0" collapsed="false">
      <c r="A2329" s="43" t="n">
        <v>326</v>
      </c>
      <c r="B2329" s="44" t="str">
        <f aca="false">'Model Inputs &amp; Assumptions'!$B$32</f>
        <v>Trade Republic — In-App Display</v>
      </c>
      <c r="C2329" s="45" t="n">
        <f aca="false">ROUND(MAX(0,'Model Inputs &amp; Assumptions'!$S$32*EXP('Model Inputs &amp; Assumptions'!$T$32*P2329-'Model Inputs &amp; Assumptions'!$T$32^2/2)),0)</f>
        <v>1367269</v>
      </c>
      <c r="D2329" s="46" t="n">
        <f aca="false">MIN(1,'Model Inputs &amp; Assumptions'!$U$32*EXP('Model Inputs &amp; Assumptions'!$V$32*Q2329-'Model Inputs &amp; Assumptions'!$V$32^2/2))</f>
        <v>0</v>
      </c>
      <c r="E2329" s="45" t="n">
        <f aca="false">ROUND(C2329*D2329,0)</f>
        <v>0</v>
      </c>
      <c r="F2329" s="47" t="n">
        <f aca="false">MIN(1,'Model Inputs &amp; Assumptions'!$W$32*EXP('Model Inputs &amp; Assumptions'!$X$32*R2329-'Model Inputs &amp; Assumptions'!$X$32^2/2))</f>
        <v>0.00458971425579585</v>
      </c>
      <c r="G2329" s="45" t="n">
        <f aca="false">ROUND(C2329*F2329,0)</f>
        <v>6275</v>
      </c>
      <c r="H2329" s="48" t="n">
        <f aca="false">MAX(0,(C2329*'Model Inputs &amp; Assumptions'!$N$32+E2329*'Model Inputs &amp; Assumptions'!$O$32+G2329*'Model Inputs &amp; Assumptions'!$P$32)*EXP('Model Inputs &amp; Assumptions'!$Q$32*S2329-'Model Inputs &amp; Assumptions'!$Q$32^2/2))</f>
        <v>214.606597890775</v>
      </c>
      <c r="I2329" s="49" t="n">
        <f aca="false">IF('Model Inputs &amp; Assumptions'!$H$32="Fixed",'Model Inputs &amp; Assumptions'!$I$32*'Model Inputs &amp; Assumptions'!$K$32,IF('Model Inputs &amp; Assumptions'!$H$32="CPM",'Model Inputs &amp; Assumptions'!$I$32*'Model Inputs &amp; Assumptions'!$K$32*C2329/1000,IF('Model Inputs &amp; Assumptions'!$H$32="CPC",'Model Inputs &amp; Assumptions'!$I$32*'Model Inputs &amp; Assumptions'!$K$32*G2329,0)))</f>
        <v>16407.228</v>
      </c>
      <c r="J2329" s="50" t="n">
        <f aca="false">H2329*INDEX('Model Inputs &amp; Assumptions'!$D$40:$D$42,MATCH('Model Inputs &amp; Assumptions'!$L$32,'Model Inputs &amp; Assumptions'!$A$40:$A$42,0))*INDEX('Model Inputs &amp; Assumptions'!$H$40:$H$42,MATCH('Model Inputs &amp; Assumptions'!$L$32,'Model Inputs &amp; Assumptions'!$A$40:$A$42,0))</f>
        <v>1158875.62861018</v>
      </c>
      <c r="K2329" s="49" t="n">
        <f aca="false">H2329*INDEX('Model Inputs &amp; Assumptions'!$G$40:$G$42,MATCH('Model Inputs &amp; Assumptions'!$L$32,'Model Inputs &amp; Assumptions'!$A$40:$A$42,0))*INDEX('Model Inputs &amp; Assumptions'!$H$40:$H$42,MATCH('Model Inputs &amp; Assumptions'!$L$32,'Model Inputs &amp; Assumptions'!$A$40:$A$42,0))</f>
        <v>24336.3882008139</v>
      </c>
      <c r="L2329" s="51" t="n">
        <f aca="false">IFERROR(K2329/I2329,0)</f>
        <v>1.48327238463523</v>
      </c>
      <c r="M2329" s="49" t="n">
        <f aca="false">IFERROR(I2329/H2329,0)</f>
        <v>76.4525795630502</v>
      </c>
      <c r="N2329" s="52" t="str">
        <f aca="false">'Model Inputs &amp; Assumptions'!$L$32</f>
        <v>PRD-SP01</v>
      </c>
      <c r="P2329" s="53" t="n">
        <v>0.584979</v>
      </c>
      <c r="Q2329" s="53" t="n">
        <v>1.170844</v>
      </c>
      <c r="R2329" s="53" t="n">
        <v>1.053516</v>
      </c>
      <c r="S2329" s="53" t="n">
        <v>-0.840105</v>
      </c>
    </row>
    <row r="2330" customFormat="false" ht="15" hidden="false" customHeight="false" outlineLevel="0" collapsed="false">
      <c r="A2330" s="43" t="n">
        <v>327</v>
      </c>
      <c r="B2330" s="44" t="str">
        <f aca="false">'Model Inputs &amp; Assumptions'!$B$32</f>
        <v>Trade Republic — In-App Display</v>
      </c>
      <c r="C2330" s="45" t="n">
        <f aca="false">ROUND(MAX(0,'Model Inputs &amp; Assumptions'!$S$32*EXP('Model Inputs &amp; Assumptions'!$T$32*P2330-'Model Inputs &amp; Assumptions'!$T$32^2/2)),0)</f>
        <v>879973</v>
      </c>
      <c r="D2330" s="46" t="n">
        <f aca="false">MIN(1,'Model Inputs &amp; Assumptions'!$U$32*EXP('Model Inputs &amp; Assumptions'!$V$32*Q2330-'Model Inputs &amp; Assumptions'!$V$32^2/2))</f>
        <v>0</v>
      </c>
      <c r="E2330" s="45" t="n">
        <f aca="false">ROUND(C2330*D2330,0)</f>
        <v>0</v>
      </c>
      <c r="F2330" s="47" t="n">
        <f aca="false">MIN(1,'Model Inputs &amp; Assumptions'!$W$32*EXP('Model Inputs &amp; Assumptions'!$X$32*R2330-'Model Inputs &amp; Assumptions'!$X$32^2/2))</f>
        <v>0.00389046687027909</v>
      </c>
      <c r="G2330" s="45" t="n">
        <f aca="false">ROUND(C2330*F2330,0)</f>
        <v>3424</v>
      </c>
      <c r="H2330" s="48" t="n">
        <f aca="false">MAX(0,(C2330*'Model Inputs &amp; Assumptions'!$N$32+E2330*'Model Inputs &amp; Assumptions'!$O$32+G2330*'Model Inputs &amp; Assumptions'!$P$32)*EXP('Model Inputs &amp; Assumptions'!$Q$32*S2330-'Model Inputs &amp; Assumptions'!$Q$32^2/2))</f>
        <v>146.458253389513</v>
      </c>
      <c r="I2330" s="49" t="n">
        <f aca="false">IF('Model Inputs &amp; Assumptions'!$H$32="Fixed",'Model Inputs &amp; Assumptions'!$I$32*'Model Inputs &amp; Assumptions'!$K$32,IF('Model Inputs &amp; Assumptions'!$H$32="CPM",'Model Inputs &amp; Assumptions'!$I$32*'Model Inputs &amp; Assumptions'!$K$32*C2330/1000,IF('Model Inputs &amp; Assumptions'!$H$32="CPC",'Model Inputs &amp; Assumptions'!$I$32*'Model Inputs &amp; Assumptions'!$K$32*G2330,0)))</f>
        <v>10559.676</v>
      </c>
      <c r="J2330" s="50" t="n">
        <f aca="false">H2330*INDEX('Model Inputs &amp; Assumptions'!$D$40:$D$42,MATCH('Model Inputs &amp; Assumptions'!$L$32,'Model Inputs &amp; Assumptions'!$A$40:$A$42,0))*INDEX('Model Inputs &amp; Assumptions'!$H$40:$H$42,MATCH('Model Inputs &amp; Assumptions'!$L$32,'Model Inputs &amp; Assumptions'!$A$40:$A$42,0))</f>
        <v>790874.568303368</v>
      </c>
      <c r="K2330" s="49" t="n">
        <f aca="false">H2330*INDEX('Model Inputs &amp; Assumptions'!$G$40:$G$42,MATCH('Model Inputs &amp; Assumptions'!$L$32,'Model Inputs &amp; Assumptions'!$A$40:$A$42,0))*INDEX('Model Inputs &amp; Assumptions'!$H$40:$H$42,MATCH('Model Inputs &amp; Assumptions'!$L$32,'Model Inputs &amp; Assumptions'!$A$40:$A$42,0))</f>
        <v>16608.3659343707</v>
      </c>
      <c r="L2330" s="51" t="n">
        <f aca="false">IFERROR(K2330/I2330,0)</f>
        <v>1.57281018227934</v>
      </c>
      <c r="M2330" s="49" t="n">
        <f aca="false">IFERROR(I2330/H2330,0)</f>
        <v>72.1002453300876</v>
      </c>
      <c r="N2330" s="52" t="str">
        <f aca="false">'Model Inputs &amp; Assumptions'!$L$32</f>
        <v>PRD-SP01</v>
      </c>
      <c r="P2330" s="53" t="n">
        <v>-0.883951</v>
      </c>
      <c r="Q2330" s="53" t="n">
        <v>-1.293892</v>
      </c>
      <c r="R2330" s="53" t="n">
        <v>0.502554</v>
      </c>
      <c r="S2330" s="53" t="n">
        <v>-0.041184</v>
      </c>
    </row>
    <row r="2331" customFormat="false" ht="15" hidden="false" customHeight="false" outlineLevel="0" collapsed="false">
      <c r="A2331" s="43" t="n">
        <v>328</v>
      </c>
      <c r="B2331" s="44" t="str">
        <f aca="false">'Model Inputs &amp; Assumptions'!$B$32</f>
        <v>Trade Republic — In-App Display</v>
      </c>
      <c r="C2331" s="45" t="n">
        <f aca="false">ROUND(MAX(0,'Model Inputs &amp; Assumptions'!$S$32*EXP('Model Inputs &amp; Assumptions'!$T$32*P2331-'Model Inputs &amp; Assumptions'!$T$32^2/2)),0)</f>
        <v>794284</v>
      </c>
      <c r="D2331" s="46" t="n">
        <f aca="false">MIN(1,'Model Inputs &amp; Assumptions'!$U$32*EXP('Model Inputs &amp; Assumptions'!$V$32*Q2331-'Model Inputs &amp; Assumptions'!$V$32^2/2))</f>
        <v>0</v>
      </c>
      <c r="E2331" s="45" t="n">
        <f aca="false">ROUND(C2331*D2331,0)</f>
        <v>0</v>
      </c>
      <c r="F2331" s="47" t="n">
        <f aca="false">MIN(1,'Model Inputs &amp; Assumptions'!$W$32*EXP('Model Inputs &amp; Assumptions'!$X$32*R2331-'Model Inputs &amp; Assumptions'!$X$32^2/2))</f>
        <v>0.00192849126358544</v>
      </c>
      <c r="G2331" s="45" t="n">
        <f aca="false">ROUND(C2331*F2331,0)</f>
        <v>1532</v>
      </c>
      <c r="H2331" s="48" t="n">
        <f aca="false">MAX(0,(C2331*'Model Inputs &amp; Assumptions'!$N$32+E2331*'Model Inputs &amp; Assumptions'!$O$32+G2331*'Model Inputs &amp; Assumptions'!$P$32)*EXP('Model Inputs &amp; Assumptions'!$Q$32*S2331-'Model Inputs &amp; Assumptions'!$Q$32^2/2))</f>
        <v>52.7963574735291</v>
      </c>
      <c r="I2331" s="49" t="n">
        <f aca="false">IF('Model Inputs &amp; Assumptions'!$H$32="Fixed",'Model Inputs &amp; Assumptions'!$I$32*'Model Inputs &amp; Assumptions'!$K$32,IF('Model Inputs &amp; Assumptions'!$H$32="CPM",'Model Inputs &amp; Assumptions'!$I$32*'Model Inputs &amp; Assumptions'!$K$32*C2331/1000,IF('Model Inputs &amp; Assumptions'!$H$32="CPC",'Model Inputs &amp; Assumptions'!$I$32*'Model Inputs &amp; Assumptions'!$K$32*G2331,0)))</f>
        <v>9531.408</v>
      </c>
      <c r="J2331" s="50" t="n">
        <f aca="false">H2331*INDEX('Model Inputs &amp; Assumptions'!$D$40:$D$42,MATCH('Model Inputs &amp; Assumptions'!$L$32,'Model Inputs &amp; Assumptions'!$A$40:$A$42,0))*INDEX('Model Inputs &amp; Assumptions'!$H$40:$H$42,MATCH('Model Inputs &amp; Assumptions'!$L$32,'Model Inputs &amp; Assumptions'!$A$40:$A$42,0))</f>
        <v>285100.330357057</v>
      </c>
      <c r="K2331" s="49" t="n">
        <f aca="false">H2331*INDEX('Model Inputs &amp; Assumptions'!$G$40:$G$42,MATCH('Model Inputs &amp; Assumptions'!$L$32,'Model Inputs &amp; Assumptions'!$A$40:$A$42,0))*INDEX('Model Inputs &amp; Assumptions'!$H$40:$H$42,MATCH('Model Inputs &amp; Assumptions'!$L$32,'Model Inputs &amp; Assumptions'!$A$40:$A$42,0))</f>
        <v>5987.1069374982</v>
      </c>
      <c r="L2331" s="51" t="n">
        <f aca="false">IFERROR(K2331/I2331,0)</f>
        <v>0.62814506917532</v>
      </c>
      <c r="M2331" s="49" t="n">
        <f aca="false">IFERROR(I2331/H2331,0)</f>
        <v>180.531545282813</v>
      </c>
      <c r="N2331" s="52" t="str">
        <f aca="false">'Model Inputs &amp; Assumptions'!$L$32</f>
        <v>PRD-SP01</v>
      </c>
      <c r="P2331" s="53" t="n">
        <v>-1.225452</v>
      </c>
      <c r="Q2331" s="53" t="n">
        <v>0.595765</v>
      </c>
      <c r="R2331" s="53" t="n">
        <v>-1.83675</v>
      </c>
      <c r="S2331" s="53" t="n">
        <v>-0.812837</v>
      </c>
    </row>
    <row r="2332" customFormat="false" ht="15" hidden="false" customHeight="false" outlineLevel="0" collapsed="false">
      <c r="A2332" s="43" t="n">
        <v>329</v>
      </c>
      <c r="B2332" s="44" t="str">
        <f aca="false">'Model Inputs &amp; Assumptions'!$B$32</f>
        <v>Trade Republic — In-App Display</v>
      </c>
      <c r="C2332" s="45" t="n">
        <f aca="false">ROUND(MAX(0,'Model Inputs &amp; Assumptions'!$S$32*EXP('Model Inputs &amp; Assumptions'!$T$32*P2332-'Model Inputs &amp; Assumptions'!$T$32^2/2)),0)</f>
        <v>1101702</v>
      </c>
      <c r="D2332" s="46" t="n">
        <f aca="false">MIN(1,'Model Inputs &amp; Assumptions'!$U$32*EXP('Model Inputs &amp; Assumptions'!$V$32*Q2332-'Model Inputs &amp; Assumptions'!$V$32^2/2))</f>
        <v>0</v>
      </c>
      <c r="E2332" s="45" t="n">
        <f aca="false">ROUND(C2332*D2332,0)</f>
        <v>0</v>
      </c>
      <c r="F2332" s="47" t="n">
        <f aca="false">MIN(1,'Model Inputs &amp; Assumptions'!$W$32*EXP('Model Inputs &amp; Assumptions'!$X$32*R2332-'Model Inputs &amp; Assumptions'!$X$32^2/2))</f>
        <v>0.00365020842423908</v>
      </c>
      <c r="G2332" s="45" t="n">
        <f aca="false">ROUND(C2332*F2332,0)</f>
        <v>4021</v>
      </c>
      <c r="H2332" s="48" t="n">
        <f aca="false">MAX(0,(C2332*'Model Inputs &amp; Assumptions'!$N$32+E2332*'Model Inputs &amp; Assumptions'!$O$32+G2332*'Model Inputs &amp; Assumptions'!$P$32)*EXP('Model Inputs &amp; Assumptions'!$Q$32*S2332-'Model Inputs &amp; Assumptions'!$Q$32^2/2))</f>
        <v>172.078112761836</v>
      </c>
      <c r="I2332" s="49" t="n">
        <f aca="false">IF('Model Inputs &amp; Assumptions'!$H$32="Fixed",'Model Inputs &amp; Assumptions'!$I$32*'Model Inputs &amp; Assumptions'!$K$32,IF('Model Inputs &amp; Assumptions'!$H$32="CPM",'Model Inputs &amp; Assumptions'!$I$32*'Model Inputs &amp; Assumptions'!$K$32*C2332/1000,IF('Model Inputs &amp; Assumptions'!$H$32="CPC",'Model Inputs &amp; Assumptions'!$I$32*'Model Inputs &amp; Assumptions'!$K$32*G2332,0)))</f>
        <v>13220.424</v>
      </c>
      <c r="J2332" s="50" t="n">
        <f aca="false">H2332*INDEX('Model Inputs &amp; Assumptions'!$D$40:$D$42,MATCH('Model Inputs &amp; Assumptions'!$L$32,'Model Inputs &amp; Assumptions'!$A$40:$A$42,0))*INDEX('Model Inputs &amp; Assumptions'!$H$40:$H$42,MATCH('Model Inputs &amp; Assumptions'!$L$32,'Model Inputs &amp; Assumptions'!$A$40:$A$42,0))</f>
        <v>929221.808913914</v>
      </c>
      <c r="K2332" s="49" t="n">
        <f aca="false">H2332*INDEX('Model Inputs &amp; Assumptions'!$G$40:$G$42,MATCH('Model Inputs &amp; Assumptions'!$L$32,'Model Inputs &amp; Assumptions'!$A$40:$A$42,0))*INDEX('Model Inputs &amp; Assumptions'!$H$40:$H$42,MATCH('Model Inputs &amp; Assumptions'!$L$32,'Model Inputs &amp; Assumptions'!$A$40:$A$42,0))</f>
        <v>19513.6579871922</v>
      </c>
      <c r="L2332" s="51" t="n">
        <f aca="false">IFERROR(K2332/I2332,0)</f>
        <v>1.47602361219218</v>
      </c>
      <c r="M2332" s="49" t="n">
        <f aca="false">IFERROR(I2332/H2332,0)</f>
        <v>76.8280392422578</v>
      </c>
      <c r="N2332" s="52" t="str">
        <f aca="false">'Model Inputs &amp; Assumptions'!$L$32</f>
        <v>PRD-SP01</v>
      </c>
      <c r="P2332" s="53" t="n">
        <v>-0.134885</v>
      </c>
      <c r="Q2332" s="53" t="n">
        <v>-0.089055</v>
      </c>
      <c r="R2332" s="53" t="n">
        <v>0.290071</v>
      </c>
      <c r="S2332" s="53" t="n">
        <v>-0.039445</v>
      </c>
    </row>
    <row r="2333" customFormat="false" ht="15" hidden="false" customHeight="false" outlineLevel="0" collapsed="false">
      <c r="A2333" s="43" t="n">
        <v>330</v>
      </c>
      <c r="B2333" s="44" t="str">
        <f aca="false">'Model Inputs &amp; Assumptions'!$B$32</f>
        <v>Trade Republic — In-App Display</v>
      </c>
      <c r="C2333" s="45" t="n">
        <f aca="false">ROUND(MAX(0,'Model Inputs &amp; Assumptions'!$S$32*EXP('Model Inputs &amp; Assumptions'!$T$32*P2333-'Model Inputs &amp; Assumptions'!$T$32^2/2)),0)</f>
        <v>1404671</v>
      </c>
      <c r="D2333" s="46" t="n">
        <f aca="false">MIN(1,'Model Inputs &amp; Assumptions'!$U$32*EXP('Model Inputs &amp; Assumptions'!$V$32*Q2333-'Model Inputs &amp; Assumptions'!$V$32^2/2))</f>
        <v>0</v>
      </c>
      <c r="E2333" s="45" t="n">
        <f aca="false">ROUND(C2333*D2333,0)</f>
        <v>0</v>
      </c>
      <c r="F2333" s="47" t="n">
        <f aca="false">MIN(1,'Model Inputs &amp; Assumptions'!$W$32*EXP('Model Inputs &amp; Assumptions'!$X$32*R2333-'Model Inputs &amp; Assumptions'!$X$32^2/2))</f>
        <v>0.00282673452828458</v>
      </c>
      <c r="G2333" s="45" t="n">
        <f aca="false">ROUND(C2333*F2333,0)</f>
        <v>3971</v>
      </c>
      <c r="H2333" s="48" t="n">
        <f aca="false">MAX(0,(C2333*'Model Inputs &amp; Assumptions'!$N$32+E2333*'Model Inputs &amp; Assumptions'!$O$32+G2333*'Model Inputs &amp; Assumptions'!$P$32)*EXP('Model Inputs &amp; Assumptions'!$Q$32*S2333-'Model Inputs &amp; Assumptions'!$Q$32^2/2))</f>
        <v>199.914969155016</v>
      </c>
      <c r="I2333" s="49" t="n">
        <f aca="false">IF('Model Inputs &amp; Assumptions'!$H$32="Fixed",'Model Inputs &amp; Assumptions'!$I$32*'Model Inputs &amp; Assumptions'!$K$32,IF('Model Inputs &amp; Assumptions'!$H$32="CPM",'Model Inputs &amp; Assumptions'!$I$32*'Model Inputs &amp; Assumptions'!$K$32*C2333/1000,IF('Model Inputs &amp; Assumptions'!$H$32="CPC",'Model Inputs &amp; Assumptions'!$I$32*'Model Inputs &amp; Assumptions'!$K$32*G2333,0)))</f>
        <v>16856.052</v>
      </c>
      <c r="J2333" s="50" t="n">
        <f aca="false">H2333*INDEX('Model Inputs &amp; Assumptions'!$D$40:$D$42,MATCH('Model Inputs &amp; Assumptions'!$L$32,'Model Inputs &amp; Assumptions'!$A$40:$A$42,0))*INDEX('Model Inputs &amp; Assumptions'!$H$40:$H$42,MATCH('Model Inputs &amp; Assumptions'!$L$32,'Model Inputs &amp; Assumptions'!$A$40:$A$42,0))</f>
        <v>1079540.83343709</v>
      </c>
      <c r="K2333" s="49" t="n">
        <f aca="false">H2333*INDEX('Model Inputs &amp; Assumptions'!$G$40:$G$42,MATCH('Model Inputs &amp; Assumptions'!$L$32,'Model Inputs &amp; Assumptions'!$A$40:$A$42,0))*INDEX('Model Inputs &amp; Assumptions'!$H$40:$H$42,MATCH('Model Inputs &amp; Assumptions'!$L$32,'Model Inputs &amp; Assumptions'!$A$40:$A$42,0))</f>
        <v>22670.3575021788</v>
      </c>
      <c r="L2333" s="51" t="n">
        <f aca="false">IFERROR(K2333/I2333,0)</f>
        <v>1.34493874972495</v>
      </c>
      <c r="M2333" s="49" t="n">
        <f aca="false">IFERROR(I2333/H2333,0)</f>
        <v>84.3161073492684</v>
      </c>
      <c r="N2333" s="52" t="str">
        <f aca="false">'Model Inputs &amp; Assumptions'!$L$32</f>
        <v>PRD-SP01</v>
      </c>
      <c r="P2333" s="53" t="n">
        <v>0.674938</v>
      </c>
      <c r="Q2333" s="53" t="n">
        <v>0.289558</v>
      </c>
      <c r="R2333" s="53" t="n">
        <v>-0.562136</v>
      </c>
      <c r="S2333" s="53" t="n">
        <v>0.540756</v>
      </c>
    </row>
    <row r="2334" customFormat="false" ht="15" hidden="false" customHeight="false" outlineLevel="0" collapsed="false">
      <c r="A2334" s="43" t="n">
        <v>331</v>
      </c>
      <c r="B2334" s="44" t="str">
        <f aca="false">'Model Inputs &amp; Assumptions'!$B$32</f>
        <v>Trade Republic — In-App Display</v>
      </c>
      <c r="C2334" s="45" t="n">
        <f aca="false">ROUND(MAX(0,'Model Inputs &amp; Assumptions'!$S$32*EXP('Model Inputs &amp; Assumptions'!$T$32*P2334-'Model Inputs &amp; Assumptions'!$T$32^2/2)),0)</f>
        <v>1980539</v>
      </c>
      <c r="D2334" s="46" t="n">
        <f aca="false">MIN(1,'Model Inputs &amp; Assumptions'!$U$32*EXP('Model Inputs &amp; Assumptions'!$V$32*Q2334-'Model Inputs &amp; Assumptions'!$V$32^2/2))</f>
        <v>0</v>
      </c>
      <c r="E2334" s="45" t="n">
        <f aca="false">ROUND(C2334*D2334,0)</f>
        <v>0</v>
      </c>
      <c r="F2334" s="47" t="n">
        <f aca="false">MIN(1,'Model Inputs &amp; Assumptions'!$W$32*EXP('Model Inputs &amp; Assumptions'!$X$32*R2334-'Model Inputs &amp; Assumptions'!$X$32^2/2))</f>
        <v>0.00344198544280091</v>
      </c>
      <c r="G2334" s="45" t="n">
        <f aca="false">ROUND(C2334*F2334,0)</f>
        <v>6817</v>
      </c>
      <c r="H2334" s="48" t="n">
        <f aca="false">MAX(0,(C2334*'Model Inputs &amp; Assumptions'!$N$32+E2334*'Model Inputs &amp; Assumptions'!$O$32+G2334*'Model Inputs &amp; Assumptions'!$P$32)*EXP('Model Inputs &amp; Assumptions'!$Q$32*S2334-'Model Inputs &amp; Assumptions'!$Q$32^2/2))</f>
        <v>227.087367468618</v>
      </c>
      <c r="I2334" s="49" t="n">
        <f aca="false">IF('Model Inputs &amp; Assumptions'!$H$32="Fixed",'Model Inputs &amp; Assumptions'!$I$32*'Model Inputs &amp; Assumptions'!$K$32,IF('Model Inputs &amp; Assumptions'!$H$32="CPM",'Model Inputs &amp; Assumptions'!$I$32*'Model Inputs &amp; Assumptions'!$K$32*C2334/1000,IF('Model Inputs &amp; Assumptions'!$H$32="CPC",'Model Inputs &amp; Assumptions'!$I$32*'Model Inputs &amp; Assumptions'!$K$32*G2334,0)))</f>
        <v>23766.468</v>
      </c>
      <c r="J2334" s="50" t="n">
        <f aca="false">H2334*INDEX('Model Inputs &amp; Assumptions'!$D$40:$D$42,MATCH('Model Inputs &amp; Assumptions'!$L$32,'Model Inputs &amp; Assumptions'!$A$40:$A$42,0))*INDEX('Model Inputs &amp; Assumptions'!$H$40:$H$42,MATCH('Model Inputs &amp; Assumptions'!$L$32,'Model Inputs &amp; Assumptions'!$A$40:$A$42,0))</f>
        <v>1226271.78433054</v>
      </c>
      <c r="K2334" s="49" t="n">
        <f aca="false">H2334*INDEX('Model Inputs &amp; Assumptions'!$G$40:$G$42,MATCH('Model Inputs &amp; Assumptions'!$L$32,'Model Inputs &amp; Assumptions'!$A$40:$A$42,0))*INDEX('Model Inputs &amp; Assumptions'!$H$40:$H$42,MATCH('Model Inputs &amp; Assumptions'!$L$32,'Model Inputs &amp; Assumptions'!$A$40:$A$42,0))</f>
        <v>25751.7074709413</v>
      </c>
      <c r="L2334" s="51" t="n">
        <f aca="false">IFERROR(K2334/I2334,0)</f>
        <v>1.0835311107625</v>
      </c>
      <c r="M2334" s="49" t="n">
        <f aca="false">IFERROR(I2334/H2334,0)</f>
        <v>104.657816350284</v>
      </c>
      <c r="N2334" s="52" t="str">
        <f aca="false">'Model Inputs &amp; Assumptions'!$L$32</f>
        <v>PRD-SP01</v>
      </c>
      <c r="P2334" s="53" t="n">
        <v>1.820158</v>
      </c>
      <c r="Q2334" s="53" t="n">
        <v>-0.20788</v>
      </c>
      <c r="R2334" s="53" t="n">
        <v>0.094285</v>
      </c>
      <c r="S2334" s="53" t="n">
        <v>-0.934097</v>
      </c>
    </row>
    <row r="2335" customFormat="false" ht="15" hidden="false" customHeight="false" outlineLevel="0" collapsed="false">
      <c r="A2335" s="43" t="n">
        <v>332</v>
      </c>
      <c r="B2335" s="44" t="str">
        <f aca="false">'Model Inputs &amp; Assumptions'!$B$32</f>
        <v>Trade Republic — In-App Display</v>
      </c>
      <c r="C2335" s="45" t="n">
        <f aca="false">ROUND(MAX(0,'Model Inputs &amp; Assumptions'!$S$32*EXP('Model Inputs &amp; Assumptions'!$T$32*P2335-'Model Inputs &amp; Assumptions'!$T$32^2/2)),0)</f>
        <v>1039366</v>
      </c>
      <c r="D2335" s="46" t="n">
        <f aca="false">MIN(1,'Model Inputs &amp; Assumptions'!$U$32*EXP('Model Inputs &amp; Assumptions'!$V$32*Q2335-'Model Inputs &amp; Assumptions'!$V$32^2/2))</f>
        <v>0</v>
      </c>
      <c r="E2335" s="45" t="n">
        <f aca="false">ROUND(C2335*D2335,0)</f>
        <v>0</v>
      </c>
      <c r="F2335" s="47" t="n">
        <f aca="false">MIN(1,'Model Inputs &amp; Assumptions'!$W$32*EXP('Model Inputs &amp; Assumptions'!$X$32*R2335-'Model Inputs &amp; Assumptions'!$X$32^2/2))</f>
        <v>0.00496294477149769</v>
      </c>
      <c r="G2335" s="45" t="n">
        <f aca="false">ROUND(C2335*F2335,0)</f>
        <v>5158</v>
      </c>
      <c r="H2335" s="48" t="n">
        <f aca="false">MAX(0,(C2335*'Model Inputs &amp; Assumptions'!$N$32+E2335*'Model Inputs &amp; Assumptions'!$O$32+G2335*'Model Inputs &amp; Assumptions'!$P$32)*EXP('Model Inputs &amp; Assumptions'!$Q$32*S2335-'Model Inputs &amp; Assumptions'!$Q$32^2/2))</f>
        <v>190.82408013888</v>
      </c>
      <c r="I2335" s="49" t="n">
        <f aca="false">IF('Model Inputs &amp; Assumptions'!$H$32="Fixed",'Model Inputs &amp; Assumptions'!$I$32*'Model Inputs &amp; Assumptions'!$K$32,IF('Model Inputs &amp; Assumptions'!$H$32="CPM",'Model Inputs &amp; Assumptions'!$I$32*'Model Inputs &amp; Assumptions'!$K$32*C2335/1000,IF('Model Inputs &amp; Assumptions'!$H$32="CPC",'Model Inputs &amp; Assumptions'!$I$32*'Model Inputs &amp; Assumptions'!$K$32*G2335,0)))</f>
        <v>12472.392</v>
      </c>
      <c r="J2335" s="50" t="n">
        <f aca="false">H2335*INDEX('Model Inputs &amp; Assumptions'!$D$40:$D$42,MATCH('Model Inputs &amp; Assumptions'!$L$32,'Model Inputs &amp; Assumptions'!$A$40:$A$42,0))*INDEX('Model Inputs &amp; Assumptions'!$H$40:$H$42,MATCH('Model Inputs &amp; Assumptions'!$L$32,'Model Inputs &amp; Assumptions'!$A$40:$A$42,0))</f>
        <v>1030450.03274995</v>
      </c>
      <c r="K2335" s="49" t="n">
        <f aca="false">H2335*INDEX('Model Inputs &amp; Assumptions'!$G$40:$G$42,MATCH('Model Inputs &amp; Assumptions'!$L$32,'Model Inputs &amp; Assumptions'!$A$40:$A$42,0))*INDEX('Model Inputs &amp; Assumptions'!$H$40:$H$42,MATCH('Model Inputs &amp; Assumptions'!$L$32,'Model Inputs &amp; Assumptions'!$A$40:$A$42,0))</f>
        <v>21639.450687749</v>
      </c>
      <c r="L2335" s="51" t="n">
        <f aca="false">IFERROR(K2335/I2335,0)</f>
        <v>1.73498801895811</v>
      </c>
      <c r="M2335" s="49" t="n">
        <f aca="false">IFERROR(I2335/H2335,0)</f>
        <v>65.3606818957162</v>
      </c>
      <c r="N2335" s="52" t="str">
        <f aca="false">'Model Inputs &amp; Assumptions'!$L$32</f>
        <v>PRD-SP01</v>
      </c>
      <c r="P2335" s="53" t="n">
        <v>-0.329035</v>
      </c>
      <c r="Q2335" s="53" t="n">
        <v>1.469985</v>
      </c>
      <c r="R2335" s="53" t="n">
        <v>1.314121</v>
      </c>
      <c r="S2335" s="53" t="n">
        <v>-0.559498</v>
      </c>
    </row>
    <row r="2336" customFormat="false" ht="15" hidden="false" customHeight="false" outlineLevel="0" collapsed="false">
      <c r="A2336" s="43" t="n">
        <v>333</v>
      </c>
      <c r="B2336" s="44" t="str">
        <f aca="false">'Model Inputs &amp; Assumptions'!$B$32</f>
        <v>Trade Republic — In-App Display</v>
      </c>
      <c r="C2336" s="45" t="n">
        <f aca="false">ROUND(MAX(0,'Model Inputs &amp; Assumptions'!$S$32*EXP('Model Inputs &amp; Assumptions'!$T$32*P2336-'Model Inputs &amp; Assumptions'!$T$32^2/2)),0)</f>
        <v>811992</v>
      </c>
      <c r="D2336" s="46" t="n">
        <f aca="false">MIN(1,'Model Inputs &amp; Assumptions'!$U$32*EXP('Model Inputs &amp; Assumptions'!$V$32*Q2336-'Model Inputs &amp; Assumptions'!$V$32^2/2))</f>
        <v>0</v>
      </c>
      <c r="E2336" s="45" t="n">
        <f aca="false">ROUND(C2336*D2336,0)</f>
        <v>0</v>
      </c>
      <c r="F2336" s="47" t="n">
        <f aca="false">MIN(1,'Model Inputs &amp; Assumptions'!$W$32*EXP('Model Inputs &amp; Assumptions'!$X$32*R2336-'Model Inputs &amp; Assumptions'!$X$32^2/2))</f>
        <v>0.00304146214486506</v>
      </c>
      <c r="G2336" s="45" t="n">
        <f aca="false">ROUND(C2336*F2336,0)</f>
        <v>2470</v>
      </c>
      <c r="H2336" s="48" t="n">
        <f aca="false">MAX(0,(C2336*'Model Inputs &amp; Assumptions'!$N$32+E2336*'Model Inputs &amp; Assumptions'!$O$32+G2336*'Model Inputs &amp; Assumptions'!$P$32)*EXP('Model Inputs &amp; Assumptions'!$Q$32*S2336-'Model Inputs &amp; Assumptions'!$Q$32^2/2))</f>
        <v>102.981491757686</v>
      </c>
      <c r="I2336" s="49" t="n">
        <f aca="false">IF('Model Inputs &amp; Assumptions'!$H$32="Fixed",'Model Inputs &amp; Assumptions'!$I$32*'Model Inputs &amp; Assumptions'!$K$32,IF('Model Inputs &amp; Assumptions'!$H$32="CPM",'Model Inputs &amp; Assumptions'!$I$32*'Model Inputs &amp; Assumptions'!$K$32*C2336/1000,IF('Model Inputs &amp; Assumptions'!$H$32="CPC",'Model Inputs &amp; Assumptions'!$I$32*'Model Inputs &amp; Assumptions'!$K$32*G2336,0)))</f>
        <v>9743.904</v>
      </c>
      <c r="J2336" s="50" t="n">
        <f aca="false">H2336*INDEX('Model Inputs &amp; Assumptions'!$D$40:$D$42,MATCH('Model Inputs &amp; Assumptions'!$L$32,'Model Inputs &amp; Assumptions'!$A$40:$A$42,0))*INDEX('Model Inputs &amp; Assumptions'!$H$40:$H$42,MATCH('Model Inputs &amp; Assumptions'!$L$32,'Model Inputs &amp; Assumptions'!$A$40:$A$42,0))</f>
        <v>556100.055491507</v>
      </c>
      <c r="K2336" s="49" t="n">
        <f aca="false">H2336*INDEX('Model Inputs &amp; Assumptions'!$G$40:$G$42,MATCH('Model Inputs &amp; Assumptions'!$L$32,'Model Inputs &amp; Assumptions'!$A$40:$A$42,0))*INDEX('Model Inputs &amp; Assumptions'!$H$40:$H$42,MATCH('Model Inputs &amp; Assumptions'!$L$32,'Model Inputs &amp; Assumptions'!$A$40:$A$42,0))</f>
        <v>11678.1011653216</v>
      </c>
      <c r="L2336" s="51" t="n">
        <f aca="false">IFERROR(K2336/I2336,0)</f>
        <v>1.19850330681846</v>
      </c>
      <c r="M2336" s="49" t="n">
        <f aca="false">IFERROR(I2336/H2336,0)</f>
        <v>94.6180117775651</v>
      </c>
      <c r="N2336" s="52" t="str">
        <f aca="false">'Model Inputs &amp; Assumptions'!$L$32</f>
        <v>PRD-SP01</v>
      </c>
      <c r="P2336" s="53" t="n">
        <v>-1.151953</v>
      </c>
      <c r="Q2336" s="53" t="n">
        <v>-1.043784</v>
      </c>
      <c r="R2336" s="53" t="n">
        <v>-0.318082</v>
      </c>
      <c r="S2336" s="53" t="n">
        <v>-0.132612</v>
      </c>
    </row>
    <row r="2337" customFormat="false" ht="15" hidden="false" customHeight="false" outlineLevel="0" collapsed="false">
      <c r="A2337" s="43" t="n">
        <v>334</v>
      </c>
      <c r="B2337" s="44" t="str">
        <f aca="false">'Model Inputs &amp; Assumptions'!$B$32</f>
        <v>Trade Republic — In-App Display</v>
      </c>
      <c r="C2337" s="45" t="n">
        <f aca="false">ROUND(MAX(0,'Model Inputs &amp; Assumptions'!$S$32*EXP('Model Inputs &amp; Assumptions'!$T$32*P2337-'Model Inputs &amp; Assumptions'!$T$32^2/2)),0)</f>
        <v>809686</v>
      </c>
      <c r="D2337" s="46" t="n">
        <f aca="false">MIN(1,'Model Inputs &amp; Assumptions'!$U$32*EXP('Model Inputs &amp; Assumptions'!$V$32*Q2337-'Model Inputs &amp; Assumptions'!$V$32^2/2))</f>
        <v>0</v>
      </c>
      <c r="E2337" s="45" t="n">
        <f aca="false">ROUND(C2337*D2337,0)</f>
        <v>0</v>
      </c>
      <c r="F2337" s="47" t="n">
        <f aca="false">MIN(1,'Model Inputs &amp; Assumptions'!$W$32*EXP('Model Inputs &amp; Assumptions'!$X$32*R2337-'Model Inputs &amp; Assumptions'!$X$32^2/2))</f>
        <v>0.0047668550485677</v>
      </c>
      <c r="G2337" s="45" t="n">
        <f aca="false">ROUND(C2337*F2337,0)</f>
        <v>3860</v>
      </c>
      <c r="H2337" s="48" t="n">
        <f aca="false">MAX(0,(C2337*'Model Inputs &amp; Assumptions'!$N$32+E2337*'Model Inputs &amp; Assumptions'!$O$32+G2337*'Model Inputs &amp; Assumptions'!$P$32)*EXP('Model Inputs &amp; Assumptions'!$Q$32*S2337-'Model Inputs &amp; Assumptions'!$Q$32^2/2))</f>
        <v>142.078078239371</v>
      </c>
      <c r="I2337" s="49" t="n">
        <f aca="false">IF('Model Inputs &amp; Assumptions'!$H$32="Fixed",'Model Inputs &amp; Assumptions'!$I$32*'Model Inputs &amp; Assumptions'!$K$32,IF('Model Inputs &amp; Assumptions'!$H$32="CPM",'Model Inputs &amp; Assumptions'!$I$32*'Model Inputs &amp; Assumptions'!$K$32*C2337/1000,IF('Model Inputs &amp; Assumptions'!$H$32="CPC",'Model Inputs &amp; Assumptions'!$I$32*'Model Inputs &amp; Assumptions'!$K$32*G2337,0)))</f>
        <v>9716.232</v>
      </c>
      <c r="J2337" s="50" t="n">
        <f aca="false">H2337*INDEX('Model Inputs &amp; Assumptions'!$D$40:$D$42,MATCH('Model Inputs &amp; Assumptions'!$L$32,'Model Inputs &amp; Assumptions'!$A$40:$A$42,0))*INDEX('Model Inputs &amp; Assumptions'!$H$40:$H$42,MATCH('Model Inputs &amp; Assumptions'!$L$32,'Model Inputs &amp; Assumptions'!$A$40:$A$42,0))</f>
        <v>767221.622492606</v>
      </c>
      <c r="K2337" s="49" t="n">
        <f aca="false">H2337*INDEX('Model Inputs &amp; Assumptions'!$G$40:$G$42,MATCH('Model Inputs &amp; Assumptions'!$L$32,'Model Inputs &amp; Assumptions'!$A$40:$A$42,0))*INDEX('Model Inputs &amp; Assumptions'!$H$40:$H$42,MATCH('Model Inputs &amp; Assumptions'!$L$32,'Model Inputs &amp; Assumptions'!$A$40:$A$42,0))</f>
        <v>16111.6540723447</v>
      </c>
      <c r="L2337" s="51" t="n">
        <f aca="false">IFERROR(K2337/I2337,0)</f>
        <v>1.6582203957609</v>
      </c>
      <c r="M2337" s="49" t="n">
        <f aca="false">IFERROR(I2337/H2337,0)</f>
        <v>68.386566882121</v>
      </c>
      <c r="N2337" s="52" t="str">
        <f aca="false">'Model Inputs &amp; Assumptions'!$L$32</f>
        <v>PRD-SP01</v>
      </c>
      <c r="P2337" s="53" t="n">
        <v>-1.161436</v>
      </c>
      <c r="Q2337" s="53" t="n">
        <v>-0.346987</v>
      </c>
      <c r="R2337" s="53" t="n">
        <v>1.179746</v>
      </c>
      <c r="S2337" s="53" t="n">
        <v>-0.577689</v>
      </c>
    </row>
    <row r="2338" customFormat="false" ht="15" hidden="false" customHeight="false" outlineLevel="0" collapsed="false">
      <c r="A2338" s="43" t="n">
        <v>335</v>
      </c>
      <c r="B2338" s="44" t="str">
        <f aca="false">'Model Inputs &amp; Assumptions'!$B$32</f>
        <v>Trade Republic — In-App Display</v>
      </c>
      <c r="C2338" s="45" t="n">
        <f aca="false">ROUND(MAX(0,'Model Inputs &amp; Assumptions'!$S$32*EXP('Model Inputs &amp; Assumptions'!$T$32*P2338-'Model Inputs &amp; Assumptions'!$T$32^2/2)),0)</f>
        <v>1047646</v>
      </c>
      <c r="D2338" s="46" t="n">
        <f aca="false">MIN(1,'Model Inputs &amp; Assumptions'!$U$32*EXP('Model Inputs &amp; Assumptions'!$V$32*Q2338-'Model Inputs &amp; Assumptions'!$V$32^2/2))</f>
        <v>0</v>
      </c>
      <c r="E2338" s="45" t="n">
        <f aca="false">ROUND(C2338*D2338,0)</f>
        <v>0</v>
      </c>
      <c r="F2338" s="47" t="n">
        <f aca="false">MIN(1,'Model Inputs &amp; Assumptions'!$W$32*EXP('Model Inputs &amp; Assumptions'!$X$32*R2338-'Model Inputs &amp; Assumptions'!$X$32^2/2))</f>
        <v>0.00255060546564759</v>
      </c>
      <c r="G2338" s="45" t="n">
        <f aca="false">ROUND(C2338*F2338,0)</f>
        <v>2672</v>
      </c>
      <c r="H2338" s="48" t="n">
        <f aca="false">MAX(0,(C2338*'Model Inputs &amp; Assumptions'!$N$32+E2338*'Model Inputs &amp; Assumptions'!$O$32+G2338*'Model Inputs &amp; Assumptions'!$P$32)*EXP('Model Inputs &amp; Assumptions'!$Q$32*S2338-'Model Inputs &amp; Assumptions'!$Q$32^2/2))</f>
        <v>126.044853711808</v>
      </c>
      <c r="I2338" s="49" t="n">
        <f aca="false">IF('Model Inputs &amp; Assumptions'!$H$32="Fixed",'Model Inputs &amp; Assumptions'!$I$32*'Model Inputs &amp; Assumptions'!$K$32,IF('Model Inputs &amp; Assumptions'!$H$32="CPM",'Model Inputs &amp; Assumptions'!$I$32*'Model Inputs &amp; Assumptions'!$K$32*C2338/1000,IF('Model Inputs &amp; Assumptions'!$H$32="CPC",'Model Inputs &amp; Assumptions'!$I$32*'Model Inputs &amp; Assumptions'!$K$32*G2338,0)))</f>
        <v>12571.752</v>
      </c>
      <c r="J2338" s="50" t="n">
        <f aca="false">H2338*INDEX('Model Inputs &amp; Assumptions'!$D$40:$D$42,MATCH('Model Inputs &amp; Assumptions'!$L$32,'Model Inputs &amp; Assumptions'!$A$40:$A$42,0))*INDEX('Model Inputs &amp; Assumptions'!$H$40:$H$42,MATCH('Model Inputs &amp; Assumptions'!$L$32,'Model Inputs &amp; Assumptions'!$A$40:$A$42,0))</f>
        <v>680642.210043761</v>
      </c>
      <c r="K2338" s="49" t="n">
        <f aca="false">H2338*INDEX('Model Inputs &amp; Assumptions'!$G$40:$G$42,MATCH('Model Inputs &amp; Assumptions'!$L$32,'Model Inputs &amp; Assumptions'!$A$40:$A$42,0))*INDEX('Model Inputs &amp; Assumptions'!$H$40:$H$42,MATCH('Model Inputs &amp; Assumptions'!$L$32,'Model Inputs &amp; Assumptions'!$A$40:$A$42,0))</f>
        <v>14293.486410919</v>
      </c>
      <c r="L2338" s="51" t="n">
        <f aca="false">IFERROR(K2338/I2338,0)</f>
        <v>1.13695262290562</v>
      </c>
      <c r="M2338" s="49" t="n">
        <f aca="false">IFERROR(I2338/H2338,0)</f>
        <v>99.7403037869709</v>
      </c>
      <c r="N2338" s="52" t="str">
        <f aca="false">'Model Inputs &amp; Assumptions'!$L$32</f>
        <v>PRD-SP01</v>
      </c>
      <c r="P2338" s="53" t="n">
        <v>-0.302587</v>
      </c>
      <c r="Q2338" s="53" t="n">
        <v>-1.061326</v>
      </c>
      <c r="R2338" s="53" t="n">
        <v>-0.904774</v>
      </c>
      <c r="S2338" s="53" t="n">
        <v>0.308386</v>
      </c>
    </row>
    <row r="2339" customFormat="false" ht="15" hidden="false" customHeight="false" outlineLevel="0" collapsed="false">
      <c r="A2339" s="43" t="n">
        <v>336</v>
      </c>
      <c r="B2339" s="44" t="str">
        <f aca="false">'Model Inputs &amp; Assumptions'!$B$32</f>
        <v>Trade Republic — In-App Display</v>
      </c>
      <c r="C2339" s="45" t="n">
        <f aca="false">ROUND(MAX(0,'Model Inputs &amp; Assumptions'!$S$32*EXP('Model Inputs &amp; Assumptions'!$T$32*P2339-'Model Inputs &amp; Assumptions'!$T$32^2/2)),0)</f>
        <v>1025469</v>
      </c>
      <c r="D2339" s="46" t="n">
        <f aca="false">MIN(1,'Model Inputs &amp; Assumptions'!$U$32*EXP('Model Inputs &amp; Assumptions'!$V$32*Q2339-'Model Inputs &amp; Assumptions'!$V$32^2/2))</f>
        <v>0</v>
      </c>
      <c r="E2339" s="45" t="n">
        <f aca="false">ROUND(C2339*D2339,0)</f>
        <v>0</v>
      </c>
      <c r="F2339" s="47" t="n">
        <f aca="false">MIN(1,'Model Inputs &amp; Assumptions'!$W$32*EXP('Model Inputs &amp; Assumptions'!$X$32*R2339-'Model Inputs &amp; Assumptions'!$X$32^2/2))</f>
        <v>0.00302343852611013</v>
      </c>
      <c r="G2339" s="45" t="n">
        <f aca="false">ROUND(C2339*F2339,0)</f>
        <v>3100</v>
      </c>
      <c r="H2339" s="48" t="n">
        <f aca="false">MAX(0,(C2339*'Model Inputs &amp; Assumptions'!$N$32+E2339*'Model Inputs &amp; Assumptions'!$O$32+G2339*'Model Inputs &amp; Assumptions'!$P$32)*EXP('Model Inputs &amp; Assumptions'!$Q$32*S2339-'Model Inputs &amp; Assumptions'!$Q$32^2/2))</f>
        <v>146.757006386934</v>
      </c>
      <c r="I2339" s="49" t="n">
        <f aca="false">IF('Model Inputs &amp; Assumptions'!$H$32="Fixed",'Model Inputs &amp; Assumptions'!$I$32*'Model Inputs &amp; Assumptions'!$K$32,IF('Model Inputs &amp; Assumptions'!$H$32="CPM",'Model Inputs &amp; Assumptions'!$I$32*'Model Inputs &amp; Assumptions'!$K$32*C2339/1000,IF('Model Inputs &amp; Assumptions'!$H$32="CPC",'Model Inputs &amp; Assumptions'!$I$32*'Model Inputs &amp; Assumptions'!$K$32*G2339,0)))</f>
        <v>12305.628</v>
      </c>
      <c r="J2339" s="50" t="n">
        <f aca="false">H2339*INDEX('Model Inputs &amp; Assumptions'!$D$40:$D$42,MATCH('Model Inputs &amp; Assumptions'!$L$32,'Model Inputs &amp; Assumptions'!$A$40:$A$42,0))*INDEX('Model Inputs &amp; Assumptions'!$H$40:$H$42,MATCH('Model Inputs &amp; Assumptions'!$L$32,'Model Inputs &amp; Assumptions'!$A$40:$A$42,0))</f>
        <v>792487.834489445</v>
      </c>
      <c r="K2339" s="49" t="n">
        <f aca="false">H2339*INDEX('Model Inputs &amp; Assumptions'!$G$40:$G$42,MATCH('Model Inputs &amp; Assumptions'!$L$32,'Model Inputs &amp; Assumptions'!$A$40:$A$42,0))*INDEX('Model Inputs &amp; Assumptions'!$H$40:$H$42,MATCH('Model Inputs &amp; Assumptions'!$L$32,'Model Inputs &amp; Assumptions'!$A$40:$A$42,0))</f>
        <v>16642.2445242783</v>
      </c>
      <c r="L2339" s="51" t="n">
        <f aca="false">IFERROR(K2339/I2339,0)</f>
        <v>1.35240920043076</v>
      </c>
      <c r="M2339" s="49" t="n">
        <f aca="false">IFERROR(I2339/H2339,0)</f>
        <v>83.8503612396905</v>
      </c>
      <c r="N2339" s="52" t="str">
        <f aca="false">'Model Inputs &amp; Assumptions'!$L$32</f>
        <v>PRD-SP01</v>
      </c>
      <c r="P2339" s="53" t="n">
        <v>-0.373906</v>
      </c>
      <c r="Q2339" s="53" t="n">
        <v>0.039762</v>
      </c>
      <c r="R2339" s="53" t="n">
        <v>-0.337894</v>
      </c>
      <c r="S2339" s="53" t="n">
        <v>0.32112</v>
      </c>
    </row>
    <row r="2340" customFormat="false" ht="15" hidden="false" customHeight="false" outlineLevel="0" collapsed="false">
      <c r="A2340" s="43" t="n">
        <v>337</v>
      </c>
      <c r="B2340" s="44" t="str">
        <f aca="false">'Model Inputs &amp; Assumptions'!$B$32</f>
        <v>Trade Republic — In-App Display</v>
      </c>
      <c r="C2340" s="45" t="n">
        <f aca="false">ROUND(MAX(0,'Model Inputs &amp; Assumptions'!$S$32*EXP('Model Inputs &amp; Assumptions'!$T$32*P2340-'Model Inputs &amp; Assumptions'!$T$32^2/2)),0)</f>
        <v>1349859</v>
      </c>
      <c r="D2340" s="46" t="n">
        <f aca="false">MIN(1,'Model Inputs &amp; Assumptions'!$U$32*EXP('Model Inputs &amp; Assumptions'!$V$32*Q2340-'Model Inputs &amp; Assumptions'!$V$32^2/2))</f>
        <v>0</v>
      </c>
      <c r="E2340" s="45" t="n">
        <f aca="false">ROUND(C2340*D2340,0)</f>
        <v>0</v>
      </c>
      <c r="F2340" s="47" t="n">
        <f aca="false">MIN(1,'Model Inputs &amp; Assumptions'!$W$32*EXP('Model Inputs &amp; Assumptions'!$X$32*R2340-'Model Inputs &amp; Assumptions'!$X$32^2/2))</f>
        <v>0.00359380837351039</v>
      </c>
      <c r="G2340" s="45" t="n">
        <f aca="false">ROUND(C2340*F2340,0)</f>
        <v>4851</v>
      </c>
      <c r="H2340" s="48" t="n">
        <f aca="false">MAX(0,(C2340*'Model Inputs &amp; Assumptions'!$N$32+E2340*'Model Inputs &amp; Assumptions'!$O$32+G2340*'Model Inputs &amp; Assumptions'!$P$32)*EXP('Model Inputs &amp; Assumptions'!$Q$32*S2340-'Model Inputs &amp; Assumptions'!$Q$32^2/2))</f>
        <v>185.873861380279</v>
      </c>
      <c r="I2340" s="49" t="n">
        <f aca="false">IF('Model Inputs &amp; Assumptions'!$H$32="Fixed",'Model Inputs &amp; Assumptions'!$I$32*'Model Inputs &amp; Assumptions'!$K$32,IF('Model Inputs &amp; Assumptions'!$H$32="CPM",'Model Inputs &amp; Assumptions'!$I$32*'Model Inputs &amp; Assumptions'!$K$32*C2340/1000,IF('Model Inputs &amp; Assumptions'!$H$32="CPC",'Model Inputs &amp; Assumptions'!$I$32*'Model Inputs &amp; Assumptions'!$K$32*G2340,0)))</f>
        <v>16198.308</v>
      </c>
      <c r="J2340" s="50" t="n">
        <f aca="false">H2340*INDEX('Model Inputs &amp; Assumptions'!$D$40:$D$42,MATCH('Model Inputs &amp; Assumptions'!$L$32,'Model Inputs &amp; Assumptions'!$A$40:$A$42,0))*INDEX('Model Inputs &amp; Assumptions'!$H$40:$H$42,MATCH('Model Inputs &amp; Assumptions'!$L$32,'Model Inputs &amp; Assumptions'!$A$40:$A$42,0))</f>
        <v>1003718.85145351</v>
      </c>
      <c r="K2340" s="49" t="n">
        <f aca="false">H2340*INDEX('Model Inputs &amp; Assumptions'!$G$40:$G$42,MATCH('Model Inputs &amp; Assumptions'!$L$32,'Model Inputs &amp; Assumptions'!$A$40:$A$42,0))*INDEX('Model Inputs &amp; Assumptions'!$H$40:$H$42,MATCH('Model Inputs &amp; Assumptions'!$L$32,'Model Inputs &amp; Assumptions'!$A$40:$A$42,0))</f>
        <v>21078.0958805236</v>
      </c>
      <c r="L2340" s="51" t="n">
        <f aca="false">IFERROR(K2340/I2340,0)</f>
        <v>1.30125293830217</v>
      </c>
      <c r="M2340" s="49" t="n">
        <f aca="false">IFERROR(I2340/H2340,0)</f>
        <v>87.1467772806416</v>
      </c>
      <c r="N2340" s="52" t="str">
        <f aca="false">'Model Inputs &amp; Assumptions'!$L$32</f>
        <v>PRD-SP01</v>
      </c>
      <c r="P2340" s="53" t="n">
        <v>0.542262</v>
      </c>
      <c r="Q2340" s="53" t="n">
        <v>1.418104</v>
      </c>
      <c r="R2340" s="53" t="n">
        <v>0.238165</v>
      </c>
      <c r="S2340" s="53" t="n">
        <v>-0.434211</v>
      </c>
    </row>
    <row r="2341" customFormat="false" ht="15" hidden="false" customHeight="false" outlineLevel="0" collapsed="false">
      <c r="A2341" s="43" t="n">
        <v>338</v>
      </c>
      <c r="B2341" s="44" t="str">
        <f aca="false">'Model Inputs &amp; Assumptions'!$B$32</f>
        <v>Trade Republic — In-App Display</v>
      </c>
      <c r="C2341" s="45" t="n">
        <f aca="false">ROUND(MAX(0,'Model Inputs &amp; Assumptions'!$S$32*EXP('Model Inputs &amp; Assumptions'!$T$32*P2341-'Model Inputs &amp; Assumptions'!$T$32^2/2)),0)</f>
        <v>870233</v>
      </c>
      <c r="D2341" s="46" t="n">
        <f aca="false">MIN(1,'Model Inputs &amp; Assumptions'!$U$32*EXP('Model Inputs &amp; Assumptions'!$V$32*Q2341-'Model Inputs &amp; Assumptions'!$V$32^2/2))</f>
        <v>0</v>
      </c>
      <c r="E2341" s="45" t="n">
        <f aca="false">ROUND(C2341*D2341,0)</f>
        <v>0</v>
      </c>
      <c r="F2341" s="47" t="n">
        <f aca="false">MIN(1,'Model Inputs &amp; Assumptions'!$W$32*EXP('Model Inputs &amp; Assumptions'!$X$32*R2341-'Model Inputs &amp; Assumptions'!$X$32^2/2))</f>
        <v>0.002802700925521</v>
      </c>
      <c r="G2341" s="45" t="n">
        <f aca="false">ROUND(C2341*F2341,0)</f>
        <v>2439</v>
      </c>
      <c r="H2341" s="48" t="n">
        <f aca="false">MAX(0,(C2341*'Model Inputs &amp; Assumptions'!$N$32+E2341*'Model Inputs &amp; Assumptions'!$O$32+G2341*'Model Inputs &amp; Assumptions'!$P$32)*EXP('Model Inputs &amp; Assumptions'!$Q$32*S2341-'Model Inputs &amp; Assumptions'!$Q$32^2/2))</f>
        <v>110.386187081974</v>
      </c>
      <c r="I2341" s="49" t="n">
        <f aca="false">IF('Model Inputs &amp; Assumptions'!$H$32="Fixed",'Model Inputs &amp; Assumptions'!$I$32*'Model Inputs &amp; Assumptions'!$K$32,IF('Model Inputs &amp; Assumptions'!$H$32="CPM",'Model Inputs &amp; Assumptions'!$I$32*'Model Inputs &amp; Assumptions'!$K$32*C2341/1000,IF('Model Inputs &amp; Assumptions'!$H$32="CPC",'Model Inputs &amp; Assumptions'!$I$32*'Model Inputs &amp; Assumptions'!$K$32*G2341,0)))</f>
        <v>10442.796</v>
      </c>
      <c r="J2341" s="50" t="n">
        <f aca="false">H2341*INDEX('Model Inputs &amp; Assumptions'!$D$40:$D$42,MATCH('Model Inputs &amp; Assumptions'!$L$32,'Model Inputs &amp; Assumptions'!$A$40:$A$42,0))*INDEX('Model Inputs &amp; Assumptions'!$H$40:$H$42,MATCH('Model Inputs &amp; Assumptions'!$L$32,'Model Inputs &amp; Assumptions'!$A$40:$A$42,0))</f>
        <v>596085.410242659</v>
      </c>
      <c r="K2341" s="49" t="n">
        <f aca="false">H2341*INDEX('Model Inputs &amp; Assumptions'!$G$40:$G$42,MATCH('Model Inputs &amp; Assumptions'!$L$32,'Model Inputs &amp; Assumptions'!$A$40:$A$42,0))*INDEX('Model Inputs &amp; Assumptions'!$H$40:$H$42,MATCH('Model Inputs &amp; Assumptions'!$L$32,'Model Inputs &amp; Assumptions'!$A$40:$A$42,0))</f>
        <v>12517.7936150958</v>
      </c>
      <c r="L2341" s="51" t="n">
        <f aca="false">IFERROR(K2341/I2341,0)</f>
        <v>1.19870134541514</v>
      </c>
      <c r="M2341" s="49" t="n">
        <f aca="false">IFERROR(I2341/H2341,0)</f>
        <v>94.6023798452706</v>
      </c>
      <c r="N2341" s="52" t="str">
        <f aca="false">'Model Inputs &amp; Assumptions'!$L$32</f>
        <v>PRD-SP01</v>
      </c>
      <c r="P2341" s="53" t="n">
        <v>-0.921053</v>
      </c>
      <c r="Q2341" s="53" t="n">
        <v>-0.46841</v>
      </c>
      <c r="R2341" s="53" t="n">
        <v>-0.590598</v>
      </c>
      <c r="S2341" s="53" t="n">
        <v>0.16048</v>
      </c>
    </row>
    <row r="2342" customFormat="false" ht="15" hidden="false" customHeight="false" outlineLevel="0" collapsed="false">
      <c r="A2342" s="43" t="n">
        <v>339</v>
      </c>
      <c r="B2342" s="44" t="str">
        <f aca="false">'Model Inputs &amp; Assumptions'!$B$32</f>
        <v>Trade Republic — In-App Display</v>
      </c>
      <c r="C2342" s="45" t="n">
        <f aca="false">ROUND(MAX(0,'Model Inputs &amp; Assumptions'!$S$32*EXP('Model Inputs &amp; Assumptions'!$T$32*P2342-'Model Inputs &amp; Assumptions'!$T$32^2/2)),0)</f>
        <v>1366045</v>
      </c>
      <c r="D2342" s="46" t="n">
        <f aca="false">MIN(1,'Model Inputs &amp; Assumptions'!$U$32*EXP('Model Inputs &amp; Assumptions'!$V$32*Q2342-'Model Inputs &amp; Assumptions'!$V$32^2/2))</f>
        <v>0</v>
      </c>
      <c r="E2342" s="45" t="n">
        <f aca="false">ROUND(C2342*D2342,0)</f>
        <v>0</v>
      </c>
      <c r="F2342" s="47" t="n">
        <f aca="false">MIN(1,'Model Inputs &amp; Assumptions'!$W$32*EXP('Model Inputs &amp; Assumptions'!$X$32*R2342-'Model Inputs &amp; Assumptions'!$X$32^2/2))</f>
        <v>0.0032147537751698</v>
      </c>
      <c r="G2342" s="45" t="n">
        <f aca="false">ROUND(C2342*F2342,0)</f>
        <v>4391</v>
      </c>
      <c r="H2342" s="48" t="n">
        <f aca="false">MAX(0,(C2342*'Model Inputs &amp; Assumptions'!$N$32+E2342*'Model Inputs &amp; Assumptions'!$O$32+G2342*'Model Inputs &amp; Assumptions'!$P$32)*EXP('Model Inputs &amp; Assumptions'!$Q$32*S2342-'Model Inputs &amp; Assumptions'!$Q$32^2/2))</f>
        <v>124.130128824917</v>
      </c>
      <c r="I2342" s="49" t="n">
        <f aca="false">IF('Model Inputs &amp; Assumptions'!$H$32="Fixed",'Model Inputs &amp; Assumptions'!$I$32*'Model Inputs &amp; Assumptions'!$K$32,IF('Model Inputs &amp; Assumptions'!$H$32="CPM",'Model Inputs &amp; Assumptions'!$I$32*'Model Inputs &amp; Assumptions'!$K$32*C2342/1000,IF('Model Inputs &amp; Assumptions'!$H$32="CPC",'Model Inputs &amp; Assumptions'!$I$32*'Model Inputs &amp; Assumptions'!$K$32*G2342,0)))</f>
        <v>16392.54</v>
      </c>
      <c r="J2342" s="50" t="n">
        <f aca="false">H2342*INDEX('Model Inputs &amp; Assumptions'!$D$40:$D$42,MATCH('Model Inputs &amp; Assumptions'!$L$32,'Model Inputs &amp; Assumptions'!$A$40:$A$42,0))*INDEX('Model Inputs &amp; Assumptions'!$H$40:$H$42,MATCH('Model Inputs &amp; Assumptions'!$L$32,'Model Inputs &amp; Assumptions'!$A$40:$A$42,0))</f>
        <v>670302.695654552</v>
      </c>
      <c r="K2342" s="49" t="n">
        <f aca="false">H2342*INDEX('Model Inputs &amp; Assumptions'!$G$40:$G$42,MATCH('Model Inputs &amp; Assumptions'!$L$32,'Model Inputs &amp; Assumptions'!$A$40:$A$42,0))*INDEX('Model Inputs &amp; Assumptions'!$H$40:$H$42,MATCH('Model Inputs &amp; Assumptions'!$L$32,'Model Inputs &amp; Assumptions'!$A$40:$A$42,0))</f>
        <v>14076.3566087456</v>
      </c>
      <c r="L2342" s="51" t="n">
        <f aca="false">IFERROR(K2342/I2342,0)</f>
        <v>0.858705033432622</v>
      </c>
      <c r="M2342" s="49" t="n">
        <f aca="false">IFERROR(I2342/H2342,0)</f>
        <v>132.059316744296</v>
      </c>
      <c r="N2342" s="52" t="str">
        <f aca="false">'Model Inputs &amp; Assumptions'!$L$32</f>
        <v>PRD-SP01</v>
      </c>
      <c r="P2342" s="53" t="n">
        <v>0.581995</v>
      </c>
      <c r="Q2342" s="53" t="n">
        <v>-0.838359</v>
      </c>
      <c r="R2342" s="53" t="n">
        <v>-0.133374</v>
      </c>
      <c r="S2342" s="53" t="n">
        <v>-1.520318</v>
      </c>
    </row>
    <row r="2343" customFormat="false" ht="15" hidden="false" customHeight="false" outlineLevel="0" collapsed="false">
      <c r="A2343" s="43" t="n">
        <v>340</v>
      </c>
      <c r="B2343" s="44" t="str">
        <f aca="false">'Model Inputs &amp; Assumptions'!$B$32</f>
        <v>Trade Republic — In-App Display</v>
      </c>
      <c r="C2343" s="45" t="n">
        <f aca="false">ROUND(MAX(0,'Model Inputs &amp; Assumptions'!$S$32*EXP('Model Inputs &amp; Assumptions'!$T$32*P2343-'Model Inputs &amp; Assumptions'!$T$32^2/2)),0)</f>
        <v>1283660</v>
      </c>
      <c r="D2343" s="46" t="n">
        <f aca="false">MIN(1,'Model Inputs &amp; Assumptions'!$U$32*EXP('Model Inputs &amp; Assumptions'!$V$32*Q2343-'Model Inputs &amp; Assumptions'!$V$32^2/2))</f>
        <v>0</v>
      </c>
      <c r="E2343" s="45" t="n">
        <f aca="false">ROUND(C2343*D2343,0)</f>
        <v>0</v>
      </c>
      <c r="F2343" s="47" t="n">
        <f aca="false">MIN(1,'Model Inputs &amp; Assumptions'!$W$32*EXP('Model Inputs &amp; Assumptions'!$X$32*R2343-'Model Inputs &amp; Assumptions'!$X$32^2/2))</f>
        <v>0.00457294797702226</v>
      </c>
      <c r="G2343" s="45" t="n">
        <f aca="false">ROUND(C2343*F2343,0)</f>
        <v>5870</v>
      </c>
      <c r="H2343" s="48" t="n">
        <f aca="false">MAX(0,(C2343*'Model Inputs &amp; Assumptions'!$N$32+E2343*'Model Inputs &amp; Assumptions'!$O$32+G2343*'Model Inputs &amp; Assumptions'!$P$32)*EXP('Model Inputs &amp; Assumptions'!$Q$32*S2343-'Model Inputs &amp; Assumptions'!$Q$32^2/2))</f>
        <v>185.906571473482</v>
      </c>
      <c r="I2343" s="49" t="n">
        <f aca="false">IF('Model Inputs &amp; Assumptions'!$H$32="Fixed",'Model Inputs &amp; Assumptions'!$I$32*'Model Inputs &amp; Assumptions'!$K$32,IF('Model Inputs &amp; Assumptions'!$H$32="CPM",'Model Inputs &amp; Assumptions'!$I$32*'Model Inputs &amp; Assumptions'!$K$32*C2343/1000,IF('Model Inputs &amp; Assumptions'!$H$32="CPC",'Model Inputs &amp; Assumptions'!$I$32*'Model Inputs &amp; Assumptions'!$K$32*G2343,0)))</f>
        <v>15403.92</v>
      </c>
      <c r="J2343" s="50" t="n">
        <f aca="false">H2343*INDEX('Model Inputs &amp; Assumptions'!$D$40:$D$42,MATCH('Model Inputs &amp; Assumptions'!$L$32,'Model Inputs &amp; Assumptions'!$A$40:$A$42,0))*INDEX('Model Inputs &amp; Assumptions'!$H$40:$H$42,MATCH('Model Inputs &amp; Assumptions'!$L$32,'Model Inputs &amp; Assumptions'!$A$40:$A$42,0))</f>
        <v>1003895.48595681</v>
      </c>
      <c r="K2343" s="49" t="n">
        <f aca="false">H2343*INDEX('Model Inputs &amp; Assumptions'!$G$40:$G$42,MATCH('Model Inputs &amp; Assumptions'!$L$32,'Model Inputs &amp; Assumptions'!$A$40:$A$42,0))*INDEX('Model Inputs &amp; Assumptions'!$H$40:$H$42,MATCH('Model Inputs &amp; Assumptions'!$L$32,'Model Inputs &amp; Assumptions'!$A$40:$A$42,0))</f>
        <v>21081.8052050929</v>
      </c>
      <c r="L2343" s="51" t="n">
        <f aca="false">IFERROR(K2343/I2343,0)</f>
        <v>1.36860001902716</v>
      </c>
      <c r="M2343" s="49" t="n">
        <f aca="false">IFERROR(I2343/H2343,0)</f>
        <v>82.8583942886452</v>
      </c>
      <c r="N2343" s="52" t="str">
        <f aca="false">'Model Inputs &amp; Assumptions'!$L$32</f>
        <v>PRD-SP01</v>
      </c>
      <c r="P2343" s="53" t="n">
        <v>0.374647</v>
      </c>
      <c r="Q2343" s="53" t="n">
        <v>-0.060032</v>
      </c>
      <c r="R2343" s="53" t="n">
        <v>1.041317</v>
      </c>
      <c r="S2343" s="53" t="n">
        <v>-1.114546</v>
      </c>
    </row>
    <row r="2344" customFormat="false" ht="15" hidden="false" customHeight="false" outlineLevel="0" collapsed="false">
      <c r="A2344" s="43" t="n">
        <v>341</v>
      </c>
      <c r="B2344" s="44" t="str">
        <f aca="false">'Model Inputs &amp; Assumptions'!$B$32</f>
        <v>Trade Republic — In-App Display</v>
      </c>
      <c r="C2344" s="45" t="n">
        <f aca="false">ROUND(MAX(0,'Model Inputs &amp; Assumptions'!$S$32*EXP('Model Inputs &amp; Assumptions'!$T$32*P2344-'Model Inputs &amp; Assumptions'!$T$32^2/2)),0)</f>
        <v>967143</v>
      </c>
      <c r="D2344" s="46" t="n">
        <f aca="false">MIN(1,'Model Inputs &amp; Assumptions'!$U$32*EXP('Model Inputs &amp; Assumptions'!$V$32*Q2344-'Model Inputs &amp; Assumptions'!$V$32^2/2))</f>
        <v>0</v>
      </c>
      <c r="E2344" s="45" t="n">
        <f aca="false">ROUND(C2344*D2344,0)</f>
        <v>0</v>
      </c>
      <c r="F2344" s="47" t="n">
        <f aca="false">MIN(1,'Model Inputs &amp; Assumptions'!$W$32*EXP('Model Inputs &amp; Assumptions'!$X$32*R2344-'Model Inputs &amp; Assumptions'!$X$32^2/2))</f>
        <v>0.00500314276759147</v>
      </c>
      <c r="G2344" s="45" t="n">
        <f aca="false">ROUND(C2344*F2344,0)</f>
        <v>4839</v>
      </c>
      <c r="H2344" s="48" t="n">
        <f aca="false">MAX(0,(C2344*'Model Inputs &amp; Assumptions'!$N$32+E2344*'Model Inputs &amp; Assumptions'!$O$32+G2344*'Model Inputs &amp; Assumptions'!$P$32)*EXP('Model Inputs &amp; Assumptions'!$Q$32*S2344-'Model Inputs &amp; Assumptions'!$Q$32^2/2))</f>
        <v>206.57623841965</v>
      </c>
      <c r="I2344" s="49" t="n">
        <f aca="false">IF('Model Inputs &amp; Assumptions'!$H$32="Fixed",'Model Inputs &amp; Assumptions'!$I$32*'Model Inputs &amp; Assumptions'!$K$32,IF('Model Inputs &amp; Assumptions'!$H$32="CPM",'Model Inputs &amp; Assumptions'!$I$32*'Model Inputs &amp; Assumptions'!$K$32*C2344/1000,IF('Model Inputs &amp; Assumptions'!$H$32="CPC",'Model Inputs &amp; Assumptions'!$I$32*'Model Inputs &amp; Assumptions'!$K$32*G2344,0)))</f>
        <v>11605.716</v>
      </c>
      <c r="J2344" s="50" t="n">
        <f aca="false">H2344*INDEX('Model Inputs &amp; Assumptions'!$D$40:$D$42,MATCH('Model Inputs &amp; Assumptions'!$L$32,'Model Inputs &amp; Assumptions'!$A$40:$A$42,0))*INDEX('Model Inputs &amp; Assumptions'!$H$40:$H$42,MATCH('Model Inputs &amp; Assumptions'!$L$32,'Model Inputs &amp; Assumptions'!$A$40:$A$42,0))</f>
        <v>1115511.68746611</v>
      </c>
      <c r="K2344" s="49" t="n">
        <f aca="false">H2344*INDEX('Model Inputs &amp; Assumptions'!$G$40:$G$42,MATCH('Model Inputs &amp; Assumptions'!$L$32,'Model Inputs &amp; Assumptions'!$A$40:$A$42,0))*INDEX('Model Inputs &amp; Assumptions'!$H$40:$H$42,MATCH('Model Inputs &amp; Assumptions'!$L$32,'Model Inputs &amp; Assumptions'!$A$40:$A$42,0))</f>
        <v>23425.7454367883</v>
      </c>
      <c r="L2344" s="51" t="n">
        <f aca="false">IFERROR(K2344/I2344,0)</f>
        <v>2.01846619689714</v>
      </c>
      <c r="M2344" s="49" t="n">
        <f aca="false">IFERROR(I2344/H2344,0)</f>
        <v>56.1812727774795</v>
      </c>
      <c r="N2344" s="52" t="str">
        <f aca="false">'Model Inputs &amp; Assumptions'!$L$32</f>
        <v>PRD-SP01</v>
      </c>
      <c r="P2344" s="53" t="n">
        <v>-0.569101</v>
      </c>
      <c r="Q2344" s="53" t="n">
        <v>-0.757933</v>
      </c>
      <c r="R2344" s="53" t="n">
        <v>1.341011</v>
      </c>
      <c r="S2344" s="53" t="n">
        <v>-0.048218</v>
      </c>
    </row>
    <row r="2345" customFormat="false" ht="15" hidden="false" customHeight="false" outlineLevel="0" collapsed="false">
      <c r="A2345" s="43" t="n">
        <v>342</v>
      </c>
      <c r="B2345" s="44" t="str">
        <f aca="false">'Model Inputs &amp; Assumptions'!$B$32</f>
        <v>Trade Republic — In-App Display</v>
      </c>
      <c r="C2345" s="45" t="n">
        <f aca="false">ROUND(MAX(0,'Model Inputs &amp; Assumptions'!$S$32*EXP('Model Inputs &amp; Assumptions'!$T$32*P2345-'Model Inputs &amp; Assumptions'!$T$32^2/2)),0)</f>
        <v>1137159</v>
      </c>
      <c r="D2345" s="46" t="n">
        <f aca="false">MIN(1,'Model Inputs &amp; Assumptions'!$U$32*EXP('Model Inputs &amp; Assumptions'!$V$32*Q2345-'Model Inputs &amp; Assumptions'!$V$32^2/2))</f>
        <v>0</v>
      </c>
      <c r="E2345" s="45" t="n">
        <f aca="false">ROUND(C2345*D2345,0)</f>
        <v>0</v>
      </c>
      <c r="F2345" s="47" t="n">
        <f aca="false">MIN(1,'Model Inputs &amp; Assumptions'!$W$32*EXP('Model Inputs &amp; Assumptions'!$X$32*R2345-'Model Inputs &amp; Assumptions'!$X$32^2/2))</f>
        <v>0.00255457448700211</v>
      </c>
      <c r="G2345" s="45" t="n">
        <f aca="false">ROUND(C2345*F2345,0)</f>
        <v>2905</v>
      </c>
      <c r="H2345" s="48" t="n">
        <f aca="false">MAX(0,(C2345*'Model Inputs &amp; Assumptions'!$N$32+E2345*'Model Inputs &amp; Assumptions'!$O$32+G2345*'Model Inputs &amp; Assumptions'!$P$32)*EXP('Model Inputs &amp; Assumptions'!$Q$32*S2345-'Model Inputs &amp; Assumptions'!$Q$32^2/2))</f>
        <v>137.339268924874</v>
      </c>
      <c r="I2345" s="49" t="n">
        <f aca="false">IF('Model Inputs &amp; Assumptions'!$H$32="Fixed",'Model Inputs &amp; Assumptions'!$I$32*'Model Inputs &amp; Assumptions'!$K$32,IF('Model Inputs &amp; Assumptions'!$H$32="CPM",'Model Inputs &amp; Assumptions'!$I$32*'Model Inputs &amp; Assumptions'!$K$32*C2345/1000,IF('Model Inputs &amp; Assumptions'!$H$32="CPC",'Model Inputs &amp; Assumptions'!$I$32*'Model Inputs &amp; Assumptions'!$K$32*G2345,0)))</f>
        <v>13645.908</v>
      </c>
      <c r="J2345" s="50" t="n">
        <f aca="false">H2345*INDEX('Model Inputs &amp; Assumptions'!$D$40:$D$42,MATCH('Model Inputs &amp; Assumptions'!$L$32,'Model Inputs &amp; Assumptions'!$A$40:$A$42,0))*INDEX('Model Inputs &amp; Assumptions'!$H$40:$H$42,MATCH('Model Inputs &amp; Assumptions'!$L$32,'Model Inputs &amp; Assumptions'!$A$40:$A$42,0))</f>
        <v>741632.052194317</v>
      </c>
      <c r="K2345" s="49" t="n">
        <f aca="false">H2345*INDEX('Model Inputs &amp; Assumptions'!$G$40:$G$42,MATCH('Model Inputs &amp; Assumptions'!$L$32,'Model Inputs &amp; Assumptions'!$A$40:$A$42,0))*INDEX('Model Inputs &amp; Assumptions'!$H$40:$H$42,MATCH('Model Inputs &amp; Assumptions'!$L$32,'Model Inputs &amp; Assumptions'!$A$40:$A$42,0))</f>
        <v>15574.2730960807</v>
      </c>
      <c r="L2345" s="51" t="n">
        <f aca="false">IFERROR(K2345/I2345,0)</f>
        <v>1.14131453151235</v>
      </c>
      <c r="M2345" s="49" t="n">
        <f aca="false">IFERROR(I2345/H2345,0)</f>
        <v>99.3591134336422</v>
      </c>
      <c r="N2345" s="52" t="str">
        <f aca="false">'Model Inputs &amp; Assumptions'!$L$32</f>
        <v>PRD-SP01</v>
      </c>
      <c r="P2345" s="53" t="n">
        <v>-0.029294</v>
      </c>
      <c r="Q2345" s="53" t="n">
        <v>1.13568</v>
      </c>
      <c r="R2345" s="53" t="n">
        <v>-0.899591</v>
      </c>
      <c r="S2345" s="53" t="n">
        <v>0.31628</v>
      </c>
    </row>
    <row r="2346" customFormat="false" ht="15" hidden="false" customHeight="false" outlineLevel="0" collapsed="false">
      <c r="A2346" s="43" t="n">
        <v>343</v>
      </c>
      <c r="B2346" s="44" t="str">
        <f aca="false">'Model Inputs &amp; Assumptions'!$B$32</f>
        <v>Trade Republic — In-App Display</v>
      </c>
      <c r="C2346" s="45" t="n">
        <f aca="false">ROUND(MAX(0,'Model Inputs &amp; Assumptions'!$S$32*EXP('Model Inputs &amp; Assumptions'!$T$32*P2346-'Model Inputs &amp; Assumptions'!$T$32^2/2)),0)</f>
        <v>2088268</v>
      </c>
      <c r="D2346" s="46" t="n">
        <f aca="false">MIN(1,'Model Inputs &amp; Assumptions'!$U$32*EXP('Model Inputs &amp; Assumptions'!$V$32*Q2346-'Model Inputs &amp; Assumptions'!$V$32^2/2))</f>
        <v>0</v>
      </c>
      <c r="E2346" s="45" t="n">
        <f aca="false">ROUND(C2346*D2346,0)</f>
        <v>0</v>
      </c>
      <c r="F2346" s="47" t="n">
        <f aca="false">MIN(1,'Model Inputs &amp; Assumptions'!$W$32*EXP('Model Inputs &amp; Assumptions'!$X$32*R2346-'Model Inputs &amp; Assumptions'!$X$32^2/2))</f>
        <v>0.00412052659080159</v>
      </c>
      <c r="G2346" s="45" t="n">
        <f aca="false">ROUND(C2346*F2346,0)</f>
        <v>8605</v>
      </c>
      <c r="H2346" s="48" t="n">
        <f aca="false">MAX(0,(C2346*'Model Inputs &amp; Assumptions'!$N$32+E2346*'Model Inputs &amp; Assumptions'!$O$32+G2346*'Model Inputs &amp; Assumptions'!$P$32)*EXP('Model Inputs &amp; Assumptions'!$Q$32*S2346-'Model Inputs &amp; Assumptions'!$Q$32^2/2))</f>
        <v>486.668853459361</v>
      </c>
      <c r="I2346" s="49" t="n">
        <f aca="false">IF('Model Inputs &amp; Assumptions'!$H$32="Fixed",'Model Inputs &amp; Assumptions'!$I$32*'Model Inputs &amp; Assumptions'!$K$32,IF('Model Inputs &amp; Assumptions'!$H$32="CPM",'Model Inputs &amp; Assumptions'!$I$32*'Model Inputs &amp; Assumptions'!$K$32*C2346/1000,IF('Model Inputs &amp; Assumptions'!$H$32="CPC",'Model Inputs &amp; Assumptions'!$I$32*'Model Inputs &amp; Assumptions'!$K$32*G2346,0)))</f>
        <v>25059.216</v>
      </c>
      <c r="J2346" s="50" t="n">
        <f aca="false">H2346*INDEX('Model Inputs &amp; Assumptions'!$D$40:$D$42,MATCH('Model Inputs &amp; Assumptions'!$L$32,'Model Inputs &amp; Assumptions'!$A$40:$A$42,0))*INDEX('Model Inputs &amp; Assumptions'!$H$40:$H$42,MATCH('Model Inputs &amp; Assumptions'!$L$32,'Model Inputs &amp; Assumptions'!$A$40:$A$42,0))</f>
        <v>2628011.80868055</v>
      </c>
      <c r="K2346" s="49" t="n">
        <f aca="false">H2346*INDEX('Model Inputs &amp; Assumptions'!$G$40:$G$42,MATCH('Model Inputs &amp; Assumptions'!$L$32,'Model Inputs &amp; Assumptions'!$A$40:$A$42,0))*INDEX('Model Inputs &amp; Assumptions'!$H$40:$H$42,MATCH('Model Inputs &amp; Assumptions'!$L$32,'Model Inputs &amp; Assumptions'!$A$40:$A$42,0))</f>
        <v>55188.2479822915</v>
      </c>
      <c r="L2346" s="51" t="n">
        <f aca="false">IFERROR(K2346/I2346,0)</f>
        <v>2.20231343160502</v>
      </c>
      <c r="M2346" s="49" t="n">
        <f aca="false">IFERROR(I2346/H2346,0)</f>
        <v>51.4913083544858</v>
      </c>
      <c r="N2346" s="52" t="str">
        <f aca="false">'Model Inputs &amp; Assumptions'!$L$32</f>
        <v>PRD-SP01</v>
      </c>
      <c r="P2346" s="53" t="n">
        <v>1.996712</v>
      </c>
      <c r="Q2346" s="53" t="n">
        <v>0.387392</v>
      </c>
      <c r="R2346" s="53" t="n">
        <v>0.69406</v>
      </c>
      <c r="S2346" s="53" t="n">
        <v>0.95635</v>
      </c>
    </row>
    <row r="2347" customFormat="false" ht="15" hidden="false" customHeight="false" outlineLevel="0" collapsed="false">
      <c r="A2347" s="43" t="n">
        <v>344</v>
      </c>
      <c r="B2347" s="44" t="str">
        <f aca="false">'Model Inputs &amp; Assumptions'!$B$32</f>
        <v>Trade Republic — In-App Display</v>
      </c>
      <c r="C2347" s="45" t="n">
        <f aca="false">ROUND(MAX(0,'Model Inputs &amp; Assumptions'!$S$32*EXP('Model Inputs &amp; Assumptions'!$T$32*P2347-'Model Inputs &amp; Assumptions'!$T$32^2/2)),0)</f>
        <v>659252</v>
      </c>
      <c r="D2347" s="46" t="n">
        <f aca="false">MIN(1,'Model Inputs &amp; Assumptions'!$U$32*EXP('Model Inputs &amp; Assumptions'!$V$32*Q2347-'Model Inputs &amp; Assumptions'!$V$32^2/2))</f>
        <v>0</v>
      </c>
      <c r="E2347" s="45" t="n">
        <f aca="false">ROUND(C2347*D2347,0)</f>
        <v>0</v>
      </c>
      <c r="F2347" s="47" t="n">
        <f aca="false">MIN(1,'Model Inputs &amp; Assumptions'!$W$32*EXP('Model Inputs &amp; Assumptions'!$X$32*R2347-'Model Inputs &amp; Assumptions'!$X$32^2/2))</f>
        <v>0.00214546211733948</v>
      </c>
      <c r="G2347" s="45" t="n">
        <f aca="false">ROUND(C2347*F2347,0)</f>
        <v>1414</v>
      </c>
      <c r="H2347" s="48" t="n">
        <f aca="false">MAX(0,(C2347*'Model Inputs &amp; Assumptions'!$N$32+E2347*'Model Inputs &amp; Assumptions'!$O$32+G2347*'Model Inputs &amp; Assumptions'!$P$32)*EXP('Model Inputs &amp; Assumptions'!$Q$32*S2347-'Model Inputs &amp; Assumptions'!$Q$32^2/2))</f>
        <v>71.9411581697441</v>
      </c>
      <c r="I2347" s="49" t="n">
        <f aca="false">IF('Model Inputs &amp; Assumptions'!$H$32="Fixed",'Model Inputs &amp; Assumptions'!$I$32*'Model Inputs &amp; Assumptions'!$K$32,IF('Model Inputs &amp; Assumptions'!$H$32="CPM",'Model Inputs &amp; Assumptions'!$I$32*'Model Inputs &amp; Assumptions'!$K$32*C2347/1000,IF('Model Inputs &amp; Assumptions'!$H$32="CPC",'Model Inputs &amp; Assumptions'!$I$32*'Model Inputs &amp; Assumptions'!$K$32*G2347,0)))</f>
        <v>7911.024</v>
      </c>
      <c r="J2347" s="50" t="n">
        <f aca="false">H2347*INDEX('Model Inputs &amp; Assumptions'!$D$40:$D$42,MATCH('Model Inputs &amp; Assumptions'!$L$32,'Model Inputs &amp; Assumptions'!$A$40:$A$42,0))*INDEX('Model Inputs &amp; Assumptions'!$H$40:$H$42,MATCH('Model Inputs &amp; Assumptions'!$L$32,'Model Inputs &amp; Assumptions'!$A$40:$A$42,0))</f>
        <v>388482.254116618</v>
      </c>
      <c r="K2347" s="49" t="n">
        <f aca="false">H2347*INDEX('Model Inputs &amp; Assumptions'!$G$40:$G$42,MATCH('Model Inputs &amp; Assumptions'!$L$32,'Model Inputs &amp; Assumptions'!$A$40:$A$42,0))*INDEX('Model Inputs &amp; Assumptions'!$H$40:$H$42,MATCH('Model Inputs &amp; Assumptions'!$L$32,'Model Inputs &amp; Assumptions'!$A$40:$A$42,0))</f>
        <v>8158.12733644898</v>
      </c>
      <c r="L2347" s="51" t="n">
        <f aca="false">IFERROR(K2347/I2347,0)</f>
        <v>1.03123531624338</v>
      </c>
      <c r="M2347" s="49" t="n">
        <f aca="false">IFERROR(I2347/H2347,0)</f>
        <v>109.965202135529</v>
      </c>
      <c r="N2347" s="52" t="str">
        <f aca="false">'Model Inputs &amp; Assumptions'!$L$32</f>
        <v>PRD-SP01</v>
      </c>
      <c r="P2347" s="53" t="n">
        <v>-1.846569</v>
      </c>
      <c r="Q2347" s="53" t="n">
        <v>1.027024</v>
      </c>
      <c r="R2347" s="53" t="n">
        <v>-1.48136</v>
      </c>
      <c r="S2347" s="53" t="n">
        <v>0.578441</v>
      </c>
    </row>
    <row r="2348" customFormat="false" ht="15" hidden="false" customHeight="false" outlineLevel="0" collapsed="false">
      <c r="A2348" s="43" t="n">
        <v>345</v>
      </c>
      <c r="B2348" s="44" t="str">
        <f aca="false">'Model Inputs &amp; Assumptions'!$B$32</f>
        <v>Trade Republic — In-App Display</v>
      </c>
      <c r="C2348" s="45" t="n">
        <f aca="false">ROUND(MAX(0,'Model Inputs &amp; Assumptions'!$S$32*EXP('Model Inputs &amp; Assumptions'!$T$32*P2348-'Model Inputs &amp; Assumptions'!$T$32^2/2)),0)</f>
        <v>1260900</v>
      </c>
      <c r="D2348" s="46" t="n">
        <f aca="false">MIN(1,'Model Inputs &amp; Assumptions'!$U$32*EXP('Model Inputs &amp; Assumptions'!$V$32*Q2348-'Model Inputs &amp; Assumptions'!$V$32^2/2))</f>
        <v>0</v>
      </c>
      <c r="E2348" s="45" t="n">
        <f aca="false">ROUND(C2348*D2348,0)</f>
        <v>0</v>
      </c>
      <c r="F2348" s="47" t="n">
        <f aca="false">MIN(1,'Model Inputs &amp; Assumptions'!$W$32*EXP('Model Inputs &amp; Assumptions'!$X$32*R2348-'Model Inputs &amp; Assumptions'!$X$32^2/2))</f>
        <v>0.00406146509150268</v>
      </c>
      <c r="G2348" s="45" t="n">
        <f aca="false">ROUND(C2348*F2348,0)</f>
        <v>5121</v>
      </c>
      <c r="H2348" s="48" t="n">
        <f aca="false">MAX(0,(C2348*'Model Inputs &amp; Assumptions'!$N$32+E2348*'Model Inputs &amp; Assumptions'!$O$32+G2348*'Model Inputs &amp; Assumptions'!$P$32)*EXP('Model Inputs &amp; Assumptions'!$Q$32*S2348-'Model Inputs &amp; Assumptions'!$Q$32^2/2))</f>
        <v>218.229238326216</v>
      </c>
      <c r="I2348" s="49" t="n">
        <f aca="false">IF('Model Inputs &amp; Assumptions'!$H$32="Fixed",'Model Inputs &amp; Assumptions'!$I$32*'Model Inputs &amp; Assumptions'!$K$32,IF('Model Inputs &amp; Assumptions'!$H$32="CPM",'Model Inputs &amp; Assumptions'!$I$32*'Model Inputs &amp; Assumptions'!$K$32*C2348/1000,IF('Model Inputs &amp; Assumptions'!$H$32="CPC",'Model Inputs &amp; Assumptions'!$I$32*'Model Inputs &amp; Assumptions'!$K$32*G2348,0)))</f>
        <v>15130.8</v>
      </c>
      <c r="J2348" s="50" t="n">
        <f aca="false">H2348*INDEX('Model Inputs &amp; Assumptions'!$D$40:$D$42,MATCH('Model Inputs &amp; Assumptions'!$L$32,'Model Inputs &amp; Assumptions'!$A$40:$A$42,0))*INDEX('Model Inputs &amp; Assumptions'!$H$40:$H$42,MATCH('Model Inputs &amp; Assumptions'!$L$32,'Model Inputs &amp; Assumptions'!$A$40:$A$42,0))</f>
        <v>1178437.88696157</v>
      </c>
      <c r="K2348" s="49" t="n">
        <f aca="false">H2348*INDEX('Model Inputs &amp; Assumptions'!$G$40:$G$42,MATCH('Model Inputs &amp; Assumptions'!$L$32,'Model Inputs &amp; Assumptions'!$A$40:$A$42,0))*INDEX('Model Inputs &amp; Assumptions'!$H$40:$H$42,MATCH('Model Inputs &amp; Assumptions'!$L$32,'Model Inputs &amp; Assumptions'!$A$40:$A$42,0))</f>
        <v>24747.1956261929</v>
      </c>
      <c r="L2348" s="51" t="n">
        <f aca="false">IFERROR(K2348/I2348,0)</f>
        <v>1.63555103670611</v>
      </c>
      <c r="M2348" s="49" t="n">
        <f aca="false">IFERROR(I2348/H2348,0)</f>
        <v>69.3344306933887</v>
      </c>
      <c r="N2348" s="52" t="str">
        <f aca="false">'Model Inputs &amp; Assumptions'!$L$32</f>
        <v>PRD-SP01</v>
      </c>
      <c r="P2348" s="53" t="n">
        <v>0.315014</v>
      </c>
      <c r="Q2348" s="53" t="n">
        <v>-0.726222</v>
      </c>
      <c r="R2348" s="53" t="n">
        <v>0.645936</v>
      </c>
      <c r="S2348" s="53" t="n">
        <v>-0.054522</v>
      </c>
    </row>
    <row r="2349" customFormat="false" ht="15" hidden="false" customHeight="false" outlineLevel="0" collapsed="false">
      <c r="A2349" s="43" t="n">
        <v>346</v>
      </c>
      <c r="B2349" s="44" t="str">
        <f aca="false">'Model Inputs &amp; Assumptions'!$B$32</f>
        <v>Trade Republic — In-App Display</v>
      </c>
      <c r="C2349" s="45" t="n">
        <f aca="false">ROUND(MAX(0,'Model Inputs &amp; Assumptions'!$S$32*EXP('Model Inputs &amp; Assumptions'!$T$32*P2349-'Model Inputs &amp; Assumptions'!$T$32^2/2)),0)</f>
        <v>1585028</v>
      </c>
      <c r="D2349" s="46" t="n">
        <f aca="false">MIN(1,'Model Inputs &amp; Assumptions'!$U$32*EXP('Model Inputs &amp; Assumptions'!$V$32*Q2349-'Model Inputs &amp; Assumptions'!$V$32^2/2))</f>
        <v>0</v>
      </c>
      <c r="E2349" s="45" t="n">
        <f aca="false">ROUND(C2349*D2349,0)</f>
        <v>0</v>
      </c>
      <c r="F2349" s="47" t="n">
        <f aca="false">MIN(1,'Model Inputs &amp; Assumptions'!$W$32*EXP('Model Inputs &amp; Assumptions'!$X$32*R2349-'Model Inputs &amp; Assumptions'!$X$32^2/2))</f>
        <v>0.00262167275065296</v>
      </c>
      <c r="G2349" s="45" t="n">
        <f aca="false">ROUND(C2349*F2349,0)</f>
        <v>4155</v>
      </c>
      <c r="H2349" s="48" t="n">
        <f aca="false">MAX(0,(C2349*'Model Inputs &amp; Assumptions'!$N$32+E2349*'Model Inputs &amp; Assumptions'!$O$32+G2349*'Model Inputs &amp; Assumptions'!$P$32)*EXP('Model Inputs &amp; Assumptions'!$Q$32*S2349-'Model Inputs &amp; Assumptions'!$Q$32^2/2))</f>
        <v>125.469130735072</v>
      </c>
      <c r="I2349" s="49" t="n">
        <f aca="false">IF('Model Inputs &amp; Assumptions'!$H$32="Fixed",'Model Inputs &amp; Assumptions'!$I$32*'Model Inputs &amp; Assumptions'!$K$32,IF('Model Inputs &amp; Assumptions'!$H$32="CPM",'Model Inputs &amp; Assumptions'!$I$32*'Model Inputs &amp; Assumptions'!$K$32*C2349/1000,IF('Model Inputs &amp; Assumptions'!$H$32="CPC",'Model Inputs &amp; Assumptions'!$I$32*'Model Inputs &amp; Assumptions'!$K$32*G2349,0)))</f>
        <v>19020.336</v>
      </c>
      <c r="J2349" s="50" t="n">
        <f aca="false">H2349*INDEX('Model Inputs &amp; Assumptions'!$D$40:$D$42,MATCH('Model Inputs &amp; Assumptions'!$L$32,'Model Inputs &amp; Assumptions'!$A$40:$A$42,0))*INDEX('Model Inputs &amp; Assumptions'!$H$40:$H$42,MATCH('Model Inputs &amp; Assumptions'!$L$32,'Model Inputs &amp; Assumptions'!$A$40:$A$42,0))</f>
        <v>677533.305969391</v>
      </c>
      <c r="K2349" s="49" t="n">
        <f aca="false">H2349*INDEX('Model Inputs &amp; Assumptions'!$G$40:$G$42,MATCH('Model Inputs &amp; Assumptions'!$L$32,'Model Inputs &amp; Assumptions'!$A$40:$A$42,0))*INDEX('Model Inputs &amp; Assumptions'!$H$40:$H$42,MATCH('Model Inputs &amp; Assumptions'!$L$32,'Model Inputs &amp; Assumptions'!$A$40:$A$42,0))</f>
        <v>14228.1994253572</v>
      </c>
      <c r="L2349" s="51" t="n">
        <f aca="false">IFERROR(K2349/I2349,0)</f>
        <v>0.74805194952167</v>
      </c>
      <c r="M2349" s="49" t="n">
        <f aca="false">IFERROR(I2349/H2349,0)</f>
        <v>151.593749702159</v>
      </c>
      <c r="N2349" s="52" t="str">
        <f aca="false">'Model Inputs &amp; Assumptions'!$L$32</f>
        <v>PRD-SP01</v>
      </c>
      <c r="P2349" s="53" t="n">
        <v>1.077602</v>
      </c>
      <c r="Q2349" s="53" t="n">
        <v>2.506983</v>
      </c>
      <c r="R2349" s="53" t="n">
        <v>-0.813168</v>
      </c>
      <c r="S2349" s="53" t="n">
        <v>-1.284697</v>
      </c>
    </row>
    <row r="2350" customFormat="false" ht="15" hidden="false" customHeight="false" outlineLevel="0" collapsed="false">
      <c r="A2350" s="43" t="n">
        <v>347</v>
      </c>
      <c r="B2350" s="44" t="str">
        <f aca="false">'Model Inputs &amp; Assumptions'!$B$32</f>
        <v>Trade Republic — In-App Display</v>
      </c>
      <c r="C2350" s="45" t="n">
        <f aca="false">ROUND(MAX(0,'Model Inputs &amp; Assumptions'!$S$32*EXP('Model Inputs &amp; Assumptions'!$T$32*P2350-'Model Inputs &amp; Assumptions'!$T$32^2/2)),0)</f>
        <v>1080062</v>
      </c>
      <c r="D2350" s="46" t="n">
        <f aca="false">MIN(1,'Model Inputs &amp; Assumptions'!$U$32*EXP('Model Inputs &amp; Assumptions'!$V$32*Q2350-'Model Inputs &amp; Assumptions'!$V$32^2/2))</f>
        <v>0</v>
      </c>
      <c r="E2350" s="45" t="n">
        <f aca="false">ROUND(C2350*D2350,0)</f>
        <v>0</v>
      </c>
      <c r="F2350" s="47" t="n">
        <f aca="false">MIN(1,'Model Inputs &amp; Assumptions'!$W$32*EXP('Model Inputs &amp; Assumptions'!$X$32*R2350-'Model Inputs &amp; Assumptions'!$X$32^2/2))</f>
        <v>0.00317579364645485</v>
      </c>
      <c r="G2350" s="45" t="n">
        <f aca="false">ROUND(C2350*F2350,0)</f>
        <v>3430</v>
      </c>
      <c r="H2350" s="48" t="n">
        <f aca="false">MAX(0,(C2350*'Model Inputs &amp; Assumptions'!$N$32+E2350*'Model Inputs &amp; Assumptions'!$O$32+G2350*'Model Inputs &amp; Assumptions'!$P$32)*EXP('Model Inputs &amp; Assumptions'!$Q$32*S2350-'Model Inputs &amp; Assumptions'!$Q$32^2/2))</f>
        <v>129.720766583779</v>
      </c>
      <c r="I2350" s="49" t="n">
        <f aca="false">IF('Model Inputs &amp; Assumptions'!$H$32="Fixed",'Model Inputs &amp; Assumptions'!$I$32*'Model Inputs &amp; Assumptions'!$K$32,IF('Model Inputs &amp; Assumptions'!$H$32="CPM",'Model Inputs &amp; Assumptions'!$I$32*'Model Inputs &amp; Assumptions'!$K$32*C2350/1000,IF('Model Inputs &amp; Assumptions'!$H$32="CPC",'Model Inputs &amp; Assumptions'!$I$32*'Model Inputs &amp; Assumptions'!$K$32*G2350,0)))</f>
        <v>12960.744</v>
      </c>
      <c r="J2350" s="50" t="n">
        <f aca="false">H2350*INDEX('Model Inputs &amp; Assumptions'!$D$40:$D$42,MATCH('Model Inputs &amp; Assumptions'!$L$32,'Model Inputs &amp; Assumptions'!$A$40:$A$42,0))*INDEX('Model Inputs &amp; Assumptions'!$H$40:$H$42,MATCH('Model Inputs &amp; Assumptions'!$L$32,'Model Inputs &amp; Assumptions'!$A$40:$A$42,0))</f>
        <v>700492.139552407</v>
      </c>
      <c r="K2350" s="49" t="n">
        <f aca="false">H2350*INDEX('Model Inputs &amp; Assumptions'!$G$40:$G$42,MATCH('Model Inputs &amp; Assumptions'!$L$32,'Model Inputs &amp; Assumptions'!$A$40:$A$42,0))*INDEX('Model Inputs &amp; Assumptions'!$H$40:$H$42,MATCH('Model Inputs &amp; Assumptions'!$L$32,'Model Inputs &amp; Assumptions'!$A$40:$A$42,0))</f>
        <v>14710.3349306006</v>
      </c>
      <c r="L2350" s="51" t="n">
        <f aca="false">IFERROR(K2350/I2350,0)</f>
        <v>1.13499155068571</v>
      </c>
      <c r="M2350" s="49" t="n">
        <f aca="false">IFERROR(I2350/H2350,0)</f>
        <v>99.9126380557534</v>
      </c>
      <c r="N2350" s="52" t="str">
        <f aca="false">'Model Inputs &amp; Assumptions'!$L$32</f>
        <v>PRD-SP01</v>
      </c>
      <c r="P2350" s="53" t="n">
        <v>-0.20101</v>
      </c>
      <c r="Q2350" s="53" t="n">
        <v>-0.302032</v>
      </c>
      <c r="R2350" s="53" t="n">
        <v>-0.174018</v>
      </c>
      <c r="S2350" s="53" t="n">
        <v>-0.480852</v>
      </c>
    </row>
    <row r="2351" customFormat="false" ht="15" hidden="false" customHeight="false" outlineLevel="0" collapsed="false">
      <c r="A2351" s="43" t="n">
        <v>348</v>
      </c>
      <c r="B2351" s="44" t="str">
        <f aca="false">'Model Inputs &amp; Assumptions'!$B$32</f>
        <v>Trade Republic — In-App Display</v>
      </c>
      <c r="C2351" s="45" t="n">
        <f aca="false">ROUND(MAX(0,'Model Inputs &amp; Assumptions'!$S$32*EXP('Model Inputs &amp; Assumptions'!$T$32*P2351-'Model Inputs &amp; Assumptions'!$T$32^2/2)),0)</f>
        <v>1385371</v>
      </c>
      <c r="D2351" s="46" t="n">
        <f aca="false">MIN(1,'Model Inputs &amp; Assumptions'!$U$32*EXP('Model Inputs &amp; Assumptions'!$V$32*Q2351-'Model Inputs &amp; Assumptions'!$V$32^2/2))</f>
        <v>0</v>
      </c>
      <c r="E2351" s="45" t="n">
        <f aca="false">ROUND(C2351*D2351,0)</f>
        <v>0</v>
      </c>
      <c r="F2351" s="47" t="n">
        <f aca="false">MIN(1,'Model Inputs &amp; Assumptions'!$W$32*EXP('Model Inputs &amp; Assumptions'!$X$32*R2351-'Model Inputs &amp; Assumptions'!$X$32^2/2))</f>
        <v>0.00266606570901553</v>
      </c>
      <c r="G2351" s="45" t="n">
        <f aca="false">ROUND(C2351*F2351,0)</f>
        <v>3693</v>
      </c>
      <c r="H2351" s="48" t="n">
        <f aca="false">MAX(0,(C2351*'Model Inputs &amp; Assumptions'!$N$32+E2351*'Model Inputs &amp; Assumptions'!$O$32+G2351*'Model Inputs &amp; Assumptions'!$P$32)*EXP('Model Inputs &amp; Assumptions'!$Q$32*S2351-'Model Inputs &amp; Assumptions'!$Q$32^2/2))</f>
        <v>188.273073138241</v>
      </c>
      <c r="I2351" s="49" t="n">
        <f aca="false">IF('Model Inputs &amp; Assumptions'!$H$32="Fixed",'Model Inputs &amp; Assumptions'!$I$32*'Model Inputs &amp; Assumptions'!$K$32,IF('Model Inputs &amp; Assumptions'!$H$32="CPM",'Model Inputs &amp; Assumptions'!$I$32*'Model Inputs &amp; Assumptions'!$K$32*C2351/1000,IF('Model Inputs &amp; Assumptions'!$H$32="CPC",'Model Inputs &amp; Assumptions'!$I$32*'Model Inputs &amp; Assumptions'!$K$32*G2351,0)))</f>
        <v>16624.452</v>
      </c>
      <c r="J2351" s="50" t="n">
        <f aca="false">H2351*INDEX('Model Inputs &amp; Assumptions'!$D$40:$D$42,MATCH('Model Inputs &amp; Assumptions'!$L$32,'Model Inputs &amp; Assumptions'!$A$40:$A$42,0))*INDEX('Model Inputs &amp; Assumptions'!$H$40:$H$42,MATCH('Model Inputs &amp; Assumptions'!$L$32,'Model Inputs &amp; Assumptions'!$A$40:$A$42,0))</f>
        <v>1016674.5949465</v>
      </c>
      <c r="K2351" s="49" t="n">
        <f aca="false">H2351*INDEX('Model Inputs &amp; Assumptions'!$G$40:$G$42,MATCH('Model Inputs &amp; Assumptions'!$L$32,'Model Inputs &amp; Assumptions'!$A$40:$A$42,0))*INDEX('Model Inputs &amp; Assumptions'!$H$40:$H$42,MATCH('Model Inputs &amp; Assumptions'!$L$32,'Model Inputs &amp; Assumptions'!$A$40:$A$42,0))</f>
        <v>21350.1664938765</v>
      </c>
      <c r="L2351" s="51" t="n">
        <f aca="false">IFERROR(K2351/I2351,0)</f>
        <v>1.28426287337932</v>
      </c>
      <c r="M2351" s="49" t="n">
        <f aca="false">IFERROR(I2351/H2351,0)</f>
        <v>88.2996794119007</v>
      </c>
      <c r="N2351" s="52" t="str">
        <f aca="false">'Model Inputs &amp; Assumptions'!$L$32</f>
        <v>PRD-SP01</v>
      </c>
      <c r="P2351" s="53" t="n">
        <v>0.628822</v>
      </c>
      <c r="Q2351" s="53" t="n">
        <v>-3.810066</v>
      </c>
      <c r="R2351" s="53" t="n">
        <v>-0.757197</v>
      </c>
      <c r="S2351" s="53" t="n">
        <v>0.585685</v>
      </c>
    </row>
    <row r="2352" customFormat="false" ht="15" hidden="false" customHeight="false" outlineLevel="0" collapsed="false">
      <c r="A2352" s="43" t="n">
        <v>349</v>
      </c>
      <c r="B2352" s="44" t="str">
        <f aca="false">'Model Inputs &amp; Assumptions'!$B$32</f>
        <v>Trade Republic — In-App Display</v>
      </c>
      <c r="C2352" s="45" t="n">
        <f aca="false">ROUND(MAX(0,'Model Inputs &amp; Assumptions'!$S$32*EXP('Model Inputs &amp; Assumptions'!$T$32*P2352-'Model Inputs &amp; Assumptions'!$T$32^2/2)),0)</f>
        <v>1264083</v>
      </c>
      <c r="D2352" s="46" t="n">
        <f aca="false">MIN(1,'Model Inputs &amp; Assumptions'!$U$32*EXP('Model Inputs &amp; Assumptions'!$V$32*Q2352-'Model Inputs &amp; Assumptions'!$V$32^2/2))</f>
        <v>0</v>
      </c>
      <c r="E2352" s="45" t="n">
        <f aca="false">ROUND(C2352*D2352,0)</f>
        <v>0</v>
      </c>
      <c r="F2352" s="47" t="n">
        <f aca="false">MIN(1,'Model Inputs &amp; Assumptions'!$W$32*EXP('Model Inputs &amp; Assumptions'!$X$32*R2352-'Model Inputs &amp; Assumptions'!$X$32^2/2))</f>
        <v>0.00232485452803649</v>
      </c>
      <c r="G2352" s="45" t="n">
        <f aca="false">ROUND(C2352*F2352,0)</f>
        <v>2939</v>
      </c>
      <c r="H2352" s="48" t="n">
        <f aca="false">MAX(0,(C2352*'Model Inputs &amp; Assumptions'!$N$32+E2352*'Model Inputs &amp; Assumptions'!$O$32+G2352*'Model Inputs &amp; Assumptions'!$P$32)*EXP('Model Inputs &amp; Assumptions'!$Q$32*S2352-'Model Inputs &amp; Assumptions'!$Q$32^2/2))</f>
        <v>101.15364081749</v>
      </c>
      <c r="I2352" s="49" t="n">
        <f aca="false">IF('Model Inputs &amp; Assumptions'!$H$32="Fixed",'Model Inputs &amp; Assumptions'!$I$32*'Model Inputs &amp; Assumptions'!$K$32,IF('Model Inputs &amp; Assumptions'!$H$32="CPM",'Model Inputs &amp; Assumptions'!$I$32*'Model Inputs &amp; Assumptions'!$K$32*C2352/1000,IF('Model Inputs &amp; Assumptions'!$H$32="CPC",'Model Inputs &amp; Assumptions'!$I$32*'Model Inputs &amp; Assumptions'!$K$32*G2352,0)))</f>
        <v>15168.996</v>
      </c>
      <c r="J2352" s="50" t="n">
        <f aca="false">H2352*INDEX('Model Inputs &amp; Assumptions'!$D$40:$D$42,MATCH('Model Inputs &amp; Assumptions'!$L$32,'Model Inputs &amp; Assumptions'!$A$40:$A$42,0))*INDEX('Model Inputs &amp; Assumptions'!$H$40:$H$42,MATCH('Model Inputs &amp; Assumptions'!$L$32,'Model Inputs &amp; Assumptions'!$A$40:$A$42,0))</f>
        <v>546229.660414444</v>
      </c>
      <c r="K2352" s="49" t="n">
        <f aca="false">H2352*INDEX('Model Inputs &amp; Assumptions'!$G$40:$G$42,MATCH('Model Inputs &amp; Assumptions'!$L$32,'Model Inputs &amp; Assumptions'!$A$40:$A$42,0))*INDEX('Model Inputs &amp; Assumptions'!$H$40:$H$42,MATCH('Model Inputs &amp; Assumptions'!$L$32,'Model Inputs &amp; Assumptions'!$A$40:$A$42,0))</f>
        <v>11470.8228687033</v>
      </c>
      <c r="L2352" s="51" t="n">
        <f aca="false">IFERROR(K2352/I2352,0)</f>
        <v>0.75620185203446</v>
      </c>
      <c r="M2352" s="49" t="n">
        <f aca="false">IFERROR(I2352/H2352,0)</f>
        <v>149.959960683662</v>
      </c>
      <c r="N2352" s="52" t="str">
        <f aca="false">'Model Inputs &amp; Assumptions'!$L$32</f>
        <v>PRD-SP01</v>
      </c>
      <c r="P2352" s="53" t="n">
        <v>0.323418</v>
      </c>
      <c r="Q2352" s="53" t="n">
        <v>-1.301443</v>
      </c>
      <c r="R2352" s="53" t="n">
        <v>-1.213685</v>
      </c>
      <c r="S2352" s="53" t="n">
        <v>-0.817469</v>
      </c>
    </row>
    <row r="2353" customFormat="false" ht="15" hidden="false" customHeight="false" outlineLevel="0" collapsed="false">
      <c r="A2353" s="43" t="n">
        <v>350</v>
      </c>
      <c r="B2353" s="44" t="str">
        <f aca="false">'Model Inputs &amp; Assumptions'!$B$32</f>
        <v>Trade Republic — In-App Display</v>
      </c>
      <c r="C2353" s="45" t="n">
        <f aca="false">ROUND(MAX(0,'Model Inputs &amp; Assumptions'!$S$32*EXP('Model Inputs &amp; Assumptions'!$T$32*P2353-'Model Inputs &amp; Assumptions'!$T$32^2/2)),0)</f>
        <v>1280088</v>
      </c>
      <c r="D2353" s="46" t="n">
        <f aca="false">MIN(1,'Model Inputs &amp; Assumptions'!$U$32*EXP('Model Inputs &amp; Assumptions'!$V$32*Q2353-'Model Inputs &amp; Assumptions'!$V$32^2/2))</f>
        <v>0</v>
      </c>
      <c r="E2353" s="45" t="n">
        <f aca="false">ROUND(C2353*D2353,0)</f>
        <v>0</v>
      </c>
      <c r="F2353" s="47" t="n">
        <f aca="false">MIN(1,'Model Inputs &amp; Assumptions'!$W$32*EXP('Model Inputs &amp; Assumptions'!$X$32*R2353-'Model Inputs &amp; Assumptions'!$X$32^2/2))</f>
        <v>0.00479930861258948</v>
      </c>
      <c r="G2353" s="45" t="n">
        <f aca="false">ROUND(C2353*F2353,0)</f>
        <v>6144</v>
      </c>
      <c r="H2353" s="48" t="n">
        <f aca="false">MAX(0,(C2353*'Model Inputs &amp; Assumptions'!$N$32+E2353*'Model Inputs &amp; Assumptions'!$O$32+G2353*'Model Inputs &amp; Assumptions'!$P$32)*EXP('Model Inputs &amp; Assumptions'!$Q$32*S2353-'Model Inputs &amp; Assumptions'!$Q$32^2/2))</f>
        <v>387.306328183186</v>
      </c>
      <c r="I2353" s="49" t="n">
        <f aca="false">IF('Model Inputs &amp; Assumptions'!$H$32="Fixed",'Model Inputs &amp; Assumptions'!$I$32*'Model Inputs &amp; Assumptions'!$K$32,IF('Model Inputs &amp; Assumptions'!$H$32="CPM",'Model Inputs &amp; Assumptions'!$I$32*'Model Inputs &amp; Assumptions'!$K$32*C2353/1000,IF('Model Inputs &amp; Assumptions'!$H$32="CPC",'Model Inputs &amp; Assumptions'!$I$32*'Model Inputs &amp; Assumptions'!$K$32*G2353,0)))</f>
        <v>15361.056</v>
      </c>
      <c r="J2353" s="50" t="n">
        <f aca="false">H2353*INDEX('Model Inputs &amp; Assumptions'!$D$40:$D$42,MATCH('Model Inputs &amp; Assumptions'!$L$32,'Model Inputs &amp; Assumptions'!$A$40:$A$42,0))*INDEX('Model Inputs &amp; Assumptions'!$H$40:$H$42,MATCH('Model Inputs &amp; Assumptions'!$L$32,'Model Inputs &amp; Assumptions'!$A$40:$A$42,0))</f>
        <v>2091454.1721892</v>
      </c>
      <c r="K2353" s="49" t="n">
        <f aca="false">H2353*INDEX('Model Inputs &amp; Assumptions'!$G$40:$G$42,MATCH('Model Inputs &amp; Assumptions'!$L$32,'Model Inputs &amp; Assumptions'!$A$40:$A$42,0))*INDEX('Model Inputs &amp; Assumptions'!$H$40:$H$42,MATCH('Model Inputs &amp; Assumptions'!$L$32,'Model Inputs &amp; Assumptions'!$A$40:$A$42,0))</f>
        <v>43920.5376159733</v>
      </c>
      <c r="L2353" s="51" t="n">
        <f aca="false">IFERROR(K2353/I2353,0)</f>
        <v>2.8592134301166</v>
      </c>
      <c r="M2353" s="49" t="n">
        <f aca="false">IFERROR(I2353/H2353,0)</f>
        <v>39.6612574652657</v>
      </c>
      <c r="N2353" s="52" t="str">
        <f aca="false">'Model Inputs &amp; Assumptions'!$L$32</f>
        <v>PRD-SP01</v>
      </c>
      <c r="P2353" s="53" t="n">
        <v>0.365357</v>
      </c>
      <c r="Q2353" s="53" t="n">
        <v>0.18202</v>
      </c>
      <c r="R2353" s="53" t="n">
        <v>1.202363</v>
      </c>
      <c r="S2353" s="53" t="n">
        <v>1.343848</v>
      </c>
    </row>
    <row r="2354" customFormat="false" ht="15" hidden="false" customHeight="false" outlineLevel="0" collapsed="false">
      <c r="A2354" s="43" t="n">
        <v>351</v>
      </c>
      <c r="B2354" s="44" t="str">
        <f aca="false">'Model Inputs &amp; Assumptions'!$B$32</f>
        <v>Trade Republic — In-App Display</v>
      </c>
      <c r="C2354" s="45" t="n">
        <f aca="false">ROUND(MAX(0,'Model Inputs &amp; Assumptions'!$S$32*EXP('Model Inputs &amp; Assumptions'!$T$32*P2354-'Model Inputs &amp; Assumptions'!$T$32^2/2)),0)</f>
        <v>1520304</v>
      </c>
      <c r="D2354" s="46" t="n">
        <f aca="false">MIN(1,'Model Inputs &amp; Assumptions'!$U$32*EXP('Model Inputs &amp; Assumptions'!$V$32*Q2354-'Model Inputs &amp; Assumptions'!$V$32^2/2))</f>
        <v>0</v>
      </c>
      <c r="E2354" s="45" t="n">
        <f aca="false">ROUND(C2354*D2354,0)</f>
        <v>0</v>
      </c>
      <c r="F2354" s="47" t="n">
        <f aca="false">MIN(1,'Model Inputs &amp; Assumptions'!$W$32*EXP('Model Inputs &amp; Assumptions'!$X$32*R2354-'Model Inputs &amp; Assumptions'!$X$32^2/2))</f>
        <v>0.00316211044966595</v>
      </c>
      <c r="G2354" s="45" t="n">
        <f aca="false">ROUND(C2354*F2354,0)</f>
        <v>4807</v>
      </c>
      <c r="H2354" s="48" t="n">
        <f aca="false">MAX(0,(C2354*'Model Inputs &amp; Assumptions'!$N$32+E2354*'Model Inputs &amp; Assumptions'!$O$32+G2354*'Model Inputs &amp; Assumptions'!$P$32)*EXP('Model Inputs &amp; Assumptions'!$Q$32*S2354-'Model Inputs &amp; Assumptions'!$Q$32^2/2))</f>
        <v>202.887248511149</v>
      </c>
      <c r="I2354" s="49" t="n">
        <f aca="false">IF('Model Inputs &amp; Assumptions'!$H$32="Fixed",'Model Inputs &amp; Assumptions'!$I$32*'Model Inputs &amp; Assumptions'!$K$32,IF('Model Inputs &amp; Assumptions'!$H$32="CPM",'Model Inputs &amp; Assumptions'!$I$32*'Model Inputs &amp; Assumptions'!$K$32*C2354/1000,IF('Model Inputs &amp; Assumptions'!$H$32="CPC",'Model Inputs &amp; Assumptions'!$I$32*'Model Inputs &amp; Assumptions'!$K$32*G2354,0)))</f>
        <v>18243.648</v>
      </c>
      <c r="J2354" s="50" t="n">
        <f aca="false">H2354*INDEX('Model Inputs &amp; Assumptions'!$D$40:$D$42,MATCH('Model Inputs &amp; Assumptions'!$L$32,'Model Inputs &amp; Assumptions'!$A$40:$A$42,0))*INDEX('Model Inputs &amp; Assumptions'!$H$40:$H$42,MATCH('Model Inputs &amp; Assumptions'!$L$32,'Model Inputs &amp; Assumptions'!$A$40:$A$42,0))</f>
        <v>1095591.1419602</v>
      </c>
      <c r="K2354" s="49" t="n">
        <f aca="false">H2354*INDEX('Model Inputs &amp; Assumptions'!$G$40:$G$42,MATCH('Model Inputs &amp; Assumptions'!$L$32,'Model Inputs &amp; Assumptions'!$A$40:$A$42,0))*INDEX('Model Inputs &amp; Assumptions'!$H$40:$H$42,MATCH('Model Inputs &amp; Assumptions'!$L$32,'Model Inputs &amp; Assumptions'!$A$40:$A$42,0))</f>
        <v>23007.4139811643</v>
      </c>
      <c r="L2354" s="51" t="n">
        <f aca="false">IFERROR(K2354/I2354,0)</f>
        <v>1.26111915671494</v>
      </c>
      <c r="M2354" s="49" t="n">
        <f aca="false">IFERROR(I2354/H2354,0)</f>
        <v>89.9201311757032</v>
      </c>
      <c r="N2354" s="52" t="str">
        <f aca="false">'Model Inputs &amp; Assumptions'!$L$32</f>
        <v>PRD-SP01</v>
      </c>
      <c r="P2354" s="53" t="n">
        <v>0.93863</v>
      </c>
      <c r="Q2354" s="53" t="n">
        <v>0.72859</v>
      </c>
      <c r="R2354" s="53" t="n">
        <v>-0.188411</v>
      </c>
      <c r="S2354" s="53" t="n">
        <v>-0.088876</v>
      </c>
    </row>
    <row r="2355" customFormat="false" ht="15" hidden="false" customHeight="false" outlineLevel="0" collapsed="false">
      <c r="A2355" s="43" t="n">
        <v>352</v>
      </c>
      <c r="B2355" s="44" t="str">
        <f aca="false">'Model Inputs &amp; Assumptions'!$B$32</f>
        <v>Trade Republic — In-App Display</v>
      </c>
      <c r="C2355" s="45" t="n">
        <f aca="false">ROUND(MAX(0,'Model Inputs &amp; Assumptions'!$S$32*EXP('Model Inputs &amp; Assumptions'!$T$32*P2355-'Model Inputs &amp; Assumptions'!$T$32^2/2)),0)</f>
        <v>915469</v>
      </c>
      <c r="D2355" s="46" t="n">
        <f aca="false">MIN(1,'Model Inputs &amp; Assumptions'!$U$32*EXP('Model Inputs &amp; Assumptions'!$V$32*Q2355-'Model Inputs &amp; Assumptions'!$V$32^2/2))</f>
        <v>0</v>
      </c>
      <c r="E2355" s="45" t="n">
        <f aca="false">ROUND(C2355*D2355,0)</f>
        <v>0</v>
      </c>
      <c r="F2355" s="47" t="n">
        <f aca="false">MIN(1,'Model Inputs &amp; Assumptions'!$W$32*EXP('Model Inputs &amp; Assumptions'!$X$32*R2355-'Model Inputs &amp; Assumptions'!$X$32^2/2))</f>
        <v>0.0035253364146669</v>
      </c>
      <c r="G2355" s="45" t="n">
        <f aca="false">ROUND(C2355*F2355,0)</f>
        <v>3227</v>
      </c>
      <c r="H2355" s="48" t="n">
        <f aca="false">MAX(0,(C2355*'Model Inputs &amp; Assumptions'!$N$32+E2355*'Model Inputs &amp; Assumptions'!$O$32+G2355*'Model Inputs &amp; Assumptions'!$P$32)*EXP('Model Inputs &amp; Assumptions'!$Q$32*S2355-'Model Inputs &amp; Assumptions'!$Q$32^2/2))</f>
        <v>239.768828085381</v>
      </c>
      <c r="I2355" s="49" t="n">
        <f aca="false">IF('Model Inputs &amp; Assumptions'!$H$32="Fixed",'Model Inputs &amp; Assumptions'!$I$32*'Model Inputs &amp; Assumptions'!$K$32,IF('Model Inputs &amp; Assumptions'!$H$32="CPM",'Model Inputs &amp; Assumptions'!$I$32*'Model Inputs &amp; Assumptions'!$K$32*C2355/1000,IF('Model Inputs &amp; Assumptions'!$H$32="CPC",'Model Inputs &amp; Assumptions'!$I$32*'Model Inputs &amp; Assumptions'!$K$32*G2355,0)))</f>
        <v>10985.628</v>
      </c>
      <c r="J2355" s="50" t="n">
        <f aca="false">H2355*INDEX('Model Inputs &amp; Assumptions'!$D$40:$D$42,MATCH('Model Inputs &amp; Assumptions'!$L$32,'Model Inputs &amp; Assumptions'!$A$40:$A$42,0))*INDEX('Model Inputs &amp; Assumptions'!$H$40:$H$42,MATCH('Model Inputs &amp; Assumptions'!$L$32,'Model Inputs &amp; Assumptions'!$A$40:$A$42,0))</f>
        <v>1294751.67166105</v>
      </c>
      <c r="K2355" s="49" t="n">
        <f aca="false">H2355*INDEX('Model Inputs &amp; Assumptions'!$G$40:$G$42,MATCH('Model Inputs &amp; Assumptions'!$L$32,'Model Inputs &amp; Assumptions'!$A$40:$A$42,0))*INDEX('Model Inputs &amp; Assumptions'!$H$40:$H$42,MATCH('Model Inputs &amp; Assumptions'!$L$32,'Model Inputs &amp; Assumptions'!$A$40:$A$42,0))</f>
        <v>27189.7851048821</v>
      </c>
      <c r="L2355" s="51" t="n">
        <f aca="false">IFERROR(K2355/I2355,0)</f>
        <v>2.47503238821505</v>
      </c>
      <c r="M2355" s="49" t="n">
        <f aca="false">IFERROR(I2355/H2355,0)</f>
        <v>45.8175822425427</v>
      </c>
      <c r="N2355" s="52" t="str">
        <f aca="false">'Model Inputs &amp; Assumptions'!$L$32</f>
        <v>PRD-SP01</v>
      </c>
      <c r="P2355" s="53" t="n">
        <v>-0.752135</v>
      </c>
      <c r="Q2355" s="53" t="n">
        <v>-0.428897</v>
      </c>
      <c r="R2355" s="53" t="n">
        <v>0.174043</v>
      </c>
      <c r="S2355" s="53" t="n">
        <v>1.930928</v>
      </c>
    </row>
    <row r="2356" customFormat="false" ht="15" hidden="false" customHeight="false" outlineLevel="0" collapsed="false">
      <c r="A2356" s="43" t="n">
        <v>353</v>
      </c>
      <c r="B2356" s="44" t="str">
        <f aca="false">'Model Inputs &amp; Assumptions'!$B$32</f>
        <v>Trade Republic — In-App Display</v>
      </c>
      <c r="C2356" s="45" t="n">
        <f aca="false">ROUND(MAX(0,'Model Inputs &amp; Assumptions'!$S$32*EXP('Model Inputs &amp; Assumptions'!$T$32*P2356-'Model Inputs &amp; Assumptions'!$T$32^2/2)),0)</f>
        <v>791497</v>
      </c>
      <c r="D2356" s="46" t="n">
        <f aca="false">MIN(1,'Model Inputs &amp; Assumptions'!$U$32*EXP('Model Inputs &amp; Assumptions'!$V$32*Q2356-'Model Inputs &amp; Assumptions'!$V$32^2/2))</f>
        <v>0</v>
      </c>
      <c r="E2356" s="45" t="n">
        <f aca="false">ROUND(C2356*D2356,0)</f>
        <v>0</v>
      </c>
      <c r="F2356" s="47" t="n">
        <f aca="false">MIN(1,'Model Inputs &amp; Assumptions'!$W$32*EXP('Model Inputs &amp; Assumptions'!$X$32*R2356-'Model Inputs &amp; Assumptions'!$X$32^2/2))</f>
        <v>0.0033264253817721</v>
      </c>
      <c r="G2356" s="45" t="n">
        <f aca="false">ROUND(C2356*F2356,0)</f>
        <v>2633</v>
      </c>
      <c r="H2356" s="48" t="n">
        <f aca="false">MAX(0,(C2356*'Model Inputs &amp; Assumptions'!$N$32+E2356*'Model Inputs &amp; Assumptions'!$O$32+G2356*'Model Inputs &amp; Assumptions'!$P$32)*EXP('Model Inputs &amp; Assumptions'!$Q$32*S2356-'Model Inputs &amp; Assumptions'!$Q$32^2/2))</f>
        <v>106.353806189786</v>
      </c>
      <c r="I2356" s="49" t="n">
        <f aca="false">IF('Model Inputs &amp; Assumptions'!$H$32="Fixed",'Model Inputs &amp; Assumptions'!$I$32*'Model Inputs &amp; Assumptions'!$K$32,IF('Model Inputs &amp; Assumptions'!$H$32="CPM",'Model Inputs &amp; Assumptions'!$I$32*'Model Inputs &amp; Assumptions'!$K$32*C2356/1000,IF('Model Inputs &amp; Assumptions'!$H$32="CPC",'Model Inputs &amp; Assumptions'!$I$32*'Model Inputs &amp; Assumptions'!$K$32*G2356,0)))</f>
        <v>9497.964</v>
      </c>
      <c r="J2356" s="50" t="n">
        <f aca="false">H2356*INDEX('Model Inputs &amp; Assumptions'!$D$40:$D$42,MATCH('Model Inputs &amp; Assumptions'!$L$32,'Model Inputs &amp; Assumptions'!$A$40:$A$42,0))*INDEX('Model Inputs &amp; Assumptions'!$H$40:$H$42,MATCH('Model Inputs &amp; Assumptions'!$L$32,'Model Inputs &amp; Assumptions'!$A$40:$A$42,0))</f>
        <v>574310.553424846</v>
      </c>
      <c r="K2356" s="49" t="n">
        <f aca="false">H2356*INDEX('Model Inputs &amp; Assumptions'!$G$40:$G$42,MATCH('Model Inputs &amp; Assumptions'!$L$32,'Model Inputs &amp; Assumptions'!$A$40:$A$42,0))*INDEX('Model Inputs &amp; Assumptions'!$H$40:$H$42,MATCH('Model Inputs &amp; Assumptions'!$L$32,'Model Inputs &amp; Assumptions'!$A$40:$A$42,0))</f>
        <v>12060.5216219218</v>
      </c>
      <c r="L2356" s="51" t="n">
        <f aca="false">IFERROR(K2356/I2356,0)</f>
        <v>1.26980073012719</v>
      </c>
      <c r="M2356" s="49" t="n">
        <f aca="false">IFERROR(I2356/H2356,0)</f>
        <v>89.3053510755513</v>
      </c>
      <c r="N2356" s="52" t="str">
        <f aca="false">'Model Inputs &amp; Assumptions'!$L$32</f>
        <v>PRD-SP01</v>
      </c>
      <c r="P2356" s="53" t="n">
        <v>-1.237169</v>
      </c>
      <c r="Q2356" s="53" t="n">
        <v>-0.387419</v>
      </c>
      <c r="R2356" s="53" t="n">
        <v>-0.019549</v>
      </c>
      <c r="S2356" s="53" t="n">
        <v>-0.245768</v>
      </c>
    </row>
    <row r="2357" customFormat="false" ht="15" hidden="false" customHeight="false" outlineLevel="0" collapsed="false">
      <c r="A2357" s="43" t="n">
        <v>354</v>
      </c>
      <c r="B2357" s="44" t="str">
        <f aca="false">'Model Inputs &amp; Assumptions'!$B$32</f>
        <v>Trade Republic — In-App Display</v>
      </c>
      <c r="C2357" s="45" t="n">
        <f aca="false">ROUND(MAX(0,'Model Inputs &amp; Assumptions'!$S$32*EXP('Model Inputs &amp; Assumptions'!$T$32*P2357-'Model Inputs &amp; Assumptions'!$T$32^2/2)),0)</f>
        <v>921481</v>
      </c>
      <c r="D2357" s="46" t="n">
        <f aca="false">MIN(1,'Model Inputs &amp; Assumptions'!$U$32*EXP('Model Inputs &amp; Assumptions'!$V$32*Q2357-'Model Inputs &amp; Assumptions'!$V$32^2/2))</f>
        <v>0</v>
      </c>
      <c r="E2357" s="45" t="n">
        <f aca="false">ROUND(C2357*D2357,0)</f>
        <v>0</v>
      </c>
      <c r="F2357" s="47" t="n">
        <f aca="false">MIN(1,'Model Inputs &amp; Assumptions'!$W$32*EXP('Model Inputs &amp; Assumptions'!$X$32*R2357-'Model Inputs &amp; Assumptions'!$X$32^2/2))</f>
        <v>0.00374308286933937</v>
      </c>
      <c r="G2357" s="45" t="n">
        <f aca="false">ROUND(C2357*F2357,0)</f>
        <v>3449</v>
      </c>
      <c r="H2357" s="48" t="n">
        <f aca="false">MAX(0,(C2357*'Model Inputs &amp; Assumptions'!$N$32+E2357*'Model Inputs &amp; Assumptions'!$O$32+G2357*'Model Inputs &amp; Assumptions'!$P$32)*EXP('Model Inputs &amp; Assumptions'!$Q$32*S2357-'Model Inputs &amp; Assumptions'!$Q$32^2/2))</f>
        <v>145.37835135196</v>
      </c>
      <c r="I2357" s="49" t="n">
        <f aca="false">IF('Model Inputs &amp; Assumptions'!$H$32="Fixed",'Model Inputs &amp; Assumptions'!$I$32*'Model Inputs &amp; Assumptions'!$K$32,IF('Model Inputs &amp; Assumptions'!$H$32="CPM",'Model Inputs &amp; Assumptions'!$I$32*'Model Inputs &amp; Assumptions'!$K$32*C2357/1000,IF('Model Inputs &amp; Assumptions'!$H$32="CPC",'Model Inputs &amp; Assumptions'!$I$32*'Model Inputs &amp; Assumptions'!$K$32*G2357,0)))</f>
        <v>11057.772</v>
      </c>
      <c r="J2357" s="50" t="n">
        <f aca="false">H2357*INDEX('Model Inputs &amp; Assumptions'!$D$40:$D$42,MATCH('Model Inputs &amp; Assumptions'!$L$32,'Model Inputs &amp; Assumptions'!$A$40:$A$42,0))*INDEX('Model Inputs &amp; Assumptions'!$H$40:$H$42,MATCH('Model Inputs &amp; Assumptions'!$L$32,'Model Inputs &amp; Assumptions'!$A$40:$A$42,0))</f>
        <v>785043.097300582</v>
      </c>
      <c r="K2357" s="49" t="n">
        <f aca="false">H2357*INDEX('Model Inputs &amp; Assumptions'!$G$40:$G$42,MATCH('Model Inputs &amp; Assumptions'!$L$32,'Model Inputs &amp; Assumptions'!$A$40:$A$42,0))*INDEX('Model Inputs &amp; Assumptions'!$H$40:$H$42,MATCH('Model Inputs &amp; Assumptions'!$L$32,'Model Inputs &amp; Assumptions'!$A$40:$A$42,0))</f>
        <v>16485.9050433122</v>
      </c>
      <c r="L2357" s="51" t="n">
        <f aca="false">IFERROR(K2357/I2357,0)</f>
        <v>1.49088849393099</v>
      </c>
      <c r="M2357" s="49" t="n">
        <f aca="false">IFERROR(I2357/H2357,0)</f>
        <v>76.0620264101719</v>
      </c>
      <c r="N2357" s="52" t="str">
        <f aca="false">'Model Inputs &amp; Assumptions'!$L$32</f>
        <v>PRD-SP01</v>
      </c>
      <c r="P2357" s="53" t="n">
        <v>-0.730314</v>
      </c>
      <c r="Q2357" s="53" t="n">
        <v>0.771113</v>
      </c>
      <c r="R2357" s="53" t="n">
        <v>0.373822</v>
      </c>
      <c r="S2357" s="53" t="n">
        <v>-0.093597</v>
      </c>
    </row>
    <row r="2358" customFormat="false" ht="15" hidden="false" customHeight="false" outlineLevel="0" collapsed="false">
      <c r="A2358" s="43" t="n">
        <v>355</v>
      </c>
      <c r="B2358" s="44" t="str">
        <f aca="false">'Model Inputs &amp; Assumptions'!$B$32</f>
        <v>Trade Republic — In-App Display</v>
      </c>
      <c r="C2358" s="45" t="n">
        <f aca="false">ROUND(MAX(0,'Model Inputs &amp; Assumptions'!$S$32*EXP('Model Inputs &amp; Assumptions'!$T$32*P2358-'Model Inputs &amp; Assumptions'!$T$32^2/2)),0)</f>
        <v>1156153</v>
      </c>
      <c r="D2358" s="46" t="n">
        <f aca="false">MIN(1,'Model Inputs &amp; Assumptions'!$U$32*EXP('Model Inputs &amp; Assumptions'!$V$32*Q2358-'Model Inputs &amp; Assumptions'!$V$32^2/2))</f>
        <v>0</v>
      </c>
      <c r="E2358" s="45" t="n">
        <f aca="false">ROUND(C2358*D2358,0)</f>
        <v>0</v>
      </c>
      <c r="F2358" s="47" t="n">
        <f aca="false">MIN(1,'Model Inputs &amp; Assumptions'!$W$32*EXP('Model Inputs &amp; Assumptions'!$X$32*R2358-'Model Inputs &amp; Assumptions'!$X$32^2/2))</f>
        <v>0.0025386706261632</v>
      </c>
      <c r="G2358" s="45" t="n">
        <f aca="false">ROUND(C2358*F2358,0)</f>
        <v>2935</v>
      </c>
      <c r="H2358" s="48" t="n">
        <f aca="false">MAX(0,(C2358*'Model Inputs &amp; Assumptions'!$N$32+E2358*'Model Inputs &amp; Assumptions'!$O$32+G2358*'Model Inputs &amp; Assumptions'!$P$32)*EXP('Model Inputs &amp; Assumptions'!$Q$32*S2358-'Model Inputs &amp; Assumptions'!$Q$32^2/2))</f>
        <v>151.765059371741</v>
      </c>
      <c r="I2358" s="49" t="n">
        <f aca="false">IF('Model Inputs &amp; Assumptions'!$H$32="Fixed",'Model Inputs &amp; Assumptions'!$I$32*'Model Inputs &amp; Assumptions'!$K$32,IF('Model Inputs &amp; Assumptions'!$H$32="CPM",'Model Inputs &amp; Assumptions'!$I$32*'Model Inputs &amp; Assumptions'!$K$32*C2358/1000,IF('Model Inputs &amp; Assumptions'!$H$32="CPC",'Model Inputs &amp; Assumptions'!$I$32*'Model Inputs &amp; Assumptions'!$K$32*G2358,0)))</f>
        <v>13873.836</v>
      </c>
      <c r="J2358" s="50" t="n">
        <f aca="false">H2358*INDEX('Model Inputs &amp; Assumptions'!$D$40:$D$42,MATCH('Model Inputs &amp; Assumptions'!$L$32,'Model Inputs &amp; Assumptions'!$A$40:$A$42,0))*INDEX('Model Inputs &amp; Assumptions'!$H$40:$H$42,MATCH('Model Inputs &amp; Assumptions'!$L$32,'Model Inputs &amp; Assumptions'!$A$40:$A$42,0))</f>
        <v>819531.320607404</v>
      </c>
      <c r="K2358" s="49" t="n">
        <f aca="false">H2358*INDEX('Model Inputs &amp; Assumptions'!$G$40:$G$42,MATCH('Model Inputs &amp; Assumptions'!$L$32,'Model Inputs &amp; Assumptions'!$A$40:$A$42,0))*INDEX('Model Inputs &amp; Assumptions'!$H$40:$H$42,MATCH('Model Inputs &amp; Assumptions'!$L$32,'Model Inputs &amp; Assumptions'!$A$40:$A$42,0))</f>
        <v>17210.1577327555</v>
      </c>
      <c r="L2358" s="51" t="n">
        <f aca="false">IFERROR(K2358/I2358,0)</f>
        <v>1.24047579434812</v>
      </c>
      <c r="M2358" s="49" t="n">
        <f aca="false">IFERROR(I2358/H2358,0)</f>
        <v>91.4165359103948</v>
      </c>
      <c r="N2358" s="52" t="str">
        <f aca="false">'Model Inputs &amp; Assumptions'!$L$32</f>
        <v>PRD-SP01</v>
      </c>
      <c r="P2358" s="53" t="n">
        <v>0.025921</v>
      </c>
      <c r="Q2358" s="53" t="n">
        <v>-0.938862</v>
      </c>
      <c r="R2358" s="53" t="n">
        <v>-0.920408</v>
      </c>
      <c r="S2358" s="53" t="n">
        <v>0.636299</v>
      </c>
    </row>
    <row r="2359" customFormat="false" ht="15" hidden="false" customHeight="false" outlineLevel="0" collapsed="false">
      <c r="A2359" s="43" t="n">
        <v>356</v>
      </c>
      <c r="B2359" s="44" t="str">
        <f aca="false">'Model Inputs &amp; Assumptions'!$B$32</f>
        <v>Trade Republic — In-App Display</v>
      </c>
      <c r="C2359" s="45" t="n">
        <f aca="false">ROUND(MAX(0,'Model Inputs &amp; Assumptions'!$S$32*EXP('Model Inputs &amp; Assumptions'!$T$32*P2359-'Model Inputs &amp; Assumptions'!$T$32^2/2)),0)</f>
        <v>869438</v>
      </c>
      <c r="D2359" s="46" t="n">
        <f aca="false">MIN(1,'Model Inputs &amp; Assumptions'!$U$32*EXP('Model Inputs &amp; Assumptions'!$V$32*Q2359-'Model Inputs &amp; Assumptions'!$V$32^2/2))</f>
        <v>0</v>
      </c>
      <c r="E2359" s="45" t="n">
        <f aca="false">ROUND(C2359*D2359,0)</f>
        <v>0</v>
      </c>
      <c r="F2359" s="47" t="n">
        <f aca="false">MIN(1,'Model Inputs &amp; Assumptions'!$W$32*EXP('Model Inputs &amp; Assumptions'!$X$32*R2359-'Model Inputs &amp; Assumptions'!$X$32^2/2))</f>
        <v>0.00302054013636471</v>
      </c>
      <c r="G2359" s="45" t="n">
        <f aca="false">ROUND(C2359*F2359,0)</f>
        <v>2626</v>
      </c>
      <c r="H2359" s="48" t="n">
        <f aca="false">MAX(0,(C2359*'Model Inputs &amp; Assumptions'!$N$32+E2359*'Model Inputs &amp; Assumptions'!$O$32+G2359*'Model Inputs &amp; Assumptions'!$P$32)*EXP('Model Inputs &amp; Assumptions'!$Q$32*S2359-'Model Inputs &amp; Assumptions'!$Q$32^2/2))</f>
        <v>124.493679263851</v>
      </c>
      <c r="I2359" s="49" t="n">
        <f aca="false">IF('Model Inputs &amp; Assumptions'!$H$32="Fixed",'Model Inputs &amp; Assumptions'!$I$32*'Model Inputs &amp; Assumptions'!$K$32,IF('Model Inputs &amp; Assumptions'!$H$32="CPM",'Model Inputs &amp; Assumptions'!$I$32*'Model Inputs &amp; Assumptions'!$K$32*C2359/1000,IF('Model Inputs &amp; Assumptions'!$H$32="CPC",'Model Inputs &amp; Assumptions'!$I$32*'Model Inputs &amp; Assumptions'!$K$32*G2359,0)))</f>
        <v>10433.256</v>
      </c>
      <c r="J2359" s="50" t="n">
        <f aca="false">H2359*INDEX('Model Inputs &amp; Assumptions'!$D$40:$D$42,MATCH('Model Inputs &amp; Assumptions'!$L$32,'Model Inputs &amp; Assumptions'!$A$40:$A$42,0))*INDEX('Model Inputs &amp; Assumptions'!$H$40:$H$42,MATCH('Model Inputs &amp; Assumptions'!$L$32,'Model Inputs &amp; Assumptions'!$A$40:$A$42,0))</f>
        <v>672265.868024797</v>
      </c>
      <c r="K2359" s="49" t="n">
        <f aca="false">H2359*INDEX('Model Inputs &amp; Assumptions'!$G$40:$G$42,MATCH('Model Inputs &amp; Assumptions'!$L$32,'Model Inputs &amp; Assumptions'!$A$40:$A$42,0))*INDEX('Model Inputs &amp; Assumptions'!$H$40:$H$42,MATCH('Model Inputs &amp; Assumptions'!$L$32,'Model Inputs &amp; Assumptions'!$A$40:$A$42,0))</f>
        <v>14117.5832285207</v>
      </c>
      <c r="L2359" s="51" t="n">
        <f aca="false">IFERROR(K2359/I2359,0)</f>
        <v>1.35313302276113</v>
      </c>
      <c r="M2359" s="49" t="n">
        <f aca="false">IFERROR(I2359/H2359,0)</f>
        <v>83.8055077309412</v>
      </c>
      <c r="N2359" s="52" t="str">
        <f aca="false">'Model Inputs &amp; Assumptions'!$L$32</f>
        <v>PRD-SP01</v>
      </c>
      <c r="P2359" s="53" t="n">
        <v>-0.9241</v>
      </c>
      <c r="Q2359" s="53" t="n">
        <v>0.213295</v>
      </c>
      <c r="R2359" s="53" t="n">
        <v>-0.341091</v>
      </c>
      <c r="S2359" s="53" t="n">
        <v>0.326181</v>
      </c>
    </row>
    <row r="2360" customFormat="false" ht="15" hidden="false" customHeight="false" outlineLevel="0" collapsed="false">
      <c r="A2360" s="43" t="n">
        <v>357</v>
      </c>
      <c r="B2360" s="44" t="str">
        <f aca="false">'Model Inputs &amp; Assumptions'!$B$32</f>
        <v>Trade Republic — In-App Display</v>
      </c>
      <c r="C2360" s="45" t="n">
        <f aca="false">ROUND(MAX(0,'Model Inputs &amp; Assumptions'!$S$32*EXP('Model Inputs &amp; Assumptions'!$T$32*P2360-'Model Inputs &amp; Assumptions'!$T$32^2/2)),0)</f>
        <v>1145572</v>
      </c>
      <c r="D2360" s="46" t="n">
        <f aca="false">MIN(1,'Model Inputs &amp; Assumptions'!$U$32*EXP('Model Inputs &amp; Assumptions'!$V$32*Q2360-'Model Inputs &amp; Assumptions'!$V$32^2/2))</f>
        <v>0</v>
      </c>
      <c r="E2360" s="45" t="n">
        <f aca="false">ROUND(C2360*D2360,0)</f>
        <v>0</v>
      </c>
      <c r="F2360" s="47" t="n">
        <f aca="false">MIN(1,'Model Inputs &amp; Assumptions'!$W$32*EXP('Model Inputs &amp; Assumptions'!$X$32*R2360-'Model Inputs &amp; Assumptions'!$X$32^2/2))</f>
        <v>0.00382338695986762</v>
      </c>
      <c r="G2360" s="45" t="n">
        <f aca="false">ROUND(C2360*F2360,0)</f>
        <v>4380</v>
      </c>
      <c r="H2360" s="48" t="n">
        <f aca="false">MAX(0,(C2360*'Model Inputs &amp; Assumptions'!$N$32+E2360*'Model Inputs &amp; Assumptions'!$O$32+G2360*'Model Inputs &amp; Assumptions'!$P$32)*EXP('Model Inputs &amp; Assumptions'!$Q$32*S2360-'Model Inputs &amp; Assumptions'!$Q$32^2/2))</f>
        <v>155.31886761186</v>
      </c>
      <c r="I2360" s="49" t="n">
        <f aca="false">IF('Model Inputs &amp; Assumptions'!$H$32="Fixed",'Model Inputs &amp; Assumptions'!$I$32*'Model Inputs &amp; Assumptions'!$K$32,IF('Model Inputs &amp; Assumptions'!$H$32="CPM",'Model Inputs &amp; Assumptions'!$I$32*'Model Inputs &amp; Assumptions'!$K$32*C2360/1000,IF('Model Inputs &amp; Assumptions'!$H$32="CPC",'Model Inputs &amp; Assumptions'!$I$32*'Model Inputs &amp; Assumptions'!$K$32*G2360,0)))</f>
        <v>13746.864</v>
      </c>
      <c r="J2360" s="50" t="n">
        <f aca="false">H2360*INDEX('Model Inputs &amp; Assumptions'!$D$40:$D$42,MATCH('Model Inputs &amp; Assumptions'!$L$32,'Model Inputs &amp; Assumptions'!$A$40:$A$42,0))*INDEX('Model Inputs &amp; Assumptions'!$H$40:$H$42,MATCH('Model Inputs &amp; Assumptions'!$L$32,'Model Inputs &amp; Assumptions'!$A$40:$A$42,0))</f>
        <v>838721.885104042</v>
      </c>
      <c r="K2360" s="49" t="n">
        <f aca="false">H2360*INDEX('Model Inputs &amp; Assumptions'!$G$40:$G$42,MATCH('Model Inputs &amp; Assumptions'!$L$32,'Model Inputs &amp; Assumptions'!$A$40:$A$42,0))*INDEX('Model Inputs &amp; Assumptions'!$H$40:$H$42,MATCH('Model Inputs &amp; Assumptions'!$L$32,'Model Inputs &amp; Assumptions'!$A$40:$A$42,0))</f>
        <v>17613.1595871849</v>
      </c>
      <c r="L2360" s="51" t="n">
        <f aca="false">IFERROR(K2360/I2360,0)</f>
        <v>1.28124927890353</v>
      </c>
      <c r="M2360" s="49" t="n">
        <f aca="false">IFERROR(I2360/H2360,0)</f>
        <v>88.5073668857365</v>
      </c>
      <c r="N2360" s="52" t="str">
        <f aca="false">'Model Inputs &amp; Assumptions'!$L$32</f>
        <v>PRD-SP01</v>
      </c>
      <c r="P2360" s="53" t="n">
        <v>-0.004726</v>
      </c>
      <c r="Q2360" s="53" t="n">
        <v>0.603905</v>
      </c>
      <c r="R2360" s="53" t="n">
        <v>0.444579</v>
      </c>
      <c r="S2360" s="53" t="n">
        <v>-0.710825</v>
      </c>
    </row>
    <row r="2361" customFormat="false" ht="15" hidden="false" customHeight="false" outlineLevel="0" collapsed="false">
      <c r="A2361" s="43" t="n">
        <v>358</v>
      </c>
      <c r="B2361" s="44" t="str">
        <f aca="false">'Model Inputs &amp; Assumptions'!$B$32</f>
        <v>Trade Republic — In-App Display</v>
      </c>
      <c r="C2361" s="45" t="n">
        <f aca="false">ROUND(MAX(0,'Model Inputs &amp; Assumptions'!$S$32*EXP('Model Inputs &amp; Assumptions'!$T$32*P2361-'Model Inputs &amp; Assumptions'!$T$32^2/2)),0)</f>
        <v>1251405</v>
      </c>
      <c r="D2361" s="46" t="n">
        <f aca="false">MIN(1,'Model Inputs &amp; Assumptions'!$U$32*EXP('Model Inputs &amp; Assumptions'!$V$32*Q2361-'Model Inputs &amp; Assumptions'!$V$32^2/2))</f>
        <v>0</v>
      </c>
      <c r="E2361" s="45" t="n">
        <f aca="false">ROUND(C2361*D2361,0)</f>
        <v>0</v>
      </c>
      <c r="F2361" s="47" t="n">
        <f aca="false">MIN(1,'Model Inputs &amp; Assumptions'!$W$32*EXP('Model Inputs &amp; Assumptions'!$X$32*R2361-'Model Inputs &amp; Assumptions'!$X$32^2/2))</f>
        <v>0.00294354685797651</v>
      </c>
      <c r="G2361" s="45" t="n">
        <f aca="false">ROUND(C2361*F2361,0)</f>
        <v>3684</v>
      </c>
      <c r="H2361" s="48" t="n">
        <f aca="false">MAX(0,(C2361*'Model Inputs &amp; Assumptions'!$N$32+E2361*'Model Inputs &amp; Assumptions'!$O$32+G2361*'Model Inputs &amp; Assumptions'!$P$32)*EXP('Model Inputs &amp; Assumptions'!$Q$32*S2361-'Model Inputs &amp; Assumptions'!$Q$32^2/2))</f>
        <v>195.10735161075</v>
      </c>
      <c r="I2361" s="49" t="n">
        <f aca="false">IF('Model Inputs &amp; Assumptions'!$H$32="Fixed",'Model Inputs &amp; Assumptions'!$I$32*'Model Inputs &amp; Assumptions'!$K$32,IF('Model Inputs &amp; Assumptions'!$H$32="CPM",'Model Inputs &amp; Assumptions'!$I$32*'Model Inputs &amp; Assumptions'!$K$32*C2361/1000,IF('Model Inputs &amp; Assumptions'!$H$32="CPC",'Model Inputs &amp; Assumptions'!$I$32*'Model Inputs &amp; Assumptions'!$K$32*G2361,0)))</f>
        <v>15016.86</v>
      </c>
      <c r="J2361" s="50" t="n">
        <f aca="false">H2361*INDEX('Model Inputs &amp; Assumptions'!$D$40:$D$42,MATCH('Model Inputs &amp; Assumptions'!$L$32,'Model Inputs &amp; Assumptions'!$A$40:$A$42,0))*INDEX('Model Inputs &amp; Assumptions'!$H$40:$H$42,MATCH('Model Inputs &amp; Assumptions'!$L$32,'Model Inputs &amp; Assumptions'!$A$40:$A$42,0))</f>
        <v>1053579.69869805</v>
      </c>
      <c r="K2361" s="49" t="n">
        <f aca="false">H2361*INDEX('Model Inputs &amp; Assumptions'!$G$40:$G$42,MATCH('Model Inputs &amp; Assumptions'!$L$32,'Model Inputs &amp; Assumptions'!$A$40:$A$42,0))*INDEX('Model Inputs &amp; Assumptions'!$H$40:$H$42,MATCH('Model Inputs &amp; Assumptions'!$L$32,'Model Inputs &amp; Assumptions'!$A$40:$A$42,0))</f>
        <v>22125.1736726591</v>
      </c>
      <c r="L2361" s="51" t="n">
        <f aca="false">IFERROR(K2361/I2361,0)</f>
        <v>1.47335552656541</v>
      </c>
      <c r="M2361" s="49" t="n">
        <f aca="false">IFERROR(I2361/H2361,0)</f>
        <v>76.9671664139004</v>
      </c>
      <c r="N2361" s="52" t="str">
        <f aca="false">'Model Inputs &amp; Assumptions'!$L$32</f>
        <v>PRD-SP01</v>
      </c>
      <c r="P2361" s="53" t="n">
        <v>0.289818</v>
      </c>
      <c r="Q2361" s="53" t="n">
        <v>0.406081</v>
      </c>
      <c r="R2361" s="53" t="n">
        <v>-0.427159</v>
      </c>
      <c r="S2361" s="53" t="n">
        <v>0.721744</v>
      </c>
    </row>
    <row r="2362" customFormat="false" ht="15" hidden="false" customHeight="false" outlineLevel="0" collapsed="false">
      <c r="A2362" s="43" t="n">
        <v>359</v>
      </c>
      <c r="B2362" s="44" t="str">
        <f aca="false">'Model Inputs &amp; Assumptions'!$B$32</f>
        <v>Trade Republic — In-App Display</v>
      </c>
      <c r="C2362" s="45" t="n">
        <f aca="false">ROUND(MAX(0,'Model Inputs &amp; Assumptions'!$S$32*EXP('Model Inputs &amp; Assumptions'!$T$32*P2362-'Model Inputs &amp; Assumptions'!$T$32^2/2)),0)</f>
        <v>1315385</v>
      </c>
      <c r="D2362" s="46" t="n">
        <f aca="false">MIN(1,'Model Inputs &amp; Assumptions'!$U$32*EXP('Model Inputs &amp; Assumptions'!$V$32*Q2362-'Model Inputs &amp; Assumptions'!$V$32^2/2))</f>
        <v>0</v>
      </c>
      <c r="E2362" s="45" t="n">
        <f aca="false">ROUND(C2362*D2362,0)</f>
        <v>0</v>
      </c>
      <c r="F2362" s="47" t="n">
        <f aca="false">MIN(1,'Model Inputs &amp; Assumptions'!$W$32*EXP('Model Inputs &amp; Assumptions'!$X$32*R2362-'Model Inputs &amp; Assumptions'!$X$32^2/2))</f>
        <v>0.00738923098884038</v>
      </c>
      <c r="G2362" s="45" t="n">
        <f aca="false">ROUND(C2362*F2362,0)</f>
        <v>9720</v>
      </c>
      <c r="H2362" s="48" t="n">
        <f aca="false">MAX(0,(C2362*'Model Inputs &amp; Assumptions'!$N$32+E2362*'Model Inputs &amp; Assumptions'!$O$32+G2362*'Model Inputs &amp; Assumptions'!$P$32)*EXP('Model Inputs &amp; Assumptions'!$Q$32*S2362-'Model Inputs &amp; Assumptions'!$Q$32^2/2))</f>
        <v>331.403991157151</v>
      </c>
      <c r="I2362" s="49" t="n">
        <f aca="false">IF('Model Inputs &amp; Assumptions'!$H$32="Fixed",'Model Inputs &amp; Assumptions'!$I$32*'Model Inputs &amp; Assumptions'!$K$32,IF('Model Inputs &amp; Assumptions'!$H$32="CPM",'Model Inputs &amp; Assumptions'!$I$32*'Model Inputs &amp; Assumptions'!$K$32*C2362/1000,IF('Model Inputs &amp; Assumptions'!$H$32="CPC",'Model Inputs &amp; Assumptions'!$I$32*'Model Inputs &amp; Assumptions'!$K$32*G2362,0)))</f>
        <v>15784.62</v>
      </c>
      <c r="J2362" s="50" t="n">
        <f aca="false">H2362*INDEX('Model Inputs &amp; Assumptions'!$D$40:$D$42,MATCH('Model Inputs &amp; Assumptions'!$L$32,'Model Inputs &amp; Assumptions'!$A$40:$A$42,0))*INDEX('Model Inputs &amp; Assumptions'!$H$40:$H$42,MATCH('Model Inputs &amp; Assumptions'!$L$32,'Model Inputs &amp; Assumptions'!$A$40:$A$42,0))</f>
        <v>1789581.55224862</v>
      </c>
      <c r="K2362" s="49" t="n">
        <f aca="false">H2362*INDEX('Model Inputs &amp; Assumptions'!$G$40:$G$42,MATCH('Model Inputs &amp; Assumptions'!$L$32,'Model Inputs &amp; Assumptions'!$A$40:$A$42,0))*INDEX('Model Inputs &amp; Assumptions'!$H$40:$H$42,MATCH('Model Inputs &amp; Assumptions'!$L$32,'Model Inputs &amp; Assumptions'!$A$40:$A$42,0))</f>
        <v>37581.2125972209</v>
      </c>
      <c r="L2362" s="51" t="n">
        <f aca="false">IFERROR(K2362/I2362,0)</f>
        <v>2.38087534557189</v>
      </c>
      <c r="M2362" s="49" t="n">
        <f aca="false">IFERROR(I2362/H2362,0)</f>
        <v>47.6295410471233</v>
      </c>
      <c r="N2362" s="52" t="str">
        <f aca="false">'Model Inputs &amp; Assumptions'!$L$32</f>
        <v>PRD-SP01</v>
      </c>
      <c r="P2362" s="53" t="n">
        <v>0.456025</v>
      </c>
      <c r="Q2362" s="53" t="n">
        <v>-0.366823</v>
      </c>
      <c r="R2362" s="53" t="n">
        <v>2.640869</v>
      </c>
      <c r="S2362" s="53" t="n">
        <v>-0.851107</v>
      </c>
    </row>
    <row r="2363" customFormat="false" ht="15" hidden="false" customHeight="false" outlineLevel="0" collapsed="false">
      <c r="A2363" s="43" t="n">
        <v>360</v>
      </c>
      <c r="B2363" s="44" t="str">
        <f aca="false">'Model Inputs &amp; Assumptions'!$B$32</f>
        <v>Trade Republic — In-App Display</v>
      </c>
      <c r="C2363" s="45" t="n">
        <f aca="false">ROUND(MAX(0,'Model Inputs &amp; Assumptions'!$S$32*EXP('Model Inputs &amp; Assumptions'!$T$32*P2363-'Model Inputs &amp; Assumptions'!$T$32^2/2)),0)</f>
        <v>852976</v>
      </c>
      <c r="D2363" s="46" t="n">
        <f aca="false">MIN(1,'Model Inputs &amp; Assumptions'!$U$32*EXP('Model Inputs &amp; Assumptions'!$V$32*Q2363-'Model Inputs &amp; Assumptions'!$V$32^2/2))</f>
        <v>0</v>
      </c>
      <c r="E2363" s="45" t="n">
        <f aca="false">ROUND(C2363*D2363,0)</f>
        <v>0</v>
      </c>
      <c r="F2363" s="47" t="n">
        <f aca="false">MIN(1,'Model Inputs &amp; Assumptions'!$W$32*EXP('Model Inputs &amp; Assumptions'!$X$32*R2363-'Model Inputs &amp; Assumptions'!$X$32^2/2))</f>
        <v>0.00283647552312703</v>
      </c>
      <c r="G2363" s="45" t="n">
        <f aca="false">ROUND(C2363*F2363,0)</f>
        <v>2419</v>
      </c>
      <c r="H2363" s="48" t="n">
        <f aca="false">MAX(0,(C2363*'Model Inputs &amp; Assumptions'!$N$32+E2363*'Model Inputs &amp; Assumptions'!$O$32+G2363*'Model Inputs &amp; Assumptions'!$P$32)*EXP('Model Inputs &amp; Assumptions'!$Q$32*S2363-'Model Inputs &amp; Assumptions'!$Q$32^2/2))</f>
        <v>185.130103746349</v>
      </c>
      <c r="I2363" s="49" t="n">
        <f aca="false">IF('Model Inputs &amp; Assumptions'!$H$32="Fixed",'Model Inputs &amp; Assumptions'!$I$32*'Model Inputs &amp; Assumptions'!$K$32,IF('Model Inputs &amp; Assumptions'!$H$32="CPM",'Model Inputs &amp; Assumptions'!$I$32*'Model Inputs &amp; Assumptions'!$K$32*C2363/1000,IF('Model Inputs &amp; Assumptions'!$H$32="CPC",'Model Inputs &amp; Assumptions'!$I$32*'Model Inputs &amp; Assumptions'!$K$32*G2363,0)))</f>
        <v>10235.712</v>
      </c>
      <c r="J2363" s="50" t="n">
        <f aca="false">H2363*INDEX('Model Inputs &amp; Assumptions'!$D$40:$D$42,MATCH('Model Inputs &amp; Assumptions'!$L$32,'Model Inputs &amp; Assumptions'!$A$40:$A$42,0))*INDEX('Model Inputs &amp; Assumptions'!$H$40:$H$42,MATCH('Model Inputs &amp; Assumptions'!$L$32,'Model Inputs &amp; Assumptions'!$A$40:$A$42,0))</f>
        <v>999702.560230283</v>
      </c>
      <c r="K2363" s="49" t="n">
        <f aca="false">H2363*INDEX('Model Inputs &amp; Assumptions'!$G$40:$G$42,MATCH('Model Inputs &amp; Assumptions'!$L$32,'Model Inputs &amp; Assumptions'!$A$40:$A$42,0))*INDEX('Model Inputs &amp; Assumptions'!$H$40:$H$42,MATCH('Model Inputs &amp; Assumptions'!$L$32,'Model Inputs &amp; Assumptions'!$A$40:$A$42,0))</f>
        <v>20993.753764836</v>
      </c>
      <c r="L2363" s="51" t="n">
        <f aca="false">IFERROR(K2363/I2363,0)</f>
        <v>2.05103013496628</v>
      </c>
      <c r="M2363" s="49" t="n">
        <f aca="false">IFERROR(I2363/H2363,0)</f>
        <v>55.2892900336954</v>
      </c>
      <c r="N2363" s="52" t="str">
        <f aca="false">'Model Inputs &amp; Assumptions'!$L$32</f>
        <v>PRD-SP01</v>
      </c>
      <c r="P2363" s="53" t="n">
        <v>-0.987819</v>
      </c>
      <c r="Q2363" s="53" t="n">
        <v>0.781378</v>
      </c>
      <c r="R2363" s="53" t="n">
        <v>-0.550669</v>
      </c>
      <c r="S2363" s="53" t="n">
        <v>2.036579</v>
      </c>
    </row>
    <row r="2364" customFormat="false" ht="15" hidden="false" customHeight="false" outlineLevel="0" collapsed="false">
      <c r="A2364" s="43" t="n">
        <v>361</v>
      </c>
      <c r="B2364" s="44" t="str">
        <f aca="false">'Model Inputs &amp; Assumptions'!$B$32</f>
        <v>Trade Republic — In-App Display</v>
      </c>
      <c r="C2364" s="45" t="n">
        <f aca="false">ROUND(MAX(0,'Model Inputs &amp; Assumptions'!$S$32*EXP('Model Inputs &amp; Assumptions'!$T$32*P2364-'Model Inputs &amp; Assumptions'!$T$32^2/2)),0)</f>
        <v>506766</v>
      </c>
      <c r="D2364" s="46" t="n">
        <f aca="false">MIN(1,'Model Inputs &amp; Assumptions'!$U$32*EXP('Model Inputs &amp; Assumptions'!$V$32*Q2364-'Model Inputs &amp; Assumptions'!$V$32^2/2))</f>
        <v>0</v>
      </c>
      <c r="E2364" s="45" t="n">
        <f aca="false">ROUND(C2364*D2364,0)</f>
        <v>0</v>
      </c>
      <c r="F2364" s="47" t="n">
        <f aca="false">MIN(1,'Model Inputs &amp; Assumptions'!$W$32*EXP('Model Inputs &amp; Assumptions'!$X$32*R2364-'Model Inputs &amp; Assumptions'!$X$32^2/2))</f>
        <v>0.00424755306830521</v>
      </c>
      <c r="G2364" s="45" t="n">
        <f aca="false">ROUND(C2364*F2364,0)</f>
        <v>2153</v>
      </c>
      <c r="H2364" s="48" t="n">
        <f aca="false">MAX(0,(C2364*'Model Inputs &amp; Assumptions'!$N$32+E2364*'Model Inputs &amp; Assumptions'!$O$32+G2364*'Model Inputs &amp; Assumptions'!$P$32)*EXP('Model Inputs &amp; Assumptions'!$Q$32*S2364-'Model Inputs &amp; Assumptions'!$Q$32^2/2))</f>
        <v>89.6917281655991</v>
      </c>
      <c r="I2364" s="49" t="n">
        <f aca="false">IF('Model Inputs &amp; Assumptions'!$H$32="Fixed",'Model Inputs &amp; Assumptions'!$I$32*'Model Inputs &amp; Assumptions'!$K$32,IF('Model Inputs &amp; Assumptions'!$H$32="CPM",'Model Inputs &amp; Assumptions'!$I$32*'Model Inputs &amp; Assumptions'!$K$32*C2364/1000,IF('Model Inputs &amp; Assumptions'!$H$32="CPC",'Model Inputs &amp; Assumptions'!$I$32*'Model Inputs &amp; Assumptions'!$K$32*G2364,0)))</f>
        <v>6081.192</v>
      </c>
      <c r="J2364" s="50" t="n">
        <f aca="false">H2364*INDEX('Model Inputs &amp; Assumptions'!$D$40:$D$42,MATCH('Model Inputs &amp; Assumptions'!$L$32,'Model Inputs &amp; Assumptions'!$A$40:$A$42,0))*INDEX('Model Inputs &amp; Assumptions'!$H$40:$H$42,MATCH('Model Inputs &amp; Assumptions'!$L$32,'Model Inputs &amp; Assumptions'!$A$40:$A$42,0))</f>
        <v>484335.332094235</v>
      </c>
      <c r="K2364" s="49" t="n">
        <f aca="false">H2364*INDEX('Model Inputs &amp; Assumptions'!$G$40:$G$42,MATCH('Model Inputs &amp; Assumptions'!$L$32,'Model Inputs &amp; Assumptions'!$A$40:$A$42,0))*INDEX('Model Inputs &amp; Assumptions'!$H$40:$H$42,MATCH('Model Inputs &amp; Assumptions'!$L$32,'Model Inputs &amp; Assumptions'!$A$40:$A$42,0))</f>
        <v>10171.0419739789</v>
      </c>
      <c r="L2364" s="51" t="n">
        <f aca="false">IFERROR(K2364/I2364,0)</f>
        <v>1.67254083968718</v>
      </c>
      <c r="M2364" s="49" t="n">
        <f aca="false">IFERROR(I2364/H2364,0)</f>
        <v>67.8010349936864</v>
      </c>
      <c r="N2364" s="52" t="str">
        <f aca="false">'Model Inputs &amp; Assumptions'!$L$32</f>
        <v>PRD-SP01</v>
      </c>
      <c r="P2364" s="53" t="n">
        <v>-2.723425</v>
      </c>
      <c r="Q2364" s="53" t="n">
        <v>0.220046</v>
      </c>
      <c r="R2364" s="53" t="n">
        <v>0.795267</v>
      </c>
      <c r="S2364" s="53" t="n">
        <v>-0.135522</v>
      </c>
    </row>
    <row r="2365" customFormat="false" ht="15" hidden="false" customHeight="false" outlineLevel="0" collapsed="false">
      <c r="A2365" s="43" t="n">
        <v>362</v>
      </c>
      <c r="B2365" s="44" t="str">
        <f aca="false">'Model Inputs &amp; Assumptions'!$B$32</f>
        <v>Trade Republic — In-App Display</v>
      </c>
      <c r="C2365" s="45" t="n">
        <f aca="false">ROUND(MAX(0,'Model Inputs &amp; Assumptions'!$S$32*EXP('Model Inputs &amp; Assumptions'!$T$32*P2365-'Model Inputs &amp; Assumptions'!$T$32^2/2)),0)</f>
        <v>1025190</v>
      </c>
      <c r="D2365" s="46" t="n">
        <f aca="false">MIN(1,'Model Inputs &amp; Assumptions'!$U$32*EXP('Model Inputs &amp; Assumptions'!$V$32*Q2365-'Model Inputs &amp; Assumptions'!$V$32^2/2))</f>
        <v>0</v>
      </c>
      <c r="E2365" s="45" t="n">
        <f aca="false">ROUND(C2365*D2365,0)</f>
        <v>0</v>
      </c>
      <c r="F2365" s="47" t="n">
        <f aca="false">MIN(1,'Model Inputs &amp; Assumptions'!$W$32*EXP('Model Inputs &amp; Assumptions'!$X$32*R2365-'Model Inputs &amp; Assumptions'!$X$32^2/2))</f>
        <v>0.00354758102030282</v>
      </c>
      <c r="G2365" s="45" t="n">
        <f aca="false">ROUND(C2365*F2365,0)</f>
        <v>3637</v>
      </c>
      <c r="H2365" s="48" t="n">
        <f aca="false">MAX(0,(C2365*'Model Inputs &amp; Assumptions'!$N$32+E2365*'Model Inputs &amp; Assumptions'!$O$32+G2365*'Model Inputs &amp; Assumptions'!$P$32)*EXP('Model Inputs &amp; Assumptions'!$Q$32*S2365-'Model Inputs &amp; Assumptions'!$Q$32^2/2))</f>
        <v>134.293047770587</v>
      </c>
      <c r="I2365" s="49" t="n">
        <f aca="false">IF('Model Inputs &amp; Assumptions'!$H$32="Fixed",'Model Inputs &amp; Assumptions'!$I$32*'Model Inputs &amp; Assumptions'!$K$32,IF('Model Inputs &amp; Assumptions'!$H$32="CPM",'Model Inputs &amp; Assumptions'!$I$32*'Model Inputs &amp; Assumptions'!$K$32*C2365/1000,IF('Model Inputs &amp; Assumptions'!$H$32="CPC",'Model Inputs &amp; Assumptions'!$I$32*'Model Inputs &amp; Assumptions'!$K$32*G2365,0)))</f>
        <v>12302.28</v>
      </c>
      <c r="J2365" s="50" t="n">
        <f aca="false">H2365*INDEX('Model Inputs &amp; Assumptions'!$D$40:$D$42,MATCH('Model Inputs &amp; Assumptions'!$L$32,'Model Inputs &amp; Assumptions'!$A$40:$A$42,0))*INDEX('Model Inputs &amp; Assumptions'!$H$40:$H$42,MATCH('Model Inputs &amp; Assumptions'!$L$32,'Model Inputs &amp; Assumptions'!$A$40:$A$42,0))</f>
        <v>725182.457961171</v>
      </c>
      <c r="K2365" s="49" t="n">
        <f aca="false">H2365*INDEX('Model Inputs &amp; Assumptions'!$G$40:$G$42,MATCH('Model Inputs &amp; Assumptions'!$L$32,'Model Inputs &amp; Assumptions'!$A$40:$A$42,0))*INDEX('Model Inputs &amp; Assumptions'!$H$40:$H$42,MATCH('Model Inputs &amp; Assumptions'!$L$32,'Model Inputs &amp; Assumptions'!$A$40:$A$42,0))</f>
        <v>15228.8316171846</v>
      </c>
      <c r="L2365" s="51" t="n">
        <f aca="false">IFERROR(K2365/I2365,0)</f>
        <v>1.23788692967357</v>
      </c>
      <c r="M2365" s="49" t="n">
        <f aca="false">IFERROR(I2365/H2365,0)</f>
        <v>91.6077206097517</v>
      </c>
      <c r="N2365" s="52" t="str">
        <f aca="false">'Model Inputs &amp; Assumptions'!$L$32</f>
        <v>PRD-SP01</v>
      </c>
      <c r="P2365" s="53" t="n">
        <v>-0.374813</v>
      </c>
      <c r="Q2365" s="53" t="n">
        <v>-0.344009</v>
      </c>
      <c r="R2365" s="53" t="n">
        <v>0.19501</v>
      </c>
      <c r="S2365" s="53" t="n">
        <v>-0.566419</v>
      </c>
    </row>
    <row r="2366" customFormat="false" ht="15" hidden="false" customHeight="false" outlineLevel="0" collapsed="false">
      <c r="A2366" s="43" t="n">
        <v>363</v>
      </c>
      <c r="B2366" s="44" t="str">
        <f aca="false">'Model Inputs &amp; Assumptions'!$B$32</f>
        <v>Trade Republic — In-App Display</v>
      </c>
      <c r="C2366" s="45" t="n">
        <f aca="false">ROUND(MAX(0,'Model Inputs &amp; Assumptions'!$S$32*EXP('Model Inputs &amp; Assumptions'!$T$32*P2366-'Model Inputs &amp; Assumptions'!$T$32^2/2)),0)</f>
        <v>1917822</v>
      </c>
      <c r="D2366" s="46" t="n">
        <f aca="false">MIN(1,'Model Inputs &amp; Assumptions'!$U$32*EXP('Model Inputs &amp; Assumptions'!$V$32*Q2366-'Model Inputs &amp; Assumptions'!$V$32^2/2))</f>
        <v>0</v>
      </c>
      <c r="E2366" s="45" t="n">
        <f aca="false">ROUND(C2366*D2366,0)</f>
        <v>0</v>
      </c>
      <c r="F2366" s="47" t="n">
        <f aca="false">MIN(1,'Model Inputs &amp; Assumptions'!$W$32*EXP('Model Inputs &amp; Assumptions'!$X$32*R2366-'Model Inputs &amp; Assumptions'!$X$32^2/2))</f>
        <v>0.00295830529379713</v>
      </c>
      <c r="G2366" s="45" t="n">
        <f aca="false">ROUND(C2366*F2366,0)</f>
        <v>5674</v>
      </c>
      <c r="H2366" s="48" t="n">
        <f aca="false">MAX(0,(C2366*'Model Inputs &amp; Assumptions'!$N$32+E2366*'Model Inputs &amp; Assumptions'!$O$32+G2366*'Model Inputs &amp; Assumptions'!$P$32)*EXP('Model Inputs &amp; Assumptions'!$Q$32*S2366-'Model Inputs &amp; Assumptions'!$Q$32^2/2))</f>
        <v>189.844141220523</v>
      </c>
      <c r="I2366" s="49" t="n">
        <f aca="false">IF('Model Inputs &amp; Assumptions'!$H$32="Fixed",'Model Inputs &amp; Assumptions'!$I$32*'Model Inputs &amp; Assumptions'!$K$32,IF('Model Inputs &amp; Assumptions'!$H$32="CPM",'Model Inputs &amp; Assumptions'!$I$32*'Model Inputs &amp; Assumptions'!$K$32*C2366/1000,IF('Model Inputs &amp; Assumptions'!$H$32="CPC",'Model Inputs &amp; Assumptions'!$I$32*'Model Inputs &amp; Assumptions'!$K$32*G2366,0)))</f>
        <v>23013.864</v>
      </c>
      <c r="J2366" s="50" t="n">
        <f aca="false">H2366*INDEX('Model Inputs &amp; Assumptions'!$D$40:$D$42,MATCH('Model Inputs &amp; Assumptions'!$L$32,'Model Inputs &amp; Assumptions'!$A$40:$A$42,0))*INDEX('Model Inputs &amp; Assumptions'!$H$40:$H$42,MATCH('Model Inputs &amp; Assumptions'!$L$32,'Model Inputs &amp; Assumptions'!$A$40:$A$42,0))</f>
        <v>1025158.36259082</v>
      </c>
      <c r="K2366" s="49" t="n">
        <f aca="false">H2366*INDEX('Model Inputs &amp; Assumptions'!$G$40:$G$42,MATCH('Model Inputs &amp; Assumptions'!$L$32,'Model Inputs &amp; Assumptions'!$A$40:$A$42,0))*INDEX('Model Inputs &amp; Assumptions'!$H$40:$H$42,MATCH('Model Inputs &amp; Assumptions'!$L$32,'Model Inputs &amp; Assumptions'!$A$40:$A$42,0))</f>
        <v>21528.3256144073</v>
      </c>
      <c r="L2366" s="51" t="n">
        <f aca="false">IFERROR(K2366/I2366,0)</f>
        <v>0.935450283985658</v>
      </c>
      <c r="M2366" s="49" t="n">
        <f aca="false">IFERROR(I2366/H2366,0)</f>
        <v>121.225042037337</v>
      </c>
      <c r="N2366" s="52" t="str">
        <f aca="false">'Model Inputs &amp; Assumptions'!$L$32</f>
        <v>PRD-SP01</v>
      </c>
      <c r="P2366" s="53" t="n">
        <v>1.712895</v>
      </c>
      <c r="Q2366" s="53" t="n">
        <v>-0.516088</v>
      </c>
      <c r="R2366" s="53" t="n">
        <v>-0.410488</v>
      </c>
      <c r="S2366" s="53" t="n">
        <v>-0.918405</v>
      </c>
    </row>
    <row r="2367" customFormat="false" ht="15" hidden="false" customHeight="false" outlineLevel="0" collapsed="false">
      <c r="A2367" s="43" t="n">
        <v>364</v>
      </c>
      <c r="B2367" s="44" t="str">
        <f aca="false">'Model Inputs &amp; Assumptions'!$B$32</f>
        <v>Trade Republic — In-App Display</v>
      </c>
      <c r="C2367" s="45" t="n">
        <f aca="false">ROUND(MAX(0,'Model Inputs &amp; Assumptions'!$S$32*EXP('Model Inputs &amp; Assumptions'!$T$32*P2367-'Model Inputs &amp; Assumptions'!$T$32^2/2)),0)</f>
        <v>866506</v>
      </c>
      <c r="D2367" s="46" t="n">
        <f aca="false">MIN(1,'Model Inputs &amp; Assumptions'!$U$32*EXP('Model Inputs &amp; Assumptions'!$V$32*Q2367-'Model Inputs &amp; Assumptions'!$V$32^2/2))</f>
        <v>0</v>
      </c>
      <c r="E2367" s="45" t="n">
        <f aca="false">ROUND(C2367*D2367,0)</f>
        <v>0</v>
      </c>
      <c r="F2367" s="47" t="n">
        <f aca="false">MIN(1,'Model Inputs &amp; Assumptions'!$W$32*EXP('Model Inputs &amp; Assumptions'!$X$32*R2367-'Model Inputs &amp; Assumptions'!$X$32^2/2))</f>
        <v>0.00326751863126992</v>
      </c>
      <c r="G2367" s="45" t="n">
        <f aca="false">ROUND(C2367*F2367,0)</f>
        <v>2831</v>
      </c>
      <c r="H2367" s="48" t="n">
        <f aca="false">MAX(0,(C2367*'Model Inputs &amp; Assumptions'!$N$32+E2367*'Model Inputs &amp; Assumptions'!$O$32+G2367*'Model Inputs &amp; Assumptions'!$P$32)*EXP('Model Inputs &amp; Assumptions'!$Q$32*S2367-'Model Inputs &amp; Assumptions'!$Q$32^2/2))</f>
        <v>131.776825512647</v>
      </c>
      <c r="I2367" s="49" t="n">
        <f aca="false">IF('Model Inputs &amp; Assumptions'!$H$32="Fixed",'Model Inputs &amp; Assumptions'!$I$32*'Model Inputs &amp; Assumptions'!$K$32,IF('Model Inputs &amp; Assumptions'!$H$32="CPM",'Model Inputs &amp; Assumptions'!$I$32*'Model Inputs &amp; Assumptions'!$K$32*C2367/1000,IF('Model Inputs &amp; Assumptions'!$H$32="CPC",'Model Inputs &amp; Assumptions'!$I$32*'Model Inputs &amp; Assumptions'!$K$32*G2367,0)))</f>
        <v>10398.072</v>
      </c>
      <c r="J2367" s="50" t="n">
        <f aca="false">H2367*INDEX('Model Inputs &amp; Assumptions'!$D$40:$D$42,MATCH('Model Inputs &amp; Assumptions'!$L$32,'Model Inputs &amp; Assumptions'!$A$40:$A$42,0))*INDEX('Model Inputs &amp; Assumptions'!$H$40:$H$42,MATCH('Model Inputs &amp; Assumptions'!$L$32,'Model Inputs &amp; Assumptions'!$A$40:$A$42,0))</f>
        <v>711594.857768293</v>
      </c>
      <c r="K2367" s="49" t="n">
        <f aca="false">H2367*INDEX('Model Inputs &amp; Assumptions'!$G$40:$G$42,MATCH('Model Inputs &amp; Assumptions'!$L$32,'Model Inputs &amp; Assumptions'!$A$40:$A$42,0))*INDEX('Model Inputs &amp; Assumptions'!$H$40:$H$42,MATCH('Model Inputs &amp; Assumptions'!$L$32,'Model Inputs &amp; Assumptions'!$A$40:$A$42,0))</f>
        <v>14943.4920131342</v>
      </c>
      <c r="L2367" s="51" t="n">
        <f aca="false">IFERROR(K2367/I2367,0)</f>
        <v>1.43714065579986</v>
      </c>
      <c r="M2367" s="49" t="n">
        <f aca="false">IFERROR(I2367/H2367,0)</f>
        <v>78.9066815014608</v>
      </c>
      <c r="N2367" s="52" t="str">
        <f aca="false">'Model Inputs &amp; Assumptions'!$L$32</f>
        <v>PRD-SP01</v>
      </c>
      <c r="P2367" s="53" t="n">
        <v>-0.935361</v>
      </c>
      <c r="Q2367" s="53" t="n">
        <v>-0.397719</v>
      </c>
      <c r="R2367" s="53" t="n">
        <v>-0.079107</v>
      </c>
      <c r="S2367" s="53" t="n">
        <v>0.260776</v>
      </c>
    </row>
    <row r="2368" customFormat="false" ht="15" hidden="false" customHeight="false" outlineLevel="0" collapsed="false">
      <c r="A2368" s="43" t="n">
        <v>365</v>
      </c>
      <c r="B2368" s="44" t="str">
        <f aca="false">'Model Inputs &amp; Assumptions'!$B$32</f>
        <v>Trade Republic — In-App Display</v>
      </c>
      <c r="C2368" s="45" t="n">
        <f aca="false">ROUND(MAX(0,'Model Inputs &amp; Assumptions'!$S$32*EXP('Model Inputs &amp; Assumptions'!$T$32*P2368-'Model Inputs &amp; Assumptions'!$T$32^2/2)),0)</f>
        <v>1523184</v>
      </c>
      <c r="D2368" s="46" t="n">
        <f aca="false">MIN(1,'Model Inputs &amp; Assumptions'!$U$32*EXP('Model Inputs &amp; Assumptions'!$V$32*Q2368-'Model Inputs &amp; Assumptions'!$V$32^2/2))</f>
        <v>0</v>
      </c>
      <c r="E2368" s="45" t="n">
        <f aca="false">ROUND(C2368*D2368,0)</f>
        <v>0</v>
      </c>
      <c r="F2368" s="47" t="n">
        <f aca="false">MIN(1,'Model Inputs &amp; Assumptions'!$W$32*EXP('Model Inputs &amp; Assumptions'!$X$32*R2368-'Model Inputs &amp; Assumptions'!$X$32^2/2))</f>
        <v>0.00291297084252507</v>
      </c>
      <c r="G2368" s="45" t="n">
        <f aca="false">ROUND(C2368*F2368,0)</f>
        <v>4437</v>
      </c>
      <c r="H2368" s="48" t="n">
        <f aca="false">MAX(0,(C2368*'Model Inputs &amp; Assumptions'!$N$32+E2368*'Model Inputs &amp; Assumptions'!$O$32+G2368*'Model Inputs &amp; Assumptions'!$P$32)*EXP('Model Inputs &amp; Assumptions'!$Q$32*S2368-'Model Inputs &amp; Assumptions'!$Q$32^2/2))</f>
        <v>148.082785988794</v>
      </c>
      <c r="I2368" s="49" t="n">
        <f aca="false">IF('Model Inputs &amp; Assumptions'!$H$32="Fixed",'Model Inputs &amp; Assumptions'!$I$32*'Model Inputs &amp; Assumptions'!$K$32,IF('Model Inputs &amp; Assumptions'!$H$32="CPM",'Model Inputs &amp; Assumptions'!$I$32*'Model Inputs &amp; Assumptions'!$K$32*C2368/1000,IF('Model Inputs &amp; Assumptions'!$H$32="CPC",'Model Inputs &amp; Assumptions'!$I$32*'Model Inputs &amp; Assumptions'!$K$32*G2368,0)))</f>
        <v>18278.208</v>
      </c>
      <c r="J2368" s="50" t="n">
        <f aca="false">H2368*INDEX('Model Inputs &amp; Assumptions'!$D$40:$D$42,MATCH('Model Inputs &amp; Assumptions'!$L$32,'Model Inputs &amp; Assumptions'!$A$40:$A$42,0))*INDEX('Model Inputs &amp; Assumptions'!$H$40:$H$42,MATCH('Model Inputs &amp; Assumptions'!$L$32,'Model Inputs &amp; Assumptions'!$A$40:$A$42,0))</f>
        <v>799647.044339485</v>
      </c>
      <c r="K2368" s="49" t="n">
        <f aca="false">H2368*INDEX('Model Inputs &amp; Assumptions'!$G$40:$G$42,MATCH('Model Inputs &amp; Assumptions'!$L$32,'Model Inputs &amp; Assumptions'!$A$40:$A$42,0))*INDEX('Model Inputs &amp; Assumptions'!$H$40:$H$42,MATCH('Model Inputs &amp; Assumptions'!$L$32,'Model Inputs &amp; Assumptions'!$A$40:$A$42,0))</f>
        <v>16792.5879311292</v>
      </c>
      <c r="L2368" s="51" t="n">
        <f aca="false">IFERROR(K2368/I2368,0)</f>
        <v>0.91872178777751</v>
      </c>
      <c r="M2368" s="49" t="n">
        <f aca="false">IFERROR(I2368/H2368,0)</f>
        <v>123.432361688436</v>
      </c>
      <c r="N2368" s="52" t="str">
        <f aca="false">'Model Inputs &amp; Assumptions'!$L$32</f>
        <v>PRD-SP01</v>
      </c>
      <c r="P2368" s="53" t="n">
        <v>0.944938</v>
      </c>
      <c r="Q2368" s="53" t="n">
        <v>-0.861066</v>
      </c>
      <c r="R2368" s="53" t="n">
        <v>-0.461965</v>
      </c>
      <c r="S2368" s="53" t="n">
        <v>-0.927391</v>
      </c>
    </row>
    <row r="2369" customFormat="false" ht="15" hidden="false" customHeight="false" outlineLevel="0" collapsed="false">
      <c r="A2369" s="43" t="n">
        <v>366</v>
      </c>
      <c r="B2369" s="44" t="str">
        <f aca="false">'Model Inputs &amp; Assumptions'!$B$32</f>
        <v>Trade Republic — In-App Display</v>
      </c>
      <c r="C2369" s="45" t="n">
        <f aca="false">ROUND(MAX(0,'Model Inputs &amp; Assumptions'!$S$32*EXP('Model Inputs &amp; Assumptions'!$T$32*P2369-'Model Inputs &amp; Assumptions'!$T$32^2/2)),0)</f>
        <v>1705620</v>
      </c>
      <c r="D2369" s="46" t="n">
        <f aca="false">MIN(1,'Model Inputs &amp; Assumptions'!$U$32*EXP('Model Inputs &amp; Assumptions'!$V$32*Q2369-'Model Inputs &amp; Assumptions'!$V$32^2/2))</f>
        <v>0</v>
      </c>
      <c r="E2369" s="45" t="n">
        <f aca="false">ROUND(C2369*D2369,0)</f>
        <v>0</v>
      </c>
      <c r="F2369" s="47" t="n">
        <f aca="false">MIN(1,'Model Inputs &amp; Assumptions'!$W$32*EXP('Model Inputs &amp; Assumptions'!$X$32*R2369-'Model Inputs &amp; Assumptions'!$X$32^2/2))</f>
        <v>0.0039772318748864</v>
      </c>
      <c r="G2369" s="45" t="n">
        <f aca="false">ROUND(C2369*F2369,0)</f>
        <v>6784</v>
      </c>
      <c r="H2369" s="48" t="n">
        <f aca="false">MAX(0,(C2369*'Model Inputs &amp; Assumptions'!$N$32+E2369*'Model Inputs &amp; Assumptions'!$O$32+G2369*'Model Inputs &amp; Assumptions'!$P$32)*EXP('Model Inputs &amp; Assumptions'!$Q$32*S2369-'Model Inputs &amp; Assumptions'!$Q$32^2/2))</f>
        <v>285.491252175302</v>
      </c>
      <c r="I2369" s="49" t="n">
        <f aca="false">IF('Model Inputs &amp; Assumptions'!$H$32="Fixed",'Model Inputs &amp; Assumptions'!$I$32*'Model Inputs &amp; Assumptions'!$K$32,IF('Model Inputs &amp; Assumptions'!$H$32="CPM",'Model Inputs &amp; Assumptions'!$I$32*'Model Inputs &amp; Assumptions'!$K$32*C2369/1000,IF('Model Inputs &amp; Assumptions'!$H$32="CPC",'Model Inputs &amp; Assumptions'!$I$32*'Model Inputs &amp; Assumptions'!$K$32*G2369,0)))</f>
        <v>20467.44</v>
      </c>
      <c r="J2369" s="50" t="n">
        <f aca="false">H2369*INDEX('Model Inputs &amp; Assumptions'!$D$40:$D$42,MATCH('Model Inputs &amp; Assumptions'!$L$32,'Model Inputs &amp; Assumptions'!$A$40:$A$42,0))*INDEX('Model Inputs &amp; Assumptions'!$H$40:$H$42,MATCH('Model Inputs &amp; Assumptions'!$L$32,'Model Inputs &amp; Assumptions'!$A$40:$A$42,0))</f>
        <v>1541652.76174663</v>
      </c>
      <c r="K2369" s="49" t="n">
        <f aca="false">H2369*INDEX('Model Inputs &amp; Assumptions'!$G$40:$G$42,MATCH('Model Inputs &amp; Assumptions'!$L$32,'Model Inputs &amp; Assumptions'!$A$40:$A$42,0))*INDEX('Model Inputs &amp; Assumptions'!$H$40:$H$42,MATCH('Model Inputs &amp; Assumptions'!$L$32,'Model Inputs &amp; Assumptions'!$A$40:$A$42,0))</f>
        <v>32374.7079966793</v>
      </c>
      <c r="L2369" s="51" t="n">
        <f aca="false">IFERROR(K2369/I2369,0)</f>
        <v>1.58176635654871</v>
      </c>
      <c r="M2369" s="49" t="n">
        <f aca="false">IFERROR(I2369/H2369,0)</f>
        <v>71.6920040248107</v>
      </c>
      <c r="N2369" s="52" t="str">
        <f aca="false">'Model Inputs &amp; Assumptions'!$L$32</f>
        <v>PRD-SP01</v>
      </c>
      <c r="P2369" s="53" t="n">
        <v>1.322023</v>
      </c>
      <c r="Q2369" s="53" t="n">
        <v>-0.339549</v>
      </c>
      <c r="R2369" s="53" t="n">
        <v>0.576077</v>
      </c>
      <c r="S2369" s="53" t="n">
        <v>-0.09935</v>
      </c>
    </row>
    <row r="2370" customFormat="false" ht="15" hidden="false" customHeight="false" outlineLevel="0" collapsed="false">
      <c r="A2370" s="43" t="n">
        <v>367</v>
      </c>
      <c r="B2370" s="44" t="str">
        <f aca="false">'Model Inputs &amp; Assumptions'!$B$32</f>
        <v>Trade Republic — In-App Display</v>
      </c>
      <c r="C2370" s="45" t="n">
        <f aca="false">ROUND(MAX(0,'Model Inputs &amp; Assumptions'!$S$32*EXP('Model Inputs &amp; Assumptions'!$T$32*P2370-'Model Inputs &amp; Assumptions'!$T$32^2/2)),0)</f>
        <v>902499</v>
      </c>
      <c r="D2370" s="46" t="n">
        <f aca="false">MIN(1,'Model Inputs &amp; Assumptions'!$U$32*EXP('Model Inputs &amp; Assumptions'!$V$32*Q2370-'Model Inputs &amp; Assumptions'!$V$32^2/2))</f>
        <v>0</v>
      </c>
      <c r="E2370" s="45" t="n">
        <f aca="false">ROUND(C2370*D2370,0)</f>
        <v>0</v>
      </c>
      <c r="F2370" s="47" t="n">
        <f aca="false">MIN(1,'Model Inputs &amp; Assumptions'!$W$32*EXP('Model Inputs &amp; Assumptions'!$X$32*R2370-'Model Inputs &amp; Assumptions'!$X$32^2/2))</f>
        <v>0.00153295994109592</v>
      </c>
      <c r="G2370" s="45" t="n">
        <f aca="false">ROUND(C2370*F2370,0)</f>
        <v>1383</v>
      </c>
      <c r="H2370" s="48" t="n">
        <f aca="false">MAX(0,(C2370*'Model Inputs &amp; Assumptions'!$N$32+E2370*'Model Inputs &amp; Assumptions'!$O$32+G2370*'Model Inputs &amp; Assumptions'!$P$32)*EXP('Model Inputs &amp; Assumptions'!$Q$32*S2370-'Model Inputs &amp; Assumptions'!$Q$32^2/2))</f>
        <v>30.2696809383042</v>
      </c>
      <c r="I2370" s="49" t="n">
        <f aca="false">IF('Model Inputs &amp; Assumptions'!$H$32="Fixed",'Model Inputs &amp; Assumptions'!$I$32*'Model Inputs &amp; Assumptions'!$K$32,IF('Model Inputs &amp; Assumptions'!$H$32="CPM",'Model Inputs &amp; Assumptions'!$I$32*'Model Inputs &amp; Assumptions'!$K$32*C2370/1000,IF('Model Inputs &amp; Assumptions'!$H$32="CPC",'Model Inputs &amp; Assumptions'!$I$32*'Model Inputs &amp; Assumptions'!$K$32*G2370,0)))</f>
        <v>10829.988</v>
      </c>
      <c r="J2370" s="50" t="n">
        <f aca="false">H2370*INDEX('Model Inputs &amp; Assumptions'!$D$40:$D$42,MATCH('Model Inputs &amp; Assumptions'!$L$32,'Model Inputs &amp; Assumptions'!$A$40:$A$42,0))*INDEX('Model Inputs &amp; Assumptions'!$H$40:$H$42,MATCH('Model Inputs &amp; Assumptions'!$L$32,'Model Inputs &amp; Assumptions'!$A$40:$A$42,0))</f>
        <v>163456.277066843</v>
      </c>
      <c r="K2370" s="49" t="n">
        <f aca="false">H2370*INDEX('Model Inputs &amp; Assumptions'!$G$40:$G$42,MATCH('Model Inputs &amp; Assumptions'!$L$32,'Model Inputs &amp; Assumptions'!$A$40:$A$42,0))*INDEX('Model Inputs &amp; Assumptions'!$H$40:$H$42,MATCH('Model Inputs &amp; Assumptions'!$L$32,'Model Inputs &amp; Assumptions'!$A$40:$A$42,0))</f>
        <v>3432.58181840369</v>
      </c>
      <c r="L2370" s="51" t="n">
        <f aca="false">IFERROR(K2370/I2370,0)</f>
        <v>0.316951580962388</v>
      </c>
      <c r="M2370" s="49" t="n">
        <f aca="false">IFERROR(I2370/H2370,0)</f>
        <v>357.783354970729</v>
      </c>
      <c r="N2370" s="52" t="str">
        <f aca="false">'Model Inputs &amp; Assumptions'!$L$32</f>
        <v>PRD-SP01</v>
      </c>
      <c r="P2370" s="53" t="n">
        <v>-0.799699</v>
      </c>
      <c r="Q2370" s="53" t="n">
        <v>-1.285882</v>
      </c>
      <c r="R2370" s="53" t="n">
        <v>-2.601875</v>
      </c>
      <c r="S2370" s="53" t="n">
        <v>-2.434182</v>
      </c>
    </row>
    <row r="2371" customFormat="false" ht="15" hidden="false" customHeight="false" outlineLevel="0" collapsed="false">
      <c r="A2371" s="43" t="n">
        <v>368</v>
      </c>
      <c r="B2371" s="44" t="str">
        <f aca="false">'Model Inputs &amp; Assumptions'!$B$32</f>
        <v>Trade Republic — In-App Display</v>
      </c>
      <c r="C2371" s="45" t="n">
        <f aca="false">ROUND(MAX(0,'Model Inputs &amp; Assumptions'!$S$32*EXP('Model Inputs &amp; Assumptions'!$T$32*P2371-'Model Inputs &amp; Assumptions'!$T$32^2/2)),0)</f>
        <v>1338536</v>
      </c>
      <c r="D2371" s="46" t="n">
        <f aca="false">MIN(1,'Model Inputs &amp; Assumptions'!$U$32*EXP('Model Inputs &amp; Assumptions'!$V$32*Q2371-'Model Inputs &amp; Assumptions'!$V$32^2/2))</f>
        <v>0</v>
      </c>
      <c r="E2371" s="45" t="n">
        <f aca="false">ROUND(C2371*D2371,0)</f>
        <v>0</v>
      </c>
      <c r="F2371" s="47" t="n">
        <f aca="false">MIN(1,'Model Inputs &amp; Assumptions'!$W$32*EXP('Model Inputs &amp; Assumptions'!$X$32*R2371-'Model Inputs &amp; Assumptions'!$X$32^2/2))</f>
        <v>0.00184937116129889</v>
      </c>
      <c r="G2371" s="45" t="n">
        <f aca="false">ROUND(C2371*F2371,0)</f>
        <v>2475</v>
      </c>
      <c r="H2371" s="48" t="n">
        <f aca="false">MAX(0,(C2371*'Model Inputs &amp; Assumptions'!$N$32+E2371*'Model Inputs &amp; Assumptions'!$O$32+G2371*'Model Inputs &amp; Assumptions'!$P$32)*EXP('Model Inputs &amp; Assumptions'!$Q$32*S2371-'Model Inputs &amp; Assumptions'!$Q$32^2/2))</f>
        <v>104.627343310414</v>
      </c>
      <c r="I2371" s="49" t="n">
        <f aca="false">IF('Model Inputs &amp; Assumptions'!$H$32="Fixed",'Model Inputs &amp; Assumptions'!$I$32*'Model Inputs &amp; Assumptions'!$K$32,IF('Model Inputs &amp; Assumptions'!$H$32="CPM",'Model Inputs &amp; Assumptions'!$I$32*'Model Inputs &amp; Assumptions'!$K$32*C2371/1000,IF('Model Inputs &amp; Assumptions'!$H$32="CPC",'Model Inputs &amp; Assumptions'!$I$32*'Model Inputs &amp; Assumptions'!$K$32*G2371,0)))</f>
        <v>16062.432</v>
      </c>
      <c r="J2371" s="50" t="n">
        <f aca="false">H2371*INDEX('Model Inputs &amp; Assumptions'!$D$40:$D$42,MATCH('Model Inputs &amp; Assumptions'!$L$32,'Model Inputs &amp; Assumptions'!$A$40:$A$42,0))*INDEX('Model Inputs &amp; Assumptions'!$H$40:$H$42,MATCH('Model Inputs &amp; Assumptions'!$L$32,'Model Inputs &amp; Assumptions'!$A$40:$A$42,0))</f>
        <v>564987.653876233</v>
      </c>
      <c r="K2371" s="49" t="n">
        <f aca="false">H2371*INDEX('Model Inputs &amp; Assumptions'!$G$40:$G$42,MATCH('Model Inputs &amp; Assumptions'!$L$32,'Model Inputs &amp; Assumptions'!$A$40:$A$42,0))*INDEX('Model Inputs &amp; Assumptions'!$H$40:$H$42,MATCH('Model Inputs &amp; Assumptions'!$L$32,'Model Inputs &amp; Assumptions'!$A$40:$A$42,0))</f>
        <v>11864.7407314009</v>
      </c>
      <c r="L2371" s="51" t="n">
        <f aca="false">IFERROR(K2371/I2371,0)</f>
        <v>0.738664028672675</v>
      </c>
      <c r="M2371" s="49" t="n">
        <f aca="false">IFERROR(I2371/H2371,0)</f>
        <v>153.520403861782</v>
      </c>
      <c r="N2371" s="52" t="str">
        <f aca="false">'Model Inputs &amp; Assumptions'!$L$32</f>
        <v>PRD-SP01</v>
      </c>
      <c r="P2371" s="53" t="n">
        <v>0.514182</v>
      </c>
      <c r="Q2371" s="53" t="n">
        <v>1.021632</v>
      </c>
      <c r="R2371" s="53" t="n">
        <v>-1.976391</v>
      </c>
      <c r="S2371" s="53" t="n">
        <v>-0.083207</v>
      </c>
    </row>
    <row r="2372" customFormat="false" ht="15" hidden="false" customHeight="false" outlineLevel="0" collapsed="false">
      <c r="A2372" s="43" t="n">
        <v>369</v>
      </c>
      <c r="B2372" s="44" t="str">
        <f aca="false">'Model Inputs &amp; Assumptions'!$B$32</f>
        <v>Trade Republic — In-App Display</v>
      </c>
      <c r="C2372" s="45" t="n">
        <f aca="false">ROUND(MAX(0,'Model Inputs &amp; Assumptions'!$S$32*EXP('Model Inputs &amp; Assumptions'!$T$32*P2372-'Model Inputs &amp; Assumptions'!$T$32^2/2)),0)</f>
        <v>1115767</v>
      </c>
      <c r="D2372" s="46" t="n">
        <f aca="false">MIN(1,'Model Inputs &amp; Assumptions'!$U$32*EXP('Model Inputs &amp; Assumptions'!$V$32*Q2372-'Model Inputs &amp; Assumptions'!$V$32^2/2))</f>
        <v>0</v>
      </c>
      <c r="E2372" s="45" t="n">
        <f aca="false">ROUND(C2372*D2372,0)</f>
        <v>0</v>
      </c>
      <c r="F2372" s="47" t="n">
        <f aca="false">MIN(1,'Model Inputs &amp; Assumptions'!$W$32*EXP('Model Inputs &amp; Assumptions'!$X$32*R2372-'Model Inputs &amp; Assumptions'!$X$32^2/2))</f>
        <v>0.00393926149725108</v>
      </c>
      <c r="G2372" s="45" t="n">
        <f aca="false">ROUND(C2372*F2372,0)</f>
        <v>4395</v>
      </c>
      <c r="H2372" s="48" t="n">
        <f aca="false">MAX(0,(C2372*'Model Inputs &amp; Assumptions'!$N$32+E2372*'Model Inputs &amp; Assumptions'!$O$32+G2372*'Model Inputs &amp; Assumptions'!$P$32)*EXP('Model Inputs &amp; Assumptions'!$Q$32*S2372-'Model Inputs &amp; Assumptions'!$Q$32^2/2))</f>
        <v>167.073891880463</v>
      </c>
      <c r="I2372" s="49" t="n">
        <f aca="false">IF('Model Inputs &amp; Assumptions'!$H$32="Fixed",'Model Inputs &amp; Assumptions'!$I$32*'Model Inputs &amp; Assumptions'!$K$32,IF('Model Inputs &amp; Assumptions'!$H$32="CPM",'Model Inputs &amp; Assumptions'!$I$32*'Model Inputs &amp; Assumptions'!$K$32*C2372/1000,IF('Model Inputs &amp; Assumptions'!$H$32="CPC",'Model Inputs &amp; Assumptions'!$I$32*'Model Inputs &amp; Assumptions'!$K$32*G2372,0)))</f>
        <v>13389.204</v>
      </c>
      <c r="J2372" s="50" t="n">
        <f aca="false">H2372*INDEX('Model Inputs &amp; Assumptions'!$D$40:$D$42,MATCH('Model Inputs &amp; Assumptions'!$L$32,'Model Inputs &amp; Assumptions'!$A$40:$A$42,0))*INDEX('Model Inputs &amp; Assumptions'!$H$40:$H$42,MATCH('Model Inputs &amp; Assumptions'!$L$32,'Model Inputs &amp; Assumptions'!$A$40:$A$42,0))</f>
        <v>902199.016154498</v>
      </c>
      <c r="K2372" s="49" t="n">
        <f aca="false">H2372*INDEX('Model Inputs &amp; Assumptions'!$G$40:$G$42,MATCH('Model Inputs &amp; Assumptions'!$L$32,'Model Inputs &amp; Assumptions'!$A$40:$A$42,0))*INDEX('Model Inputs &amp; Assumptions'!$H$40:$H$42,MATCH('Model Inputs &amp; Assumptions'!$L$32,'Model Inputs &amp; Assumptions'!$A$40:$A$42,0))</f>
        <v>18946.1793392445</v>
      </c>
      <c r="L2372" s="51" t="n">
        <f aca="false">IFERROR(K2372/I2372,0)</f>
        <v>1.41503403333346</v>
      </c>
      <c r="M2372" s="49" t="n">
        <f aca="false">IFERROR(I2372/H2372,0)</f>
        <v>80.1394152569311</v>
      </c>
      <c r="N2372" s="52" t="str">
        <f aca="false">'Model Inputs &amp; Assumptions'!$L$32</f>
        <v>PRD-SP01</v>
      </c>
      <c r="P2372" s="53" t="n">
        <v>-0.092597</v>
      </c>
      <c r="Q2372" s="53" t="n">
        <v>-1.043527</v>
      </c>
      <c r="R2372" s="53" t="n">
        <v>0.544101</v>
      </c>
      <c r="S2372" s="53" t="n">
        <v>-0.462478</v>
      </c>
    </row>
    <row r="2373" customFormat="false" ht="15" hidden="false" customHeight="false" outlineLevel="0" collapsed="false">
      <c r="A2373" s="43" t="n">
        <v>370</v>
      </c>
      <c r="B2373" s="44" t="str">
        <f aca="false">'Model Inputs &amp; Assumptions'!$B$32</f>
        <v>Trade Republic — In-App Display</v>
      </c>
      <c r="C2373" s="45" t="n">
        <f aca="false">ROUND(MAX(0,'Model Inputs &amp; Assumptions'!$S$32*EXP('Model Inputs &amp; Assumptions'!$T$32*P2373-'Model Inputs &amp; Assumptions'!$T$32^2/2)),0)</f>
        <v>917694</v>
      </c>
      <c r="D2373" s="46" t="n">
        <f aca="false">MIN(1,'Model Inputs &amp; Assumptions'!$U$32*EXP('Model Inputs &amp; Assumptions'!$V$32*Q2373-'Model Inputs &amp; Assumptions'!$V$32^2/2))</f>
        <v>0</v>
      </c>
      <c r="E2373" s="45" t="n">
        <f aca="false">ROUND(C2373*D2373,0)</f>
        <v>0</v>
      </c>
      <c r="F2373" s="47" t="n">
        <f aca="false">MIN(1,'Model Inputs &amp; Assumptions'!$W$32*EXP('Model Inputs &amp; Assumptions'!$X$32*R2373-'Model Inputs &amp; Assumptions'!$X$32^2/2))</f>
        <v>0.00510147783077665</v>
      </c>
      <c r="G2373" s="45" t="n">
        <f aca="false">ROUND(C2373*F2373,0)</f>
        <v>4682</v>
      </c>
      <c r="H2373" s="48" t="n">
        <f aca="false">MAX(0,(C2373*'Model Inputs &amp; Assumptions'!$N$32+E2373*'Model Inputs &amp; Assumptions'!$O$32+G2373*'Model Inputs &amp; Assumptions'!$P$32)*EXP('Model Inputs &amp; Assumptions'!$Q$32*S2373-'Model Inputs &amp; Assumptions'!$Q$32^2/2))</f>
        <v>216.349989651578</v>
      </c>
      <c r="I2373" s="49" t="n">
        <f aca="false">IF('Model Inputs &amp; Assumptions'!$H$32="Fixed",'Model Inputs &amp; Assumptions'!$I$32*'Model Inputs &amp; Assumptions'!$K$32,IF('Model Inputs &amp; Assumptions'!$H$32="CPM",'Model Inputs &amp; Assumptions'!$I$32*'Model Inputs &amp; Assumptions'!$K$32*C2373/1000,IF('Model Inputs &amp; Assumptions'!$H$32="CPC",'Model Inputs &amp; Assumptions'!$I$32*'Model Inputs &amp; Assumptions'!$K$32*G2373,0)))</f>
        <v>11012.328</v>
      </c>
      <c r="J2373" s="50" t="n">
        <f aca="false">H2373*INDEX('Model Inputs &amp; Assumptions'!$D$40:$D$42,MATCH('Model Inputs &amp; Assumptions'!$L$32,'Model Inputs &amp; Assumptions'!$A$40:$A$42,0))*INDEX('Model Inputs &amp; Assumptions'!$H$40:$H$42,MATCH('Model Inputs &amp; Assumptions'!$L$32,'Model Inputs &amp; Assumptions'!$A$40:$A$42,0))</f>
        <v>1168289.94411852</v>
      </c>
      <c r="K2373" s="49" t="n">
        <f aca="false">H2373*INDEX('Model Inputs &amp; Assumptions'!$G$40:$G$42,MATCH('Model Inputs &amp; Assumptions'!$L$32,'Model Inputs &amp; Assumptions'!$A$40:$A$42,0))*INDEX('Model Inputs &amp; Assumptions'!$H$40:$H$42,MATCH('Model Inputs &amp; Assumptions'!$L$32,'Model Inputs &amp; Assumptions'!$A$40:$A$42,0))</f>
        <v>24534.088826489</v>
      </c>
      <c r="L2373" s="51" t="n">
        <f aca="false">IFERROR(K2373/I2373,0)</f>
        <v>2.22787487137043</v>
      </c>
      <c r="M2373" s="49" t="n">
        <f aca="false">IFERROR(I2373/H2373,0)</f>
        <v>50.9005247364922</v>
      </c>
      <c r="N2373" s="52" t="str">
        <f aca="false">'Model Inputs &amp; Assumptions'!$L$32</f>
        <v>PRD-SP01</v>
      </c>
      <c r="P2373" s="53" t="n">
        <v>-0.744042</v>
      </c>
      <c r="Q2373" s="53" t="n">
        <v>-0.25377</v>
      </c>
      <c r="R2373" s="53" t="n">
        <v>1.405891</v>
      </c>
      <c r="S2373" s="53" t="n">
        <v>0.234677</v>
      </c>
    </row>
    <row r="2374" customFormat="false" ht="15" hidden="false" customHeight="false" outlineLevel="0" collapsed="false">
      <c r="A2374" s="43" t="n">
        <v>371</v>
      </c>
      <c r="B2374" s="44" t="str">
        <f aca="false">'Model Inputs &amp; Assumptions'!$B$32</f>
        <v>Trade Republic — In-App Display</v>
      </c>
      <c r="C2374" s="45" t="n">
        <f aca="false">ROUND(MAX(0,'Model Inputs &amp; Assumptions'!$S$32*EXP('Model Inputs &amp; Assumptions'!$T$32*P2374-'Model Inputs &amp; Assumptions'!$T$32^2/2)),0)</f>
        <v>1367824</v>
      </c>
      <c r="D2374" s="46" t="n">
        <f aca="false">MIN(1,'Model Inputs &amp; Assumptions'!$U$32*EXP('Model Inputs &amp; Assumptions'!$V$32*Q2374-'Model Inputs &amp; Assumptions'!$V$32^2/2))</f>
        <v>0</v>
      </c>
      <c r="E2374" s="45" t="n">
        <f aca="false">ROUND(C2374*D2374,0)</f>
        <v>0</v>
      </c>
      <c r="F2374" s="47" t="n">
        <f aca="false">MIN(1,'Model Inputs &amp; Assumptions'!$W$32*EXP('Model Inputs &amp; Assumptions'!$X$32*R2374-'Model Inputs &amp; Assumptions'!$X$32^2/2))</f>
        <v>0.00491792831920371</v>
      </c>
      <c r="G2374" s="45" t="n">
        <f aca="false">ROUND(C2374*F2374,0)</f>
        <v>6727</v>
      </c>
      <c r="H2374" s="48" t="n">
        <f aca="false">MAX(0,(C2374*'Model Inputs &amp; Assumptions'!$N$32+E2374*'Model Inputs &amp; Assumptions'!$O$32+G2374*'Model Inputs &amp; Assumptions'!$P$32)*EXP('Model Inputs &amp; Assumptions'!$Q$32*S2374-'Model Inputs &amp; Assumptions'!$Q$32^2/2))</f>
        <v>207.915787267555</v>
      </c>
      <c r="I2374" s="49" t="n">
        <f aca="false">IF('Model Inputs &amp; Assumptions'!$H$32="Fixed",'Model Inputs &amp; Assumptions'!$I$32*'Model Inputs &amp; Assumptions'!$K$32,IF('Model Inputs &amp; Assumptions'!$H$32="CPM",'Model Inputs &amp; Assumptions'!$I$32*'Model Inputs &amp; Assumptions'!$K$32*C2374/1000,IF('Model Inputs &amp; Assumptions'!$H$32="CPC",'Model Inputs &amp; Assumptions'!$I$32*'Model Inputs &amp; Assumptions'!$K$32*G2374,0)))</f>
        <v>16413.888</v>
      </c>
      <c r="J2374" s="50" t="n">
        <f aca="false">H2374*INDEX('Model Inputs &amp; Assumptions'!$D$40:$D$42,MATCH('Model Inputs &amp; Assumptions'!$L$32,'Model Inputs &amp; Assumptions'!$A$40:$A$42,0))*INDEX('Model Inputs &amp; Assumptions'!$H$40:$H$42,MATCH('Model Inputs &amp; Assumptions'!$L$32,'Model Inputs &amp; Assumptions'!$A$40:$A$42,0))</f>
        <v>1122745.2512448</v>
      </c>
      <c r="K2374" s="49" t="n">
        <f aca="false">H2374*INDEX('Model Inputs &amp; Assumptions'!$G$40:$G$42,MATCH('Model Inputs &amp; Assumptions'!$L$32,'Model Inputs &amp; Assumptions'!$A$40:$A$42,0))*INDEX('Model Inputs &amp; Assumptions'!$H$40:$H$42,MATCH('Model Inputs &amp; Assumptions'!$L$32,'Model Inputs &amp; Assumptions'!$A$40:$A$42,0))</f>
        <v>23577.6502761407</v>
      </c>
      <c r="L2374" s="51" t="n">
        <f aca="false">IFERROR(K2374/I2374,0)</f>
        <v>1.43644517838435</v>
      </c>
      <c r="M2374" s="49" t="n">
        <f aca="false">IFERROR(I2374/H2374,0)</f>
        <v>78.9448854063107</v>
      </c>
      <c r="N2374" s="52" t="str">
        <f aca="false">'Model Inputs &amp; Assumptions'!$L$32</f>
        <v>PRD-SP01</v>
      </c>
      <c r="P2374" s="53" t="n">
        <v>0.586333</v>
      </c>
      <c r="Q2374" s="53" t="n">
        <v>-0.462158</v>
      </c>
      <c r="R2374" s="53" t="n">
        <v>1.283748</v>
      </c>
      <c r="S2374" s="53" t="n">
        <v>-1.201638</v>
      </c>
    </row>
    <row r="2375" customFormat="false" ht="15" hidden="false" customHeight="false" outlineLevel="0" collapsed="false">
      <c r="A2375" s="43" t="n">
        <v>372</v>
      </c>
      <c r="B2375" s="44" t="str">
        <f aca="false">'Model Inputs &amp; Assumptions'!$B$32</f>
        <v>Trade Republic — In-App Display</v>
      </c>
      <c r="C2375" s="45" t="n">
        <f aca="false">ROUND(MAX(0,'Model Inputs &amp; Assumptions'!$S$32*EXP('Model Inputs &amp; Assumptions'!$T$32*P2375-'Model Inputs &amp; Assumptions'!$T$32^2/2)),0)</f>
        <v>1094671</v>
      </c>
      <c r="D2375" s="46" t="n">
        <f aca="false">MIN(1,'Model Inputs &amp; Assumptions'!$U$32*EXP('Model Inputs &amp; Assumptions'!$V$32*Q2375-'Model Inputs &amp; Assumptions'!$V$32^2/2))</f>
        <v>0</v>
      </c>
      <c r="E2375" s="45" t="n">
        <f aca="false">ROUND(C2375*D2375,0)</f>
        <v>0</v>
      </c>
      <c r="F2375" s="47" t="n">
        <f aca="false">MIN(1,'Model Inputs &amp; Assumptions'!$W$32*EXP('Model Inputs &amp; Assumptions'!$X$32*R2375-'Model Inputs &amp; Assumptions'!$X$32^2/2))</f>
        <v>0.00237160577638104</v>
      </c>
      <c r="G2375" s="45" t="n">
        <f aca="false">ROUND(C2375*F2375,0)</f>
        <v>2596</v>
      </c>
      <c r="H2375" s="48" t="n">
        <f aca="false">MAX(0,(C2375*'Model Inputs &amp; Assumptions'!$N$32+E2375*'Model Inputs &amp; Assumptions'!$O$32+G2375*'Model Inputs &amp; Assumptions'!$P$32)*EXP('Model Inputs &amp; Assumptions'!$Q$32*S2375-'Model Inputs &amp; Assumptions'!$Q$32^2/2))</f>
        <v>111.495729376675</v>
      </c>
      <c r="I2375" s="49" t="n">
        <f aca="false">IF('Model Inputs &amp; Assumptions'!$H$32="Fixed",'Model Inputs &amp; Assumptions'!$I$32*'Model Inputs &amp; Assumptions'!$K$32,IF('Model Inputs &amp; Assumptions'!$H$32="CPM",'Model Inputs &amp; Assumptions'!$I$32*'Model Inputs &amp; Assumptions'!$K$32*C2375/1000,IF('Model Inputs &amp; Assumptions'!$H$32="CPC",'Model Inputs &amp; Assumptions'!$I$32*'Model Inputs &amp; Assumptions'!$K$32*G2375,0)))</f>
        <v>13136.052</v>
      </c>
      <c r="J2375" s="50" t="n">
        <f aca="false">H2375*INDEX('Model Inputs &amp; Assumptions'!$D$40:$D$42,MATCH('Model Inputs &amp; Assumptions'!$L$32,'Model Inputs &amp; Assumptions'!$A$40:$A$42,0))*INDEX('Model Inputs &amp; Assumptions'!$H$40:$H$42,MATCH('Model Inputs &amp; Assumptions'!$L$32,'Model Inputs &amp; Assumptions'!$A$40:$A$42,0))</f>
        <v>602076.938634043</v>
      </c>
      <c r="K2375" s="49" t="n">
        <f aca="false">H2375*INDEX('Model Inputs &amp; Assumptions'!$G$40:$G$42,MATCH('Model Inputs &amp; Assumptions'!$L$32,'Model Inputs &amp; Assumptions'!$A$40:$A$42,0))*INDEX('Model Inputs &amp; Assumptions'!$H$40:$H$42,MATCH('Model Inputs &amp; Assumptions'!$L$32,'Model Inputs &amp; Assumptions'!$A$40:$A$42,0))</f>
        <v>12643.6157113149</v>
      </c>
      <c r="L2375" s="51" t="n">
        <f aca="false">IFERROR(K2375/I2375,0)</f>
        <v>0.962512611195123</v>
      </c>
      <c r="M2375" s="49" t="n">
        <f aca="false">IFERROR(I2375/H2375,0)</f>
        <v>117.816638120923</v>
      </c>
      <c r="N2375" s="52" t="str">
        <f aca="false">'Model Inputs &amp; Assumptions'!$L$32</f>
        <v>PRD-SP01</v>
      </c>
      <c r="P2375" s="53" t="n">
        <v>-0.156226</v>
      </c>
      <c r="Q2375" s="53" t="n">
        <v>0.813618</v>
      </c>
      <c r="R2375" s="53" t="n">
        <v>-1.147319</v>
      </c>
      <c r="S2375" s="53" t="n">
        <v>-0.0266</v>
      </c>
    </row>
    <row r="2376" customFormat="false" ht="15" hidden="false" customHeight="false" outlineLevel="0" collapsed="false">
      <c r="A2376" s="43" t="n">
        <v>373</v>
      </c>
      <c r="B2376" s="44" t="str">
        <f aca="false">'Model Inputs &amp; Assumptions'!$B$32</f>
        <v>Trade Republic — In-App Display</v>
      </c>
      <c r="C2376" s="45" t="n">
        <f aca="false">ROUND(MAX(0,'Model Inputs &amp; Assumptions'!$S$32*EXP('Model Inputs &amp; Assumptions'!$T$32*P2376-'Model Inputs &amp; Assumptions'!$T$32^2/2)),0)</f>
        <v>948997</v>
      </c>
      <c r="D2376" s="46" t="n">
        <f aca="false">MIN(1,'Model Inputs &amp; Assumptions'!$U$32*EXP('Model Inputs &amp; Assumptions'!$V$32*Q2376-'Model Inputs &amp; Assumptions'!$V$32^2/2))</f>
        <v>0</v>
      </c>
      <c r="E2376" s="45" t="n">
        <f aca="false">ROUND(C2376*D2376,0)</f>
        <v>0</v>
      </c>
      <c r="F2376" s="47" t="n">
        <f aca="false">MIN(1,'Model Inputs &amp; Assumptions'!$W$32*EXP('Model Inputs &amp; Assumptions'!$X$32*R2376-'Model Inputs &amp; Assumptions'!$X$32^2/2))</f>
        <v>0.00250816815631455</v>
      </c>
      <c r="G2376" s="45" t="n">
        <f aca="false">ROUND(C2376*F2376,0)</f>
        <v>2380</v>
      </c>
      <c r="H2376" s="48" t="n">
        <f aca="false">MAX(0,(C2376*'Model Inputs &amp; Assumptions'!$N$32+E2376*'Model Inputs &amp; Assumptions'!$O$32+G2376*'Model Inputs &amp; Assumptions'!$P$32)*EXP('Model Inputs &amp; Assumptions'!$Q$32*S2376-'Model Inputs &amp; Assumptions'!$Q$32^2/2))</f>
        <v>123.85992592478</v>
      </c>
      <c r="I2376" s="49" t="n">
        <f aca="false">IF('Model Inputs &amp; Assumptions'!$H$32="Fixed",'Model Inputs &amp; Assumptions'!$I$32*'Model Inputs &amp; Assumptions'!$K$32,IF('Model Inputs &amp; Assumptions'!$H$32="CPM",'Model Inputs &amp; Assumptions'!$I$32*'Model Inputs &amp; Assumptions'!$K$32*C2376/1000,IF('Model Inputs &amp; Assumptions'!$H$32="CPC",'Model Inputs &amp; Assumptions'!$I$32*'Model Inputs &amp; Assumptions'!$K$32*G2376,0)))</f>
        <v>11387.964</v>
      </c>
      <c r="J2376" s="50" t="n">
        <f aca="false">H2376*INDEX('Model Inputs &amp; Assumptions'!$D$40:$D$42,MATCH('Model Inputs &amp; Assumptions'!$L$32,'Model Inputs &amp; Assumptions'!$A$40:$A$42,0))*INDEX('Model Inputs &amp; Assumptions'!$H$40:$H$42,MATCH('Model Inputs &amp; Assumptions'!$L$32,'Model Inputs &amp; Assumptions'!$A$40:$A$42,0))</f>
        <v>668843.599993811</v>
      </c>
      <c r="K2376" s="49" t="n">
        <f aca="false">H2376*INDEX('Model Inputs &amp; Assumptions'!$G$40:$G$42,MATCH('Model Inputs &amp; Assumptions'!$L$32,'Model Inputs &amp; Assumptions'!$A$40:$A$42,0))*INDEX('Model Inputs &amp; Assumptions'!$H$40:$H$42,MATCH('Model Inputs &amp; Assumptions'!$L$32,'Model Inputs &amp; Assumptions'!$A$40:$A$42,0))</f>
        <v>14045.71559987</v>
      </c>
      <c r="L2376" s="51" t="n">
        <f aca="false">IFERROR(K2376/I2376,0)</f>
        <v>1.23338250804709</v>
      </c>
      <c r="M2376" s="49" t="n">
        <f aca="false">IFERROR(I2376/H2376,0)</f>
        <v>91.9422800794821</v>
      </c>
      <c r="N2376" s="52" t="str">
        <f aca="false">'Model Inputs &amp; Assumptions'!$L$32</f>
        <v>PRD-SP01</v>
      </c>
      <c r="P2376" s="53" t="n">
        <v>-0.632239</v>
      </c>
      <c r="Q2376" s="53" t="n">
        <v>0.271132</v>
      </c>
      <c r="R2376" s="53" t="n">
        <v>-0.960701</v>
      </c>
      <c r="S2376" s="53" t="n">
        <v>0.659244</v>
      </c>
    </row>
    <row r="2377" customFormat="false" ht="15" hidden="false" customHeight="false" outlineLevel="0" collapsed="false">
      <c r="A2377" s="43" t="n">
        <v>374</v>
      </c>
      <c r="B2377" s="44" t="str">
        <f aca="false">'Model Inputs &amp; Assumptions'!$B$32</f>
        <v>Trade Republic — In-App Display</v>
      </c>
      <c r="C2377" s="45" t="n">
        <f aca="false">ROUND(MAX(0,'Model Inputs &amp; Assumptions'!$S$32*EXP('Model Inputs &amp; Assumptions'!$T$32*P2377-'Model Inputs &amp; Assumptions'!$T$32^2/2)),0)</f>
        <v>1080885</v>
      </c>
      <c r="D2377" s="46" t="n">
        <f aca="false">MIN(1,'Model Inputs &amp; Assumptions'!$U$32*EXP('Model Inputs &amp; Assumptions'!$V$32*Q2377-'Model Inputs &amp; Assumptions'!$V$32^2/2))</f>
        <v>0</v>
      </c>
      <c r="E2377" s="45" t="n">
        <f aca="false">ROUND(C2377*D2377,0)</f>
        <v>0</v>
      </c>
      <c r="F2377" s="47" t="n">
        <f aca="false">MIN(1,'Model Inputs &amp; Assumptions'!$W$32*EXP('Model Inputs &amp; Assumptions'!$X$32*R2377-'Model Inputs &amp; Assumptions'!$X$32^2/2))</f>
        <v>0.00284777466076029</v>
      </c>
      <c r="G2377" s="45" t="n">
        <f aca="false">ROUND(C2377*F2377,0)</f>
        <v>3078</v>
      </c>
      <c r="H2377" s="48" t="n">
        <f aca="false">MAX(0,(C2377*'Model Inputs &amp; Assumptions'!$N$32+E2377*'Model Inputs &amp; Assumptions'!$O$32+G2377*'Model Inputs &amp; Assumptions'!$P$32)*EXP('Model Inputs &amp; Assumptions'!$Q$32*S2377-'Model Inputs &amp; Assumptions'!$Q$32^2/2))</f>
        <v>93.3229002471789</v>
      </c>
      <c r="I2377" s="49" t="n">
        <f aca="false">IF('Model Inputs &amp; Assumptions'!$H$32="Fixed",'Model Inputs &amp; Assumptions'!$I$32*'Model Inputs &amp; Assumptions'!$K$32,IF('Model Inputs &amp; Assumptions'!$H$32="CPM",'Model Inputs &amp; Assumptions'!$I$32*'Model Inputs &amp; Assumptions'!$K$32*C2377/1000,IF('Model Inputs &amp; Assumptions'!$H$32="CPC",'Model Inputs &amp; Assumptions'!$I$32*'Model Inputs &amp; Assumptions'!$K$32*G2377,0)))</f>
        <v>12970.62</v>
      </c>
      <c r="J2377" s="50" t="n">
        <f aca="false">H2377*INDEX('Model Inputs &amp; Assumptions'!$D$40:$D$42,MATCH('Model Inputs &amp; Assumptions'!$L$32,'Model Inputs &amp; Assumptions'!$A$40:$A$42,0))*INDEX('Model Inputs &amp; Assumptions'!$H$40:$H$42,MATCH('Model Inputs &amp; Assumptions'!$L$32,'Model Inputs &amp; Assumptions'!$A$40:$A$42,0))</f>
        <v>503943.661334766</v>
      </c>
      <c r="K2377" s="49" t="n">
        <f aca="false">H2377*INDEX('Model Inputs &amp; Assumptions'!$G$40:$G$42,MATCH('Model Inputs &amp; Assumptions'!$L$32,'Model Inputs &amp; Assumptions'!$A$40:$A$42,0))*INDEX('Model Inputs &amp; Assumptions'!$H$40:$H$42,MATCH('Model Inputs &amp; Assumptions'!$L$32,'Model Inputs &amp; Assumptions'!$A$40:$A$42,0))</f>
        <v>10582.8168880301</v>
      </c>
      <c r="L2377" s="51" t="n">
        <f aca="false">IFERROR(K2377/I2377,0)</f>
        <v>0.815906786879123</v>
      </c>
      <c r="M2377" s="49" t="n">
        <f aca="false">IFERROR(I2377/H2377,0)</f>
        <v>138.9864649046</v>
      </c>
      <c r="N2377" s="52" t="str">
        <f aca="false">'Model Inputs &amp; Assumptions'!$L$32</f>
        <v>PRD-SP01</v>
      </c>
      <c r="P2377" s="53" t="n">
        <v>-0.19847</v>
      </c>
      <c r="Q2377" s="53" t="n">
        <v>-0.939928</v>
      </c>
      <c r="R2377" s="53" t="n">
        <v>-0.537417</v>
      </c>
      <c r="S2377" s="53" t="n">
        <v>-1.270275</v>
      </c>
    </row>
    <row r="2378" customFormat="false" ht="15" hidden="false" customHeight="false" outlineLevel="0" collapsed="false">
      <c r="A2378" s="43" t="n">
        <v>375</v>
      </c>
      <c r="B2378" s="44" t="str">
        <f aca="false">'Model Inputs &amp; Assumptions'!$B$32</f>
        <v>Trade Republic — In-App Display</v>
      </c>
      <c r="C2378" s="45" t="n">
        <f aca="false">ROUND(MAX(0,'Model Inputs &amp; Assumptions'!$S$32*EXP('Model Inputs &amp; Assumptions'!$T$32*P2378-'Model Inputs &amp; Assumptions'!$T$32^2/2)),0)</f>
        <v>892469</v>
      </c>
      <c r="D2378" s="46" t="n">
        <f aca="false">MIN(1,'Model Inputs &amp; Assumptions'!$U$32*EXP('Model Inputs &amp; Assumptions'!$V$32*Q2378-'Model Inputs &amp; Assumptions'!$V$32^2/2))</f>
        <v>0</v>
      </c>
      <c r="E2378" s="45" t="n">
        <f aca="false">ROUND(C2378*D2378,0)</f>
        <v>0</v>
      </c>
      <c r="F2378" s="47" t="n">
        <f aca="false">MIN(1,'Model Inputs &amp; Assumptions'!$W$32*EXP('Model Inputs &amp; Assumptions'!$X$32*R2378-'Model Inputs &amp; Assumptions'!$X$32^2/2))</f>
        <v>0.00212500056550292</v>
      </c>
      <c r="G2378" s="45" t="n">
        <f aca="false">ROUND(C2378*F2378,0)</f>
        <v>1896</v>
      </c>
      <c r="H2378" s="48" t="n">
        <f aca="false">MAX(0,(C2378*'Model Inputs &amp; Assumptions'!$N$32+E2378*'Model Inputs &amp; Assumptions'!$O$32+G2378*'Model Inputs &amp; Assumptions'!$P$32)*EXP('Model Inputs &amp; Assumptions'!$Q$32*S2378-'Model Inputs &amp; Assumptions'!$Q$32^2/2))</f>
        <v>78.7079788671843</v>
      </c>
      <c r="I2378" s="49" t="n">
        <f aca="false">IF('Model Inputs &amp; Assumptions'!$H$32="Fixed",'Model Inputs &amp; Assumptions'!$I$32*'Model Inputs &amp; Assumptions'!$K$32,IF('Model Inputs &amp; Assumptions'!$H$32="CPM",'Model Inputs &amp; Assumptions'!$I$32*'Model Inputs &amp; Assumptions'!$K$32*C2378/1000,IF('Model Inputs &amp; Assumptions'!$H$32="CPC",'Model Inputs &amp; Assumptions'!$I$32*'Model Inputs &amp; Assumptions'!$K$32*G2378,0)))</f>
        <v>10709.628</v>
      </c>
      <c r="J2378" s="50" t="n">
        <f aca="false">H2378*INDEX('Model Inputs &amp; Assumptions'!$D$40:$D$42,MATCH('Model Inputs &amp; Assumptions'!$L$32,'Model Inputs &amp; Assumptions'!$A$40:$A$42,0))*INDEX('Model Inputs &amp; Assumptions'!$H$40:$H$42,MATCH('Model Inputs &amp; Assumptions'!$L$32,'Model Inputs &amp; Assumptions'!$A$40:$A$42,0))</f>
        <v>425023.085882795</v>
      </c>
      <c r="K2378" s="49" t="n">
        <f aca="false">H2378*INDEX('Model Inputs &amp; Assumptions'!$G$40:$G$42,MATCH('Model Inputs &amp; Assumptions'!$L$32,'Model Inputs &amp; Assumptions'!$A$40:$A$42,0))*INDEX('Model Inputs &amp; Assumptions'!$H$40:$H$42,MATCH('Model Inputs &amp; Assumptions'!$L$32,'Model Inputs &amp; Assumptions'!$A$40:$A$42,0))</f>
        <v>8925.4848035387</v>
      </c>
      <c r="L2378" s="51" t="n">
        <f aca="false">IFERROR(K2378/I2378,0)</f>
        <v>0.833407547259223</v>
      </c>
      <c r="M2378" s="49" t="n">
        <f aca="false">IFERROR(I2378/H2378,0)</f>
        <v>136.067882241926</v>
      </c>
      <c r="N2378" s="52" t="str">
        <f aca="false">'Model Inputs &amp; Assumptions'!$L$32</f>
        <v>PRD-SP01</v>
      </c>
      <c r="P2378" s="53" t="n">
        <v>-0.83695</v>
      </c>
      <c r="Q2378" s="53" t="n">
        <v>0.102683</v>
      </c>
      <c r="R2378" s="53" t="n">
        <v>-1.513303</v>
      </c>
      <c r="S2378" s="53" t="n">
        <v>-0.148087</v>
      </c>
    </row>
    <row r="2379" customFormat="false" ht="15" hidden="false" customHeight="false" outlineLevel="0" collapsed="false">
      <c r="A2379" s="43" t="n">
        <v>376</v>
      </c>
      <c r="B2379" s="44" t="str">
        <f aca="false">'Model Inputs &amp; Assumptions'!$B$32</f>
        <v>Trade Republic — In-App Display</v>
      </c>
      <c r="C2379" s="45" t="n">
        <f aca="false">ROUND(MAX(0,'Model Inputs &amp; Assumptions'!$S$32*EXP('Model Inputs &amp; Assumptions'!$T$32*P2379-'Model Inputs &amp; Assumptions'!$T$32^2/2)),0)</f>
        <v>2001317</v>
      </c>
      <c r="D2379" s="46" t="n">
        <f aca="false">MIN(1,'Model Inputs &amp; Assumptions'!$U$32*EXP('Model Inputs &amp; Assumptions'!$V$32*Q2379-'Model Inputs &amp; Assumptions'!$V$32^2/2))</f>
        <v>0</v>
      </c>
      <c r="E2379" s="45" t="n">
        <f aca="false">ROUND(C2379*D2379,0)</f>
        <v>0</v>
      </c>
      <c r="F2379" s="47" t="n">
        <f aca="false">MIN(1,'Model Inputs &amp; Assumptions'!$W$32*EXP('Model Inputs &amp; Assumptions'!$X$32*R2379-'Model Inputs &amp; Assumptions'!$X$32^2/2))</f>
        <v>0.00702931926655048</v>
      </c>
      <c r="G2379" s="45" t="n">
        <f aca="false">ROUND(C2379*F2379,0)</f>
        <v>14068</v>
      </c>
      <c r="H2379" s="48" t="n">
        <f aca="false">MAX(0,(C2379*'Model Inputs &amp; Assumptions'!$N$32+E2379*'Model Inputs &amp; Assumptions'!$O$32+G2379*'Model Inputs &amp; Assumptions'!$P$32)*EXP('Model Inputs &amp; Assumptions'!$Q$32*S2379-'Model Inputs &amp; Assumptions'!$Q$32^2/2))</f>
        <v>681.242982074283</v>
      </c>
      <c r="I2379" s="49" t="n">
        <f aca="false">IF('Model Inputs &amp; Assumptions'!$H$32="Fixed",'Model Inputs &amp; Assumptions'!$I$32*'Model Inputs &amp; Assumptions'!$K$32,IF('Model Inputs &amp; Assumptions'!$H$32="CPM",'Model Inputs &amp; Assumptions'!$I$32*'Model Inputs &amp; Assumptions'!$K$32*C2379/1000,IF('Model Inputs &amp; Assumptions'!$H$32="CPC",'Model Inputs &amp; Assumptions'!$I$32*'Model Inputs &amp; Assumptions'!$K$32*G2379,0)))</f>
        <v>24015.804</v>
      </c>
      <c r="J2379" s="50" t="n">
        <f aca="false">H2379*INDEX('Model Inputs &amp; Assumptions'!$D$40:$D$42,MATCH('Model Inputs &amp; Assumptions'!$L$32,'Model Inputs &amp; Assumptions'!$A$40:$A$42,0))*INDEX('Model Inputs &amp; Assumptions'!$H$40:$H$42,MATCH('Model Inputs &amp; Assumptions'!$L$32,'Model Inputs &amp; Assumptions'!$A$40:$A$42,0))</f>
        <v>3678712.10320113</v>
      </c>
      <c r="K2379" s="49" t="n">
        <f aca="false">H2379*INDEX('Model Inputs &amp; Assumptions'!$G$40:$G$42,MATCH('Model Inputs &amp; Assumptions'!$L$32,'Model Inputs &amp; Assumptions'!$A$40:$A$42,0))*INDEX('Model Inputs &amp; Assumptions'!$H$40:$H$42,MATCH('Model Inputs &amp; Assumptions'!$L$32,'Model Inputs &amp; Assumptions'!$A$40:$A$42,0))</f>
        <v>77252.9541672237</v>
      </c>
      <c r="L2379" s="51" t="n">
        <f aca="false">IFERROR(K2379/I2379,0)</f>
        <v>3.2167548572275</v>
      </c>
      <c r="M2379" s="49" t="n">
        <f aca="false">IFERROR(I2379/H2379,0)</f>
        <v>35.2529194897179</v>
      </c>
      <c r="N2379" s="52" t="str">
        <f aca="false">'Model Inputs &amp; Assumptions'!$L$32</f>
        <v>PRD-SP01</v>
      </c>
      <c r="P2379" s="53" t="n">
        <v>1.854947</v>
      </c>
      <c r="Q2379" s="53" t="n">
        <v>0.897234</v>
      </c>
      <c r="R2379" s="53" t="n">
        <v>2.474423</v>
      </c>
      <c r="S2379" s="53" t="n">
        <v>0.401978</v>
      </c>
    </row>
    <row r="2380" customFormat="false" ht="15" hidden="false" customHeight="false" outlineLevel="0" collapsed="false">
      <c r="A2380" s="43" t="n">
        <v>377</v>
      </c>
      <c r="B2380" s="44" t="str">
        <f aca="false">'Model Inputs &amp; Assumptions'!$B$32</f>
        <v>Trade Republic — In-App Display</v>
      </c>
      <c r="C2380" s="45" t="n">
        <f aca="false">ROUND(MAX(0,'Model Inputs &amp; Assumptions'!$S$32*EXP('Model Inputs &amp; Assumptions'!$T$32*P2380-'Model Inputs &amp; Assumptions'!$T$32^2/2)),0)</f>
        <v>1073194</v>
      </c>
      <c r="D2380" s="46" t="n">
        <f aca="false">MIN(1,'Model Inputs &amp; Assumptions'!$U$32*EXP('Model Inputs &amp; Assumptions'!$V$32*Q2380-'Model Inputs &amp; Assumptions'!$V$32^2/2))</f>
        <v>0</v>
      </c>
      <c r="E2380" s="45" t="n">
        <f aca="false">ROUND(C2380*D2380,0)</f>
        <v>0</v>
      </c>
      <c r="F2380" s="47" t="n">
        <f aca="false">MIN(1,'Model Inputs &amp; Assumptions'!$W$32*EXP('Model Inputs &amp; Assumptions'!$X$32*R2380-'Model Inputs &amp; Assumptions'!$X$32^2/2))</f>
        <v>0.00406777053184941</v>
      </c>
      <c r="G2380" s="45" t="n">
        <f aca="false">ROUND(C2380*F2380,0)</f>
        <v>4366</v>
      </c>
      <c r="H2380" s="48" t="n">
        <f aca="false">MAX(0,(C2380*'Model Inputs &amp; Assumptions'!$N$32+E2380*'Model Inputs &amp; Assumptions'!$O$32+G2380*'Model Inputs &amp; Assumptions'!$P$32)*EXP('Model Inputs &amp; Assumptions'!$Q$32*S2380-'Model Inputs &amp; Assumptions'!$Q$32^2/2))</f>
        <v>283.619226814609</v>
      </c>
      <c r="I2380" s="49" t="n">
        <f aca="false">IF('Model Inputs &amp; Assumptions'!$H$32="Fixed",'Model Inputs &amp; Assumptions'!$I$32*'Model Inputs &amp; Assumptions'!$K$32,IF('Model Inputs &amp; Assumptions'!$H$32="CPM",'Model Inputs &amp; Assumptions'!$I$32*'Model Inputs &amp; Assumptions'!$K$32*C2380/1000,IF('Model Inputs &amp; Assumptions'!$H$32="CPC",'Model Inputs &amp; Assumptions'!$I$32*'Model Inputs &amp; Assumptions'!$K$32*G2380,0)))</f>
        <v>12878.328</v>
      </c>
      <c r="J2380" s="50" t="n">
        <f aca="false">H2380*INDEX('Model Inputs &amp; Assumptions'!$D$40:$D$42,MATCH('Model Inputs &amp; Assumptions'!$L$32,'Model Inputs &amp; Assumptions'!$A$40:$A$42,0))*INDEX('Model Inputs &amp; Assumptions'!$H$40:$H$42,MATCH('Model Inputs &amp; Assumptions'!$L$32,'Model Inputs &amp; Assumptions'!$A$40:$A$42,0))</f>
        <v>1531543.82479889</v>
      </c>
      <c r="K2380" s="49" t="n">
        <f aca="false">H2380*INDEX('Model Inputs &amp; Assumptions'!$G$40:$G$42,MATCH('Model Inputs &amp; Assumptions'!$L$32,'Model Inputs &amp; Assumptions'!$A$40:$A$42,0))*INDEX('Model Inputs &amp; Assumptions'!$H$40:$H$42,MATCH('Model Inputs &amp; Assumptions'!$L$32,'Model Inputs &amp; Assumptions'!$A$40:$A$42,0))</f>
        <v>32162.4203207766</v>
      </c>
      <c r="L2380" s="51" t="n">
        <f aca="false">IFERROR(K2380/I2380,0)</f>
        <v>2.49740652053408</v>
      </c>
      <c r="M2380" s="49" t="n">
        <f aca="false">IFERROR(I2380/H2380,0)</f>
        <v>45.4071049577259</v>
      </c>
      <c r="N2380" s="52" t="str">
        <f aca="false">'Model Inputs &amp; Assumptions'!$L$32</f>
        <v>PRD-SP01</v>
      </c>
      <c r="P2380" s="53" t="n">
        <v>-0.222274</v>
      </c>
      <c r="Q2380" s="53" t="n">
        <v>0.155344</v>
      </c>
      <c r="R2380" s="53" t="n">
        <v>0.651107</v>
      </c>
      <c r="S2380" s="53" t="n">
        <v>1.451153</v>
      </c>
    </row>
    <row r="2381" customFormat="false" ht="15" hidden="false" customHeight="false" outlineLevel="0" collapsed="false">
      <c r="A2381" s="43" t="n">
        <v>378</v>
      </c>
      <c r="B2381" s="44" t="str">
        <f aca="false">'Model Inputs &amp; Assumptions'!$B$32</f>
        <v>Trade Republic — In-App Display</v>
      </c>
      <c r="C2381" s="45" t="n">
        <f aca="false">ROUND(MAX(0,'Model Inputs &amp; Assumptions'!$S$32*EXP('Model Inputs &amp; Assumptions'!$T$32*P2381-'Model Inputs &amp; Assumptions'!$T$32^2/2)),0)</f>
        <v>1382648</v>
      </c>
      <c r="D2381" s="46" t="n">
        <f aca="false">MIN(1,'Model Inputs &amp; Assumptions'!$U$32*EXP('Model Inputs &amp; Assumptions'!$V$32*Q2381-'Model Inputs &amp; Assumptions'!$V$32^2/2))</f>
        <v>0</v>
      </c>
      <c r="E2381" s="45" t="n">
        <f aca="false">ROUND(C2381*D2381,0)</f>
        <v>0</v>
      </c>
      <c r="F2381" s="47" t="n">
        <f aca="false">MIN(1,'Model Inputs &amp; Assumptions'!$W$32*EXP('Model Inputs &amp; Assumptions'!$X$32*R2381-'Model Inputs &amp; Assumptions'!$X$32^2/2))</f>
        <v>0.00269064641708734</v>
      </c>
      <c r="G2381" s="45" t="n">
        <f aca="false">ROUND(C2381*F2381,0)</f>
        <v>3720</v>
      </c>
      <c r="H2381" s="48" t="n">
        <f aca="false">MAX(0,(C2381*'Model Inputs &amp; Assumptions'!$N$32+E2381*'Model Inputs &amp; Assumptions'!$O$32+G2381*'Model Inputs &amp; Assumptions'!$P$32)*EXP('Model Inputs &amp; Assumptions'!$Q$32*S2381-'Model Inputs &amp; Assumptions'!$Q$32^2/2))</f>
        <v>151.103531063415</v>
      </c>
      <c r="I2381" s="49" t="n">
        <f aca="false">IF('Model Inputs &amp; Assumptions'!$H$32="Fixed",'Model Inputs &amp; Assumptions'!$I$32*'Model Inputs &amp; Assumptions'!$K$32,IF('Model Inputs &amp; Assumptions'!$H$32="CPM",'Model Inputs &amp; Assumptions'!$I$32*'Model Inputs &amp; Assumptions'!$K$32*C2381/1000,IF('Model Inputs &amp; Assumptions'!$H$32="CPC",'Model Inputs &amp; Assumptions'!$I$32*'Model Inputs &amp; Assumptions'!$K$32*G2381,0)))</f>
        <v>16591.776</v>
      </c>
      <c r="J2381" s="50" t="n">
        <f aca="false">H2381*INDEX('Model Inputs &amp; Assumptions'!$D$40:$D$42,MATCH('Model Inputs &amp; Assumptions'!$L$32,'Model Inputs &amp; Assumptions'!$A$40:$A$42,0))*INDEX('Model Inputs &amp; Assumptions'!$H$40:$H$42,MATCH('Model Inputs &amp; Assumptions'!$L$32,'Model Inputs &amp; Assumptions'!$A$40:$A$42,0))</f>
        <v>815959.067742439</v>
      </c>
      <c r="K2381" s="49" t="n">
        <f aca="false">H2381*INDEX('Model Inputs &amp; Assumptions'!$G$40:$G$42,MATCH('Model Inputs &amp; Assumptions'!$L$32,'Model Inputs &amp; Assumptions'!$A$40:$A$42,0))*INDEX('Model Inputs &amp; Assumptions'!$H$40:$H$42,MATCH('Model Inputs &amp; Assumptions'!$L$32,'Model Inputs &amp; Assumptions'!$A$40:$A$42,0))</f>
        <v>17135.1404225912</v>
      </c>
      <c r="L2381" s="51" t="n">
        <f aca="false">IFERROR(K2381/I2381,0)</f>
        <v>1.03274902111692</v>
      </c>
      <c r="M2381" s="49" t="n">
        <f aca="false">IFERROR(I2381/H2381,0)</f>
        <v>109.804025645415</v>
      </c>
      <c r="N2381" s="52" t="str">
        <f aca="false">'Model Inputs &amp; Assumptions'!$L$32</f>
        <v>PRD-SP01</v>
      </c>
      <c r="P2381" s="53" t="n">
        <v>0.622262</v>
      </c>
      <c r="Q2381" s="53" t="n">
        <v>-0.045102</v>
      </c>
      <c r="R2381" s="53" t="n">
        <v>-0.726605</v>
      </c>
      <c r="S2381" s="53" t="n">
        <v>-0.225789</v>
      </c>
    </row>
    <row r="2382" customFormat="false" ht="15" hidden="false" customHeight="false" outlineLevel="0" collapsed="false">
      <c r="A2382" s="43" t="n">
        <v>379</v>
      </c>
      <c r="B2382" s="44" t="str">
        <f aca="false">'Model Inputs &amp; Assumptions'!$B$32</f>
        <v>Trade Republic — In-App Display</v>
      </c>
      <c r="C2382" s="45" t="n">
        <f aca="false">ROUND(MAX(0,'Model Inputs &amp; Assumptions'!$S$32*EXP('Model Inputs &amp; Assumptions'!$T$32*P2382-'Model Inputs &amp; Assumptions'!$T$32^2/2)),0)</f>
        <v>1137337</v>
      </c>
      <c r="D2382" s="46" t="n">
        <f aca="false">MIN(1,'Model Inputs &amp; Assumptions'!$U$32*EXP('Model Inputs &amp; Assumptions'!$V$32*Q2382-'Model Inputs &amp; Assumptions'!$V$32^2/2))</f>
        <v>0</v>
      </c>
      <c r="E2382" s="45" t="n">
        <f aca="false">ROUND(C2382*D2382,0)</f>
        <v>0</v>
      </c>
      <c r="F2382" s="47" t="n">
        <f aca="false">MIN(1,'Model Inputs &amp; Assumptions'!$W$32*EXP('Model Inputs &amp; Assumptions'!$X$32*R2382-'Model Inputs &amp; Assumptions'!$X$32^2/2))</f>
        <v>0.00516519144904435</v>
      </c>
      <c r="G2382" s="45" t="n">
        <f aca="false">ROUND(C2382*F2382,0)</f>
        <v>5875</v>
      </c>
      <c r="H2382" s="48" t="n">
        <f aca="false">MAX(0,(C2382*'Model Inputs &amp; Assumptions'!$N$32+E2382*'Model Inputs &amp; Assumptions'!$O$32+G2382*'Model Inputs &amp; Assumptions'!$P$32)*EXP('Model Inputs &amp; Assumptions'!$Q$32*S2382-'Model Inputs &amp; Assumptions'!$Q$32^2/2))</f>
        <v>238.389866930225</v>
      </c>
      <c r="I2382" s="49" t="n">
        <f aca="false">IF('Model Inputs &amp; Assumptions'!$H$32="Fixed",'Model Inputs &amp; Assumptions'!$I$32*'Model Inputs &amp; Assumptions'!$K$32,IF('Model Inputs &amp; Assumptions'!$H$32="CPM",'Model Inputs &amp; Assumptions'!$I$32*'Model Inputs &amp; Assumptions'!$K$32*C2382/1000,IF('Model Inputs &amp; Assumptions'!$H$32="CPC",'Model Inputs &amp; Assumptions'!$I$32*'Model Inputs &amp; Assumptions'!$K$32*G2382,0)))</f>
        <v>13648.044</v>
      </c>
      <c r="J2382" s="50" t="n">
        <f aca="false">H2382*INDEX('Model Inputs &amp; Assumptions'!$D$40:$D$42,MATCH('Model Inputs &amp; Assumptions'!$L$32,'Model Inputs &amp; Assumptions'!$A$40:$A$42,0))*INDEX('Model Inputs &amp; Assumptions'!$H$40:$H$42,MATCH('Model Inputs &amp; Assumptions'!$L$32,'Model Inputs &amp; Assumptions'!$A$40:$A$42,0))</f>
        <v>1287305.28142322</v>
      </c>
      <c r="K2382" s="49" t="n">
        <f aca="false">H2382*INDEX('Model Inputs &amp; Assumptions'!$G$40:$G$42,MATCH('Model Inputs &amp; Assumptions'!$L$32,'Model Inputs &amp; Assumptions'!$A$40:$A$42,0))*INDEX('Model Inputs &amp; Assumptions'!$H$40:$H$42,MATCH('Model Inputs &amp; Assumptions'!$L$32,'Model Inputs &amp; Assumptions'!$A$40:$A$42,0))</f>
        <v>27033.4109098875</v>
      </c>
      <c r="L2382" s="51" t="n">
        <f aca="false">IFERROR(K2382/I2382,0)</f>
        <v>1.9807534991745</v>
      </c>
      <c r="M2382" s="49" t="n">
        <f aca="false">IFERROR(I2382/H2382,0)</f>
        <v>57.2509401332678</v>
      </c>
      <c r="N2382" s="52" t="str">
        <f aca="false">'Model Inputs &amp; Assumptions'!$L$32</f>
        <v>PRD-SP01</v>
      </c>
      <c r="P2382" s="53" t="n">
        <v>-0.028772</v>
      </c>
      <c r="Q2382" s="53" t="n">
        <v>-0.246669</v>
      </c>
      <c r="R2382" s="53" t="n">
        <v>1.447264</v>
      </c>
      <c r="S2382" s="53" t="n">
        <v>-0.229504</v>
      </c>
    </row>
    <row r="2383" customFormat="false" ht="15" hidden="false" customHeight="false" outlineLevel="0" collapsed="false">
      <c r="A2383" s="43" t="n">
        <v>380</v>
      </c>
      <c r="B2383" s="44" t="str">
        <f aca="false">'Model Inputs &amp; Assumptions'!$B$32</f>
        <v>Trade Republic — In-App Display</v>
      </c>
      <c r="C2383" s="45" t="n">
        <f aca="false">ROUND(MAX(0,'Model Inputs &amp; Assumptions'!$S$32*EXP('Model Inputs &amp; Assumptions'!$T$32*P2383-'Model Inputs &amp; Assumptions'!$T$32^2/2)),0)</f>
        <v>2438899</v>
      </c>
      <c r="D2383" s="46" t="n">
        <f aca="false">MIN(1,'Model Inputs &amp; Assumptions'!$U$32*EXP('Model Inputs &amp; Assumptions'!$V$32*Q2383-'Model Inputs &amp; Assumptions'!$V$32^2/2))</f>
        <v>0</v>
      </c>
      <c r="E2383" s="45" t="n">
        <f aca="false">ROUND(C2383*D2383,0)</f>
        <v>0</v>
      </c>
      <c r="F2383" s="47" t="n">
        <f aca="false">MIN(1,'Model Inputs &amp; Assumptions'!$W$32*EXP('Model Inputs &amp; Assumptions'!$X$32*R2383-'Model Inputs &amp; Assumptions'!$X$32^2/2))</f>
        <v>0.00314936381357416</v>
      </c>
      <c r="G2383" s="45" t="n">
        <f aca="false">ROUND(C2383*F2383,0)</f>
        <v>7681</v>
      </c>
      <c r="H2383" s="48" t="n">
        <f aca="false">MAX(0,(C2383*'Model Inputs &amp; Assumptions'!$N$32+E2383*'Model Inputs &amp; Assumptions'!$O$32+G2383*'Model Inputs &amp; Assumptions'!$P$32)*EXP('Model Inputs &amp; Assumptions'!$Q$32*S2383-'Model Inputs &amp; Assumptions'!$Q$32^2/2))</f>
        <v>359.105521404186</v>
      </c>
      <c r="I2383" s="49" t="n">
        <f aca="false">IF('Model Inputs &amp; Assumptions'!$H$32="Fixed",'Model Inputs &amp; Assumptions'!$I$32*'Model Inputs &amp; Assumptions'!$K$32,IF('Model Inputs &amp; Assumptions'!$H$32="CPM",'Model Inputs &amp; Assumptions'!$I$32*'Model Inputs &amp; Assumptions'!$K$32*C2383/1000,IF('Model Inputs &amp; Assumptions'!$H$32="CPC",'Model Inputs &amp; Assumptions'!$I$32*'Model Inputs &amp; Assumptions'!$K$32*G2383,0)))</f>
        <v>29266.788</v>
      </c>
      <c r="J2383" s="50" t="n">
        <f aca="false">H2383*INDEX('Model Inputs &amp; Assumptions'!$D$40:$D$42,MATCH('Model Inputs &amp; Assumptions'!$L$32,'Model Inputs &amp; Assumptions'!$A$40:$A$42,0))*INDEX('Model Inputs &amp; Assumptions'!$H$40:$H$42,MATCH('Model Inputs &amp; Assumptions'!$L$32,'Model Inputs &amp; Assumptions'!$A$40:$A$42,0))</f>
        <v>1939169.8155826</v>
      </c>
      <c r="K2383" s="49" t="n">
        <f aca="false">H2383*INDEX('Model Inputs &amp; Assumptions'!$G$40:$G$42,MATCH('Model Inputs &amp; Assumptions'!$L$32,'Model Inputs &amp; Assumptions'!$A$40:$A$42,0))*INDEX('Model Inputs &amp; Assumptions'!$H$40:$H$42,MATCH('Model Inputs &amp; Assumptions'!$L$32,'Model Inputs &amp; Assumptions'!$A$40:$A$42,0))</f>
        <v>40722.5661272347</v>
      </c>
      <c r="L2383" s="51" t="n">
        <f aca="false">IFERROR(K2383/I2383,0)</f>
        <v>1.3914258758848</v>
      </c>
      <c r="M2383" s="49" t="n">
        <f aca="false">IFERROR(I2383/H2383,0)</f>
        <v>81.499131190075</v>
      </c>
      <c r="N2383" s="52" t="str">
        <f aca="false">'Model Inputs &amp; Assumptions'!$L$32</f>
        <v>PRD-SP01</v>
      </c>
      <c r="P2383" s="53" t="n">
        <v>2.514084</v>
      </c>
      <c r="Q2383" s="53" t="n">
        <v>3.703386</v>
      </c>
      <c r="R2383" s="53" t="n">
        <v>-0.201875</v>
      </c>
      <c r="S2383" s="53" t="n">
        <v>0.276443</v>
      </c>
    </row>
    <row r="2384" customFormat="false" ht="15" hidden="false" customHeight="false" outlineLevel="0" collapsed="false">
      <c r="A2384" s="43" t="n">
        <v>381</v>
      </c>
      <c r="B2384" s="44" t="str">
        <f aca="false">'Model Inputs &amp; Assumptions'!$B$32</f>
        <v>Trade Republic — In-App Display</v>
      </c>
      <c r="C2384" s="45" t="n">
        <f aca="false">ROUND(MAX(0,'Model Inputs &amp; Assumptions'!$S$32*EXP('Model Inputs &amp; Assumptions'!$T$32*P2384-'Model Inputs &amp; Assumptions'!$T$32^2/2)),0)</f>
        <v>1371759</v>
      </c>
      <c r="D2384" s="46" t="n">
        <f aca="false">MIN(1,'Model Inputs &amp; Assumptions'!$U$32*EXP('Model Inputs &amp; Assumptions'!$V$32*Q2384-'Model Inputs &amp; Assumptions'!$V$32^2/2))</f>
        <v>0</v>
      </c>
      <c r="E2384" s="45" t="n">
        <f aca="false">ROUND(C2384*D2384,0)</f>
        <v>0</v>
      </c>
      <c r="F2384" s="47" t="n">
        <f aca="false">MIN(1,'Model Inputs &amp; Assumptions'!$W$32*EXP('Model Inputs &amp; Assumptions'!$X$32*R2384-'Model Inputs &amp; Assumptions'!$X$32^2/2))</f>
        <v>0.00285011991403483</v>
      </c>
      <c r="G2384" s="45" t="n">
        <f aca="false">ROUND(C2384*F2384,0)</f>
        <v>3910</v>
      </c>
      <c r="H2384" s="48" t="n">
        <f aca="false">MAX(0,(C2384*'Model Inputs &amp; Assumptions'!$N$32+E2384*'Model Inputs &amp; Assumptions'!$O$32+G2384*'Model Inputs &amp; Assumptions'!$P$32)*EXP('Model Inputs &amp; Assumptions'!$Q$32*S2384-'Model Inputs &amp; Assumptions'!$Q$32^2/2))</f>
        <v>143.879747482213</v>
      </c>
      <c r="I2384" s="49" t="n">
        <f aca="false">IF('Model Inputs &amp; Assumptions'!$H$32="Fixed",'Model Inputs &amp; Assumptions'!$I$32*'Model Inputs &amp; Assumptions'!$K$32,IF('Model Inputs &amp; Assumptions'!$H$32="CPM",'Model Inputs &amp; Assumptions'!$I$32*'Model Inputs &amp; Assumptions'!$K$32*C2384/1000,IF('Model Inputs &amp; Assumptions'!$H$32="CPC",'Model Inputs &amp; Assumptions'!$I$32*'Model Inputs &amp; Assumptions'!$K$32*G2384,0)))</f>
        <v>16461.108</v>
      </c>
      <c r="J2384" s="50" t="n">
        <f aca="false">H2384*INDEX('Model Inputs &amp; Assumptions'!$D$40:$D$42,MATCH('Model Inputs &amp; Assumptions'!$L$32,'Model Inputs &amp; Assumptions'!$A$40:$A$42,0))*INDEX('Model Inputs &amp; Assumptions'!$H$40:$H$42,MATCH('Model Inputs &amp; Assumptions'!$L$32,'Model Inputs &amp; Assumptions'!$A$40:$A$42,0))</f>
        <v>776950.636403952</v>
      </c>
      <c r="K2384" s="49" t="n">
        <f aca="false">H2384*INDEX('Model Inputs &amp; Assumptions'!$G$40:$G$42,MATCH('Model Inputs &amp; Assumptions'!$L$32,'Model Inputs &amp; Assumptions'!$A$40:$A$42,0))*INDEX('Model Inputs &amp; Assumptions'!$H$40:$H$42,MATCH('Model Inputs &amp; Assumptions'!$L$32,'Model Inputs &amp; Assumptions'!$A$40:$A$42,0))</f>
        <v>16315.963364483</v>
      </c>
      <c r="L2384" s="51" t="n">
        <f aca="false">IFERROR(K2384/I2384,0)</f>
        <v>0.991182571943699</v>
      </c>
      <c r="M2384" s="49" t="n">
        <f aca="false">IFERROR(I2384/H2384,0)</f>
        <v>114.408791286174</v>
      </c>
      <c r="N2384" s="52" t="str">
        <f aca="false">'Model Inputs &amp; Assumptions'!$L$32</f>
        <v>PRD-SP01</v>
      </c>
      <c r="P2384" s="53" t="n">
        <v>0.595907</v>
      </c>
      <c r="Q2384" s="53" t="n">
        <v>0.33631</v>
      </c>
      <c r="R2384" s="53" t="n">
        <v>-0.534673</v>
      </c>
      <c r="S2384" s="53" t="n">
        <v>-0.57865</v>
      </c>
    </row>
    <row r="2385" customFormat="false" ht="15" hidden="false" customHeight="false" outlineLevel="0" collapsed="false">
      <c r="A2385" s="43" t="n">
        <v>382</v>
      </c>
      <c r="B2385" s="44" t="str">
        <f aca="false">'Model Inputs &amp; Assumptions'!$B$32</f>
        <v>Trade Republic — In-App Display</v>
      </c>
      <c r="C2385" s="45" t="n">
        <f aca="false">ROUND(MAX(0,'Model Inputs &amp; Assumptions'!$S$32*EXP('Model Inputs &amp; Assumptions'!$T$32*P2385-'Model Inputs &amp; Assumptions'!$T$32^2/2)),0)</f>
        <v>1065155</v>
      </c>
      <c r="D2385" s="46" t="n">
        <f aca="false">MIN(1,'Model Inputs &amp; Assumptions'!$U$32*EXP('Model Inputs &amp; Assumptions'!$V$32*Q2385-'Model Inputs &amp; Assumptions'!$V$32^2/2))</f>
        <v>0</v>
      </c>
      <c r="E2385" s="45" t="n">
        <f aca="false">ROUND(C2385*D2385,0)</f>
        <v>0</v>
      </c>
      <c r="F2385" s="47" t="n">
        <f aca="false">MIN(1,'Model Inputs &amp; Assumptions'!$W$32*EXP('Model Inputs &amp; Assumptions'!$X$32*R2385-'Model Inputs &amp; Assumptions'!$X$32^2/2))</f>
        <v>0.00246559206795973</v>
      </c>
      <c r="G2385" s="45" t="n">
        <f aca="false">ROUND(C2385*F2385,0)</f>
        <v>2626</v>
      </c>
      <c r="H2385" s="48" t="n">
        <f aca="false">MAX(0,(C2385*'Model Inputs &amp; Assumptions'!$N$32+E2385*'Model Inputs &amp; Assumptions'!$O$32+G2385*'Model Inputs &amp; Assumptions'!$P$32)*EXP('Model Inputs &amp; Assumptions'!$Q$32*S2385-'Model Inputs &amp; Assumptions'!$Q$32^2/2))</f>
        <v>106.090305028258</v>
      </c>
      <c r="I2385" s="49" t="n">
        <f aca="false">IF('Model Inputs &amp; Assumptions'!$H$32="Fixed",'Model Inputs &amp; Assumptions'!$I$32*'Model Inputs &amp; Assumptions'!$K$32,IF('Model Inputs &amp; Assumptions'!$H$32="CPM",'Model Inputs &amp; Assumptions'!$I$32*'Model Inputs &amp; Assumptions'!$K$32*C2385/1000,IF('Model Inputs &amp; Assumptions'!$H$32="CPC",'Model Inputs &amp; Assumptions'!$I$32*'Model Inputs &amp; Assumptions'!$K$32*G2385,0)))</f>
        <v>12781.86</v>
      </c>
      <c r="J2385" s="50" t="n">
        <f aca="false">H2385*INDEX('Model Inputs &amp; Assumptions'!$D$40:$D$42,MATCH('Model Inputs &amp; Assumptions'!$L$32,'Model Inputs &amp; Assumptions'!$A$40:$A$42,0))*INDEX('Model Inputs &amp; Assumptions'!$H$40:$H$42,MATCH('Model Inputs &amp; Assumptions'!$L$32,'Model Inputs &amp; Assumptions'!$A$40:$A$42,0))</f>
        <v>572887.647152591</v>
      </c>
      <c r="K2385" s="49" t="n">
        <f aca="false">H2385*INDEX('Model Inputs &amp; Assumptions'!$G$40:$G$42,MATCH('Model Inputs &amp; Assumptions'!$L$32,'Model Inputs &amp; Assumptions'!$A$40:$A$42,0))*INDEX('Model Inputs &amp; Assumptions'!$H$40:$H$42,MATCH('Model Inputs &amp; Assumptions'!$L$32,'Model Inputs &amp; Assumptions'!$A$40:$A$42,0))</f>
        <v>12030.6405902044</v>
      </c>
      <c r="L2385" s="51" t="n">
        <f aca="false">IFERROR(K2385/I2385,0)</f>
        <v>0.941227692229801</v>
      </c>
      <c r="M2385" s="49" t="n">
        <f aca="false">IFERROR(I2385/H2385,0)</f>
        <v>120.480943066339</v>
      </c>
      <c r="N2385" s="52" t="str">
        <f aca="false">'Model Inputs &amp; Assumptions'!$L$32</f>
        <v>PRD-SP01</v>
      </c>
      <c r="P2385" s="53" t="n">
        <v>-0.247336</v>
      </c>
      <c r="Q2385" s="53" t="n">
        <v>-1.382994</v>
      </c>
      <c r="R2385" s="53" t="n">
        <v>-1.01777</v>
      </c>
      <c r="S2385" s="53" t="n">
        <v>-0.24512</v>
      </c>
    </row>
    <row r="2386" customFormat="false" ht="15" hidden="false" customHeight="false" outlineLevel="0" collapsed="false">
      <c r="A2386" s="43" t="n">
        <v>383</v>
      </c>
      <c r="B2386" s="44" t="str">
        <f aca="false">'Model Inputs &amp; Assumptions'!$B$32</f>
        <v>Trade Republic — In-App Display</v>
      </c>
      <c r="C2386" s="45" t="n">
        <f aca="false">ROUND(MAX(0,'Model Inputs &amp; Assumptions'!$S$32*EXP('Model Inputs &amp; Assumptions'!$T$32*P2386-'Model Inputs &amp; Assumptions'!$T$32^2/2)),0)</f>
        <v>1164317</v>
      </c>
      <c r="D2386" s="46" t="n">
        <f aca="false">MIN(1,'Model Inputs &amp; Assumptions'!$U$32*EXP('Model Inputs &amp; Assumptions'!$V$32*Q2386-'Model Inputs &amp; Assumptions'!$V$32^2/2))</f>
        <v>0</v>
      </c>
      <c r="E2386" s="45" t="n">
        <f aca="false">ROUND(C2386*D2386,0)</f>
        <v>0</v>
      </c>
      <c r="F2386" s="47" t="n">
        <f aca="false">MIN(1,'Model Inputs &amp; Assumptions'!$W$32*EXP('Model Inputs &amp; Assumptions'!$X$32*R2386-'Model Inputs &amp; Assumptions'!$X$32^2/2))</f>
        <v>0.00280889444081194</v>
      </c>
      <c r="G2386" s="45" t="n">
        <f aca="false">ROUND(C2386*F2386,0)</f>
        <v>3270</v>
      </c>
      <c r="H2386" s="48" t="n">
        <f aca="false">MAX(0,(C2386*'Model Inputs &amp; Assumptions'!$N$32+E2386*'Model Inputs &amp; Assumptions'!$O$32+G2386*'Model Inputs &amp; Assumptions'!$P$32)*EXP('Model Inputs &amp; Assumptions'!$Q$32*S2386-'Model Inputs &amp; Assumptions'!$Q$32^2/2))</f>
        <v>78.7723836922201</v>
      </c>
      <c r="I2386" s="49" t="n">
        <f aca="false">IF('Model Inputs &amp; Assumptions'!$H$32="Fixed",'Model Inputs &amp; Assumptions'!$I$32*'Model Inputs &amp; Assumptions'!$K$32,IF('Model Inputs &amp; Assumptions'!$H$32="CPM",'Model Inputs &amp; Assumptions'!$I$32*'Model Inputs &amp; Assumptions'!$K$32*C2386/1000,IF('Model Inputs &amp; Assumptions'!$H$32="CPC",'Model Inputs &amp; Assumptions'!$I$32*'Model Inputs &amp; Assumptions'!$K$32*G2386,0)))</f>
        <v>13971.804</v>
      </c>
      <c r="J2386" s="50" t="n">
        <f aca="false">H2386*INDEX('Model Inputs &amp; Assumptions'!$D$40:$D$42,MATCH('Model Inputs &amp; Assumptions'!$L$32,'Model Inputs &amp; Assumptions'!$A$40:$A$42,0))*INDEX('Model Inputs &amp; Assumptions'!$H$40:$H$42,MATCH('Model Inputs &amp; Assumptions'!$L$32,'Model Inputs &amp; Assumptions'!$A$40:$A$42,0))</f>
        <v>425370.871937989</v>
      </c>
      <c r="K2386" s="49" t="n">
        <f aca="false">H2386*INDEX('Model Inputs &amp; Assumptions'!$G$40:$G$42,MATCH('Model Inputs &amp; Assumptions'!$L$32,'Model Inputs &amp; Assumptions'!$A$40:$A$42,0))*INDEX('Model Inputs &amp; Assumptions'!$H$40:$H$42,MATCH('Model Inputs &amp; Assumptions'!$L$32,'Model Inputs &amp; Assumptions'!$A$40:$A$42,0))</f>
        <v>8932.78831069776</v>
      </c>
      <c r="L2386" s="51" t="n">
        <f aca="false">IFERROR(K2386/I2386,0)</f>
        <v>0.639343946615466</v>
      </c>
      <c r="M2386" s="49" t="n">
        <f aca="false">IFERROR(I2386/H2386,0)</f>
        <v>177.369318346271</v>
      </c>
      <c r="N2386" s="52" t="str">
        <f aca="false">'Model Inputs &amp; Assumptions'!$L$32</f>
        <v>PRD-SP01</v>
      </c>
      <c r="P2386" s="53" t="n">
        <v>0.049378</v>
      </c>
      <c r="Q2386" s="53" t="n">
        <v>-0.035419</v>
      </c>
      <c r="R2386" s="53" t="n">
        <v>-0.58324</v>
      </c>
      <c r="S2386" s="53" t="n">
        <v>-2.09175</v>
      </c>
    </row>
    <row r="2387" customFormat="false" ht="15" hidden="false" customHeight="false" outlineLevel="0" collapsed="false">
      <c r="A2387" s="43" t="n">
        <v>384</v>
      </c>
      <c r="B2387" s="44" t="str">
        <f aca="false">'Model Inputs &amp; Assumptions'!$B$32</f>
        <v>Trade Republic — In-App Display</v>
      </c>
      <c r="C2387" s="45" t="n">
        <f aca="false">ROUND(MAX(0,'Model Inputs &amp; Assumptions'!$S$32*EXP('Model Inputs &amp; Assumptions'!$T$32*P2387-'Model Inputs &amp; Assumptions'!$T$32^2/2)),0)</f>
        <v>1647250</v>
      </c>
      <c r="D2387" s="46" t="n">
        <f aca="false">MIN(1,'Model Inputs &amp; Assumptions'!$U$32*EXP('Model Inputs &amp; Assumptions'!$V$32*Q2387-'Model Inputs &amp; Assumptions'!$V$32^2/2))</f>
        <v>0</v>
      </c>
      <c r="E2387" s="45" t="n">
        <f aca="false">ROUND(C2387*D2387,0)</f>
        <v>0</v>
      </c>
      <c r="F2387" s="47" t="n">
        <f aca="false">MIN(1,'Model Inputs &amp; Assumptions'!$W$32*EXP('Model Inputs &amp; Assumptions'!$X$32*R2387-'Model Inputs &amp; Assumptions'!$X$32^2/2))</f>
        <v>0.0033279815147965</v>
      </c>
      <c r="G2387" s="45" t="n">
        <f aca="false">ROUND(C2387*F2387,0)</f>
        <v>5482</v>
      </c>
      <c r="H2387" s="48" t="n">
        <f aca="false">MAX(0,(C2387*'Model Inputs &amp; Assumptions'!$N$32+E2387*'Model Inputs &amp; Assumptions'!$O$32+G2387*'Model Inputs &amp; Assumptions'!$P$32)*EXP('Model Inputs &amp; Assumptions'!$Q$32*S2387-'Model Inputs &amp; Assumptions'!$Q$32^2/2))</f>
        <v>246.524487088636</v>
      </c>
      <c r="I2387" s="49" t="n">
        <f aca="false">IF('Model Inputs &amp; Assumptions'!$H$32="Fixed",'Model Inputs &amp; Assumptions'!$I$32*'Model Inputs &amp; Assumptions'!$K$32,IF('Model Inputs &amp; Assumptions'!$H$32="CPM",'Model Inputs &amp; Assumptions'!$I$32*'Model Inputs &amp; Assumptions'!$K$32*C2387/1000,IF('Model Inputs &amp; Assumptions'!$H$32="CPC",'Model Inputs &amp; Assumptions'!$I$32*'Model Inputs &amp; Assumptions'!$K$32*G2387,0)))</f>
        <v>19767</v>
      </c>
      <c r="J2387" s="50" t="n">
        <f aca="false">H2387*INDEX('Model Inputs &amp; Assumptions'!$D$40:$D$42,MATCH('Model Inputs &amp; Assumptions'!$L$32,'Model Inputs &amp; Assumptions'!$A$40:$A$42,0))*INDEX('Model Inputs &amp; Assumptions'!$H$40:$H$42,MATCH('Model Inputs &amp; Assumptions'!$L$32,'Model Inputs &amp; Assumptions'!$A$40:$A$42,0))</f>
        <v>1331232.23027863</v>
      </c>
      <c r="K2387" s="49" t="n">
        <f aca="false">H2387*INDEX('Model Inputs &amp; Assumptions'!$G$40:$G$42,MATCH('Model Inputs &amp; Assumptions'!$L$32,'Model Inputs &amp; Assumptions'!$A$40:$A$42,0))*INDEX('Model Inputs &amp; Assumptions'!$H$40:$H$42,MATCH('Model Inputs &amp; Assumptions'!$L$32,'Model Inputs &amp; Assumptions'!$A$40:$A$42,0))</f>
        <v>27955.8768358513</v>
      </c>
      <c r="L2387" s="51" t="n">
        <f aca="false">IFERROR(K2387/I2387,0)</f>
        <v>1.41427008832151</v>
      </c>
      <c r="M2387" s="49" t="n">
        <f aca="false">IFERROR(I2387/H2387,0)</f>
        <v>80.1827040933785</v>
      </c>
      <c r="N2387" s="52" t="str">
        <f aca="false">'Model Inputs &amp; Assumptions'!$L$32</f>
        <v>PRD-SP01</v>
      </c>
      <c r="P2387" s="53" t="n">
        <v>1.205953</v>
      </c>
      <c r="Q2387" s="53" t="n">
        <v>0.760409</v>
      </c>
      <c r="R2387" s="53" t="n">
        <v>-0.01799</v>
      </c>
      <c r="S2387" s="53" t="n">
        <v>0.137603</v>
      </c>
    </row>
    <row r="2388" customFormat="false" ht="15" hidden="false" customHeight="false" outlineLevel="0" collapsed="false">
      <c r="A2388" s="43" t="n">
        <v>385</v>
      </c>
      <c r="B2388" s="44" t="str">
        <f aca="false">'Model Inputs &amp; Assumptions'!$B$32</f>
        <v>Trade Republic — In-App Display</v>
      </c>
      <c r="C2388" s="45" t="n">
        <f aca="false">ROUND(MAX(0,'Model Inputs &amp; Assumptions'!$S$32*EXP('Model Inputs &amp; Assumptions'!$T$32*P2388-'Model Inputs &amp; Assumptions'!$T$32^2/2)),0)</f>
        <v>922929</v>
      </c>
      <c r="D2388" s="46" t="n">
        <f aca="false">MIN(1,'Model Inputs &amp; Assumptions'!$U$32*EXP('Model Inputs &amp; Assumptions'!$V$32*Q2388-'Model Inputs &amp; Assumptions'!$V$32^2/2))</f>
        <v>0</v>
      </c>
      <c r="E2388" s="45" t="n">
        <f aca="false">ROUND(C2388*D2388,0)</f>
        <v>0</v>
      </c>
      <c r="F2388" s="47" t="n">
        <f aca="false">MIN(1,'Model Inputs &amp; Assumptions'!$W$32*EXP('Model Inputs &amp; Assumptions'!$X$32*R2388-'Model Inputs &amp; Assumptions'!$X$32^2/2))</f>
        <v>0.00361254773970819</v>
      </c>
      <c r="G2388" s="45" t="n">
        <f aca="false">ROUND(C2388*F2388,0)</f>
        <v>3334</v>
      </c>
      <c r="H2388" s="48" t="n">
        <f aca="false">MAX(0,(C2388*'Model Inputs &amp; Assumptions'!$N$32+E2388*'Model Inputs &amp; Assumptions'!$O$32+G2388*'Model Inputs &amp; Assumptions'!$P$32)*EXP('Model Inputs &amp; Assumptions'!$Q$32*S2388-'Model Inputs &amp; Assumptions'!$Q$32^2/2))</f>
        <v>140.640708850178</v>
      </c>
      <c r="I2388" s="49" t="n">
        <f aca="false">IF('Model Inputs &amp; Assumptions'!$H$32="Fixed",'Model Inputs &amp; Assumptions'!$I$32*'Model Inputs &amp; Assumptions'!$K$32,IF('Model Inputs &amp; Assumptions'!$H$32="CPM",'Model Inputs &amp; Assumptions'!$I$32*'Model Inputs &amp; Assumptions'!$K$32*C2388/1000,IF('Model Inputs &amp; Assumptions'!$H$32="CPC",'Model Inputs &amp; Assumptions'!$I$32*'Model Inputs &amp; Assumptions'!$K$32*G2388,0)))</f>
        <v>11075.148</v>
      </c>
      <c r="J2388" s="50" t="n">
        <f aca="false">H2388*INDEX('Model Inputs &amp; Assumptions'!$D$40:$D$42,MATCH('Model Inputs &amp; Assumptions'!$L$32,'Model Inputs &amp; Assumptions'!$A$40:$A$42,0))*INDEX('Model Inputs &amp; Assumptions'!$H$40:$H$42,MATCH('Model Inputs &amp; Assumptions'!$L$32,'Model Inputs &amp; Assumptions'!$A$40:$A$42,0))</f>
        <v>759459.82779096</v>
      </c>
      <c r="K2388" s="49" t="n">
        <f aca="false">H2388*INDEX('Model Inputs &amp; Assumptions'!$G$40:$G$42,MATCH('Model Inputs &amp; Assumptions'!$L$32,'Model Inputs &amp; Assumptions'!$A$40:$A$42,0))*INDEX('Model Inputs &amp; Assumptions'!$H$40:$H$42,MATCH('Model Inputs &amp; Assumptions'!$L$32,'Model Inputs &amp; Assumptions'!$A$40:$A$42,0))</f>
        <v>15948.6563836102</v>
      </c>
      <c r="L2388" s="51" t="n">
        <f aca="false">IFERROR(K2388/I2388,0)</f>
        <v>1.44004002326742</v>
      </c>
      <c r="M2388" s="49" t="n">
        <f aca="false">IFERROR(I2388/H2388,0)</f>
        <v>78.7478112883957</v>
      </c>
      <c r="N2388" s="52" t="str">
        <f aca="false">'Model Inputs &amp; Assumptions'!$L$32</f>
        <v>PRD-SP01</v>
      </c>
      <c r="P2388" s="53" t="n">
        <v>-0.725083</v>
      </c>
      <c r="Q2388" s="53" t="n">
        <v>-1.6929</v>
      </c>
      <c r="R2388" s="53" t="n">
        <v>0.255501</v>
      </c>
      <c r="S2388" s="53" t="n">
        <v>-0.09081</v>
      </c>
    </row>
    <row r="2389" customFormat="false" ht="15" hidden="false" customHeight="false" outlineLevel="0" collapsed="false">
      <c r="A2389" s="43" t="n">
        <v>386</v>
      </c>
      <c r="B2389" s="44" t="str">
        <f aca="false">'Model Inputs &amp; Assumptions'!$B$32</f>
        <v>Trade Republic — In-App Display</v>
      </c>
      <c r="C2389" s="45" t="n">
        <f aca="false">ROUND(MAX(0,'Model Inputs &amp; Assumptions'!$S$32*EXP('Model Inputs &amp; Assumptions'!$T$32*P2389-'Model Inputs &amp; Assumptions'!$T$32^2/2)),0)</f>
        <v>1251321</v>
      </c>
      <c r="D2389" s="46" t="n">
        <f aca="false">MIN(1,'Model Inputs &amp; Assumptions'!$U$32*EXP('Model Inputs &amp; Assumptions'!$V$32*Q2389-'Model Inputs &amp; Assumptions'!$V$32^2/2))</f>
        <v>0</v>
      </c>
      <c r="E2389" s="45" t="n">
        <f aca="false">ROUND(C2389*D2389,0)</f>
        <v>0</v>
      </c>
      <c r="F2389" s="47" t="n">
        <f aca="false">MIN(1,'Model Inputs &amp; Assumptions'!$W$32*EXP('Model Inputs &amp; Assumptions'!$X$32*R2389-'Model Inputs &amp; Assumptions'!$X$32^2/2))</f>
        <v>0.0048632545218499</v>
      </c>
      <c r="G2389" s="45" t="n">
        <f aca="false">ROUND(C2389*F2389,0)</f>
        <v>6085</v>
      </c>
      <c r="H2389" s="48" t="n">
        <f aca="false">MAX(0,(C2389*'Model Inputs &amp; Assumptions'!$N$32+E2389*'Model Inputs &amp; Assumptions'!$O$32+G2389*'Model Inputs &amp; Assumptions'!$P$32)*EXP('Model Inputs &amp; Assumptions'!$Q$32*S2389-'Model Inputs &amp; Assumptions'!$Q$32^2/2))</f>
        <v>273.68534106523</v>
      </c>
      <c r="I2389" s="49" t="n">
        <f aca="false">IF('Model Inputs &amp; Assumptions'!$H$32="Fixed",'Model Inputs &amp; Assumptions'!$I$32*'Model Inputs &amp; Assumptions'!$K$32,IF('Model Inputs &amp; Assumptions'!$H$32="CPM",'Model Inputs &amp; Assumptions'!$I$32*'Model Inputs &amp; Assumptions'!$K$32*C2389/1000,IF('Model Inputs &amp; Assumptions'!$H$32="CPC",'Model Inputs &amp; Assumptions'!$I$32*'Model Inputs &amp; Assumptions'!$K$32*G2389,0)))</f>
        <v>15015.852</v>
      </c>
      <c r="J2389" s="50" t="n">
        <f aca="false">H2389*INDEX('Model Inputs &amp; Assumptions'!$D$40:$D$42,MATCH('Model Inputs &amp; Assumptions'!$L$32,'Model Inputs &amp; Assumptions'!$A$40:$A$42,0))*INDEX('Model Inputs &amp; Assumptions'!$H$40:$H$42,MATCH('Model Inputs &amp; Assumptions'!$L$32,'Model Inputs &amp; Assumptions'!$A$40:$A$42,0))</f>
        <v>1477900.84175224</v>
      </c>
      <c r="K2389" s="49" t="n">
        <f aca="false">H2389*INDEX('Model Inputs &amp; Assumptions'!$G$40:$G$42,MATCH('Model Inputs &amp; Assumptions'!$L$32,'Model Inputs &amp; Assumptions'!$A$40:$A$42,0))*INDEX('Model Inputs &amp; Assumptions'!$H$40:$H$42,MATCH('Model Inputs &amp; Assumptions'!$L$32,'Model Inputs &amp; Assumptions'!$A$40:$A$42,0))</f>
        <v>31035.9176767971</v>
      </c>
      <c r="L2389" s="51" t="n">
        <f aca="false">IFERROR(K2389/I2389,0)</f>
        <v>2.06687690294211</v>
      </c>
      <c r="M2389" s="49" t="n">
        <f aca="false">IFERROR(I2389/H2389,0)</f>
        <v>54.8653864381473</v>
      </c>
      <c r="N2389" s="52" t="str">
        <f aca="false">'Model Inputs &amp; Assumptions'!$L$32</f>
        <v>PRD-SP01</v>
      </c>
      <c r="P2389" s="53" t="n">
        <v>0.289595</v>
      </c>
      <c r="Q2389" s="53" t="n">
        <v>0.365621</v>
      </c>
      <c r="R2389" s="53" t="n">
        <v>1.246483</v>
      </c>
      <c r="S2389" s="53" t="n">
        <v>0.138178</v>
      </c>
    </row>
    <row r="2390" customFormat="false" ht="15" hidden="false" customHeight="false" outlineLevel="0" collapsed="false">
      <c r="A2390" s="43" t="n">
        <v>387</v>
      </c>
      <c r="B2390" s="44" t="str">
        <f aca="false">'Model Inputs &amp; Assumptions'!$B$32</f>
        <v>Trade Republic — In-App Display</v>
      </c>
      <c r="C2390" s="45" t="n">
        <f aca="false">ROUND(MAX(0,'Model Inputs &amp; Assumptions'!$S$32*EXP('Model Inputs &amp; Assumptions'!$T$32*P2390-'Model Inputs &amp; Assumptions'!$T$32^2/2)),0)</f>
        <v>1813066</v>
      </c>
      <c r="D2390" s="46" t="n">
        <f aca="false">MIN(1,'Model Inputs &amp; Assumptions'!$U$32*EXP('Model Inputs &amp; Assumptions'!$V$32*Q2390-'Model Inputs &amp; Assumptions'!$V$32^2/2))</f>
        <v>0</v>
      </c>
      <c r="E2390" s="45" t="n">
        <f aca="false">ROUND(C2390*D2390,0)</f>
        <v>0</v>
      </c>
      <c r="F2390" s="47" t="n">
        <f aca="false">MIN(1,'Model Inputs &amp; Assumptions'!$W$32*EXP('Model Inputs &amp; Assumptions'!$X$32*R2390-'Model Inputs &amp; Assumptions'!$X$32^2/2))</f>
        <v>0.00443947474377909</v>
      </c>
      <c r="G2390" s="45" t="n">
        <f aca="false">ROUND(C2390*F2390,0)</f>
        <v>8049</v>
      </c>
      <c r="H2390" s="48" t="n">
        <f aca="false">MAX(0,(C2390*'Model Inputs &amp; Assumptions'!$N$32+E2390*'Model Inputs &amp; Assumptions'!$O$32+G2390*'Model Inputs &amp; Assumptions'!$P$32)*EXP('Model Inputs &amp; Assumptions'!$Q$32*S2390-'Model Inputs &amp; Assumptions'!$Q$32^2/2))</f>
        <v>440.043149822294</v>
      </c>
      <c r="I2390" s="49" t="n">
        <f aca="false">IF('Model Inputs &amp; Assumptions'!$H$32="Fixed",'Model Inputs &amp; Assumptions'!$I$32*'Model Inputs &amp; Assumptions'!$K$32,IF('Model Inputs &amp; Assumptions'!$H$32="CPM",'Model Inputs &amp; Assumptions'!$I$32*'Model Inputs &amp; Assumptions'!$K$32*C2390/1000,IF('Model Inputs &amp; Assumptions'!$H$32="CPC",'Model Inputs &amp; Assumptions'!$I$32*'Model Inputs &amp; Assumptions'!$K$32*G2390,0)))</f>
        <v>21756.792</v>
      </c>
      <c r="J2390" s="50" t="n">
        <f aca="false">H2390*INDEX('Model Inputs &amp; Assumptions'!$D$40:$D$42,MATCH('Model Inputs &amp; Assumptions'!$L$32,'Model Inputs &amp; Assumptions'!$A$40:$A$42,0))*INDEX('Model Inputs &amp; Assumptions'!$H$40:$H$42,MATCH('Model Inputs &amp; Assumptions'!$L$32,'Model Inputs &amp; Assumptions'!$A$40:$A$42,0))</f>
        <v>2376233.00904039</v>
      </c>
      <c r="K2390" s="49" t="n">
        <f aca="false">H2390*INDEX('Model Inputs &amp; Assumptions'!$G$40:$G$42,MATCH('Model Inputs &amp; Assumptions'!$L$32,'Model Inputs &amp; Assumptions'!$A$40:$A$42,0))*INDEX('Model Inputs &amp; Assumptions'!$H$40:$H$42,MATCH('Model Inputs &amp; Assumptions'!$L$32,'Model Inputs &amp; Assumptions'!$A$40:$A$42,0))</f>
        <v>49900.8931898481</v>
      </c>
      <c r="L2390" s="51" t="n">
        <f aca="false">IFERROR(K2390/I2390,0)</f>
        <v>2.29357771080627</v>
      </c>
      <c r="M2390" s="49" t="n">
        <f aca="false">IFERROR(I2390/H2390,0)</f>
        <v>49.442405838578</v>
      </c>
      <c r="N2390" s="52" t="str">
        <f aca="false">'Model Inputs &amp; Assumptions'!$L$32</f>
        <v>PRD-SP01</v>
      </c>
      <c r="P2390" s="53" t="n">
        <v>1.52566</v>
      </c>
      <c r="Q2390" s="53" t="n">
        <v>-0.471346</v>
      </c>
      <c r="R2390" s="53" t="n">
        <v>0.942577</v>
      </c>
      <c r="S2390" s="53" t="n">
        <v>0.835223</v>
      </c>
    </row>
    <row r="2391" customFormat="false" ht="15" hidden="false" customHeight="false" outlineLevel="0" collapsed="false">
      <c r="A2391" s="43" t="n">
        <v>388</v>
      </c>
      <c r="B2391" s="44" t="str">
        <f aca="false">'Model Inputs &amp; Assumptions'!$B$32</f>
        <v>Trade Republic — In-App Display</v>
      </c>
      <c r="C2391" s="45" t="n">
        <f aca="false">ROUND(MAX(0,'Model Inputs &amp; Assumptions'!$S$32*EXP('Model Inputs &amp; Assumptions'!$T$32*P2391-'Model Inputs &amp; Assumptions'!$T$32^2/2)),0)</f>
        <v>848083</v>
      </c>
      <c r="D2391" s="46" t="n">
        <f aca="false">MIN(1,'Model Inputs &amp; Assumptions'!$U$32*EXP('Model Inputs &amp; Assumptions'!$V$32*Q2391-'Model Inputs &amp; Assumptions'!$V$32^2/2))</f>
        <v>0</v>
      </c>
      <c r="E2391" s="45" t="n">
        <f aca="false">ROUND(C2391*D2391,0)</f>
        <v>0</v>
      </c>
      <c r="F2391" s="47" t="n">
        <f aca="false">MIN(1,'Model Inputs &amp; Assumptions'!$W$32*EXP('Model Inputs &amp; Assumptions'!$X$32*R2391-'Model Inputs &amp; Assumptions'!$X$32^2/2))</f>
        <v>0.00386783905936623</v>
      </c>
      <c r="G2391" s="45" t="n">
        <f aca="false">ROUND(C2391*F2391,0)</f>
        <v>3280</v>
      </c>
      <c r="H2391" s="48" t="n">
        <f aca="false">MAX(0,(C2391*'Model Inputs &amp; Assumptions'!$N$32+E2391*'Model Inputs &amp; Assumptions'!$O$32+G2391*'Model Inputs &amp; Assumptions'!$P$32)*EXP('Model Inputs &amp; Assumptions'!$Q$32*S2391-'Model Inputs &amp; Assumptions'!$Q$32^2/2))</f>
        <v>198.509213003562</v>
      </c>
      <c r="I2391" s="49" t="n">
        <f aca="false">IF('Model Inputs &amp; Assumptions'!$H$32="Fixed",'Model Inputs &amp; Assumptions'!$I$32*'Model Inputs &amp; Assumptions'!$K$32,IF('Model Inputs &amp; Assumptions'!$H$32="CPM",'Model Inputs &amp; Assumptions'!$I$32*'Model Inputs &amp; Assumptions'!$K$32*C2391/1000,IF('Model Inputs &amp; Assumptions'!$H$32="CPC",'Model Inputs &amp; Assumptions'!$I$32*'Model Inputs &amp; Assumptions'!$K$32*G2391,0)))</f>
        <v>10176.996</v>
      </c>
      <c r="J2391" s="50" t="n">
        <f aca="false">H2391*INDEX('Model Inputs &amp; Assumptions'!$D$40:$D$42,MATCH('Model Inputs &amp; Assumptions'!$L$32,'Model Inputs &amp; Assumptions'!$A$40:$A$42,0))*INDEX('Model Inputs &amp; Assumptions'!$H$40:$H$42,MATCH('Model Inputs &amp; Assumptions'!$L$32,'Model Inputs &amp; Assumptions'!$A$40:$A$42,0))</f>
        <v>1071949.75021924</v>
      </c>
      <c r="K2391" s="49" t="n">
        <f aca="false">H2391*INDEX('Model Inputs &amp; Assumptions'!$G$40:$G$42,MATCH('Model Inputs &amp; Assumptions'!$L$32,'Model Inputs &amp; Assumptions'!$A$40:$A$42,0))*INDEX('Model Inputs &amp; Assumptions'!$H$40:$H$42,MATCH('Model Inputs &amp; Assumptions'!$L$32,'Model Inputs &amp; Assumptions'!$A$40:$A$42,0))</f>
        <v>22510.944754604</v>
      </c>
      <c r="L2391" s="51" t="n">
        <f aca="false">IFERROR(K2391/I2391,0)</f>
        <v>2.21194395228258</v>
      </c>
      <c r="M2391" s="49" t="n">
        <f aca="false">IFERROR(I2391/H2391,0)</f>
        <v>51.2671217925657</v>
      </c>
      <c r="N2391" s="52" t="str">
        <f aca="false">'Model Inputs &amp; Assumptions'!$L$32</f>
        <v>PRD-SP01</v>
      </c>
      <c r="P2391" s="53" t="n">
        <v>-1.006995</v>
      </c>
      <c r="Q2391" s="53" t="n">
        <v>0.694885</v>
      </c>
      <c r="R2391" s="53" t="n">
        <v>0.48311</v>
      </c>
      <c r="S2391" s="53" t="n">
        <v>1.19832</v>
      </c>
    </row>
    <row r="2392" customFormat="false" ht="15" hidden="false" customHeight="false" outlineLevel="0" collapsed="false">
      <c r="A2392" s="43" t="n">
        <v>389</v>
      </c>
      <c r="B2392" s="44" t="str">
        <f aca="false">'Model Inputs &amp; Assumptions'!$B$32</f>
        <v>Trade Republic — In-App Display</v>
      </c>
      <c r="C2392" s="45" t="n">
        <f aca="false">ROUND(MAX(0,'Model Inputs &amp; Assumptions'!$S$32*EXP('Model Inputs &amp; Assumptions'!$T$32*P2392-'Model Inputs &amp; Assumptions'!$T$32^2/2)),0)</f>
        <v>1288719</v>
      </c>
      <c r="D2392" s="46" t="n">
        <f aca="false">MIN(1,'Model Inputs &amp; Assumptions'!$U$32*EXP('Model Inputs &amp; Assumptions'!$V$32*Q2392-'Model Inputs &amp; Assumptions'!$V$32^2/2))</f>
        <v>0</v>
      </c>
      <c r="E2392" s="45" t="n">
        <f aca="false">ROUND(C2392*D2392,0)</f>
        <v>0</v>
      </c>
      <c r="F2392" s="47" t="n">
        <f aca="false">MIN(1,'Model Inputs &amp; Assumptions'!$W$32*EXP('Model Inputs &amp; Assumptions'!$X$32*R2392-'Model Inputs &amp; Assumptions'!$X$32^2/2))</f>
        <v>0.00283422737308161</v>
      </c>
      <c r="G2392" s="45" t="n">
        <f aca="false">ROUND(C2392*F2392,0)</f>
        <v>3653</v>
      </c>
      <c r="H2392" s="48" t="n">
        <f aca="false">MAX(0,(C2392*'Model Inputs &amp; Assumptions'!$N$32+E2392*'Model Inputs &amp; Assumptions'!$O$32+G2392*'Model Inputs &amp; Assumptions'!$P$32)*EXP('Model Inputs &amp; Assumptions'!$Q$32*S2392-'Model Inputs &amp; Assumptions'!$Q$32^2/2))</f>
        <v>230.775855647727</v>
      </c>
      <c r="I2392" s="49" t="n">
        <f aca="false">IF('Model Inputs &amp; Assumptions'!$H$32="Fixed",'Model Inputs &amp; Assumptions'!$I$32*'Model Inputs &amp; Assumptions'!$K$32,IF('Model Inputs &amp; Assumptions'!$H$32="CPM",'Model Inputs &amp; Assumptions'!$I$32*'Model Inputs &amp; Assumptions'!$K$32*C2392/1000,IF('Model Inputs &amp; Assumptions'!$H$32="CPC",'Model Inputs &amp; Assumptions'!$I$32*'Model Inputs &amp; Assumptions'!$K$32*G2392,0)))</f>
        <v>15464.628</v>
      </c>
      <c r="J2392" s="50" t="n">
        <f aca="false">H2392*INDEX('Model Inputs &amp; Assumptions'!$D$40:$D$42,MATCH('Model Inputs &amp; Assumptions'!$L$32,'Model Inputs &amp; Assumptions'!$A$40:$A$42,0))*INDEX('Model Inputs &amp; Assumptions'!$H$40:$H$42,MATCH('Model Inputs &amp; Assumptions'!$L$32,'Model Inputs &amp; Assumptions'!$A$40:$A$42,0))</f>
        <v>1246189.62049773</v>
      </c>
      <c r="K2392" s="49" t="n">
        <f aca="false">H2392*INDEX('Model Inputs &amp; Assumptions'!$G$40:$G$42,MATCH('Model Inputs &amp; Assumptions'!$L$32,'Model Inputs &amp; Assumptions'!$A$40:$A$42,0))*INDEX('Model Inputs &amp; Assumptions'!$H$40:$H$42,MATCH('Model Inputs &amp; Assumptions'!$L$32,'Model Inputs &amp; Assumptions'!$A$40:$A$42,0))</f>
        <v>26169.9820304522</v>
      </c>
      <c r="L2392" s="51" t="n">
        <f aca="false">IFERROR(K2392/I2392,0)</f>
        <v>1.69224775600501</v>
      </c>
      <c r="M2392" s="49" t="n">
        <f aca="false">IFERROR(I2392/H2392,0)</f>
        <v>67.0114642478299</v>
      </c>
      <c r="N2392" s="52" t="str">
        <f aca="false">'Model Inputs &amp; Assumptions'!$L$32</f>
        <v>PRD-SP01</v>
      </c>
      <c r="P2392" s="53" t="n">
        <v>0.387756</v>
      </c>
      <c r="Q2392" s="53" t="n">
        <v>0.021183</v>
      </c>
      <c r="R2392" s="53" t="n">
        <v>-0.553312</v>
      </c>
      <c r="S2392" s="53" t="n">
        <v>1.351556</v>
      </c>
    </row>
    <row r="2393" customFormat="false" ht="15" hidden="false" customHeight="false" outlineLevel="0" collapsed="false">
      <c r="A2393" s="43" t="n">
        <v>390</v>
      </c>
      <c r="B2393" s="44" t="str">
        <f aca="false">'Model Inputs &amp; Assumptions'!$B$32</f>
        <v>Trade Republic — In-App Display</v>
      </c>
      <c r="C2393" s="45" t="n">
        <f aca="false">ROUND(MAX(0,'Model Inputs &amp; Assumptions'!$S$32*EXP('Model Inputs &amp; Assumptions'!$T$32*P2393-'Model Inputs &amp; Assumptions'!$T$32^2/2)),0)</f>
        <v>1397852</v>
      </c>
      <c r="D2393" s="46" t="n">
        <f aca="false">MIN(1,'Model Inputs &amp; Assumptions'!$U$32*EXP('Model Inputs &amp; Assumptions'!$V$32*Q2393-'Model Inputs &amp; Assumptions'!$V$32^2/2))</f>
        <v>0</v>
      </c>
      <c r="E2393" s="45" t="n">
        <f aca="false">ROUND(C2393*D2393,0)</f>
        <v>0</v>
      </c>
      <c r="F2393" s="47" t="n">
        <f aca="false">MIN(1,'Model Inputs &amp; Assumptions'!$W$32*EXP('Model Inputs &amp; Assumptions'!$X$32*R2393-'Model Inputs &amp; Assumptions'!$X$32^2/2))</f>
        <v>0.00315927056943417</v>
      </c>
      <c r="G2393" s="45" t="n">
        <f aca="false">ROUND(C2393*F2393,0)</f>
        <v>4416</v>
      </c>
      <c r="H2393" s="48" t="n">
        <f aca="false">MAX(0,(C2393*'Model Inputs &amp; Assumptions'!$N$32+E2393*'Model Inputs &amp; Assumptions'!$O$32+G2393*'Model Inputs &amp; Assumptions'!$P$32)*EXP('Model Inputs &amp; Assumptions'!$Q$32*S2393-'Model Inputs &amp; Assumptions'!$Q$32^2/2))</f>
        <v>224.468826200428</v>
      </c>
      <c r="I2393" s="49" t="n">
        <f aca="false">IF('Model Inputs &amp; Assumptions'!$H$32="Fixed",'Model Inputs &amp; Assumptions'!$I$32*'Model Inputs &amp; Assumptions'!$K$32,IF('Model Inputs &amp; Assumptions'!$H$32="CPM",'Model Inputs &amp; Assumptions'!$I$32*'Model Inputs &amp; Assumptions'!$K$32*C2393/1000,IF('Model Inputs &amp; Assumptions'!$H$32="CPC",'Model Inputs &amp; Assumptions'!$I$32*'Model Inputs &amp; Assumptions'!$K$32*G2393,0)))</f>
        <v>16774.224</v>
      </c>
      <c r="J2393" s="50" t="n">
        <f aca="false">H2393*INDEX('Model Inputs &amp; Assumptions'!$D$40:$D$42,MATCH('Model Inputs &amp; Assumptions'!$L$32,'Model Inputs &amp; Assumptions'!$A$40:$A$42,0))*INDEX('Model Inputs &amp; Assumptions'!$H$40:$H$42,MATCH('Model Inputs &amp; Assumptions'!$L$32,'Model Inputs &amp; Assumptions'!$A$40:$A$42,0))</f>
        <v>1212131.66148231</v>
      </c>
      <c r="K2393" s="49" t="n">
        <f aca="false">H2393*INDEX('Model Inputs &amp; Assumptions'!$G$40:$G$42,MATCH('Model Inputs &amp; Assumptions'!$L$32,'Model Inputs &amp; Assumptions'!$A$40:$A$42,0))*INDEX('Model Inputs &amp; Assumptions'!$H$40:$H$42,MATCH('Model Inputs &amp; Assumptions'!$L$32,'Model Inputs &amp; Assumptions'!$A$40:$A$42,0))</f>
        <v>25454.7648911286</v>
      </c>
      <c r="L2393" s="51" t="n">
        <f aca="false">IFERROR(K2393/I2393,0)</f>
        <v>1.51749284444565</v>
      </c>
      <c r="M2393" s="49" t="n">
        <f aca="false">IFERROR(I2393/H2393,0)</f>
        <v>74.7285237061038</v>
      </c>
      <c r="N2393" s="52" t="str">
        <f aca="false">'Model Inputs &amp; Assumptions'!$L$32</f>
        <v>PRD-SP01</v>
      </c>
      <c r="P2393" s="53" t="n">
        <v>0.658717</v>
      </c>
      <c r="Q2393" s="53" t="n">
        <v>-0.818158</v>
      </c>
      <c r="R2393" s="53" t="n">
        <v>-0.191406</v>
      </c>
      <c r="S2393" s="53" t="n">
        <v>0.575143</v>
      </c>
    </row>
    <row r="2394" customFormat="false" ht="15" hidden="false" customHeight="false" outlineLevel="0" collapsed="false">
      <c r="A2394" s="43" t="n">
        <v>391</v>
      </c>
      <c r="B2394" s="44" t="str">
        <f aca="false">'Model Inputs &amp; Assumptions'!$B$32</f>
        <v>Trade Republic — In-App Display</v>
      </c>
      <c r="C2394" s="45" t="n">
        <f aca="false">ROUND(MAX(0,'Model Inputs &amp; Assumptions'!$S$32*EXP('Model Inputs &amp; Assumptions'!$T$32*P2394-'Model Inputs &amp; Assumptions'!$T$32^2/2)),0)</f>
        <v>1519522</v>
      </c>
      <c r="D2394" s="46" t="n">
        <f aca="false">MIN(1,'Model Inputs &amp; Assumptions'!$U$32*EXP('Model Inputs &amp; Assumptions'!$V$32*Q2394-'Model Inputs &amp; Assumptions'!$V$32^2/2))</f>
        <v>0</v>
      </c>
      <c r="E2394" s="45" t="n">
        <f aca="false">ROUND(C2394*D2394,0)</f>
        <v>0</v>
      </c>
      <c r="F2394" s="47" t="n">
        <f aca="false">MIN(1,'Model Inputs &amp; Assumptions'!$W$32*EXP('Model Inputs &amp; Assumptions'!$X$32*R2394-'Model Inputs &amp; Assumptions'!$X$32^2/2))</f>
        <v>0.00199827332165465</v>
      </c>
      <c r="G2394" s="45" t="n">
        <f aca="false">ROUND(C2394*F2394,0)</f>
        <v>3036</v>
      </c>
      <c r="H2394" s="48" t="n">
        <f aca="false">MAX(0,(C2394*'Model Inputs &amp; Assumptions'!$N$32+E2394*'Model Inputs &amp; Assumptions'!$O$32+G2394*'Model Inputs &amp; Assumptions'!$P$32)*EXP('Model Inputs &amp; Assumptions'!$Q$32*S2394-'Model Inputs &amp; Assumptions'!$Q$32^2/2))</f>
        <v>92.7686676132939</v>
      </c>
      <c r="I2394" s="49" t="n">
        <f aca="false">IF('Model Inputs &amp; Assumptions'!$H$32="Fixed",'Model Inputs &amp; Assumptions'!$I$32*'Model Inputs &amp; Assumptions'!$K$32,IF('Model Inputs &amp; Assumptions'!$H$32="CPM",'Model Inputs &amp; Assumptions'!$I$32*'Model Inputs &amp; Assumptions'!$K$32*C2394/1000,IF('Model Inputs &amp; Assumptions'!$H$32="CPC",'Model Inputs &amp; Assumptions'!$I$32*'Model Inputs &amp; Assumptions'!$K$32*G2394,0)))</f>
        <v>18234.264</v>
      </c>
      <c r="J2394" s="50" t="n">
        <f aca="false">H2394*INDEX('Model Inputs &amp; Assumptions'!$D$40:$D$42,MATCH('Model Inputs &amp; Assumptions'!$L$32,'Model Inputs &amp; Assumptions'!$A$40:$A$42,0))*INDEX('Model Inputs &amp; Assumptions'!$H$40:$H$42,MATCH('Model Inputs &amp; Assumptions'!$L$32,'Model Inputs &amp; Assumptions'!$A$40:$A$42,0))</f>
        <v>500950.805111787</v>
      </c>
      <c r="K2394" s="49" t="n">
        <f aca="false">H2394*INDEX('Model Inputs &amp; Assumptions'!$G$40:$G$42,MATCH('Model Inputs &amp; Assumptions'!$L$32,'Model Inputs &amp; Assumptions'!$A$40:$A$42,0))*INDEX('Model Inputs &amp; Assumptions'!$H$40:$H$42,MATCH('Model Inputs &amp; Assumptions'!$L$32,'Model Inputs &amp; Assumptions'!$A$40:$A$42,0))</f>
        <v>10519.9669073475</v>
      </c>
      <c r="L2394" s="51" t="n">
        <f aca="false">IFERROR(K2394/I2394,0)</f>
        <v>0.576934002235984</v>
      </c>
      <c r="M2394" s="49" t="n">
        <f aca="false">IFERROR(I2394/H2394,0)</f>
        <v>196.55627777268</v>
      </c>
      <c r="N2394" s="52" t="str">
        <f aca="false">'Model Inputs &amp; Assumptions'!$L$32</f>
        <v>PRD-SP01</v>
      </c>
      <c r="P2394" s="53" t="n">
        <v>0.936915</v>
      </c>
      <c r="Q2394" s="53" t="n">
        <v>-0.401725</v>
      </c>
      <c r="R2394" s="53" t="n">
        <v>-1.718265</v>
      </c>
      <c r="S2394" s="53" t="n">
        <v>-1.24248</v>
      </c>
    </row>
    <row r="2395" customFormat="false" ht="15" hidden="false" customHeight="false" outlineLevel="0" collapsed="false">
      <c r="A2395" s="43" t="n">
        <v>392</v>
      </c>
      <c r="B2395" s="44" t="str">
        <f aca="false">'Model Inputs &amp; Assumptions'!$B$32</f>
        <v>Trade Republic — In-App Display</v>
      </c>
      <c r="C2395" s="45" t="n">
        <f aca="false">ROUND(MAX(0,'Model Inputs &amp; Assumptions'!$S$32*EXP('Model Inputs &amp; Assumptions'!$T$32*P2395-'Model Inputs &amp; Assumptions'!$T$32^2/2)),0)</f>
        <v>1696013</v>
      </c>
      <c r="D2395" s="46" t="n">
        <f aca="false">MIN(1,'Model Inputs &amp; Assumptions'!$U$32*EXP('Model Inputs &amp; Assumptions'!$V$32*Q2395-'Model Inputs &amp; Assumptions'!$V$32^2/2))</f>
        <v>0</v>
      </c>
      <c r="E2395" s="45" t="n">
        <f aca="false">ROUND(C2395*D2395,0)</f>
        <v>0</v>
      </c>
      <c r="F2395" s="47" t="n">
        <f aca="false">MIN(1,'Model Inputs &amp; Assumptions'!$W$32*EXP('Model Inputs &amp; Assumptions'!$X$32*R2395-'Model Inputs &amp; Assumptions'!$X$32^2/2))</f>
        <v>0.00492576438912895</v>
      </c>
      <c r="G2395" s="45" t="n">
        <f aca="false">ROUND(C2395*F2395,0)</f>
        <v>8354</v>
      </c>
      <c r="H2395" s="48" t="n">
        <f aca="false">MAX(0,(C2395*'Model Inputs &amp; Assumptions'!$N$32+E2395*'Model Inputs &amp; Assumptions'!$O$32+G2395*'Model Inputs &amp; Assumptions'!$P$32)*EXP('Model Inputs &amp; Assumptions'!$Q$32*S2395-'Model Inputs &amp; Assumptions'!$Q$32^2/2))</f>
        <v>301.637195518412</v>
      </c>
      <c r="I2395" s="49" t="n">
        <f aca="false">IF('Model Inputs &amp; Assumptions'!$H$32="Fixed",'Model Inputs &amp; Assumptions'!$I$32*'Model Inputs &amp; Assumptions'!$K$32,IF('Model Inputs &amp; Assumptions'!$H$32="CPM",'Model Inputs &amp; Assumptions'!$I$32*'Model Inputs &amp; Assumptions'!$K$32*C2395/1000,IF('Model Inputs &amp; Assumptions'!$H$32="CPC",'Model Inputs &amp; Assumptions'!$I$32*'Model Inputs &amp; Assumptions'!$K$32*G2395,0)))</f>
        <v>20352.156</v>
      </c>
      <c r="J2395" s="50" t="n">
        <f aca="false">H2395*INDEX('Model Inputs &amp; Assumptions'!$D$40:$D$42,MATCH('Model Inputs &amp; Assumptions'!$L$32,'Model Inputs &amp; Assumptions'!$A$40:$A$42,0))*INDEX('Model Inputs &amp; Assumptions'!$H$40:$H$42,MATCH('Model Inputs &amp; Assumptions'!$L$32,'Model Inputs &amp; Assumptions'!$A$40:$A$42,0))</f>
        <v>1628840.85579943</v>
      </c>
      <c r="K2395" s="49" t="n">
        <f aca="false">H2395*INDEX('Model Inputs &amp; Assumptions'!$G$40:$G$42,MATCH('Model Inputs &amp; Assumptions'!$L$32,'Model Inputs &amp; Assumptions'!$A$40:$A$42,0))*INDEX('Model Inputs &amp; Assumptions'!$H$40:$H$42,MATCH('Model Inputs &amp; Assumptions'!$L$32,'Model Inputs &amp; Assumptions'!$A$40:$A$42,0))</f>
        <v>34205.657971788</v>
      </c>
      <c r="L2395" s="51" t="n">
        <f aca="false">IFERROR(K2395/I2395,0)</f>
        <v>1.68068965134642</v>
      </c>
      <c r="M2395" s="49" t="n">
        <f aca="false">IFERROR(I2395/H2395,0)</f>
        <v>67.4723021642657</v>
      </c>
      <c r="N2395" s="52" t="str">
        <f aca="false">'Model Inputs &amp; Assumptions'!$L$32</f>
        <v>PRD-SP01</v>
      </c>
      <c r="P2395" s="53" t="n">
        <v>1.303196</v>
      </c>
      <c r="Q2395" s="53" t="n">
        <v>0.997352</v>
      </c>
      <c r="R2395" s="53" t="n">
        <v>1.289055</v>
      </c>
      <c r="S2395" s="53" t="n">
        <v>-0.64635</v>
      </c>
    </row>
    <row r="2396" customFormat="false" ht="15" hidden="false" customHeight="false" outlineLevel="0" collapsed="false">
      <c r="A2396" s="43" t="n">
        <v>393</v>
      </c>
      <c r="B2396" s="44" t="str">
        <f aca="false">'Model Inputs &amp; Assumptions'!$B$32</f>
        <v>Trade Republic — In-App Display</v>
      </c>
      <c r="C2396" s="45" t="n">
        <f aca="false">ROUND(MAX(0,'Model Inputs &amp; Assumptions'!$S$32*EXP('Model Inputs &amp; Assumptions'!$T$32*P2396-'Model Inputs &amp; Assumptions'!$T$32^2/2)),0)</f>
        <v>1202031</v>
      </c>
      <c r="D2396" s="46" t="n">
        <f aca="false">MIN(1,'Model Inputs &amp; Assumptions'!$U$32*EXP('Model Inputs &amp; Assumptions'!$V$32*Q2396-'Model Inputs &amp; Assumptions'!$V$32^2/2))</f>
        <v>0</v>
      </c>
      <c r="E2396" s="45" t="n">
        <f aca="false">ROUND(C2396*D2396,0)</f>
        <v>0</v>
      </c>
      <c r="F2396" s="47" t="n">
        <f aca="false">MIN(1,'Model Inputs &amp; Assumptions'!$W$32*EXP('Model Inputs &amp; Assumptions'!$X$32*R2396-'Model Inputs &amp; Assumptions'!$X$32^2/2))</f>
        <v>0.0054652407214289</v>
      </c>
      <c r="G2396" s="45" t="n">
        <f aca="false">ROUND(C2396*F2396,0)</f>
        <v>6569</v>
      </c>
      <c r="H2396" s="48" t="n">
        <f aca="false">MAX(0,(C2396*'Model Inputs &amp; Assumptions'!$N$32+E2396*'Model Inputs &amp; Assumptions'!$O$32+G2396*'Model Inputs &amp; Assumptions'!$P$32)*EXP('Model Inputs &amp; Assumptions'!$Q$32*S2396-'Model Inputs &amp; Assumptions'!$Q$32^2/2))</f>
        <v>315.923477256515</v>
      </c>
      <c r="I2396" s="49" t="n">
        <f aca="false">IF('Model Inputs &amp; Assumptions'!$H$32="Fixed",'Model Inputs &amp; Assumptions'!$I$32*'Model Inputs &amp; Assumptions'!$K$32,IF('Model Inputs &amp; Assumptions'!$H$32="CPM",'Model Inputs &amp; Assumptions'!$I$32*'Model Inputs &amp; Assumptions'!$K$32*C2396/1000,IF('Model Inputs &amp; Assumptions'!$H$32="CPC",'Model Inputs &amp; Assumptions'!$I$32*'Model Inputs &amp; Assumptions'!$K$32*G2396,0)))</f>
        <v>14424.372</v>
      </c>
      <c r="J2396" s="50" t="n">
        <f aca="false">H2396*INDEX('Model Inputs &amp; Assumptions'!$D$40:$D$42,MATCH('Model Inputs &amp; Assumptions'!$L$32,'Model Inputs &amp; Assumptions'!$A$40:$A$42,0))*INDEX('Model Inputs &amp; Assumptions'!$H$40:$H$42,MATCH('Model Inputs &amp; Assumptions'!$L$32,'Model Inputs &amp; Assumptions'!$A$40:$A$42,0))</f>
        <v>1705986.77718518</v>
      </c>
      <c r="K2396" s="49" t="n">
        <f aca="false">H2396*INDEX('Model Inputs &amp; Assumptions'!$G$40:$G$42,MATCH('Model Inputs &amp; Assumptions'!$L$32,'Model Inputs &amp; Assumptions'!$A$40:$A$42,0))*INDEX('Model Inputs &amp; Assumptions'!$H$40:$H$42,MATCH('Model Inputs &amp; Assumptions'!$L$32,'Model Inputs &amp; Assumptions'!$A$40:$A$42,0))</f>
        <v>35825.7223208888</v>
      </c>
      <c r="L2396" s="51" t="n">
        <f aca="false">IFERROR(K2396/I2396,0)</f>
        <v>2.48369373175406</v>
      </c>
      <c r="M2396" s="49" t="n">
        <f aca="false">IFERROR(I2396/H2396,0)</f>
        <v>45.6578033556148</v>
      </c>
      <c r="N2396" s="52" t="str">
        <f aca="false">'Model Inputs &amp; Assumptions'!$L$32</f>
        <v>PRD-SP01</v>
      </c>
      <c r="P2396" s="53" t="n">
        <v>0.155636</v>
      </c>
      <c r="Q2396" s="53" t="n">
        <v>-0.780201</v>
      </c>
      <c r="R2396" s="53" t="n">
        <v>1.635484</v>
      </c>
      <c r="S2396" s="53" t="n">
        <v>0.377414</v>
      </c>
    </row>
    <row r="2397" customFormat="false" ht="15" hidden="false" customHeight="false" outlineLevel="0" collapsed="false">
      <c r="A2397" s="43" t="n">
        <v>394</v>
      </c>
      <c r="B2397" s="44" t="str">
        <f aca="false">'Model Inputs &amp; Assumptions'!$B$32</f>
        <v>Trade Republic — In-App Display</v>
      </c>
      <c r="C2397" s="45" t="n">
        <f aca="false">ROUND(MAX(0,'Model Inputs &amp; Assumptions'!$S$32*EXP('Model Inputs &amp; Assumptions'!$T$32*P2397-'Model Inputs &amp; Assumptions'!$T$32^2/2)),0)</f>
        <v>774074</v>
      </c>
      <c r="D2397" s="46" t="n">
        <f aca="false">MIN(1,'Model Inputs &amp; Assumptions'!$U$32*EXP('Model Inputs &amp; Assumptions'!$V$32*Q2397-'Model Inputs &amp; Assumptions'!$V$32^2/2))</f>
        <v>0</v>
      </c>
      <c r="E2397" s="45" t="n">
        <f aca="false">ROUND(C2397*D2397,0)</f>
        <v>0</v>
      </c>
      <c r="F2397" s="47" t="n">
        <f aca="false">MIN(1,'Model Inputs &amp; Assumptions'!$W$32*EXP('Model Inputs &amp; Assumptions'!$X$32*R2397-'Model Inputs &amp; Assumptions'!$X$32^2/2))</f>
        <v>0.00374640820315704</v>
      </c>
      <c r="G2397" s="45" t="n">
        <f aca="false">ROUND(C2397*F2397,0)</f>
        <v>2900</v>
      </c>
      <c r="H2397" s="48" t="n">
        <f aca="false">MAX(0,(C2397*'Model Inputs &amp; Assumptions'!$N$32+E2397*'Model Inputs &amp; Assumptions'!$O$32+G2397*'Model Inputs &amp; Assumptions'!$P$32)*EXP('Model Inputs &amp; Assumptions'!$Q$32*S2397-'Model Inputs &amp; Assumptions'!$Q$32^2/2))</f>
        <v>129.943625546847</v>
      </c>
      <c r="I2397" s="49" t="n">
        <f aca="false">IF('Model Inputs &amp; Assumptions'!$H$32="Fixed",'Model Inputs &amp; Assumptions'!$I$32*'Model Inputs &amp; Assumptions'!$K$32,IF('Model Inputs &amp; Assumptions'!$H$32="CPM",'Model Inputs &amp; Assumptions'!$I$32*'Model Inputs &amp; Assumptions'!$K$32*C2397/1000,IF('Model Inputs &amp; Assumptions'!$H$32="CPC",'Model Inputs &amp; Assumptions'!$I$32*'Model Inputs &amp; Assumptions'!$K$32*G2397,0)))</f>
        <v>9288.888</v>
      </c>
      <c r="J2397" s="50" t="n">
        <f aca="false">H2397*INDEX('Model Inputs &amp; Assumptions'!$D$40:$D$42,MATCH('Model Inputs &amp; Assumptions'!$L$32,'Model Inputs &amp; Assumptions'!$A$40:$A$42,0))*INDEX('Model Inputs &amp; Assumptions'!$H$40:$H$42,MATCH('Model Inputs &amp; Assumptions'!$L$32,'Model Inputs &amp; Assumptions'!$A$40:$A$42,0))</f>
        <v>701695.577952974</v>
      </c>
      <c r="K2397" s="49" t="n">
        <f aca="false">H2397*INDEX('Model Inputs &amp; Assumptions'!$G$40:$G$42,MATCH('Model Inputs &amp; Assumptions'!$L$32,'Model Inputs &amp; Assumptions'!$A$40:$A$42,0))*INDEX('Model Inputs &amp; Assumptions'!$H$40:$H$42,MATCH('Model Inputs &amp; Assumptions'!$L$32,'Model Inputs &amp; Assumptions'!$A$40:$A$42,0))</f>
        <v>14735.6071370125</v>
      </c>
      <c r="L2397" s="51" t="n">
        <f aca="false">IFERROR(K2397/I2397,0)</f>
        <v>1.58636934119697</v>
      </c>
      <c r="M2397" s="49" t="n">
        <f aca="false">IFERROR(I2397/H2397,0)</f>
        <v>71.4839836191209</v>
      </c>
      <c r="N2397" s="52" t="str">
        <f aca="false">'Model Inputs &amp; Assumptions'!$L$32</f>
        <v>PRD-SP01</v>
      </c>
      <c r="P2397" s="53" t="n">
        <v>-1.311366</v>
      </c>
      <c r="Q2397" s="53" t="n">
        <v>1.766764</v>
      </c>
      <c r="R2397" s="53" t="n">
        <v>0.376782</v>
      </c>
      <c r="S2397" s="53" t="n">
        <v>0.124741</v>
      </c>
    </row>
    <row r="2398" customFormat="false" ht="15" hidden="false" customHeight="false" outlineLevel="0" collapsed="false">
      <c r="A2398" s="43" t="n">
        <v>395</v>
      </c>
      <c r="B2398" s="44" t="str">
        <f aca="false">'Model Inputs &amp; Assumptions'!$B$32</f>
        <v>Trade Republic — In-App Display</v>
      </c>
      <c r="C2398" s="45" t="n">
        <f aca="false">ROUND(MAX(0,'Model Inputs &amp; Assumptions'!$S$32*EXP('Model Inputs &amp; Assumptions'!$T$32*P2398-'Model Inputs &amp; Assumptions'!$T$32^2/2)),0)</f>
        <v>1088675</v>
      </c>
      <c r="D2398" s="46" t="n">
        <f aca="false">MIN(1,'Model Inputs &amp; Assumptions'!$U$32*EXP('Model Inputs &amp; Assumptions'!$V$32*Q2398-'Model Inputs &amp; Assumptions'!$V$32^2/2))</f>
        <v>0</v>
      </c>
      <c r="E2398" s="45" t="n">
        <f aca="false">ROUND(C2398*D2398,0)</f>
        <v>0</v>
      </c>
      <c r="F2398" s="47" t="n">
        <f aca="false">MIN(1,'Model Inputs &amp; Assumptions'!$W$32*EXP('Model Inputs &amp; Assumptions'!$X$32*R2398-'Model Inputs &amp; Assumptions'!$X$32^2/2))</f>
        <v>0.0021202424990685</v>
      </c>
      <c r="G2398" s="45" t="n">
        <f aca="false">ROUND(C2398*F2398,0)</f>
        <v>2308</v>
      </c>
      <c r="H2398" s="48" t="n">
        <f aca="false">MAX(0,(C2398*'Model Inputs &amp; Assumptions'!$N$32+E2398*'Model Inputs &amp; Assumptions'!$O$32+G2398*'Model Inputs &amp; Assumptions'!$P$32)*EXP('Model Inputs &amp; Assumptions'!$Q$32*S2398-'Model Inputs &amp; Assumptions'!$Q$32^2/2))</f>
        <v>99.1065603477864</v>
      </c>
      <c r="I2398" s="49" t="n">
        <f aca="false">IF('Model Inputs &amp; Assumptions'!$H$32="Fixed",'Model Inputs &amp; Assumptions'!$I$32*'Model Inputs &amp; Assumptions'!$K$32,IF('Model Inputs &amp; Assumptions'!$H$32="CPM",'Model Inputs &amp; Assumptions'!$I$32*'Model Inputs &amp; Assumptions'!$K$32*C2398/1000,IF('Model Inputs &amp; Assumptions'!$H$32="CPC",'Model Inputs &amp; Assumptions'!$I$32*'Model Inputs &amp; Assumptions'!$K$32*G2398,0)))</f>
        <v>13064.1</v>
      </c>
      <c r="J2398" s="50" t="n">
        <f aca="false">H2398*INDEX('Model Inputs &amp; Assumptions'!$D$40:$D$42,MATCH('Model Inputs &amp; Assumptions'!$L$32,'Model Inputs &amp; Assumptions'!$A$40:$A$42,0))*INDEX('Model Inputs &amp; Assumptions'!$H$40:$H$42,MATCH('Model Inputs &amp; Assumptions'!$L$32,'Model Inputs &amp; Assumptions'!$A$40:$A$42,0))</f>
        <v>535175.425878046</v>
      </c>
      <c r="K2398" s="49" t="n">
        <f aca="false">H2398*INDEX('Model Inputs &amp; Assumptions'!$G$40:$G$42,MATCH('Model Inputs &amp; Assumptions'!$L$32,'Model Inputs &amp; Assumptions'!$A$40:$A$42,0))*INDEX('Model Inputs &amp; Assumptions'!$H$40:$H$42,MATCH('Model Inputs &amp; Assumptions'!$L$32,'Model Inputs &amp; Assumptions'!$A$40:$A$42,0))</f>
        <v>11238.683943439</v>
      </c>
      <c r="L2398" s="51" t="n">
        <f aca="false">IFERROR(K2398/I2398,0)</f>
        <v>0.860272345086074</v>
      </c>
      <c r="M2398" s="49" t="n">
        <f aca="false">IFERROR(I2398/H2398,0)</f>
        <v>131.818720719953</v>
      </c>
      <c r="N2398" s="52" t="str">
        <f aca="false">'Model Inputs &amp; Assumptions'!$L$32</f>
        <v>PRD-SP01</v>
      </c>
      <c r="P2398" s="53" t="n">
        <v>-0.174535</v>
      </c>
      <c r="Q2398" s="53" t="n">
        <v>1.179946</v>
      </c>
      <c r="R2398" s="53" t="n">
        <v>-1.520775</v>
      </c>
      <c r="S2398" s="53" t="n">
        <v>-0.027315</v>
      </c>
    </row>
    <row r="2399" customFormat="false" ht="15" hidden="false" customHeight="false" outlineLevel="0" collapsed="false">
      <c r="A2399" s="43" t="n">
        <v>396</v>
      </c>
      <c r="B2399" s="44" t="str">
        <f aca="false">'Model Inputs &amp; Assumptions'!$B$32</f>
        <v>Trade Republic — In-App Display</v>
      </c>
      <c r="C2399" s="45" t="n">
        <f aca="false">ROUND(MAX(0,'Model Inputs &amp; Assumptions'!$S$32*EXP('Model Inputs &amp; Assumptions'!$T$32*P2399-'Model Inputs &amp; Assumptions'!$T$32^2/2)),0)</f>
        <v>836014</v>
      </c>
      <c r="D2399" s="46" t="n">
        <f aca="false">MIN(1,'Model Inputs &amp; Assumptions'!$U$32*EXP('Model Inputs &amp; Assumptions'!$V$32*Q2399-'Model Inputs &amp; Assumptions'!$V$32^2/2))</f>
        <v>0</v>
      </c>
      <c r="E2399" s="45" t="n">
        <f aca="false">ROUND(C2399*D2399,0)</f>
        <v>0</v>
      </c>
      <c r="F2399" s="47" t="n">
        <f aca="false">MIN(1,'Model Inputs &amp; Assumptions'!$W$32*EXP('Model Inputs &amp; Assumptions'!$X$32*R2399-'Model Inputs &amp; Assumptions'!$X$32^2/2))</f>
        <v>0.00292413955593155</v>
      </c>
      <c r="G2399" s="45" t="n">
        <f aca="false">ROUND(C2399*F2399,0)</f>
        <v>2445</v>
      </c>
      <c r="H2399" s="48" t="n">
        <f aca="false">MAX(0,(C2399*'Model Inputs &amp; Assumptions'!$N$32+E2399*'Model Inputs &amp; Assumptions'!$O$32+G2399*'Model Inputs &amp; Assumptions'!$P$32)*EXP('Model Inputs &amp; Assumptions'!$Q$32*S2399-'Model Inputs &amp; Assumptions'!$Q$32^2/2))</f>
        <v>94.1688278898015</v>
      </c>
      <c r="I2399" s="49" t="n">
        <f aca="false">IF('Model Inputs &amp; Assumptions'!$H$32="Fixed",'Model Inputs &amp; Assumptions'!$I$32*'Model Inputs &amp; Assumptions'!$K$32,IF('Model Inputs &amp; Assumptions'!$H$32="CPM",'Model Inputs &amp; Assumptions'!$I$32*'Model Inputs &amp; Assumptions'!$K$32*C2399/1000,IF('Model Inputs &amp; Assumptions'!$H$32="CPC",'Model Inputs &amp; Assumptions'!$I$32*'Model Inputs &amp; Assumptions'!$K$32*G2399,0)))</f>
        <v>10032.168</v>
      </c>
      <c r="J2399" s="50" t="n">
        <f aca="false">H2399*INDEX('Model Inputs &amp; Assumptions'!$D$40:$D$42,MATCH('Model Inputs &amp; Assumptions'!$L$32,'Model Inputs &amp; Assumptions'!$A$40:$A$42,0))*INDEX('Model Inputs &amp; Assumptions'!$H$40:$H$42,MATCH('Model Inputs &amp; Assumptions'!$L$32,'Model Inputs &amp; Assumptions'!$A$40:$A$42,0))</f>
        <v>508511.670604928</v>
      </c>
      <c r="K2399" s="49" t="n">
        <f aca="false">H2399*INDEX('Model Inputs &amp; Assumptions'!$G$40:$G$42,MATCH('Model Inputs &amp; Assumptions'!$L$32,'Model Inputs &amp; Assumptions'!$A$40:$A$42,0))*INDEX('Model Inputs &amp; Assumptions'!$H$40:$H$42,MATCH('Model Inputs &amp; Assumptions'!$L$32,'Model Inputs &amp; Assumptions'!$A$40:$A$42,0))</f>
        <v>10678.7450827035</v>
      </c>
      <c r="L2399" s="51" t="n">
        <f aca="false">IFERROR(K2399/I2399,0)</f>
        <v>1.06445038427422</v>
      </c>
      <c r="M2399" s="49" t="n">
        <f aca="false">IFERROR(I2399/H2399,0)</f>
        <v>106.5338522822</v>
      </c>
      <c r="N2399" s="52" t="str">
        <f aca="false">'Model Inputs &amp; Assumptions'!$L$32</f>
        <v>PRD-SP01</v>
      </c>
      <c r="P2399" s="53" t="n">
        <v>-1.05477</v>
      </c>
      <c r="Q2399" s="53" t="n">
        <v>2.293424</v>
      </c>
      <c r="R2399" s="53" t="n">
        <v>-0.449209</v>
      </c>
      <c r="S2399" s="53" t="n">
        <v>-0.41578</v>
      </c>
    </row>
    <row r="2400" customFormat="false" ht="15" hidden="false" customHeight="false" outlineLevel="0" collapsed="false">
      <c r="A2400" s="43" t="n">
        <v>397</v>
      </c>
      <c r="B2400" s="44" t="str">
        <f aca="false">'Model Inputs &amp; Assumptions'!$B$32</f>
        <v>Trade Republic — In-App Display</v>
      </c>
      <c r="C2400" s="45" t="n">
        <f aca="false">ROUND(MAX(0,'Model Inputs &amp; Assumptions'!$S$32*EXP('Model Inputs &amp; Assumptions'!$T$32*P2400-'Model Inputs &amp; Assumptions'!$T$32^2/2)),0)</f>
        <v>1250772</v>
      </c>
      <c r="D2400" s="46" t="n">
        <f aca="false">MIN(1,'Model Inputs &amp; Assumptions'!$U$32*EXP('Model Inputs &amp; Assumptions'!$V$32*Q2400-'Model Inputs &amp; Assumptions'!$V$32^2/2))</f>
        <v>0</v>
      </c>
      <c r="E2400" s="45" t="n">
        <f aca="false">ROUND(C2400*D2400,0)</f>
        <v>0</v>
      </c>
      <c r="F2400" s="47" t="n">
        <f aca="false">MIN(1,'Model Inputs &amp; Assumptions'!$W$32*EXP('Model Inputs &amp; Assumptions'!$X$32*R2400-'Model Inputs &amp; Assumptions'!$X$32^2/2))</f>
        <v>0.00301568158255239</v>
      </c>
      <c r="G2400" s="45" t="n">
        <f aca="false">ROUND(C2400*F2400,0)</f>
        <v>3772</v>
      </c>
      <c r="H2400" s="48" t="n">
        <f aca="false">MAX(0,(C2400*'Model Inputs &amp; Assumptions'!$N$32+E2400*'Model Inputs &amp; Assumptions'!$O$32+G2400*'Model Inputs &amp; Assumptions'!$P$32)*EXP('Model Inputs &amp; Assumptions'!$Q$32*S2400-'Model Inputs &amp; Assumptions'!$Q$32^2/2))</f>
        <v>150.78521613705</v>
      </c>
      <c r="I2400" s="49" t="n">
        <f aca="false">IF('Model Inputs &amp; Assumptions'!$H$32="Fixed",'Model Inputs &amp; Assumptions'!$I$32*'Model Inputs &amp; Assumptions'!$K$32,IF('Model Inputs &amp; Assumptions'!$H$32="CPM",'Model Inputs &amp; Assumptions'!$I$32*'Model Inputs &amp; Assumptions'!$K$32*C2400/1000,IF('Model Inputs &amp; Assumptions'!$H$32="CPC",'Model Inputs &amp; Assumptions'!$I$32*'Model Inputs &amp; Assumptions'!$K$32*G2400,0)))</f>
        <v>15009.264</v>
      </c>
      <c r="J2400" s="50" t="n">
        <f aca="false">H2400*INDEX('Model Inputs &amp; Assumptions'!$D$40:$D$42,MATCH('Model Inputs &amp; Assumptions'!$L$32,'Model Inputs &amp; Assumptions'!$A$40:$A$42,0))*INDEX('Model Inputs &amp; Assumptions'!$H$40:$H$42,MATCH('Model Inputs &amp; Assumptions'!$L$32,'Model Inputs &amp; Assumptions'!$A$40:$A$42,0))</f>
        <v>814240.167140069</v>
      </c>
      <c r="K2400" s="49" t="n">
        <f aca="false">H2400*INDEX('Model Inputs &amp; Assumptions'!$G$40:$G$42,MATCH('Model Inputs &amp; Assumptions'!$L$32,'Model Inputs &amp; Assumptions'!$A$40:$A$42,0))*INDEX('Model Inputs &amp; Assumptions'!$H$40:$H$42,MATCH('Model Inputs &amp; Assumptions'!$L$32,'Model Inputs &amp; Assumptions'!$A$40:$A$42,0))</f>
        <v>17099.0435099414</v>
      </c>
      <c r="L2400" s="51" t="n">
        <f aca="false">IFERROR(K2400/I2400,0)</f>
        <v>1.13923264391521</v>
      </c>
      <c r="M2400" s="49" t="n">
        <f aca="false">IFERROR(I2400/H2400,0)</f>
        <v>99.5406869752932</v>
      </c>
      <c r="N2400" s="52" t="str">
        <f aca="false">'Model Inputs &amp; Assumptions'!$L$32</f>
        <v>PRD-SP01</v>
      </c>
      <c r="P2400" s="53" t="n">
        <v>0.288131</v>
      </c>
      <c r="Q2400" s="53" t="n">
        <v>-0.912049</v>
      </c>
      <c r="R2400" s="53" t="n">
        <v>-0.346457</v>
      </c>
      <c r="S2400" s="53" t="n">
        <v>-0.282898</v>
      </c>
    </row>
    <row r="2401" customFormat="false" ht="15" hidden="false" customHeight="false" outlineLevel="0" collapsed="false">
      <c r="A2401" s="43" t="n">
        <v>398</v>
      </c>
      <c r="B2401" s="44" t="str">
        <f aca="false">'Model Inputs &amp; Assumptions'!$B$32</f>
        <v>Trade Republic — In-App Display</v>
      </c>
      <c r="C2401" s="45" t="n">
        <f aca="false">ROUND(MAX(0,'Model Inputs &amp; Assumptions'!$S$32*EXP('Model Inputs &amp; Assumptions'!$T$32*P2401-'Model Inputs &amp; Assumptions'!$T$32^2/2)),0)</f>
        <v>1256783</v>
      </c>
      <c r="D2401" s="46" t="n">
        <f aca="false">MIN(1,'Model Inputs &amp; Assumptions'!$U$32*EXP('Model Inputs &amp; Assumptions'!$V$32*Q2401-'Model Inputs &amp; Assumptions'!$V$32^2/2))</f>
        <v>0</v>
      </c>
      <c r="E2401" s="45" t="n">
        <f aca="false">ROUND(C2401*D2401,0)</f>
        <v>0</v>
      </c>
      <c r="F2401" s="47" t="n">
        <f aca="false">MIN(1,'Model Inputs &amp; Assumptions'!$W$32*EXP('Model Inputs &amp; Assumptions'!$X$32*R2401-'Model Inputs &amp; Assumptions'!$X$32^2/2))</f>
        <v>0.00468900200871138</v>
      </c>
      <c r="G2401" s="45" t="n">
        <f aca="false">ROUND(C2401*F2401,0)</f>
        <v>5893</v>
      </c>
      <c r="H2401" s="48" t="n">
        <f aca="false">MAX(0,(C2401*'Model Inputs &amp; Assumptions'!$N$32+E2401*'Model Inputs &amp; Assumptions'!$O$32+G2401*'Model Inputs &amp; Assumptions'!$P$32)*EXP('Model Inputs &amp; Assumptions'!$Q$32*S2401-'Model Inputs &amp; Assumptions'!$Q$32^2/2))</f>
        <v>224.375605001875</v>
      </c>
      <c r="I2401" s="49" t="n">
        <f aca="false">IF('Model Inputs &amp; Assumptions'!$H$32="Fixed",'Model Inputs &amp; Assumptions'!$I$32*'Model Inputs &amp; Assumptions'!$K$32,IF('Model Inputs &amp; Assumptions'!$H$32="CPM",'Model Inputs &amp; Assumptions'!$I$32*'Model Inputs &amp; Assumptions'!$K$32*C2401/1000,IF('Model Inputs &amp; Assumptions'!$H$32="CPC",'Model Inputs &amp; Assumptions'!$I$32*'Model Inputs &amp; Assumptions'!$K$32*G2401,0)))</f>
        <v>15081.396</v>
      </c>
      <c r="J2401" s="50" t="n">
        <f aca="false">H2401*INDEX('Model Inputs &amp; Assumptions'!$D$40:$D$42,MATCH('Model Inputs &amp; Assumptions'!$L$32,'Model Inputs &amp; Assumptions'!$A$40:$A$42,0))*INDEX('Model Inputs &amp; Assumptions'!$H$40:$H$42,MATCH('Model Inputs &amp; Assumptions'!$L$32,'Model Inputs &amp; Assumptions'!$A$40:$A$42,0))</f>
        <v>1211628.26701013</v>
      </c>
      <c r="K2401" s="49" t="n">
        <f aca="false">H2401*INDEX('Model Inputs &amp; Assumptions'!$G$40:$G$42,MATCH('Model Inputs &amp; Assumptions'!$L$32,'Model Inputs &amp; Assumptions'!$A$40:$A$42,0))*INDEX('Model Inputs &amp; Assumptions'!$H$40:$H$42,MATCH('Model Inputs &amp; Assumptions'!$L$32,'Model Inputs &amp; Assumptions'!$A$40:$A$42,0))</f>
        <v>25444.1936072127</v>
      </c>
      <c r="L2401" s="51" t="n">
        <f aca="false">IFERROR(K2401/I2401,0)</f>
        <v>1.68712456109585</v>
      </c>
      <c r="M2401" s="49" t="n">
        <f aca="false">IFERROR(I2401/H2401,0)</f>
        <v>67.2149541385034</v>
      </c>
      <c r="N2401" s="52" t="str">
        <f aca="false">'Model Inputs &amp; Assumptions'!$L$32</f>
        <v>PRD-SP01</v>
      </c>
      <c r="P2401" s="53" t="n">
        <v>0.304113</v>
      </c>
      <c r="Q2401" s="53" t="n">
        <v>-0.952525</v>
      </c>
      <c r="R2401" s="53" t="n">
        <v>1.124856</v>
      </c>
      <c r="S2401" s="53" t="n">
        <v>-0.456808</v>
      </c>
    </row>
    <row r="2402" customFormat="false" ht="15" hidden="false" customHeight="false" outlineLevel="0" collapsed="false">
      <c r="A2402" s="43" t="n">
        <v>399</v>
      </c>
      <c r="B2402" s="44" t="str">
        <f aca="false">'Model Inputs &amp; Assumptions'!$B$32</f>
        <v>Trade Republic — In-App Display</v>
      </c>
      <c r="C2402" s="45" t="n">
        <f aca="false">ROUND(MAX(0,'Model Inputs &amp; Assumptions'!$S$32*EXP('Model Inputs &amp; Assumptions'!$T$32*P2402-'Model Inputs &amp; Assumptions'!$T$32^2/2)),0)</f>
        <v>1426033</v>
      </c>
      <c r="D2402" s="46" t="n">
        <f aca="false">MIN(1,'Model Inputs &amp; Assumptions'!$U$32*EXP('Model Inputs &amp; Assumptions'!$V$32*Q2402-'Model Inputs &amp; Assumptions'!$V$32^2/2))</f>
        <v>0</v>
      </c>
      <c r="E2402" s="45" t="n">
        <f aca="false">ROUND(C2402*D2402,0)</f>
        <v>0</v>
      </c>
      <c r="F2402" s="47" t="n">
        <f aca="false">MIN(1,'Model Inputs &amp; Assumptions'!$W$32*EXP('Model Inputs &amp; Assumptions'!$X$32*R2402-'Model Inputs &amp; Assumptions'!$X$32^2/2))</f>
        <v>0.00507593461465415</v>
      </c>
      <c r="G2402" s="45" t="n">
        <f aca="false">ROUND(C2402*F2402,0)</f>
        <v>7238</v>
      </c>
      <c r="H2402" s="48" t="n">
        <f aca="false">MAX(0,(C2402*'Model Inputs &amp; Assumptions'!$N$32+E2402*'Model Inputs &amp; Assumptions'!$O$32+G2402*'Model Inputs &amp; Assumptions'!$P$32)*EXP('Model Inputs &amp; Assumptions'!$Q$32*S2402-'Model Inputs &amp; Assumptions'!$Q$32^2/2))</f>
        <v>284.127117517405</v>
      </c>
      <c r="I2402" s="49" t="n">
        <f aca="false">IF('Model Inputs &amp; Assumptions'!$H$32="Fixed",'Model Inputs &amp; Assumptions'!$I$32*'Model Inputs &amp; Assumptions'!$K$32,IF('Model Inputs &amp; Assumptions'!$H$32="CPM",'Model Inputs &amp; Assumptions'!$I$32*'Model Inputs &amp; Assumptions'!$K$32*C2402/1000,IF('Model Inputs &amp; Assumptions'!$H$32="CPC",'Model Inputs &amp; Assumptions'!$I$32*'Model Inputs &amp; Assumptions'!$K$32*G2402,0)))</f>
        <v>17112.396</v>
      </c>
      <c r="J2402" s="50" t="n">
        <f aca="false">H2402*INDEX('Model Inputs &amp; Assumptions'!$D$40:$D$42,MATCH('Model Inputs &amp; Assumptions'!$L$32,'Model Inputs &amp; Assumptions'!$A$40:$A$42,0))*INDEX('Model Inputs &amp; Assumptions'!$H$40:$H$42,MATCH('Model Inputs &amp; Assumptions'!$L$32,'Model Inputs &amp; Assumptions'!$A$40:$A$42,0))</f>
        <v>1534286.43459399</v>
      </c>
      <c r="K2402" s="49" t="n">
        <f aca="false">H2402*INDEX('Model Inputs &amp; Assumptions'!$G$40:$G$42,MATCH('Model Inputs &amp; Assumptions'!$L$32,'Model Inputs &amp; Assumptions'!$A$40:$A$42,0))*INDEX('Model Inputs &amp; Assumptions'!$H$40:$H$42,MATCH('Model Inputs &amp; Assumptions'!$L$32,'Model Inputs &amp; Assumptions'!$A$40:$A$42,0))</f>
        <v>32220.0151264738</v>
      </c>
      <c r="L2402" s="51" t="n">
        <f aca="false">IFERROR(K2402/I2402,0)</f>
        <v>1.88284651234542</v>
      </c>
      <c r="M2402" s="49" t="n">
        <f aca="false">IFERROR(I2402/H2402,0)</f>
        <v>60.2279576462874</v>
      </c>
      <c r="N2402" s="52" t="str">
        <f aca="false">'Model Inputs &amp; Assumptions'!$L$32</f>
        <v>PRD-SP01</v>
      </c>
      <c r="P2402" s="53" t="n">
        <v>0.725249</v>
      </c>
      <c r="Q2402" s="53" t="n">
        <v>0.658883</v>
      </c>
      <c r="R2402" s="53" t="n">
        <v>1.389159</v>
      </c>
      <c r="S2402" s="53" t="n">
        <v>-0.347806</v>
      </c>
    </row>
    <row r="2403" customFormat="false" ht="15" hidden="false" customHeight="false" outlineLevel="0" collapsed="false">
      <c r="A2403" s="43" t="n">
        <v>400</v>
      </c>
      <c r="B2403" s="44" t="str">
        <f aca="false">'Model Inputs &amp; Assumptions'!$B$32</f>
        <v>Trade Republic — In-App Display</v>
      </c>
      <c r="C2403" s="45" t="n">
        <f aca="false">ROUND(MAX(0,'Model Inputs &amp; Assumptions'!$S$32*EXP('Model Inputs &amp; Assumptions'!$T$32*P2403-'Model Inputs &amp; Assumptions'!$T$32^2/2)),0)</f>
        <v>1704602</v>
      </c>
      <c r="D2403" s="46" t="n">
        <f aca="false">MIN(1,'Model Inputs &amp; Assumptions'!$U$32*EXP('Model Inputs &amp; Assumptions'!$V$32*Q2403-'Model Inputs &amp; Assumptions'!$V$32^2/2))</f>
        <v>0</v>
      </c>
      <c r="E2403" s="45" t="n">
        <f aca="false">ROUND(C2403*D2403,0)</f>
        <v>0</v>
      </c>
      <c r="F2403" s="47" t="n">
        <f aca="false">MIN(1,'Model Inputs &amp; Assumptions'!$W$32*EXP('Model Inputs &amp; Assumptions'!$X$32*R2403-'Model Inputs &amp; Assumptions'!$X$32^2/2))</f>
        <v>0.00594629400081334</v>
      </c>
      <c r="G2403" s="45" t="n">
        <f aca="false">ROUND(C2403*F2403,0)</f>
        <v>10136</v>
      </c>
      <c r="H2403" s="48" t="n">
        <f aca="false">MAX(0,(C2403*'Model Inputs &amp; Assumptions'!$N$32+E2403*'Model Inputs &amp; Assumptions'!$O$32+G2403*'Model Inputs &amp; Assumptions'!$P$32)*EXP('Model Inputs &amp; Assumptions'!$Q$32*S2403-'Model Inputs &amp; Assumptions'!$Q$32^2/2))</f>
        <v>344.22122024393</v>
      </c>
      <c r="I2403" s="49" t="n">
        <f aca="false">IF('Model Inputs &amp; Assumptions'!$H$32="Fixed",'Model Inputs &amp; Assumptions'!$I$32*'Model Inputs &amp; Assumptions'!$K$32,IF('Model Inputs &amp; Assumptions'!$H$32="CPM",'Model Inputs &amp; Assumptions'!$I$32*'Model Inputs &amp; Assumptions'!$K$32*C2403/1000,IF('Model Inputs &amp; Assumptions'!$H$32="CPC",'Model Inputs &amp; Assumptions'!$I$32*'Model Inputs &amp; Assumptions'!$K$32*G2403,0)))</f>
        <v>20455.224</v>
      </c>
      <c r="J2403" s="50" t="n">
        <f aca="false">H2403*INDEX('Model Inputs &amp; Assumptions'!$D$40:$D$42,MATCH('Model Inputs &amp; Assumptions'!$L$32,'Model Inputs &amp; Assumptions'!$A$40:$A$42,0))*INDEX('Model Inputs &amp; Assumptions'!$H$40:$H$42,MATCH('Model Inputs &amp; Assumptions'!$L$32,'Model Inputs &amp; Assumptions'!$A$40:$A$42,0))</f>
        <v>1858794.58931722</v>
      </c>
      <c r="K2403" s="49" t="n">
        <f aca="false">H2403*INDEX('Model Inputs &amp; Assumptions'!$G$40:$G$42,MATCH('Model Inputs &amp; Assumptions'!$L$32,'Model Inputs &amp; Assumptions'!$A$40:$A$42,0))*INDEX('Model Inputs &amp; Assumptions'!$H$40:$H$42,MATCH('Model Inputs &amp; Assumptions'!$L$32,'Model Inputs &amp; Assumptions'!$A$40:$A$42,0))</f>
        <v>39034.6863756617</v>
      </c>
      <c r="L2403" s="51" t="n">
        <f aca="false">IFERROR(K2403/I2403,0)</f>
        <v>1.90829914038887</v>
      </c>
      <c r="M2403" s="49" t="n">
        <f aca="false">IFERROR(I2403/H2403,0)</f>
        <v>59.4246455390069</v>
      </c>
      <c r="N2403" s="52" t="str">
        <f aca="false">'Model Inputs &amp; Assumptions'!$L$32</f>
        <v>PRD-SP01</v>
      </c>
      <c r="P2403" s="53" t="n">
        <v>1.320033</v>
      </c>
      <c r="Q2403" s="53" t="n">
        <v>1.007888</v>
      </c>
      <c r="R2403" s="53" t="n">
        <v>1.916684</v>
      </c>
      <c r="S2403" s="53" t="n">
        <v>-0.865255</v>
      </c>
    </row>
    <row r="2404" customFormat="false" ht="15" hidden="false" customHeight="false" outlineLevel="0" collapsed="false">
      <c r="A2404" s="43" t="n">
        <v>401</v>
      </c>
      <c r="B2404" s="44" t="str">
        <f aca="false">'Model Inputs &amp; Assumptions'!$B$32</f>
        <v>Trade Republic — In-App Display</v>
      </c>
      <c r="C2404" s="45" t="n">
        <f aca="false">ROUND(MAX(0,'Model Inputs &amp; Assumptions'!$S$32*EXP('Model Inputs &amp; Assumptions'!$T$32*P2404-'Model Inputs &amp; Assumptions'!$T$32^2/2)),0)</f>
        <v>1430758</v>
      </c>
      <c r="D2404" s="46" t="n">
        <f aca="false">MIN(1,'Model Inputs &amp; Assumptions'!$U$32*EXP('Model Inputs &amp; Assumptions'!$V$32*Q2404-'Model Inputs &amp; Assumptions'!$V$32^2/2))</f>
        <v>0</v>
      </c>
      <c r="E2404" s="45" t="n">
        <f aca="false">ROUND(C2404*D2404,0)</f>
        <v>0</v>
      </c>
      <c r="F2404" s="47" t="n">
        <f aca="false">MIN(1,'Model Inputs &amp; Assumptions'!$W$32*EXP('Model Inputs &amp; Assumptions'!$X$32*R2404-'Model Inputs &amp; Assumptions'!$X$32^2/2))</f>
        <v>0.00309598053479057</v>
      </c>
      <c r="G2404" s="45" t="n">
        <f aca="false">ROUND(C2404*F2404,0)</f>
        <v>4430</v>
      </c>
      <c r="H2404" s="48" t="n">
        <f aca="false">MAX(0,(C2404*'Model Inputs &amp; Assumptions'!$N$32+E2404*'Model Inputs &amp; Assumptions'!$O$32+G2404*'Model Inputs &amp; Assumptions'!$P$32)*EXP('Model Inputs &amp; Assumptions'!$Q$32*S2404-'Model Inputs &amp; Assumptions'!$Q$32^2/2))</f>
        <v>280.314120652217</v>
      </c>
      <c r="I2404" s="49" t="n">
        <f aca="false">IF('Model Inputs &amp; Assumptions'!$H$32="Fixed",'Model Inputs &amp; Assumptions'!$I$32*'Model Inputs &amp; Assumptions'!$K$32,IF('Model Inputs &amp; Assumptions'!$H$32="CPM",'Model Inputs &amp; Assumptions'!$I$32*'Model Inputs &amp; Assumptions'!$K$32*C2404/1000,IF('Model Inputs &amp; Assumptions'!$H$32="CPC",'Model Inputs &amp; Assumptions'!$I$32*'Model Inputs &amp; Assumptions'!$K$32*G2404,0)))</f>
        <v>17169.096</v>
      </c>
      <c r="J2404" s="50" t="n">
        <f aca="false">H2404*INDEX('Model Inputs &amp; Assumptions'!$D$40:$D$42,MATCH('Model Inputs &amp; Assumptions'!$L$32,'Model Inputs &amp; Assumptions'!$A$40:$A$42,0))*INDEX('Model Inputs &amp; Assumptions'!$H$40:$H$42,MATCH('Model Inputs &amp; Assumptions'!$L$32,'Model Inputs &amp; Assumptions'!$A$40:$A$42,0))</f>
        <v>1513696.25152197</v>
      </c>
      <c r="K2404" s="49" t="n">
        <f aca="false">H2404*INDEX('Model Inputs &amp; Assumptions'!$G$40:$G$42,MATCH('Model Inputs &amp; Assumptions'!$L$32,'Model Inputs &amp; Assumptions'!$A$40:$A$42,0))*INDEX('Model Inputs &amp; Assumptions'!$H$40:$H$42,MATCH('Model Inputs &amp; Assumptions'!$L$32,'Model Inputs &amp; Assumptions'!$A$40:$A$42,0))</f>
        <v>31787.6212819614</v>
      </c>
      <c r="L2404" s="51" t="n">
        <f aca="false">IFERROR(K2404/I2404,0)</f>
        <v>1.85144408779364</v>
      </c>
      <c r="M2404" s="49" t="n">
        <f aca="false">IFERROR(I2404/H2404,0)</f>
        <v>61.249486683197</v>
      </c>
      <c r="N2404" s="52" t="str">
        <f aca="false">'Model Inputs &amp; Assumptions'!$L$32</f>
        <v>PRD-SP01</v>
      </c>
      <c r="P2404" s="53" t="n">
        <v>0.736275</v>
      </c>
      <c r="Q2404" s="53" t="n">
        <v>0.384974</v>
      </c>
      <c r="R2404" s="53" t="n">
        <v>-0.258861</v>
      </c>
      <c r="S2404" s="53" t="n">
        <v>1.357317</v>
      </c>
    </row>
    <row r="2405" customFormat="false" ht="15" hidden="false" customHeight="false" outlineLevel="0" collapsed="false">
      <c r="A2405" s="43" t="n">
        <v>402</v>
      </c>
      <c r="B2405" s="44" t="str">
        <f aca="false">'Model Inputs &amp; Assumptions'!$B$32</f>
        <v>Trade Republic — In-App Display</v>
      </c>
      <c r="C2405" s="45" t="n">
        <f aca="false">ROUND(MAX(0,'Model Inputs &amp; Assumptions'!$S$32*EXP('Model Inputs &amp; Assumptions'!$T$32*P2405-'Model Inputs &amp; Assumptions'!$T$32^2/2)),0)</f>
        <v>659417</v>
      </c>
      <c r="D2405" s="46" t="n">
        <f aca="false">MIN(1,'Model Inputs &amp; Assumptions'!$U$32*EXP('Model Inputs &amp; Assumptions'!$V$32*Q2405-'Model Inputs &amp; Assumptions'!$V$32^2/2))</f>
        <v>0</v>
      </c>
      <c r="E2405" s="45" t="n">
        <f aca="false">ROUND(C2405*D2405,0)</f>
        <v>0</v>
      </c>
      <c r="F2405" s="47" t="n">
        <f aca="false">MIN(1,'Model Inputs &amp; Assumptions'!$W$32*EXP('Model Inputs &amp; Assumptions'!$X$32*R2405-'Model Inputs &amp; Assumptions'!$X$32^2/2))</f>
        <v>0.00317648636258709</v>
      </c>
      <c r="G2405" s="45" t="n">
        <f aca="false">ROUND(C2405*F2405,0)</f>
        <v>2095</v>
      </c>
      <c r="H2405" s="48" t="n">
        <f aca="false">MAX(0,(C2405*'Model Inputs &amp; Assumptions'!$N$32+E2405*'Model Inputs &amp; Assumptions'!$O$32+G2405*'Model Inputs &amp; Assumptions'!$P$32)*EXP('Model Inputs &amp; Assumptions'!$Q$32*S2405-'Model Inputs &amp; Assumptions'!$Q$32^2/2))</f>
        <v>98.7809648909078</v>
      </c>
      <c r="I2405" s="49" t="n">
        <f aca="false">IF('Model Inputs &amp; Assumptions'!$H$32="Fixed",'Model Inputs &amp; Assumptions'!$I$32*'Model Inputs &amp; Assumptions'!$K$32,IF('Model Inputs &amp; Assumptions'!$H$32="CPM",'Model Inputs &amp; Assumptions'!$I$32*'Model Inputs &amp; Assumptions'!$K$32*C2405/1000,IF('Model Inputs &amp; Assumptions'!$H$32="CPC",'Model Inputs &amp; Assumptions'!$I$32*'Model Inputs &amp; Assumptions'!$K$32*G2405,0)))</f>
        <v>7913.004</v>
      </c>
      <c r="J2405" s="50" t="n">
        <f aca="false">H2405*INDEX('Model Inputs &amp; Assumptions'!$D$40:$D$42,MATCH('Model Inputs &amp; Assumptions'!$L$32,'Model Inputs &amp; Assumptions'!$A$40:$A$42,0))*INDEX('Model Inputs &amp; Assumptions'!$H$40:$H$42,MATCH('Model Inputs &amp; Assumptions'!$L$32,'Model Inputs &amp; Assumptions'!$A$40:$A$42,0))</f>
        <v>533417.210410902</v>
      </c>
      <c r="K2405" s="49" t="n">
        <f aca="false">H2405*INDEX('Model Inputs &amp; Assumptions'!$G$40:$G$42,MATCH('Model Inputs &amp; Assumptions'!$L$32,'Model Inputs &amp; Assumptions'!$A$40:$A$42,0))*INDEX('Model Inputs &amp; Assumptions'!$H$40:$H$42,MATCH('Model Inputs &amp; Assumptions'!$L$32,'Model Inputs &amp; Assumptions'!$A$40:$A$42,0))</f>
        <v>11201.7614186289</v>
      </c>
      <c r="L2405" s="51" t="n">
        <f aca="false">IFERROR(K2405/I2405,0)</f>
        <v>1.41561427475949</v>
      </c>
      <c r="M2405" s="49" t="n">
        <f aca="false">IFERROR(I2405/H2405,0)</f>
        <v>80.1065671785956</v>
      </c>
      <c r="N2405" s="52" t="str">
        <f aca="false">'Model Inputs &amp; Assumptions'!$L$32</f>
        <v>PRD-SP01</v>
      </c>
      <c r="P2405" s="53" t="n">
        <v>-1.845738</v>
      </c>
      <c r="Q2405" s="53" t="n">
        <v>-1.184041</v>
      </c>
      <c r="R2405" s="53" t="n">
        <v>-0.173291</v>
      </c>
      <c r="S2405" s="53" t="n">
        <v>0.306746</v>
      </c>
    </row>
    <row r="2406" customFormat="false" ht="15" hidden="false" customHeight="false" outlineLevel="0" collapsed="false">
      <c r="A2406" s="43" t="n">
        <v>403</v>
      </c>
      <c r="B2406" s="44" t="str">
        <f aca="false">'Model Inputs &amp; Assumptions'!$B$32</f>
        <v>Trade Republic — In-App Display</v>
      </c>
      <c r="C2406" s="45" t="n">
        <f aca="false">ROUND(MAX(0,'Model Inputs &amp; Assumptions'!$S$32*EXP('Model Inputs &amp; Assumptions'!$T$32*P2406-'Model Inputs &amp; Assumptions'!$T$32^2/2)),0)</f>
        <v>1050167</v>
      </c>
      <c r="D2406" s="46" t="n">
        <f aca="false">MIN(1,'Model Inputs &amp; Assumptions'!$U$32*EXP('Model Inputs &amp; Assumptions'!$V$32*Q2406-'Model Inputs &amp; Assumptions'!$V$32^2/2))</f>
        <v>0</v>
      </c>
      <c r="E2406" s="45" t="n">
        <f aca="false">ROUND(C2406*D2406,0)</f>
        <v>0</v>
      </c>
      <c r="F2406" s="47" t="n">
        <f aca="false">MIN(1,'Model Inputs &amp; Assumptions'!$W$32*EXP('Model Inputs &amp; Assumptions'!$X$32*R2406-'Model Inputs &amp; Assumptions'!$X$32^2/2))</f>
        <v>0.00313179420419031</v>
      </c>
      <c r="G2406" s="45" t="n">
        <f aca="false">ROUND(C2406*F2406,0)</f>
        <v>3289</v>
      </c>
      <c r="H2406" s="48" t="n">
        <f aca="false">MAX(0,(C2406*'Model Inputs &amp; Assumptions'!$N$32+E2406*'Model Inputs &amp; Assumptions'!$O$32+G2406*'Model Inputs &amp; Assumptions'!$P$32)*EXP('Model Inputs &amp; Assumptions'!$Q$32*S2406-'Model Inputs &amp; Assumptions'!$Q$32^2/2))</f>
        <v>148.211854119945</v>
      </c>
      <c r="I2406" s="49" t="n">
        <f aca="false">IF('Model Inputs &amp; Assumptions'!$H$32="Fixed",'Model Inputs &amp; Assumptions'!$I$32*'Model Inputs &amp; Assumptions'!$K$32,IF('Model Inputs &amp; Assumptions'!$H$32="CPM",'Model Inputs &amp; Assumptions'!$I$32*'Model Inputs &amp; Assumptions'!$K$32*C2406/1000,IF('Model Inputs &amp; Assumptions'!$H$32="CPC",'Model Inputs &amp; Assumptions'!$I$32*'Model Inputs &amp; Assumptions'!$K$32*G2406,0)))</f>
        <v>12602.004</v>
      </c>
      <c r="J2406" s="50" t="n">
        <f aca="false">H2406*INDEX('Model Inputs &amp; Assumptions'!$D$40:$D$42,MATCH('Model Inputs &amp; Assumptions'!$L$32,'Model Inputs &amp; Assumptions'!$A$40:$A$42,0))*INDEX('Model Inputs &amp; Assumptions'!$H$40:$H$42,MATCH('Model Inputs &amp; Assumptions'!$L$32,'Model Inputs &amp; Assumptions'!$A$40:$A$42,0))</f>
        <v>800344.012247702</v>
      </c>
      <c r="K2406" s="49" t="n">
        <f aca="false">H2406*INDEX('Model Inputs &amp; Assumptions'!$G$40:$G$42,MATCH('Model Inputs &amp; Assumptions'!$L$32,'Model Inputs &amp; Assumptions'!$A$40:$A$42,0))*INDEX('Model Inputs &amp; Assumptions'!$H$40:$H$42,MATCH('Model Inputs &amp; Assumptions'!$L$32,'Model Inputs &amp; Assumptions'!$A$40:$A$42,0))</f>
        <v>16807.2242572017</v>
      </c>
      <c r="L2406" s="51" t="n">
        <f aca="false">IFERROR(K2406/I2406,0)</f>
        <v>1.33369456613422</v>
      </c>
      <c r="M2406" s="49" t="n">
        <f aca="false">IFERROR(I2406/H2406,0)</f>
        <v>85.0269641037043</v>
      </c>
      <c r="N2406" s="52" t="str">
        <f aca="false">'Model Inputs &amp; Assumptions'!$L$32</f>
        <v>PRD-SP01</v>
      </c>
      <c r="P2406" s="53" t="n">
        <v>-0.294576</v>
      </c>
      <c r="Q2406" s="53" t="n">
        <v>-0.836028</v>
      </c>
      <c r="R2406" s="53" t="n">
        <v>-0.220523</v>
      </c>
      <c r="S2406" s="53" t="n">
        <v>0.144988</v>
      </c>
    </row>
    <row r="2407" customFormat="false" ht="15" hidden="false" customHeight="false" outlineLevel="0" collapsed="false">
      <c r="A2407" s="43" t="n">
        <v>404</v>
      </c>
      <c r="B2407" s="44" t="str">
        <f aca="false">'Model Inputs &amp; Assumptions'!$B$32</f>
        <v>Trade Republic — In-App Display</v>
      </c>
      <c r="C2407" s="45" t="n">
        <f aca="false">ROUND(MAX(0,'Model Inputs &amp; Assumptions'!$S$32*EXP('Model Inputs &amp; Assumptions'!$T$32*P2407-'Model Inputs &amp; Assumptions'!$T$32^2/2)),0)</f>
        <v>1097863</v>
      </c>
      <c r="D2407" s="46" t="n">
        <f aca="false">MIN(1,'Model Inputs &amp; Assumptions'!$U$32*EXP('Model Inputs &amp; Assumptions'!$V$32*Q2407-'Model Inputs &amp; Assumptions'!$V$32^2/2))</f>
        <v>0</v>
      </c>
      <c r="E2407" s="45" t="n">
        <f aca="false">ROUND(C2407*D2407,0)</f>
        <v>0</v>
      </c>
      <c r="F2407" s="47" t="n">
        <f aca="false">MIN(1,'Model Inputs &amp; Assumptions'!$W$32*EXP('Model Inputs &amp; Assumptions'!$X$32*R2407-'Model Inputs &amp; Assumptions'!$X$32^2/2))</f>
        <v>0.00496748943439473</v>
      </c>
      <c r="G2407" s="45" t="n">
        <f aca="false">ROUND(C2407*F2407,0)</f>
        <v>5454</v>
      </c>
      <c r="H2407" s="48" t="n">
        <f aca="false">MAX(0,(C2407*'Model Inputs &amp; Assumptions'!$N$32+E2407*'Model Inputs &amp; Assumptions'!$O$32+G2407*'Model Inputs &amp; Assumptions'!$P$32)*EXP('Model Inputs &amp; Assumptions'!$Q$32*S2407-'Model Inputs &amp; Assumptions'!$Q$32^2/2))</f>
        <v>178.80987565675</v>
      </c>
      <c r="I2407" s="49" t="n">
        <f aca="false">IF('Model Inputs &amp; Assumptions'!$H$32="Fixed",'Model Inputs &amp; Assumptions'!$I$32*'Model Inputs &amp; Assumptions'!$K$32,IF('Model Inputs &amp; Assumptions'!$H$32="CPM",'Model Inputs &amp; Assumptions'!$I$32*'Model Inputs &amp; Assumptions'!$K$32*C2407/1000,IF('Model Inputs &amp; Assumptions'!$H$32="CPC",'Model Inputs &amp; Assumptions'!$I$32*'Model Inputs &amp; Assumptions'!$K$32*G2407,0)))</f>
        <v>13174.356</v>
      </c>
      <c r="J2407" s="50" t="n">
        <f aca="false">H2407*INDEX('Model Inputs &amp; Assumptions'!$D$40:$D$42,MATCH('Model Inputs &amp; Assumptions'!$L$32,'Model Inputs &amp; Assumptions'!$A$40:$A$42,0))*INDEX('Model Inputs &amp; Assumptions'!$H$40:$H$42,MATCH('Model Inputs &amp; Assumptions'!$L$32,'Model Inputs &amp; Assumptions'!$A$40:$A$42,0))</f>
        <v>965573.328546451</v>
      </c>
      <c r="K2407" s="49" t="n">
        <f aca="false">H2407*INDEX('Model Inputs &amp; Assumptions'!$G$40:$G$42,MATCH('Model Inputs &amp; Assumptions'!$L$32,'Model Inputs &amp; Assumptions'!$A$40:$A$42,0))*INDEX('Model Inputs &amp; Assumptions'!$H$40:$H$42,MATCH('Model Inputs &amp; Assumptions'!$L$32,'Model Inputs &amp; Assumptions'!$A$40:$A$42,0))</f>
        <v>20277.0398994755</v>
      </c>
      <c r="L2407" s="51" t="n">
        <f aca="false">IFERROR(K2407/I2407,0)</f>
        <v>1.53912949517043</v>
      </c>
      <c r="M2407" s="49" t="n">
        <f aca="false">IFERROR(I2407/H2407,0)</f>
        <v>73.6780110808307</v>
      </c>
      <c r="N2407" s="52" t="str">
        <f aca="false">'Model Inputs &amp; Assumptions'!$L$32</f>
        <v>PRD-SP01</v>
      </c>
      <c r="P2407" s="53" t="n">
        <v>-0.146519</v>
      </c>
      <c r="Q2407" s="53" t="n">
        <v>1.054259</v>
      </c>
      <c r="R2407" s="53" t="n">
        <v>1.317172</v>
      </c>
      <c r="S2407" s="53" t="n">
        <v>-0.991031</v>
      </c>
    </row>
    <row r="2408" customFormat="false" ht="15" hidden="false" customHeight="false" outlineLevel="0" collapsed="false">
      <c r="A2408" s="43" t="n">
        <v>405</v>
      </c>
      <c r="B2408" s="44" t="str">
        <f aca="false">'Model Inputs &amp; Assumptions'!$B$32</f>
        <v>Trade Republic — In-App Display</v>
      </c>
      <c r="C2408" s="45" t="n">
        <f aca="false">ROUND(MAX(0,'Model Inputs &amp; Assumptions'!$S$32*EXP('Model Inputs &amp; Assumptions'!$T$32*P2408-'Model Inputs &amp; Assumptions'!$T$32^2/2)),0)</f>
        <v>1713678</v>
      </c>
      <c r="D2408" s="46" t="n">
        <f aca="false">MIN(1,'Model Inputs &amp; Assumptions'!$U$32*EXP('Model Inputs &amp; Assumptions'!$V$32*Q2408-'Model Inputs &amp; Assumptions'!$V$32^2/2))</f>
        <v>0</v>
      </c>
      <c r="E2408" s="45" t="n">
        <f aca="false">ROUND(C2408*D2408,0)</f>
        <v>0</v>
      </c>
      <c r="F2408" s="47" t="n">
        <f aca="false">MIN(1,'Model Inputs &amp; Assumptions'!$W$32*EXP('Model Inputs &amp; Assumptions'!$X$32*R2408-'Model Inputs &amp; Assumptions'!$X$32^2/2))</f>
        <v>0.00458314969682885</v>
      </c>
      <c r="G2408" s="45" t="n">
        <f aca="false">ROUND(C2408*F2408,0)</f>
        <v>7854</v>
      </c>
      <c r="H2408" s="48" t="n">
        <f aca="false">MAX(0,(C2408*'Model Inputs &amp; Assumptions'!$N$32+E2408*'Model Inputs &amp; Assumptions'!$O$32+G2408*'Model Inputs &amp; Assumptions'!$P$32)*EXP('Model Inputs &amp; Assumptions'!$Q$32*S2408-'Model Inputs &amp; Assumptions'!$Q$32^2/2))</f>
        <v>304.515614787699</v>
      </c>
      <c r="I2408" s="49" t="n">
        <f aca="false">IF('Model Inputs &amp; Assumptions'!$H$32="Fixed",'Model Inputs &amp; Assumptions'!$I$32*'Model Inputs &amp; Assumptions'!$K$32,IF('Model Inputs &amp; Assumptions'!$H$32="CPM",'Model Inputs &amp; Assumptions'!$I$32*'Model Inputs &amp; Assumptions'!$K$32*C2408/1000,IF('Model Inputs &amp; Assumptions'!$H$32="CPC",'Model Inputs &amp; Assumptions'!$I$32*'Model Inputs &amp; Assumptions'!$K$32*G2408,0)))</f>
        <v>20564.136</v>
      </c>
      <c r="J2408" s="50" t="n">
        <f aca="false">H2408*INDEX('Model Inputs &amp; Assumptions'!$D$40:$D$42,MATCH('Model Inputs &amp; Assumptions'!$L$32,'Model Inputs &amp; Assumptions'!$A$40:$A$42,0))*INDEX('Model Inputs &amp; Assumptions'!$H$40:$H$42,MATCH('Model Inputs &amp; Assumptions'!$L$32,'Model Inputs &amp; Assumptions'!$A$40:$A$42,0))</f>
        <v>1644384.31985357</v>
      </c>
      <c r="K2408" s="49" t="n">
        <f aca="false">H2408*INDEX('Model Inputs &amp; Assumptions'!$G$40:$G$42,MATCH('Model Inputs &amp; Assumptions'!$L$32,'Model Inputs &amp; Assumptions'!$A$40:$A$42,0))*INDEX('Model Inputs &amp; Assumptions'!$H$40:$H$42,MATCH('Model Inputs &amp; Assumptions'!$L$32,'Model Inputs &amp; Assumptions'!$A$40:$A$42,0))</f>
        <v>34532.070716925</v>
      </c>
      <c r="L2408" s="51" t="n">
        <f aca="false">IFERROR(K2408/I2408,0)</f>
        <v>1.67923761625215</v>
      </c>
      <c r="M2408" s="49" t="n">
        <f aca="false">IFERROR(I2408/H2408,0)</f>
        <v>67.5306453967454</v>
      </c>
      <c r="N2408" s="52" t="str">
        <f aca="false">'Model Inputs &amp; Assumptions'!$L$32</f>
        <v>PRD-SP01</v>
      </c>
      <c r="P2408" s="53" t="n">
        <v>1.337734</v>
      </c>
      <c r="Q2408" s="53" t="n">
        <v>-0.494345</v>
      </c>
      <c r="R2408" s="53" t="n">
        <v>1.048745</v>
      </c>
      <c r="S2408" s="53" t="n">
        <v>-0.392011</v>
      </c>
    </row>
    <row r="2409" customFormat="false" ht="15" hidden="false" customHeight="false" outlineLevel="0" collapsed="false">
      <c r="A2409" s="43" t="n">
        <v>406</v>
      </c>
      <c r="B2409" s="44" t="str">
        <f aca="false">'Model Inputs &amp; Assumptions'!$B$32</f>
        <v>Trade Republic — In-App Display</v>
      </c>
      <c r="C2409" s="45" t="n">
        <f aca="false">ROUND(MAX(0,'Model Inputs &amp; Assumptions'!$S$32*EXP('Model Inputs &amp; Assumptions'!$T$32*P2409-'Model Inputs &amp; Assumptions'!$T$32^2/2)),0)</f>
        <v>1316578</v>
      </c>
      <c r="D2409" s="46" t="n">
        <f aca="false">MIN(1,'Model Inputs &amp; Assumptions'!$U$32*EXP('Model Inputs &amp; Assumptions'!$V$32*Q2409-'Model Inputs &amp; Assumptions'!$V$32^2/2))</f>
        <v>0</v>
      </c>
      <c r="E2409" s="45" t="n">
        <f aca="false">ROUND(C2409*D2409,0)</f>
        <v>0</v>
      </c>
      <c r="F2409" s="47" t="n">
        <f aca="false">MIN(1,'Model Inputs &amp; Assumptions'!$W$32*EXP('Model Inputs &amp; Assumptions'!$X$32*R2409-'Model Inputs &amp; Assumptions'!$X$32^2/2))</f>
        <v>0.00335047212417133</v>
      </c>
      <c r="G2409" s="45" t="n">
        <f aca="false">ROUND(C2409*F2409,0)</f>
        <v>4411</v>
      </c>
      <c r="H2409" s="48" t="n">
        <f aca="false">MAX(0,(C2409*'Model Inputs &amp; Assumptions'!$N$32+E2409*'Model Inputs &amp; Assumptions'!$O$32+G2409*'Model Inputs &amp; Assumptions'!$P$32)*EXP('Model Inputs &amp; Assumptions'!$Q$32*S2409-'Model Inputs &amp; Assumptions'!$Q$32^2/2))</f>
        <v>159.416365567266</v>
      </c>
      <c r="I2409" s="49" t="n">
        <f aca="false">IF('Model Inputs &amp; Assumptions'!$H$32="Fixed",'Model Inputs &amp; Assumptions'!$I$32*'Model Inputs &amp; Assumptions'!$K$32,IF('Model Inputs &amp; Assumptions'!$H$32="CPM",'Model Inputs &amp; Assumptions'!$I$32*'Model Inputs &amp; Assumptions'!$K$32*C2409/1000,IF('Model Inputs &amp; Assumptions'!$H$32="CPC",'Model Inputs &amp; Assumptions'!$I$32*'Model Inputs &amp; Assumptions'!$K$32*G2409,0)))</f>
        <v>15798.936</v>
      </c>
      <c r="J2409" s="50" t="n">
        <f aca="false">H2409*INDEX('Model Inputs &amp; Assumptions'!$D$40:$D$42,MATCH('Model Inputs &amp; Assumptions'!$L$32,'Model Inputs &amp; Assumptions'!$A$40:$A$42,0))*INDEX('Model Inputs &amp; Assumptions'!$H$40:$H$42,MATCH('Model Inputs &amp; Assumptions'!$L$32,'Model Inputs &amp; Assumptions'!$A$40:$A$42,0))</f>
        <v>860848.374063238</v>
      </c>
      <c r="K2409" s="49" t="n">
        <f aca="false">H2409*INDEX('Model Inputs &amp; Assumptions'!$G$40:$G$42,MATCH('Model Inputs &amp; Assumptions'!$L$32,'Model Inputs &amp; Assumptions'!$A$40:$A$42,0))*INDEX('Model Inputs &amp; Assumptions'!$H$40:$H$42,MATCH('Model Inputs &amp; Assumptions'!$L$32,'Model Inputs &amp; Assumptions'!$A$40:$A$42,0))</f>
        <v>18077.815855328</v>
      </c>
      <c r="L2409" s="51" t="n">
        <f aca="false">IFERROR(K2409/I2409,0)</f>
        <v>1.14424261578932</v>
      </c>
      <c r="M2409" s="49" t="n">
        <f aca="false">IFERROR(I2409/H2409,0)</f>
        <v>99.1048562911414</v>
      </c>
      <c r="N2409" s="52" t="str">
        <f aca="false">'Model Inputs &amp; Assumptions'!$L$32</f>
        <v>PRD-SP01</v>
      </c>
      <c r="P2409" s="53" t="n">
        <v>0.459049</v>
      </c>
      <c r="Q2409" s="53" t="n">
        <v>-0.317629</v>
      </c>
      <c r="R2409" s="53" t="n">
        <v>0.004461</v>
      </c>
      <c r="S2409" s="53" t="n">
        <v>-0.643016</v>
      </c>
    </row>
    <row r="2410" customFormat="false" ht="15" hidden="false" customHeight="false" outlineLevel="0" collapsed="false">
      <c r="A2410" s="43" t="n">
        <v>407</v>
      </c>
      <c r="B2410" s="44" t="str">
        <f aca="false">'Model Inputs &amp; Assumptions'!$B$32</f>
        <v>Trade Republic — In-App Display</v>
      </c>
      <c r="C2410" s="45" t="n">
        <f aca="false">ROUND(MAX(0,'Model Inputs &amp; Assumptions'!$S$32*EXP('Model Inputs &amp; Assumptions'!$T$32*P2410-'Model Inputs &amp; Assumptions'!$T$32^2/2)),0)</f>
        <v>1135197</v>
      </c>
      <c r="D2410" s="46" t="n">
        <f aca="false">MIN(1,'Model Inputs &amp; Assumptions'!$U$32*EXP('Model Inputs &amp; Assumptions'!$V$32*Q2410-'Model Inputs &amp; Assumptions'!$V$32^2/2))</f>
        <v>0</v>
      </c>
      <c r="E2410" s="45" t="n">
        <f aca="false">ROUND(C2410*D2410,0)</f>
        <v>0</v>
      </c>
      <c r="F2410" s="47" t="n">
        <f aca="false">MIN(1,'Model Inputs &amp; Assumptions'!$W$32*EXP('Model Inputs &amp; Assumptions'!$X$32*R2410-'Model Inputs &amp; Assumptions'!$X$32^2/2))</f>
        <v>0.00255089472070784</v>
      </c>
      <c r="G2410" s="45" t="n">
        <f aca="false">ROUND(C2410*F2410,0)</f>
        <v>2896</v>
      </c>
      <c r="H2410" s="48" t="n">
        <f aca="false">MAX(0,(C2410*'Model Inputs &amp; Assumptions'!$N$32+E2410*'Model Inputs &amp; Assumptions'!$O$32+G2410*'Model Inputs &amp; Assumptions'!$P$32)*EXP('Model Inputs &amp; Assumptions'!$Q$32*S2410-'Model Inputs &amp; Assumptions'!$Q$32^2/2))</f>
        <v>141.160678344135</v>
      </c>
      <c r="I2410" s="49" t="n">
        <f aca="false">IF('Model Inputs &amp; Assumptions'!$H$32="Fixed",'Model Inputs &amp; Assumptions'!$I$32*'Model Inputs &amp; Assumptions'!$K$32,IF('Model Inputs &amp; Assumptions'!$H$32="CPM",'Model Inputs &amp; Assumptions'!$I$32*'Model Inputs &amp; Assumptions'!$K$32*C2410/1000,IF('Model Inputs &amp; Assumptions'!$H$32="CPC",'Model Inputs &amp; Assumptions'!$I$32*'Model Inputs &amp; Assumptions'!$K$32*G2410,0)))</f>
        <v>13622.364</v>
      </c>
      <c r="J2410" s="50" t="n">
        <f aca="false">H2410*INDEX('Model Inputs &amp; Assumptions'!$D$40:$D$42,MATCH('Model Inputs &amp; Assumptions'!$L$32,'Model Inputs &amp; Assumptions'!$A$40:$A$42,0))*INDEX('Model Inputs &amp; Assumptions'!$H$40:$H$42,MATCH('Model Inputs &amp; Assumptions'!$L$32,'Model Inputs &amp; Assumptions'!$A$40:$A$42,0))</f>
        <v>762267.663058331</v>
      </c>
      <c r="K2410" s="49" t="n">
        <f aca="false">H2410*INDEX('Model Inputs &amp; Assumptions'!$G$40:$G$42,MATCH('Model Inputs &amp; Assumptions'!$L$32,'Model Inputs &amp; Assumptions'!$A$40:$A$42,0))*INDEX('Model Inputs &amp; Assumptions'!$H$40:$H$42,MATCH('Model Inputs &amp; Assumptions'!$L$32,'Model Inputs &amp; Assumptions'!$A$40:$A$42,0))</f>
        <v>16007.6209242249</v>
      </c>
      <c r="L2410" s="51" t="n">
        <f aca="false">IFERROR(K2410/I2410,0)</f>
        <v>1.17509860434099</v>
      </c>
      <c r="M2410" s="49" t="n">
        <f aca="false">IFERROR(I2410/H2410,0)</f>
        <v>96.5025399409747</v>
      </c>
      <c r="N2410" s="52" t="str">
        <f aca="false">'Model Inputs &amp; Assumptions'!$L$32</f>
        <v>PRD-SP01</v>
      </c>
      <c r="P2410" s="53" t="n">
        <v>-0.035051</v>
      </c>
      <c r="Q2410" s="53" t="n">
        <v>-1.391758</v>
      </c>
      <c r="R2410" s="53" t="n">
        <v>-0.904396</v>
      </c>
      <c r="S2410" s="53" t="n">
        <v>0.425378</v>
      </c>
    </row>
    <row r="2411" customFormat="false" ht="15" hidden="false" customHeight="false" outlineLevel="0" collapsed="false">
      <c r="A2411" s="43" t="n">
        <v>408</v>
      </c>
      <c r="B2411" s="44" t="str">
        <f aca="false">'Model Inputs &amp; Assumptions'!$B$32</f>
        <v>Trade Republic — In-App Display</v>
      </c>
      <c r="C2411" s="45" t="n">
        <f aca="false">ROUND(MAX(0,'Model Inputs &amp; Assumptions'!$S$32*EXP('Model Inputs &amp; Assumptions'!$T$32*P2411-'Model Inputs &amp; Assumptions'!$T$32^2/2)),0)</f>
        <v>935464</v>
      </c>
      <c r="D2411" s="46" t="n">
        <f aca="false">MIN(1,'Model Inputs &amp; Assumptions'!$U$32*EXP('Model Inputs &amp; Assumptions'!$V$32*Q2411-'Model Inputs &amp; Assumptions'!$V$32^2/2))</f>
        <v>0</v>
      </c>
      <c r="E2411" s="45" t="n">
        <f aca="false">ROUND(C2411*D2411,0)</f>
        <v>0</v>
      </c>
      <c r="F2411" s="47" t="n">
        <f aca="false">MIN(1,'Model Inputs &amp; Assumptions'!$W$32*EXP('Model Inputs &amp; Assumptions'!$X$32*R2411-'Model Inputs &amp; Assumptions'!$X$32^2/2))</f>
        <v>0.00281471487437483</v>
      </c>
      <c r="G2411" s="45" t="n">
        <f aca="false">ROUND(C2411*F2411,0)</f>
        <v>2633</v>
      </c>
      <c r="H2411" s="48" t="n">
        <f aca="false">MAX(0,(C2411*'Model Inputs &amp; Assumptions'!$N$32+E2411*'Model Inputs &amp; Assumptions'!$O$32+G2411*'Model Inputs &amp; Assumptions'!$P$32)*EXP('Model Inputs &amp; Assumptions'!$Q$32*S2411-'Model Inputs &amp; Assumptions'!$Q$32^2/2))</f>
        <v>182.989228469105</v>
      </c>
      <c r="I2411" s="49" t="n">
        <f aca="false">IF('Model Inputs &amp; Assumptions'!$H$32="Fixed",'Model Inputs &amp; Assumptions'!$I$32*'Model Inputs &amp; Assumptions'!$K$32,IF('Model Inputs &amp; Assumptions'!$H$32="CPM",'Model Inputs &amp; Assumptions'!$I$32*'Model Inputs &amp; Assumptions'!$K$32*C2411/1000,IF('Model Inputs &amp; Assumptions'!$H$32="CPC",'Model Inputs &amp; Assumptions'!$I$32*'Model Inputs &amp; Assumptions'!$K$32*G2411,0)))</f>
        <v>11225.568</v>
      </c>
      <c r="J2411" s="50" t="n">
        <f aca="false">H2411*INDEX('Model Inputs &amp; Assumptions'!$D$40:$D$42,MATCH('Model Inputs &amp; Assumptions'!$L$32,'Model Inputs &amp; Assumptions'!$A$40:$A$42,0))*INDEX('Model Inputs &amp; Assumptions'!$H$40:$H$42,MATCH('Model Inputs &amp; Assumptions'!$L$32,'Model Inputs &amp; Assumptions'!$A$40:$A$42,0))</f>
        <v>988141.833733167</v>
      </c>
      <c r="K2411" s="49" t="n">
        <f aca="false">H2411*INDEX('Model Inputs &amp; Assumptions'!$G$40:$G$42,MATCH('Model Inputs &amp; Assumptions'!$L$32,'Model Inputs &amp; Assumptions'!$A$40:$A$42,0))*INDEX('Model Inputs &amp; Assumptions'!$H$40:$H$42,MATCH('Model Inputs &amp; Assumptions'!$L$32,'Model Inputs &amp; Assumptions'!$A$40:$A$42,0))</f>
        <v>20750.9785083965</v>
      </c>
      <c r="L2411" s="51" t="n">
        <f aca="false">IFERROR(K2411/I2411,0)</f>
        <v>1.8485459718739</v>
      </c>
      <c r="M2411" s="49" t="n">
        <f aca="false">IFERROR(I2411/H2411,0)</f>
        <v>61.3455124867924</v>
      </c>
      <c r="N2411" s="52" t="str">
        <f aca="false">'Model Inputs &amp; Assumptions'!$L$32</f>
        <v>PRD-SP01</v>
      </c>
      <c r="P2411" s="53" t="n">
        <v>-0.680115</v>
      </c>
      <c r="Q2411" s="53" t="n">
        <v>-0.585431</v>
      </c>
      <c r="R2411" s="53" t="n">
        <v>-0.57634</v>
      </c>
      <c r="S2411" s="53" t="n">
        <v>1.692289</v>
      </c>
    </row>
    <row r="2412" customFormat="false" ht="15" hidden="false" customHeight="false" outlineLevel="0" collapsed="false">
      <c r="A2412" s="43" t="n">
        <v>409</v>
      </c>
      <c r="B2412" s="44" t="str">
        <f aca="false">'Model Inputs &amp; Assumptions'!$B$32</f>
        <v>Trade Republic — In-App Display</v>
      </c>
      <c r="C2412" s="45" t="n">
        <f aca="false">ROUND(MAX(0,'Model Inputs &amp; Assumptions'!$S$32*EXP('Model Inputs &amp; Assumptions'!$T$32*P2412-'Model Inputs &amp; Assumptions'!$T$32^2/2)),0)</f>
        <v>987409</v>
      </c>
      <c r="D2412" s="46" t="n">
        <f aca="false">MIN(1,'Model Inputs &amp; Assumptions'!$U$32*EXP('Model Inputs &amp; Assumptions'!$V$32*Q2412-'Model Inputs &amp; Assumptions'!$V$32^2/2))</f>
        <v>0</v>
      </c>
      <c r="E2412" s="45" t="n">
        <f aca="false">ROUND(C2412*D2412,0)</f>
        <v>0</v>
      </c>
      <c r="F2412" s="47" t="n">
        <f aca="false">MIN(1,'Model Inputs &amp; Assumptions'!$W$32*EXP('Model Inputs &amp; Assumptions'!$X$32*R2412-'Model Inputs &amp; Assumptions'!$X$32^2/2))</f>
        <v>0.00511515380571683</v>
      </c>
      <c r="G2412" s="45" t="n">
        <f aca="false">ROUND(C2412*F2412,0)</f>
        <v>5051</v>
      </c>
      <c r="H2412" s="48" t="n">
        <f aca="false">MAX(0,(C2412*'Model Inputs &amp; Assumptions'!$N$32+E2412*'Model Inputs &amp; Assumptions'!$O$32+G2412*'Model Inputs &amp; Assumptions'!$P$32)*EXP('Model Inputs &amp; Assumptions'!$Q$32*S2412-'Model Inputs &amp; Assumptions'!$Q$32^2/2))</f>
        <v>155.698843840908</v>
      </c>
      <c r="I2412" s="49" t="n">
        <f aca="false">IF('Model Inputs &amp; Assumptions'!$H$32="Fixed",'Model Inputs &amp; Assumptions'!$I$32*'Model Inputs &amp; Assumptions'!$K$32,IF('Model Inputs &amp; Assumptions'!$H$32="CPM",'Model Inputs &amp; Assumptions'!$I$32*'Model Inputs &amp; Assumptions'!$K$32*C2412/1000,IF('Model Inputs &amp; Assumptions'!$H$32="CPC",'Model Inputs &amp; Assumptions'!$I$32*'Model Inputs &amp; Assumptions'!$K$32*G2412,0)))</f>
        <v>11848.908</v>
      </c>
      <c r="J2412" s="50" t="n">
        <f aca="false">H2412*INDEX('Model Inputs &amp; Assumptions'!$D$40:$D$42,MATCH('Model Inputs &amp; Assumptions'!$L$32,'Model Inputs &amp; Assumptions'!$A$40:$A$42,0))*INDEX('Model Inputs &amp; Assumptions'!$H$40:$H$42,MATCH('Model Inputs &amp; Assumptions'!$L$32,'Model Inputs &amp; Assumptions'!$A$40:$A$42,0))</f>
        <v>840773.756740902</v>
      </c>
      <c r="K2412" s="49" t="n">
        <f aca="false">H2412*INDEX('Model Inputs &amp; Assumptions'!$G$40:$G$42,MATCH('Model Inputs &amp; Assumptions'!$L$32,'Model Inputs &amp; Assumptions'!$A$40:$A$42,0))*INDEX('Model Inputs &amp; Assumptions'!$H$40:$H$42,MATCH('Model Inputs &amp; Assumptions'!$L$32,'Model Inputs &amp; Assumptions'!$A$40:$A$42,0))</f>
        <v>17656.2488915589</v>
      </c>
      <c r="L2412" s="51" t="n">
        <f aca="false">IFERROR(K2412/I2412,0)</f>
        <v>1.49011612644464</v>
      </c>
      <c r="M2412" s="49" t="n">
        <f aca="false">IFERROR(I2412/H2412,0)</f>
        <v>76.1014514154463</v>
      </c>
      <c r="N2412" s="52" t="str">
        <f aca="false">'Model Inputs &amp; Assumptions'!$L$32</f>
        <v>PRD-SP01</v>
      </c>
      <c r="P2412" s="53" t="n">
        <v>-0.499975</v>
      </c>
      <c r="Q2412" s="53" t="n">
        <v>0.522753</v>
      </c>
      <c r="R2412" s="53" t="n">
        <v>1.414815</v>
      </c>
      <c r="S2412" s="53" t="n">
        <v>-1.211161</v>
      </c>
    </row>
    <row r="2413" customFormat="false" ht="15" hidden="false" customHeight="false" outlineLevel="0" collapsed="false">
      <c r="A2413" s="43" t="n">
        <v>410</v>
      </c>
      <c r="B2413" s="44" t="str">
        <f aca="false">'Model Inputs &amp; Assumptions'!$B$32</f>
        <v>Trade Republic — In-App Display</v>
      </c>
      <c r="C2413" s="45" t="n">
        <f aca="false">ROUND(MAX(0,'Model Inputs &amp; Assumptions'!$S$32*EXP('Model Inputs &amp; Assumptions'!$T$32*P2413-'Model Inputs &amp; Assumptions'!$T$32^2/2)),0)</f>
        <v>793427</v>
      </c>
      <c r="D2413" s="46" t="n">
        <f aca="false">MIN(1,'Model Inputs &amp; Assumptions'!$U$32*EXP('Model Inputs &amp; Assumptions'!$V$32*Q2413-'Model Inputs &amp; Assumptions'!$V$32^2/2))</f>
        <v>0</v>
      </c>
      <c r="E2413" s="45" t="n">
        <f aca="false">ROUND(C2413*D2413,0)</f>
        <v>0</v>
      </c>
      <c r="F2413" s="47" t="n">
        <f aca="false">MIN(1,'Model Inputs &amp; Assumptions'!$W$32*EXP('Model Inputs &amp; Assumptions'!$X$32*R2413-'Model Inputs &amp; Assumptions'!$X$32^2/2))</f>
        <v>0.00201960746545054</v>
      </c>
      <c r="G2413" s="45" t="n">
        <f aca="false">ROUND(C2413*F2413,0)</f>
        <v>1602</v>
      </c>
      <c r="H2413" s="48" t="n">
        <f aca="false">MAX(0,(C2413*'Model Inputs &amp; Assumptions'!$N$32+E2413*'Model Inputs &amp; Assumptions'!$O$32+G2413*'Model Inputs &amp; Assumptions'!$P$32)*EXP('Model Inputs &amp; Assumptions'!$Q$32*S2413-'Model Inputs &amp; Assumptions'!$Q$32^2/2))</f>
        <v>66.7047268959954</v>
      </c>
      <c r="I2413" s="49" t="n">
        <f aca="false">IF('Model Inputs &amp; Assumptions'!$H$32="Fixed",'Model Inputs &amp; Assumptions'!$I$32*'Model Inputs &amp; Assumptions'!$K$32,IF('Model Inputs &amp; Assumptions'!$H$32="CPM",'Model Inputs &amp; Assumptions'!$I$32*'Model Inputs &amp; Assumptions'!$K$32*C2413/1000,IF('Model Inputs &amp; Assumptions'!$H$32="CPC",'Model Inputs &amp; Assumptions'!$I$32*'Model Inputs &amp; Assumptions'!$K$32*G2413,0)))</f>
        <v>9521.124</v>
      </c>
      <c r="J2413" s="50" t="n">
        <f aca="false">H2413*INDEX('Model Inputs &amp; Assumptions'!$D$40:$D$42,MATCH('Model Inputs &amp; Assumptions'!$L$32,'Model Inputs &amp; Assumptions'!$A$40:$A$42,0))*INDEX('Model Inputs &amp; Assumptions'!$H$40:$H$42,MATCH('Model Inputs &amp; Assumptions'!$L$32,'Model Inputs &amp; Assumptions'!$A$40:$A$42,0))</f>
        <v>360205.525238375</v>
      </c>
      <c r="K2413" s="49" t="n">
        <f aca="false">H2413*INDEX('Model Inputs &amp; Assumptions'!$G$40:$G$42,MATCH('Model Inputs &amp; Assumptions'!$L$32,'Model Inputs &amp; Assumptions'!$A$40:$A$42,0))*INDEX('Model Inputs &amp; Assumptions'!$H$40:$H$42,MATCH('Model Inputs &amp; Assumptions'!$L$32,'Model Inputs &amp; Assumptions'!$A$40:$A$42,0))</f>
        <v>7564.31603000588</v>
      </c>
      <c r="L2413" s="51" t="n">
        <f aca="false">IFERROR(K2413/I2413,0)</f>
        <v>0.794477209834246</v>
      </c>
      <c r="M2413" s="49" t="n">
        <f aca="false">IFERROR(I2413/H2413,0)</f>
        <v>142.735371885191</v>
      </c>
      <c r="N2413" s="52" t="str">
        <f aca="false">'Model Inputs &amp; Assumptions'!$L$32</f>
        <v>PRD-SP01</v>
      </c>
      <c r="P2413" s="53" t="n">
        <v>-1.229051</v>
      </c>
      <c r="Q2413" s="53" t="n">
        <v>0.564548</v>
      </c>
      <c r="R2413" s="53" t="n">
        <v>-1.682866</v>
      </c>
      <c r="S2413" s="53" t="n">
        <v>-0.137284</v>
      </c>
    </row>
    <row r="2414" customFormat="false" ht="15" hidden="false" customHeight="false" outlineLevel="0" collapsed="false">
      <c r="A2414" s="43" t="n">
        <v>411</v>
      </c>
      <c r="B2414" s="44" t="str">
        <f aca="false">'Model Inputs &amp; Assumptions'!$B$32</f>
        <v>Trade Republic — In-App Display</v>
      </c>
      <c r="C2414" s="45" t="n">
        <f aca="false">ROUND(MAX(0,'Model Inputs &amp; Assumptions'!$S$32*EXP('Model Inputs &amp; Assumptions'!$T$32*P2414-'Model Inputs &amp; Assumptions'!$T$32^2/2)),0)</f>
        <v>1220495</v>
      </c>
      <c r="D2414" s="46" t="n">
        <f aca="false">MIN(1,'Model Inputs &amp; Assumptions'!$U$32*EXP('Model Inputs &amp; Assumptions'!$V$32*Q2414-'Model Inputs &amp; Assumptions'!$V$32^2/2))</f>
        <v>0</v>
      </c>
      <c r="E2414" s="45" t="n">
        <f aca="false">ROUND(C2414*D2414,0)</f>
        <v>0</v>
      </c>
      <c r="F2414" s="47" t="n">
        <f aca="false">MIN(1,'Model Inputs &amp; Assumptions'!$W$32*EXP('Model Inputs &amp; Assumptions'!$X$32*R2414-'Model Inputs &amp; Assumptions'!$X$32^2/2))</f>
        <v>0.00479079116770916</v>
      </c>
      <c r="G2414" s="45" t="n">
        <f aca="false">ROUND(C2414*F2414,0)</f>
        <v>5847</v>
      </c>
      <c r="H2414" s="48" t="n">
        <f aca="false">MAX(0,(C2414*'Model Inputs &amp; Assumptions'!$N$32+E2414*'Model Inputs &amp; Assumptions'!$O$32+G2414*'Model Inputs &amp; Assumptions'!$P$32)*EXP('Model Inputs &amp; Assumptions'!$Q$32*S2414-'Model Inputs &amp; Assumptions'!$Q$32^2/2))</f>
        <v>364.864962350041</v>
      </c>
      <c r="I2414" s="49" t="n">
        <f aca="false">IF('Model Inputs &amp; Assumptions'!$H$32="Fixed",'Model Inputs &amp; Assumptions'!$I$32*'Model Inputs &amp; Assumptions'!$K$32,IF('Model Inputs &amp; Assumptions'!$H$32="CPM",'Model Inputs &amp; Assumptions'!$I$32*'Model Inputs &amp; Assumptions'!$K$32*C2414/1000,IF('Model Inputs &amp; Assumptions'!$H$32="CPC",'Model Inputs &amp; Assumptions'!$I$32*'Model Inputs &amp; Assumptions'!$K$32*G2414,0)))</f>
        <v>14645.94</v>
      </c>
      <c r="J2414" s="50" t="n">
        <f aca="false">H2414*INDEX('Model Inputs &amp; Assumptions'!$D$40:$D$42,MATCH('Model Inputs &amp; Assumptions'!$L$32,'Model Inputs &amp; Assumptions'!$A$40:$A$42,0))*INDEX('Model Inputs &amp; Assumptions'!$H$40:$H$42,MATCH('Model Inputs &amp; Assumptions'!$L$32,'Model Inputs &amp; Assumptions'!$A$40:$A$42,0))</f>
        <v>1970270.79669022</v>
      </c>
      <c r="K2414" s="49" t="n">
        <f aca="false">H2414*INDEX('Model Inputs &amp; Assumptions'!$G$40:$G$42,MATCH('Model Inputs &amp; Assumptions'!$L$32,'Model Inputs &amp; Assumptions'!$A$40:$A$42,0))*INDEX('Model Inputs &amp; Assumptions'!$H$40:$H$42,MATCH('Model Inputs &amp; Assumptions'!$L$32,'Model Inputs &amp; Assumptions'!$A$40:$A$42,0))</f>
        <v>41375.6867304946</v>
      </c>
      <c r="L2414" s="51" t="n">
        <f aca="false">IFERROR(K2414/I2414,0)</f>
        <v>2.82506187588469</v>
      </c>
      <c r="M2414" s="49" t="n">
        <f aca="false">IFERROR(I2414/H2414,0)</f>
        <v>40.1407137195846</v>
      </c>
      <c r="N2414" s="52" t="str">
        <f aca="false">'Model Inputs &amp; Assumptions'!$L$32</f>
        <v>PRD-SP01</v>
      </c>
      <c r="P2414" s="53" t="n">
        <v>0.206451</v>
      </c>
      <c r="Q2414" s="53" t="n">
        <v>0.781847</v>
      </c>
      <c r="R2414" s="53" t="n">
        <v>1.196442</v>
      </c>
      <c r="S2414" s="53" t="n">
        <v>1.307629</v>
      </c>
    </row>
    <row r="2415" customFormat="false" ht="15" hidden="false" customHeight="false" outlineLevel="0" collapsed="false">
      <c r="A2415" s="43" t="n">
        <v>412</v>
      </c>
      <c r="B2415" s="44" t="str">
        <f aca="false">'Model Inputs &amp; Assumptions'!$B$32</f>
        <v>Trade Republic — In-App Display</v>
      </c>
      <c r="C2415" s="45" t="n">
        <f aca="false">ROUND(MAX(0,'Model Inputs &amp; Assumptions'!$S$32*EXP('Model Inputs &amp; Assumptions'!$T$32*P2415-'Model Inputs &amp; Assumptions'!$T$32^2/2)),0)</f>
        <v>845607</v>
      </c>
      <c r="D2415" s="46" t="n">
        <f aca="false">MIN(1,'Model Inputs &amp; Assumptions'!$U$32*EXP('Model Inputs &amp; Assumptions'!$V$32*Q2415-'Model Inputs &amp; Assumptions'!$V$32^2/2))</f>
        <v>0</v>
      </c>
      <c r="E2415" s="45" t="n">
        <f aca="false">ROUND(C2415*D2415,0)</f>
        <v>0</v>
      </c>
      <c r="F2415" s="47" t="n">
        <f aca="false">MIN(1,'Model Inputs &amp; Assumptions'!$W$32*EXP('Model Inputs &amp; Assumptions'!$X$32*R2415-'Model Inputs &amp; Assumptions'!$X$32^2/2))</f>
        <v>0.00510018630010458</v>
      </c>
      <c r="G2415" s="45" t="n">
        <f aca="false">ROUND(C2415*F2415,0)</f>
        <v>4313</v>
      </c>
      <c r="H2415" s="48" t="n">
        <f aca="false">MAX(0,(C2415*'Model Inputs &amp; Assumptions'!$N$32+E2415*'Model Inputs &amp; Assumptions'!$O$32+G2415*'Model Inputs &amp; Assumptions'!$P$32)*EXP('Model Inputs &amp; Assumptions'!$Q$32*S2415-'Model Inputs &amp; Assumptions'!$Q$32^2/2))</f>
        <v>158.229597574965</v>
      </c>
      <c r="I2415" s="49" t="n">
        <f aca="false">IF('Model Inputs &amp; Assumptions'!$H$32="Fixed",'Model Inputs &amp; Assumptions'!$I$32*'Model Inputs &amp; Assumptions'!$K$32,IF('Model Inputs &amp; Assumptions'!$H$32="CPM",'Model Inputs &amp; Assumptions'!$I$32*'Model Inputs &amp; Assumptions'!$K$32*C2415/1000,IF('Model Inputs &amp; Assumptions'!$H$32="CPC",'Model Inputs &amp; Assumptions'!$I$32*'Model Inputs &amp; Assumptions'!$K$32*G2415,0)))</f>
        <v>10147.284</v>
      </c>
      <c r="J2415" s="50" t="n">
        <f aca="false">H2415*INDEX('Model Inputs &amp; Assumptions'!$D$40:$D$42,MATCH('Model Inputs &amp; Assumptions'!$L$32,'Model Inputs &amp; Assumptions'!$A$40:$A$42,0))*INDEX('Model Inputs &amp; Assumptions'!$H$40:$H$42,MATCH('Model Inputs &amp; Assumptions'!$L$32,'Model Inputs &amp; Assumptions'!$A$40:$A$42,0))</f>
        <v>854439.826904811</v>
      </c>
      <c r="K2415" s="49" t="n">
        <f aca="false">H2415*INDEX('Model Inputs &amp; Assumptions'!$G$40:$G$42,MATCH('Model Inputs &amp; Assumptions'!$L$32,'Model Inputs &amp; Assumptions'!$A$40:$A$42,0))*INDEX('Model Inputs &amp; Assumptions'!$H$40:$H$42,MATCH('Model Inputs &amp; Assumptions'!$L$32,'Model Inputs &amp; Assumptions'!$A$40:$A$42,0))</f>
        <v>17943.236365001</v>
      </c>
      <c r="L2415" s="51" t="n">
        <f aca="false">IFERROR(K2415/I2415,0)</f>
        <v>1.76827970568292</v>
      </c>
      <c r="M2415" s="49" t="n">
        <f aca="false">IFERROR(I2415/H2415,0)</f>
        <v>64.1301258141194</v>
      </c>
      <c r="N2415" s="52" t="str">
        <f aca="false">'Model Inputs &amp; Assumptions'!$L$32</f>
        <v>PRD-SP01</v>
      </c>
      <c r="P2415" s="53" t="n">
        <v>-1.016741</v>
      </c>
      <c r="Q2415" s="53" t="n">
        <v>0.144658</v>
      </c>
      <c r="R2415" s="53" t="n">
        <v>1.405047</v>
      </c>
      <c r="S2415" s="53" t="n">
        <v>-0.589461</v>
      </c>
    </row>
    <row r="2416" customFormat="false" ht="15" hidden="false" customHeight="false" outlineLevel="0" collapsed="false">
      <c r="A2416" s="43" t="n">
        <v>413</v>
      </c>
      <c r="B2416" s="44" t="str">
        <f aca="false">'Model Inputs &amp; Assumptions'!$B$32</f>
        <v>Trade Republic — In-App Display</v>
      </c>
      <c r="C2416" s="45" t="n">
        <f aca="false">ROUND(MAX(0,'Model Inputs &amp; Assumptions'!$S$32*EXP('Model Inputs &amp; Assumptions'!$T$32*P2416-'Model Inputs &amp; Assumptions'!$T$32^2/2)),0)</f>
        <v>818104</v>
      </c>
      <c r="D2416" s="46" t="n">
        <f aca="false">MIN(1,'Model Inputs &amp; Assumptions'!$U$32*EXP('Model Inputs &amp; Assumptions'!$V$32*Q2416-'Model Inputs &amp; Assumptions'!$V$32^2/2))</f>
        <v>0</v>
      </c>
      <c r="E2416" s="45" t="n">
        <f aca="false">ROUND(C2416*D2416,0)</f>
        <v>0</v>
      </c>
      <c r="F2416" s="47" t="n">
        <f aca="false">MIN(1,'Model Inputs &amp; Assumptions'!$W$32*EXP('Model Inputs &amp; Assumptions'!$X$32*R2416-'Model Inputs &amp; Assumptions'!$X$32^2/2))</f>
        <v>0.00263477072940784</v>
      </c>
      <c r="G2416" s="45" t="n">
        <f aca="false">ROUND(C2416*F2416,0)</f>
        <v>2156</v>
      </c>
      <c r="H2416" s="48" t="n">
        <f aca="false">MAX(0,(C2416*'Model Inputs &amp; Assumptions'!$N$32+E2416*'Model Inputs &amp; Assumptions'!$O$32+G2416*'Model Inputs &amp; Assumptions'!$P$32)*EXP('Model Inputs &amp; Assumptions'!$Q$32*S2416-'Model Inputs &amp; Assumptions'!$Q$32^2/2))</f>
        <v>167.618865240966</v>
      </c>
      <c r="I2416" s="49" t="n">
        <f aca="false">IF('Model Inputs &amp; Assumptions'!$H$32="Fixed",'Model Inputs &amp; Assumptions'!$I$32*'Model Inputs &amp; Assumptions'!$K$32,IF('Model Inputs &amp; Assumptions'!$H$32="CPM",'Model Inputs &amp; Assumptions'!$I$32*'Model Inputs &amp; Assumptions'!$K$32*C2416/1000,IF('Model Inputs &amp; Assumptions'!$H$32="CPC",'Model Inputs &amp; Assumptions'!$I$32*'Model Inputs &amp; Assumptions'!$K$32*G2416,0)))</f>
        <v>9817.248</v>
      </c>
      <c r="J2416" s="50" t="n">
        <f aca="false">H2416*INDEX('Model Inputs &amp; Assumptions'!$D$40:$D$42,MATCH('Model Inputs &amp; Assumptions'!$L$32,'Model Inputs &amp; Assumptions'!$A$40:$A$42,0))*INDEX('Model Inputs &amp; Assumptions'!$H$40:$H$42,MATCH('Model Inputs &amp; Assumptions'!$L$32,'Model Inputs &amp; Assumptions'!$A$40:$A$42,0))</f>
        <v>905141.872301214</v>
      </c>
      <c r="K2416" s="49" t="n">
        <f aca="false">H2416*INDEX('Model Inputs &amp; Assumptions'!$G$40:$G$42,MATCH('Model Inputs &amp; Assumptions'!$L$32,'Model Inputs &amp; Assumptions'!$A$40:$A$42,0))*INDEX('Model Inputs &amp; Assumptions'!$H$40:$H$42,MATCH('Model Inputs &amp; Assumptions'!$L$32,'Model Inputs &amp; Assumptions'!$A$40:$A$42,0))</f>
        <v>19007.9793183255</v>
      </c>
      <c r="L2416" s="51" t="n">
        <f aca="false">IFERROR(K2416/I2416,0)</f>
        <v>1.93618204595886</v>
      </c>
      <c r="M2416" s="49" t="n">
        <f aca="false">IFERROR(I2416/H2416,0)</f>
        <v>58.5688728168331</v>
      </c>
      <c r="N2416" s="52" t="str">
        <f aca="false">'Model Inputs &amp; Assumptions'!$L$32</f>
        <v>PRD-SP01</v>
      </c>
      <c r="P2416" s="53" t="n">
        <v>-1.126956</v>
      </c>
      <c r="Q2416" s="53" t="n">
        <v>-0.580543</v>
      </c>
      <c r="R2416" s="53" t="n">
        <v>-0.796556</v>
      </c>
      <c r="S2416" s="53" t="n">
        <v>2.09277</v>
      </c>
    </row>
    <row r="2417" customFormat="false" ht="15" hidden="false" customHeight="false" outlineLevel="0" collapsed="false">
      <c r="A2417" s="43" t="n">
        <v>414</v>
      </c>
      <c r="B2417" s="44" t="str">
        <f aca="false">'Model Inputs &amp; Assumptions'!$B$32</f>
        <v>Trade Republic — In-App Display</v>
      </c>
      <c r="C2417" s="45" t="n">
        <f aca="false">ROUND(MAX(0,'Model Inputs &amp; Assumptions'!$S$32*EXP('Model Inputs &amp; Assumptions'!$T$32*P2417-'Model Inputs &amp; Assumptions'!$T$32^2/2)),0)</f>
        <v>1956894</v>
      </c>
      <c r="D2417" s="46" t="n">
        <f aca="false">MIN(1,'Model Inputs &amp; Assumptions'!$U$32*EXP('Model Inputs &amp; Assumptions'!$V$32*Q2417-'Model Inputs &amp; Assumptions'!$V$32^2/2))</f>
        <v>0</v>
      </c>
      <c r="E2417" s="45" t="n">
        <f aca="false">ROUND(C2417*D2417,0)</f>
        <v>0</v>
      </c>
      <c r="F2417" s="47" t="n">
        <f aca="false">MIN(1,'Model Inputs &amp; Assumptions'!$W$32*EXP('Model Inputs &amp; Assumptions'!$X$32*R2417-'Model Inputs &amp; Assumptions'!$X$32^2/2))</f>
        <v>0.00157990191894565</v>
      </c>
      <c r="G2417" s="45" t="n">
        <f aca="false">ROUND(C2417*F2417,0)</f>
        <v>3092</v>
      </c>
      <c r="H2417" s="48" t="n">
        <f aca="false">MAX(0,(C2417*'Model Inputs &amp; Assumptions'!$N$32+E2417*'Model Inputs &amp; Assumptions'!$O$32+G2417*'Model Inputs &amp; Assumptions'!$P$32)*EXP('Model Inputs &amp; Assumptions'!$Q$32*S2417-'Model Inputs &amp; Assumptions'!$Q$32^2/2))</f>
        <v>150.697702575373</v>
      </c>
      <c r="I2417" s="49" t="n">
        <f aca="false">IF('Model Inputs &amp; Assumptions'!$H$32="Fixed",'Model Inputs &amp; Assumptions'!$I$32*'Model Inputs &amp; Assumptions'!$K$32,IF('Model Inputs &amp; Assumptions'!$H$32="CPM",'Model Inputs &amp; Assumptions'!$I$32*'Model Inputs &amp; Assumptions'!$K$32*C2417/1000,IF('Model Inputs &amp; Assumptions'!$H$32="CPC",'Model Inputs &amp; Assumptions'!$I$32*'Model Inputs &amp; Assumptions'!$K$32*G2417,0)))</f>
        <v>23482.728</v>
      </c>
      <c r="J2417" s="50" t="n">
        <f aca="false">H2417*INDEX('Model Inputs &amp; Assumptions'!$D$40:$D$42,MATCH('Model Inputs &amp; Assumptions'!$L$32,'Model Inputs &amp; Assumptions'!$A$40:$A$42,0))*INDEX('Model Inputs &amp; Assumptions'!$H$40:$H$42,MATCH('Model Inputs &amp; Assumptions'!$L$32,'Model Inputs &amp; Assumptions'!$A$40:$A$42,0))</f>
        <v>813767.593907016</v>
      </c>
      <c r="K2417" s="49" t="n">
        <f aca="false">H2417*INDEX('Model Inputs &amp; Assumptions'!$G$40:$G$42,MATCH('Model Inputs &amp; Assumptions'!$L$32,'Model Inputs &amp; Assumptions'!$A$40:$A$42,0))*INDEX('Model Inputs &amp; Assumptions'!$H$40:$H$42,MATCH('Model Inputs &amp; Assumptions'!$L$32,'Model Inputs &amp; Assumptions'!$A$40:$A$42,0))</f>
        <v>17089.1194720473</v>
      </c>
      <c r="L2417" s="51" t="n">
        <f aca="false">IFERROR(K2417/I2417,0)</f>
        <v>0.727731440403659</v>
      </c>
      <c r="M2417" s="49" t="n">
        <f aca="false">IFERROR(I2417/H2417,0)</f>
        <v>155.826715329352</v>
      </c>
      <c r="N2417" s="52" t="str">
        <f aca="false">'Model Inputs &amp; Assumptions'!$L$32</f>
        <v>PRD-SP01</v>
      </c>
      <c r="P2417" s="53" t="n">
        <v>1.780124</v>
      </c>
      <c r="Q2417" s="53" t="n">
        <v>-0.893881</v>
      </c>
      <c r="R2417" s="53" t="n">
        <v>-2.501334</v>
      </c>
      <c r="S2417" s="53" t="n">
        <v>0.424983</v>
      </c>
    </row>
    <row r="2418" customFormat="false" ht="15" hidden="false" customHeight="false" outlineLevel="0" collapsed="false">
      <c r="A2418" s="43" t="n">
        <v>415</v>
      </c>
      <c r="B2418" s="44" t="str">
        <f aca="false">'Model Inputs &amp; Assumptions'!$B$32</f>
        <v>Trade Republic — In-App Display</v>
      </c>
      <c r="C2418" s="45" t="n">
        <f aca="false">ROUND(MAX(0,'Model Inputs &amp; Assumptions'!$S$32*EXP('Model Inputs &amp; Assumptions'!$T$32*P2418-'Model Inputs &amp; Assumptions'!$T$32^2/2)),0)</f>
        <v>1337974</v>
      </c>
      <c r="D2418" s="46" t="n">
        <f aca="false">MIN(1,'Model Inputs &amp; Assumptions'!$U$32*EXP('Model Inputs &amp; Assumptions'!$V$32*Q2418-'Model Inputs &amp; Assumptions'!$V$32^2/2))</f>
        <v>0</v>
      </c>
      <c r="E2418" s="45" t="n">
        <f aca="false">ROUND(C2418*D2418,0)</f>
        <v>0</v>
      </c>
      <c r="F2418" s="47" t="n">
        <f aca="false">MIN(1,'Model Inputs &amp; Assumptions'!$W$32*EXP('Model Inputs &amp; Assumptions'!$X$32*R2418-'Model Inputs &amp; Assumptions'!$X$32^2/2))</f>
        <v>0.00307736055984574</v>
      </c>
      <c r="G2418" s="45" t="n">
        <f aca="false">ROUND(C2418*F2418,0)</f>
        <v>4117</v>
      </c>
      <c r="H2418" s="48" t="n">
        <f aca="false">MAX(0,(C2418*'Model Inputs &amp; Assumptions'!$N$32+E2418*'Model Inputs &amp; Assumptions'!$O$32+G2418*'Model Inputs &amp; Assumptions'!$P$32)*EXP('Model Inputs &amp; Assumptions'!$Q$32*S2418-'Model Inputs &amp; Assumptions'!$Q$32^2/2))</f>
        <v>155.221478808488</v>
      </c>
      <c r="I2418" s="49" t="n">
        <f aca="false">IF('Model Inputs &amp; Assumptions'!$H$32="Fixed",'Model Inputs &amp; Assumptions'!$I$32*'Model Inputs &amp; Assumptions'!$K$32,IF('Model Inputs &amp; Assumptions'!$H$32="CPM",'Model Inputs &amp; Assumptions'!$I$32*'Model Inputs &amp; Assumptions'!$K$32*C2418/1000,IF('Model Inputs &amp; Assumptions'!$H$32="CPC",'Model Inputs &amp; Assumptions'!$I$32*'Model Inputs &amp; Assumptions'!$K$32*G2418,0)))</f>
        <v>16055.688</v>
      </c>
      <c r="J2418" s="50" t="n">
        <f aca="false">H2418*INDEX('Model Inputs &amp; Assumptions'!$D$40:$D$42,MATCH('Model Inputs &amp; Assumptions'!$L$32,'Model Inputs &amp; Assumptions'!$A$40:$A$42,0))*INDEX('Model Inputs &amp; Assumptions'!$H$40:$H$42,MATCH('Model Inputs &amp; Assumptions'!$L$32,'Model Inputs &amp; Assumptions'!$A$40:$A$42,0))</f>
        <v>838195.985565836</v>
      </c>
      <c r="K2418" s="49" t="n">
        <f aca="false">H2418*INDEX('Model Inputs &amp; Assumptions'!$G$40:$G$42,MATCH('Model Inputs &amp; Assumptions'!$L$32,'Model Inputs &amp; Assumptions'!$A$40:$A$42,0))*INDEX('Model Inputs &amp; Assumptions'!$H$40:$H$42,MATCH('Model Inputs &amp; Assumptions'!$L$32,'Model Inputs &amp; Assumptions'!$A$40:$A$42,0))</f>
        <v>17602.1156968826</v>
      </c>
      <c r="L2418" s="51" t="n">
        <f aca="false">IFERROR(K2418/I2418,0)</f>
        <v>1.09631650147179</v>
      </c>
      <c r="M2418" s="49" t="n">
        <f aca="false">IFERROR(I2418/H2418,0)</f>
        <v>103.437282799048</v>
      </c>
      <c r="N2418" s="52" t="str">
        <f aca="false">'Model Inputs &amp; Assumptions'!$L$32</f>
        <v>PRD-SP01</v>
      </c>
      <c r="P2418" s="53" t="n">
        <v>0.512782</v>
      </c>
      <c r="Q2418" s="53" t="n">
        <v>-0.970778</v>
      </c>
      <c r="R2418" s="53" t="n">
        <v>-0.278969</v>
      </c>
      <c r="S2418" s="53" t="n">
        <v>-0.491908</v>
      </c>
    </row>
    <row r="2419" customFormat="false" ht="15" hidden="false" customHeight="false" outlineLevel="0" collapsed="false">
      <c r="A2419" s="43" t="n">
        <v>416</v>
      </c>
      <c r="B2419" s="44" t="str">
        <f aca="false">'Model Inputs &amp; Assumptions'!$B$32</f>
        <v>Trade Republic — In-App Display</v>
      </c>
      <c r="C2419" s="45" t="n">
        <f aca="false">ROUND(MAX(0,'Model Inputs &amp; Assumptions'!$S$32*EXP('Model Inputs &amp; Assumptions'!$T$32*P2419-'Model Inputs &amp; Assumptions'!$T$32^2/2)),0)</f>
        <v>1007022</v>
      </c>
      <c r="D2419" s="46" t="n">
        <f aca="false">MIN(1,'Model Inputs &amp; Assumptions'!$U$32*EXP('Model Inputs &amp; Assumptions'!$V$32*Q2419-'Model Inputs &amp; Assumptions'!$V$32^2/2))</f>
        <v>0</v>
      </c>
      <c r="E2419" s="45" t="n">
        <f aca="false">ROUND(C2419*D2419,0)</f>
        <v>0</v>
      </c>
      <c r="F2419" s="47" t="n">
        <f aca="false">MIN(1,'Model Inputs &amp; Assumptions'!$W$32*EXP('Model Inputs &amp; Assumptions'!$X$32*R2419-'Model Inputs &amp; Assumptions'!$X$32^2/2))</f>
        <v>0.00435078882828162</v>
      </c>
      <c r="G2419" s="45" t="n">
        <f aca="false">ROUND(C2419*F2419,0)</f>
        <v>4381</v>
      </c>
      <c r="H2419" s="48" t="n">
        <f aca="false">MAX(0,(C2419*'Model Inputs &amp; Assumptions'!$N$32+E2419*'Model Inputs &amp; Assumptions'!$O$32+G2419*'Model Inputs &amp; Assumptions'!$P$32)*EXP('Model Inputs &amp; Assumptions'!$Q$32*S2419-'Model Inputs &amp; Assumptions'!$Q$32^2/2))</f>
        <v>279.641307867677</v>
      </c>
      <c r="I2419" s="49" t="n">
        <f aca="false">IF('Model Inputs &amp; Assumptions'!$H$32="Fixed",'Model Inputs &amp; Assumptions'!$I$32*'Model Inputs &amp; Assumptions'!$K$32,IF('Model Inputs &amp; Assumptions'!$H$32="CPM",'Model Inputs &amp; Assumptions'!$I$32*'Model Inputs &amp; Assumptions'!$K$32*C2419/1000,IF('Model Inputs &amp; Assumptions'!$H$32="CPC",'Model Inputs &amp; Assumptions'!$I$32*'Model Inputs &amp; Assumptions'!$K$32*G2419,0)))</f>
        <v>12084.264</v>
      </c>
      <c r="J2419" s="50" t="n">
        <f aca="false">H2419*INDEX('Model Inputs &amp; Assumptions'!$D$40:$D$42,MATCH('Model Inputs &amp; Assumptions'!$L$32,'Model Inputs &amp; Assumptions'!$A$40:$A$42,0))*INDEX('Model Inputs &amp; Assumptions'!$H$40:$H$42,MATCH('Model Inputs &amp; Assumptions'!$L$32,'Model Inputs &amp; Assumptions'!$A$40:$A$42,0))</f>
        <v>1510063.06248545</v>
      </c>
      <c r="K2419" s="49" t="n">
        <f aca="false">H2419*INDEX('Model Inputs &amp; Assumptions'!$G$40:$G$42,MATCH('Model Inputs &amp; Assumptions'!$L$32,'Model Inputs &amp; Assumptions'!$A$40:$A$42,0))*INDEX('Model Inputs &amp; Assumptions'!$H$40:$H$42,MATCH('Model Inputs &amp; Assumptions'!$L$32,'Model Inputs &amp; Assumptions'!$A$40:$A$42,0))</f>
        <v>31711.3243121945</v>
      </c>
      <c r="L2419" s="51" t="n">
        <f aca="false">IFERROR(K2419/I2419,0)</f>
        <v>2.62418334390862</v>
      </c>
      <c r="M2419" s="49" t="n">
        <f aca="false">IFERROR(I2419/H2419,0)</f>
        <v>43.2134440084873</v>
      </c>
      <c r="N2419" s="52" t="str">
        <f aca="false">'Model Inputs &amp; Assumptions'!$L$32</f>
        <v>PRD-SP01</v>
      </c>
      <c r="P2419" s="53" t="n">
        <v>-0.434414</v>
      </c>
      <c r="Q2419" s="53" t="n">
        <v>0.16896</v>
      </c>
      <c r="R2419" s="53" t="n">
        <v>0.875314</v>
      </c>
      <c r="S2419" s="53" t="n">
        <v>1.388458</v>
      </c>
    </row>
    <row r="2420" customFormat="false" ht="15" hidden="false" customHeight="false" outlineLevel="0" collapsed="false">
      <c r="A2420" s="43" t="n">
        <v>417</v>
      </c>
      <c r="B2420" s="44" t="str">
        <f aca="false">'Model Inputs &amp; Assumptions'!$B$32</f>
        <v>Trade Republic — In-App Display</v>
      </c>
      <c r="C2420" s="45" t="n">
        <f aca="false">ROUND(MAX(0,'Model Inputs &amp; Assumptions'!$S$32*EXP('Model Inputs &amp; Assumptions'!$T$32*P2420-'Model Inputs &amp; Assumptions'!$T$32^2/2)),0)</f>
        <v>658419</v>
      </c>
      <c r="D2420" s="46" t="n">
        <f aca="false">MIN(1,'Model Inputs &amp; Assumptions'!$U$32*EXP('Model Inputs &amp; Assumptions'!$V$32*Q2420-'Model Inputs &amp; Assumptions'!$V$32^2/2))</f>
        <v>0</v>
      </c>
      <c r="E2420" s="45" t="n">
        <f aca="false">ROUND(C2420*D2420,0)</f>
        <v>0</v>
      </c>
      <c r="F2420" s="47" t="n">
        <f aca="false">MIN(1,'Model Inputs &amp; Assumptions'!$W$32*EXP('Model Inputs &amp; Assumptions'!$X$32*R2420-'Model Inputs &amp; Assumptions'!$X$32^2/2))</f>
        <v>0.00334899790581503</v>
      </c>
      <c r="G2420" s="45" t="n">
        <f aca="false">ROUND(C2420*F2420,0)</f>
        <v>2205</v>
      </c>
      <c r="H2420" s="48" t="n">
        <f aca="false">MAX(0,(C2420*'Model Inputs &amp; Assumptions'!$N$32+E2420*'Model Inputs &amp; Assumptions'!$O$32+G2420*'Model Inputs &amp; Assumptions'!$P$32)*EXP('Model Inputs &amp; Assumptions'!$Q$32*S2420-'Model Inputs &amp; Assumptions'!$Q$32^2/2))</f>
        <v>91.2919194921311</v>
      </c>
      <c r="I2420" s="49" t="n">
        <f aca="false">IF('Model Inputs &amp; Assumptions'!$H$32="Fixed",'Model Inputs &amp; Assumptions'!$I$32*'Model Inputs &amp; Assumptions'!$K$32,IF('Model Inputs &amp; Assumptions'!$H$32="CPM",'Model Inputs &amp; Assumptions'!$I$32*'Model Inputs &amp; Assumptions'!$K$32*C2420/1000,IF('Model Inputs &amp; Assumptions'!$H$32="CPC",'Model Inputs &amp; Assumptions'!$I$32*'Model Inputs &amp; Assumptions'!$K$32*G2420,0)))</f>
        <v>7901.028</v>
      </c>
      <c r="J2420" s="50" t="n">
        <f aca="false">H2420*INDEX('Model Inputs &amp; Assumptions'!$D$40:$D$42,MATCH('Model Inputs &amp; Assumptions'!$L$32,'Model Inputs &amp; Assumptions'!$A$40:$A$42,0))*INDEX('Model Inputs &amp; Assumptions'!$H$40:$H$42,MATCH('Model Inputs &amp; Assumptions'!$L$32,'Model Inputs &amp; Assumptions'!$A$40:$A$42,0))</f>
        <v>492976.365257508</v>
      </c>
      <c r="K2420" s="49" t="n">
        <f aca="false">H2420*INDEX('Model Inputs &amp; Assumptions'!$G$40:$G$42,MATCH('Model Inputs &amp; Assumptions'!$L$32,'Model Inputs &amp; Assumptions'!$A$40:$A$42,0))*INDEX('Model Inputs &amp; Assumptions'!$H$40:$H$42,MATCH('Model Inputs &amp; Assumptions'!$L$32,'Model Inputs &amp; Assumptions'!$A$40:$A$42,0))</f>
        <v>10352.5036704077</v>
      </c>
      <c r="L2420" s="51" t="n">
        <f aca="false">IFERROR(K2420/I2420,0)</f>
        <v>1.31027300123575</v>
      </c>
      <c r="M2420" s="49" t="n">
        <f aca="false">IFERROR(I2420/H2420,0)</f>
        <v>86.5468493154099</v>
      </c>
      <c r="N2420" s="52" t="str">
        <f aca="false">'Model Inputs &amp; Assumptions'!$L$32</f>
        <v>PRD-SP01</v>
      </c>
      <c r="P2420" s="53" t="n">
        <v>-1.850784</v>
      </c>
      <c r="Q2420" s="53" t="n">
        <v>-1.059587</v>
      </c>
      <c r="R2420" s="53" t="n">
        <v>0.002994</v>
      </c>
      <c r="S2420" s="53" t="n">
        <v>-0.157599</v>
      </c>
    </row>
    <row r="2421" customFormat="false" ht="15" hidden="false" customHeight="false" outlineLevel="0" collapsed="false">
      <c r="A2421" s="43" t="n">
        <v>418</v>
      </c>
      <c r="B2421" s="44" t="str">
        <f aca="false">'Model Inputs &amp; Assumptions'!$B$32</f>
        <v>Trade Republic — In-App Display</v>
      </c>
      <c r="C2421" s="45" t="n">
        <f aca="false">ROUND(MAX(0,'Model Inputs &amp; Assumptions'!$S$32*EXP('Model Inputs &amp; Assumptions'!$T$32*P2421-'Model Inputs &amp; Assumptions'!$T$32^2/2)),0)</f>
        <v>931785</v>
      </c>
      <c r="D2421" s="46" t="n">
        <f aca="false">MIN(1,'Model Inputs &amp; Assumptions'!$U$32*EXP('Model Inputs &amp; Assumptions'!$V$32*Q2421-'Model Inputs &amp; Assumptions'!$V$32^2/2))</f>
        <v>0</v>
      </c>
      <c r="E2421" s="45" t="n">
        <f aca="false">ROUND(C2421*D2421,0)</f>
        <v>0</v>
      </c>
      <c r="F2421" s="47" t="n">
        <f aca="false">MIN(1,'Model Inputs &amp; Assumptions'!$W$32*EXP('Model Inputs &amp; Assumptions'!$X$32*R2421-'Model Inputs &amp; Assumptions'!$X$32^2/2))</f>
        <v>0.00327128792589229</v>
      </c>
      <c r="G2421" s="45" t="n">
        <f aca="false">ROUND(C2421*F2421,0)</f>
        <v>3048</v>
      </c>
      <c r="H2421" s="48" t="n">
        <f aca="false">MAX(0,(C2421*'Model Inputs &amp; Assumptions'!$N$32+E2421*'Model Inputs &amp; Assumptions'!$O$32+G2421*'Model Inputs &amp; Assumptions'!$P$32)*EXP('Model Inputs &amp; Assumptions'!$Q$32*S2421-'Model Inputs &amp; Assumptions'!$Q$32^2/2))</f>
        <v>96.9587400395259</v>
      </c>
      <c r="I2421" s="49" t="n">
        <f aca="false">IF('Model Inputs &amp; Assumptions'!$H$32="Fixed",'Model Inputs &amp; Assumptions'!$I$32*'Model Inputs &amp; Assumptions'!$K$32,IF('Model Inputs &amp; Assumptions'!$H$32="CPM",'Model Inputs &amp; Assumptions'!$I$32*'Model Inputs &amp; Assumptions'!$K$32*C2421/1000,IF('Model Inputs &amp; Assumptions'!$H$32="CPC",'Model Inputs &amp; Assumptions'!$I$32*'Model Inputs &amp; Assumptions'!$K$32*G2421,0)))</f>
        <v>11181.42</v>
      </c>
      <c r="J2421" s="50" t="n">
        <f aca="false">H2421*INDEX('Model Inputs &amp; Assumptions'!$D$40:$D$42,MATCH('Model Inputs &amp; Assumptions'!$L$32,'Model Inputs &amp; Assumptions'!$A$40:$A$42,0))*INDEX('Model Inputs &amp; Assumptions'!$H$40:$H$42,MATCH('Model Inputs &amp; Assumptions'!$L$32,'Model Inputs &amp; Assumptions'!$A$40:$A$42,0))</f>
        <v>523577.19621344</v>
      </c>
      <c r="K2421" s="49" t="n">
        <f aca="false">H2421*INDEX('Model Inputs &amp; Assumptions'!$G$40:$G$42,MATCH('Model Inputs &amp; Assumptions'!$L$32,'Model Inputs &amp; Assumptions'!$A$40:$A$42,0))*INDEX('Model Inputs &amp; Assumptions'!$H$40:$H$42,MATCH('Model Inputs &amp; Assumptions'!$L$32,'Model Inputs &amp; Assumptions'!$A$40:$A$42,0))</f>
        <v>10995.1211204822</v>
      </c>
      <c r="L2421" s="51" t="n">
        <f aca="false">IFERROR(K2421/I2421,0)</f>
        <v>0.983338531285135</v>
      </c>
      <c r="M2421" s="49" t="n">
        <f aca="false">IFERROR(I2421/H2421,0)</f>
        <v>115.321424303181</v>
      </c>
      <c r="N2421" s="52" t="str">
        <f aca="false">'Model Inputs &amp; Assumptions'!$L$32</f>
        <v>PRD-SP01</v>
      </c>
      <c r="P2421" s="53" t="n">
        <v>-0.69325</v>
      </c>
      <c r="Q2421" s="53" t="n">
        <v>0.649473</v>
      </c>
      <c r="R2421" s="53" t="n">
        <v>-0.075264</v>
      </c>
      <c r="S2421" s="53" t="n">
        <v>-1.098795</v>
      </c>
    </row>
    <row r="2422" customFormat="false" ht="15" hidden="false" customHeight="false" outlineLevel="0" collapsed="false">
      <c r="A2422" s="43" t="n">
        <v>419</v>
      </c>
      <c r="B2422" s="44" t="str">
        <f aca="false">'Model Inputs &amp; Assumptions'!$B$32</f>
        <v>Trade Republic — In-App Display</v>
      </c>
      <c r="C2422" s="45" t="n">
        <f aca="false">ROUND(MAX(0,'Model Inputs &amp; Assumptions'!$S$32*EXP('Model Inputs &amp; Assumptions'!$T$32*P2422-'Model Inputs &amp; Assumptions'!$T$32^2/2)),0)</f>
        <v>751887</v>
      </c>
      <c r="D2422" s="46" t="n">
        <f aca="false">MIN(1,'Model Inputs &amp; Assumptions'!$U$32*EXP('Model Inputs &amp; Assumptions'!$V$32*Q2422-'Model Inputs &amp; Assumptions'!$V$32^2/2))</f>
        <v>0</v>
      </c>
      <c r="E2422" s="45" t="n">
        <f aca="false">ROUND(C2422*D2422,0)</f>
        <v>0</v>
      </c>
      <c r="F2422" s="47" t="n">
        <f aca="false">MIN(1,'Model Inputs &amp; Assumptions'!$W$32*EXP('Model Inputs &amp; Assumptions'!$X$32*R2422-'Model Inputs &amp; Assumptions'!$X$32^2/2))</f>
        <v>0.00461481356026071</v>
      </c>
      <c r="G2422" s="45" t="n">
        <f aca="false">ROUND(C2422*F2422,0)</f>
        <v>3470</v>
      </c>
      <c r="H2422" s="48" t="n">
        <f aca="false">MAX(0,(C2422*'Model Inputs &amp; Assumptions'!$N$32+E2422*'Model Inputs &amp; Assumptions'!$O$32+G2422*'Model Inputs &amp; Assumptions'!$P$32)*EXP('Model Inputs &amp; Assumptions'!$Q$32*S2422-'Model Inputs &amp; Assumptions'!$Q$32^2/2))</f>
        <v>134.319203613682</v>
      </c>
      <c r="I2422" s="49" t="n">
        <f aca="false">IF('Model Inputs &amp; Assumptions'!$H$32="Fixed",'Model Inputs &amp; Assumptions'!$I$32*'Model Inputs &amp; Assumptions'!$K$32,IF('Model Inputs &amp; Assumptions'!$H$32="CPM",'Model Inputs &amp; Assumptions'!$I$32*'Model Inputs &amp; Assumptions'!$K$32*C2422/1000,IF('Model Inputs &amp; Assumptions'!$H$32="CPC",'Model Inputs &amp; Assumptions'!$I$32*'Model Inputs &amp; Assumptions'!$K$32*G2422,0)))</f>
        <v>9022.644</v>
      </c>
      <c r="J2422" s="50" t="n">
        <f aca="false">H2422*INDEX('Model Inputs &amp; Assumptions'!$D$40:$D$42,MATCH('Model Inputs &amp; Assumptions'!$L$32,'Model Inputs &amp; Assumptions'!$A$40:$A$42,0))*INDEX('Model Inputs &amp; Assumptions'!$H$40:$H$42,MATCH('Model Inputs &amp; Assumptions'!$L$32,'Model Inputs &amp; Assumptions'!$A$40:$A$42,0))</f>
        <v>725323.69951388</v>
      </c>
      <c r="K2422" s="49" t="n">
        <f aca="false">H2422*INDEX('Model Inputs &amp; Assumptions'!$G$40:$G$42,MATCH('Model Inputs &amp; Assumptions'!$L$32,'Model Inputs &amp; Assumptions'!$A$40:$A$42,0))*INDEX('Model Inputs &amp; Assumptions'!$H$40:$H$42,MATCH('Model Inputs &amp; Assumptions'!$L$32,'Model Inputs &amp; Assumptions'!$A$40:$A$42,0))</f>
        <v>15231.7976897915</v>
      </c>
      <c r="L2422" s="51" t="n">
        <f aca="false">IFERROR(K2422/I2422,0)</f>
        <v>1.68817451844398</v>
      </c>
      <c r="M2422" s="49" t="n">
        <f aca="false">IFERROR(I2422/H2422,0)</f>
        <v>67.173149909005</v>
      </c>
      <c r="N2422" s="52" t="str">
        <f aca="false">'Model Inputs &amp; Assumptions'!$L$32</f>
        <v>PRD-SP01</v>
      </c>
      <c r="P2422" s="53" t="n">
        <v>-1.408303</v>
      </c>
      <c r="Q2422" s="53" t="n">
        <v>1.147309</v>
      </c>
      <c r="R2422" s="53" t="n">
        <v>1.071695</v>
      </c>
      <c r="S2422" s="53" t="n">
        <v>-0.39785</v>
      </c>
    </row>
    <row r="2423" customFormat="false" ht="15" hidden="false" customHeight="false" outlineLevel="0" collapsed="false">
      <c r="A2423" s="43" t="n">
        <v>420</v>
      </c>
      <c r="B2423" s="44" t="str">
        <f aca="false">'Model Inputs &amp; Assumptions'!$B$32</f>
        <v>Trade Republic — In-App Display</v>
      </c>
      <c r="C2423" s="45" t="n">
        <f aca="false">ROUND(MAX(0,'Model Inputs &amp; Assumptions'!$S$32*EXP('Model Inputs &amp; Assumptions'!$T$32*P2423-'Model Inputs &amp; Assumptions'!$T$32^2/2)),0)</f>
        <v>793607</v>
      </c>
      <c r="D2423" s="46" t="n">
        <f aca="false">MIN(1,'Model Inputs &amp; Assumptions'!$U$32*EXP('Model Inputs &amp; Assumptions'!$V$32*Q2423-'Model Inputs &amp; Assumptions'!$V$32^2/2))</f>
        <v>0</v>
      </c>
      <c r="E2423" s="45" t="n">
        <f aca="false">ROUND(C2423*D2423,0)</f>
        <v>0</v>
      </c>
      <c r="F2423" s="47" t="n">
        <f aca="false">MIN(1,'Model Inputs &amp; Assumptions'!$W$32*EXP('Model Inputs &amp; Assumptions'!$X$32*R2423-'Model Inputs &amp; Assumptions'!$X$32^2/2))</f>
        <v>0.00477874504189119</v>
      </c>
      <c r="G2423" s="45" t="n">
        <f aca="false">ROUND(C2423*F2423,0)</f>
        <v>3792</v>
      </c>
      <c r="H2423" s="48" t="n">
        <f aca="false">MAX(0,(C2423*'Model Inputs &amp; Assumptions'!$N$32+E2423*'Model Inputs &amp; Assumptions'!$O$32+G2423*'Model Inputs &amp; Assumptions'!$P$32)*EXP('Model Inputs &amp; Assumptions'!$Q$32*S2423-'Model Inputs &amp; Assumptions'!$Q$32^2/2))</f>
        <v>134.620791511458</v>
      </c>
      <c r="I2423" s="49" t="n">
        <f aca="false">IF('Model Inputs &amp; Assumptions'!$H$32="Fixed",'Model Inputs &amp; Assumptions'!$I$32*'Model Inputs &amp; Assumptions'!$K$32,IF('Model Inputs &amp; Assumptions'!$H$32="CPM",'Model Inputs &amp; Assumptions'!$I$32*'Model Inputs &amp; Assumptions'!$K$32*C2423/1000,IF('Model Inputs &amp; Assumptions'!$H$32="CPC",'Model Inputs &amp; Assumptions'!$I$32*'Model Inputs &amp; Assumptions'!$K$32*G2423,0)))</f>
        <v>9523.284</v>
      </c>
      <c r="J2423" s="50" t="n">
        <f aca="false">H2423*INDEX('Model Inputs &amp; Assumptions'!$D$40:$D$42,MATCH('Model Inputs &amp; Assumptions'!$L$32,'Model Inputs &amp; Assumptions'!$A$40:$A$42,0))*INDEX('Model Inputs &amp; Assumptions'!$H$40:$H$42,MATCH('Model Inputs &amp; Assumptions'!$L$32,'Model Inputs &amp; Assumptions'!$A$40:$A$42,0))</f>
        <v>726952.274161871</v>
      </c>
      <c r="K2423" s="49" t="n">
        <f aca="false">H2423*INDEX('Model Inputs &amp; Assumptions'!$G$40:$G$42,MATCH('Model Inputs &amp; Assumptions'!$L$32,'Model Inputs &amp; Assumptions'!$A$40:$A$42,0))*INDEX('Model Inputs &amp; Assumptions'!$H$40:$H$42,MATCH('Model Inputs &amp; Assumptions'!$L$32,'Model Inputs &amp; Assumptions'!$A$40:$A$42,0))</f>
        <v>15265.9977573993</v>
      </c>
      <c r="L2423" s="51" t="n">
        <f aca="false">IFERROR(K2423/I2423,0)</f>
        <v>1.60301821907225</v>
      </c>
      <c r="M2423" s="49" t="n">
        <f aca="false">IFERROR(I2423/H2423,0)</f>
        <v>70.7415540577138</v>
      </c>
      <c r="N2423" s="52" t="str">
        <f aca="false">'Model Inputs &amp; Assumptions'!$L$32</f>
        <v>PRD-SP01</v>
      </c>
      <c r="P2423" s="53" t="n">
        <v>-1.228295</v>
      </c>
      <c r="Q2423" s="53" t="n">
        <v>-0.5096</v>
      </c>
      <c r="R2423" s="53" t="n">
        <v>1.18805</v>
      </c>
      <c r="S2423" s="53" t="n">
        <v>-0.706765</v>
      </c>
    </row>
    <row r="2424" customFormat="false" ht="15" hidden="false" customHeight="false" outlineLevel="0" collapsed="false">
      <c r="A2424" s="43" t="n">
        <v>421</v>
      </c>
      <c r="B2424" s="44" t="str">
        <f aca="false">'Model Inputs &amp; Assumptions'!$B$32</f>
        <v>Trade Republic — In-App Display</v>
      </c>
      <c r="C2424" s="45" t="n">
        <f aca="false">ROUND(MAX(0,'Model Inputs &amp; Assumptions'!$S$32*EXP('Model Inputs &amp; Assumptions'!$T$32*P2424-'Model Inputs &amp; Assumptions'!$T$32^2/2)),0)</f>
        <v>1301528</v>
      </c>
      <c r="D2424" s="46" t="n">
        <f aca="false">MIN(1,'Model Inputs &amp; Assumptions'!$U$32*EXP('Model Inputs &amp; Assumptions'!$V$32*Q2424-'Model Inputs &amp; Assumptions'!$V$32^2/2))</f>
        <v>0</v>
      </c>
      <c r="E2424" s="45" t="n">
        <f aca="false">ROUND(C2424*D2424,0)</f>
        <v>0</v>
      </c>
      <c r="F2424" s="47" t="n">
        <f aca="false">MIN(1,'Model Inputs &amp; Assumptions'!$W$32*EXP('Model Inputs &amp; Assumptions'!$X$32*R2424-'Model Inputs &amp; Assumptions'!$X$32^2/2))</f>
        <v>0.00379912686702556</v>
      </c>
      <c r="G2424" s="45" t="n">
        <f aca="false">ROUND(C2424*F2424,0)</f>
        <v>4945</v>
      </c>
      <c r="H2424" s="48" t="n">
        <f aca="false">MAX(0,(C2424*'Model Inputs &amp; Assumptions'!$N$32+E2424*'Model Inputs &amp; Assumptions'!$O$32+G2424*'Model Inputs &amp; Assumptions'!$P$32)*EXP('Model Inputs &amp; Assumptions'!$Q$32*S2424-'Model Inputs &amp; Assumptions'!$Q$32^2/2))</f>
        <v>119.796977383937</v>
      </c>
      <c r="I2424" s="49" t="n">
        <f aca="false">IF('Model Inputs &amp; Assumptions'!$H$32="Fixed",'Model Inputs &amp; Assumptions'!$I$32*'Model Inputs &amp; Assumptions'!$K$32,IF('Model Inputs &amp; Assumptions'!$H$32="CPM",'Model Inputs &amp; Assumptions'!$I$32*'Model Inputs &amp; Assumptions'!$K$32*C2424/1000,IF('Model Inputs &amp; Assumptions'!$H$32="CPC",'Model Inputs &amp; Assumptions'!$I$32*'Model Inputs &amp; Assumptions'!$K$32*G2424,0)))</f>
        <v>15618.336</v>
      </c>
      <c r="J2424" s="50" t="n">
        <f aca="false">H2424*INDEX('Model Inputs &amp; Assumptions'!$D$40:$D$42,MATCH('Model Inputs &amp; Assumptions'!$L$32,'Model Inputs &amp; Assumptions'!$A$40:$A$42,0))*INDEX('Model Inputs &amp; Assumptions'!$H$40:$H$42,MATCH('Model Inputs &amp; Assumptions'!$L$32,'Model Inputs &amp; Assumptions'!$A$40:$A$42,0))</f>
        <v>646903.677873257</v>
      </c>
      <c r="K2424" s="49" t="n">
        <f aca="false">H2424*INDEX('Model Inputs &amp; Assumptions'!$G$40:$G$42,MATCH('Model Inputs &amp; Assumptions'!$L$32,'Model Inputs &amp; Assumptions'!$A$40:$A$42,0))*INDEX('Model Inputs &amp; Assumptions'!$H$40:$H$42,MATCH('Model Inputs &amp; Assumptions'!$L$32,'Model Inputs &amp; Assumptions'!$A$40:$A$42,0))</f>
        <v>13584.9772353384</v>
      </c>
      <c r="L2424" s="51" t="n">
        <f aca="false">IFERROR(K2424/I2424,0)</f>
        <v>0.869809513339859</v>
      </c>
      <c r="M2424" s="49" t="n">
        <f aca="false">IFERROR(I2424/H2424,0)</f>
        <v>130.373372860192</v>
      </c>
      <c r="N2424" s="52" t="str">
        <f aca="false">'Model Inputs &amp; Assumptions'!$L$32</f>
        <v>PRD-SP01</v>
      </c>
      <c r="P2424" s="53" t="n">
        <v>0.420724</v>
      </c>
      <c r="Q2424" s="53" t="n">
        <v>1.077757</v>
      </c>
      <c r="R2424" s="53" t="n">
        <v>0.423361</v>
      </c>
      <c r="S2424" s="53" t="n">
        <v>-2.071575</v>
      </c>
    </row>
    <row r="2425" customFormat="false" ht="15" hidden="false" customHeight="false" outlineLevel="0" collapsed="false">
      <c r="A2425" s="43" t="n">
        <v>422</v>
      </c>
      <c r="B2425" s="44" t="str">
        <f aca="false">'Model Inputs &amp; Assumptions'!$B$32</f>
        <v>Trade Republic — In-App Display</v>
      </c>
      <c r="C2425" s="45" t="n">
        <f aca="false">ROUND(MAX(0,'Model Inputs &amp; Assumptions'!$S$32*EXP('Model Inputs &amp; Assumptions'!$T$32*P2425-'Model Inputs &amp; Assumptions'!$T$32^2/2)),0)</f>
        <v>2081811</v>
      </c>
      <c r="D2425" s="46" t="n">
        <f aca="false">MIN(1,'Model Inputs &amp; Assumptions'!$U$32*EXP('Model Inputs &amp; Assumptions'!$V$32*Q2425-'Model Inputs &amp; Assumptions'!$V$32^2/2))</f>
        <v>0</v>
      </c>
      <c r="E2425" s="45" t="n">
        <f aca="false">ROUND(C2425*D2425,0)</f>
        <v>0</v>
      </c>
      <c r="F2425" s="47" t="n">
        <f aca="false">MIN(1,'Model Inputs &amp; Assumptions'!$W$32*EXP('Model Inputs &amp; Assumptions'!$X$32*R2425-'Model Inputs &amp; Assumptions'!$X$32^2/2))</f>
        <v>0.00415317984476952</v>
      </c>
      <c r="G2425" s="45" t="n">
        <f aca="false">ROUND(C2425*F2425,0)</f>
        <v>8646</v>
      </c>
      <c r="H2425" s="48" t="n">
        <f aca="false">MAX(0,(C2425*'Model Inputs &amp; Assumptions'!$N$32+E2425*'Model Inputs &amp; Assumptions'!$O$32+G2425*'Model Inputs &amp; Assumptions'!$P$32)*EXP('Model Inputs &amp; Assumptions'!$Q$32*S2425-'Model Inputs &amp; Assumptions'!$Q$32^2/2))</f>
        <v>461.069225738907</v>
      </c>
      <c r="I2425" s="49" t="n">
        <f aca="false">IF('Model Inputs &amp; Assumptions'!$H$32="Fixed",'Model Inputs &amp; Assumptions'!$I$32*'Model Inputs &amp; Assumptions'!$K$32,IF('Model Inputs &amp; Assumptions'!$H$32="CPM",'Model Inputs &amp; Assumptions'!$I$32*'Model Inputs &amp; Assumptions'!$K$32*C2425/1000,IF('Model Inputs &amp; Assumptions'!$H$32="CPC",'Model Inputs &amp; Assumptions'!$I$32*'Model Inputs &amp; Assumptions'!$K$32*G2425,0)))</f>
        <v>24981.732</v>
      </c>
      <c r="J2425" s="50" t="n">
        <f aca="false">H2425*INDEX('Model Inputs &amp; Assumptions'!$D$40:$D$42,MATCH('Model Inputs &amp; Assumptions'!$L$32,'Model Inputs &amp; Assumptions'!$A$40:$A$42,0))*INDEX('Model Inputs &amp; Assumptions'!$H$40:$H$42,MATCH('Model Inputs &amp; Assumptions'!$L$32,'Model Inputs &amp; Assumptions'!$A$40:$A$42,0))</f>
        <v>2489773.8189901</v>
      </c>
      <c r="K2425" s="49" t="n">
        <f aca="false">H2425*INDEX('Model Inputs &amp; Assumptions'!$G$40:$G$42,MATCH('Model Inputs &amp; Assumptions'!$L$32,'Model Inputs &amp; Assumptions'!$A$40:$A$42,0))*INDEX('Model Inputs &amp; Assumptions'!$H$40:$H$42,MATCH('Model Inputs &amp; Assumptions'!$L$32,'Model Inputs &amp; Assumptions'!$A$40:$A$42,0))</f>
        <v>52285.2501987921</v>
      </c>
      <c r="L2425" s="51" t="n">
        <f aca="false">IFERROR(K2425/I2425,0)</f>
        <v>2.09293936060126</v>
      </c>
      <c r="M2425" s="49" t="n">
        <f aca="false">IFERROR(I2425/H2425,0)</f>
        <v>54.1821717985285</v>
      </c>
      <c r="N2425" s="52" t="str">
        <f aca="false">'Model Inputs &amp; Assumptions'!$L$32</f>
        <v>PRD-SP01</v>
      </c>
      <c r="P2425" s="53" t="n">
        <v>1.986388</v>
      </c>
      <c r="Q2425" s="53" t="n">
        <v>-0.266673</v>
      </c>
      <c r="R2425" s="53" t="n">
        <v>0.720371</v>
      </c>
      <c r="S2425" s="53" t="n">
        <v>0.746389</v>
      </c>
    </row>
    <row r="2426" customFormat="false" ht="15" hidden="false" customHeight="false" outlineLevel="0" collapsed="false">
      <c r="A2426" s="43" t="n">
        <v>423</v>
      </c>
      <c r="B2426" s="44" t="str">
        <f aca="false">'Model Inputs &amp; Assumptions'!$B$32</f>
        <v>Trade Republic — In-App Display</v>
      </c>
      <c r="C2426" s="45" t="n">
        <f aca="false">ROUND(MAX(0,'Model Inputs &amp; Assumptions'!$S$32*EXP('Model Inputs &amp; Assumptions'!$T$32*P2426-'Model Inputs &amp; Assumptions'!$T$32^2/2)),0)</f>
        <v>530883</v>
      </c>
      <c r="D2426" s="46" t="n">
        <f aca="false">MIN(1,'Model Inputs &amp; Assumptions'!$U$32*EXP('Model Inputs &amp; Assumptions'!$V$32*Q2426-'Model Inputs &amp; Assumptions'!$V$32^2/2))</f>
        <v>0</v>
      </c>
      <c r="E2426" s="45" t="n">
        <f aca="false">ROUND(C2426*D2426,0)</f>
        <v>0</v>
      </c>
      <c r="F2426" s="47" t="n">
        <f aca="false">MIN(1,'Model Inputs &amp; Assumptions'!$W$32*EXP('Model Inputs &amp; Assumptions'!$X$32*R2426-'Model Inputs &amp; Assumptions'!$X$32^2/2))</f>
        <v>0.00389775547603407</v>
      </c>
      <c r="G2426" s="45" t="n">
        <f aca="false">ROUND(C2426*F2426,0)</f>
        <v>2069</v>
      </c>
      <c r="H2426" s="48" t="n">
        <f aca="false">MAX(0,(C2426*'Model Inputs &amp; Assumptions'!$N$32+E2426*'Model Inputs &amp; Assumptions'!$O$32+G2426*'Model Inputs &amp; Assumptions'!$P$32)*EXP('Model Inputs &amp; Assumptions'!$Q$32*S2426-'Model Inputs &amp; Assumptions'!$Q$32^2/2))</f>
        <v>84.5567349453679</v>
      </c>
      <c r="I2426" s="49" t="n">
        <f aca="false">IF('Model Inputs &amp; Assumptions'!$H$32="Fixed",'Model Inputs &amp; Assumptions'!$I$32*'Model Inputs &amp; Assumptions'!$K$32,IF('Model Inputs &amp; Assumptions'!$H$32="CPM",'Model Inputs &amp; Assumptions'!$I$32*'Model Inputs &amp; Assumptions'!$K$32*C2426/1000,IF('Model Inputs &amp; Assumptions'!$H$32="CPC",'Model Inputs &amp; Assumptions'!$I$32*'Model Inputs &amp; Assumptions'!$K$32*G2426,0)))</f>
        <v>6370.596</v>
      </c>
      <c r="J2426" s="50" t="n">
        <f aca="false">H2426*INDEX('Model Inputs &amp; Assumptions'!$D$40:$D$42,MATCH('Model Inputs &amp; Assumptions'!$L$32,'Model Inputs &amp; Assumptions'!$A$40:$A$42,0))*INDEX('Model Inputs &amp; Assumptions'!$H$40:$H$42,MATCH('Model Inputs &amp; Assumptions'!$L$32,'Model Inputs &amp; Assumptions'!$A$40:$A$42,0))</f>
        <v>456606.368704986</v>
      </c>
      <c r="K2426" s="49" t="n">
        <f aca="false">H2426*INDEX('Model Inputs &amp; Assumptions'!$G$40:$G$42,MATCH('Model Inputs &amp; Assumptions'!$L$32,'Model Inputs &amp; Assumptions'!$A$40:$A$42,0))*INDEX('Model Inputs &amp; Assumptions'!$H$40:$H$42,MATCH('Model Inputs &amp; Assumptions'!$L$32,'Model Inputs &amp; Assumptions'!$A$40:$A$42,0))</f>
        <v>9588.73374280471</v>
      </c>
      <c r="L2426" s="51" t="n">
        <f aca="false">IFERROR(K2426/I2426,0)</f>
        <v>1.50515489332626</v>
      </c>
      <c r="M2426" s="49" t="n">
        <f aca="false">IFERROR(I2426/H2426,0)</f>
        <v>75.3410831687866</v>
      </c>
      <c r="N2426" s="52" t="str">
        <f aca="false">'Model Inputs &amp; Assumptions'!$L$32</f>
        <v>PRD-SP01</v>
      </c>
      <c r="P2426" s="53" t="n">
        <v>-2.568448</v>
      </c>
      <c r="Q2426" s="53" t="n">
        <v>2.51519</v>
      </c>
      <c r="R2426" s="53" t="n">
        <v>0.508793</v>
      </c>
      <c r="S2426" s="53" t="n">
        <v>-0.203947</v>
      </c>
    </row>
    <row r="2427" customFormat="false" ht="15" hidden="false" customHeight="false" outlineLevel="0" collapsed="false">
      <c r="A2427" s="43" t="n">
        <v>424</v>
      </c>
      <c r="B2427" s="44" t="str">
        <f aca="false">'Model Inputs &amp; Assumptions'!$B$32</f>
        <v>Trade Republic — In-App Display</v>
      </c>
      <c r="C2427" s="45" t="n">
        <f aca="false">ROUND(MAX(0,'Model Inputs &amp; Assumptions'!$S$32*EXP('Model Inputs &amp; Assumptions'!$T$32*P2427-'Model Inputs &amp; Assumptions'!$T$32^2/2)),0)</f>
        <v>1559157</v>
      </c>
      <c r="D2427" s="46" t="n">
        <f aca="false">MIN(1,'Model Inputs &amp; Assumptions'!$U$32*EXP('Model Inputs &amp; Assumptions'!$V$32*Q2427-'Model Inputs &amp; Assumptions'!$V$32^2/2))</f>
        <v>0</v>
      </c>
      <c r="E2427" s="45" t="n">
        <f aca="false">ROUND(C2427*D2427,0)</f>
        <v>0</v>
      </c>
      <c r="F2427" s="47" t="n">
        <f aca="false">MIN(1,'Model Inputs &amp; Assumptions'!$W$32*EXP('Model Inputs &amp; Assumptions'!$X$32*R2427-'Model Inputs &amp; Assumptions'!$X$32^2/2))</f>
        <v>0.00197059212468848</v>
      </c>
      <c r="G2427" s="45" t="n">
        <f aca="false">ROUND(C2427*F2427,0)</f>
        <v>3072</v>
      </c>
      <c r="H2427" s="48" t="n">
        <f aca="false">MAX(0,(C2427*'Model Inputs &amp; Assumptions'!$N$32+E2427*'Model Inputs &amp; Assumptions'!$O$32+G2427*'Model Inputs &amp; Assumptions'!$P$32)*EXP('Model Inputs &amp; Assumptions'!$Q$32*S2427-'Model Inputs &amp; Assumptions'!$Q$32^2/2))</f>
        <v>120.585782190128</v>
      </c>
      <c r="I2427" s="49" t="n">
        <f aca="false">IF('Model Inputs &amp; Assumptions'!$H$32="Fixed",'Model Inputs &amp; Assumptions'!$I$32*'Model Inputs &amp; Assumptions'!$K$32,IF('Model Inputs &amp; Assumptions'!$H$32="CPM",'Model Inputs &amp; Assumptions'!$I$32*'Model Inputs &amp; Assumptions'!$K$32*C2427/1000,IF('Model Inputs &amp; Assumptions'!$H$32="CPC",'Model Inputs &amp; Assumptions'!$I$32*'Model Inputs &amp; Assumptions'!$K$32*G2427,0)))</f>
        <v>18709.884</v>
      </c>
      <c r="J2427" s="50" t="n">
        <f aca="false">H2427*INDEX('Model Inputs &amp; Assumptions'!$D$40:$D$42,MATCH('Model Inputs &amp; Assumptions'!$L$32,'Model Inputs &amp; Assumptions'!$A$40:$A$42,0))*INDEX('Model Inputs &amp; Assumptions'!$H$40:$H$42,MATCH('Model Inputs &amp; Assumptions'!$L$32,'Model Inputs &amp; Assumptions'!$A$40:$A$42,0))</f>
        <v>651163.22382669</v>
      </c>
      <c r="K2427" s="49" t="n">
        <f aca="false">H2427*INDEX('Model Inputs &amp; Assumptions'!$G$40:$G$42,MATCH('Model Inputs &amp; Assumptions'!$L$32,'Model Inputs &amp; Assumptions'!$A$40:$A$42,0))*INDEX('Model Inputs &amp; Assumptions'!$H$40:$H$42,MATCH('Model Inputs &amp; Assumptions'!$L$32,'Model Inputs &amp; Assumptions'!$A$40:$A$42,0))</f>
        <v>13674.4277003605</v>
      </c>
      <c r="L2427" s="51" t="n">
        <f aca="false">IFERROR(K2427/I2427,0)</f>
        <v>0.730866514210376</v>
      </c>
      <c r="M2427" s="49" t="n">
        <f aca="false">IFERROR(I2427/H2427,0)</f>
        <v>155.158291965964</v>
      </c>
      <c r="N2427" s="52" t="str">
        <f aca="false">'Model Inputs &amp; Assumptions'!$L$32</f>
        <v>PRD-SP01</v>
      </c>
      <c r="P2427" s="53" t="n">
        <v>1.022745</v>
      </c>
      <c r="Q2427" s="53" t="n">
        <v>0.372726</v>
      </c>
      <c r="R2427" s="53" t="n">
        <v>-1.764763</v>
      </c>
      <c r="S2427" s="53" t="n">
        <v>-0.347964</v>
      </c>
    </row>
    <row r="2428" customFormat="false" ht="15" hidden="false" customHeight="false" outlineLevel="0" collapsed="false">
      <c r="A2428" s="43" t="n">
        <v>425</v>
      </c>
      <c r="B2428" s="44" t="str">
        <f aca="false">'Model Inputs &amp; Assumptions'!$B$32</f>
        <v>Trade Republic — In-App Display</v>
      </c>
      <c r="C2428" s="45" t="n">
        <f aca="false">ROUND(MAX(0,'Model Inputs &amp; Assumptions'!$S$32*EXP('Model Inputs &amp; Assumptions'!$T$32*P2428-'Model Inputs &amp; Assumptions'!$T$32^2/2)),0)</f>
        <v>1787395</v>
      </c>
      <c r="D2428" s="46" t="n">
        <f aca="false">MIN(1,'Model Inputs &amp; Assumptions'!$U$32*EXP('Model Inputs &amp; Assumptions'!$V$32*Q2428-'Model Inputs &amp; Assumptions'!$V$32^2/2))</f>
        <v>0</v>
      </c>
      <c r="E2428" s="45" t="n">
        <f aca="false">ROUND(C2428*D2428,0)</f>
        <v>0</v>
      </c>
      <c r="F2428" s="47" t="n">
        <f aca="false">MIN(1,'Model Inputs &amp; Assumptions'!$W$32*EXP('Model Inputs &amp; Assumptions'!$X$32*R2428-'Model Inputs &amp; Assumptions'!$X$32^2/2))</f>
        <v>0.00409988395026135</v>
      </c>
      <c r="G2428" s="45" t="n">
        <f aca="false">ROUND(C2428*F2428,0)</f>
        <v>7328</v>
      </c>
      <c r="H2428" s="48" t="n">
        <f aca="false">MAX(0,(C2428*'Model Inputs &amp; Assumptions'!$N$32+E2428*'Model Inputs &amp; Assumptions'!$O$32+G2428*'Model Inputs &amp; Assumptions'!$P$32)*EXP('Model Inputs &amp; Assumptions'!$Q$32*S2428-'Model Inputs &amp; Assumptions'!$Q$32^2/2))</f>
        <v>367.943089143203</v>
      </c>
      <c r="I2428" s="49" t="n">
        <f aca="false">IF('Model Inputs &amp; Assumptions'!$H$32="Fixed",'Model Inputs &amp; Assumptions'!$I$32*'Model Inputs &amp; Assumptions'!$K$32,IF('Model Inputs &amp; Assumptions'!$H$32="CPM",'Model Inputs &amp; Assumptions'!$I$32*'Model Inputs &amp; Assumptions'!$K$32*C2428/1000,IF('Model Inputs &amp; Assumptions'!$H$32="CPC",'Model Inputs &amp; Assumptions'!$I$32*'Model Inputs &amp; Assumptions'!$K$32*G2428,0)))</f>
        <v>21448.74</v>
      </c>
      <c r="J2428" s="50" t="n">
        <f aca="false">H2428*INDEX('Model Inputs &amp; Assumptions'!$D$40:$D$42,MATCH('Model Inputs &amp; Assumptions'!$L$32,'Model Inputs &amp; Assumptions'!$A$40:$A$42,0))*INDEX('Model Inputs &amp; Assumptions'!$H$40:$H$42,MATCH('Model Inputs &amp; Assumptions'!$L$32,'Model Inputs &amp; Assumptions'!$A$40:$A$42,0))</f>
        <v>1986892.6813733</v>
      </c>
      <c r="K2428" s="49" t="n">
        <f aca="false">H2428*INDEX('Model Inputs &amp; Assumptions'!$G$40:$G$42,MATCH('Model Inputs &amp; Assumptions'!$L$32,'Model Inputs &amp; Assumptions'!$A$40:$A$42,0))*INDEX('Model Inputs &amp; Assumptions'!$H$40:$H$42,MATCH('Model Inputs &amp; Assumptions'!$L$32,'Model Inputs &amp; Assumptions'!$A$40:$A$42,0))</f>
        <v>41724.7463088393</v>
      </c>
      <c r="L2428" s="51" t="n">
        <f aca="false">IFERROR(K2428/I2428,0)</f>
        <v>1.9453238889016</v>
      </c>
      <c r="M2428" s="49" t="n">
        <f aca="false">IFERROR(I2428/H2428,0)</f>
        <v>58.2936346214459</v>
      </c>
      <c r="N2428" s="52" t="str">
        <f aca="false">'Model Inputs &amp; Assumptions'!$L$32</f>
        <v>PRD-SP01</v>
      </c>
      <c r="P2428" s="53" t="n">
        <v>1.478125</v>
      </c>
      <c r="Q2428" s="53" t="n">
        <v>1.574888</v>
      </c>
      <c r="R2428" s="53" t="n">
        <v>0.677319</v>
      </c>
      <c r="S2428" s="53" t="n">
        <v>0.531297</v>
      </c>
    </row>
    <row r="2429" customFormat="false" ht="15" hidden="false" customHeight="false" outlineLevel="0" collapsed="false">
      <c r="A2429" s="43" t="n">
        <v>426</v>
      </c>
      <c r="B2429" s="44" t="str">
        <f aca="false">'Model Inputs &amp; Assumptions'!$B$32</f>
        <v>Trade Republic — In-App Display</v>
      </c>
      <c r="C2429" s="45" t="n">
        <f aca="false">ROUND(MAX(0,'Model Inputs &amp; Assumptions'!$S$32*EXP('Model Inputs &amp; Assumptions'!$T$32*P2429-'Model Inputs &amp; Assumptions'!$T$32^2/2)),0)</f>
        <v>1377226</v>
      </c>
      <c r="D2429" s="46" t="n">
        <f aca="false">MIN(1,'Model Inputs &amp; Assumptions'!$U$32*EXP('Model Inputs &amp; Assumptions'!$V$32*Q2429-'Model Inputs &amp; Assumptions'!$V$32^2/2))</f>
        <v>0</v>
      </c>
      <c r="E2429" s="45" t="n">
        <f aca="false">ROUND(C2429*D2429,0)</f>
        <v>0</v>
      </c>
      <c r="F2429" s="47" t="n">
        <f aca="false">MIN(1,'Model Inputs &amp; Assumptions'!$W$32*EXP('Model Inputs &amp; Assumptions'!$X$32*R2429-'Model Inputs &amp; Assumptions'!$X$32^2/2))</f>
        <v>0.00318914376485116</v>
      </c>
      <c r="G2429" s="45" t="n">
        <f aca="false">ROUND(C2429*F2429,0)</f>
        <v>4392</v>
      </c>
      <c r="H2429" s="48" t="n">
        <f aca="false">MAX(0,(C2429*'Model Inputs &amp; Assumptions'!$N$32+E2429*'Model Inputs &amp; Assumptions'!$O$32+G2429*'Model Inputs &amp; Assumptions'!$P$32)*EXP('Model Inputs &amp; Assumptions'!$Q$32*S2429-'Model Inputs &amp; Assumptions'!$Q$32^2/2))</f>
        <v>176.917576385526</v>
      </c>
      <c r="I2429" s="49" t="n">
        <f aca="false">IF('Model Inputs &amp; Assumptions'!$H$32="Fixed",'Model Inputs &amp; Assumptions'!$I$32*'Model Inputs &amp; Assumptions'!$K$32,IF('Model Inputs &amp; Assumptions'!$H$32="CPM",'Model Inputs &amp; Assumptions'!$I$32*'Model Inputs &amp; Assumptions'!$K$32*C2429/1000,IF('Model Inputs &amp; Assumptions'!$H$32="CPC",'Model Inputs &amp; Assumptions'!$I$32*'Model Inputs &amp; Assumptions'!$K$32*G2429,0)))</f>
        <v>16526.712</v>
      </c>
      <c r="J2429" s="50" t="n">
        <f aca="false">H2429*INDEX('Model Inputs &amp; Assumptions'!$D$40:$D$42,MATCH('Model Inputs &amp; Assumptions'!$L$32,'Model Inputs &amp; Assumptions'!$A$40:$A$42,0))*INDEX('Model Inputs &amp; Assumptions'!$H$40:$H$42,MATCH('Model Inputs &amp; Assumptions'!$L$32,'Model Inputs &amp; Assumptions'!$A$40:$A$42,0))</f>
        <v>955354.912481842</v>
      </c>
      <c r="K2429" s="49" t="n">
        <f aca="false">H2429*INDEX('Model Inputs &amp; Assumptions'!$G$40:$G$42,MATCH('Model Inputs &amp; Assumptions'!$L$32,'Model Inputs &amp; Assumptions'!$A$40:$A$42,0))*INDEX('Model Inputs &amp; Assumptions'!$H$40:$H$42,MATCH('Model Inputs &amp; Assumptions'!$L$32,'Model Inputs &amp; Assumptions'!$A$40:$A$42,0))</f>
        <v>20062.4531621187</v>
      </c>
      <c r="L2429" s="51" t="n">
        <f aca="false">IFERROR(K2429/I2429,0)</f>
        <v>1.21394099214161</v>
      </c>
      <c r="M2429" s="49" t="n">
        <f aca="false">IFERROR(I2429/H2429,0)</f>
        <v>93.4147546990252</v>
      </c>
      <c r="N2429" s="52" t="str">
        <f aca="false">'Model Inputs &amp; Assumptions'!$L$32</f>
        <v>PRD-SP01</v>
      </c>
      <c r="P2429" s="53" t="n">
        <v>0.609165</v>
      </c>
      <c r="Q2429" s="53" t="n">
        <v>-2.399353</v>
      </c>
      <c r="R2429" s="53" t="n">
        <v>-0.160035</v>
      </c>
      <c r="S2429" s="53" t="n">
        <v>-0.255583</v>
      </c>
    </row>
    <row r="2430" customFormat="false" ht="15" hidden="false" customHeight="false" outlineLevel="0" collapsed="false">
      <c r="A2430" s="43" t="n">
        <v>427</v>
      </c>
      <c r="B2430" s="44" t="str">
        <f aca="false">'Model Inputs &amp; Assumptions'!$B$32</f>
        <v>Trade Republic — In-App Display</v>
      </c>
      <c r="C2430" s="45" t="n">
        <f aca="false">ROUND(MAX(0,'Model Inputs &amp; Assumptions'!$S$32*EXP('Model Inputs &amp; Assumptions'!$T$32*P2430-'Model Inputs &amp; Assumptions'!$T$32^2/2)),0)</f>
        <v>1250976</v>
      </c>
      <c r="D2430" s="46" t="n">
        <f aca="false">MIN(1,'Model Inputs &amp; Assumptions'!$U$32*EXP('Model Inputs &amp; Assumptions'!$V$32*Q2430-'Model Inputs &amp; Assumptions'!$V$32^2/2))</f>
        <v>0</v>
      </c>
      <c r="E2430" s="45" t="n">
        <f aca="false">ROUND(C2430*D2430,0)</f>
        <v>0</v>
      </c>
      <c r="F2430" s="47" t="n">
        <f aca="false">MIN(1,'Model Inputs &amp; Assumptions'!$W$32*EXP('Model Inputs &amp; Assumptions'!$X$32*R2430-'Model Inputs &amp; Assumptions'!$X$32^2/2))</f>
        <v>0.0054241150868788</v>
      </c>
      <c r="G2430" s="45" t="n">
        <f aca="false">ROUND(C2430*F2430,0)</f>
        <v>6785</v>
      </c>
      <c r="H2430" s="48" t="n">
        <f aca="false">MAX(0,(C2430*'Model Inputs &amp; Assumptions'!$N$32+E2430*'Model Inputs &amp; Assumptions'!$O$32+G2430*'Model Inputs &amp; Assumptions'!$P$32)*EXP('Model Inputs &amp; Assumptions'!$Q$32*S2430-'Model Inputs &amp; Assumptions'!$Q$32^2/2))</f>
        <v>245.256956519673</v>
      </c>
      <c r="I2430" s="49" t="n">
        <f aca="false">IF('Model Inputs &amp; Assumptions'!$H$32="Fixed",'Model Inputs &amp; Assumptions'!$I$32*'Model Inputs &amp; Assumptions'!$K$32,IF('Model Inputs &amp; Assumptions'!$H$32="CPM",'Model Inputs &amp; Assumptions'!$I$32*'Model Inputs &amp; Assumptions'!$K$32*C2430/1000,IF('Model Inputs &amp; Assumptions'!$H$32="CPC",'Model Inputs &amp; Assumptions'!$I$32*'Model Inputs &amp; Assumptions'!$K$32*G2430,0)))</f>
        <v>15011.712</v>
      </c>
      <c r="J2430" s="50" t="n">
        <f aca="false">H2430*INDEX('Model Inputs &amp; Assumptions'!$D$40:$D$42,MATCH('Model Inputs &amp; Assumptions'!$L$32,'Model Inputs &amp; Assumptions'!$A$40:$A$42,0))*INDEX('Model Inputs &amp; Assumptions'!$H$40:$H$42,MATCH('Model Inputs &amp; Assumptions'!$L$32,'Model Inputs &amp; Assumptions'!$A$40:$A$42,0))</f>
        <v>1324387.56520624</v>
      </c>
      <c r="K2430" s="49" t="n">
        <f aca="false">H2430*INDEX('Model Inputs &amp; Assumptions'!$G$40:$G$42,MATCH('Model Inputs &amp; Assumptions'!$L$32,'Model Inputs &amp; Assumptions'!$A$40:$A$42,0))*INDEX('Model Inputs &amp; Assumptions'!$H$40:$H$42,MATCH('Model Inputs &amp; Assumptions'!$L$32,'Model Inputs &amp; Assumptions'!$A$40:$A$42,0))</f>
        <v>27812.138869331</v>
      </c>
      <c r="L2430" s="51" t="n">
        <f aca="false">IFERROR(K2430/I2430,0)</f>
        <v>1.85269600624705</v>
      </c>
      <c r="M2430" s="49" t="n">
        <f aca="false">IFERROR(I2430/H2430,0)</f>
        <v>61.2080986938115</v>
      </c>
      <c r="N2430" s="52" t="str">
        <f aca="false">'Model Inputs &amp; Assumptions'!$L$32</f>
        <v>PRD-SP01</v>
      </c>
      <c r="P2430" s="53" t="n">
        <v>0.288674</v>
      </c>
      <c r="Q2430" s="53" t="n">
        <v>1.262866</v>
      </c>
      <c r="R2430" s="53" t="n">
        <v>1.610306</v>
      </c>
      <c r="S2430" s="53" t="n">
        <v>-0.642394</v>
      </c>
    </row>
    <row r="2431" customFormat="false" ht="15" hidden="false" customHeight="false" outlineLevel="0" collapsed="false">
      <c r="A2431" s="43" t="n">
        <v>428</v>
      </c>
      <c r="B2431" s="44" t="str">
        <f aca="false">'Model Inputs &amp; Assumptions'!$B$32</f>
        <v>Trade Republic — In-App Display</v>
      </c>
      <c r="C2431" s="45" t="n">
        <f aca="false">ROUND(MAX(0,'Model Inputs &amp; Assumptions'!$S$32*EXP('Model Inputs &amp; Assumptions'!$T$32*P2431-'Model Inputs &amp; Assumptions'!$T$32^2/2)),0)</f>
        <v>1222407</v>
      </c>
      <c r="D2431" s="46" t="n">
        <f aca="false">MIN(1,'Model Inputs &amp; Assumptions'!$U$32*EXP('Model Inputs &amp; Assumptions'!$V$32*Q2431-'Model Inputs &amp; Assumptions'!$V$32^2/2))</f>
        <v>0</v>
      </c>
      <c r="E2431" s="45" t="n">
        <f aca="false">ROUND(C2431*D2431,0)</f>
        <v>0</v>
      </c>
      <c r="F2431" s="47" t="n">
        <f aca="false">MIN(1,'Model Inputs &amp; Assumptions'!$W$32*EXP('Model Inputs &amp; Assumptions'!$X$32*R2431-'Model Inputs &amp; Assumptions'!$X$32^2/2))</f>
        <v>0.00290497698723744</v>
      </c>
      <c r="G2431" s="45" t="n">
        <f aca="false">ROUND(C2431*F2431,0)</f>
        <v>3551</v>
      </c>
      <c r="H2431" s="48" t="n">
        <f aca="false">MAX(0,(C2431*'Model Inputs &amp; Assumptions'!$N$32+E2431*'Model Inputs &amp; Assumptions'!$O$32+G2431*'Model Inputs &amp; Assumptions'!$P$32)*EXP('Model Inputs &amp; Assumptions'!$Q$32*S2431-'Model Inputs &amp; Assumptions'!$Q$32^2/2))</f>
        <v>133.64998144221</v>
      </c>
      <c r="I2431" s="49" t="n">
        <f aca="false">IF('Model Inputs &amp; Assumptions'!$H$32="Fixed",'Model Inputs &amp; Assumptions'!$I$32*'Model Inputs &amp; Assumptions'!$K$32,IF('Model Inputs &amp; Assumptions'!$H$32="CPM",'Model Inputs &amp; Assumptions'!$I$32*'Model Inputs &amp; Assumptions'!$K$32*C2431/1000,IF('Model Inputs &amp; Assumptions'!$H$32="CPC",'Model Inputs &amp; Assumptions'!$I$32*'Model Inputs &amp; Assumptions'!$K$32*G2431,0)))</f>
        <v>14668.884</v>
      </c>
      <c r="J2431" s="50" t="n">
        <f aca="false">H2431*INDEX('Model Inputs &amp; Assumptions'!$D$40:$D$42,MATCH('Model Inputs &amp; Assumptions'!$L$32,'Model Inputs &amp; Assumptions'!$A$40:$A$42,0))*INDEX('Model Inputs &amp; Assumptions'!$H$40:$H$42,MATCH('Model Inputs &amp; Assumptions'!$L$32,'Model Inputs &amp; Assumptions'!$A$40:$A$42,0))</f>
        <v>721709.899787934</v>
      </c>
      <c r="K2431" s="49" t="n">
        <f aca="false">H2431*INDEX('Model Inputs &amp; Assumptions'!$G$40:$G$42,MATCH('Model Inputs &amp; Assumptions'!$L$32,'Model Inputs &amp; Assumptions'!$A$40:$A$42,0))*INDEX('Model Inputs &amp; Assumptions'!$H$40:$H$42,MATCH('Model Inputs &amp; Assumptions'!$L$32,'Model Inputs &amp; Assumptions'!$A$40:$A$42,0))</f>
        <v>15155.9078955466</v>
      </c>
      <c r="L2431" s="51" t="n">
        <f aca="false">IFERROR(K2431/I2431,0)</f>
        <v>1.03320115528534</v>
      </c>
      <c r="M2431" s="49" t="n">
        <f aca="false">IFERROR(I2431/H2431,0)</f>
        <v>109.755974835977</v>
      </c>
      <c r="N2431" s="52" t="str">
        <f aca="false">'Model Inputs &amp; Assumptions'!$L$32</f>
        <v>PRD-SP01</v>
      </c>
      <c r="P2431" s="53" t="n">
        <v>0.211667</v>
      </c>
      <c r="Q2431" s="53" t="n">
        <v>1.05874</v>
      </c>
      <c r="R2431" s="53" t="n">
        <v>-0.471125</v>
      </c>
      <c r="S2431" s="53" t="n">
        <v>-0.498098</v>
      </c>
    </row>
    <row r="2432" customFormat="false" ht="15" hidden="false" customHeight="false" outlineLevel="0" collapsed="false">
      <c r="A2432" s="43" t="n">
        <v>429</v>
      </c>
      <c r="B2432" s="44" t="str">
        <f aca="false">'Model Inputs &amp; Assumptions'!$B$32</f>
        <v>Trade Republic — In-App Display</v>
      </c>
      <c r="C2432" s="45" t="n">
        <f aca="false">ROUND(MAX(0,'Model Inputs &amp; Assumptions'!$S$32*EXP('Model Inputs &amp; Assumptions'!$T$32*P2432-'Model Inputs &amp; Assumptions'!$T$32^2/2)),0)</f>
        <v>868076</v>
      </c>
      <c r="D2432" s="46" t="n">
        <f aca="false">MIN(1,'Model Inputs &amp; Assumptions'!$U$32*EXP('Model Inputs &amp; Assumptions'!$V$32*Q2432-'Model Inputs &amp; Assumptions'!$V$32^2/2))</f>
        <v>0</v>
      </c>
      <c r="E2432" s="45" t="n">
        <f aca="false">ROUND(C2432*D2432,0)</f>
        <v>0</v>
      </c>
      <c r="F2432" s="47" t="n">
        <f aca="false">MIN(1,'Model Inputs &amp; Assumptions'!$W$32*EXP('Model Inputs &amp; Assumptions'!$X$32*R2432-'Model Inputs &amp; Assumptions'!$X$32^2/2))</f>
        <v>0.00369097137436675</v>
      </c>
      <c r="G2432" s="45" t="n">
        <f aca="false">ROUND(C2432*F2432,0)</f>
        <v>3204</v>
      </c>
      <c r="H2432" s="48" t="n">
        <f aca="false">MAX(0,(C2432*'Model Inputs &amp; Assumptions'!$N$32+E2432*'Model Inputs &amp; Assumptions'!$O$32+G2432*'Model Inputs &amp; Assumptions'!$P$32)*EXP('Model Inputs &amp; Assumptions'!$Q$32*S2432-'Model Inputs &amp; Assumptions'!$Q$32^2/2))</f>
        <v>268.141342527522</v>
      </c>
      <c r="I2432" s="49" t="n">
        <f aca="false">IF('Model Inputs &amp; Assumptions'!$H$32="Fixed",'Model Inputs &amp; Assumptions'!$I$32*'Model Inputs &amp; Assumptions'!$K$32,IF('Model Inputs &amp; Assumptions'!$H$32="CPM",'Model Inputs &amp; Assumptions'!$I$32*'Model Inputs &amp; Assumptions'!$K$32*C2432/1000,IF('Model Inputs &amp; Assumptions'!$H$32="CPC",'Model Inputs &amp; Assumptions'!$I$32*'Model Inputs &amp; Assumptions'!$K$32*G2432,0)))</f>
        <v>10416.912</v>
      </c>
      <c r="J2432" s="50" t="n">
        <f aca="false">H2432*INDEX('Model Inputs &amp; Assumptions'!$D$40:$D$42,MATCH('Model Inputs &amp; Assumptions'!$L$32,'Model Inputs &amp; Assumptions'!$A$40:$A$42,0))*INDEX('Model Inputs &amp; Assumptions'!$H$40:$H$42,MATCH('Model Inputs &amp; Assumptions'!$L$32,'Model Inputs &amp; Assumptions'!$A$40:$A$42,0))</f>
        <v>1447963.24964862</v>
      </c>
      <c r="K2432" s="49" t="n">
        <f aca="false">H2432*INDEX('Model Inputs &amp; Assumptions'!$G$40:$G$42,MATCH('Model Inputs &amp; Assumptions'!$L$32,'Model Inputs &amp; Assumptions'!$A$40:$A$42,0))*INDEX('Model Inputs &amp; Assumptions'!$H$40:$H$42,MATCH('Model Inputs &amp; Assumptions'!$L$32,'Model Inputs &amp; Assumptions'!$A$40:$A$42,0))</f>
        <v>30407.228242621</v>
      </c>
      <c r="L2432" s="51" t="n">
        <f aca="false">IFERROR(K2432/I2432,0)</f>
        <v>2.91902516241099</v>
      </c>
      <c r="M2432" s="49" t="n">
        <f aca="false">IFERROR(I2432/H2432,0)</f>
        <v>38.8485859801004</v>
      </c>
      <c r="N2432" s="52" t="str">
        <f aca="false">'Model Inputs &amp; Assumptions'!$L$32</f>
        <v>PRD-SP01</v>
      </c>
      <c r="P2432" s="53" t="n">
        <v>-0.929325</v>
      </c>
      <c r="Q2432" s="53" t="n">
        <v>0.138581</v>
      </c>
      <c r="R2432" s="53" t="n">
        <v>0.327089</v>
      </c>
      <c r="S2432" s="53" t="n">
        <v>2.355899</v>
      </c>
    </row>
    <row r="2433" customFormat="false" ht="15" hidden="false" customHeight="false" outlineLevel="0" collapsed="false">
      <c r="A2433" s="43" t="n">
        <v>430</v>
      </c>
      <c r="B2433" s="44" t="str">
        <f aca="false">'Model Inputs &amp; Assumptions'!$B$32</f>
        <v>Trade Republic — In-App Display</v>
      </c>
      <c r="C2433" s="45" t="n">
        <f aca="false">ROUND(MAX(0,'Model Inputs &amp; Assumptions'!$S$32*EXP('Model Inputs &amp; Assumptions'!$T$32*P2433-'Model Inputs &amp; Assumptions'!$T$32^2/2)),0)</f>
        <v>820715</v>
      </c>
      <c r="D2433" s="46" t="n">
        <f aca="false">MIN(1,'Model Inputs &amp; Assumptions'!$U$32*EXP('Model Inputs &amp; Assumptions'!$V$32*Q2433-'Model Inputs &amp; Assumptions'!$V$32^2/2))</f>
        <v>0</v>
      </c>
      <c r="E2433" s="45" t="n">
        <f aca="false">ROUND(C2433*D2433,0)</f>
        <v>0</v>
      </c>
      <c r="F2433" s="47" t="n">
        <f aca="false">MIN(1,'Model Inputs &amp; Assumptions'!$W$32*EXP('Model Inputs &amp; Assumptions'!$X$32*R2433-'Model Inputs &amp; Assumptions'!$X$32^2/2))</f>
        <v>0.00374608902277541</v>
      </c>
      <c r="G2433" s="45" t="n">
        <f aca="false">ROUND(C2433*F2433,0)</f>
        <v>3074</v>
      </c>
      <c r="H2433" s="48" t="n">
        <f aca="false">MAX(0,(C2433*'Model Inputs &amp; Assumptions'!$N$32+E2433*'Model Inputs &amp; Assumptions'!$O$32+G2433*'Model Inputs &amp; Assumptions'!$P$32)*EXP('Model Inputs &amp; Assumptions'!$Q$32*S2433-'Model Inputs &amp; Assumptions'!$Q$32^2/2))</f>
        <v>198.687471431859</v>
      </c>
      <c r="I2433" s="49" t="n">
        <f aca="false">IF('Model Inputs &amp; Assumptions'!$H$32="Fixed",'Model Inputs &amp; Assumptions'!$I$32*'Model Inputs &amp; Assumptions'!$K$32,IF('Model Inputs &amp; Assumptions'!$H$32="CPM",'Model Inputs &amp; Assumptions'!$I$32*'Model Inputs &amp; Assumptions'!$K$32*C2433/1000,IF('Model Inputs &amp; Assumptions'!$H$32="CPC",'Model Inputs &amp; Assumptions'!$I$32*'Model Inputs &amp; Assumptions'!$K$32*G2433,0)))</f>
        <v>9848.58</v>
      </c>
      <c r="J2433" s="50" t="n">
        <f aca="false">H2433*INDEX('Model Inputs &amp; Assumptions'!$D$40:$D$42,MATCH('Model Inputs &amp; Assumptions'!$L$32,'Model Inputs &amp; Assumptions'!$A$40:$A$42,0))*INDEX('Model Inputs &amp; Assumptions'!$H$40:$H$42,MATCH('Model Inputs &amp; Assumptions'!$L$32,'Model Inputs &amp; Assumptions'!$A$40:$A$42,0))</f>
        <v>1072912.34573204</v>
      </c>
      <c r="K2433" s="49" t="n">
        <f aca="false">H2433*INDEX('Model Inputs &amp; Assumptions'!$G$40:$G$42,MATCH('Model Inputs &amp; Assumptions'!$L$32,'Model Inputs &amp; Assumptions'!$A$40:$A$42,0))*INDEX('Model Inputs &amp; Assumptions'!$H$40:$H$42,MATCH('Model Inputs &amp; Assumptions'!$L$32,'Model Inputs &amp; Assumptions'!$A$40:$A$42,0))</f>
        <v>22531.1592603729</v>
      </c>
      <c r="L2433" s="51" t="n">
        <f aca="false">IFERROR(K2433/I2433,0)</f>
        <v>2.28775714472268</v>
      </c>
      <c r="M2433" s="49" t="n">
        <f aca="false">IFERROR(I2433/H2433,0)</f>
        <v>49.5681983822398</v>
      </c>
      <c r="N2433" s="52" t="str">
        <f aca="false">'Model Inputs &amp; Assumptions'!$L$32</f>
        <v>PRD-SP01</v>
      </c>
      <c r="P2433" s="53" t="n">
        <v>-1.116335</v>
      </c>
      <c r="Q2433" s="53" t="n">
        <v>-1.452142</v>
      </c>
      <c r="R2433" s="53" t="n">
        <v>0.376498</v>
      </c>
      <c r="S2433" s="53" t="n">
        <v>1.433182</v>
      </c>
    </row>
    <row r="2434" customFormat="false" ht="15" hidden="false" customHeight="false" outlineLevel="0" collapsed="false">
      <c r="A2434" s="43" t="n">
        <v>431</v>
      </c>
      <c r="B2434" s="44" t="str">
        <f aca="false">'Model Inputs &amp; Assumptions'!$B$32</f>
        <v>Trade Republic — In-App Display</v>
      </c>
      <c r="C2434" s="45" t="n">
        <f aca="false">ROUND(MAX(0,'Model Inputs &amp; Assumptions'!$S$32*EXP('Model Inputs &amp; Assumptions'!$T$32*P2434-'Model Inputs &amp; Assumptions'!$T$32^2/2)),0)</f>
        <v>934445</v>
      </c>
      <c r="D2434" s="46" t="n">
        <f aca="false">MIN(1,'Model Inputs &amp; Assumptions'!$U$32*EXP('Model Inputs &amp; Assumptions'!$V$32*Q2434-'Model Inputs &amp; Assumptions'!$V$32^2/2))</f>
        <v>0</v>
      </c>
      <c r="E2434" s="45" t="n">
        <f aca="false">ROUND(C2434*D2434,0)</f>
        <v>0</v>
      </c>
      <c r="F2434" s="47" t="n">
        <f aca="false">MIN(1,'Model Inputs &amp; Assumptions'!$W$32*EXP('Model Inputs &amp; Assumptions'!$X$32*R2434-'Model Inputs &amp; Assumptions'!$X$32^2/2))</f>
        <v>0.00384665588094974</v>
      </c>
      <c r="G2434" s="45" t="n">
        <f aca="false">ROUND(C2434*F2434,0)</f>
        <v>3594</v>
      </c>
      <c r="H2434" s="48" t="n">
        <f aca="false">MAX(0,(C2434*'Model Inputs &amp; Assumptions'!$N$32+E2434*'Model Inputs &amp; Assumptions'!$O$32+G2434*'Model Inputs &amp; Assumptions'!$P$32)*EXP('Model Inputs &amp; Assumptions'!$Q$32*S2434-'Model Inputs &amp; Assumptions'!$Q$32^2/2))</f>
        <v>252.182148554157</v>
      </c>
      <c r="I2434" s="49" t="n">
        <f aca="false">IF('Model Inputs &amp; Assumptions'!$H$32="Fixed",'Model Inputs &amp; Assumptions'!$I$32*'Model Inputs &amp; Assumptions'!$K$32,IF('Model Inputs &amp; Assumptions'!$H$32="CPM",'Model Inputs &amp; Assumptions'!$I$32*'Model Inputs &amp; Assumptions'!$K$32*C2434/1000,IF('Model Inputs &amp; Assumptions'!$H$32="CPC",'Model Inputs &amp; Assumptions'!$I$32*'Model Inputs &amp; Assumptions'!$K$32*G2434,0)))</f>
        <v>11213.34</v>
      </c>
      <c r="J2434" s="50" t="n">
        <f aca="false">H2434*INDEX('Model Inputs &amp; Assumptions'!$D$40:$D$42,MATCH('Model Inputs &amp; Assumptions'!$L$32,'Model Inputs &amp; Assumptions'!$A$40:$A$42,0))*INDEX('Model Inputs &amp; Assumptions'!$H$40:$H$42,MATCH('Model Inputs &amp; Assumptions'!$L$32,'Model Inputs &amp; Assumptions'!$A$40:$A$42,0))</f>
        <v>1361783.60219245</v>
      </c>
      <c r="K2434" s="49" t="n">
        <f aca="false">H2434*INDEX('Model Inputs &amp; Assumptions'!$G$40:$G$42,MATCH('Model Inputs &amp; Assumptions'!$L$32,'Model Inputs &amp; Assumptions'!$A$40:$A$42,0))*INDEX('Model Inputs &amp; Assumptions'!$H$40:$H$42,MATCH('Model Inputs &amp; Assumptions'!$L$32,'Model Inputs &amp; Assumptions'!$A$40:$A$42,0))</f>
        <v>28597.4556460414</v>
      </c>
      <c r="L2434" s="51" t="n">
        <f aca="false">IFERROR(K2434/I2434,0)</f>
        <v>2.55030665671793</v>
      </c>
      <c r="M2434" s="49" t="n">
        <f aca="false">IFERROR(I2434/H2434,0)</f>
        <v>44.4652409549595</v>
      </c>
      <c r="N2434" s="52" t="str">
        <f aca="false">'Model Inputs &amp; Assumptions'!$L$32</f>
        <v>PRD-SP01</v>
      </c>
      <c r="P2434" s="53" t="n">
        <v>-0.683746</v>
      </c>
      <c r="Q2434" s="53" t="n">
        <v>1.281495</v>
      </c>
      <c r="R2434" s="53" t="n">
        <v>0.464804</v>
      </c>
      <c r="S2434" s="53" t="n">
        <v>1.726512</v>
      </c>
    </row>
    <row r="2435" customFormat="false" ht="15" hidden="false" customHeight="false" outlineLevel="0" collapsed="false">
      <c r="A2435" s="43" t="n">
        <v>432</v>
      </c>
      <c r="B2435" s="44" t="str">
        <f aca="false">'Model Inputs &amp; Assumptions'!$B$32</f>
        <v>Trade Republic — In-App Display</v>
      </c>
      <c r="C2435" s="45" t="n">
        <f aca="false">ROUND(MAX(0,'Model Inputs &amp; Assumptions'!$S$32*EXP('Model Inputs &amp; Assumptions'!$T$32*P2435-'Model Inputs &amp; Assumptions'!$T$32^2/2)),0)</f>
        <v>788700</v>
      </c>
      <c r="D2435" s="46" t="n">
        <f aca="false">MIN(1,'Model Inputs &amp; Assumptions'!$U$32*EXP('Model Inputs &amp; Assumptions'!$V$32*Q2435-'Model Inputs &amp; Assumptions'!$V$32^2/2))</f>
        <v>0</v>
      </c>
      <c r="E2435" s="45" t="n">
        <f aca="false">ROUND(C2435*D2435,0)</f>
        <v>0</v>
      </c>
      <c r="F2435" s="47" t="n">
        <f aca="false">MIN(1,'Model Inputs &amp; Assumptions'!$W$32*EXP('Model Inputs &amp; Assumptions'!$X$32*R2435-'Model Inputs &amp; Assumptions'!$X$32^2/2))</f>
        <v>0.00277704154470481</v>
      </c>
      <c r="G2435" s="45" t="n">
        <f aca="false">ROUND(C2435*F2435,0)</f>
        <v>2190</v>
      </c>
      <c r="H2435" s="48" t="n">
        <f aca="false">MAX(0,(C2435*'Model Inputs &amp; Assumptions'!$N$32+E2435*'Model Inputs &amp; Assumptions'!$O$32+G2435*'Model Inputs &amp; Assumptions'!$P$32)*EXP('Model Inputs &amp; Assumptions'!$Q$32*S2435-'Model Inputs &amp; Assumptions'!$Q$32^2/2))</f>
        <v>108.467227167652</v>
      </c>
      <c r="I2435" s="49" t="n">
        <f aca="false">IF('Model Inputs &amp; Assumptions'!$H$32="Fixed",'Model Inputs &amp; Assumptions'!$I$32*'Model Inputs &amp; Assumptions'!$K$32,IF('Model Inputs &amp; Assumptions'!$H$32="CPM",'Model Inputs &amp; Assumptions'!$I$32*'Model Inputs &amp; Assumptions'!$K$32*C2435/1000,IF('Model Inputs &amp; Assumptions'!$H$32="CPC",'Model Inputs &amp; Assumptions'!$I$32*'Model Inputs &amp; Assumptions'!$K$32*G2435,0)))</f>
        <v>9464.4</v>
      </c>
      <c r="J2435" s="50" t="n">
        <f aca="false">H2435*INDEX('Model Inputs &amp; Assumptions'!$D$40:$D$42,MATCH('Model Inputs &amp; Assumptions'!$L$32,'Model Inputs &amp; Assumptions'!$A$40:$A$42,0))*INDEX('Model Inputs &amp; Assumptions'!$H$40:$H$42,MATCH('Model Inputs &amp; Assumptions'!$L$32,'Model Inputs &amp; Assumptions'!$A$40:$A$42,0))</f>
        <v>585723.02670532</v>
      </c>
      <c r="K2435" s="49" t="n">
        <f aca="false">H2435*INDEX('Model Inputs &amp; Assumptions'!$G$40:$G$42,MATCH('Model Inputs &amp; Assumptions'!$L$32,'Model Inputs &amp; Assumptions'!$A$40:$A$42,0))*INDEX('Model Inputs &amp; Assumptions'!$H$40:$H$42,MATCH('Model Inputs &amp; Assumptions'!$L$32,'Model Inputs &amp; Assumptions'!$A$40:$A$42,0))</f>
        <v>12300.1835608117</v>
      </c>
      <c r="L2435" s="51" t="n">
        <f aca="false">IFERROR(K2435/I2435,0)</f>
        <v>1.29962634301294</v>
      </c>
      <c r="M2435" s="49" t="n">
        <f aca="false">IFERROR(I2435/H2435,0)</f>
        <v>87.2558490443515</v>
      </c>
      <c r="N2435" s="52" t="str">
        <f aca="false">'Model Inputs &amp; Assumptions'!$L$32</f>
        <v>PRD-SP01</v>
      </c>
      <c r="P2435" s="53" t="n">
        <v>-1.248968</v>
      </c>
      <c r="Q2435" s="53" t="n">
        <v>1.137547</v>
      </c>
      <c r="R2435" s="53" t="n">
        <v>-0.621256</v>
      </c>
      <c r="S2435" s="53" t="n">
        <v>0.482443</v>
      </c>
    </row>
    <row r="2436" customFormat="false" ht="15" hidden="false" customHeight="false" outlineLevel="0" collapsed="false">
      <c r="A2436" s="43" t="n">
        <v>433</v>
      </c>
      <c r="B2436" s="44" t="str">
        <f aca="false">'Model Inputs &amp; Assumptions'!$B$32</f>
        <v>Trade Republic — In-App Display</v>
      </c>
      <c r="C2436" s="45" t="n">
        <f aca="false">ROUND(MAX(0,'Model Inputs &amp; Assumptions'!$S$32*EXP('Model Inputs &amp; Assumptions'!$T$32*P2436-'Model Inputs &amp; Assumptions'!$T$32^2/2)),0)</f>
        <v>1347560</v>
      </c>
      <c r="D2436" s="46" t="n">
        <f aca="false">MIN(1,'Model Inputs &amp; Assumptions'!$U$32*EXP('Model Inputs &amp; Assumptions'!$V$32*Q2436-'Model Inputs &amp; Assumptions'!$V$32^2/2))</f>
        <v>0</v>
      </c>
      <c r="E2436" s="45" t="n">
        <f aca="false">ROUND(C2436*D2436,0)</f>
        <v>0</v>
      </c>
      <c r="F2436" s="47" t="n">
        <f aca="false">MIN(1,'Model Inputs &amp; Assumptions'!$W$32*EXP('Model Inputs &amp; Assumptions'!$X$32*R2436-'Model Inputs &amp; Assumptions'!$X$32^2/2))</f>
        <v>0.00638195750010163</v>
      </c>
      <c r="G2436" s="45" t="n">
        <f aca="false">ROUND(C2436*F2436,0)</f>
        <v>8600</v>
      </c>
      <c r="H2436" s="48" t="n">
        <f aca="false">MAX(0,(C2436*'Model Inputs &amp; Assumptions'!$N$32+E2436*'Model Inputs &amp; Assumptions'!$O$32+G2436*'Model Inputs &amp; Assumptions'!$P$32)*EXP('Model Inputs &amp; Assumptions'!$Q$32*S2436-'Model Inputs &amp; Assumptions'!$Q$32^2/2))</f>
        <v>616.970871577346</v>
      </c>
      <c r="I2436" s="49" t="n">
        <f aca="false">IF('Model Inputs &amp; Assumptions'!$H$32="Fixed",'Model Inputs &amp; Assumptions'!$I$32*'Model Inputs &amp; Assumptions'!$K$32,IF('Model Inputs &amp; Assumptions'!$H$32="CPM",'Model Inputs &amp; Assumptions'!$I$32*'Model Inputs &amp; Assumptions'!$K$32*C2436/1000,IF('Model Inputs &amp; Assumptions'!$H$32="CPC",'Model Inputs &amp; Assumptions'!$I$32*'Model Inputs &amp; Assumptions'!$K$32*G2436,0)))</f>
        <v>16170.72</v>
      </c>
      <c r="J2436" s="50" t="n">
        <f aca="false">H2436*INDEX('Model Inputs &amp; Assumptions'!$D$40:$D$42,MATCH('Model Inputs &amp; Assumptions'!$L$32,'Model Inputs &amp; Assumptions'!$A$40:$A$42,0))*INDEX('Model Inputs &amp; Assumptions'!$H$40:$H$42,MATCH('Model Inputs &amp; Assumptions'!$L$32,'Model Inputs &amp; Assumptions'!$A$40:$A$42,0))</f>
        <v>3331642.70651767</v>
      </c>
      <c r="K2436" s="49" t="n">
        <f aca="false">H2436*INDEX('Model Inputs &amp; Assumptions'!$G$40:$G$42,MATCH('Model Inputs &amp; Assumptions'!$L$32,'Model Inputs &amp; Assumptions'!$A$40:$A$42,0))*INDEX('Model Inputs &amp; Assumptions'!$H$40:$H$42,MATCH('Model Inputs &amp; Assumptions'!$L$32,'Model Inputs &amp; Assumptions'!$A$40:$A$42,0))</f>
        <v>69964.496836871</v>
      </c>
      <c r="L2436" s="51" t="n">
        <f aca="false">IFERROR(K2436/I2436,0)</f>
        <v>4.32661605895538</v>
      </c>
      <c r="M2436" s="49" t="n">
        <f aca="false">IFERROR(I2436/H2436,0)</f>
        <v>26.2098597275071</v>
      </c>
      <c r="N2436" s="52" t="str">
        <f aca="false">'Model Inputs &amp; Assumptions'!$L$32</f>
        <v>PRD-SP01</v>
      </c>
      <c r="P2436" s="53" t="n">
        <v>0.53658</v>
      </c>
      <c r="Q2436" s="53" t="n">
        <v>0.778101</v>
      </c>
      <c r="R2436" s="53" t="n">
        <v>2.152373</v>
      </c>
      <c r="S2436" s="53" t="n">
        <v>1.805704</v>
      </c>
    </row>
    <row r="2437" customFormat="false" ht="15" hidden="false" customHeight="false" outlineLevel="0" collapsed="false">
      <c r="A2437" s="43" t="n">
        <v>434</v>
      </c>
      <c r="B2437" s="44" t="str">
        <f aca="false">'Model Inputs &amp; Assumptions'!$B$32</f>
        <v>Trade Republic — In-App Display</v>
      </c>
      <c r="C2437" s="45" t="n">
        <f aca="false">ROUND(MAX(0,'Model Inputs &amp; Assumptions'!$S$32*EXP('Model Inputs &amp; Assumptions'!$T$32*P2437-'Model Inputs &amp; Assumptions'!$T$32^2/2)),0)</f>
        <v>1033436</v>
      </c>
      <c r="D2437" s="46" t="n">
        <f aca="false">MIN(1,'Model Inputs &amp; Assumptions'!$U$32*EXP('Model Inputs &amp; Assumptions'!$V$32*Q2437-'Model Inputs &amp; Assumptions'!$V$32^2/2))</f>
        <v>0</v>
      </c>
      <c r="E2437" s="45" t="n">
        <f aca="false">ROUND(C2437*D2437,0)</f>
        <v>0</v>
      </c>
      <c r="F2437" s="47" t="n">
        <f aca="false">MIN(1,'Model Inputs &amp; Assumptions'!$W$32*EXP('Model Inputs &amp; Assumptions'!$X$32*R2437-'Model Inputs &amp; Assumptions'!$X$32^2/2))</f>
        <v>0.00473319508678523</v>
      </c>
      <c r="G2437" s="45" t="n">
        <f aca="false">ROUND(C2437*F2437,0)</f>
        <v>4891</v>
      </c>
      <c r="H2437" s="48" t="n">
        <f aca="false">MAX(0,(C2437*'Model Inputs &amp; Assumptions'!$N$32+E2437*'Model Inputs &amp; Assumptions'!$O$32+G2437*'Model Inputs &amp; Assumptions'!$P$32)*EXP('Model Inputs &amp; Assumptions'!$Q$32*S2437-'Model Inputs &amp; Assumptions'!$Q$32^2/2))</f>
        <v>189.134959437023</v>
      </c>
      <c r="I2437" s="49" t="n">
        <f aca="false">IF('Model Inputs &amp; Assumptions'!$H$32="Fixed",'Model Inputs &amp; Assumptions'!$I$32*'Model Inputs &amp; Assumptions'!$K$32,IF('Model Inputs &amp; Assumptions'!$H$32="CPM",'Model Inputs &amp; Assumptions'!$I$32*'Model Inputs &amp; Assumptions'!$K$32*C2437/1000,IF('Model Inputs &amp; Assumptions'!$H$32="CPC",'Model Inputs &amp; Assumptions'!$I$32*'Model Inputs &amp; Assumptions'!$K$32*G2437,0)))</f>
        <v>12401.232</v>
      </c>
      <c r="J2437" s="50" t="n">
        <f aca="false">H2437*INDEX('Model Inputs &amp; Assumptions'!$D$40:$D$42,MATCH('Model Inputs &amp; Assumptions'!$L$32,'Model Inputs &amp; Assumptions'!$A$40:$A$42,0))*INDEX('Model Inputs &amp; Assumptions'!$H$40:$H$42,MATCH('Model Inputs &amp; Assumptions'!$L$32,'Model Inputs &amp; Assumptions'!$A$40:$A$42,0))</f>
        <v>1021328.78095992</v>
      </c>
      <c r="K2437" s="49" t="n">
        <f aca="false">H2437*INDEX('Model Inputs &amp; Assumptions'!$G$40:$G$42,MATCH('Model Inputs &amp; Assumptions'!$L$32,'Model Inputs &amp; Assumptions'!$A$40:$A$42,0))*INDEX('Model Inputs &amp; Assumptions'!$H$40:$H$42,MATCH('Model Inputs &amp; Assumptions'!$L$32,'Model Inputs &amp; Assumptions'!$A$40:$A$42,0))</f>
        <v>21447.9044001584</v>
      </c>
      <c r="L2437" s="51" t="n">
        <f aca="false">IFERROR(K2437/I2437,0)</f>
        <v>1.7294978757077</v>
      </c>
      <c r="M2437" s="49" t="n">
        <f aca="false">IFERROR(I2437/H2437,0)</f>
        <v>65.5681637964413</v>
      </c>
      <c r="N2437" s="52" t="str">
        <f aca="false">'Model Inputs &amp; Assumptions'!$L$32</f>
        <v>PRD-SP01</v>
      </c>
      <c r="P2437" s="53" t="n">
        <v>-0.348109</v>
      </c>
      <c r="Q2437" s="53" t="n">
        <v>1.11031</v>
      </c>
      <c r="R2437" s="53" t="n">
        <v>1.156125</v>
      </c>
      <c r="S2437" s="53" t="n">
        <v>-0.401423</v>
      </c>
    </row>
    <row r="2438" customFormat="false" ht="15" hidden="false" customHeight="false" outlineLevel="0" collapsed="false">
      <c r="A2438" s="43" t="n">
        <v>435</v>
      </c>
      <c r="B2438" s="44" t="str">
        <f aca="false">'Model Inputs &amp; Assumptions'!$B$32</f>
        <v>Trade Republic — In-App Display</v>
      </c>
      <c r="C2438" s="45" t="n">
        <f aca="false">ROUND(MAX(0,'Model Inputs &amp; Assumptions'!$S$32*EXP('Model Inputs &amp; Assumptions'!$T$32*P2438-'Model Inputs &amp; Assumptions'!$T$32^2/2)),0)</f>
        <v>684308</v>
      </c>
      <c r="D2438" s="46" t="n">
        <f aca="false">MIN(1,'Model Inputs &amp; Assumptions'!$U$32*EXP('Model Inputs &amp; Assumptions'!$V$32*Q2438-'Model Inputs &amp; Assumptions'!$V$32^2/2))</f>
        <v>0</v>
      </c>
      <c r="E2438" s="45" t="n">
        <f aca="false">ROUND(C2438*D2438,0)</f>
        <v>0</v>
      </c>
      <c r="F2438" s="47" t="n">
        <f aca="false">MIN(1,'Model Inputs &amp; Assumptions'!$W$32*EXP('Model Inputs &amp; Assumptions'!$X$32*R2438-'Model Inputs &amp; Assumptions'!$X$32^2/2))</f>
        <v>0.00298714824628243</v>
      </c>
      <c r="G2438" s="45" t="n">
        <f aca="false">ROUND(C2438*F2438,0)</f>
        <v>2044</v>
      </c>
      <c r="H2438" s="48" t="n">
        <f aca="false">MAX(0,(C2438*'Model Inputs &amp; Assumptions'!$N$32+E2438*'Model Inputs &amp; Assumptions'!$O$32+G2438*'Model Inputs &amp; Assumptions'!$P$32)*EXP('Model Inputs &amp; Assumptions'!$Q$32*S2438-'Model Inputs &amp; Assumptions'!$Q$32^2/2))</f>
        <v>145.144947654644</v>
      </c>
      <c r="I2438" s="49" t="n">
        <f aca="false">IF('Model Inputs &amp; Assumptions'!$H$32="Fixed",'Model Inputs &amp; Assumptions'!$I$32*'Model Inputs &amp; Assumptions'!$K$32,IF('Model Inputs &amp; Assumptions'!$H$32="CPM",'Model Inputs &amp; Assumptions'!$I$32*'Model Inputs &amp; Assumptions'!$K$32*C2438/1000,IF('Model Inputs &amp; Assumptions'!$H$32="CPC",'Model Inputs &amp; Assumptions'!$I$32*'Model Inputs &amp; Assumptions'!$K$32*G2438,0)))</f>
        <v>8211.696</v>
      </c>
      <c r="J2438" s="50" t="n">
        <f aca="false">H2438*INDEX('Model Inputs &amp; Assumptions'!$D$40:$D$42,MATCH('Model Inputs &amp; Assumptions'!$L$32,'Model Inputs &amp; Assumptions'!$A$40:$A$42,0))*INDEX('Model Inputs &amp; Assumptions'!$H$40:$H$42,MATCH('Model Inputs &amp; Assumptions'!$L$32,'Model Inputs &amp; Assumptions'!$A$40:$A$42,0))</f>
        <v>783782.717335076</v>
      </c>
      <c r="K2438" s="49" t="n">
        <f aca="false">H2438*INDEX('Model Inputs &amp; Assumptions'!$G$40:$G$42,MATCH('Model Inputs &amp; Assumptions'!$L$32,'Model Inputs &amp; Assumptions'!$A$40:$A$42,0))*INDEX('Model Inputs &amp; Assumptions'!$H$40:$H$42,MATCH('Model Inputs &amp; Assumptions'!$L$32,'Model Inputs &amp; Assumptions'!$A$40:$A$42,0))</f>
        <v>16459.4370640366</v>
      </c>
      <c r="L2438" s="51" t="n">
        <f aca="false">IFERROR(K2438/I2438,0)</f>
        <v>2.0043894786213</v>
      </c>
      <c r="M2438" s="49" t="n">
        <f aca="false">IFERROR(I2438/H2438,0)</f>
        <v>56.5758308001104</v>
      </c>
      <c r="N2438" s="52" t="str">
        <f aca="false">'Model Inputs &amp; Assumptions'!$L$32</f>
        <v>PRD-SP01</v>
      </c>
      <c r="P2438" s="53" t="n">
        <v>-1.722228</v>
      </c>
      <c r="Q2438" s="53" t="n">
        <v>1.246176</v>
      </c>
      <c r="R2438" s="53" t="n">
        <v>-0.378146</v>
      </c>
      <c r="S2438" s="53" t="n">
        <v>1.769149</v>
      </c>
    </row>
    <row r="2439" customFormat="false" ht="15" hidden="false" customHeight="false" outlineLevel="0" collapsed="false">
      <c r="A2439" s="43" t="n">
        <v>436</v>
      </c>
      <c r="B2439" s="44" t="str">
        <f aca="false">'Model Inputs &amp; Assumptions'!$B$32</f>
        <v>Trade Republic — In-App Display</v>
      </c>
      <c r="C2439" s="45" t="n">
        <f aca="false">ROUND(MAX(0,'Model Inputs &amp; Assumptions'!$S$32*EXP('Model Inputs &amp; Assumptions'!$T$32*P2439-'Model Inputs &amp; Assumptions'!$T$32^2/2)),0)</f>
        <v>1555327</v>
      </c>
      <c r="D2439" s="46" t="n">
        <f aca="false">MIN(1,'Model Inputs &amp; Assumptions'!$U$32*EXP('Model Inputs &amp; Assumptions'!$V$32*Q2439-'Model Inputs &amp; Assumptions'!$V$32^2/2))</f>
        <v>0</v>
      </c>
      <c r="E2439" s="45" t="n">
        <f aca="false">ROUND(C2439*D2439,0)</f>
        <v>0</v>
      </c>
      <c r="F2439" s="47" t="n">
        <f aca="false">MIN(1,'Model Inputs &amp; Assumptions'!$W$32*EXP('Model Inputs &amp; Assumptions'!$X$32*R2439-'Model Inputs &amp; Assumptions'!$X$32^2/2))</f>
        <v>0.00319153269000423</v>
      </c>
      <c r="G2439" s="45" t="n">
        <f aca="false">ROUND(C2439*F2439,0)</f>
        <v>4964</v>
      </c>
      <c r="H2439" s="48" t="n">
        <f aca="false">MAX(0,(C2439*'Model Inputs &amp; Assumptions'!$N$32+E2439*'Model Inputs &amp; Assumptions'!$O$32+G2439*'Model Inputs &amp; Assumptions'!$P$32)*EXP('Model Inputs &amp; Assumptions'!$Q$32*S2439-'Model Inputs &amp; Assumptions'!$Q$32^2/2))</f>
        <v>179.312095358686</v>
      </c>
      <c r="I2439" s="49" t="n">
        <f aca="false">IF('Model Inputs &amp; Assumptions'!$H$32="Fixed",'Model Inputs &amp; Assumptions'!$I$32*'Model Inputs &amp; Assumptions'!$K$32,IF('Model Inputs &amp; Assumptions'!$H$32="CPM",'Model Inputs &amp; Assumptions'!$I$32*'Model Inputs &amp; Assumptions'!$K$32*C2439/1000,IF('Model Inputs &amp; Assumptions'!$H$32="CPC",'Model Inputs &amp; Assumptions'!$I$32*'Model Inputs &amp; Assumptions'!$K$32*G2439,0)))</f>
        <v>18663.924</v>
      </c>
      <c r="J2439" s="50" t="n">
        <f aca="false">H2439*INDEX('Model Inputs &amp; Assumptions'!$D$40:$D$42,MATCH('Model Inputs &amp; Assumptions'!$L$32,'Model Inputs &amp; Assumptions'!$A$40:$A$42,0))*INDEX('Model Inputs &amp; Assumptions'!$H$40:$H$42,MATCH('Model Inputs &amp; Assumptions'!$L$32,'Model Inputs &amp; Assumptions'!$A$40:$A$42,0))</f>
        <v>968285.314936906</v>
      </c>
      <c r="K2439" s="49" t="n">
        <f aca="false">H2439*INDEX('Model Inputs &amp; Assumptions'!$G$40:$G$42,MATCH('Model Inputs &amp; Assumptions'!$L$32,'Model Inputs &amp; Assumptions'!$A$40:$A$42,0))*INDEX('Model Inputs &amp; Assumptions'!$H$40:$H$42,MATCH('Model Inputs &amp; Assumptions'!$L$32,'Model Inputs &amp; Assumptions'!$A$40:$A$42,0))</f>
        <v>20333.991613675</v>
      </c>
      <c r="L2439" s="51" t="n">
        <f aca="false">IFERROR(K2439/I2439,0)</f>
        <v>1.08948105519906</v>
      </c>
      <c r="M2439" s="49" t="n">
        <f aca="false">IFERROR(I2439/H2439,0)</f>
        <v>104.086252311456</v>
      </c>
      <c r="N2439" s="52" t="str">
        <f aca="false">'Model Inputs &amp; Assumptions'!$L$32</f>
        <v>PRD-SP01</v>
      </c>
      <c r="P2439" s="53" t="n">
        <v>1.014547</v>
      </c>
      <c r="Q2439" s="53" t="n">
        <v>0.635528</v>
      </c>
      <c r="R2439" s="53" t="n">
        <v>-0.157539</v>
      </c>
      <c r="S2439" s="53" t="n">
        <v>-0.644809</v>
      </c>
    </row>
    <row r="2440" customFormat="false" ht="15" hidden="false" customHeight="false" outlineLevel="0" collapsed="false">
      <c r="A2440" s="43" t="n">
        <v>437</v>
      </c>
      <c r="B2440" s="44" t="str">
        <f aca="false">'Model Inputs &amp; Assumptions'!$B$32</f>
        <v>Trade Republic — In-App Display</v>
      </c>
      <c r="C2440" s="45" t="n">
        <f aca="false">ROUND(MAX(0,'Model Inputs &amp; Assumptions'!$S$32*EXP('Model Inputs &amp; Assumptions'!$T$32*P2440-'Model Inputs &amp; Assumptions'!$T$32^2/2)),0)</f>
        <v>1286497</v>
      </c>
      <c r="D2440" s="46" t="n">
        <f aca="false">MIN(1,'Model Inputs &amp; Assumptions'!$U$32*EXP('Model Inputs &amp; Assumptions'!$V$32*Q2440-'Model Inputs &amp; Assumptions'!$V$32^2/2))</f>
        <v>0</v>
      </c>
      <c r="E2440" s="45" t="n">
        <f aca="false">ROUND(C2440*D2440,0)</f>
        <v>0</v>
      </c>
      <c r="F2440" s="47" t="n">
        <f aca="false">MIN(1,'Model Inputs &amp; Assumptions'!$W$32*EXP('Model Inputs &amp; Assumptions'!$X$32*R2440-'Model Inputs &amp; Assumptions'!$X$32^2/2))</f>
        <v>0.00488030915110797</v>
      </c>
      <c r="G2440" s="45" t="n">
        <f aca="false">ROUND(C2440*F2440,0)</f>
        <v>6279</v>
      </c>
      <c r="H2440" s="48" t="n">
        <f aca="false">MAX(0,(C2440*'Model Inputs &amp; Assumptions'!$N$32+E2440*'Model Inputs &amp; Assumptions'!$O$32+G2440*'Model Inputs &amp; Assumptions'!$P$32)*EXP('Model Inputs &amp; Assumptions'!$Q$32*S2440-'Model Inputs &amp; Assumptions'!$Q$32^2/2))</f>
        <v>404.980979538933</v>
      </c>
      <c r="I2440" s="49" t="n">
        <f aca="false">IF('Model Inputs &amp; Assumptions'!$H$32="Fixed",'Model Inputs &amp; Assumptions'!$I$32*'Model Inputs &amp; Assumptions'!$K$32,IF('Model Inputs &amp; Assumptions'!$H$32="CPM",'Model Inputs &amp; Assumptions'!$I$32*'Model Inputs &amp; Assumptions'!$K$32*C2440/1000,IF('Model Inputs &amp; Assumptions'!$H$32="CPC",'Model Inputs &amp; Assumptions'!$I$32*'Model Inputs &amp; Assumptions'!$K$32*G2440,0)))</f>
        <v>15437.964</v>
      </c>
      <c r="J2440" s="50" t="n">
        <f aca="false">H2440*INDEX('Model Inputs &amp; Assumptions'!$D$40:$D$42,MATCH('Model Inputs &amp; Assumptions'!$L$32,'Model Inputs &amp; Assumptions'!$A$40:$A$42,0))*INDEX('Model Inputs &amp; Assumptions'!$H$40:$H$42,MATCH('Model Inputs &amp; Assumptions'!$L$32,'Model Inputs &amp; Assumptions'!$A$40:$A$42,0))</f>
        <v>2186897.28951024</v>
      </c>
      <c r="K2440" s="49" t="n">
        <f aca="false">H2440*INDEX('Model Inputs &amp; Assumptions'!$G$40:$G$42,MATCH('Model Inputs &amp; Assumptions'!$L$32,'Model Inputs &amp; Assumptions'!$A$40:$A$42,0))*INDEX('Model Inputs &amp; Assumptions'!$H$40:$H$42,MATCH('Model Inputs &amp; Assumptions'!$L$32,'Model Inputs &amp; Assumptions'!$A$40:$A$42,0))</f>
        <v>45924.843079715</v>
      </c>
      <c r="L2440" s="51" t="n">
        <f aca="false">IFERROR(K2440/I2440,0)</f>
        <v>2.97479920796</v>
      </c>
      <c r="M2440" s="49" t="n">
        <f aca="false">IFERROR(I2440/H2440,0)</f>
        <v>38.1202199115029</v>
      </c>
      <c r="N2440" s="52" t="str">
        <f aca="false">'Model Inputs &amp; Assumptions'!$L$32</f>
        <v>PRD-SP01</v>
      </c>
      <c r="P2440" s="53" t="n">
        <v>0.382004</v>
      </c>
      <c r="Q2440" s="53" t="n">
        <v>0.141626</v>
      </c>
      <c r="R2440" s="53" t="n">
        <v>1.258152</v>
      </c>
      <c r="S2440" s="53" t="n">
        <v>1.425596</v>
      </c>
    </row>
    <row r="2441" customFormat="false" ht="15" hidden="false" customHeight="false" outlineLevel="0" collapsed="false">
      <c r="A2441" s="43" t="n">
        <v>438</v>
      </c>
      <c r="B2441" s="44" t="str">
        <f aca="false">'Model Inputs &amp; Assumptions'!$B$32</f>
        <v>Trade Republic — In-App Display</v>
      </c>
      <c r="C2441" s="45" t="n">
        <f aca="false">ROUND(MAX(0,'Model Inputs &amp; Assumptions'!$S$32*EXP('Model Inputs &amp; Assumptions'!$T$32*P2441-'Model Inputs &amp; Assumptions'!$T$32^2/2)),0)</f>
        <v>1165420</v>
      </c>
      <c r="D2441" s="46" t="n">
        <f aca="false">MIN(1,'Model Inputs &amp; Assumptions'!$U$32*EXP('Model Inputs &amp; Assumptions'!$V$32*Q2441-'Model Inputs &amp; Assumptions'!$V$32^2/2))</f>
        <v>0</v>
      </c>
      <c r="E2441" s="45" t="n">
        <f aca="false">ROUND(C2441*D2441,0)</f>
        <v>0</v>
      </c>
      <c r="F2441" s="47" t="n">
        <f aca="false">MIN(1,'Model Inputs &amp; Assumptions'!$W$32*EXP('Model Inputs &amp; Assumptions'!$X$32*R2441-'Model Inputs &amp; Assumptions'!$X$32^2/2))</f>
        <v>0.0022984223860939</v>
      </c>
      <c r="G2441" s="45" t="n">
        <f aca="false">ROUND(C2441*F2441,0)</f>
        <v>2679</v>
      </c>
      <c r="H2441" s="48" t="n">
        <f aca="false">MAX(0,(C2441*'Model Inputs &amp; Assumptions'!$N$32+E2441*'Model Inputs &amp; Assumptions'!$O$32+G2441*'Model Inputs &amp; Assumptions'!$P$32)*EXP('Model Inputs &amp; Assumptions'!$Q$32*S2441-'Model Inputs &amp; Assumptions'!$Q$32^2/2))</f>
        <v>116.63155697772</v>
      </c>
      <c r="I2441" s="49" t="n">
        <f aca="false">IF('Model Inputs &amp; Assumptions'!$H$32="Fixed",'Model Inputs &amp; Assumptions'!$I$32*'Model Inputs &amp; Assumptions'!$K$32,IF('Model Inputs &amp; Assumptions'!$H$32="CPM",'Model Inputs &amp; Assumptions'!$I$32*'Model Inputs &amp; Assumptions'!$K$32*C2441/1000,IF('Model Inputs &amp; Assumptions'!$H$32="CPC",'Model Inputs &amp; Assumptions'!$I$32*'Model Inputs &amp; Assumptions'!$K$32*G2441,0)))</f>
        <v>13985.04</v>
      </c>
      <c r="J2441" s="50" t="n">
        <f aca="false">H2441*INDEX('Model Inputs &amp; Assumptions'!$D$40:$D$42,MATCH('Model Inputs &amp; Assumptions'!$L$32,'Model Inputs &amp; Assumptions'!$A$40:$A$42,0))*INDEX('Model Inputs &amp; Assumptions'!$H$40:$H$42,MATCH('Model Inputs &amp; Assumptions'!$L$32,'Model Inputs &amp; Assumptions'!$A$40:$A$42,0))</f>
        <v>629810.407679688</v>
      </c>
      <c r="K2441" s="49" t="n">
        <f aca="false">H2441*INDEX('Model Inputs &amp; Assumptions'!$G$40:$G$42,MATCH('Model Inputs &amp; Assumptions'!$L$32,'Model Inputs &amp; Assumptions'!$A$40:$A$42,0))*INDEX('Model Inputs &amp; Assumptions'!$H$40:$H$42,MATCH('Model Inputs &amp; Assumptions'!$L$32,'Model Inputs &amp; Assumptions'!$A$40:$A$42,0))</f>
        <v>13226.0185612734</v>
      </c>
      <c r="L2441" s="51" t="n">
        <f aca="false">IFERROR(K2441/I2441,0)</f>
        <v>0.945726187502749</v>
      </c>
      <c r="M2441" s="49" t="n">
        <f aca="false">IFERROR(I2441/H2441,0)</f>
        <v>119.907856521812</v>
      </c>
      <c r="N2441" s="52" t="str">
        <f aca="false">'Model Inputs &amp; Assumptions'!$L$32</f>
        <v>PRD-SP01</v>
      </c>
      <c r="P2441" s="53" t="n">
        <v>0.052532</v>
      </c>
      <c r="Q2441" s="53" t="n">
        <v>-1.828628</v>
      </c>
      <c r="R2441" s="53" t="n">
        <v>-1.2518</v>
      </c>
      <c r="S2441" s="53" t="n">
        <v>0.021835</v>
      </c>
    </row>
    <row r="2442" customFormat="false" ht="15" hidden="false" customHeight="false" outlineLevel="0" collapsed="false">
      <c r="A2442" s="43" t="n">
        <v>439</v>
      </c>
      <c r="B2442" s="44" t="str">
        <f aca="false">'Model Inputs &amp; Assumptions'!$B$32</f>
        <v>Trade Republic — In-App Display</v>
      </c>
      <c r="C2442" s="45" t="n">
        <f aca="false">ROUND(MAX(0,'Model Inputs &amp; Assumptions'!$S$32*EXP('Model Inputs &amp; Assumptions'!$T$32*P2442-'Model Inputs &amp; Assumptions'!$T$32^2/2)),0)</f>
        <v>992516</v>
      </c>
      <c r="D2442" s="46" t="n">
        <f aca="false">MIN(1,'Model Inputs &amp; Assumptions'!$U$32*EXP('Model Inputs &amp; Assumptions'!$V$32*Q2442-'Model Inputs &amp; Assumptions'!$V$32^2/2))</f>
        <v>0</v>
      </c>
      <c r="E2442" s="45" t="n">
        <f aca="false">ROUND(C2442*D2442,0)</f>
        <v>0</v>
      </c>
      <c r="F2442" s="47" t="n">
        <f aca="false">MIN(1,'Model Inputs &amp; Assumptions'!$W$32*EXP('Model Inputs &amp; Assumptions'!$X$32*R2442-'Model Inputs &amp; Assumptions'!$X$32^2/2))</f>
        <v>0.00144733866779031</v>
      </c>
      <c r="G2442" s="45" t="n">
        <f aca="false">ROUND(C2442*F2442,0)</f>
        <v>1437</v>
      </c>
      <c r="H2442" s="48" t="n">
        <f aca="false">MAX(0,(C2442*'Model Inputs &amp; Assumptions'!$N$32+E2442*'Model Inputs &amp; Assumptions'!$O$32+G2442*'Model Inputs &amp; Assumptions'!$P$32)*EXP('Model Inputs &amp; Assumptions'!$Q$32*S2442-'Model Inputs &amp; Assumptions'!$Q$32^2/2))</f>
        <v>82.2747105601694</v>
      </c>
      <c r="I2442" s="49" t="n">
        <f aca="false">IF('Model Inputs &amp; Assumptions'!$H$32="Fixed",'Model Inputs &amp; Assumptions'!$I$32*'Model Inputs &amp; Assumptions'!$K$32,IF('Model Inputs &amp; Assumptions'!$H$32="CPM",'Model Inputs &amp; Assumptions'!$I$32*'Model Inputs &amp; Assumptions'!$K$32*C2442/1000,IF('Model Inputs &amp; Assumptions'!$H$32="CPC",'Model Inputs &amp; Assumptions'!$I$32*'Model Inputs &amp; Assumptions'!$K$32*G2442,0)))</f>
        <v>11910.192</v>
      </c>
      <c r="J2442" s="50" t="n">
        <f aca="false">H2442*INDEX('Model Inputs &amp; Assumptions'!$D$40:$D$42,MATCH('Model Inputs &amp; Assumptions'!$L$32,'Model Inputs &amp; Assumptions'!$A$40:$A$42,0))*INDEX('Model Inputs &amp; Assumptions'!$H$40:$H$42,MATCH('Model Inputs &amp; Assumptions'!$L$32,'Model Inputs &amp; Assumptions'!$A$40:$A$42,0))</f>
        <v>444283.437024915</v>
      </c>
      <c r="K2442" s="49" t="n">
        <f aca="false">H2442*INDEX('Model Inputs &amp; Assumptions'!$G$40:$G$42,MATCH('Model Inputs &amp; Assumptions'!$L$32,'Model Inputs &amp; Assumptions'!$A$40:$A$42,0))*INDEX('Model Inputs &amp; Assumptions'!$H$40:$H$42,MATCH('Model Inputs &amp; Assumptions'!$L$32,'Model Inputs &amp; Assumptions'!$A$40:$A$42,0))</f>
        <v>9329.95217752321</v>
      </c>
      <c r="L2442" s="51" t="n">
        <f aca="false">IFERROR(K2442/I2442,0)</f>
        <v>0.783358671088024</v>
      </c>
      <c r="M2442" s="49" t="n">
        <f aca="false">IFERROR(I2442/H2442,0)</f>
        <v>144.761274988501</v>
      </c>
      <c r="N2442" s="52" t="str">
        <f aca="false">'Model Inputs &amp; Assumptions'!$L$32</f>
        <v>PRD-SP01</v>
      </c>
      <c r="P2442" s="53" t="n">
        <v>-0.482778</v>
      </c>
      <c r="Q2442" s="53" t="n">
        <v>-0.60998</v>
      </c>
      <c r="R2442" s="53" t="n">
        <v>-2.793455</v>
      </c>
      <c r="S2442" s="53" t="n">
        <v>1.000156</v>
      </c>
    </row>
    <row r="2443" customFormat="false" ht="15" hidden="false" customHeight="false" outlineLevel="0" collapsed="false">
      <c r="A2443" s="43" t="n">
        <v>440</v>
      </c>
      <c r="B2443" s="44" t="str">
        <f aca="false">'Model Inputs &amp; Assumptions'!$B$32</f>
        <v>Trade Republic — In-App Display</v>
      </c>
      <c r="C2443" s="45" t="n">
        <f aca="false">ROUND(MAX(0,'Model Inputs &amp; Assumptions'!$S$32*EXP('Model Inputs &amp; Assumptions'!$T$32*P2443-'Model Inputs &amp; Assumptions'!$T$32^2/2)),0)</f>
        <v>1317215</v>
      </c>
      <c r="D2443" s="46" t="n">
        <f aca="false">MIN(1,'Model Inputs &amp; Assumptions'!$U$32*EXP('Model Inputs &amp; Assumptions'!$V$32*Q2443-'Model Inputs &amp; Assumptions'!$V$32^2/2))</f>
        <v>0</v>
      </c>
      <c r="E2443" s="45" t="n">
        <f aca="false">ROUND(C2443*D2443,0)</f>
        <v>0</v>
      </c>
      <c r="F2443" s="47" t="n">
        <f aca="false">MIN(1,'Model Inputs &amp; Assumptions'!$W$32*EXP('Model Inputs &amp; Assumptions'!$X$32*R2443-'Model Inputs &amp; Assumptions'!$X$32^2/2))</f>
        <v>0.00520153496962809</v>
      </c>
      <c r="G2443" s="45" t="n">
        <f aca="false">ROUND(C2443*F2443,0)</f>
        <v>6852</v>
      </c>
      <c r="H2443" s="48" t="n">
        <f aca="false">MAX(0,(C2443*'Model Inputs &amp; Assumptions'!$N$32+E2443*'Model Inputs &amp; Assumptions'!$O$32+G2443*'Model Inputs &amp; Assumptions'!$P$32)*EXP('Model Inputs &amp; Assumptions'!$Q$32*S2443-'Model Inputs &amp; Assumptions'!$Q$32^2/2))</f>
        <v>275.994216346752</v>
      </c>
      <c r="I2443" s="49" t="n">
        <f aca="false">IF('Model Inputs &amp; Assumptions'!$H$32="Fixed",'Model Inputs &amp; Assumptions'!$I$32*'Model Inputs &amp; Assumptions'!$K$32,IF('Model Inputs &amp; Assumptions'!$H$32="CPM",'Model Inputs &amp; Assumptions'!$I$32*'Model Inputs &amp; Assumptions'!$K$32*C2443/1000,IF('Model Inputs &amp; Assumptions'!$H$32="CPC",'Model Inputs &amp; Assumptions'!$I$32*'Model Inputs &amp; Assumptions'!$K$32*G2443,0)))</f>
        <v>15806.58</v>
      </c>
      <c r="J2443" s="50" t="n">
        <f aca="false">H2443*INDEX('Model Inputs &amp; Assumptions'!$D$40:$D$42,MATCH('Model Inputs &amp; Assumptions'!$L$32,'Model Inputs &amp; Assumptions'!$A$40:$A$42,0))*INDEX('Model Inputs &amp; Assumptions'!$H$40:$H$42,MATCH('Model Inputs &amp; Assumptions'!$L$32,'Model Inputs &amp; Assumptions'!$A$40:$A$42,0))</f>
        <v>1490368.76827246</v>
      </c>
      <c r="K2443" s="49" t="n">
        <f aca="false">H2443*INDEX('Model Inputs &amp; Assumptions'!$G$40:$G$42,MATCH('Model Inputs &amp; Assumptions'!$L$32,'Model Inputs &amp; Assumptions'!$A$40:$A$42,0))*INDEX('Model Inputs &amp; Assumptions'!$H$40:$H$42,MATCH('Model Inputs &amp; Assumptions'!$L$32,'Model Inputs &amp; Assumptions'!$A$40:$A$42,0))</f>
        <v>31297.7441337217</v>
      </c>
      <c r="L2443" s="51" t="n">
        <f aca="false">IFERROR(K2443/I2443,0)</f>
        <v>1.98004528074521</v>
      </c>
      <c r="M2443" s="49" t="n">
        <f aca="false">IFERROR(I2443/H2443,0)</f>
        <v>57.2714175290581</v>
      </c>
      <c r="N2443" s="52" t="str">
        <f aca="false">'Model Inputs &amp; Assumptions'!$L$32</f>
        <v>PRD-SP01</v>
      </c>
      <c r="P2443" s="53" t="n">
        <v>0.46066</v>
      </c>
      <c r="Q2443" s="53" t="n">
        <v>1.251259</v>
      </c>
      <c r="R2443" s="53" t="n">
        <v>1.470636</v>
      </c>
      <c r="S2443" s="53" t="n">
        <v>-0.255797</v>
      </c>
    </row>
    <row r="2444" customFormat="false" ht="15" hidden="false" customHeight="false" outlineLevel="0" collapsed="false">
      <c r="A2444" s="43" t="n">
        <v>441</v>
      </c>
      <c r="B2444" s="44" t="str">
        <f aca="false">'Model Inputs &amp; Assumptions'!$B$32</f>
        <v>Trade Republic — In-App Display</v>
      </c>
      <c r="C2444" s="45" t="n">
        <f aca="false">ROUND(MAX(0,'Model Inputs &amp; Assumptions'!$S$32*EXP('Model Inputs &amp; Assumptions'!$T$32*P2444-'Model Inputs &amp; Assumptions'!$T$32^2/2)),0)</f>
        <v>654985</v>
      </c>
      <c r="D2444" s="46" t="n">
        <f aca="false">MIN(1,'Model Inputs &amp; Assumptions'!$U$32*EXP('Model Inputs &amp; Assumptions'!$V$32*Q2444-'Model Inputs &amp; Assumptions'!$V$32^2/2))</f>
        <v>0</v>
      </c>
      <c r="E2444" s="45" t="n">
        <f aca="false">ROUND(C2444*D2444,0)</f>
        <v>0</v>
      </c>
      <c r="F2444" s="47" t="n">
        <f aca="false">MIN(1,'Model Inputs &amp; Assumptions'!$W$32*EXP('Model Inputs &amp; Assumptions'!$X$32*R2444-'Model Inputs &amp; Assumptions'!$X$32^2/2))</f>
        <v>0.00214799890849139</v>
      </c>
      <c r="G2444" s="45" t="n">
        <f aca="false">ROUND(C2444*F2444,0)</f>
        <v>1407</v>
      </c>
      <c r="H2444" s="48" t="n">
        <f aca="false">MAX(0,(C2444*'Model Inputs &amp; Assumptions'!$N$32+E2444*'Model Inputs &amp; Assumptions'!$O$32+G2444*'Model Inputs &amp; Assumptions'!$P$32)*EXP('Model Inputs &amp; Assumptions'!$Q$32*S2444-'Model Inputs &amp; Assumptions'!$Q$32^2/2))</f>
        <v>43.5856874907623</v>
      </c>
      <c r="I2444" s="49" t="n">
        <f aca="false">IF('Model Inputs &amp; Assumptions'!$H$32="Fixed",'Model Inputs &amp; Assumptions'!$I$32*'Model Inputs &amp; Assumptions'!$K$32,IF('Model Inputs &amp; Assumptions'!$H$32="CPM",'Model Inputs &amp; Assumptions'!$I$32*'Model Inputs &amp; Assumptions'!$K$32*C2444/1000,IF('Model Inputs &amp; Assumptions'!$H$32="CPC",'Model Inputs &amp; Assumptions'!$I$32*'Model Inputs &amp; Assumptions'!$K$32*G2444,0)))</f>
        <v>7859.82</v>
      </c>
      <c r="J2444" s="50" t="n">
        <f aca="false">H2444*INDEX('Model Inputs &amp; Assumptions'!$D$40:$D$42,MATCH('Model Inputs &amp; Assumptions'!$L$32,'Model Inputs &amp; Assumptions'!$A$40:$A$42,0))*INDEX('Model Inputs &amp; Assumptions'!$H$40:$H$42,MATCH('Model Inputs &amp; Assumptions'!$L$32,'Model Inputs &amp; Assumptions'!$A$40:$A$42,0))</f>
        <v>235362.712450116</v>
      </c>
      <c r="K2444" s="49" t="n">
        <f aca="false">H2444*INDEX('Model Inputs &amp; Assumptions'!$G$40:$G$42,MATCH('Model Inputs &amp; Assumptions'!$L$32,'Model Inputs &amp; Assumptions'!$A$40:$A$42,0))*INDEX('Model Inputs &amp; Assumptions'!$H$40:$H$42,MATCH('Model Inputs &amp; Assumptions'!$L$32,'Model Inputs &amp; Assumptions'!$A$40:$A$42,0))</f>
        <v>4942.61696145244</v>
      </c>
      <c r="L2444" s="51" t="n">
        <f aca="false">IFERROR(K2444/I2444,0)</f>
        <v>0.628846075540208</v>
      </c>
      <c r="M2444" s="49" t="n">
        <f aca="false">IFERROR(I2444/H2444,0)</f>
        <v>180.330297684666</v>
      </c>
      <c r="N2444" s="52" t="str">
        <f aca="false">'Model Inputs &amp; Assumptions'!$L$32</f>
        <v>PRD-SP01</v>
      </c>
      <c r="P2444" s="53" t="n">
        <v>-1.868215</v>
      </c>
      <c r="Q2444" s="53" t="n">
        <v>2.574047</v>
      </c>
      <c r="R2444" s="53" t="n">
        <v>-1.477421</v>
      </c>
      <c r="S2444" s="53" t="n">
        <v>-1.193548</v>
      </c>
    </row>
    <row r="2445" customFormat="false" ht="15" hidden="false" customHeight="false" outlineLevel="0" collapsed="false">
      <c r="A2445" s="43" t="n">
        <v>442</v>
      </c>
      <c r="B2445" s="44" t="str">
        <f aca="false">'Model Inputs &amp; Assumptions'!$B$32</f>
        <v>Trade Republic — In-App Display</v>
      </c>
      <c r="C2445" s="45" t="n">
        <f aca="false">ROUND(MAX(0,'Model Inputs &amp; Assumptions'!$S$32*EXP('Model Inputs &amp; Assumptions'!$T$32*P2445-'Model Inputs &amp; Assumptions'!$T$32^2/2)),0)</f>
        <v>1764844</v>
      </c>
      <c r="D2445" s="46" t="n">
        <f aca="false">MIN(1,'Model Inputs &amp; Assumptions'!$U$32*EXP('Model Inputs &amp; Assumptions'!$V$32*Q2445-'Model Inputs &amp; Assumptions'!$V$32^2/2))</f>
        <v>0</v>
      </c>
      <c r="E2445" s="45" t="n">
        <f aca="false">ROUND(C2445*D2445,0)</f>
        <v>0</v>
      </c>
      <c r="F2445" s="47" t="n">
        <f aca="false">MIN(1,'Model Inputs &amp; Assumptions'!$W$32*EXP('Model Inputs &amp; Assumptions'!$X$32*R2445-'Model Inputs &amp; Assumptions'!$X$32^2/2))</f>
        <v>0.00416187572671595</v>
      </c>
      <c r="G2445" s="45" t="n">
        <f aca="false">ROUND(C2445*F2445,0)</f>
        <v>7345</v>
      </c>
      <c r="H2445" s="48" t="n">
        <f aca="false">MAX(0,(C2445*'Model Inputs &amp; Assumptions'!$N$32+E2445*'Model Inputs &amp; Assumptions'!$O$32+G2445*'Model Inputs &amp; Assumptions'!$P$32)*EXP('Model Inputs &amp; Assumptions'!$Q$32*S2445-'Model Inputs &amp; Assumptions'!$Q$32^2/2))</f>
        <v>317.460391508442</v>
      </c>
      <c r="I2445" s="49" t="n">
        <f aca="false">IF('Model Inputs &amp; Assumptions'!$H$32="Fixed",'Model Inputs &amp; Assumptions'!$I$32*'Model Inputs &amp; Assumptions'!$K$32,IF('Model Inputs &amp; Assumptions'!$H$32="CPM",'Model Inputs &amp; Assumptions'!$I$32*'Model Inputs &amp; Assumptions'!$K$32*C2445/1000,IF('Model Inputs &amp; Assumptions'!$H$32="CPC",'Model Inputs &amp; Assumptions'!$I$32*'Model Inputs &amp; Assumptions'!$K$32*G2445,0)))</f>
        <v>21178.128</v>
      </c>
      <c r="J2445" s="50" t="n">
        <f aca="false">H2445*INDEX('Model Inputs &amp; Assumptions'!$D$40:$D$42,MATCH('Model Inputs &amp; Assumptions'!$L$32,'Model Inputs &amp; Assumptions'!$A$40:$A$42,0))*INDEX('Model Inputs &amp; Assumptions'!$H$40:$H$42,MATCH('Model Inputs &amp; Assumptions'!$L$32,'Model Inputs &amp; Assumptions'!$A$40:$A$42,0))</f>
        <v>1714286.11414559</v>
      </c>
      <c r="K2445" s="49" t="n">
        <f aca="false">H2445*INDEX('Model Inputs &amp; Assumptions'!$G$40:$G$42,MATCH('Model Inputs &amp; Assumptions'!$L$32,'Model Inputs &amp; Assumptions'!$A$40:$A$42,0))*INDEX('Model Inputs &amp; Assumptions'!$H$40:$H$42,MATCH('Model Inputs &amp; Assumptions'!$L$32,'Model Inputs &amp; Assumptions'!$A$40:$A$42,0))</f>
        <v>36000.0083970573</v>
      </c>
      <c r="L2445" s="51" t="n">
        <f aca="false">IFERROR(K2445/I2445,0)</f>
        <v>1.69986735357617</v>
      </c>
      <c r="M2445" s="49" t="n">
        <f aca="false">IFERROR(I2445/H2445,0)</f>
        <v>66.7110876395326</v>
      </c>
      <c r="N2445" s="52" t="str">
        <f aca="false">'Model Inputs &amp; Assumptions'!$L$32</f>
        <v>PRD-SP01</v>
      </c>
      <c r="P2445" s="53" t="n">
        <v>1.435803</v>
      </c>
      <c r="Q2445" s="53" t="n">
        <v>1.273444</v>
      </c>
      <c r="R2445" s="53" t="n">
        <v>0.727343</v>
      </c>
      <c r="S2445" s="53" t="n">
        <v>-0.004033</v>
      </c>
    </row>
    <row r="2446" customFormat="false" ht="15" hidden="false" customHeight="false" outlineLevel="0" collapsed="false">
      <c r="A2446" s="43" t="n">
        <v>443</v>
      </c>
      <c r="B2446" s="44" t="str">
        <f aca="false">'Model Inputs &amp; Assumptions'!$B$32</f>
        <v>Trade Republic — In-App Display</v>
      </c>
      <c r="C2446" s="45" t="n">
        <f aca="false">ROUND(MAX(0,'Model Inputs &amp; Assumptions'!$S$32*EXP('Model Inputs &amp; Assumptions'!$T$32*P2446-'Model Inputs &amp; Assumptions'!$T$32^2/2)),0)</f>
        <v>1377550</v>
      </c>
      <c r="D2446" s="46" t="n">
        <f aca="false">MIN(1,'Model Inputs &amp; Assumptions'!$U$32*EXP('Model Inputs &amp; Assumptions'!$V$32*Q2446-'Model Inputs &amp; Assumptions'!$V$32^2/2))</f>
        <v>0</v>
      </c>
      <c r="E2446" s="45" t="n">
        <f aca="false">ROUND(C2446*D2446,0)</f>
        <v>0</v>
      </c>
      <c r="F2446" s="47" t="n">
        <f aca="false">MIN(1,'Model Inputs &amp; Assumptions'!$W$32*EXP('Model Inputs &amp; Assumptions'!$X$32*R2446-'Model Inputs &amp; Assumptions'!$X$32^2/2))</f>
        <v>0.004133700325775</v>
      </c>
      <c r="G2446" s="45" t="n">
        <f aca="false">ROUND(C2446*F2446,0)</f>
        <v>5694</v>
      </c>
      <c r="H2446" s="48" t="n">
        <f aca="false">MAX(0,(C2446*'Model Inputs &amp; Assumptions'!$N$32+E2446*'Model Inputs &amp; Assumptions'!$O$32+G2446*'Model Inputs &amp; Assumptions'!$P$32)*EXP('Model Inputs &amp; Assumptions'!$Q$32*S2446-'Model Inputs &amp; Assumptions'!$Q$32^2/2))</f>
        <v>399.908367104611</v>
      </c>
      <c r="I2446" s="49" t="n">
        <f aca="false">IF('Model Inputs &amp; Assumptions'!$H$32="Fixed",'Model Inputs &amp; Assumptions'!$I$32*'Model Inputs &amp; Assumptions'!$K$32,IF('Model Inputs &amp; Assumptions'!$H$32="CPM",'Model Inputs &amp; Assumptions'!$I$32*'Model Inputs &amp; Assumptions'!$K$32*C2446/1000,IF('Model Inputs &amp; Assumptions'!$H$32="CPC",'Model Inputs &amp; Assumptions'!$I$32*'Model Inputs &amp; Assumptions'!$K$32*G2446,0)))</f>
        <v>16530.6</v>
      </c>
      <c r="J2446" s="50" t="n">
        <f aca="false">H2446*INDEX('Model Inputs &amp; Assumptions'!$D$40:$D$42,MATCH('Model Inputs &amp; Assumptions'!$L$32,'Model Inputs &amp; Assumptions'!$A$40:$A$42,0))*INDEX('Model Inputs &amp; Assumptions'!$H$40:$H$42,MATCH('Model Inputs &amp; Assumptions'!$L$32,'Model Inputs &amp; Assumptions'!$A$40:$A$42,0))</f>
        <v>2159505.1823649</v>
      </c>
      <c r="K2446" s="49" t="n">
        <f aca="false">H2446*INDEX('Model Inputs &amp; Assumptions'!$G$40:$G$42,MATCH('Model Inputs &amp; Assumptions'!$L$32,'Model Inputs &amp; Assumptions'!$A$40:$A$42,0))*INDEX('Model Inputs &amp; Assumptions'!$H$40:$H$42,MATCH('Model Inputs &amp; Assumptions'!$L$32,'Model Inputs &amp; Assumptions'!$A$40:$A$42,0))</f>
        <v>45349.6088296629</v>
      </c>
      <c r="L2446" s="51" t="n">
        <f aca="false">IFERROR(K2446/I2446,0)</f>
        <v>2.7433734304661</v>
      </c>
      <c r="M2446" s="49" t="n">
        <f aca="false">IFERROR(I2446/H2446,0)</f>
        <v>41.335969336385</v>
      </c>
      <c r="N2446" s="52" t="str">
        <f aca="false">'Model Inputs &amp; Assumptions'!$L$32</f>
        <v>PRD-SP01</v>
      </c>
      <c r="P2446" s="53" t="n">
        <v>0.609949</v>
      </c>
      <c r="Q2446" s="53" t="n">
        <v>1.168578</v>
      </c>
      <c r="R2446" s="53" t="n">
        <v>0.7047</v>
      </c>
      <c r="S2446" s="53" t="n">
        <v>1.729857</v>
      </c>
    </row>
    <row r="2447" customFormat="false" ht="15" hidden="false" customHeight="false" outlineLevel="0" collapsed="false">
      <c r="A2447" s="43" t="n">
        <v>444</v>
      </c>
      <c r="B2447" s="44" t="str">
        <f aca="false">'Model Inputs &amp; Assumptions'!$B$32</f>
        <v>Trade Republic — In-App Display</v>
      </c>
      <c r="C2447" s="45" t="n">
        <f aca="false">ROUND(MAX(0,'Model Inputs &amp; Assumptions'!$S$32*EXP('Model Inputs &amp; Assumptions'!$T$32*P2447-'Model Inputs &amp; Assumptions'!$T$32^2/2)),0)</f>
        <v>1622926</v>
      </c>
      <c r="D2447" s="46" t="n">
        <f aca="false">MIN(1,'Model Inputs &amp; Assumptions'!$U$32*EXP('Model Inputs &amp; Assumptions'!$V$32*Q2447-'Model Inputs &amp; Assumptions'!$V$32^2/2))</f>
        <v>0</v>
      </c>
      <c r="E2447" s="45" t="n">
        <f aca="false">ROUND(C2447*D2447,0)</f>
        <v>0</v>
      </c>
      <c r="F2447" s="47" t="n">
        <f aca="false">MIN(1,'Model Inputs &amp; Assumptions'!$W$32*EXP('Model Inputs &amp; Assumptions'!$X$32*R2447-'Model Inputs &amp; Assumptions'!$X$32^2/2))</f>
        <v>0.00380020407217897</v>
      </c>
      <c r="G2447" s="45" t="n">
        <f aca="false">ROUND(C2447*F2447,0)</f>
        <v>6167</v>
      </c>
      <c r="H2447" s="48" t="n">
        <f aca="false">MAX(0,(C2447*'Model Inputs &amp; Assumptions'!$N$32+E2447*'Model Inputs &amp; Assumptions'!$O$32+G2447*'Model Inputs &amp; Assumptions'!$P$32)*EXP('Model Inputs &amp; Assumptions'!$Q$32*S2447-'Model Inputs &amp; Assumptions'!$Q$32^2/2))</f>
        <v>216.99164831663</v>
      </c>
      <c r="I2447" s="49" t="n">
        <f aca="false">IF('Model Inputs &amp; Assumptions'!$H$32="Fixed",'Model Inputs &amp; Assumptions'!$I$32*'Model Inputs &amp; Assumptions'!$K$32,IF('Model Inputs &amp; Assumptions'!$H$32="CPM",'Model Inputs &amp; Assumptions'!$I$32*'Model Inputs &amp; Assumptions'!$K$32*C2447/1000,IF('Model Inputs &amp; Assumptions'!$H$32="CPC",'Model Inputs &amp; Assumptions'!$I$32*'Model Inputs &amp; Assumptions'!$K$32*G2447,0)))</f>
        <v>19475.112</v>
      </c>
      <c r="J2447" s="50" t="n">
        <f aca="false">H2447*INDEX('Model Inputs &amp; Assumptions'!$D$40:$D$42,MATCH('Model Inputs &amp; Assumptions'!$L$32,'Model Inputs &amp; Assumptions'!$A$40:$A$42,0))*INDEX('Model Inputs &amp; Assumptions'!$H$40:$H$42,MATCH('Model Inputs &amp; Assumptions'!$L$32,'Model Inputs &amp; Assumptions'!$A$40:$A$42,0))</f>
        <v>1171754.9009098</v>
      </c>
      <c r="K2447" s="49" t="n">
        <f aca="false">H2447*INDEX('Model Inputs &amp; Assumptions'!$G$40:$G$42,MATCH('Model Inputs &amp; Assumptions'!$L$32,'Model Inputs &amp; Assumptions'!$A$40:$A$42,0))*INDEX('Model Inputs &amp; Assumptions'!$H$40:$H$42,MATCH('Model Inputs &amp; Assumptions'!$L$32,'Model Inputs &amp; Assumptions'!$A$40:$A$42,0))</f>
        <v>24606.8529191058</v>
      </c>
      <c r="L2447" s="51" t="n">
        <f aca="false">IFERROR(K2447/I2447,0)</f>
        <v>1.26350251126185</v>
      </c>
      <c r="M2447" s="49" t="n">
        <f aca="false">IFERROR(I2447/H2447,0)</f>
        <v>89.7505141376793</v>
      </c>
      <c r="N2447" s="52" t="str">
        <f aca="false">'Model Inputs &amp; Assumptions'!$L$32</f>
        <v>PRD-SP01</v>
      </c>
      <c r="P2447" s="53" t="n">
        <v>1.156363</v>
      </c>
      <c r="Q2447" s="53" t="n">
        <v>-1.009367</v>
      </c>
      <c r="R2447" s="53" t="n">
        <v>0.424306</v>
      </c>
      <c r="S2447" s="53" t="n">
        <v>-0.738629</v>
      </c>
    </row>
    <row r="2448" customFormat="false" ht="15" hidden="false" customHeight="false" outlineLevel="0" collapsed="false">
      <c r="A2448" s="43" t="n">
        <v>445</v>
      </c>
      <c r="B2448" s="44" t="str">
        <f aca="false">'Model Inputs &amp; Assumptions'!$B$32</f>
        <v>Trade Republic — In-App Display</v>
      </c>
      <c r="C2448" s="45" t="n">
        <f aca="false">ROUND(MAX(0,'Model Inputs &amp; Assumptions'!$S$32*EXP('Model Inputs &amp; Assumptions'!$T$32*P2448-'Model Inputs &amp; Assumptions'!$T$32^2/2)),0)</f>
        <v>867208</v>
      </c>
      <c r="D2448" s="46" t="n">
        <f aca="false">MIN(1,'Model Inputs &amp; Assumptions'!$U$32*EXP('Model Inputs &amp; Assumptions'!$V$32*Q2448-'Model Inputs &amp; Assumptions'!$V$32^2/2))</f>
        <v>0</v>
      </c>
      <c r="E2448" s="45" t="n">
        <f aca="false">ROUND(C2448*D2448,0)</f>
        <v>0</v>
      </c>
      <c r="F2448" s="47" t="n">
        <f aca="false">MIN(1,'Model Inputs &amp; Assumptions'!$W$32*EXP('Model Inputs &amp; Assumptions'!$X$32*R2448-'Model Inputs &amp; Assumptions'!$X$32^2/2))</f>
        <v>0.00381601761053463</v>
      </c>
      <c r="G2448" s="45" t="n">
        <f aca="false">ROUND(C2448*F2448,0)</f>
        <v>3309</v>
      </c>
      <c r="H2448" s="48" t="n">
        <f aca="false">MAX(0,(C2448*'Model Inputs &amp; Assumptions'!$N$32+E2448*'Model Inputs &amp; Assumptions'!$O$32+G2448*'Model Inputs &amp; Assumptions'!$P$32)*EXP('Model Inputs &amp; Assumptions'!$Q$32*S2448-'Model Inputs &amp; Assumptions'!$Q$32^2/2))</f>
        <v>159.660428606591</v>
      </c>
      <c r="I2448" s="49" t="n">
        <f aca="false">IF('Model Inputs &amp; Assumptions'!$H$32="Fixed",'Model Inputs &amp; Assumptions'!$I$32*'Model Inputs &amp; Assumptions'!$K$32,IF('Model Inputs &amp; Assumptions'!$H$32="CPM",'Model Inputs &amp; Assumptions'!$I$32*'Model Inputs &amp; Assumptions'!$K$32*C2448/1000,IF('Model Inputs &amp; Assumptions'!$H$32="CPC",'Model Inputs &amp; Assumptions'!$I$32*'Model Inputs &amp; Assumptions'!$K$32*G2448,0)))</f>
        <v>10406.496</v>
      </c>
      <c r="J2448" s="50" t="n">
        <f aca="false">H2448*INDEX('Model Inputs &amp; Assumptions'!$D$40:$D$42,MATCH('Model Inputs &amp; Assumptions'!$L$32,'Model Inputs &amp; Assumptions'!$A$40:$A$42,0))*INDEX('Model Inputs &amp; Assumptions'!$H$40:$H$42,MATCH('Model Inputs &amp; Assumptions'!$L$32,'Model Inputs &amp; Assumptions'!$A$40:$A$42,0))</f>
        <v>862166.31447559</v>
      </c>
      <c r="K2448" s="49" t="n">
        <f aca="false">H2448*INDEX('Model Inputs &amp; Assumptions'!$G$40:$G$42,MATCH('Model Inputs &amp; Assumptions'!$L$32,'Model Inputs &amp; Assumptions'!$A$40:$A$42,0))*INDEX('Model Inputs &amp; Assumptions'!$H$40:$H$42,MATCH('Model Inputs &amp; Assumptions'!$L$32,'Model Inputs &amp; Assumptions'!$A$40:$A$42,0))</f>
        <v>18105.4926039874</v>
      </c>
      <c r="L2448" s="51" t="n">
        <f aca="false">IFERROR(K2448/I2448,0)</f>
        <v>1.73982602827958</v>
      </c>
      <c r="M2448" s="49" t="n">
        <f aca="false">IFERROR(I2448/H2448,0)</f>
        <v>65.1789306268368</v>
      </c>
      <c r="N2448" s="52" t="str">
        <f aca="false">'Model Inputs &amp; Assumptions'!$L$32</f>
        <v>PRD-SP01</v>
      </c>
      <c r="P2448" s="53" t="n">
        <v>-0.932659</v>
      </c>
      <c r="Q2448" s="53" t="n">
        <v>-1.389002</v>
      </c>
      <c r="R2448" s="53" t="n">
        <v>0.438148</v>
      </c>
      <c r="S2448" s="53" t="n">
        <v>0.389074</v>
      </c>
    </row>
    <row r="2449" customFormat="false" ht="15" hidden="false" customHeight="false" outlineLevel="0" collapsed="false">
      <c r="A2449" s="43" t="n">
        <v>446</v>
      </c>
      <c r="B2449" s="44" t="str">
        <f aca="false">'Model Inputs &amp; Assumptions'!$B$32</f>
        <v>Trade Republic — In-App Display</v>
      </c>
      <c r="C2449" s="45" t="n">
        <f aca="false">ROUND(MAX(0,'Model Inputs &amp; Assumptions'!$S$32*EXP('Model Inputs &amp; Assumptions'!$T$32*P2449-'Model Inputs &amp; Assumptions'!$T$32^2/2)),0)</f>
        <v>958842</v>
      </c>
      <c r="D2449" s="46" t="n">
        <f aca="false">MIN(1,'Model Inputs &amp; Assumptions'!$U$32*EXP('Model Inputs &amp; Assumptions'!$V$32*Q2449-'Model Inputs &amp; Assumptions'!$V$32^2/2))</f>
        <v>0</v>
      </c>
      <c r="E2449" s="45" t="n">
        <f aca="false">ROUND(C2449*D2449,0)</f>
        <v>0</v>
      </c>
      <c r="F2449" s="47" t="n">
        <f aca="false">MIN(1,'Model Inputs &amp; Assumptions'!$W$32*EXP('Model Inputs &amp; Assumptions'!$X$32*R2449-'Model Inputs &amp; Assumptions'!$X$32^2/2))</f>
        <v>0.00240461129908973</v>
      </c>
      <c r="G2449" s="45" t="n">
        <f aca="false">ROUND(C2449*F2449,0)</f>
        <v>2306</v>
      </c>
      <c r="H2449" s="48" t="n">
        <f aca="false">MAX(0,(C2449*'Model Inputs &amp; Assumptions'!$N$32+E2449*'Model Inputs &amp; Assumptions'!$O$32+G2449*'Model Inputs &amp; Assumptions'!$P$32)*EXP('Model Inputs &amp; Assumptions'!$Q$32*S2449-'Model Inputs &amp; Assumptions'!$Q$32^2/2))</f>
        <v>64.222133613665</v>
      </c>
      <c r="I2449" s="49" t="n">
        <f aca="false">IF('Model Inputs &amp; Assumptions'!$H$32="Fixed",'Model Inputs &amp; Assumptions'!$I$32*'Model Inputs &amp; Assumptions'!$K$32,IF('Model Inputs &amp; Assumptions'!$H$32="CPM",'Model Inputs &amp; Assumptions'!$I$32*'Model Inputs &amp; Assumptions'!$K$32*C2449/1000,IF('Model Inputs &amp; Assumptions'!$H$32="CPC",'Model Inputs &amp; Assumptions'!$I$32*'Model Inputs &amp; Assumptions'!$K$32*G2449,0)))</f>
        <v>11506.104</v>
      </c>
      <c r="J2449" s="50" t="n">
        <f aca="false">H2449*INDEX('Model Inputs &amp; Assumptions'!$D$40:$D$42,MATCH('Model Inputs &amp; Assumptions'!$L$32,'Model Inputs &amp; Assumptions'!$A$40:$A$42,0))*INDEX('Model Inputs &amp; Assumptions'!$H$40:$H$42,MATCH('Model Inputs &amp; Assumptions'!$L$32,'Model Inputs &amp; Assumptions'!$A$40:$A$42,0))</f>
        <v>346799.521513791</v>
      </c>
      <c r="K2449" s="49" t="n">
        <f aca="false">H2449*INDEX('Model Inputs &amp; Assumptions'!$G$40:$G$42,MATCH('Model Inputs &amp; Assumptions'!$L$32,'Model Inputs &amp; Assumptions'!$A$40:$A$42,0))*INDEX('Model Inputs &amp; Assumptions'!$H$40:$H$42,MATCH('Model Inputs &amp; Assumptions'!$L$32,'Model Inputs &amp; Assumptions'!$A$40:$A$42,0))</f>
        <v>7282.78995178961</v>
      </c>
      <c r="L2449" s="51" t="n">
        <f aca="false">IFERROR(K2449/I2449,0)</f>
        <v>0.632950123846404</v>
      </c>
      <c r="M2449" s="49" t="n">
        <f aca="false">IFERROR(I2449/H2449,0)</f>
        <v>179.161036119046</v>
      </c>
      <c r="N2449" s="52" t="str">
        <f aca="false">'Model Inputs &amp; Assumptions'!$L$32</f>
        <v>PRD-SP01</v>
      </c>
      <c r="P2449" s="53" t="n">
        <v>-0.597834</v>
      </c>
      <c r="Q2449" s="53" t="n">
        <v>-1.571311</v>
      </c>
      <c r="R2449" s="53" t="n">
        <v>-1.101249</v>
      </c>
      <c r="S2449" s="53" t="n">
        <v>-1.573675</v>
      </c>
    </row>
    <row r="2450" customFormat="false" ht="15" hidden="false" customHeight="false" outlineLevel="0" collapsed="false">
      <c r="A2450" s="43" t="n">
        <v>447</v>
      </c>
      <c r="B2450" s="44" t="str">
        <f aca="false">'Model Inputs &amp; Assumptions'!$B$32</f>
        <v>Trade Republic — In-App Display</v>
      </c>
      <c r="C2450" s="45" t="n">
        <f aca="false">ROUND(MAX(0,'Model Inputs &amp; Assumptions'!$S$32*EXP('Model Inputs &amp; Assumptions'!$T$32*P2450-'Model Inputs &amp; Assumptions'!$T$32^2/2)),0)</f>
        <v>943685</v>
      </c>
      <c r="D2450" s="46" t="n">
        <f aca="false">MIN(1,'Model Inputs &amp; Assumptions'!$U$32*EXP('Model Inputs &amp; Assumptions'!$V$32*Q2450-'Model Inputs &amp; Assumptions'!$V$32^2/2))</f>
        <v>0</v>
      </c>
      <c r="E2450" s="45" t="n">
        <f aca="false">ROUND(C2450*D2450,0)</f>
        <v>0</v>
      </c>
      <c r="F2450" s="47" t="n">
        <f aca="false">MIN(1,'Model Inputs &amp; Assumptions'!$W$32*EXP('Model Inputs &amp; Assumptions'!$X$32*R2450-'Model Inputs &amp; Assumptions'!$X$32^2/2))</f>
        <v>0.00478607360450395</v>
      </c>
      <c r="G2450" s="45" t="n">
        <f aca="false">ROUND(C2450*F2450,0)</f>
        <v>4517</v>
      </c>
      <c r="H2450" s="48" t="n">
        <f aca="false">MAX(0,(C2450*'Model Inputs &amp; Assumptions'!$N$32+E2450*'Model Inputs &amp; Assumptions'!$O$32+G2450*'Model Inputs &amp; Assumptions'!$P$32)*EXP('Model Inputs &amp; Assumptions'!$Q$32*S2450-'Model Inputs &amp; Assumptions'!$Q$32^2/2))</f>
        <v>178.662306188375</v>
      </c>
      <c r="I2450" s="49" t="n">
        <f aca="false">IF('Model Inputs &amp; Assumptions'!$H$32="Fixed",'Model Inputs &amp; Assumptions'!$I$32*'Model Inputs &amp; Assumptions'!$K$32,IF('Model Inputs &amp; Assumptions'!$H$32="CPM",'Model Inputs &amp; Assumptions'!$I$32*'Model Inputs &amp; Assumptions'!$K$32*C2450/1000,IF('Model Inputs &amp; Assumptions'!$H$32="CPC",'Model Inputs &amp; Assumptions'!$I$32*'Model Inputs &amp; Assumptions'!$K$32*G2450,0)))</f>
        <v>11324.22</v>
      </c>
      <c r="J2450" s="50" t="n">
        <f aca="false">H2450*INDEX('Model Inputs &amp; Assumptions'!$D$40:$D$42,MATCH('Model Inputs &amp; Assumptions'!$L$32,'Model Inputs &amp; Assumptions'!$A$40:$A$42,0))*INDEX('Model Inputs &amp; Assumptions'!$H$40:$H$42,MATCH('Model Inputs &amp; Assumptions'!$L$32,'Model Inputs &amp; Assumptions'!$A$40:$A$42,0))</f>
        <v>964776.453417223</v>
      </c>
      <c r="K2450" s="49" t="n">
        <f aca="false">H2450*INDEX('Model Inputs &amp; Assumptions'!$G$40:$G$42,MATCH('Model Inputs &amp; Assumptions'!$L$32,'Model Inputs &amp; Assumptions'!$A$40:$A$42,0))*INDEX('Model Inputs &amp; Assumptions'!$H$40:$H$42,MATCH('Model Inputs &amp; Assumptions'!$L$32,'Model Inputs &amp; Assumptions'!$A$40:$A$42,0))</f>
        <v>20260.3055217617</v>
      </c>
      <c r="L2450" s="51" t="n">
        <f aca="false">IFERROR(K2450/I2450,0)</f>
        <v>1.78911267369953</v>
      </c>
      <c r="M2450" s="49" t="n">
        <f aca="false">IFERROR(I2450/H2450,0)</f>
        <v>63.3833752714475</v>
      </c>
      <c r="N2450" s="52" t="str">
        <f aca="false">'Model Inputs &amp; Assumptions'!$L$32</f>
        <v>PRD-SP01</v>
      </c>
      <c r="P2450" s="53" t="n">
        <v>-0.650948</v>
      </c>
      <c r="Q2450" s="53" t="n">
        <v>-0.936428</v>
      </c>
      <c r="R2450" s="53" t="n">
        <v>1.193158</v>
      </c>
      <c r="S2450" s="53" t="n">
        <v>-0.320761</v>
      </c>
    </row>
    <row r="2451" customFormat="false" ht="15" hidden="false" customHeight="false" outlineLevel="0" collapsed="false">
      <c r="A2451" s="43" t="n">
        <v>448</v>
      </c>
      <c r="B2451" s="44" t="str">
        <f aca="false">'Model Inputs &amp; Assumptions'!$B$32</f>
        <v>Trade Republic — In-App Display</v>
      </c>
      <c r="C2451" s="45" t="n">
        <f aca="false">ROUND(MAX(0,'Model Inputs &amp; Assumptions'!$S$32*EXP('Model Inputs &amp; Assumptions'!$T$32*P2451-'Model Inputs &amp; Assumptions'!$T$32^2/2)),0)</f>
        <v>750344</v>
      </c>
      <c r="D2451" s="46" t="n">
        <f aca="false">MIN(1,'Model Inputs &amp; Assumptions'!$U$32*EXP('Model Inputs &amp; Assumptions'!$V$32*Q2451-'Model Inputs &amp; Assumptions'!$V$32^2/2))</f>
        <v>0</v>
      </c>
      <c r="E2451" s="45" t="n">
        <f aca="false">ROUND(C2451*D2451,0)</f>
        <v>0</v>
      </c>
      <c r="F2451" s="47" t="n">
        <f aca="false">MIN(1,'Model Inputs &amp; Assumptions'!$W$32*EXP('Model Inputs &amp; Assumptions'!$X$32*R2451-'Model Inputs &amp; Assumptions'!$X$32^2/2))</f>
        <v>0.00344399959336654</v>
      </c>
      <c r="G2451" s="45" t="n">
        <f aca="false">ROUND(C2451*F2451,0)</f>
        <v>2584</v>
      </c>
      <c r="H2451" s="48" t="n">
        <f aca="false">MAX(0,(C2451*'Model Inputs &amp; Assumptions'!$N$32+E2451*'Model Inputs &amp; Assumptions'!$O$32+G2451*'Model Inputs &amp; Assumptions'!$P$32)*EXP('Model Inputs &amp; Assumptions'!$Q$32*S2451-'Model Inputs &amp; Assumptions'!$Q$32^2/2))</f>
        <v>137.996350021889</v>
      </c>
      <c r="I2451" s="49" t="n">
        <f aca="false">IF('Model Inputs &amp; Assumptions'!$H$32="Fixed",'Model Inputs &amp; Assumptions'!$I$32*'Model Inputs &amp; Assumptions'!$K$32,IF('Model Inputs &amp; Assumptions'!$H$32="CPM",'Model Inputs &amp; Assumptions'!$I$32*'Model Inputs &amp; Assumptions'!$K$32*C2451/1000,IF('Model Inputs &amp; Assumptions'!$H$32="CPC",'Model Inputs &amp; Assumptions'!$I$32*'Model Inputs &amp; Assumptions'!$K$32*G2451,0)))</f>
        <v>9004.128</v>
      </c>
      <c r="J2451" s="50" t="n">
        <f aca="false">H2451*INDEX('Model Inputs &amp; Assumptions'!$D$40:$D$42,MATCH('Model Inputs &amp; Assumptions'!$L$32,'Model Inputs &amp; Assumptions'!$A$40:$A$42,0))*INDEX('Model Inputs &amp; Assumptions'!$H$40:$H$42,MATCH('Model Inputs &amp; Assumptions'!$L$32,'Model Inputs &amp; Assumptions'!$A$40:$A$42,0))</f>
        <v>745180.290118201</v>
      </c>
      <c r="K2451" s="49" t="n">
        <f aca="false">H2451*INDEX('Model Inputs &amp; Assumptions'!$G$40:$G$42,MATCH('Model Inputs &amp; Assumptions'!$L$32,'Model Inputs &amp; Assumptions'!$A$40:$A$42,0))*INDEX('Model Inputs &amp; Assumptions'!$H$40:$H$42,MATCH('Model Inputs &amp; Assumptions'!$L$32,'Model Inputs &amp; Assumptions'!$A$40:$A$42,0))</f>
        <v>15648.7860924822</v>
      </c>
      <c r="L2451" s="51" t="n">
        <f aca="false">IFERROR(K2451/I2451,0)</f>
        <v>1.73795686739263</v>
      </c>
      <c r="M2451" s="49" t="n">
        <f aca="false">IFERROR(I2451/H2451,0)</f>
        <v>65.2490301270415</v>
      </c>
      <c r="N2451" s="52" t="str">
        <f aca="false">'Model Inputs &amp; Assumptions'!$L$32</f>
        <v>PRD-SP01</v>
      </c>
      <c r="P2451" s="53" t="n">
        <v>-1.41515</v>
      </c>
      <c r="Q2451" s="53" t="n">
        <v>0.218212</v>
      </c>
      <c r="R2451" s="53" t="n">
        <v>0.096235</v>
      </c>
      <c r="S2451" s="53" t="n">
        <v>0.751522</v>
      </c>
    </row>
    <row r="2452" customFormat="false" ht="15" hidden="false" customHeight="false" outlineLevel="0" collapsed="false">
      <c r="A2452" s="43" t="n">
        <v>449</v>
      </c>
      <c r="B2452" s="44" t="str">
        <f aca="false">'Model Inputs &amp; Assumptions'!$B$32</f>
        <v>Trade Republic — In-App Display</v>
      </c>
      <c r="C2452" s="45" t="n">
        <f aca="false">ROUND(MAX(0,'Model Inputs &amp; Assumptions'!$S$32*EXP('Model Inputs &amp; Assumptions'!$T$32*P2452-'Model Inputs &amp; Assumptions'!$T$32^2/2)),0)</f>
        <v>1376716</v>
      </c>
      <c r="D2452" s="46" t="n">
        <f aca="false">MIN(1,'Model Inputs &amp; Assumptions'!$U$32*EXP('Model Inputs &amp; Assumptions'!$V$32*Q2452-'Model Inputs &amp; Assumptions'!$V$32^2/2))</f>
        <v>0</v>
      </c>
      <c r="E2452" s="45" t="n">
        <f aca="false">ROUND(C2452*D2452,0)</f>
        <v>0</v>
      </c>
      <c r="F2452" s="47" t="n">
        <f aca="false">MIN(1,'Model Inputs &amp; Assumptions'!$W$32*EXP('Model Inputs &amp; Assumptions'!$X$32*R2452-'Model Inputs &amp; Assumptions'!$X$32^2/2))</f>
        <v>0.00190364785373715</v>
      </c>
      <c r="G2452" s="45" t="n">
        <f aca="false">ROUND(C2452*F2452,0)</f>
        <v>2621</v>
      </c>
      <c r="H2452" s="48" t="n">
        <f aca="false">MAX(0,(C2452*'Model Inputs &amp; Assumptions'!$N$32+E2452*'Model Inputs &amp; Assumptions'!$O$32+G2452*'Model Inputs &amp; Assumptions'!$P$32)*EXP('Model Inputs &amp; Assumptions'!$Q$32*S2452-'Model Inputs &amp; Assumptions'!$Q$32^2/2))</f>
        <v>66.8072370744104</v>
      </c>
      <c r="I2452" s="49" t="n">
        <f aca="false">IF('Model Inputs &amp; Assumptions'!$H$32="Fixed",'Model Inputs &amp; Assumptions'!$I$32*'Model Inputs &amp; Assumptions'!$K$32,IF('Model Inputs &amp; Assumptions'!$H$32="CPM",'Model Inputs &amp; Assumptions'!$I$32*'Model Inputs &amp; Assumptions'!$K$32*C2452/1000,IF('Model Inputs &amp; Assumptions'!$H$32="CPC",'Model Inputs &amp; Assumptions'!$I$32*'Model Inputs &amp; Assumptions'!$K$32*G2452,0)))</f>
        <v>16520.592</v>
      </c>
      <c r="J2452" s="50" t="n">
        <f aca="false">H2452*INDEX('Model Inputs &amp; Assumptions'!$D$40:$D$42,MATCH('Model Inputs &amp; Assumptions'!$L$32,'Model Inputs &amp; Assumptions'!$A$40:$A$42,0))*INDEX('Model Inputs &amp; Assumptions'!$H$40:$H$42,MATCH('Model Inputs &amp; Assumptions'!$L$32,'Model Inputs &amp; Assumptions'!$A$40:$A$42,0))</f>
        <v>360759.080201816</v>
      </c>
      <c r="K2452" s="49" t="n">
        <f aca="false">H2452*INDEX('Model Inputs &amp; Assumptions'!$G$40:$G$42,MATCH('Model Inputs &amp; Assumptions'!$L$32,'Model Inputs &amp; Assumptions'!$A$40:$A$42,0))*INDEX('Model Inputs &amp; Assumptions'!$H$40:$H$42,MATCH('Model Inputs &amp; Assumptions'!$L$32,'Model Inputs &amp; Assumptions'!$A$40:$A$42,0))</f>
        <v>7575.94068423814</v>
      </c>
      <c r="L2452" s="51" t="n">
        <f aca="false">IFERROR(K2452/I2452,0)</f>
        <v>0.458575617885736</v>
      </c>
      <c r="M2452" s="49" t="n">
        <f aca="false">IFERROR(I2452/H2452,0)</f>
        <v>247.287460512687</v>
      </c>
      <c r="N2452" s="52" t="str">
        <f aca="false">'Model Inputs &amp; Assumptions'!$L$32</f>
        <v>PRD-SP01</v>
      </c>
      <c r="P2452" s="53" t="n">
        <v>0.607931</v>
      </c>
      <c r="Q2452" s="53" t="n">
        <v>-1.451215</v>
      </c>
      <c r="R2452" s="53" t="n">
        <v>-1.87997</v>
      </c>
      <c r="S2452" s="53" t="n">
        <v>-1.890025</v>
      </c>
    </row>
    <row r="2453" customFormat="false" ht="15" hidden="false" customHeight="false" outlineLevel="0" collapsed="false">
      <c r="A2453" s="43" t="n">
        <v>450</v>
      </c>
      <c r="B2453" s="44" t="str">
        <f aca="false">'Model Inputs &amp; Assumptions'!$B$32</f>
        <v>Trade Republic — In-App Display</v>
      </c>
      <c r="C2453" s="45" t="n">
        <f aca="false">ROUND(MAX(0,'Model Inputs &amp; Assumptions'!$S$32*EXP('Model Inputs &amp; Assumptions'!$T$32*P2453-'Model Inputs &amp; Assumptions'!$T$32^2/2)),0)</f>
        <v>1106500</v>
      </c>
      <c r="D2453" s="46" t="n">
        <f aca="false">MIN(1,'Model Inputs &amp; Assumptions'!$U$32*EXP('Model Inputs &amp; Assumptions'!$V$32*Q2453-'Model Inputs &amp; Assumptions'!$V$32^2/2))</f>
        <v>0</v>
      </c>
      <c r="E2453" s="45" t="n">
        <f aca="false">ROUND(C2453*D2453,0)</f>
        <v>0</v>
      </c>
      <c r="F2453" s="47" t="n">
        <f aca="false">MIN(1,'Model Inputs &amp; Assumptions'!$W$32*EXP('Model Inputs &amp; Assumptions'!$X$32*R2453-'Model Inputs &amp; Assumptions'!$X$32^2/2))</f>
        <v>0.0029150409522275</v>
      </c>
      <c r="G2453" s="45" t="n">
        <f aca="false">ROUND(C2453*F2453,0)</f>
        <v>3225</v>
      </c>
      <c r="H2453" s="48" t="n">
        <f aca="false">MAX(0,(C2453*'Model Inputs &amp; Assumptions'!$N$32+E2453*'Model Inputs &amp; Assumptions'!$O$32+G2453*'Model Inputs &amp; Assumptions'!$P$32)*EXP('Model Inputs &amp; Assumptions'!$Q$32*S2453-'Model Inputs &amp; Assumptions'!$Q$32^2/2))</f>
        <v>198.167588650192</v>
      </c>
      <c r="I2453" s="49" t="n">
        <f aca="false">IF('Model Inputs &amp; Assumptions'!$H$32="Fixed",'Model Inputs &amp; Assumptions'!$I$32*'Model Inputs &amp; Assumptions'!$K$32,IF('Model Inputs &amp; Assumptions'!$H$32="CPM",'Model Inputs &amp; Assumptions'!$I$32*'Model Inputs &amp; Assumptions'!$K$32*C2453/1000,IF('Model Inputs &amp; Assumptions'!$H$32="CPC",'Model Inputs &amp; Assumptions'!$I$32*'Model Inputs &amp; Assumptions'!$K$32*G2453,0)))</f>
        <v>13278</v>
      </c>
      <c r="J2453" s="50" t="n">
        <f aca="false">H2453*INDEX('Model Inputs &amp; Assumptions'!$D$40:$D$42,MATCH('Model Inputs &amp; Assumptions'!$L$32,'Model Inputs &amp; Assumptions'!$A$40:$A$42,0))*INDEX('Model Inputs &amp; Assumptions'!$H$40:$H$42,MATCH('Model Inputs &amp; Assumptions'!$L$32,'Model Inputs &amp; Assumptions'!$A$40:$A$42,0))</f>
        <v>1070104.97871104</v>
      </c>
      <c r="K2453" s="49" t="n">
        <f aca="false">H2453*INDEX('Model Inputs &amp; Assumptions'!$G$40:$G$42,MATCH('Model Inputs &amp; Assumptions'!$L$32,'Model Inputs &amp; Assumptions'!$A$40:$A$42,0))*INDEX('Model Inputs &amp; Assumptions'!$H$40:$H$42,MATCH('Model Inputs &amp; Assumptions'!$L$32,'Model Inputs &amp; Assumptions'!$A$40:$A$42,0))</f>
        <v>22472.2045529318</v>
      </c>
      <c r="L2453" s="51" t="n">
        <f aca="false">IFERROR(K2453/I2453,0)</f>
        <v>1.69243896316703</v>
      </c>
      <c r="M2453" s="49" t="n">
        <f aca="false">IFERROR(I2453/H2453,0)</f>
        <v>67.0038934744191</v>
      </c>
      <c r="N2453" s="52" t="str">
        <f aca="false">'Model Inputs &amp; Assumptions'!$L$32</f>
        <v>PRD-SP01</v>
      </c>
      <c r="P2453" s="53" t="n">
        <v>-0.120399</v>
      </c>
      <c r="Q2453" s="53" t="n">
        <v>1.885251</v>
      </c>
      <c r="R2453" s="53" t="n">
        <v>-0.459597</v>
      </c>
      <c r="S2453" s="53" t="n">
        <v>1.252563</v>
      </c>
    </row>
    <row r="2454" customFormat="false" ht="15" hidden="false" customHeight="false" outlineLevel="0" collapsed="false">
      <c r="A2454" s="43" t="n">
        <v>451</v>
      </c>
      <c r="B2454" s="44" t="str">
        <f aca="false">'Model Inputs &amp; Assumptions'!$B$32</f>
        <v>Trade Republic — In-App Display</v>
      </c>
      <c r="C2454" s="45" t="n">
        <f aca="false">ROUND(MAX(0,'Model Inputs &amp; Assumptions'!$S$32*EXP('Model Inputs &amp; Assumptions'!$T$32*P2454-'Model Inputs &amp; Assumptions'!$T$32^2/2)),0)</f>
        <v>942252</v>
      </c>
      <c r="D2454" s="46" t="n">
        <f aca="false">MIN(1,'Model Inputs &amp; Assumptions'!$U$32*EXP('Model Inputs &amp; Assumptions'!$V$32*Q2454-'Model Inputs &amp; Assumptions'!$V$32^2/2))</f>
        <v>0</v>
      </c>
      <c r="E2454" s="45" t="n">
        <f aca="false">ROUND(C2454*D2454,0)</f>
        <v>0</v>
      </c>
      <c r="F2454" s="47" t="n">
        <f aca="false">MIN(1,'Model Inputs &amp; Assumptions'!$W$32*EXP('Model Inputs &amp; Assumptions'!$X$32*R2454-'Model Inputs &amp; Assumptions'!$X$32^2/2))</f>
        <v>0.00205851092298072</v>
      </c>
      <c r="G2454" s="45" t="n">
        <f aca="false">ROUND(C2454*F2454,0)</f>
        <v>1940</v>
      </c>
      <c r="H2454" s="48" t="n">
        <f aca="false">MAX(0,(C2454*'Model Inputs &amp; Assumptions'!$N$32+E2454*'Model Inputs &amp; Assumptions'!$O$32+G2454*'Model Inputs &amp; Assumptions'!$P$32)*EXP('Model Inputs &amp; Assumptions'!$Q$32*S2454-'Model Inputs &amp; Assumptions'!$Q$32^2/2))</f>
        <v>108.688259807737</v>
      </c>
      <c r="I2454" s="49" t="n">
        <f aca="false">IF('Model Inputs &amp; Assumptions'!$H$32="Fixed",'Model Inputs &amp; Assumptions'!$I$32*'Model Inputs &amp; Assumptions'!$K$32,IF('Model Inputs &amp; Assumptions'!$H$32="CPM",'Model Inputs &amp; Assumptions'!$I$32*'Model Inputs &amp; Assumptions'!$K$32*C2454/1000,IF('Model Inputs &amp; Assumptions'!$H$32="CPC",'Model Inputs &amp; Assumptions'!$I$32*'Model Inputs &amp; Assumptions'!$K$32*G2454,0)))</f>
        <v>11307.024</v>
      </c>
      <c r="J2454" s="50" t="n">
        <f aca="false">H2454*INDEX('Model Inputs &amp; Assumptions'!$D$40:$D$42,MATCH('Model Inputs &amp; Assumptions'!$L$32,'Model Inputs &amp; Assumptions'!$A$40:$A$42,0))*INDEX('Model Inputs &amp; Assumptions'!$H$40:$H$42,MATCH('Model Inputs &amp; Assumptions'!$L$32,'Model Inputs &amp; Assumptions'!$A$40:$A$42,0))</f>
        <v>586916.602961781</v>
      </c>
      <c r="K2454" s="49" t="n">
        <f aca="false">H2454*INDEX('Model Inputs &amp; Assumptions'!$G$40:$G$42,MATCH('Model Inputs &amp; Assumptions'!$L$32,'Model Inputs &amp; Assumptions'!$A$40:$A$42,0))*INDEX('Model Inputs &amp; Assumptions'!$H$40:$H$42,MATCH('Model Inputs &amp; Assumptions'!$L$32,'Model Inputs &amp; Assumptions'!$A$40:$A$42,0))</f>
        <v>12325.2486621974</v>
      </c>
      <c r="L2454" s="51" t="n">
        <f aca="false">IFERROR(K2454/I2454,0)</f>
        <v>1.09005240125053</v>
      </c>
      <c r="M2454" s="49" t="n">
        <f aca="false">IFERROR(I2454/H2454,0)</f>
        <v>104.031695971593</v>
      </c>
      <c r="N2454" s="52" t="str">
        <f aca="false">'Model Inputs &amp; Assumptions'!$L$32</f>
        <v>PRD-SP01</v>
      </c>
      <c r="P2454" s="53" t="n">
        <v>-0.656015</v>
      </c>
      <c r="Q2454" s="53" t="n">
        <v>1.915076</v>
      </c>
      <c r="R2454" s="53" t="n">
        <v>-1.619267</v>
      </c>
      <c r="S2454" s="53" t="n">
        <v>0.922619</v>
      </c>
    </row>
    <row r="2455" customFormat="false" ht="15" hidden="false" customHeight="false" outlineLevel="0" collapsed="false">
      <c r="A2455" s="43" t="n">
        <v>452</v>
      </c>
      <c r="B2455" s="44" t="str">
        <f aca="false">'Model Inputs &amp; Assumptions'!$B$32</f>
        <v>Trade Republic — In-App Display</v>
      </c>
      <c r="C2455" s="45" t="n">
        <f aca="false">ROUND(MAX(0,'Model Inputs &amp; Assumptions'!$S$32*EXP('Model Inputs &amp; Assumptions'!$T$32*P2455-'Model Inputs &amp; Assumptions'!$T$32^2/2)),0)</f>
        <v>1523287</v>
      </c>
      <c r="D2455" s="46" t="n">
        <f aca="false">MIN(1,'Model Inputs &amp; Assumptions'!$U$32*EXP('Model Inputs &amp; Assumptions'!$V$32*Q2455-'Model Inputs &amp; Assumptions'!$V$32^2/2))</f>
        <v>0</v>
      </c>
      <c r="E2455" s="45" t="n">
        <f aca="false">ROUND(C2455*D2455,0)</f>
        <v>0</v>
      </c>
      <c r="F2455" s="47" t="n">
        <f aca="false">MIN(1,'Model Inputs &amp; Assumptions'!$W$32*EXP('Model Inputs &amp; Assumptions'!$X$32*R2455-'Model Inputs &amp; Assumptions'!$X$32^2/2))</f>
        <v>0.00200062407321744</v>
      </c>
      <c r="G2455" s="45" t="n">
        <f aca="false">ROUND(C2455*F2455,0)</f>
        <v>3048</v>
      </c>
      <c r="H2455" s="48" t="n">
        <f aca="false">MAX(0,(C2455*'Model Inputs &amp; Assumptions'!$N$32+E2455*'Model Inputs &amp; Assumptions'!$O$32+G2455*'Model Inputs &amp; Assumptions'!$P$32)*EXP('Model Inputs &amp; Assumptions'!$Q$32*S2455-'Model Inputs &amp; Assumptions'!$Q$32^2/2))</f>
        <v>132.40995739617</v>
      </c>
      <c r="I2455" s="49" t="n">
        <f aca="false">IF('Model Inputs &amp; Assumptions'!$H$32="Fixed",'Model Inputs &amp; Assumptions'!$I$32*'Model Inputs &amp; Assumptions'!$K$32,IF('Model Inputs &amp; Assumptions'!$H$32="CPM",'Model Inputs &amp; Assumptions'!$I$32*'Model Inputs &amp; Assumptions'!$K$32*C2455/1000,IF('Model Inputs &amp; Assumptions'!$H$32="CPC",'Model Inputs &amp; Assumptions'!$I$32*'Model Inputs &amp; Assumptions'!$K$32*G2455,0)))</f>
        <v>18279.444</v>
      </c>
      <c r="J2455" s="50" t="n">
        <f aca="false">H2455*INDEX('Model Inputs &amp; Assumptions'!$D$40:$D$42,MATCH('Model Inputs &amp; Assumptions'!$L$32,'Model Inputs &amp; Assumptions'!$A$40:$A$42,0))*INDEX('Model Inputs &amp; Assumptions'!$H$40:$H$42,MATCH('Model Inputs &amp; Assumptions'!$L$32,'Model Inputs &amp; Assumptions'!$A$40:$A$42,0))</f>
        <v>715013.769939316</v>
      </c>
      <c r="K2455" s="49" t="n">
        <f aca="false">H2455*INDEX('Model Inputs &amp; Assumptions'!$G$40:$G$42,MATCH('Model Inputs &amp; Assumptions'!$L$32,'Model Inputs &amp; Assumptions'!$A$40:$A$42,0))*INDEX('Model Inputs &amp; Assumptions'!$H$40:$H$42,MATCH('Model Inputs &amp; Assumptions'!$L$32,'Model Inputs &amp; Assumptions'!$A$40:$A$42,0))</f>
        <v>15015.2891687256</v>
      </c>
      <c r="L2455" s="51" t="n">
        <f aca="false">IFERROR(K2455/I2455,0)</f>
        <v>0.821430299998492</v>
      </c>
      <c r="M2455" s="49" t="n">
        <f aca="false">IFERROR(I2455/H2455,0)</f>
        <v>138.051883404116</v>
      </c>
      <c r="N2455" s="52" t="str">
        <f aca="false">'Model Inputs &amp; Assumptions'!$L$32</f>
        <v>PRD-SP01</v>
      </c>
      <c r="P2455" s="53" t="n">
        <v>0.945163</v>
      </c>
      <c r="Q2455" s="53" t="n">
        <v>0.409612</v>
      </c>
      <c r="R2455" s="53" t="n">
        <v>-1.714346</v>
      </c>
      <c r="S2455" s="53" t="n">
        <v>0.014124</v>
      </c>
    </row>
    <row r="2456" customFormat="false" ht="15" hidden="false" customHeight="false" outlineLevel="0" collapsed="false">
      <c r="A2456" s="43" t="n">
        <v>453</v>
      </c>
      <c r="B2456" s="44" t="str">
        <f aca="false">'Model Inputs &amp; Assumptions'!$B$32</f>
        <v>Trade Republic — In-App Display</v>
      </c>
      <c r="C2456" s="45" t="n">
        <f aca="false">ROUND(MAX(0,'Model Inputs &amp; Assumptions'!$S$32*EXP('Model Inputs &amp; Assumptions'!$T$32*P2456-'Model Inputs &amp; Assumptions'!$T$32^2/2)),0)</f>
        <v>1366022</v>
      </c>
      <c r="D2456" s="46" t="n">
        <f aca="false">MIN(1,'Model Inputs &amp; Assumptions'!$U$32*EXP('Model Inputs &amp; Assumptions'!$V$32*Q2456-'Model Inputs &amp; Assumptions'!$V$32^2/2))</f>
        <v>0</v>
      </c>
      <c r="E2456" s="45" t="n">
        <f aca="false">ROUND(C2456*D2456,0)</f>
        <v>0</v>
      </c>
      <c r="F2456" s="47" t="n">
        <f aca="false">MIN(1,'Model Inputs &amp; Assumptions'!$W$32*EXP('Model Inputs &amp; Assumptions'!$X$32*R2456-'Model Inputs &amp; Assumptions'!$X$32^2/2))</f>
        <v>0.00198606276429632</v>
      </c>
      <c r="G2456" s="45" t="n">
        <f aca="false">ROUND(C2456*F2456,0)</f>
        <v>2713</v>
      </c>
      <c r="H2456" s="48" t="n">
        <f aca="false">MAX(0,(C2456*'Model Inputs &amp; Assumptions'!$N$32+E2456*'Model Inputs &amp; Assumptions'!$O$32+G2456*'Model Inputs &amp; Assumptions'!$P$32)*EXP('Model Inputs &amp; Assumptions'!$Q$32*S2456-'Model Inputs &amp; Assumptions'!$Q$32^2/2))</f>
        <v>111.063941326527</v>
      </c>
      <c r="I2456" s="49" t="n">
        <f aca="false">IF('Model Inputs &amp; Assumptions'!$H$32="Fixed",'Model Inputs &amp; Assumptions'!$I$32*'Model Inputs &amp; Assumptions'!$K$32,IF('Model Inputs &amp; Assumptions'!$H$32="CPM",'Model Inputs &amp; Assumptions'!$I$32*'Model Inputs &amp; Assumptions'!$K$32*C2456/1000,IF('Model Inputs &amp; Assumptions'!$H$32="CPC",'Model Inputs &amp; Assumptions'!$I$32*'Model Inputs &amp; Assumptions'!$K$32*G2456,0)))</f>
        <v>16392.264</v>
      </c>
      <c r="J2456" s="50" t="n">
        <f aca="false">H2456*INDEX('Model Inputs &amp; Assumptions'!$D$40:$D$42,MATCH('Model Inputs &amp; Assumptions'!$L$32,'Model Inputs &amp; Assumptions'!$A$40:$A$42,0))*INDEX('Model Inputs &amp; Assumptions'!$H$40:$H$42,MATCH('Model Inputs &amp; Assumptions'!$L$32,'Model Inputs &amp; Assumptions'!$A$40:$A$42,0))</f>
        <v>599745.283163247</v>
      </c>
      <c r="K2456" s="49" t="n">
        <f aca="false">H2456*INDEX('Model Inputs &amp; Assumptions'!$G$40:$G$42,MATCH('Model Inputs &amp; Assumptions'!$L$32,'Model Inputs &amp; Assumptions'!$A$40:$A$42,0))*INDEX('Model Inputs &amp; Assumptions'!$H$40:$H$42,MATCH('Model Inputs &amp; Assumptions'!$L$32,'Model Inputs &amp; Assumptions'!$A$40:$A$42,0))</f>
        <v>12594.6509464282</v>
      </c>
      <c r="L2456" s="51" t="n">
        <f aca="false">IFERROR(K2456/I2456,0)</f>
        <v>0.76832894751013</v>
      </c>
      <c r="M2456" s="49" t="n">
        <f aca="false">IFERROR(I2456/H2456,0)</f>
        <v>147.593033384317</v>
      </c>
      <c r="N2456" s="52" t="str">
        <f aca="false">'Model Inputs &amp; Assumptions'!$L$32</f>
        <v>PRD-SP01</v>
      </c>
      <c r="P2456" s="53" t="n">
        <v>0.581937</v>
      </c>
      <c r="Q2456" s="53" t="n">
        <v>0.653212</v>
      </c>
      <c r="R2456" s="53" t="n">
        <v>-1.738696</v>
      </c>
      <c r="S2456" s="53" t="n">
        <v>-0.197898</v>
      </c>
    </row>
    <row r="2457" customFormat="false" ht="15" hidden="false" customHeight="false" outlineLevel="0" collapsed="false">
      <c r="A2457" s="43" t="n">
        <v>454</v>
      </c>
      <c r="B2457" s="44" t="str">
        <f aca="false">'Model Inputs &amp; Assumptions'!$B$32</f>
        <v>Trade Republic — In-App Display</v>
      </c>
      <c r="C2457" s="45" t="n">
        <f aca="false">ROUND(MAX(0,'Model Inputs &amp; Assumptions'!$S$32*EXP('Model Inputs &amp; Assumptions'!$T$32*P2457-'Model Inputs &amp; Assumptions'!$T$32^2/2)),0)</f>
        <v>1004606</v>
      </c>
      <c r="D2457" s="46" t="n">
        <f aca="false">MIN(1,'Model Inputs &amp; Assumptions'!$U$32*EXP('Model Inputs &amp; Assumptions'!$V$32*Q2457-'Model Inputs &amp; Assumptions'!$V$32^2/2))</f>
        <v>0</v>
      </c>
      <c r="E2457" s="45" t="n">
        <f aca="false">ROUND(C2457*D2457,0)</f>
        <v>0</v>
      </c>
      <c r="F2457" s="47" t="n">
        <f aca="false">MIN(1,'Model Inputs &amp; Assumptions'!$W$32*EXP('Model Inputs &amp; Assumptions'!$X$32*R2457-'Model Inputs &amp; Assumptions'!$X$32^2/2))</f>
        <v>0.00233399027804901</v>
      </c>
      <c r="G2457" s="45" t="n">
        <f aca="false">ROUND(C2457*F2457,0)</f>
        <v>2345</v>
      </c>
      <c r="H2457" s="48" t="n">
        <f aca="false">MAX(0,(C2457*'Model Inputs &amp; Assumptions'!$N$32+E2457*'Model Inputs &amp; Assumptions'!$O$32+G2457*'Model Inputs &amp; Assumptions'!$P$32)*EXP('Model Inputs &amp; Assumptions'!$Q$32*S2457-'Model Inputs &amp; Assumptions'!$Q$32^2/2))</f>
        <v>89.1794660336047</v>
      </c>
      <c r="I2457" s="49" t="n">
        <f aca="false">IF('Model Inputs &amp; Assumptions'!$H$32="Fixed",'Model Inputs &amp; Assumptions'!$I$32*'Model Inputs &amp; Assumptions'!$K$32,IF('Model Inputs &amp; Assumptions'!$H$32="CPM",'Model Inputs &amp; Assumptions'!$I$32*'Model Inputs &amp; Assumptions'!$K$32*C2457/1000,IF('Model Inputs &amp; Assumptions'!$H$32="CPC",'Model Inputs &amp; Assumptions'!$I$32*'Model Inputs &amp; Assumptions'!$K$32*G2457,0)))</f>
        <v>12055.272</v>
      </c>
      <c r="J2457" s="50" t="n">
        <f aca="false">H2457*INDEX('Model Inputs &amp; Assumptions'!$D$40:$D$42,MATCH('Model Inputs &amp; Assumptions'!$L$32,'Model Inputs &amp; Assumptions'!$A$40:$A$42,0))*INDEX('Model Inputs &amp; Assumptions'!$H$40:$H$42,MATCH('Model Inputs &amp; Assumptions'!$L$32,'Model Inputs &amp; Assumptions'!$A$40:$A$42,0))</f>
        <v>481569.116581465</v>
      </c>
      <c r="K2457" s="49" t="n">
        <f aca="false">H2457*INDEX('Model Inputs &amp; Assumptions'!$G$40:$G$42,MATCH('Model Inputs &amp; Assumptions'!$L$32,'Model Inputs &amp; Assumptions'!$A$40:$A$42,0))*INDEX('Model Inputs &amp; Assumptions'!$H$40:$H$42,MATCH('Model Inputs &amp; Assumptions'!$L$32,'Model Inputs &amp; Assumptions'!$A$40:$A$42,0))</f>
        <v>10112.9514482108</v>
      </c>
      <c r="L2457" s="51" t="n">
        <f aca="false">IFERROR(K2457/I2457,0)</f>
        <v>0.838882063234307</v>
      </c>
      <c r="M2457" s="49" t="n">
        <f aca="false">IFERROR(I2457/H2457,0)</f>
        <v>135.179907844002</v>
      </c>
      <c r="N2457" s="52" t="str">
        <f aca="false">'Model Inputs &amp; Assumptions'!$L$32</f>
        <v>PRD-SP01</v>
      </c>
      <c r="P2457" s="53" t="n">
        <v>-0.44242</v>
      </c>
      <c r="Q2457" s="53" t="n">
        <v>1.965617</v>
      </c>
      <c r="R2457" s="53" t="n">
        <v>-1.200612</v>
      </c>
      <c r="S2457" s="53" t="n">
        <v>-0.461061</v>
      </c>
    </row>
    <row r="2458" customFormat="false" ht="15" hidden="false" customHeight="false" outlineLevel="0" collapsed="false">
      <c r="A2458" s="43" t="n">
        <v>455</v>
      </c>
      <c r="B2458" s="44" t="str">
        <f aca="false">'Model Inputs &amp; Assumptions'!$B$32</f>
        <v>Trade Republic — In-App Display</v>
      </c>
      <c r="C2458" s="45" t="n">
        <f aca="false">ROUND(MAX(0,'Model Inputs &amp; Assumptions'!$S$32*EXP('Model Inputs &amp; Assumptions'!$T$32*P2458-'Model Inputs &amp; Assumptions'!$T$32^2/2)),0)</f>
        <v>948585</v>
      </c>
      <c r="D2458" s="46" t="n">
        <f aca="false">MIN(1,'Model Inputs &amp; Assumptions'!$U$32*EXP('Model Inputs &amp; Assumptions'!$V$32*Q2458-'Model Inputs &amp; Assumptions'!$V$32^2/2))</f>
        <v>0</v>
      </c>
      <c r="E2458" s="45" t="n">
        <f aca="false">ROUND(C2458*D2458,0)</f>
        <v>0</v>
      </c>
      <c r="F2458" s="47" t="n">
        <f aca="false">MIN(1,'Model Inputs &amp; Assumptions'!$W$32*EXP('Model Inputs &amp; Assumptions'!$X$32*R2458-'Model Inputs &amp; Assumptions'!$X$32^2/2))</f>
        <v>0.00332733661447179</v>
      </c>
      <c r="G2458" s="45" t="n">
        <f aca="false">ROUND(C2458*F2458,0)</f>
        <v>3156</v>
      </c>
      <c r="H2458" s="48" t="n">
        <f aca="false">MAX(0,(C2458*'Model Inputs &amp; Assumptions'!$N$32+E2458*'Model Inputs &amp; Assumptions'!$O$32+G2458*'Model Inputs &amp; Assumptions'!$P$32)*EXP('Model Inputs &amp; Assumptions'!$Q$32*S2458-'Model Inputs &amp; Assumptions'!$Q$32^2/2))</f>
        <v>104.012026591033</v>
      </c>
      <c r="I2458" s="49" t="n">
        <f aca="false">IF('Model Inputs &amp; Assumptions'!$H$32="Fixed",'Model Inputs &amp; Assumptions'!$I$32*'Model Inputs &amp; Assumptions'!$K$32,IF('Model Inputs &amp; Assumptions'!$H$32="CPM",'Model Inputs &amp; Assumptions'!$I$32*'Model Inputs &amp; Assumptions'!$K$32*C2458/1000,IF('Model Inputs &amp; Assumptions'!$H$32="CPC",'Model Inputs &amp; Assumptions'!$I$32*'Model Inputs &amp; Assumptions'!$K$32*G2458,0)))</f>
        <v>11383.02</v>
      </c>
      <c r="J2458" s="50" t="n">
        <f aca="false">H2458*INDEX('Model Inputs &amp; Assumptions'!$D$40:$D$42,MATCH('Model Inputs &amp; Assumptions'!$L$32,'Model Inputs &amp; Assumptions'!$A$40:$A$42,0))*INDEX('Model Inputs &amp; Assumptions'!$H$40:$H$42,MATCH('Model Inputs &amp; Assumptions'!$L$32,'Model Inputs &amp; Assumptions'!$A$40:$A$42,0))</f>
        <v>561664.943591581</v>
      </c>
      <c r="K2458" s="49" t="n">
        <f aca="false">H2458*INDEX('Model Inputs &amp; Assumptions'!$G$40:$G$42,MATCH('Model Inputs &amp; Assumptions'!$L$32,'Model Inputs &amp; Assumptions'!$A$40:$A$42,0))*INDEX('Model Inputs &amp; Assumptions'!$H$40:$H$42,MATCH('Model Inputs &amp; Assumptions'!$L$32,'Model Inputs &amp; Assumptions'!$A$40:$A$42,0))</f>
        <v>11794.9638154232</v>
      </c>
      <c r="L2458" s="51" t="n">
        <f aca="false">IFERROR(K2458/I2458,0)</f>
        <v>1.03618932545346</v>
      </c>
      <c r="M2458" s="49" t="n">
        <f aca="false">IFERROR(I2458/H2458,0)</f>
        <v>109.439459772831</v>
      </c>
      <c r="N2458" s="52" t="str">
        <f aca="false">'Model Inputs &amp; Assumptions'!$L$32</f>
        <v>PRD-SP01</v>
      </c>
      <c r="P2458" s="53" t="n">
        <v>-0.633684</v>
      </c>
      <c r="Q2458" s="53" t="n">
        <v>0.151755</v>
      </c>
      <c r="R2458" s="53" t="n">
        <v>-0.018636</v>
      </c>
      <c r="S2458" s="53" t="n">
        <v>-0.972362</v>
      </c>
    </row>
    <row r="2459" customFormat="false" ht="15" hidden="false" customHeight="false" outlineLevel="0" collapsed="false">
      <c r="A2459" s="43" t="n">
        <v>456</v>
      </c>
      <c r="B2459" s="44" t="str">
        <f aca="false">'Model Inputs &amp; Assumptions'!$B$32</f>
        <v>Trade Republic — In-App Display</v>
      </c>
      <c r="C2459" s="45" t="n">
        <f aca="false">ROUND(MAX(0,'Model Inputs &amp; Assumptions'!$S$32*EXP('Model Inputs &amp; Assumptions'!$T$32*P2459-'Model Inputs &amp; Assumptions'!$T$32^2/2)),0)</f>
        <v>868571</v>
      </c>
      <c r="D2459" s="46" t="n">
        <f aca="false">MIN(1,'Model Inputs &amp; Assumptions'!$U$32*EXP('Model Inputs &amp; Assumptions'!$V$32*Q2459-'Model Inputs &amp; Assumptions'!$V$32^2/2))</f>
        <v>0</v>
      </c>
      <c r="E2459" s="45" t="n">
        <f aca="false">ROUND(C2459*D2459,0)</f>
        <v>0</v>
      </c>
      <c r="F2459" s="47" t="n">
        <f aca="false">MIN(1,'Model Inputs &amp; Assumptions'!$W$32*EXP('Model Inputs &amp; Assumptions'!$X$32*R2459-'Model Inputs &amp; Assumptions'!$X$32^2/2))</f>
        <v>0.00307771878546323</v>
      </c>
      <c r="G2459" s="45" t="n">
        <f aca="false">ROUND(C2459*F2459,0)</f>
        <v>2673</v>
      </c>
      <c r="H2459" s="48" t="n">
        <f aca="false">MAX(0,(C2459*'Model Inputs &amp; Assumptions'!$N$32+E2459*'Model Inputs &amp; Assumptions'!$O$32+G2459*'Model Inputs &amp; Assumptions'!$P$32)*EXP('Model Inputs &amp; Assumptions'!$Q$32*S2459-'Model Inputs &amp; Assumptions'!$Q$32^2/2))</f>
        <v>110.673400570644</v>
      </c>
      <c r="I2459" s="49" t="n">
        <f aca="false">IF('Model Inputs &amp; Assumptions'!$H$32="Fixed",'Model Inputs &amp; Assumptions'!$I$32*'Model Inputs &amp; Assumptions'!$K$32,IF('Model Inputs &amp; Assumptions'!$H$32="CPM",'Model Inputs &amp; Assumptions'!$I$32*'Model Inputs &amp; Assumptions'!$K$32*C2459/1000,IF('Model Inputs &amp; Assumptions'!$H$32="CPC",'Model Inputs &amp; Assumptions'!$I$32*'Model Inputs &amp; Assumptions'!$K$32*G2459,0)))</f>
        <v>10422.852</v>
      </c>
      <c r="J2459" s="50" t="n">
        <f aca="false">H2459*INDEX('Model Inputs &amp; Assumptions'!$D$40:$D$42,MATCH('Model Inputs &amp; Assumptions'!$L$32,'Model Inputs &amp; Assumptions'!$A$40:$A$42,0))*INDEX('Model Inputs &amp; Assumptions'!$H$40:$H$42,MATCH('Model Inputs &amp; Assumptions'!$L$32,'Model Inputs &amp; Assumptions'!$A$40:$A$42,0))</f>
        <v>597636.36308148</v>
      </c>
      <c r="K2459" s="49" t="n">
        <f aca="false">H2459*INDEX('Model Inputs &amp; Assumptions'!$G$40:$G$42,MATCH('Model Inputs &amp; Assumptions'!$L$32,'Model Inputs &amp; Assumptions'!$A$40:$A$42,0))*INDEX('Model Inputs &amp; Assumptions'!$H$40:$H$42,MATCH('Model Inputs &amp; Assumptions'!$L$32,'Model Inputs &amp; Assumptions'!$A$40:$A$42,0))</f>
        <v>12550.3636247111</v>
      </c>
      <c r="L2459" s="51" t="n">
        <f aca="false">IFERROR(K2459/I2459,0)</f>
        <v>1.20411991120195</v>
      </c>
      <c r="M2459" s="49" t="n">
        <f aca="false">IFERROR(I2459/H2459,0)</f>
        <v>94.176667078617</v>
      </c>
      <c r="N2459" s="52" t="str">
        <f aca="false">'Model Inputs &amp; Assumptions'!$L$32</f>
        <v>PRD-SP01</v>
      </c>
      <c r="P2459" s="53" t="n">
        <v>-0.927424</v>
      </c>
      <c r="Q2459" s="53" t="n">
        <v>2.414249</v>
      </c>
      <c r="R2459" s="53" t="n">
        <v>-0.278581</v>
      </c>
      <c r="S2459" s="53" t="n">
        <v>-0.15743</v>
      </c>
    </row>
    <row r="2460" customFormat="false" ht="15" hidden="false" customHeight="false" outlineLevel="0" collapsed="false">
      <c r="A2460" s="43" t="n">
        <v>457</v>
      </c>
      <c r="B2460" s="44" t="str">
        <f aca="false">'Model Inputs &amp; Assumptions'!$B$32</f>
        <v>Trade Republic — In-App Display</v>
      </c>
      <c r="C2460" s="45" t="n">
        <f aca="false">ROUND(MAX(0,'Model Inputs &amp; Assumptions'!$S$32*EXP('Model Inputs &amp; Assumptions'!$T$32*P2460-'Model Inputs &amp; Assumptions'!$T$32^2/2)),0)</f>
        <v>2101652</v>
      </c>
      <c r="D2460" s="46" t="n">
        <f aca="false">MIN(1,'Model Inputs &amp; Assumptions'!$U$32*EXP('Model Inputs &amp; Assumptions'!$V$32*Q2460-'Model Inputs &amp; Assumptions'!$V$32^2/2))</f>
        <v>0</v>
      </c>
      <c r="E2460" s="45" t="n">
        <f aca="false">ROUND(C2460*D2460,0)</f>
        <v>0</v>
      </c>
      <c r="F2460" s="47" t="n">
        <f aca="false">MIN(1,'Model Inputs &amp; Assumptions'!$W$32*EXP('Model Inputs &amp; Assumptions'!$X$32*R2460-'Model Inputs &amp; Assumptions'!$X$32^2/2))</f>
        <v>0.00274168629847414</v>
      </c>
      <c r="G2460" s="45" t="n">
        <f aca="false">ROUND(C2460*F2460,0)</f>
        <v>5762</v>
      </c>
      <c r="H2460" s="48" t="n">
        <f aca="false">MAX(0,(C2460*'Model Inputs &amp; Assumptions'!$N$32+E2460*'Model Inputs &amp; Assumptions'!$O$32+G2460*'Model Inputs &amp; Assumptions'!$P$32)*EXP('Model Inputs &amp; Assumptions'!$Q$32*S2460-'Model Inputs &amp; Assumptions'!$Q$32^2/2))</f>
        <v>198.848058195277</v>
      </c>
      <c r="I2460" s="49" t="n">
        <f aca="false">IF('Model Inputs &amp; Assumptions'!$H$32="Fixed",'Model Inputs &amp; Assumptions'!$I$32*'Model Inputs &amp; Assumptions'!$K$32,IF('Model Inputs &amp; Assumptions'!$H$32="CPM",'Model Inputs &amp; Assumptions'!$I$32*'Model Inputs &amp; Assumptions'!$K$32*C2460/1000,IF('Model Inputs &amp; Assumptions'!$H$32="CPC",'Model Inputs &amp; Assumptions'!$I$32*'Model Inputs &amp; Assumptions'!$K$32*G2460,0)))</f>
        <v>25219.824</v>
      </c>
      <c r="J2460" s="50" t="n">
        <f aca="false">H2460*INDEX('Model Inputs &amp; Assumptions'!$D$40:$D$42,MATCH('Model Inputs &amp; Assumptions'!$L$32,'Model Inputs &amp; Assumptions'!$A$40:$A$42,0))*INDEX('Model Inputs &amp; Assumptions'!$H$40:$H$42,MATCH('Model Inputs &amp; Assumptions'!$L$32,'Model Inputs &amp; Assumptions'!$A$40:$A$42,0))</f>
        <v>1073779.51425449</v>
      </c>
      <c r="K2460" s="49" t="n">
        <f aca="false">H2460*INDEX('Model Inputs &amp; Assumptions'!$G$40:$G$42,MATCH('Model Inputs &amp; Assumptions'!$L$32,'Model Inputs &amp; Assumptions'!$A$40:$A$42,0))*INDEX('Model Inputs &amp; Assumptions'!$H$40:$H$42,MATCH('Model Inputs &amp; Assumptions'!$L$32,'Model Inputs &amp; Assumptions'!$A$40:$A$42,0))</f>
        <v>22549.3697993444</v>
      </c>
      <c r="L2460" s="51" t="n">
        <f aca="false">IFERROR(K2460/I2460,0)</f>
        <v>0.89411289306953</v>
      </c>
      <c r="M2460" s="49" t="n">
        <f aca="false">IFERROR(I2460/H2460,0)</f>
        <v>126.829621716663</v>
      </c>
      <c r="N2460" s="52" t="str">
        <f aca="false">'Model Inputs &amp; Assumptions'!$L$32</f>
        <v>PRD-SP01</v>
      </c>
      <c r="P2460" s="53" t="n">
        <v>2.018007</v>
      </c>
      <c r="Q2460" s="53" t="n">
        <v>0.555933</v>
      </c>
      <c r="R2460" s="53" t="n">
        <v>-0.663966</v>
      </c>
      <c r="S2460" s="53" t="n">
        <v>-0.807879</v>
      </c>
    </row>
    <row r="2461" customFormat="false" ht="15" hidden="false" customHeight="false" outlineLevel="0" collapsed="false">
      <c r="A2461" s="43" t="n">
        <v>458</v>
      </c>
      <c r="B2461" s="44" t="str">
        <f aca="false">'Model Inputs &amp; Assumptions'!$B$32</f>
        <v>Trade Republic — In-App Display</v>
      </c>
      <c r="C2461" s="45" t="n">
        <f aca="false">ROUND(MAX(0,'Model Inputs &amp; Assumptions'!$S$32*EXP('Model Inputs &amp; Assumptions'!$T$32*P2461-'Model Inputs &amp; Assumptions'!$T$32^2/2)),0)</f>
        <v>1683517</v>
      </c>
      <c r="D2461" s="46" t="n">
        <f aca="false">MIN(1,'Model Inputs &amp; Assumptions'!$U$32*EXP('Model Inputs &amp; Assumptions'!$V$32*Q2461-'Model Inputs &amp; Assumptions'!$V$32^2/2))</f>
        <v>0</v>
      </c>
      <c r="E2461" s="45" t="n">
        <f aca="false">ROUND(C2461*D2461,0)</f>
        <v>0</v>
      </c>
      <c r="F2461" s="47" t="n">
        <f aca="false">MIN(1,'Model Inputs &amp; Assumptions'!$W$32*EXP('Model Inputs &amp; Assumptions'!$X$32*R2461-'Model Inputs &amp; Assumptions'!$X$32^2/2))</f>
        <v>0.00392036424251803</v>
      </c>
      <c r="G2461" s="45" t="n">
        <f aca="false">ROUND(C2461*F2461,0)</f>
        <v>6600</v>
      </c>
      <c r="H2461" s="48" t="n">
        <f aca="false">MAX(0,(C2461*'Model Inputs &amp; Assumptions'!$N$32+E2461*'Model Inputs &amp; Assumptions'!$O$32+G2461*'Model Inputs &amp; Assumptions'!$P$32)*EXP('Model Inputs &amp; Assumptions'!$Q$32*S2461-'Model Inputs &amp; Assumptions'!$Q$32^2/2))</f>
        <v>404.177080017229</v>
      </c>
      <c r="I2461" s="49" t="n">
        <f aca="false">IF('Model Inputs &amp; Assumptions'!$H$32="Fixed",'Model Inputs &amp; Assumptions'!$I$32*'Model Inputs &amp; Assumptions'!$K$32,IF('Model Inputs &amp; Assumptions'!$H$32="CPM",'Model Inputs &amp; Assumptions'!$I$32*'Model Inputs &amp; Assumptions'!$K$32*C2461/1000,IF('Model Inputs &amp; Assumptions'!$H$32="CPC",'Model Inputs &amp; Assumptions'!$I$32*'Model Inputs &amp; Assumptions'!$K$32*G2461,0)))</f>
        <v>20202.204</v>
      </c>
      <c r="J2461" s="50" t="n">
        <f aca="false">H2461*INDEX('Model Inputs &amp; Assumptions'!$D$40:$D$42,MATCH('Model Inputs &amp; Assumptions'!$L$32,'Model Inputs &amp; Assumptions'!$A$40:$A$42,0))*INDEX('Model Inputs &amp; Assumptions'!$H$40:$H$42,MATCH('Model Inputs &amp; Assumptions'!$L$32,'Model Inputs &amp; Assumptions'!$A$40:$A$42,0))</f>
        <v>2182556.23209304</v>
      </c>
      <c r="K2461" s="49" t="n">
        <f aca="false">H2461*INDEX('Model Inputs &amp; Assumptions'!$G$40:$G$42,MATCH('Model Inputs &amp; Assumptions'!$L$32,'Model Inputs &amp; Assumptions'!$A$40:$A$42,0))*INDEX('Model Inputs &amp; Assumptions'!$H$40:$H$42,MATCH('Model Inputs &amp; Assumptions'!$L$32,'Model Inputs &amp; Assumptions'!$A$40:$A$42,0))</f>
        <v>45833.6808739538</v>
      </c>
      <c r="L2461" s="51" t="n">
        <f aca="false">IFERROR(K2461/I2461,0)</f>
        <v>2.26874656220449</v>
      </c>
      <c r="M2461" s="49" t="n">
        <f aca="false">IFERROR(I2461/H2461,0)</f>
        <v>49.9835468135373</v>
      </c>
      <c r="N2461" s="52" t="str">
        <f aca="false">'Model Inputs &amp; Assumptions'!$L$32</f>
        <v>PRD-SP01</v>
      </c>
      <c r="P2461" s="53" t="n">
        <v>1.278545</v>
      </c>
      <c r="Q2461" s="53" t="n">
        <v>1.392137</v>
      </c>
      <c r="R2461" s="53" t="n">
        <v>0.528072</v>
      </c>
      <c r="S2461" s="53" t="n">
        <v>1.240432</v>
      </c>
    </row>
    <row r="2462" customFormat="false" ht="15" hidden="false" customHeight="false" outlineLevel="0" collapsed="false">
      <c r="A2462" s="43" t="n">
        <v>459</v>
      </c>
      <c r="B2462" s="44" t="str">
        <f aca="false">'Model Inputs &amp; Assumptions'!$B$32</f>
        <v>Trade Republic — In-App Display</v>
      </c>
      <c r="C2462" s="45" t="n">
        <f aca="false">ROUND(MAX(0,'Model Inputs &amp; Assumptions'!$S$32*EXP('Model Inputs &amp; Assumptions'!$T$32*P2462-'Model Inputs &amp; Assumptions'!$T$32^2/2)),0)</f>
        <v>1706216</v>
      </c>
      <c r="D2462" s="46" t="n">
        <f aca="false">MIN(1,'Model Inputs &amp; Assumptions'!$U$32*EXP('Model Inputs &amp; Assumptions'!$V$32*Q2462-'Model Inputs &amp; Assumptions'!$V$32^2/2))</f>
        <v>0</v>
      </c>
      <c r="E2462" s="45" t="n">
        <f aca="false">ROUND(C2462*D2462,0)</f>
        <v>0</v>
      </c>
      <c r="F2462" s="47" t="n">
        <f aca="false">MIN(1,'Model Inputs &amp; Assumptions'!$W$32*EXP('Model Inputs &amp; Assumptions'!$X$32*R2462-'Model Inputs &amp; Assumptions'!$X$32^2/2))</f>
        <v>0.0056956388530704</v>
      </c>
      <c r="G2462" s="45" t="n">
        <f aca="false">ROUND(C2462*F2462,0)</f>
        <v>9718</v>
      </c>
      <c r="H2462" s="48" t="n">
        <f aca="false">MAX(0,(C2462*'Model Inputs &amp; Assumptions'!$N$32+E2462*'Model Inputs &amp; Assumptions'!$O$32+G2462*'Model Inputs &amp; Assumptions'!$P$32)*EXP('Model Inputs &amp; Assumptions'!$Q$32*S2462-'Model Inputs &amp; Assumptions'!$Q$32^2/2))</f>
        <v>519.517390665139</v>
      </c>
      <c r="I2462" s="49" t="n">
        <f aca="false">IF('Model Inputs &amp; Assumptions'!$H$32="Fixed",'Model Inputs &amp; Assumptions'!$I$32*'Model Inputs &amp; Assumptions'!$K$32,IF('Model Inputs &amp; Assumptions'!$H$32="CPM",'Model Inputs &amp; Assumptions'!$I$32*'Model Inputs &amp; Assumptions'!$K$32*C2462/1000,IF('Model Inputs &amp; Assumptions'!$H$32="CPC",'Model Inputs &amp; Assumptions'!$I$32*'Model Inputs &amp; Assumptions'!$K$32*G2462,0)))</f>
        <v>20474.592</v>
      </c>
      <c r="J2462" s="50" t="n">
        <f aca="false">H2462*INDEX('Model Inputs &amp; Assumptions'!$D$40:$D$42,MATCH('Model Inputs &amp; Assumptions'!$L$32,'Model Inputs &amp; Assumptions'!$A$40:$A$42,0))*INDEX('Model Inputs &amp; Assumptions'!$H$40:$H$42,MATCH('Model Inputs &amp; Assumptions'!$L$32,'Model Inputs &amp; Assumptions'!$A$40:$A$42,0))</f>
        <v>2805393.90959175</v>
      </c>
      <c r="K2462" s="49" t="n">
        <f aca="false">H2462*INDEX('Model Inputs &amp; Assumptions'!$G$40:$G$42,MATCH('Model Inputs &amp; Assumptions'!$L$32,'Model Inputs &amp; Assumptions'!$A$40:$A$42,0))*INDEX('Model Inputs &amp; Assumptions'!$H$40:$H$42,MATCH('Model Inputs &amp; Assumptions'!$L$32,'Model Inputs &amp; Assumptions'!$A$40:$A$42,0))</f>
        <v>58913.2721014267</v>
      </c>
      <c r="L2462" s="51" t="n">
        <f aca="false">IFERROR(K2462/I2462,0)</f>
        <v>2.87738442365185</v>
      </c>
      <c r="M2462" s="49" t="n">
        <f aca="false">IFERROR(I2462/H2462,0)</f>
        <v>39.4107923389944</v>
      </c>
      <c r="N2462" s="52" t="str">
        <f aca="false">'Model Inputs &amp; Assumptions'!$L$32</f>
        <v>PRD-SP01</v>
      </c>
      <c r="P2462" s="53" t="n">
        <v>1.323189</v>
      </c>
      <c r="Q2462" s="53" t="n">
        <v>-0.414208</v>
      </c>
      <c r="R2462" s="53" t="n">
        <v>1.773126</v>
      </c>
      <c r="S2462" s="53" t="n">
        <v>0.755207</v>
      </c>
    </row>
    <row r="2463" customFormat="false" ht="15" hidden="false" customHeight="false" outlineLevel="0" collapsed="false">
      <c r="A2463" s="43" t="n">
        <v>460</v>
      </c>
      <c r="B2463" s="44" t="str">
        <f aca="false">'Model Inputs &amp; Assumptions'!$B$32</f>
        <v>Trade Republic — In-App Display</v>
      </c>
      <c r="C2463" s="45" t="n">
        <f aca="false">ROUND(MAX(0,'Model Inputs &amp; Assumptions'!$S$32*EXP('Model Inputs &amp; Assumptions'!$T$32*P2463-'Model Inputs &amp; Assumptions'!$T$32^2/2)),0)</f>
        <v>1003121</v>
      </c>
      <c r="D2463" s="46" t="n">
        <f aca="false">MIN(1,'Model Inputs &amp; Assumptions'!$U$32*EXP('Model Inputs &amp; Assumptions'!$V$32*Q2463-'Model Inputs &amp; Assumptions'!$V$32^2/2))</f>
        <v>0</v>
      </c>
      <c r="E2463" s="45" t="n">
        <f aca="false">ROUND(C2463*D2463,0)</f>
        <v>0</v>
      </c>
      <c r="F2463" s="47" t="n">
        <f aca="false">MIN(1,'Model Inputs &amp; Assumptions'!$W$32*EXP('Model Inputs &amp; Assumptions'!$X$32*R2463-'Model Inputs &amp; Assumptions'!$X$32^2/2))</f>
        <v>0.00441997159012477</v>
      </c>
      <c r="G2463" s="45" t="n">
        <f aca="false">ROUND(C2463*F2463,0)</f>
        <v>4434</v>
      </c>
      <c r="H2463" s="48" t="n">
        <f aca="false">MAX(0,(C2463*'Model Inputs &amp; Assumptions'!$N$32+E2463*'Model Inputs &amp; Assumptions'!$O$32+G2463*'Model Inputs &amp; Assumptions'!$P$32)*EXP('Model Inputs &amp; Assumptions'!$Q$32*S2463-'Model Inputs &amp; Assumptions'!$Q$32^2/2))</f>
        <v>251.467360291475</v>
      </c>
      <c r="I2463" s="49" t="n">
        <f aca="false">IF('Model Inputs &amp; Assumptions'!$H$32="Fixed",'Model Inputs &amp; Assumptions'!$I$32*'Model Inputs &amp; Assumptions'!$K$32,IF('Model Inputs &amp; Assumptions'!$H$32="CPM",'Model Inputs &amp; Assumptions'!$I$32*'Model Inputs &amp; Assumptions'!$K$32*C2463/1000,IF('Model Inputs &amp; Assumptions'!$H$32="CPC",'Model Inputs &amp; Assumptions'!$I$32*'Model Inputs &amp; Assumptions'!$K$32*G2463,0)))</f>
        <v>12037.452</v>
      </c>
      <c r="J2463" s="50" t="n">
        <f aca="false">H2463*INDEX('Model Inputs &amp; Assumptions'!$D$40:$D$42,MATCH('Model Inputs &amp; Assumptions'!$L$32,'Model Inputs &amp; Assumptions'!$A$40:$A$42,0))*INDEX('Model Inputs &amp; Assumptions'!$H$40:$H$42,MATCH('Model Inputs &amp; Assumptions'!$L$32,'Model Inputs &amp; Assumptions'!$A$40:$A$42,0))</f>
        <v>1357923.74557396</v>
      </c>
      <c r="K2463" s="49" t="n">
        <f aca="false">H2463*INDEX('Model Inputs &amp; Assumptions'!$G$40:$G$42,MATCH('Model Inputs &amp; Assumptions'!$L$32,'Model Inputs &amp; Assumptions'!$A$40:$A$42,0))*INDEX('Model Inputs &amp; Assumptions'!$H$40:$H$42,MATCH('Model Inputs &amp; Assumptions'!$L$32,'Model Inputs &amp; Assumptions'!$A$40:$A$42,0))</f>
        <v>28516.3986570532</v>
      </c>
      <c r="L2463" s="51" t="n">
        <f aca="false">IFERROR(K2463/I2463,0)</f>
        <v>2.36897299005248</v>
      </c>
      <c r="M2463" s="49" t="n">
        <f aca="false">IFERROR(I2463/H2463,0)</f>
        <v>47.8688446327485</v>
      </c>
      <c r="N2463" s="52" t="str">
        <f aca="false">'Model Inputs &amp; Assumptions'!$L$32</f>
        <v>PRD-SP01</v>
      </c>
      <c r="P2463" s="53" t="n">
        <v>-0.447351</v>
      </c>
      <c r="Q2463" s="53" t="n">
        <v>0.263956</v>
      </c>
      <c r="R2463" s="53" t="n">
        <v>0.927901</v>
      </c>
      <c r="S2463" s="53" t="n">
        <v>0.966245</v>
      </c>
    </row>
    <row r="2464" customFormat="false" ht="15" hidden="false" customHeight="false" outlineLevel="0" collapsed="false">
      <c r="A2464" s="43" t="n">
        <v>461</v>
      </c>
      <c r="B2464" s="44" t="str">
        <f aca="false">'Model Inputs &amp; Assumptions'!$B$32</f>
        <v>Trade Republic — In-App Display</v>
      </c>
      <c r="C2464" s="45" t="n">
        <f aca="false">ROUND(MAX(0,'Model Inputs &amp; Assumptions'!$S$32*EXP('Model Inputs &amp; Assumptions'!$T$32*P2464-'Model Inputs &amp; Assumptions'!$T$32^2/2)),0)</f>
        <v>1679682</v>
      </c>
      <c r="D2464" s="46" t="n">
        <f aca="false">MIN(1,'Model Inputs &amp; Assumptions'!$U$32*EXP('Model Inputs &amp; Assumptions'!$V$32*Q2464-'Model Inputs &amp; Assumptions'!$V$32^2/2))</f>
        <v>0</v>
      </c>
      <c r="E2464" s="45" t="n">
        <f aca="false">ROUND(C2464*D2464,0)</f>
        <v>0</v>
      </c>
      <c r="F2464" s="47" t="n">
        <f aca="false">MIN(1,'Model Inputs &amp; Assumptions'!$W$32*EXP('Model Inputs &amp; Assumptions'!$X$32*R2464-'Model Inputs &amp; Assumptions'!$X$32^2/2))</f>
        <v>0.00366343769859993</v>
      </c>
      <c r="G2464" s="45" t="n">
        <f aca="false">ROUND(C2464*F2464,0)</f>
        <v>6153</v>
      </c>
      <c r="H2464" s="48" t="n">
        <f aca="false">MAX(0,(C2464*'Model Inputs &amp; Assumptions'!$N$32+E2464*'Model Inputs &amp; Assumptions'!$O$32+G2464*'Model Inputs &amp; Assumptions'!$P$32)*EXP('Model Inputs &amp; Assumptions'!$Q$32*S2464-'Model Inputs &amp; Assumptions'!$Q$32^2/2))</f>
        <v>331.11452003855</v>
      </c>
      <c r="I2464" s="49" t="n">
        <f aca="false">IF('Model Inputs &amp; Assumptions'!$H$32="Fixed",'Model Inputs &amp; Assumptions'!$I$32*'Model Inputs &amp; Assumptions'!$K$32,IF('Model Inputs &amp; Assumptions'!$H$32="CPM",'Model Inputs &amp; Assumptions'!$I$32*'Model Inputs &amp; Assumptions'!$K$32*C2464/1000,IF('Model Inputs &amp; Assumptions'!$H$32="CPC",'Model Inputs &amp; Assumptions'!$I$32*'Model Inputs &amp; Assumptions'!$K$32*G2464,0)))</f>
        <v>20156.184</v>
      </c>
      <c r="J2464" s="50" t="n">
        <f aca="false">H2464*INDEX('Model Inputs &amp; Assumptions'!$D$40:$D$42,MATCH('Model Inputs &amp; Assumptions'!$L$32,'Model Inputs &amp; Assumptions'!$A$40:$A$42,0))*INDEX('Model Inputs &amp; Assumptions'!$H$40:$H$42,MATCH('Model Inputs &amp; Assumptions'!$L$32,'Model Inputs &amp; Assumptions'!$A$40:$A$42,0))</f>
        <v>1788018.40820817</v>
      </c>
      <c r="K2464" s="49" t="n">
        <f aca="false">H2464*INDEX('Model Inputs &amp; Assumptions'!$G$40:$G$42,MATCH('Model Inputs &amp; Assumptions'!$L$32,'Model Inputs &amp; Assumptions'!$A$40:$A$42,0))*INDEX('Model Inputs &amp; Assumptions'!$H$40:$H$42,MATCH('Model Inputs &amp; Assumptions'!$L$32,'Model Inputs &amp; Assumptions'!$A$40:$A$42,0))</f>
        <v>37548.3865723716</v>
      </c>
      <c r="L2464" s="51" t="n">
        <f aca="false">IFERROR(K2464/I2464,0)</f>
        <v>1.86287179023428</v>
      </c>
      <c r="M2464" s="49" t="n">
        <f aca="false">IFERROR(I2464/H2464,0)</f>
        <v>60.8737544872793</v>
      </c>
      <c r="N2464" s="52" t="str">
        <f aca="false">'Model Inputs &amp; Assumptions'!$L$32</f>
        <v>PRD-SP01</v>
      </c>
      <c r="P2464" s="53" t="n">
        <v>1.270944</v>
      </c>
      <c r="Q2464" s="53" t="n">
        <v>1.790488</v>
      </c>
      <c r="R2464" s="53" t="n">
        <v>0.30213</v>
      </c>
      <c r="S2464" s="53" t="n">
        <v>0.778793</v>
      </c>
    </row>
    <row r="2465" customFormat="false" ht="15" hidden="false" customHeight="false" outlineLevel="0" collapsed="false">
      <c r="A2465" s="43" t="n">
        <v>462</v>
      </c>
      <c r="B2465" s="44" t="str">
        <f aca="false">'Model Inputs &amp; Assumptions'!$B$32</f>
        <v>Trade Republic — In-App Display</v>
      </c>
      <c r="C2465" s="45" t="n">
        <f aca="false">ROUND(MAX(0,'Model Inputs &amp; Assumptions'!$S$32*EXP('Model Inputs &amp; Assumptions'!$T$32*P2465-'Model Inputs &amp; Assumptions'!$T$32^2/2)),0)</f>
        <v>1141078</v>
      </c>
      <c r="D2465" s="46" t="n">
        <f aca="false">MIN(1,'Model Inputs &amp; Assumptions'!$U$32*EXP('Model Inputs &amp; Assumptions'!$V$32*Q2465-'Model Inputs &amp; Assumptions'!$V$32^2/2))</f>
        <v>0</v>
      </c>
      <c r="E2465" s="45" t="n">
        <f aca="false">ROUND(C2465*D2465,0)</f>
        <v>0</v>
      </c>
      <c r="F2465" s="47" t="n">
        <f aca="false">MIN(1,'Model Inputs &amp; Assumptions'!$W$32*EXP('Model Inputs &amp; Assumptions'!$X$32*R2465-'Model Inputs &amp; Assumptions'!$X$32^2/2))</f>
        <v>0.00355841908325681</v>
      </c>
      <c r="G2465" s="45" t="n">
        <f aca="false">ROUND(C2465*F2465,0)</f>
        <v>4060</v>
      </c>
      <c r="H2465" s="48" t="n">
        <f aca="false">MAX(0,(C2465*'Model Inputs &amp; Assumptions'!$N$32+E2465*'Model Inputs &amp; Assumptions'!$O$32+G2465*'Model Inputs &amp; Assumptions'!$P$32)*EXP('Model Inputs &amp; Assumptions'!$Q$32*S2465-'Model Inputs &amp; Assumptions'!$Q$32^2/2))</f>
        <v>101.878293857709</v>
      </c>
      <c r="I2465" s="49" t="n">
        <f aca="false">IF('Model Inputs &amp; Assumptions'!$H$32="Fixed",'Model Inputs &amp; Assumptions'!$I$32*'Model Inputs &amp; Assumptions'!$K$32,IF('Model Inputs &amp; Assumptions'!$H$32="CPM",'Model Inputs &amp; Assumptions'!$I$32*'Model Inputs &amp; Assumptions'!$K$32*C2465/1000,IF('Model Inputs &amp; Assumptions'!$H$32="CPC",'Model Inputs &amp; Assumptions'!$I$32*'Model Inputs &amp; Assumptions'!$K$32*G2465,0)))</f>
        <v>13692.936</v>
      </c>
      <c r="J2465" s="50" t="n">
        <f aca="false">H2465*INDEX('Model Inputs &amp; Assumptions'!$D$40:$D$42,MATCH('Model Inputs &amp; Assumptions'!$L$32,'Model Inputs &amp; Assumptions'!$A$40:$A$42,0))*INDEX('Model Inputs &amp; Assumptions'!$H$40:$H$42,MATCH('Model Inputs &amp; Assumptions'!$L$32,'Model Inputs &amp; Assumptions'!$A$40:$A$42,0))</f>
        <v>550142.786831631</v>
      </c>
      <c r="K2465" s="49" t="n">
        <f aca="false">H2465*INDEX('Model Inputs &amp; Assumptions'!$G$40:$G$42,MATCH('Model Inputs &amp; Assumptions'!$L$32,'Model Inputs &amp; Assumptions'!$A$40:$A$42,0))*INDEX('Model Inputs &amp; Assumptions'!$H$40:$H$42,MATCH('Model Inputs &amp; Assumptions'!$L$32,'Model Inputs &amp; Assumptions'!$A$40:$A$42,0))</f>
        <v>11552.9985234642</v>
      </c>
      <c r="L2465" s="51" t="n">
        <f aca="false">IFERROR(K2465/I2465,0)</f>
        <v>0.843719602827636</v>
      </c>
      <c r="M2465" s="49" t="n">
        <f aca="false">IFERROR(I2465/H2465,0)</f>
        <v>134.404842106254</v>
      </c>
      <c r="N2465" s="52" t="str">
        <f aca="false">'Model Inputs &amp; Assumptions'!$L$32</f>
        <v>PRD-SP01</v>
      </c>
      <c r="P2465" s="53" t="n">
        <v>-0.017827</v>
      </c>
      <c r="Q2465" s="53" t="n">
        <v>1.077084</v>
      </c>
      <c r="R2465" s="53" t="n">
        <v>0.205178</v>
      </c>
      <c r="S2465" s="53" t="n">
        <v>-1.945952</v>
      </c>
    </row>
    <row r="2466" customFormat="false" ht="15" hidden="false" customHeight="false" outlineLevel="0" collapsed="false">
      <c r="A2466" s="43" t="n">
        <v>463</v>
      </c>
      <c r="B2466" s="44" t="str">
        <f aca="false">'Model Inputs &amp; Assumptions'!$B$32</f>
        <v>Trade Republic — In-App Display</v>
      </c>
      <c r="C2466" s="45" t="n">
        <f aca="false">ROUND(MAX(0,'Model Inputs &amp; Assumptions'!$S$32*EXP('Model Inputs &amp; Assumptions'!$T$32*P2466-'Model Inputs &amp; Assumptions'!$T$32^2/2)),0)</f>
        <v>1724557</v>
      </c>
      <c r="D2466" s="46" t="n">
        <f aca="false">MIN(1,'Model Inputs &amp; Assumptions'!$U$32*EXP('Model Inputs &amp; Assumptions'!$V$32*Q2466-'Model Inputs &amp; Assumptions'!$V$32^2/2))</f>
        <v>0</v>
      </c>
      <c r="E2466" s="45" t="n">
        <f aca="false">ROUND(C2466*D2466,0)</f>
        <v>0</v>
      </c>
      <c r="F2466" s="47" t="n">
        <f aca="false">MIN(1,'Model Inputs &amp; Assumptions'!$W$32*EXP('Model Inputs &amp; Assumptions'!$X$32*R2466-'Model Inputs &amp; Assumptions'!$X$32^2/2))</f>
        <v>0.00367087138502613</v>
      </c>
      <c r="G2466" s="45" t="n">
        <f aca="false">ROUND(C2466*F2466,0)</f>
        <v>6331</v>
      </c>
      <c r="H2466" s="48" t="n">
        <f aca="false">MAX(0,(C2466*'Model Inputs &amp; Assumptions'!$N$32+E2466*'Model Inputs &amp; Assumptions'!$O$32+G2466*'Model Inputs &amp; Assumptions'!$P$32)*EXP('Model Inputs &amp; Assumptions'!$Q$32*S2466-'Model Inputs &amp; Assumptions'!$Q$32^2/2))</f>
        <v>171.795224332552</v>
      </c>
      <c r="I2466" s="49" t="n">
        <f aca="false">IF('Model Inputs &amp; Assumptions'!$H$32="Fixed",'Model Inputs &amp; Assumptions'!$I$32*'Model Inputs &amp; Assumptions'!$K$32,IF('Model Inputs &amp; Assumptions'!$H$32="CPM",'Model Inputs &amp; Assumptions'!$I$32*'Model Inputs &amp; Assumptions'!$K$32*C2466/1000,IF('Model Inputs &amp; Assumptions'!$H$32="CPC",'Model Inputs &amp; Assumptions'!$I$32*'Model Inputs &amp; Assumptions'!$K$32*G2466,0)))</f>
        <v>20694.684</v>
      </c>
      <c r="J2466" s="50" t="n">
        <f aca="false">H2466*INDEX('Model Inputs &amp; Assumptions'!$D$40:$D$42,MATCH('Model Inputs &amp; Assumptions'!$L$32,'Model Inputs &amp; Assumptions'!$A$40:$A$42,0))*INDEX('Model Inputs &amp; Assumptions'!$H$40:$H$42,MATCH('Model Inputs &amp; Assumptions'!$L$32,'Model Inputs &amp; Assumptions'!$A$40:$A$42,0))</f>
        <v>927694.21139578</v>
      </c>
      <c r="K2466" s="49" t="n">
        <f aca="false">H2466*INDEX('Model Inputs &amp; Assumptions'!$G$40:$G$42,MATCH('Model Inputs &amp; Assumptions'!$L$32,'Model Inputs &amp; Assumptions'!$A$40:$A$42,0))*INDEX('Model Inputs &amp; Assumptions'!$H$40:$H$42,MATCH('Model Inputs &amp; Assumptions'!$L$32,'Model Inputs &amp; Assumptions'!$A$40:$A$42,0))</f>
        <v>19481.5784393114</v>
      </c>
      <c r="L2466" s="51" t="n">
        <f aca="false">IFERROR(K2466/I2466,0)</f>
        <v>0.941380812546419</v>
      </c>
      <c r="M2466" s="49" t="n">
        <f aca="false">IFERROR(I2466/H2466,0)</f>
        <v>120.461346235914</v>
      </c>
      <c r="N2466" s="52" t="str">
        <f aca="false">'Model Inputs &amp; Assumptions'!$L$32</f>
        <v>PRD-SP01</v>
      </c>
      <c r="P2466" s="53" t="n">
        <v>1.358829</v>
      </c>
      <c r="Q2466" s="53" t="n">
        <v>-0.550957</v>
      </c>
      <c r="R2466" s="53" t="n">
        <v>0.308887</v>
      </c>
      <c r="S2466" s="53" t="n">
        <v>-1.666491</v>
      </c>
    </row>
    <row r="2467" customFormat="false" ht="15" hidden="false" customHeight="false" outlineLevel="0" collapsed="false">
      <c r="A2467" s="43" t="n">
        <v>464</v>
      </c>
      <c r="B2467" s="44" t="str">
        <f aca="false">'Model Inputs &amp; Assumptions'!$B$32</f>
        <v>Trade Republic — In-App Display</v>
      </c>
      <c r="C2467" s="45" t="n">
        <f aca="false">ROUND(MAX(0,'Model Inputs &amp; Assumptions'!$S$32*EXP('Model Inputs &amp; Assumptions'!$T$32*P2467-'Model Inputs &amp; Assumptions'!$T$32^2/2)),0)</f>
        <v>830154</v>
      </c>
      <c r="D2467" s="46" t="n">
        <f aca="false">MIN(1,'Model Inputs &amp; Assumptions'!$U$32*EXP('Model Inputs &amp; Assumptions'!$V$32*Q2467-'Model Inputs &amp; Assumptions'!$V$32^2/2))</f>
        <v>0</v>
      </c>
      <c r="E2467" s="45" t="n">
        <f aca="false">ROUND(C2467*D2467,0)</f>
        <v>0</v>
      </c>
      <c r="F2467" s="47" t="n">
        <f aca="false">MIN(1,'Model Inputs &amp; Assumptions'!$W$32*EXP('Model Inputs &amp; Assumptions'!$X$32*R2467-'Model Inputs &amp; Assumptions'!$X$32^2/2))</f>
        <v>0.00320831304707253</v>
      </c>
      <c r="G2467" s="45" t="n">
        <f aca="false">ROUND(C2467*F2467,0)</f>
        <v>2663</v>
      </c>
      <c r="H2467" s="48" t="n">
        <f aca="false">MAX(0,(C2467*'Model Inputs &amp; Assumptions'!$N$32+E2467*'Model Inputs &amp; Assumptions'!$O$32+G2467*'Model Inputs &amp; Assumptions'!$P$32)*EXP('Model Inputs &amp; Assumptions'!$Q$32*S2467-'Model Inputs &amp; Assumptions'!$Q$32^2/2))</f>
        <v>79.2363245197593</v>
      </c>
      <c r="I2467" s="49" t="n">
        <f aca="false">IF('Model Inputs &amp; Assumptions'!$H$32="Fixed",'Model Inputs &amp; Assumptions'!$I$32*'Model Inputs &amp; Assumptions'!$K$32,IF('Model Inputs &amp; Assumptions'!$H$32="CPM",'Model Inputs &amp; Assumptions'!$I$32*'Model Inputs &amp; Assumptions'!$K$32*C2467/1000,IF('Model Inputs &amp; Assumptions'!$H$32="CPC",'Model Inputs &amp; Assumptions'!$I$32*'Model Inputs &amp; Assumptions'!$K$32*G2467,0)))</f>
        <v>9961.848</v>
      </c>
      <c r="J2467" s="50" t="n">
        <f aca="false">H2467*INDEX('Model Inputs &amp; Assumptions'!$D$40:$D$42,MATCH('Model Inputs &amp; Assumptions'!$L$32,'Model Inputs &amp; Assumptions'!$A$40:$A$42,0))*INDEX('Model Inputs &amp; Assumptions'!$H$40:$H$42,MATCH('Model Inputs &amp; Assumptions'!$L$32,'Model Inputs &amp; Assumptions'!$A$40:$A$42,0))</f>
        <v>427876.1524067</v>
      </c>
      <c r="K2467" s="49" t="n">
        <f aca="false">H2467*INDEX('Model Inputs &amp; Assumptions'!$G$40:$G$42,MATCH('Model Inputs &amp; Assumptions'!$L$32,'Model Inputs &amp; Assumptions'!$A$40:$A$42,0))*INDEX('Model Inputs &amp; Assumptions'!$H$40:$H$42,MATCH('Model Inputs &amp; Assumptions'!$L$32,'Model Inputs &amp; Assumptions'!$A$40:$A$42,0))</f>
        <v>8985.3992005407</v>
      </c>
      <c r="L2467" s="51" t="n">
        <f aca="false">IFERROR(K2467/I2467,0)</f>
        <v>0.901981158570248</v>
      </c>
      <c r="M2467" s="49" t="n">
        <f aca="false">IFERROR(I2467/H2467,0)</f>
        <v>125.723247013001</v>
      </c>
      <c r="N2467" s="52" t="str">
        <f aca="false">'Model Inputs &amp; Assumptions'!$L$32</f>
        <v>PRD-SP01</v>
      </c>
      <c r="P2467" s="53" t="n">
        <v>-1.078218</v>
      </c>
      <c r="Q2467" s="53" t="n">
        <v>1.042711</v>
      </c>
      <c r="R2467" s="53" t="n">
        <v>-0.140059</v>
      </c>
      <c r="S2467" s="53" t="n">
        <v>-1.337432</v>
      </c>
    </row>
    <row r="2468" customFormat="false" ht="15" hidden="false" customHeight="false" outlineLevel="0" collapsed="false">
      <c r="A2468" s="43" t="n">
        <v>465</v>
      </c>
      <c r="B2468" s="44" t="str">
        <f aca="false">'Model Inputs &amp; Assumptions'!$B$32</f>
        <v>Trade Republic — In-App Display</v>
      </c>
      <c r="C2468" s="45" t="n">
        <f aca="false">ROUND(MAX(0,'Model Inputs &amp; Assumptions'!$S$32*EXP('Model Inputs &amp; Assumptions'!$T$32*P2468-'Model Inputs &amp; Assumptions'!$T$32^2/2)),0)</f>
        <v>735840</v>
      </c>
      <c r="D2468" s="46" t="n">
        <f aca="false">MIN(1,'Model Inputs &amp; Assumptions'!$U$32*EXP('Model Inputs &amp; Assumptions'!$V$32*Q2468-'Model Inputs &amp; Assumptions'!$V$32^2/2))</f>
        <v>0</v>
      </c>
      <c r="E2468" s="45" t="n">
        <f aca="false">ROUND(C2468*D2468,0)</f>
        <v>0</v>
      </c>
      <c r="F2468" s="47" t="n">
        <f aca="false">MIN(1,'Model Inputs &amp; Assumptions'!$W$32*EXP('Model Inputs &amp; Assumptions'!$X$32*R2468-'Model Inputs &amp; Assumptions'!$X$32^2/2))</f>
        <v>0.00181645276401438</v>
      </c>
      <c r="G2468" s="45" t="n">
        <f aca="false">ROUND(C2468*F2468,0)</f>
        <v>1337</v>
      </c>
      <c r="H2468" s="48" t="n">
        <f aca="false">MAX(0,(C2468*'Model Inputs &amp; Assumptions'!$N$32+E2468*'Model Inputs &amp; Assumptions'!$O$32+G2468*'Model Inputs &amp; Assumptions'!$P$32)*EXP('Model Inputs &amp; Assumptions'!$Q$32*S2468-'Model Inputs &amp; Assumptions'!$Q$32^2/2))</f>
        <v>32.8288226183573</v>
      </c>
      <c r="I2468" s="49" t="n">
        <f aca="false">IF('Model Inputs &amp; Assumptions'!$H$32="Fixed",'Model Inputs &amp; Assumptions'!$I$32*'Model Inputs &amp; Assumptions'!$K$32,IF('Model Inputs &amp; Assumptions'!$H$32="CPM",'Model Inputs &amp; Assumptions'!$I$32*'Model Inputs &amp; Assumptions'!$K$32*C2468/1000,IF('Model Inputs &amp; Assumptions'!$H$32="CPC",'Model Inputs &amp; Assumptions'!$I$32*'Model Inputs &amp; Assumptions'!$K$32*G2468,0)))</f>
        <v>8830.08</v>
      </c>
      <c r="J2468" s="50" t="n">
        <f aca="false">H2468*INDEX('Model Inputs &amp; Assumptions'!$D$40:$D$42,MATCH('Model Inputs &amp; Assumptions'!$L$32,'Model Inputs &amp; Assumptions'!$A$40:$A$42,0))*INDEX('Model Inputs &amp; Assumptions'!$H$40:$H$42,MATCH('Model Inputs &amp; Assumptions'!$L$32,'Model Inputs &amp; Assumptions'!$A$40:$A$42,0))</f>
        <v>177275.642139129</v>
      </c>
      <c r="K2468" s="49" t="n">
        <f aca="false">H2468*INDEX('Model Inputs &amp; Assumptions'!$G$40:$G$42,MATCH('Model Inputs &amp; Assumptions'!$L$32,'Model Inputs &amp; Assumptions'!$A$40:$A$42,0))*INDEX('Model Inputs &amp; Assumptions'!$H$40:$H$42,MATCH('Model Inputs &amp; Assumptions'!$L$32,'Model Inputs &amp; Assumptions'!$A$40:$A$42,0))</f>
        <v>3722.78848492172</v>
      </c>
      <c r="L2468" s="51" t="n">
        <f aca="false">IFERROR(K2468/I2468,0)</f>
        <v>0.421603030201506</v>
      </c>
      <c r="M2468" s="49" t="n">
        <f aca="false">IFERROR(I2468/H2468,0)</f>
        <v>268.973398852945</v>
      </c>
      <c r="N2468" s="52" t="str">
        <f aca="false">'Model Inputs &amp; Assumptions'!$L$32</f>
        <v>PRD-SP01</v>
      </c>
      <c r="P2468" s="53" t="n">
        <v>-1.480216</v>
      </c>
      <c r="Q2468" s="53" t="n">
        <v>1.149536</v>
      </c>
      <c r="R2468" s="53" t="n">
        <v>-2.036258</v>
      </c>
      <c r="S2468" s="53" t="n">
        <v>-2.023514</v>
      </c>
    </row>
    <row r="2469" customFormat="false" ht="15" hidden="false" customHeight="false" outlineLevel="0" collapsed="false">
      <c r="A2469" s="43" t="n">
        <v>466</v>
      </c>
      <c r="B2469" s="44" t="str">
        <f aca="false">'Model Inputs &amp; Assumptions'!$B$32</f>
        <v>Trade Republic — In-App Display</v>
      </c>
      <c r="C2469" s="45" t="n">
        <f aca="false">ROUND(MAX(0,'Model Inputs &amp; Assumptions'!$S$32*EXP('Model Inputs &amp; Assumptions'!$T$32*P2469-'Model Inputs &amp; Assumptions'!$T$32^2/2)),0)</f>
        <v>1613592</v>
      </c>
      <c r="D2469" s="46" t="n">
        <f aca="false">MIN(1,'Model Inputs &amp; Assumptions'!$U$32*EXP('Model Inputs &amp; Assumptions'!$V$32*Q2469-'Model Inputs &amp; Assumptions'!$V$32^2/2))</f>
        <v>0</v>
      </c>
      <c r="E2469" s="45" t="n">
        <f aca="false">ROUND(C2469*D2469,0)</f>
        <v>0</v>
      </c>
      <c r="F2469" s="47" t="n">
        <f aca="false">MIN(1,'Model Inputs &amp; Assumptions'!$W$32*EXP('Model Inputs &amp; Assumptions'!$X$32*R2469-'Model Inputs &amp; Assumptions'!$X$32^2/2))</f>
        <v>0.00338147758229329</v>
      </c>
      <c r="G2469" s="45" t="n">
        <f aca="false">ROUND(C2469*F2469,0)</f>
        <v>5456</v>
      </c>
      <c r="H2469" s="48" t="n">
        <f aca="false">MAX(0,(C2469*'Model Inputs &amp; Assumptions'!$N$32+E2469*'Model Inputs &amp; Assumptions'!$O$32+G2469*'Model Inputs &amp; Assumptions'!$P$32)*EXP('Model Inputs &amp; Assumptions'!$Q$32*S2469-'Model Inputs &amp; Assumptions'!$Q$32^2/2))</f>
        <v>230.5935069665</v>
      </c>
      <c r="I2469" s="49" t="n">
        <f aca="false">IF('Model Inputs &amp; Assumptions'!$H$32="Fixed",'Model Inputs &amp; Assumptions'!$I$32*'Model Inputs &amp; Assumptions'!$K$32,IF('Model Inputs &amp; Assumptions'!$H$32="CPM",'Model Inputs &amp; Assumptions'!$I$32*'Model Inputs &amp; Assumptions'!$K$32*C2469/1000,IF('Model Inputs &amp; Assumptions'!$H$32="CPC",'Model Inputs &amp; Assumptions'!$I$32*'Model Inputs &amp; Assumptions'!$K$32*G2469,0)))</f>
        <v>19363.104</v>
      </c>
      <c r="J2469" s="50" t="n">
        <f aca="false">H2469*INDEX('Model Inputs &amp; Assumptions'!$D$40:$D$42,MATCH('Model Inputs &amp; Assumptions'!$L$32,'Model Inputs &amp; Assumptions'!$A$40:$A$42,0))*INDEX('Model Inputs &amp; Assumptions'!$H$40:$H$42,MATCH('Model Inputs &amp; Assumptions'!$L$32,'Model Inputs &amp; Assumptions'!$A$40:$A$42,0))</f>
        <v>1245204.9376191</v>
      </c>
      <c r="K2469" s="49" t="n">
        <f aca="false">H2469*INDEX('Model Inputs &amp; Assumptions'!$G$40:$G$42,MATCH('Model Inputs &amp; Assumptions'!$L$32,'Model Inputs &amp; Assumptions'!$A$40:$A$42,0))*INDEX('Model Inputs &amp; Assumptions'!$H$40:$H$42,MATCH('Model Inputs &amp; Assumptions'!$L$32,'Model Inputs &amp; Assumptions'!$A$40:$A$42,0))</f>
        <v>26149.3036900011</v>
      </c>
      <c r="L2469" s="51" t="n">
        <f aca="false">IFERROR(K2469/I2469,0)</f>
        <v>1.35047065232935</v>
      </c>
      <c r="M2469" s="49" t="n">
        <f aca="false">IFERROR(I2469/H2469,0)</f>
        <v>83.9707251722964</v>
      </c>
      <c r="N2469" s="52" t="str">
        <f aca="false">'Model Inputs &amp; Assumptions'!$L$32</f>
        <v>PRD-SP01</v>
      </c>
      <c r="P2469" s="53" t="n">
        <v>1.137138</v>
      </c>
      <c r="Q2469" s="53" t="n">
        <v>0.002747</v>
      </c>
      <c r="R2469" s="53" t="n">
        <v>0.035166</v>
      </c>
      <c r="S2469" s="53" t="n">
        <v>-0.084007</v>
      </c>
    </row>
    <row r="2470" customFormat="false" ht="15" hidden="false" customHeight="false" outlineLevel="0" collapsed="false">
      <c r="A2470" s="43" t="n">
        <v>467</v>
      </c>
      <c r="B2470" s="44" t="str">
        <f aca="false">'Model Inputs &amp; Assumptions'!$B$32</f>
        <v>Trade Republic — In-App Display</v>
      </c>
      <c r="C2470" s="45" t="n">
        <f aca="false">ROUND(MAX(0,'Model Inputs &amp; Assumptions'!$S$32*EXP('Model Inputs &amp; Assumptions'!$T$32*P2470-'Model Inputs &amp; Assumptions'!$T$32^2/2)),0)</f>
        <v>1239988</v>
      </c>
      <c r="D2470" s="46" t="n">
        <f aca="false">MIN(1,'Model Inputs &amp; Assumptions'!$U$32*EXP('Model Inputs &amp; Assumptions'!$V$32*Q2470-'Model Inputs &amp; Assumptions'!$V$32^2/2))</f>
        <v>0</v>
      </c>
      <c r="E2470" s="45" t="n">
        <f aca="false">ROUND(C2470*D2470,0)</f>
        <v>0</v>
      </c>
      <c r="F2470" s="47" t="n">
        <f aca="false">MIN(1,'Model Inputs &amp; Assumptions'!$W$32*EXP('Model Inputs &amp; Assumptions'!$X$32*R2470-'Model Inputs &amp; Assumptions'!$X$32^2/2))</f>
        <v>0.00333076920062064</v>
      </c>
      <c r="G2470" s="45" t="n">
        <f aca="false">ROUND(C2470*F2470,0)</f>
        <v>4130</v>
      </c>
      <c r="H2470" s="48" t="n">
        <f aca="false">MAX(0,(C2470*'Model Inputs &amp; Assumptions'!$N$32+E2470*'Model Inputs &amp; Assumptions'!$O$32+G2470*'Model Inputs &amp; Assumptions'!$P$32)*EXP('Model Inputs &amp; Assumptions'!$Q$32*S2470-'Model Inputs &amp; Assumptions'!$Q$32^2/2))</f>
        <v>215.664037902379</v>
      </c>
      <c r="I2470" s="49" t="n">
        <f aca="false">IF('Model Inputs &amp; Assumptions'!$H$32="Fixed",'Model Inputs &amp; Assumptions'!$I$32*'Model Inputs &amp; Assumptions'!$K$32,IF('Model Inputs &amp; Assumptions'!$H$32="CPM",'Model Inputs &amp; Assumptions'!$I$32*'Model Inputs &amp; Assumptions'!$K$32*C2470/1000,IF('Model Inputs &amp; Assumptions'!$H$32="CPC",'Model Inputs &amp; Assumptions'!$I$32*'Model Inputs &amp; Assumptions'!$K$32*G2470,0)))</f>
        <v>14879.856</v>
      </c>
      <c r="J2470" s="50" t="n">
        <f aca="false">H2470*INDEX('Model Inputs &amp; Assumptions'!$D$40:$D$42,MATCH('Model Inputs &amp; Assumptions'!$L$32,'Model Inputs &amp; Assumptions'!$A$40:$A$42,0))*INDEX('Model Inputs &amp; Assumptions'!$H$40:$H$42,MATCH('Model Inputs &amp; Assumptions'!$L$32,'Model Inputs &amp; Assumptions'!$A$40:$A$42,0))</f>
        <v>1164585.80467285</v>
      </c>
      <c r="K2470" s="49" t="n">
        <f aca="false">H2470*INDEX('Model Inputs &amp; Assumptions'!$G$40:$G$42,MATCH('Model Inputs &amp; Assumptions'!$L$32,'Model Inputs &amp; Assumptions'!$A$40:$A$42,0))*INDEX('Model Inputs &amp; Assumptions'!$H$40:$H$42,MATCH('Model Inputs &amp; Assumptions'!$L$32,'Model Inputs &amp; Assumptions'!$A$40:$A$42,0))</f>
        <v>24456.3018981298</v>
      </c>
      <c r="L2470" s="51" t="n">
        <f aca="false">IFERROR(K2470/I2470,0)</f>
        <v>1.64358458160683</v>
      </c>
      <c r="M2470" s="49" t="n">
        <f aca="false">IFERROR(I2470/H2470,0)</f>
        <v>68.9955365054205</v>
      </c>
      <c r="N2470" s="52" t="str">
        <f aca="false">'Model Inputs &amp; Assumptions'!$L$32</f>
        <v>PRD-SP01</v>
      </c>
      <c r="P2470" s="53" t="n">
        <v>0.259267</v>
      </c>
      <c r="Q2470" s="53" t="n">
        <v>-0.208495</v>
      </c>
      <c r="R2470" s="53" t="n">
        <v>-0.015199</v>
      </c>
      <c r="S2470" s="53" t="n">
        <v>0.671364</v>
      </c>
    </row>
    <row r="2471" customFormat="false" ht="15" hidden="false" customHeight="false" outlineLevel="0" collapsed="false">
      <c r="A2471" s="43" t="n">
        <v>468</v>
      </c>
      <c r="B2471" s="44" t="str">
        <f aca="false">'Model Inputs &amp; Assumptions'!$B$32</f>
        <v>Trade Republic — In-App Display</v>
      </c>
      <c r="C2471" s="45" t="n">
        <f aca="false">ROUND(MAX(0,'Model Inputs &amp; Assumptions'!$S$32*EXP('Model Inputs &amp; Assumptions'!$T$32*P2471-'Model Inputs &amp; Assumptions'!$T$32^2/2)),0)</f>
        <v>1515502</v>
      </c>
      <c r="D2471" s="46" t="n">
        <f aca="false">MIN(1,'Model Inputs &amp; Assumptions'!$U$32*EXP('Model Inputs &amp; Assumptions'!$V$32*Q2471-'Model Inputs &amp; Assumptions'!$V$32^2/2))</f>
        <v>0</v>
      </c>
      <c r="E2471" s="45" t="n">
        <f aca="false">ROUND(C2471*D2471,0)</f>
        <v>0</v>
      </c>
      <c r="F2471" s="47" t="n">
        <f aca="false">MIN(1,'Model Inputs &amp; Assumptions'!$W$32*EXP('Model Inputs &amp; Assumptions'!$X$32*R2471-'Model Inputs &amp; Assumptions'!$X$32^2/2))</f>
        <v>0.00474225456143339</v>
      </c>
      <c r="G2471" s="45" t="n">
        <f aca="false">ROUND(C2471*F2471,0)</f>
        <v>7187</v>
      </c>
      <c r="H2471" s="48" t="n">
        <f aca="false">MAX(0,(C2471*'Model Inputs &amp; Assumptions'!$N$32+E2471*'Model Inputs &amp; Assumptions'!$O$32+G2471*'Model Inputs &amp; Assumptions'!$P$32)*EXP('Model Inputs &amp; Assumptions'!$Q$32*S2471-'Model Inputs &amp; Assumptions'!$Q$32^2/2))</f>
        <v>351.368147913453</v>
      </c>
      <c r="I2471" s="49" t="n">
        <f aca="false">IF('Model Inputs &amp; Assumptions'!$H$32="Fixed",'Model Inputs &amp; Assumptions'!$I$32*'Model Inputs &amp; Assumptions'!$K$32,IF('Model Inputs &amp; Assumptions'!$H$32="CPM",'Model Inputs &amp; Assumptions'!$I$32*'Model Inputs &amp; Assumptions'!$K$32*C2471/1000,IF('Model Inputs &amp; Assumptions'!$H$32="CPC",'Model Inputs &amp; Assumptions'!$I$32*'Model Inputs &amp; Assumptions'!$K$32*G2471,0)))</f>
        <v>18186.024</v>
      </c>
      <c r="J2471" s="50" t="n">
        <f aca="false">H2471*INDEX('Model Inputs &amp; Assumptions'!$D$40:$D$42,MATCH('Model Inputs &amp; Assumptions'!$L$32,'Model Inputs &amp; Assumptions'!$A$40:$A$42,0))*INDEX('Model Inputs &amp; Assumptions'!$H$40:$H$42,MATCH('Model Inputs &amp; Assumptions'!$L$32,'Model Inputs &amp; Assumptions'!$A$40:$A$42,0))</f>
        <v>1897387.99873264</v>
      </c>
      <c r="K2471" s="49" t="n">
        <f aca="false">H2471*INDEX('Model Inputs &amp; Assumptions'!$G$40:$G$42,MATCH('Model Inputs &amp; Assumptions'!$L$32,'Model Inputs &amp; Assumptions'!$A$40:$A$42,0))*INDEX('Model Inputs &amp; Assumptions'!$H$40:$H$42,MATCH('Model Inputs &amp; Assumptions'!$L$32,'Model Inputs &amp; Assumptions'!$A$40:$A$42,0))</f>
        <v>39845.1479733855</v>
      </c>
      <c r="L2471" s="51" t="n">
        <f aca="false">IFERROR(K2471/I2471,0)</f>
        <v>2.19097632189342</v>
      </c>
      <c r="M2471" s="49" t="n">
        <f aca="false">IFERROR(I2471/H2471,0)</f>
        <v>51.7577478436648</v>
      </c>
      <c r="N2471" s="52" t="str">
        <f aca="false">'Model Inputs &amp; Assumptions'!$L$32</f>
        <v>PRD-SP01</v>
      </c>
      <c r="P2471" s="53" t="n">
        <v>0.928084</v>
      </c>
      <c r="Q2471" s="53" t="n">
        <v>0.538484</v>
      </c>
      <c r="R2471" s="53" t="n">
        <v>1.162499</v>
      </c>
      <c r="S2471" s="53" t="n">
        <v>0.436065</v>
      </c>
    </row>
    <row r="2472" customFormat="false" ht="15" hidden="false" customHeight="false" outlineLevel="0" collapsed="false">
      <c r="A2472" s="43" t="n">
        <v>469</v>
      </c>
      <c r="B2472" s="44" t="str">
        <f aca="false">'Model Inputs &amp; Assumptions'!$B$32</f>
        <v>Trade Republic — In-App Display</v>
      </c>
      <c r="C2472" s="45" t="n">
        <f aca="false">ROUND(MAX(0,'Model Inputs &amp; Assumptions'!$S$32*EXP('Model Inputs &amp; Assumptions'!$T$32*P2472-'Model Inputs &amp; Assumptions'!$T$32^2/2)),0)</f>
        <v>1084848</v>
      </c>
      <c r="D2472" s="46" t="n">
        <f aca="false">MIN(1,'Model Inputs &amp; Assumptions'!$U$32*EXP('Model Inputs &amp; Assumptions'!$V$32*Q2472-'Model Inputs &amp; Assumptions'!$V$32^2/2))</f>
        <v>0</v>
      </c>
      <c r="E2472" s="45" t="n">
        <f aca="false">ROUND(C2472*D2472,0)</f>
        <v>0</v>
      </c>
      <c r="F2472" s="47" t="n">
        <f aca="false">MIN(1,'Model Inputs &amp; Assumptions'!$W$32*EXP('Model Inputs &amp; Assumptions'!$X$32*R2472-'Model Inputs &amp; Assumptions'!$X$32^2/2))</f>
        <v>0.0024420678709775</v>
      </c>
      <c r="G2472" s="45" t="n">
        <f aca="false">ROUND(C2472*F2472,0)</f>
        <v>2649</v>
      </c>
      <c r="H2472" s="48" t="n">
        <f aca="false">MAX(0,(C2472*'Model Inputs &amp; Assumptions'!$N$32+E2472*'Model Inputs &amp; Assumptions'!$O$32+G2472*'Model Inputs &amp; Assumptions'!$P$32)*EXP('Model Inputs &amp; Assumptions'!$Q$32*S2472-'Model Inputs &amp; Assumptions'!$Q$32^2/2))</f>
        <v>96.7157496124543</v>
      </c>
      <c r="I2472" s="49" t="n">
        <f aca="false">IF('Model Inputs &amp; Assumptions'!$H$32="Fixed",'Model Inputs &amp; Assumptions'!$I$32*'Model Inputs &amp; Assumptions'!$K$32,IF('Model Inputs &amp; Assumptions'!$H$32="CPM",'Model Inputs &amp; Assumptions'!$I$32*'Model Inputs &amp; Assumptions'!$K$32*C2472/1000,IF('Model Inputs &amp; Assumptions'!$H$32="CPC",'Model Inputs &amp; Assumptions'!$I$32*'Model Inputs &amp; Assumptions'!$K$32*G2472,0)))</f>
        <v>13018.176</v>
      </c>
      <c r="J2472" s="50" t="n">
        <f aca="false">H2472*INDEX('Model Inputs &amp; Assumptions'!$D$40:$D$42,MATCH('Model Inputs &amp; Assumptions'!$L$32,'Model Inputs &amp; Assumptions'!$A$40:$A$42,0))*INDEX('Model Inputs &amp; Assumptions'!$H$40:$H$42,MATCH('Model Inputs &amp; Assumptions'!$L$32,'Model Inputs &amp; Assumptions'!$A$40:$A$42,0))</f>
        <v>522265.047907253</v>
      </c>
      <c r="K2472" s="49" t="n">
        <f aca="false">H2472*INDEX('Model Inputs &amp; Assumptions'!$G$40:$G$42,MATCH('Model Inputs &amp; Assumptions'!$L$32,'Model Inputs &amp; Assumptions'!$A$40:$A$42,0))*INDEX('Model Inputs &amp; Assumptions'!$H$40:$H$42,MATCH('Model Inputs &amp; Assumptions'!$L$32,'Model Inputs &amp; Assumptions'!$A$40:$A$42,0))</f>
        <v>10967.5660060523</v>
      </c>
      <c r="L2472" s="51" t="n">
        <f aca="false">IFERROR(K2472/I2472,0)</f>
        <v>0.842481005484356</v>
      </c>
      <c r="M2472" s="49" t="n">
        <f aca="false">IFERROR(I2472/H2472,0)</f>
        <v>134.602441196647</v>
      </c>
      <c r="N2472" s="52" t="str">
        <f aca="false">'Model Inputs &amp; Assumptions'!$L$32</f>
        <v>PRD-SP01</v>
      </c>
      <c r="P2472" s="53" t="n">
        <v>-0.186273</v>
      </c>
      <c r="Q2472" s="53" t="n">
        <v>0.179247</v>
      </c>
      <c r="R2472" s="53" t="n">
        <v>-1.049726</v>
      </c>
      <c r="S2472" s="53" t="n">
        <v>-0.606673</v>
      </c>
    </row>
    <row r="2473" customFormat="false" ht="15" hidden="false" customHeight="false" outlineLevel="0" collapsed="false">
      <c r="A2473" s="43" t="n">
        <v>470</v>
      </c>
      <c r="B2473" s="44" t="str">
        <f aca="false">'Model Inputs &amp; Assumptions'!$B$32</f>
        <v>Trade Republic — In-App Display</v>
      </c>
      <c r="C2473" s="45" t="n">
        <f aca="false">ROUND(MAX(0,'Model Inputs &amp; Assumptions'!$S$32*EXP('Model Inputs &amp; Assumptions'!$T$32*P2473-'Model Inputs &amp; Assumptions'!$T$32^2/2)),0)</f>
        <v>1245832</v>
      </c>
      <c r="D2473" s="46" t="n">
        <f aca="false">MIN(1,'Model Inputs &amp; Assumptions'!$U$32*EXP('Model Inputs &amp; Assumptions'!$V$32*Q2473-'Model Inputs &amp; Assumptions'!$V$32^2/2))</f>
        <v>0</v>
      </c>
      <c r="E2473" s="45" t="n">
        <f aca="false">ROUND(C2473*D2473,0)</f>
        <v>0</v>
      </c>
      <c r="F2473" s="47" t="n">
        <f aca="false">MIN(1,'Model Inputs &amp; Assumptions'!$W$32*EXP('Model Inputs &amp; Assumptions'!$X$32*R2473-'Model Inputs &amp; Assumptions'!$X$32^2/2))</f>
        <v>0.00224522259672583</v>
      </c>
      <c r="G2473" s="45" t="n">
        <f aca="false">ROUND(C2473*F2473,0)</f>
        <v>2797</v>
      </c>
      <c r="H2473" s="48" t="n">
        <f aca="false">MAX(0,(C2473*'Model Inputs &amp; Assumptions'!$N$32+E2473*'Model Inputs &amp; Assumptions'!$O$32+G2473*'Model Inputs &amp; Assumptions'!$P$32)*EXP('Model Inputs &amp; Assumptions'!$Q$32*S2473-'Model Inputs &amp; Assumptions'!$Q$32^2/2))</f>
        <v>151.166600622427</v>
      </c>
      <c r="I2473" s="49" t="n">
        <f aca="false">IF('Model Inputs &amp; Assumptions'!$H$32="Fixed",'Model Inputs &amp; Assumptions'!$I$32*'Model Inputs &amp; Assumptions'!$K$32,IF('Model Inputs &amp; Assumptions'!$H$32="CPM",'Model Inputs &amp; Assumptions'!$I$32*'Model Inputs &amp; Assumptions'!$K$32*C2473/1000,IF('Model Inputs &amp; Assumptions'!$H$32="CPC",'Model Inputs &amp; Assumptions'!$I$32*'Model Inputs &amp; Assumptions'!$K$32*G2473,0)))</f>
        <v>14949.984</v>
      </c>
      <c r="J2473" s="50" t="n">
        <f aca="false">H2473*INDEX('Model Inputs &amp; Assumptions'!$D$40:$D$42,MATCH('Model Inputs &amp; Assumptions'!$L$32,'Model Inputs &amp; Assumptions'!$A$40:$A$42,0))*INDEX('Model Inputs &amp; Assumptions'!$H$40:$H$42,MATCH('Model Inputs &amp; Assumptions'!$L$32,'Model Inputs &amp; Assumptions'!$A$40:$A$42,0))</f>
        <v>816299.643361107</v>
      </c>
      <c r="K2473" s="49" t="n">
        <f aca="false">H2473*INDEX('Model Inputs &amp; Assumptions'!$G$40:$G$42,MATCH('Model Inputs &amp; Assumptions'!$L$32,'Model Inputs &amp; Assumptions'!$A$40:$A$42,0))*INDEX('Model Inputs &amp; Assumptions'!$H$40:$H$42,MATCH('Model Inputs &amp; Assumptions'!$L$32,'Model Inputs &amp; Assumptions'!$A$40:$A$42,0))</f>
        <v>17142.2925105832</v>
      </c>
      <c r="L2473" s="51" t="n">
        <f aca="false">IFERROR(K2473/I2473,0)</f>
        <v>1.14664286668021</v>
      </c>
      <c r="M2473" s="49" t="n">
        <f aca="false">IFERROR(I2473/H2473,0)</f>
        <v>98.8974015321081</v>
      </c>
      <c r="N2473" s="52" t="str">
        <f aca="false">'Model Inputs &amp; Assumptions'!$L$32</f>
        <v>PRD-SP01</v>
      </c>
      <c r="P2473" s="53" t="n">
        <v>0.274941</v>
      </c>
      <c r="Q2473" s="53" t="n">
        <v>-0.6719</v>
      </c>
      <c r="R2473" s="53" t="n">
        <v>-1.329861</v>
      </c>
      <c r="S2473" s="53" t="n">
        <v>0.794188</v>
      </c>
    </row>
    <row r="2474" customFormat="false" ht="15" hidden="false" customHeight="false" outlineLevel="0" collapsed="false">
      <c r="A2474" s="43" t="n">
        <v>471</v>
      </c>
      <c r="B2474" s="44" t="str">
        <f aca="false">'Model Inputs &amp; Assumptions'!$B$32</f>
        <v>Trade Republic — In-App Display</v>
      </c>
      <c r="C2474" s="45" t="n">
        <f aca="false">ROUND(MAX(0,'Model Inputs &amp; Assumptions'!$S$32*EXP('Model Inputs &amp; Assumptions'!$T$32*P2474-'Model Inputs &amp; Assumptions'!$T$32^2/2)),0)</f>
        <v>792930</v>
      </c>
      <c r="D2474" s="46" t="n">
        <f aca="false">MIN(1,'Model Inputs &amp; Assumptions'!$U$32*EXP('Model Inputs &amp; Assumptions'!$V$32*Q2474-'Model Inputs &amp; Assumptions'!$V$32^2/2))</f>
        <v>0</v>
      </c>
      <c r="E2474" s="45" t="n">
        <f aca="false">ROUND(C2474*D2474,0)</f>
        <v>0</v>
      </c>
      <c r="F2474" s="47" t="n">
        <f aca="false">MIN(1,'Model Inputs &amp; Assumptions'!$W$32*EXP('Model Inputs &amp; Assumptions'!$X$32*R2474-'Model Inputs &amp; Assumptions'!$X$32^2/2))</f>
        <v>0.00338167844802733</v>
      </c>
      <c r="G2474" s="45" t="n">
        <f aca="false">ROUND(C2474*F2474,0)</f>
        <v>2681</v>
      </c>
      <c r="H2474" s="48" t="n">
        <f aca="false">MAX(0,(C2474*'Model Inputs &amp; Assumptions'!$N$32+E2474*'Model Inputs &amp; Assumptions'!$O$32+G2474*'Model Inputs &amp; Assumptions'!$P$32)*EXP('Model Inputs &amp; Assumptions'!$Q$32*S2474-'Model Inputs &amp; Assumptions'!$Q$32^2/2))</f>
        <v>89.0672256534715</v>
      </c>
      <c r="I2474" s="49" t="n">
        <f aca="false">IF('Model Inputs &amp; Assumptions'!$H$32="Fixed",'Model Inputs &amp; Assumptions'!$I$32*'Model Inputs &amp; Assumptions'!$K$32,IF('Model Inputs &amp; Assumptions'!$H$32="CPM",'Model Inputs &amp; Assumptions'!$I$32*'Model Inputs &amp; Assumptions'!$K$32*C2474/1000,IF('Model Inputs &amp; Assumptions'!$H$32="CPC",'Model Inputs &amp; Assumptions'!$I$32*'Model Inputs &amp; Assumptions'!$K$32*G2474,0)))</f>
        <v>9515.16</v>
      </c>
      <c r="J2474" s="50" t="n">
        <f aca="false">H2474*INDEX('Model Inputs &amp; Assumptions'!$D$40:$D$42,MATCH('Model Inputs &amp; Assumptions'!$L$32,'Model Inputs &amp; Assumptions'!$A$40:$A$42,0))*INDEX('Model Inputs &amp; Assumptions'!$H$40:$H$42,MATCH('Model Inputs &amp; Assumptions'!$L$32,'Model Inputs &amp; Assumptions'!$A$40:$A$42,0))</f>
        <v>480963.018528746</v>
      </c>
      <c r="K2474" s="49" t="n">
        <f aca="false">H2474*INDEX('Model Inputs &amp; Assumptions'!$G$40:$G$42,MATCH('Model Inputs &amp; Assumptions'!$L$32,'Model Inputs &amp; Assumptions'!$A$40:$A$42,0))*INDEX('Model Inputs &amp; Assumptions'!$H$40:$H$42,MATCH('Model Inputs &amp; Assumptions'!$L$32,'Model Inputs &amp; Assumptions'!$A$40:$A$42,0))</f>
        <v>10100.2233891037</v>
      </c>
      <c r="L2474" s="51" t="n">
        <f aca="false">IFERROR(K2474/I2474,0)</f>
        <v>1.0614874988023</v>
      </c>
      <c r="M2474" s="49" t="n">
        <f aca="false">IFERROR(I2474/H2474,0)</f>
        <v>106.831215749552</v>
      </c>
      <c r="N2474" s="52" t="str">
        <f aca="false">'Model Inputs &amp; Assumptions'!$L$32</f>
        <v>PRD-SP01</v>
      </c>
      <c r="P2474" s="53" t="n">
        <v>-1.231138</v>
      </c>
      <c r="Q2474" s="53" t="n">
        <v>1.134182</v>
      </c>
      <c r="R2474" s="53" t="n">
        <v>0.035364</v>
      </c>
      <c r="S2474" s="53" t="n">
        <v>-0.943789</v>
      </c>
    </row>
    <row r="2475" customFormat="false" ht="15" hidden="false" customHeight="false" outlineLevel="0" collapsed="false">
      <c r="A2475" s="43" t="n">
        <v>472</v>
      </c>
      <c r="B2475" s="44" t="str">
        <f aca="false">'Model Inputs &amp; Assumptions'!$B$32</f>
        <v>Trade Republic — In-App Display</v>
      </c>
      <c r="C2475" s="45" t="n">
        <f aca="false">ROUND(MAX(0,'Model Inputs &amp; Assumptions'!$S$32*EXP('Model Inputs &amp; Assumptions'!$T$32*P2475-'Model Inputs &amp; Assumptions'!$T$32^2/2)),0)</f>
        <v>1014842</v>
      </c>
      <c r="D2475" s="46" t="n">
        <f aca="false">MIN(1,'Model Inputs &amp; Assumptions'!$U$32*EXP('Model Inputs &amp; Assumptions'!$V$32*Q2475-'Model Inputs &amp; Assumptions'!$V$32^2/2))</f>
        <v>0</v>
      </c>
      <c r="E2475" s="45" t="n">
        <f aca="false">ROUND(C2475*D2475,0)</f>
        <v>0</v>
      </c>
      <c r="F2475" s="47" t="n">
        <f aca="false">MIN(1,'Model Inputs &amp; Assumptions'!$W$32*EXP('Model Inputs &amp; Assumptions'!$X$32*R2475-'Model Inputs &amp; Assumptions'!$X$32^2/2))</f>
        <v>0.00339961356733105</v>
      </c>
      <c r="G2475" s="45" t="n">
        <f aca="false">ROUND(C2475*F2475,0)</f>
        <v>3450</v>
      </c>
      <c r="H2475" s="48" t="n">
        <f aca="false">MAX(0,(C2475*'Model Inputs &amp; Assumptions'!$N$32+E2475*'Model Inputs &amp; Assumptions'!$O$32+G2475*'Model Inputs &amp; Assumptions'!$P$32)*EXP('Model Inputs &amp; Assumptions'!$Q$32*S2475-'Model Inputs &amp; Assumptions'!$Q$32^2/2))</f>
        <v>222.455410842069</v>
      </c>
      <c r="I2475" s="49" t="n">
        <f aca="false">IF('Model Inputs &amp; Assumptions'!$H$32="Fixed",'Model Inputs &amp; Assumptions'!$I$32*'Model Inputs &amp; Assumptions'!$K$32,IF('Model Inputs &amp; Assumptions'!$H$32="CPM",'Model Inputs &amp; Assumptions'!$I$32*'Model Inputs &amp; Assumptions'!$K$32*C2475/1000,IF('Model Inputs &amp; Assumptions'!$H$32="CPC",'Model Inputs &amp; Assumptions'!$I$32*'Model Inputs &amp; Assumptions'!$K$32*G2475,0)))</f>
        <v>12178.104</v>
      </c>
      <c r="J2475" s="50" t="n">
        <f aca="false">H2475*INDEX('Model Inputs &amp; Assumptions'!$D$40:$D$42,MATCH('Model Inputs &amp; Assumptions'!$L$32,'Model Inputs &amp; Assumptions'!$A$40:$A$42,0))*INDEX('Model Inputs &amp; Assumptions'!$H$40:$H$42,MATCH('Model Inputs &amp; Assumptions'!$L$32,'Model Inputs &amp; Assumptions'!$A$40:$A$42,0))</f>
        <v>1201259.21854717</v>
      </c>
      <c r="K2475" s="49" t="n">
        <f aca="false">H2475*INDEX('Model Inputs &amp; Assumptions'!$G$40:$G$42,MATCH('Model Inputs &amp; Assumptions'!$L$32,'Model Inputs &amp; Assumptions'!$A$40:$A$42,0))*INDEX('Model Inputs &amp; Assumptions'!$H$40:$H$42,MATCH('Model Inputs &amp; Assumptions'!$L$32,'Model Inputs &amp; Assumptions'!$A$40:$A$42,0))</f>
        <v>25226.4435894906</v>
      </c>
      <c r="L2475" s="51" t="n">
        <f aca="false">IFERROR(K2475/I2475,0)</f>
        <v>2.07145903742411</v>
      </c>
      <c r="M2475" s="49" t="n">
        <f aca="false">IFERROR(I2475/H2475,0)</f>
        <v>54.7440224263449</v>
      </c>
      <c r="N2475" s="52" t="str">
        <f aca="false">'Model Inputs &amp; Assumptions'!$L$32</f>
        <v>PRD-SP01</v>
      </c>
      <c r="P2475" s="53" t="n">
        <v>-0.40863</v>
      </c>
      <c r="Q2475" s="53" t="n">
        <v>-0.402242</v>
      </c>
      <c r="R2475" s="53" t="n">
        <v>0.052996</v>
      </c>
      <c r="S2475" s="53" t="n">
        <v>1.424607</v>
      </c>
    </row>
    <row r="2476" customFormat="false" ht="15" hidden="false" customHeight="false" outlineLevel="0" collapsed="false">
      <c r="A2476" s="43" t="n">
        <v>473</v>
      </c>
      <c r="B2476" s="44" t="str">
        <f aca="false">'Model Inputs &amp; Assumptions'!$B$32</f>
        <v>Trade Republic — In-App Display</v>
      </c>
      <c r="C2476" s="45" t="n">
        <f aca="false">ROUND(MAX(0,'Model Inputs &amp; Assumptions'!$S$32*EXP('Model Inputs &amp; Assumptions'!$T$32*P2476-'Model Inputs &amp; Assumptions'!$T$32^2/2)),0)</f>
        <v>725728</v>
      </c>
      <c r="D2476" s="46" t="n">
        <f aca="false">MIN(1,'Model Inputs &amp; Assumptions'!$U$32*EXP('Model Inputs &amp; Assumptions'!$V$32*Q2476-'Model Inputs &amp; Assumptions'!$V$32^2/2))</f>
        <v>0</v>
      </c>
      <c r="E2476" s="45" t="n">
        <f aca="false">ROUND(C2476*D2476,0)</f>
        <v>0</v>
      </c>
      <c r="F2476" s="47" t="n">
        <f aca="false">MIN(1,'Model Inputs &amp; Assumptions'!$W$32*EXP('Model Inputs &amp; Assumptions'!$X$32*R2476-'Model Inputs &amp; Assumptions'!$X$32^2/2))</f>
        <v>0.00310787890221606</v>
      </c>
      <c r="G2476" s="45" t="n">
        <f aca="false">ROUND(C2476*F2476,0)</f>
        <v>2255</v>
      </c>
      <c r="H2476" s="48" t="n">
        <f aca="false">MAX(0,(C2476*'Model Inputs &amp; Assumptions'!$N$32+E2476*'Model Inputs &amp; Assumptions'!$O$32+G2476*'Model Inputs &amp; Assumptions'!$P$32)*EXP('Model Inputs &amp; Assumptions'!$Q$32*S2476-'Model Inputs &amp; Assumptions'!$Q$32^2/2))</f>
        <v>157.191584166416</v>
      </c>
      <c r="I2476" s="49" t="n">
        <f aca="false">IF('Model Inputs &amp; Assumptions'!$H$32="Fixed",'Model Inputs &amp; Assumptions'!$I$32*'Model Inputs &amp; Assumptions'!$K$32,IF('Model Inputs &amp; Assumptions'!$H$32="CPM",'Model Inputs &amp; Assumptions'!$I$32*'Model Inputs &amp; Assumptions'!$K$32*C2476/1000,IF('Model Inputs &amp; Assumptions'!$H$32="CPC",'Model Inputs &amp; Assumptions'!$I$32*'Model Inputs &amp; Assumptions'!$K$32*G2476,0)))</f>
        <v>8708.736</v>
      </c>
      <c r="J2476" s="50" t="n">
        <f aca="false">H2476*INDEX('Model Inputs &amp; Assumptions'!$D$40:$D$42,MATCH('Model Inputs &amp; Assumptions'!$L$32,'Model Inputs &amp; Assumptions'!$A$40:$A$42,0))*INDEX('Model Inputs &amp; Assumptions'!$H$40:$H$42,MATCH('Model Inputs &amp; Assumptions'!$L$32,'Model Inputs &amp; Assumptions'!$A$40:$A$42,0))</f>
        <v>848834.554498644</v>
      </c>
      <c r="K2476" s="49" t="n">
        <f aca="false">H2476*INDEX('Model Inputs &amp; Assumptions'!$G$40:$G$42,MATCH('Model Inputs &amp; Assumptions'!$L$32,'Model Inputs &amp; Assumptions'!$A$40:$A$42,0))*INDEX('Model Inputs &amp; Assumptions'!$H$40:$H$42,MATCH('Model Inputs &amp; Assumptions'!$L$32,'Model Inputs &amp; Assumptions'!$A$40:$A$42,0))</f>
        <v>17825.5256444715</v>
      </c>
      <c r="L2476" s="51" t="n">
        <f aca="false">IFERROR(K2476/I2476,0)</f>
        <v>2.04685566820162</v>
      </c>
      <c r="M2476" s="49" t="n">
        <f aca="false">IFERROR(I2476/H2476,0)</f>
        <v>55.4020499645848</v>
      </c>
      <c r="N2476" s="52" t="str">
        <f aca="false">'Model Inputs &amp; Assumptions'!$L$32</f>
        <v>PRD-SP01</v>
      </c>
      <c r="P2476" s="53" t="n">
        <v>-1.526339</v>
      </c>
      <c r="Q2476" s="53" t="n">
        <v>-1.040426</v>
      </c>
      <c r="R2476" s="53" t="n">
        <v>-0.246075</v>
      </c>
      <c r="S2476" s="53" t="n">
        <v>1.703046</v>
      </c>
    </row>
    <row r="2477" customFormat="false" ht="15" hidden="false" customHeight="false" outlineLevel="0" collapsed="false">
      <c r="A2477" s="43" t="n">
        <v>474</v>
      </c>
      <c r="B2477" s="44" t="str">
        <f aca="false">'Model Inputs &amp; Assumptions'!$B$32</f>
        <v>Trade Republic — In-App Display</v>
      </c>
      <c r="C2477" s="45" t="n">
        <f aca="false">ROUND(MAX(0,'Model Inputs &amp; Assumptions'!$S$32*EXP('Model Inputs &amp; Assumptions'!$T$32*P2477-'Model Inputs &amp; Assumptions'!$T$32^2/2)),0)</f>
        <v>1358217</v>
      </c>
      <c r="D2477" s="46" t="n">
        <f aca="false">MIN(1,'Model Inputs &amp; Assumptions'!$U$32*EXP('Model Inputs &amp; Assumptions'!$V$32*Q2477-'Model Inputs &amp; Assumptions'!$V$32^2/2))</f>
        <v>0</v>
      </c>
      <c r="E2477" s="45" t="n">
        <f aca="false">ROUND(C2477*D2477,0)</f>
        <v>0</v>
      </c>
      <c r="F2477" s="47" t="n">
        <f aca="false">MIN(1,'Model Inputs &amp; Assumptions'!$W$32*EXP('Model Inputs &amp; Assumptions'!$X$32*R2477-'Model Inputs &amp; Assumptions'!$X$32^2/2))</f>
        <v>0.00173902979475652</v>
      </c>
      <c r="G2477" s="45" t="n">
        <f aca="false">ROUND(C2477*F2477,0)</f>
        <v>2362</v>
      </c>
      <c r="H2477" s="48" t="n">
        <f aca="false">MAX(0,(C2477*'Model Inputs &amp; Assumptions'!$N$32+E2477*'Model Inputs &amp; Assumptions'!$O$32+G2477*'Model Inputs &amp; Assumptions'!$P$32)*EXP('Model Inputs &amp; Assumptions'!$Q$32*S2477-'Model Inputs &amp; Assumptions'!$Q$32^2/2))</f>
        <v>181.909670428743</v>
      </c>
      <c r="I2477" s="49" t="n">
        <f aca="false">IF('Model Inputs &amp; Assumptions'!$H$32="Fixed",'Model Inputs &amp; Assumptions'!$I$32*'Model Inputs &amp; Assumptions'!$K$32,IF('Model Inputs &amp; Assumptions'!$H$32="CPM",'Model Inputs &amp; Assumptions'!$I$32*'Model Inputs &amp; Assumptions'!$K$32*C2477/1000,IF('Model Inputs &amp; Assumptions'!$H$32="CPC",'Model Inputs &amp; Assumptions'!$I$32*'Model Inputs &amp; Assumptions'!$K$32*G2477,0)))</f>
        <v>16298.604</v>
      </c>
      <c r="J2477" s="50" t="n">
        <f aca="false">H2477*INDEX('Model Inputs &amp; Assumptions'!$D$40:$D$42,MATCH('Model Inputs &amp; Assumptions'!$L$32,'Model Inputs &amp; Assumptions'!$A$40:$A$42,0))*INDEX('Model Inputs &amp; Assumptions'!$H$40:$H$42,MATCH('Model Inputs &amp; Assumptions'!$L$32,'Model Inputs &amp; Assumptions'!$A$40:$A$42,0))</f>
        <v>982312.22031521</v>
      </c>
      <c r="K2477" s="49" t="n">
        <f aca="false">H2477*INDEX('Model Inputs &amp; Assumptions'!$G$40:$G$42,MATCH('Model Inputs &amp; Assumptions'!$L$32,'Model Inputs &amp; Assumptions'!$A$40:$A$42,0))*INDEX('Model Inputs &amp; Assumptions'!$H$40:$H$42,MATCH('Model Inputs &amp; Assumptions'!$L$32,'Model Inputs &amp; Assumptions'!$A$40:$A$42,0))</f>
        <v>20628.5566266194</v>
      </c>
      <c r="L2477" s="51" t="n">
        <f aca="false">IFERROR(K2477/I2477,0)</f>
        <v>1.26566401801157</v>
      </c>
      <c r="M2477" s="49" t="n">
        <f aca="false">IFERROR(I2477/H2477,0)</f>
        <v>89.5972378026184</v>
      </c>
      <c r="N2477" s="52" t="str">
        <f aca="false">'Model Inputs &amp; Assumptions'!$L$32</f>
        <v>PRD-SP01</v>
      </c>
      <c r="P2477" s="53" t="n">
        <v>0.562838</v>
      </c>
      <c r="Q2477" s="53" t="n">
        <v>-0.829957</v>
      </c>
      <c r="R2477" s="53" t="n">
        <v>-2.181452</v>
      </c>
      <c r="S2477" s="53" t="n">
        <v>2.059068</v>
      </c>
    </row>
    <row r="2478" customFormat="false" ht="15" hidden="false" customHeight="false" outlineLevel="0" collapsed="false">
      <c r="A2478" s="43" t="n">
        <v>475</v>
      </c>
      <c r="B2478" s="44" t="str">
        <f aca="false">'Model Inputs &amp; Assumptions'!$B$32</f>
        <v>Trade Republic — In-App Display</v>
      </c>
      <c r="C2478" s="45" t="n">
        <f aca="false">ROUND(MAX(0,'Model Inputs &amp; Assumptions'!$S$32*EXP('Model Inputs &amp; Assumptions'!$T$32*P2478-'Model Inputs &amp; Assumptions'!$T$32^2/2)),0)</f>
        <v>789256</v>
      </c>
      <c r="D2478" s="46" t="n">
        <f aca="false">MIN(1,'Model Inputs &amp; Assumptions'!$U$32*EXP('Model Inputs &amp; Assumptions'!$V$32*Q2478-'Model Inputs &amp; Assumptions'!$V$32^2/2))</f>
        <v>0</v>
      </c>
      <c r="E2478" s="45" t="n">
        <f aca="false">ROUND(C2478*D2478,0)</f>
        <v>0</v>
      </c>
      <c r="F2478" s="47" t="n">
        <f aca="false">MIN(1,'Model Inputs &amp; Assumptions'!$W$32*EXP('Model Inputs &amp; Assumptions'!$X$32*R2478-'Model Inputs &amp; Assumptions'!$X$32^2/2))</f>
        <v>0.00297163251007572</v>
      </c>
      <c r="G2478" s="45" t="n">
        <f aca="false">ROUND(C2478*F2478,0)</f>
        <v>2345</v>
      </c>
      <c r="H2478" s="48" t="n">
        <f aca="false">MAX(0,(C2478*'Model Inputs &amp; Assumptions'!$N$32+E2478*'Model Inputs &amp; Assumptions'!$O$32+G2478*'Model Inputs &amp; Assumptions'!$P$32)*EXP('Model Inputs &amp; Assumptions'!$Q$32*S2478-'Model Inputs &amp; Assumptions'!$Q$32^2/2))</f>
        <v>171.925453274441</v>
      </c>
      <c r="I2478" s="49" t="n">
        <f aca="false">IF('Model Inputs &amp; Assumptions'!$H$32="Fixed",'Model Inputs &amp; Assumptions'!$I$32*'Model Inputs &amp; Assumptions'!$K$32,IF('Model Inputs &amp; Assumptions'!$H$32="CPM",'Model Inputs &amp; Assumptions'!$I$32*'Model Inputs &amp; Assumptions'!$K$32*C2478/1000,IF('Model Inputs &amp; Assumptions'!$H$32="CPC",'Model Inputs &amp; Assumptions'!$I$32*'Model Inputs &amp; Assumptions'!$K$32*G2478,0)))</f>
        <v>9471.072</v>
      </c>
      <c r="J2478" s="50" t="n">
        <f aca="false">H2478*INDEX('Model Inputs &amp; Assumptions'!$D$40:$D$42,MATCH('Model Inputs &amp; Assumptions'!$L$32,'Model Inputs &amp; Assumptions'!$A$40:$A$42,0))*INDEX('Model Inputs &amp; Assumptions'!$H$40:$H$42,MATCH('Model Inputs &amp; Assumptions'!$L$32,'Model Inputs &amp; Assumptions'!$A$40:$A$42,0))</f>
        <v>928397.44768198</v>
      </c>
      <c r="K2478" s="49" t="n">
        <f aca="false">H2478*INDEX('Model Inputs &amp; Assumptions'!$G$40:$G$42,MATCH('Model Inputs &amp; Assumptions'!$L$32,'Model Inputs &amp; Assumptions'!$A$40:$A$42,0))*INDEX('Model Inputs &amp; Assumptions'!$H$40:$H$42,MATCH('Model Inputs &amp; Assumptions'!$L$32,'Model Inputs &amp; Assumptions'!$A$40:$A$42,0))</f>
        <v>19496.3464013216</v>
      </c>
      <c r="L2478" s="51" t="n">
        <f aca="false">IFERROR(K2478/I2478,0)</f>
        <v>2.05851527697409</v>
      </c>
      <c r="M2478" s="49" t="n">
        <f aca="false">IFERROR(I2478/H2478,0)</f>
        <v>55.0882479564067</v>
      </c>
      <c r="N2478" s="52" t="str">
        <f aca="false">'Model Inputs &amp; Assumptions'!$L$32</f>
        <v>PRD-SP01</v>
      </c>
      <c r="P2478" s="53" t="n">
        <v>-1.246622</v>
      </c>
      <c r="Q2478" s="53" t="n">
        <v>-1.694714</v>
      </c>
      <c r="R2478" s="53" t="n">
        <v>-0.395505</v>
      </c>
      <c r="S2478" s="53" t="n">
        <v>1.883261</v>
      </c>
    </row>
    <row r="2479" customFormat="false" ht="15" hidden="false" customHeight="false" outlineLevel="0" collapsed="false">
      <c r="A2479" s="43" t="n">
        <v>476</v>
      </c>
      <c r="B2479" s="44" t="str">
        <f aca="false">'Model Inputs &amp; Assumptions'!$B$32</f>
        <v>Trade Republic — In-App Display</v>
      </c>
      <c r="C2479" s="45" t="n">
        <f aca="false">ROUND(MAX(0,'Model Inputs &amp; Assumptions'!$S$32*EXP('Model Inputs &amp; Assumptions'!$T$32*P2479-'Model Inputs &amp; Assumptions'!$T$32^2/2)),0)</f>
        <v>1087879</v>
      </c>
      <c r="D2479" s="46" t="n">
        <f aca="false">MIN(1,'Model Inputs &amp; Assumptions'!$U$32*EXP('Model Inputs &amp; Assumptions'!$V$32*Q2479-'Model Inputs &amp; Assumptions'!$V$32^2/2))</f>
        <v>0</v>
      </c>
      <c r="E2479" s="45" t="n">
        <f aca="false">ROUND(C2479*D2479,0)</f>
        <v>0</v>
      </c>
      <c r="F2479" s="47" t="n">
        <f aca="false">MIN(1,'Model Inputs &amp; Assumptions'!$W$32*EXP('Model Inputs &amp; Assumptions'!$X$32*R2479-'Model Inputs &amp; Assumptions'!$X$32^2/2))</f>
        <v>0.00432091449493443</v>
      </c>
      <c r="G2479" s="45" t="n">
        <f aca="false">ROUND(C2479*F2479,0)</f>
        <v>4701</v>
      </c>
      <c r="H2479" s="48" t="n">
        <f aca="false">MAX(0,(C2479*'Model Inputs &amp; Assumptions'!$N$32+E2479*'Model Inputs &amp; Assumptions'!$O$32+G2479*'Model Inputs &amp; Assumptions'!$P$32)*EXP('Model Inputs &amp; Assumptions'!$Q$32*S2479-'Model Inputs &amp; Assumptions'!$Q$32^2/2))</f>
        <v>151.872565116614</v>
      </c>
      <c r="I2479" s="49" t="n">
        <f aca="false">IF('Model Inputs &amp; Assumptions'!$H$32="Fixed",'Model Inputs &amp; Assumptions'!$I$32*'Model Inputs &amp; Assumptions'!$K$32,IF('Model Inputs &amp; Assumptions'!$H$32="CPM",'Model Inputs &amp; Assumptions'!$I$32*'Model Inputs &amp; Assumptions'!$K$32*C2479/1000,IF('Model Inputs &amp; Assumptions'!$H$32="CPC",'Model Inputs &amp; Assumptions'!$I$32*'Model Inputs &amp; Assumptions'!$K$32*G2479,0)))</f>
        <v>13054.548</v>
      </c>
      <c r="J2479" s="50" t="n">
        <f aca="false">H2479*INDEX('Model Inputs &amp; Assumptions'!$D$40:$D$42,MATCH('Model Inputs &amp; Assumptions'!$L$32,'Model Inputs &amp; Assumptions'!$A$40:$A$42,0))*INDEX('Model Inputs &amp; Assumptions'!$H$40:$H$42,MATCH('Model Inputs &amp; Assumptions'!$L$32,'Model Inputs &amp; Assumptions'!$A$40:$A$42,0))</f>
        <v>820111.851629714</v>
      </c>
      <c r="K2479" s="49" t="n">
        <f aca="false">H2479*INDEX('Model Inputs &amp; Assumptions'!$G$40:$G$42,MATCH('Model Inputs &amp; Assumptions'!$L$32,'Model Inputs &amp; Assumptions'!$A$40:$A$42,0))*INDEX('Model Inputs &amp; Assumptions'!$H$40:$H$42,MATCH('Model Inputs &amp; Assumptions'!$L$32,'Model Inputs &amp; Assumptions'!$A$40:$A$42,0))</f>
        <v>17222.348884224</v>
      </c>
      <c r="L2479" s="51" t="n">
        <f aca="false">IFERROR(K2479/I2479,0)</f>
        <v>1.31926045116415</v>
      </c>
      <c r="M2479" s="49" t="n">
        <f aca="false">IFERROR(I2479/H2479,0)</f>
        <v>85.9572496848012</v>
      </c>
      <c r="N2479" s="52" t="str">
        <f aca="false">'Model Inputs &amp; Assumptions'!$L$32</f>
        <v>PRD-SP01</v>
      </c>
      <c r="P2479" s="53" t="n">
        <v>-0.176973</v>
      </c>
      <c r="Q2479" s="53" t="n">
        <v>1.109274</v>
      </c>
      <c r="R2479" s="53" t="n">
        <v>0.852347</v>
      </c>
      <c r="S2479" s="53" t="n">
        <v>-1.043557</v>
      </c>
    </row>
    <row r="2480" customFormat="false" ht="15" hidden="false" customHeight="false" outlineLevel="0" collapsed="false">
      <c r="A2480" s="43" t="n">
        <v>477</v>
      </c>
      <c r="B2480" s="44" t="str">
        <f aca="false">'Model Inputs &amp; Assumptions'!$B$32</f>
        <v>Trade Republic — In-App Display</v>
      </c>
      <c r="C2480" s="45" t="n">
        <f aca="false">ROUND(MAX(0,'Model Inputs &amp; Assumptions'!$S$32*EXP('Model Inputs &amp; Assumptions'!$T$32*P2480-'Model Inputs &amp; Assumptions'!$T$32^2/2)),0)</f>
        <v>831478</v>
      </c>
      <c r="D2480" s="46" t="n">
        <f aca="false">MIN(1,'Model Inputs &amp; Assumptions'!$U$32*EXP('Model Inputs &amp; Assumptions'!$V$32*Q2480-'Model Inputs &amp; Assumptions'!$V$32^2/2))</f>
        <v>0</v>
      </c>
      <c r="E2480" s="45" t="n">
        <f aca="false">ROUND(C2480*D2480,0)</f>
        <v>0</v>
      </c>
      <c r="F2480" s="47" t="n">
        <f aca="false">MIN(1,'Model Inputs &amp; Assumptions'!$W$32*EXP('Model Inputs &amp; Assumptions'!$X$32*R2480-'Model Inputs &amp; Assumptions'!$X$32^2/2))</f>
        <v>0.00311892087468627</v>
      </c>
      <c r="G2480" s="45" t="n">
        <f aca="false">ROUND(C2480*F2480,0)</f>
        <v>2593</v>
      </c>
      <c r="H2480" s="48" t="n">
        <f aca="false">MAX(0,(C2480*'Model Inputs &amp; Assumptions'!$N$32+E2480*'Model Inputs &amp; Assumptions'!$O$32+G2480*'Model Inputs &amp; Assumptions'!$P$32)*EXP('Model Inputs &amp; Assumptions'!$Q$32*S2480-'Model Inputs &amp; Assumptions'!$Q$32^2/2))</f>
        <v>102.307959594314</v>
      </c>
      <c r="I2480" s="49" t="n">
        <f aca="false">IF('Model Inputs &amp; Assumptions'!$H$32="Fixed",'Model Inputs &amp; Assumptions'!$I$32*'Model Inputs &amp; Assumptions'!$K$32,IF('Model Inputs &amp; Assumptions'!$H$32="CPM",'Model Inputs &amp; Assumptions'!$I$32*'Model Inputs &amp; Assumptions'!$K$32*C2480/1000,IF('Model Inputs &amp; Assumptions'!$H$32="CPC",'Model Inputs &amp; Assumptions'!$I$32*'Model Inputs &amp; Assumptions'!$K$32*G2480,0)))</f>
        <v>9977.736</v>
      </c>
      <c r="J2480" s="50" t="n">
        <f aca="false">H2480*INDEX('Model Inputs &amp; Assumptions'!$D$40:$D$42,MATCH('Model Inputs &amp; Assumptions'!$L$32,'Model Inputs &amp; Assumptions'!$A$40:$A$42,0))*INDEX('Model Inputs &amp; Assumptions'!$H$40:$H$42,MATCH('Model Inputs &amp; Assumptions'!$L$32,'Model Inputs &amp; Assumptions'!$A$40:$A$42,0))</f>
        <v>552462.981809293</v>
      </c>
      <c r="K2480" s="49" t="n">
        <f aca="false">H2480*INDEX('Model Inputs &amp; Assumptions'!$G$40:$G$42,MATCH('Model Inputs &amp; Assumptions'!$L$32,'Model Inputs &amp; Assumptions'!$A$40:$A$42,0))*INDEX('Model Inputs &amp; Assumptions'!$H$40:$H$42,MATCH('Model Inputs &amp; Assumptions'!$L$32,'Model Inputs &amp; Assumptions'!$A$40:$A$42,0))</f>
        <v>11601.7226179952</v>
      </c>
      <c r="L2480" s="51" t="n">
        <f aca="false">IFERROR(K2480/I2480,0)</f>
        <v>1.16276103296331</v>
      </c>
      <c r="M2480" s="49" t="n">
        <f aca="false">IFERROR(I2480/H2480,0)</f>
        <v>97.5264880617811</v>
      </c>
      <c r="N2480" s="52" t="str">
        <f aca="false">'Model Inputs &amp; Assumptions'!$L$32</f>
        <v>PRD-SP01</v>
      </c>
      <c r="P2480" s="53" t="n">
        <v>-1.072908</v>
      </c>
      <c r="Q2480" s="53" t="n">
        <v>-3.797262</v>
      </c>
      <c r="R2480" s="53" t="n">
        <v>-0.234253</v>
      </c>
      <c r="S2480" s="53" t="n">
        <v>-0.329609</v>
      </c>
    </row>
    <row r="2481" customFormat="false" ht="15" hidden="false" customHeight="false" outlineLevel="0" collapsed="false">
      <c r="A2481" s="43" t="n">
        <v>478</v>
      </c>
      <c r="B2481" s="44" t="str">
        <f aca="false">'Model Inputs &amp; Assumptions'!$B$32</f>
        <v>Trade Republic — In-App Display</v>
      </c>
      <c r="C2481" s="45" t="n">
        <f aca="false">ROUND(MAX(0,'Model Inputs &amp; Assumptions'!$S$32*EXP('Model Inputs &amp; Assumptions'!$T$32*P2481-'Model Inputs &amp; Assumptions'!$T$32^2/2)),0)</f>
        <v>850950</v>
      </c>
      <c r="D2481" s="46" t="n">
        <f aca="false">MIN(1,'Model Inputs &amp; Assumptions'!$U$32*EXP('Model Inputs &amp; Assumptions'!$V$32*Q2481-'Model Inputs &amp; Assumptions'!$V$32^2/2))</f>
        <v>0</v>
      </c>
      <c r="E2481" s="45" t="n">
        <f aca="false">ROUND(C2481*D2481,0)</f>
        <v>0</v>
      </c>
      <c r="F2481" s="47" t="n">
        <f aca="false">MIN(1,'Model Inputs &amp; Assumptions'!$W$32*EXP('Model Inputs &amp; Assumptions'!$X$32*R2481-'Model Inputs &amp; Assumptions'!$X$32^2/2))</f>
        <v>0.00534715620167286</v>
      </c>
      <c r="G2481" s="45" t="n">
        <f aca="false">ROUND(C2481*F2481,0)</f>
        <v>4550</v>
      </c>
      <c r="H2481" s="48" t="n">
        <f aca="false">MAX(0,(C2481*'Model Inputs &amp; Assumptions'!$N$32+E2481*'Model Inputs &amp; Assumptions'!$O$32+G2481*'Model Inputs &amp; Assumptions'!$P$32)*EXP('Model Inputs &amp; Assumptions'!$Q$32*S2481-'Model Inputs &amp; Assumptions'!$Q$32^2/2))</f>
        <v>241.564752327519</v>
      </c>
      <c r="I2481" s="49" t="n">
        <f aca="false">IF('Model Inputs &amp; Assumptions'!$H$32="Fixed",'Model Inputs &amp; Assumptions'!$I$32*'Model Inputs &amp; Assumptions'!$K$32,IF('Model Inputs &amp; Assumptions'!$H$32="CPM",'Model Inputs &amp; Assumptions'!$I$32*'Model Inputs &amp; Assumptions'!$K$32*C2481/1000,IF('Model Inputs &amp; Assumptions'!$H$32="CPC",'Model Inputs &amp; Assumptions'!$I$32*'Model Inputs &amp; Assumptions'!$K$32*G2481,0)))</f>
        <v>10211.4</v>
      </c>
      <c r="J2481" s="50" t="n">
        <f aca="false">H2481*INDEX('Model Inputs &amp; Assumptions'!$D$40:$D$42,MATCH('Model Inputs &amp; Assumptions'!$L$32,'Model Inputs &amp; Assumptions'!$A$40:$A$42,0))*INDEX('Model Inputs &amp; Assumptions'!$H$40:$H$42,MATCH('Model Inputs &amp; Assumptions'!$L$32,'Model Inputs &amp; Assumptions'!$A$40:$A$42,0))</f>
        <v>1304449.66256861</v>
      </c>
      <c r="K2481" s="49" t="n">
        <f aca="false">H2481*INDEX('Model Inputs &amp; Assumptions'!$G$40:$G$42,MATCH('Model Inputs &amp; Assumptions'!$L$32,'Model Inputs &amp; Assumptions'!$A$40:$A$42,0))*INDEX('Model Inputs &amp; Assumptions'!$H$40:$H$42,MATCH('Model Inputs &amp; Assumptions'!$L$32,'Model Inputs &amp; Assumptions'!$A$40:$A$42,0))</f>
        <v>27393.4429139407</v>
      </c>
      <c r="L2481" s="51" t="n">
        <f aca="false">IFERROR(K2481/I2481,0)</f>
        <v>2.68263342087674</v>
      </c>
      <c r="M2481" s="49" t="n">
        <f aca="false">IFERROR(I2481/H2481,0)</f>
        <v>42.271895637138</v>
      </c>
      <c r="N2481" s="52" t="str">
        <f aca="false">'Model Inputs &amp; Assumptions'!$L$32</f>
        <v>PRD-SP01</v>
      </c>
      <c r="P2481" s="53" t="n">
        <v>-0.995746</v>
      </c>
      <c r="Q2481" s="53" t="n">
        <v>0.367109</v>
      </c>
      <c r="R2481" s="53" t="n">
        <v>1.562673</v>
      </c>
      <c r="S2481" s="53" t="n">
        <v>0.730528</v>
      </c>
    </row>
    <row r="2482" customFormat="false" ht="15" hidden="false" customHeight="false" outlineLevel="0" collapsed="false">
      <c r="A2482" s="43" t="n">
        <v>479</v>
      </c>
      <c r="B2482" s="44" t="str">
        <f aca="false">'Model Inputs &amp; Assumptions'!$B$32</f>
        <v>Trade Republic — In-App Display</v>
      </c>
      <c r="C2482" s="45" t="n">
        <f aca="false">ROUND(MAX(0,'Model Inputs &amp; Assumptions'!$S$32*EXP('Model Inputs &amp; Assumptions'!$T$32*P2482-'Model Inputs &amp; Assumptions'!$T$32^2/2)),0)</f>
        <v>1793013</v>
      </c>
      <c r="D2482" s="46" t="n">
        <f aca="false">MIN(1,'Model Inputs &amp; Assumptions'!$U$32*EXP('Model Inputs &amp; Assumptions'!$V$32*Q2482-'Model Inputs &amp; Assumptions'!$V$32^2/2))</f>
        <v>0</v>
      </c>
      <c r="E2482" s="45" t="n">
        <f aca="false">ROUND(C2482*D2482,0)</f>
        <v>0</v>
      </c>
      <c r="F2482" s="47" t="n">
        <f aca="false">MIN(1,'Model Inputs &amp; Assumptions'!$W$32*EXP('Model Inputs &amp; Assumptions'!$X$32*R2482-'Model Inputs &amp; Assumptions'!$X$32^2/2))</f>
        <v>0.00475529278624176</v>
      </c>
      <c r="G2482" s="45" t="n">
        <f aca="false">ROUND(C2482*F2482,0)</f>
        <v>8526</v>
      </c>
      <c r="H2482" s="48" t="n">
        <f aca="false">MAX(0,(C2482*'Model Inputs &amp; Assumptions'!$N$32+E2482*'Model Inputs &amp; Assumptions'!$O$32+G2482*'Model Inputs &amp; Assumptions'!$P$32)*EXP('Model Inputs &amp; Assumptions'!$Q$32*S2482-'Model Inputs &amp; Assumptions'!$Q$32^2/2))</f>
        <v>302.311350468015</v>
      </c>
      <c r="I2482" s="49" t="n">
        <f aca="false">IF('Model Inputs &amp; Assumptions'!$H$32="Fixed",'Model Inputs &amp; Assumptions'!$I$32*'Model Inputs &amp; Assumptions'!$K$32,IF('Model Inputs &amp; Assumptions'!$H$32="CPM",'Model Inputs &amp; Assumptions'!$I$32*'Model Inputs &amp; Assumptions'!$K$32*C2482/1000,IF('Model Inputs &amp; Assumptions'!$H$32="CPC",'Model Inputs &amp; Assumptions'!$I$32*'Model Inputs &amp; Assumptions'!$K$32*G2482,0)))</f>
        <v>21516.156</v>
      </c>
      <c r="J2482" s="50" t="n">
        <f aca="false">H2482*INDEX('Model Inputs &amp; Assumptions'!$D$40:$D$42,MATCH('Model Inputs &amp; Assumptions'!$L$32,'Model Inputs &amp; Assumptions'!$A$40:$A$42,0))*INDEX('Model Inputs &amp; Assumptions'!$H$40:$H$42,MATCH('Model Inputs &amp; Assumptions'!$L$32,'Model Inputs &amp; Assumptions'!$A$40:$A$42,0))</f>
        <v>1632481.29252728</v>
      </c>
      <c r="K2482" s="49" t="n">
        <f aca="false">H2482*INDEX('Model Inputs &amp; Assumptions'!$G$40:$G$42,MATCH('Model Inputs &amp; Assumptions'!$L$32,'Model Inputs &amp; Assumptions'!$A$40:$A$42,0))*INDEX('Model Inputs &amp; Assumptions'!$H$40:$H$42,MATCH('Model Inputs &amp; Assumptions'!$L$32,'Model Inputs &amp; Assumptions'!$A$40:$A$42,0))</f>
        <v>34282.1071430729</v>
      </c>
      <c r="L2482" s="51" t="n">
        <f aca="false">IFERROR(K2482/I2482,0)</f>
        <v>1.59331932446822</v>
      </c>
      <c r="M2482" s="49" t="n">
        <f aca="false">IFERROR(I2482/H2482,0)</f>
        <v>71.1721738753453</v>
      </c>
      <c r="N2482" s="52" t="str">
        <f aca="false">'Model Inputs &amp; Assumptions'!$L$32</f>
        <v>PRD-SP01</v>
      </c>
      <c r="P2482" s="53" t="n">
        <v>1.488587</v>
      </c>
      <c r="Q2482" s="53" t="n">
        <v>-0.147583</v>
      </c>
      <c r="R2482" s="53" t="n">
        <v>1.171651</v>
      </c>
      <c r="S2482" s="53" t="n">
        <v>-0.711162</v>
      </c>
    </row>
    <row r="2483" customFormat="false" ht="15" hidden="false" customHeight="false" outlineLevel="0" collapsed="false">
      <c r="A2483" s="43" t="n">
        <v>480</v>
      </c>
      <c r="B2483" s="44" t="str">
        <f aca="false">'Model Inputs &amp; Assumptions'!$B$32</f>
        <v>Trade Republic — In-App Display</v>
      </c>
      <c r="C2483" s="45" t="n">
        <f aca="false">ROUND(MAX(0,'Model Inputs &amp; Assumptions'!$S$32*EXP('Model Inputs &amp; Assumptions'!$T$32*P2483-'Model Inputs &amp; Assumptions'!$T$32^2/2)),0)</f>
        <v>1185549</v>
      </c>
      <c r="D2483" s="46" t="n">
        <f aca="false">MIN(1,'Model Inputs &amp; Assumptions'!$U$32*EXP('Model Inputs &amp; Assumptions'!$V$32*Q2483-'Model Inputs &amp; Assumptions'!$V$32^2/2))</f>
        <v>0</v>
      </c>
      <c r="E2483" s="45" t="n">
        <f aca="false">ROUND(C2483*D2483,0)</f>
        <v>0</v>
      </c>
      <c r="F2483" s="47" t="n">
        <f aca="false">MIN(1,'Model Inputs &amp; Assumptions'!$W$32*EXP('Model Inputs &amp; Assumptions'!$X$32*R2483-'Model Inputs &amp; Assumptions'!$X$32^2/2))</f>
        <v>0.00271868081587167</v>
      </c>
      <c r="G2483" s="45" t="n">
        <f aca="false">ROUND(C2483*F2483,0)</f>
        <v>3223</v>
      </c>
      <c r="H2483" s="48" t="n">
        <f aca="false">MAX(0,(C2483*'Model Inputs &amp; Assumptions'!$N$32+E2483*'Model Inputs &amp; Assumptions'!$O$32+G2483*'Model Inputs &amp; Assumptions'!$P$32)*EXP('Model Inputs &amp; Assumptions'!$Q$32*S2483-'Model Inputs &amp; Assumptions'!$Q$32^2/2))</f>
        <v>111.294541349915</v>
      </c>
      <c r="I2483" s="49" t="n">
        <f aca="false">IF('Model Inputs &amp; Assumptions'!$H$32="Fixed",'Model Inputs &amp; Assumptions'!$I$32*'Model Inputs &amp; Assumptions'!$K$32,IF('Model Inputs &amp; Assumptions'!$H$32="CPM",'Model Inputs &amp; Assumptions'!$I$32*'Model Inputs &amp; Assumptions'!$K$32*C2483/1000,IF('Model Inputs &amp; Assumptions'!$H$32="CPC",'Model Inputs &amp; Assumptions'!$I$32*'Model Inputs &amp; Assumptions'!$K$32*G2483,0)))</f>
        <v>14226.588</v>
      </c>
      <c r="J2483" s="50" t="n">
        <f aca="false">H2483*INDEX('Model Inputs &amp; Assumptions'!$D$40:$D$42,MATCH('Model Inputs &amp; Assumptions'!$L$32,'Model Inputs &amp; Assumptions'!$A$40:$A$42,0))*INDEX('Model Inputs &amp; Assumptions'!$H$40:$H$42,MATCH('Model Inputs &amp; Assumptions'!$L$32,'Model Inputs &amp; Assumptions'!$A$40:$A$42,0))</f>
        <v>600990.52328954</v>
      </c>
      <c r="K2483" s="49" t="n">
        <f aca="false">H2483*INDEX('Model Inputs &amp; Assumptions'!$G$40:$G$42,MATCH('Model Inputs &amp; Assumptions'!$L$32,'Model Inputs &amp; Assumptions'!$A$40:$A$42,0))*INDEX('Model Inputs &amp; Assumptions'!$H$40:$H$42,MATCH('Model Inputs &amp; Assumptions'!$L$32,'Model Inputs &amp; Assumptions'!$A$40:$A$42,0))</f>
        <v>12620.8009890803</v>
      </c>
      <c r="L2483" s="51" t="n">
        <f aca="false">IFERROR(K2483/I2483,0)</f>
        <v>0.887127749048496</v>
      </c>
      <c r="M2483" s="49" t="n">
        <f aca="false">IFERROR(I2483/H2483,0)</f>
        <v>127.828263879277</v>
      </c>
      <c r="N2483" s="52" t="str">
        <f aca="false">'Model Inputs &amp; Assumptions'!$L$32</f>
        <v>PRD-SP01</v>
      </c>
      <c r="P2483" s="53" t="n">
        <v>0.109615</v>
      </c>
      <c r="Q2483" s="53" t="n">
        <v>0.814892</v>
      </c>
      <c r="R2483" s="53" t="n">
        <v>-0.692054</v>
      </c>
      <c r="S2483" s="53" t="n">
        <v>-0.805696</v>
      </c>
    </row>
    <row r="2484" customFormat="false" ht="15" hidden="false" customHeight="false" outlineLevel="0" collapsed="false">
      <c r="A2484" s="43" t="n">
        <v>481</v>
      </c>
      <c r="B2484" s="44" t="str">
        <f aca="false">'Model Inputs &amp; Assumptions'!$B$32</f>
        <v>Trade Republic — In-App Display</v>
      </c>
      <c r="C2484" s="45" t="n">
        <f aca="false">ROUND(MAX(0,'Model Inputs &amp; Assumptions'!$S$32*EXP('Model Inputs &amp; Assumptions'!$T$32*P2484-'Model Inputs &amp; Assumptions'!$T$32^2/2)),0)</f>
        <v>1940334</v>
      </c>
      <c r="D2484" s="46" t="n">
        <f aca="false">MIN(1,'Model Inputs &amp; Assumptions'!$U$32*EXP('Model Inputs &amp; Assumptions'!$V$32*Q2484-'Model Inputs &amp; Assumptions'!$V$32^2/2))</f>
        <v>0</v>
      </c>
      <c r="E2484" s="45" t="n">
        <f aca="false">ROUND(C2484*D2484,0)</f>
        <v>0</v>
      </c>
      <c r="F2484" s="47" t="n">
        <f aca="false">MIN(1,'Model Inputs &amp; Assumptions'!$W$32*EXP('Model Inputs &amp; Assumptions'!$X$32*R2484-'Model Inputs &amp; Assumptions'!$X$32^2/2))</f>
        <v>0.00233650463874456</v>
      </c>
      <c r="G2484" s="45" t="n">
        <f aca="false">ROUND(C2484*F2484,0)</f>
        <v>4534</v>
      </c>
      <c r="H2484" s="48" t="n">
        <f aca="false">MAX(0,(C2484*'Model Inputs &amp; Assumptions'!$N$32+E2484*'Model Inputs &amp; Assumptions'!$O$32+G2484*'Model Inputs &amp; Assumptions'!$P$32)*EXP('Model Inputs &amp; Assumptions'!$Q$32*S2484-'Model Inputs &amp; Assumptions'!$Q$32^2/2))</f>
        <v>173.105002605768</v>
      </c>
      <c r="I2484" s="49" t="n">
        <f aca="false">IF('Model Inputs &amp; Assumptions'!$H$32="Fixed",'Model Inputs &amp; Assumptions'!$I$32*'Model Inputs &amp; Assumptions'!$K$32,IF('Model Inputs &amp; Assumptions'!$H$32="CPM",'Model Inputs &amp; Assumptions'!$I$32*'Model Inputs &amp; Assumptions'!$K$32*C2484/1000,IF('Model Inputs &amp; Assumptions'!$H$32="CPC",'Model Inputs &amp; Assumptions'!$I$32*'Model Inputs &amp; Assumptions'!$K$32*G2484,0)))</f>
        <v>23284.008</v>
      </c>
      <c r="J2484" s="50" t="n">
        <f aca="false">H2484*INDEX('Model Inputs &amp; Assumptions'!$D$40:$D$42,MATCH('Model Inputs &amp; Assumptions'!$L$32,'Model Inputs &amp; Assumptions'!$A$40:$A$42,0))*INDEX('Model Inputs &amp; Assumptions'!$H$40:$H$42,MATCH('Model Inputs &amp; Assumptions'!$L$32,'Model Inputs &amp; Assumptions'!$A$40:$A$42,0))</f>
        <v>934767.014071148</v>
      </c>
      <c r="K2484" s="49" t="n">
        <f aca="false">H2484*INDEX('Model Inputs &amp; Assumptions'!$G$40:$G$42,MATCH('Model Inputs &amp; Assumptions'!$L$32,'Model Inputs &amp; Assumptions'!$A$40:$A$42,0))*INDEX('Model Inputs &amp; Assumptions'!$H$40:$H$42,MATCH('Model Inputs &amp; Assumptions'!$L$32,'Model Inputs &amp; Assumptions'!$A$40:$A$42,0))</f>
        <v>19630.1072954941</v>
      </c>
      <c r="L2484" s="51" t="n">
        <f aca="false">IFERROR(K2484/I2484,0)</f>
        <v>0.843072519795308</v>
      </c>
      <c r="M2484" s="49" t="n">
        <f aca="false">IFERROR(I2484/H2484,0)</f>
        <v>134.508001787951</v>
      </c>
      <c r="N2484" s="52" t="str">
        <f aca="false">'Model Inputs &amp; Assumptions'!$L$32</f>
        <v>PRD-SP01</v>
      </c>
      <c r="P2484" s="53" t="n">
        <v>1.751795</v>
      </c>
      <c r="Q2484" s="53" t="n">
        <v>-0.240327</v>
      </c>
      <c r="R2484" s="53" t="n">
        <v>-1.197023</v>
      </c>
      <c r="S2484" s="53" t="n">
        <v>-0.447031</v>
      </c>
    </row>
    <row r="2485" customFormat="false" ht="15" hidden="false" customHeight="false" outlineLevel="0" collapsed="false">
      <c r="A2485" s="43" t="n">
        <v>482</v>
      </c>
      <c r="B2485" s="44" t="str">
        <f aca="false">'Model Inputs &amp; Assumptions'!$B$32</f>
        <v>Trade Republic — In-App Display</v>
      </c>
      <c r="C2485" s="45" t="n">
        <f aca="false">ROUND(MAX(0,'Model Inputs &amp; Assumptions'!$S$32*EXP('Model Inputs &amp; Assumptions'!$T$32*P2485-'Model Inputs &amp; Assumptions'!$T$32^2/2)),0)</f>
        <v>1401068</v>
      </c>
      <c r="D2485" s="46" t="n">
        <f aca="false">MIN(1,'Model Inputs &amp; Assumptions'!$U$32*EXP('Model Inputs &amp; Assumptions'!$V$32*Q2485-'Model Inputs &amp; Assumptions'!$V$32^2/2))</f>
        <v>0</v>
      </c>
      <c r="E2485" s="45" t="n">
        <f aca="false">ROUND(C2485*D2485,0)</f>
        <v>0</v>
      </c>
      <c r="F2485" s="47" t="n">
        <f aca="false">MIN(1,'Model Inputs &amp; Assumptions'!$W$32*EXP('Model Inputs &amp; Assumptions'!$X$32*R2485-'Model Inputs &amp; Assumptions'!$X$32^2/2))</f>
        <v>0.00339464628483814</v>
      </c>
      <c r="G2485" s="45" t="n">
        <f aca="false">ROUND(C2485*F2485,0)</f>
        <v>4756</v>
      </c>
      <c r="H2485" s="48" t="n">
        <f aca="false">MAX(0,(C2485*'Model Inputs &amp; Assumptions'!$N$32+E2485*'Model Inputs &amp; Assumptions'!$O$32+G2485*'Model Inputs &amp; Assumptions'!$P$32)*EXP('Model Inputs &amp; Assumptions'!$Q$32*S2485-'Model Inputs &amp; Assumptions'!$Q$32^2/2))</f>
        <v>184.494340571123</v>
      </c>
      <c r="I2485" s="49" t="n">
        <f aca="false">IF('Model Inputs &amp; Assumptions'!$H$32="Fixed",'Model Inputs &amp; Assumptions'!$I$32*'Model Inputs &amp; Assumptions'!$K$32,IF('Model Inputs &amp; Assumptions'!$H$32="CPM",'Model Inputs &amp; Assumptions'!$I$32*'Model Inputs &amp; Assumptions'!$K$32*C2485/1000,IF('Model Inputs &amp; Assumptions'!$H$32="CPC",'Model Inputs &amp; Assumptions'!$I$32*'Model Inputs &amp; Assumptions'!$K$32*G2485,0)))</f>
        <v>16812.816</v>
      </c>
      <c r="J2485" s="50" t="n">
        <f aca="false">H2485*INDEX('Model Inputs &amp; Assumptions'!$D$40:$D$42,MATCH('Model Inputs &amp; Assumptions'!$L$32,'Model Inputs &amp; Assumptions'!$A$40:$A$42,0))*INDEX('Model Inputs &amp; Assumptions'!$H$40:$H$42,MATCH('Model Inputs &amp; Assumptions'!$L$32,'Model Inputs &amp; Assumptions'!$A$40:$A$42,0))</f>
        <v>996269.439084064</v>
      </c>
      <c r="K2485" s="49" t="n">
        <f aca="false">H2485*INDEX('Model Inputs &amp; Assumptions'!$G$40:$G$42,MATCH('Model Inputs &amp; Assumptions'!$L$32,'Model Inputs &amp; Assumptions'!$A$40:$A$42,0))*INDEX('Model Inputs &amp; Assumptions'!$H$40:$H$42,MATCH('Model Inputs &amp; Assumptions'!$L$32,'Model Inputs &amp; Assumptions'!$A$40:$A$42,0))</f>
        <v>20921.6582207653</v>
      </c>
      <c r="L2485" s="51" t="n">
        <f aca="false">IFERROR(K2485/I2485,0)</f>
        <v>1.24438750895539</v>
      </c>
      <c r="M2485" s="49" t="n">
        <f aca="false">IFERROR(I2485/H2485,0)</f>
        <v>91.129169317357</v>
      </c>
      <c r="N2485" s="52" t="str">
        <f aca="false">'Model Inputs &amp; Assumptions'!$L$32</f>
        <v>PRD-SP01</v>
      </c>
      <c r="P2485" s="53" t="n">
        <v>0.666378</v>
      </c>
      <c r="Q2485" s="53" t="n">
        <v>-0.092003</v>
      </c>
      <c r="R2485" s="53" t="n">
        <v>0.048122</v>
      </c>
      <c r="S2485" s="53" t="n">
        <v>-0.390181</v>
      </c>
    </row>
    <row r="2486" customFormat="false" ht="15" hidden="false" customHeight="false" outlineLevel="0" collapsed="false">
      <c r="A2486" s="43" t="n">
        <v>483</v>
      </c>
      <c r="B2486" s="44" t="str">
        <f aca="false">'Model Inputs &amp; Assumptions'!$B$32</f>
        <v>Trade Republic — In-App Display</v>
      </c>
      <c r="C2486" s="45" t="n">
        <f aca="false">ROUND(MAX(0,'Model Inputs &amp; Assumptions'!$S$32*EXP('Model Inputs &amp; Assumptions'!$T$32*P2486-'Model Inputs &amp; Assumptions'!$T$32^2/2)),0)</f>
        <v>701892</v>
      </c>
      <c r="D2486" s="46" t="n">
        <f aca="false">MIN(1,'Model Inputs &amp; Assumptions'!$U$32*EXP('Model Inputs &amp; Assumptions'!$V$32*Q2486-'Model Inputs &amp; Assumptions'!$V$32^2/2))</f>
        <v>0</v>
      </c>
      <c r="E2486" s="45" t="n">
        <f aca="false">ROUND(C2486*D2486,0)</f>
        <v>0</v>
      </c>
      <c r="F2486" s="47" t="n">
        <f aca="false">MIN(1,'Model Inputs &amp; Assumptions'!$W$32*EXP('Model Inputs &amp; Assumptions'!$X$32*R2486-'Model Inputs &amp; Assumptions'!$X$32^2/2))</f>
        <v>0.00518181389883575</v>
      </c>
      <c r="G2486" s="45" t="n">
        <f aca="false">ROUND(C2486*F2486,0)</f>
        <v>3637</v>
      </c>
      <c r="H2486" s="48" t="n">
        <f aca="false">MAX(0,(C2486*'Model Inputs &amp; Assumptions'!$N$32+E2486*'Model Inputs &amp; Assumptions'!$O$32+G2486*'Model Inputs &amp; Assumptions'!$P$32)*EXP('Model Inputs &amp; Assumptions'!$Q$32*S2486-'Model Inputs &amp; Assumptions'!$Q$32^2/2))</f>
        <v>163.748470788434</v>
      </c>
      <c r="I2486" s="49" t="n">
        <f aca="false">IF('Model Inputs &amp; Assumptions'!$H$32="Fixed",'Model Inputs &amp; Assumptions'!$I$32*'Model Inputs &amp; Assumptions'!$K$32,IF('Model Inputs &amp; Assumptions'!$H$32="CPM",'Model Inputs &amp; Assumptions'!$I$32*'Model Inputs &amp; Assumptions'!$K$32*C2486/1000,IF('Model Inputs &amp; Assumptions'!$H$32="CPC",'Model Inputs &amp; Assumptions'!$I$32*'Model Inputs &amp; Assumptions'!$K$32*G2486,0)))</f>
        <v>8422.704</v>
      </c>
      <c r="J2486" s="50" t="n">
        <f aca="false">H2486*INDEX('Model Inputs &amp; Assumptions'!$D$40:$D$42,MATCH('Model Inputs &amp; Assumptions'!$L$32,'Model Inputs &amp; Assumptions'!$A$40:$A$42,0))*INDEX('Model Inputs &amp; Assumptions'!$H$40:$H$42,MATCH('Model Inputs &amp; Assumptions'!$L$32,'Model Inputs &amp; Assumptions'!$A$40:$A$42,0))</f>
        <v>884241.742257546</v>
      </c>
      <c r="K2486" s="49" t="n">
        <f aca="false">H2486*INDEX('Model Inputs &amp; Assumptions'!$G$40:$G$42,MATCH('Model Inputs &amp; Assumptions'!$L$32,'Model Inputs &amp; Assumptions'!$A$40:$A$42,0))*INDEX('Model Inputs &amp; Assumptions'!$H$40:$H$42,MATCH('Model Inputs &amp; Assumptions'!$L$32,'Model Inputs &amp; Assumptions'!$A$40:$A$42,0))</f>
        <v>18569.0765874085</v>
      </c>
      <c r="L2486" s="51" t="n">
        <f aca="false">IFERROR(K2486/I2486,0)</f>
        <v>2.20464551376951</v>
      </c>
      <c r="M2486" s="49" t="n">
        <f aca="false">IFERROR(I2486/H2486,0)</f>
        <v>51.4368406583916</v>
      </c>
      <c r="N2486" s="52" t="str">
        <f aca="false">'Model Inputs &amp; Assumptions'!$L$32</f>
        <v>PRD-SP01</v>
      </c>
      <c r="P2486" s="53" t="n">
        <v>-1.637656</v>
      </c>
      <c r="Q2486" s="53" t="n">
        <v>-2.200942</v>
      </c>
      <c r="R2486" s="53" t="n">
        <v>1.457974</v>
      </c>
      <c r="S2486" s="53" t="n">
        <v>0.141821</v>
      </c>
    </row>
    <row r="2487" customFormat="false" ht="15" hidden="false" customHeight="false" outlineLevel="0" collapsed="false">
      <c r="A2487" s="43" t="n">
        <v>484</v>
      </c>
      <c r="B2487" s="44" t="str">
        <f aca="false">'Model Inputs &amp; Assumptions'!$B$32</f>
        <v>Trade Republic — In-App Display</v>
      </c>
      <c r="C2487" s="45" t="n">
        <f aca="false">ROUND(MAX(0,'Model Inputs &amp; Assumptions'!$S$32*EXP('Model Inputs &amp; Assumptions'!$T$32*P2487-'Model Inputs &amp; Assumptions'!$T$32^2/2)),0)</f>
        <v>887337</v>
      </c>
      <c r="D2487" s="46" t="n">
        <f aca="false">MIN(1,'Model Inputs &amp; Assumptions'!$U$32*EXP('Model Inputs &amp; Assumptions'!$V$32*Q2487-'Model Inputs &amp; Assumptions'!$V$32^2/2))</f>
        <v>0</v>
      </c>
      <c r="E2487" s="45" t="n">
        <f aca="false">ROUND(C2487*D2487,0)</f>
        <v>0</v>
      </c>
      <c r="F2487" s="47" t="n">
        <f aca="false">MIN(1,'Model Inputs &amp; Assumptions'!$W$32*EXP('Model Inputs &amp; Assumptions'!$X$32*R2487-'Model Inputs &amp; Assumptions'!$X$32^2/2))</f>
        <v>0.00358253578138326</v>
      </c>
      <c r="G2487" s="45" t="n">
        <f aca="false">ROUND(C2487*F2487,0)</f>
        <v>3179</v>
      </c>
      <c r="H2487" s="48" t="n">
        <f aca="false">MAX(0,(C2487*'Model Inputs &amp; Assumptions'!$N$32+E2487*'Model Inputs &amp; Assumptions'!$O$32+G2487*'Model Inputs &amp; Assumptions'!$P$32)*EXP('Model Inputs &amp; Assumptions'!$Q$32*S2487-'Model Inputs &amp; Assumptions'!$Q$32^2/2))</f>
        <v>88.1746698361086</v>
      </c>
      <c r="I2487" s="49" t="n">
        <f aca="false">IF('Model Inputs &amp; Assumptions'!$H$32="Fixed",'Model Inputs &amp; Assumptions'!$I$32*'Model Inputs &amp; Assumptions'!$K$32,IF('Model Inputs &amp; Assumptions'!$H$32="CPM",'Model Inputs &amp; Assumptions'!$I$32*'Model Inputs &amp; Assumptions'!$K$32*C2487/1000,IF('Model Inputs &amp; Assumptions'!$H$32="CPC",'Model Inputs &amp; Assumptions'!$I$32*'Model Inputs &amp; Assumptions'!$K$32*G2487,0)))</f>
        <v>10648.044</v>
      </c>
      <c r="J2487" s="50" t="n">
        <f aca="false">H2487*INDEX('Model Inputs &amp; Assumptions'!$D$40:$D$42,MATCH('Model Inputs &amp; Assumptions'!$L$32,'Model Inputs &amp; Assumptions'!$A$40:$A$42,0))*INDEX('Model Inputs &amp; Assumptions'!$H$40:$H$42,MATCH('Model Inputs &amp; Assumptions'!$L$32,'Model Inputs &amp; Assumptions'!$A$40:$A$42,0))</f>
        <v>476143.217114987</v>
      </c>
      <c r="K2487" s="49" t="n">
        <f aca="false">H2487*INDEX('Model Inputs &amp; Assumptions'!$G$40:$G$42,MATCH('Model Inputs &amp; Assumptions'!$L$32,'Model Inputs &amp; Assumptions'!$A$40:$A$42,0))*INDEX('Model Inputs &amp; Assumptions'!$H$40:$H$42,MATCH('Model Inputs &amp; Assumptions'!$L$32,'Model Inputs &amp; Assumptions'!$A$40:$A$42,0))</f>
        <v>9999.00755941472</v>
      </c>
      <c r="L2487" s="51" t="n">
        <f aca="false">IFERROR(K2487/I2487,0)</f>
        <v>0.939046416357288</v>
      </c>
      <c r="M2487" s="49" t="n">
        <f aca="false">IFERROR(I2487/H2487,0)</f>
        <v>120.760803752276</v>
      </c>
      <c r="N2487" s="52" t="str">
        <f aca="false">'Model Inputs &amp; Assumptions'!$L$32</f>
        <v>PRD-SP01</v>
      </c>
      <c r="P2487" s="53" t="n">
        <v>-0.856175</v>
      </c>
      <c r="Q2487" s="53" t="n">
        <v>1.42123</v>
      </c>
      <c r="R2487" s="53" t="n">
        <v>0.227693</v>
      </c>
      <c r="S2487" s="53" t="n">
        <v>-1.588248</v>
      </c>
    </row>
    <row r="2488" customFormat="false" ht="15" hidden="false" customHeight="false" outlineLevel="0" collapsed="false">
      <c r="A2488" s="43" t="n">
        <v>485</v>
      </c>
      <c r="B2488" s="44" t="str">
        <f aca="false">'Model Inputs &amp; Assumptions'!$B$32</f>
        <v>Trade Republic — In-App Display</v>
      </c>
      <c r="C2488" s="45" t="n">
        <f aca="false">ROUND(MAX(0,'Model Inputs &amp; Assumptions'!$S$32*EXP('Model Inputs &amp; Assumptions'!$T$32*P2488-'Model Inputs &amp; Assumptions'!$T$32^2/2)),0)</f>
        <v>980122</v>
      </c>
      <c r="D2488" s="46" t="n">
        <f aca="false">MIN(1,'Model Inputs &amp; Assumptions'!$U$32*EXP('Model Inputs &amp; Assumptions'!$V$32*Q2488-'Model Inputs &amp; Assumptions'!$V$32^2/2))</f>
        <v>0</v>
      </c>
      <c r="E2488" s="45" t="n">
        <f aca="false">ROUND(C2488*D2488,0)</f>
        <v>0</v>
      </c>
      <c r="F2488" s="47" t="n">
        <f aca="false">MIN(1,'Model Inputs &amp; Assumptions'!$W$32*EXP('Model Inputs &amp; Assumptions'!$X$32*R2488-'Model Inputs &amp; Assumptions'!$X$32^2/2))</f>
        <v>0.00260707751650163</v>
      </c>
      <c r="G2488" s="45" t="n">
        <f aca="false">ROUND(C2488*F2488,0)</f>
        <v>2555</v>
      </c>
      <c r="H2488" s="48" t="n">
        <f aca="false">MAX(0,(C2488*'Model Inputs &amp; Assumptions'!$N$32+E2488*'Model Inputs &amp; Assumptions'!$O$32+G2488*'Model Inputs &amp; Assumptions'!$P$32)*EXP('Model Inputs &amp; Assumptions'!$Q$32*S2488-'Model Inputs &amp; Assumptions'!$Q$32^2/2))</f>
        <v>113.556831927009</v>
      </c>
      <c r="I2488" s="49" t="n">
        <f aca="false">IF('Model Inputs &amp; Assumptions'!$H$32="Fixed",'Model Inputs &amp; Assumptions'!$I$32*'Model Inputs &amp; Assumptions'!$K$32,IF('Model Inputs &amp; Assumptions'!$H$32="CPM",'Model Inputs &amp; Assumptions'!$I$32*'Model Inputs &amp; Assumptions'!$K$32*C2488/1000,IF('Model Inputs &amp; Assumptions'!$H$32="CPC",'Model Inputs &amp; Assumptions'!$I$32*'Model Inputs &amp; Assumptions'!$K$32*G2488,0)))</f>
        <v>11761.464</v>
      </c>
      <c r="J2488" s="50" t="n">
        <f aca="false">H2488*INDEX('Model Inputs &amp; Assumptions'!$D$40:$D$42,MATCH('Model Inputs &amp; Assumptions'!$L$32,'Model Inputs &amp; Assumptions'!$A$40:$A$42,0))*INDEX('Model Inputs &amp; Assumptions'!$H$40:$H$42,MATCH('Model Inputs &amp; Assumptions'!$L$32,'Model Inputs &amp; Assumptions'!$A$40:$A$42,0))</f>
        <v>613206.892405851</v>
      </c>
      <c r="K2488" s="49" t="n">
        <f aca="false">H2488*INDEX('Model Inputs &amp; Assumptions'!$G$40:$G$42,MATCH('Model Inputs &amp; Assumptions'!$L$32,'Model Inputs &amp; Assumptions'!$A$40:$A$42,0))*INDEX('Model Inputs &amp; Assumptions'!$H$40:$H$42,MATCH('Model Inputs &amp; Assumptions'!$L$32,'Model Inputs &amp; Assumptions'!$A$40:$A$42,0))</f>
        <v>12877.3447405229</v>
      </c>
      <c r="L2488" s="51" t="n">
        <f aca="false">IFERROR(K2488/I2488,0)</f>
        <v>1.09487600697693</v>
      </c>
      <c r="M2488" s="49" t="n">
        <f aca="false">IFERROR(I2488/H2488,0)</f>
        <v>103.573372032428</v>
      </c>
      <c r="N2488" s="52" t="str">
        <f aca="false">'Model Inputs &amp; Assumptions'!$L$32</f>
        <v>PRD-SP01</v>
      </c>
      <c r="P2488" s="53" t="n">
        <v>-0.524667</v>
      </c>
      <c r="Q2488" s="53" t="n">
        <v>0.401475</v>
      </c>
      <c r="R2488" s="53" t="n">
        <v>-0.831777</v>
      </c>
      <c r="S2488" s="53" t="n">
        <v>0.095674</v>
      </c>
    </row>
    <row r="2489" customFormat="false" ht="15" hidden="false" customHeight="false" outlineLevel="0" collapsed="false">
      <c r="A2489" s="43" t="n">
        <v>486</v>
      </c>
      <c r="B2489" s="44" t="str">
        <f aca="false">'Model Inputs &amp; Assumptions'!$B$32</f>
        <v>Trade Republic — In-App Display</v>
      </c>
      <c r="C2489" s="45" t="n">
        <f aca="false">ROUND(MAX(0,'Model Inputs &amp; Assumptions'!$S$32*EXP('Model Inputs &amp; Assumptions'!$T$32*P2489-'Model Inputs &amp; Assumptions'!$T$32^2/2)),0)</f>
        <v>2142316</v>
      </c>
      <c r="D2489" s="46" t="n">
        <f aca="false">MIN(1,'Model Inputs &amp; Assumptions'!$U$32*EXP('Model Inputs &amp; Assumptions'!$V$32*Q2489-'Model Inputs &amp; Assumptions'!$V$32^2/2))</f>
        <v>0</v>
      </c>
      <c r="E2489" s="45" t="n">
        <f aca="false">ROUND(C2489*D2489,0)</f>
        <v>0</v>
      </c>
      <c r="F2489" s="47" t="n">
        <f aca="false">MIN(1,'Model Inputs &amp; Assumptions'!$W$32*EXP('Model Inputs &amp; Assumptions'!$X$32*R2489-'Model Inputs &amp; Assumptions'!$X$32^2/2))</f>
        <v>0.00267268762832163</v>
      </c>
      <c r="G2489" s="45" t="n">
        <f aca="false">ROUND(C2489*F2489,0)</f>
        <v>5726</v>
      </c>
      <c r="H2489" s="48" t="n">
        <f aca="false">MAX(0,(C2489*'Model Inputs &amp; Assumptions'!$N$32+E2489*'Model Inputs &amp; Assumptions'!$O$32+G2489*'Model Inputs &amp; Assumptions'!$P$32)*EXP('Model Inputs &amp; Assumptions'!$Q$32*S2489-'Model Inputs &amp; Assumptions'!$Q$32^2/2))</f>
        <v>258.942931687564</v>
      </c>
      <c r="I2489" s="49" t="n">
        <f aca="false">IF('Model Inputs &amp; Assumptions'!$H$32="Fixed",'Model Inputs &amp; Assumptions'!$I$32*'Model Inputs &amp; Assumptions'!$K$32,IF('Model Inputs &amp; Assumptions'!$H$32="CPM",'Model Inputs &amp; Assumptions'!$I$32*'Model Inputs &amp; Assumptions'!$K$32*C2489/1000,IF('Model Inputs &amp; Assumptions'!$H$32="CPC",'Model Inputs &amp; Assumptions'!$I$32*'Model Inputs &amp; Assumptions'!$K$32*G2489,0)))</f>
        <v>25707.792</v>
      </c>
      <c r="J2489" s="50" t="n">
        <f aca="false">H2489*INDEX('Model Inputs &amp; Assumptions'!$D$40:$D$42,MATCH('Model Inputs &amp; Assumptions'!$L$32,'Model Inputs &amp; Assumptions'!$A$40:$A$42,0))*INDEX('Model Inputs &amp; Assumptions'!$H$40:$H$42,MATCH('Model Inputs &amp; Assumptions'!$L$32,'Model Inputs &amp; Assumptions'!$A$40:$A$42,0))</f>
        <v>1398291.83111285</v>
      </c>
      <c r="K2489" s="49" t="n">
        <f aca="false">H2489*INDEX('Model Inputs &amp; Assumptions'!$G$40:$G$42,MATCH('Model Inputs &amp; Assumptions'!$L$32,'Model Inputs &amp; Assumptions'!$A$40:$A$42,0))*INDEX('Model Inputs &amp; Assumptions'!$H$40:$H$42,MATCH('Model Inputs &amp; Assumptions'!$L$32,'Model Inputs &amp; Assumptions'!$A$40:$A$42,0))</f>
        <v>29364.1284533698</v>
      </c>
      <c r="L2489" s="51" t="n">
        <f aca="false">IFERROR(K2489/I2489,0)</f>
        <v>1.1422267790781</v>
      </c>
      <c r="M2489" s="49" t="n">
        <f aca="false">IFERROR(I2489/H2489,0)</f>
        <v>99.2797595688711</v>
      </c>
      <c r="N2489" s="52" t="str">
        <f aca="false">'Model Inputs &amp; Assumptions'!$L$32</f>
        <v>PRD-SP01</v>
      </c>
      <c r="P2489" s="53" t="n">
        <v>2.081886</v>
      </c>
      <c r="Q2489" s="53" t="n">
        <v>0.270982</v>
      </c>
      <c r="R2489" s="53" t="n">
        <v>-0.748928</v>
      </c>
      <c r="S2489" s="53" t="n">
        <v>0.1576</v>
      </c>
    </row>
    <row r="2490" customFormat="false" ht="15" hidden="false" customHeight="false" outlineLevel="0" collapsed="false">
      <c r="A2490" s="43" t="n">
        <v>487</v>
      </c>
      <c r="B2490" s="44" t="str">
        <f aca="false">'Model Inputs &amp; Assumptions'!$B$32</f>
        <v>Trade Republic — In-App Display</v>
      </c>
      <c r="C2490" s="45" t="n">
        <f aca="false">ROUND(MAX(0,'Model Inputs &amp; Assumptions'!$S$32*EXP('Model Inputs &amp; Assumptions'!$T$32*P2490-'Model Inputs &amp; Assumptions'!$T$32^2/2)),0)</f>
        <v>1571126</v>
      </c>
      <c r="D2490" s="46" t="n">
        <f aca="false">MIN(1,'Model Inputs &amp; Assumptions'!$U$32*EXP('Model Inputs &amp; Assumptions'!$V$32*Q2490-'Model Inputs &amp; Assumptions'!$V$32^2/2))</f>
        <v>0</v>
      </c>
      <c r="E2490" s="45" t="n">
        <f aca="false">ROUND(C2490*D2490,0)</f>
        <v>0</v>
      </c>
      <c r="F2490" s="47" t="n">
        <f aca="false">MIN(1,'Model Inputs &amp; Assumptions'!$W$32*EXP('Model Inputs &amp; Assumptions'!$X$32*R2490-'Model Inputs &amp; Assumptions'!$X$32^2/2))</f>
        <v>0.00203395458305461</v>
      </c>
      <c r="G2490" s="45" t="n">
        <f aca="false">ROUND(C2490*F2490,0)</f>
        <v>3196</v>
      </c>
      <c r="H2490" s="48" t="n">
        <f aca="false">MAX(0,(C2490*'Model Inputs &amp; Assumptions'!$N$32+E2490*'Model Inputs &amp; Assumptions'!$O$32+G2490*'Model Inputs &amp; Assumptions'!$P$32)*EXP('Model Inputs &amp; Assumptions'!$Q$32*S2490-'Model Inputs &amp; Assumptions'!$Q$32^2/2))</f>
        <v>143.897419001236</v>
      </c>
      <c r="I2490" s="49" t="n">
        <f aca="false">IF('Model Inputs &amp; Assumptions'!$H$32="Fixed",'Model Inputs &amp; Assumptions'!$I$32*'Model Inputs &amp; Assumptions'!$K$32,IF('Model Inputs &amp; Assumptions'!$H$32="CPM",'Model Inputs &amp; Assumptions'!$I$32*'Model Inputs &amp; Assumptions'!$K$32*C2490/1000,IF('Model Inputs &amp; Assumptions'!$H$32="CPC",'Model Inputs &amp; Assumptions'!$I$32*'Model Inputs &amp; Assumptions'!$K$32*G2490,0)))</f>
        <v>18853.512</v>
      </c>
      <c r="J2490" s="50" t="n">
        <f aca="false">H2490*INDEX('Model Inputs &amp; Assumptions'!$D$40:$D$42,MATCH('Model Inputs &amp; Assumptions'!$L$32,'Model Inputs &amp; Assumptions'!$A$40:$A$42,0))*INDEX('Model Inputs &amp; Assumptions'!$H$40:$H$42,MATCH('Model Inputs &amp; Assumptions'!$L$32,'Model Inputs &amp; Assumptions'!$A$40:$A$42,0))</f>
        <v>777046.062606677</v>
      </c>
      <c r="K2490" s="49" t="n">
        <f aca="false">H2490*INDEX('Model Inputs &amp; Assumptions'!$G$40:$G$42,MATCH('Model Inputs &amp; Assumptions'!$L$32,'Model Inputs &amp; Assumptions'!$A$40:$A$42,0))*INDEX('Model Inputs &amp; Assumptions'!$H$40:$H$42,MATCH('Model Inputs &amp; Assumptions'!$L$32,'Model Inputs &amp; Assumptions'!$A$40:$A$42,0))</f>
        <v>16317.9673147402</v>
      </c>
      <c r="L2490" s="51" t="n">
        <f aca="false">IFERROR(K2490/I2490,0)</f>
        <v>0.865513402210697</v>
      </c>
      <c r="M2490" s="49" t="n">
        <f aca="false">IFERROR(I2490/H2490,0)</f>
        <v>131.020501485423</v>
      </c>
      <c r="N2490" s="52" t="str">
        <f aca="false">'Model Inputs &amp; Assumptions'!$L$32</f>
        <v>PRD-SP01</v>
      </c>
      <c r="P2490" s="53" t="n">
        <v>1.048236</v>
      </c>
      <c r="Q2490" s="53" t="n">
        <v>-1.827055</v>
      </c>
      <c r="R2490" s="53" t="n">
        <v>-1.65927</v>
      </c>
      <c r="S2490" s="53" t="n">
        <v>0.141922</v>
      </c>
    </row>
    <row r="2491" customFormat="false" ht="15" hidden="false" customHeight="false" outlineLevel="0" collapsed="false">
      <c r="A2491" s="43" t="n">
        <v>488</v>
      </c>
      <c r="B2491" s="44" t="str">
        <f aca="false">'Model Inputs &amp; Assumptions'!$B$32</f>
        <v>Trade Republic — In-App Display</v>
      </c>
      <c r="C2491" s="45" t="n">
        <f aca="false">ROUND(MAX(0,'Model Inputs &amp; Assumptions'!$S$32*EXP('Model Inputs &amp; Assumptions'!$T$32*P2491-'Model Inputs &amp; Assumptions'!$T$32^2/2)),0)</f>
        <v>1259592</v>
      </c>
      <c r="D2491" s="46" t="n">
        <f aca="false">MIN(1,'Model Inputs &amp; Assumptions'!$U$32*EXP('Model Inputs &amp; Assumptions'!$V$32*Q2491-'Model Inputs &amp; Assumptions'!$V$32^2/2))</f>
        <v>0</v>
      </c>
      <c r="E2491" s="45" t="n">
        <f aca="false">ROUND(C2491*D2491,0)</f>
        <v>0</v>
      </c>
      <c r="F2491" s="47" t="n">
        <f aca="false">MIN(1,'Model Inputs &amp; Assumptions'!$W$32*EXP('Model Inputs &amp; Assumptions'!$X$32*R2491-'Model Inputs &amp; Assumptions'!$X$32^2/2))</f>
        <v>0.00293652429234057</v>
      </c>
      <c r="G2491" s="45" t="n">
        <f aca="false">ROUND(C2491*F2491,0)</f>
        <v>3699</v>
      </c>
      <c r="H2491" s="48" t="n">
        <f aca="false">MAX(0,(C2491*'Model Inputs &amp; Assumptions'!$N$32+E2491*'Model Inputs &amp; Assumptions'!$O$32+G2491*'Model Inputs &amp; Assumptions'!$P$32)*EXP('Model Inputs &amp; Assumptions'!$Q$32*S2491-'Model Inputs &amp; Assumptions'!$Q$32^2/2))</f>
        <v>152.216255400783</v>
      </c>
      <c r="I2491" s="49" t="n">
        <f aca="false">IF('Model Inputs &amp; Assumptions'!$H$32="Fixed",'Model Inputs &amp; Assumptions'!$I$32*'Model Inputs &amp; Assumptions'!$K$32,IF('Model Inputs &amp; Assumptions'!$H$32="CPM",'Model Inputs &amp; Assumptions'!$I$32*'Model Inputs &amp; Assumptions'!$K$32*C2491/1000,IF('Model Inputs &amp; Assumptions'!$H$32="CPC",'Model Inputs &amp; Assumptions'!$I$32*'Model Inputs &amp; Assumptions'!$K$32*G2491,0)))</f>
        <v>15115.104</v>
      </c>
      <c r="J2491" s="50" t="n">
        <f aca="false">H2491*INDEX('Model Inputs &amp; Assumptions'!$D$40:$D$42,MATCH('Model Inputs &amp; Assumptions'!$L$32,'Model Inputs &amp; Assumptions'!$A$40:$A$42,0))*INDEX('Model Inputs &amp; Assumptions'!$H$40:$H$42,MATCH('Model Inputs &amp; Assumptions'!$L$32,'Model Inputs &amp; Assumptions'!$A$40:$A$42,0))</f>
        <v>821967.779164226</v>
      </c>
      <c r="K2491" s="49" t="n">
        <f aca="false">H2491*INDEX('Model Inputs &amp; Assumptions'!$G$40:$G$42,MATCH('Model Inputs &amp; Assumptions'!$L$32,'Model Inputs &amp; Assumptions'!$A$40:$A$42,0))*INDEX('Model Inputs &amp; Assumptions'!$H$40:$H$42,MATCH('Model Inputs &amp; Assumptions'!$L$32,'Model Inputs &amp; Assumptions'!$A$40:$A$42,0))</f>
        <v>17261.3233624487</v>
      </c>
      <c r="L2491" s="51" t="n">
        <f aca="false">IFERROR(K2491/I2491,0)</f>
        <v>1.14199170329551</v>
      </c>
      <c r="M2491" s="49" t="n">
        <f aca="false">IFERROR(I2491/H2491,0)</f>
        <v>99.300196028356</v>
      </c>
      <c r="N2491" s="52" t="str">
        <f aca="false">'Model Inputs &amp; Assumptions'!$L$32</f>
        <v>PRD-SP01</v>
      </c>
      <c r="P2491" s="53" t="n">
        <v>0.311555</v>
      </c>
      <c r="Q2491" s="53" t="n">
        <v>-0.984418</v>
      </c>
      <c r="R2491" s="53" t="n">
        <v>-0.435121</v>
      </c>
      <c r="S2491" s="53" t="n">
        <v>-0.179367</v>
      </c>
    </row>
    <row r="2492" customFormat="false" ht="15" hidden="false" customHeight="false" outlineLevel="0" collapsed="false">
      <c r="A2492" s="43" t="n">
        <v>489</v>
      </c>
      <c r="B2492" s="44" t="str">
        <f aca="false">'Model Inputs &amp; Assumptions'!$B$32</f>
        <v>Trade Republic — In-App Display</v>
      </c>
      <c r="C2492" s="45" t="n">
        <f aca="false">ROUND(MAX(0,'Model Inputs &amp; Assumptions'!$S$32*EXP('Model Inputs &amp; Assumptions'!$T$32*P2492-'Model Inputs &amp; Assumptions'!$T$32^2/2)),0)</f>
        <v>1561735</v>
      </c>
      <c r="D2492" s="46" t="n">
        <f aca="false">MIN(1,'Model Inputs &amp; Assumptions'!$U$32*EXP('Model Inputs &amp; Assumptions'!$V$32*Q2492-'Model Inputs &amp; Assumptions'!$V$32^2/2))</f>
        <v>0</v>
      </c>
      <c r="E2492" s="45" t="n">
        <f aca="false">ROUND(C2492*D2492,0)</f>
        <v>0</v>
      </c>
      <c r="F2492" s="47" t="n">
        <f aca="false">MIN(1,'Model Inputs &amp; Assumptions'!$W$32*EXP('Model Inputs &amp; Assumptions'!$X$32*R2492-'Model Inputs &amp; Assumptions'!$X$32^2/2))</f>
        <v>0.00327837629723031</v>
      </c>
      <c r="G2492" s="45" t="n">
        <f aca="false">ROUND(C2492*F2492,0)</f>
        <v>5120</v>
      </c>
      <c r="H2492" s="48" t="n">
        <f aca="false">MAX(0,(C2492*'Model Inputs &amp; Assumptions'!$N$32+E2492*'Model Inputs &amp; Assumptions'!$O$32+G2492*'Model Inputs &amp; Assumptions'!$P$32)*EXP('Model Inputs &amp; Assumptions'!$Q$32*S2492-'Model Inputs &amp; Assumptions'!$Q$32^2/2))</f>
        <v>363.409831142182</v>
      </c>
      <c r="I2492" s="49" t="n">
        <f aca="false">IF('Model Inputs &amp; Assumptions'!$H$32="Fixed",'Model Inputs &amp; Assumptions'!$I$32*'Model Inputs &amp; Assumptions'!$K$32,IF('Model Inputs &amp; Assumptions'!$H$32="CPM",'Model Inputs &amp; Assumptions'!$I$32*'Model Inputs &amp; Assumptions'!$K$32*C2492/1000,IF('Model Inputs &amp; Assumptions'!$H$32="CPC",'Model Inputs &amp; Assumptions'!$I$32*'Model Inputs &amp; Assumptions'!$K$32*G2492,0)))</f>
        <v>18740.82</v>
      </c>
      <c r="J2492" s="50" t="n">
        <f aca="false">H2492*INDEX('Model Inputs &amp; Assumptions'!$D$40:$D$42,MATCH('Model Inputs &amp; Assumptions'!$L$32,'Model Inputs &amp; Assumptions'!$A$40:$A$42,0))*INDEX('Model Inputs &amp; Assumptions'!$H$40:$H$42,MATCH('Model Inputs &amp; Assumptions'!$L$32,'Model Inputs &amp; Assumptions'!$A$40:$A$42,0))</f>
        <v>1962413.08816778</v>
      </c>
      <c r="K2492" s="49" t="n">
        <f aca="false">H2492*INDEX('Model Inputs &amp; Assumptions'!$G$40:$G$42,MATCH('Model Inputs &amp; Assumptions'!$L$32,'Model Inputs &amp; Assumptions'!$A$40:$A$42,0))*INDEX('Model Inputs &amp; Assumptions'!$H$40:$H$42,MATCH('Model Inputs &amp; Assumptions'!$L$32,'Model Inputs &amp; Assumptions'!$A$40:$A$42,0))</f>
        <v>41210.6748515234</v>
      </c>
      <c r="L2492" s="51" t="n">
        <f aca="false">IFERROR(K2492/I2492,0)</f>
        <v>2.19897927900292</v>
      </c>
      <c r="M2492" s="49" t="n">
        <f aca="false">IFERROR(I2492/H2492,0)</f>
        <v>51.5693808863078</v>
      </c>
      <c r="N2492" s="52" t="str">
        <f aca="false">'Model Inputs &amp; Assumptions'!$L$32</f>
        <v>PRD-SP01</v>
      </c>
      <c r="P2492" s="53" t="n">
        <v>1.028253</v>
      </c>
      <c r="Q2492" s="53" t="n">
        <v>-0.856302</v>
      </c>
      <c r="R2492" s="53" t="n">
        <v>-0.068049</v>
      </c>
      <c r="S2492" s="53" t="n">
        <v>1.767551</v>
      </c>
    </row>
    <row r="2493" customFormat="false" ht="15" hidden="false" customHeight="false" outlineLevel="0" collapsed="false">
      <c r="A2493" s="43" t="n">
        <v>490</v>
      </c>
      <c r="B2493" s="44" t="str">
        <f aca="false">'Model Inputs &amp; Assumptions'!$B$32</f>
        <v>Trade Republic — In-App Display</v>
      </c>
      <c r="C2493" s="45" t="n">
        <f aca="false">ROUND(MAX(0,'Model Inputs &amp; Assumptions'!$S$32*EXP('Model Inputs &amp; Assumptions'!$T$32*P2493-'Model Inputs &amp; Assumptions'!$T$32^2/2)),0)</f>
        <v>1338621</v>
      </c>
      <c r="D2493" s="46" t="n">
        <f aca="false">MIN(1,'Model Inputs &amp; Assumptions'!$U$32*EXP('Model Inputs &amp; Assumptions'!$V$32*Q2493-'Model Inputs &amp; Assumptions'!$V$32^2/2))</f>
        <v>0</v>
      </c>
      <c r="E2493" s="45" t="n">
        <f aca="false">ROUND(C2493*D2493,0)</f>
        <v>0</v>
      </c>
      <c r="F2493" s="47" t="n">
        <f aca="false">MIN(1,'Model Inputs &amp; Assumptions'!$W$32*EXP('Model Inputs &amp; Assumptions'!$X$32*R2493-'Model Inputs &amp; Assumptions'!$X$32^2/2))</f>
        <v>0.00415026409055147</v>
      </c>
      <c r="G2493" s="45" t="n">
        <f aca="false">ROUND(C2493*F2493,0)</f>
        <v>5556</v>
      </c>
      <c r="H2493" s="48" t="n">
        <f aca="false">MAX(0,(C2493*'Model Inputs &amp; Assumptions'!$N$32+E2493*'Model Inputs &amp; Assumptions'!$O$32+G2493*'Model Inputs &amp; Assumptions'!$P$32)*EXP('Model Inputs &amp; Assumptions'!$Q$32*S2493-'Model Inputs &amp; Assumptions'!$Q$32^2/2))</f>
        <v>242.55192099662</v>
      </c>
      <c r="I2493" s="49" t="n">
        <f aca="false">IF('Model Inputs &amp; Assumptions'!$H$32="Fixed",'Model Inputs &amp; Assumptions'!$I$32*'Model Inputs &amp; Assumptions'!$K$32,IF('Model Inputs &amp; Assumptions'!$H$32="CPM",'Model Inputs &amp; Assumptions'!$I$32*'Model Inputs &amp; Assumptions'!$K$32*C2493/1000,IF('Model Inputs &amp; Assumptions'!$H$32="CPC",'Model Inputs &amp; Assumptions'!$I$32*'Model Inputs &amp; Assumptions'!$K$32*G2493,0)))</f>
        <v>16063.452</v>
      </c>
      <c r="J2493" s="50" t="n">
        <f aca="false">H2493*INDEX('Model Inputs &amp; Assumptions'!$D$40:$D$42,MATCH('Model Inputs &amp; Assumptions'!$L$32,'Model Inputs &amp; Assumptions'!$A$40:$A$42,0))*INDEX('Model Inputs &amp; Assumptions'!$H$40:$H$42,MATCH('Model Inputs &amp; Assumptions'!$L$32,'Model Inputs &amp; Assumptions'!$A$40:$A$42,0))</f>
        <v>1309780.37338175</v>
      </c>
      <c r="K2493" s="49" t="n">
        <f aca="false">H2493*INDEX('Model Inputs &amp; Assumptions'!$G$40:$G$42,MATCH('Model Inputs &amp; Assumptions'!$L$32,'Model Inputs &amp; Assumptions'!$A$40:$A$42,0))*INDEX('Model Inputs &amp; Assumptions'!$H$40:$H$42,MATCH('Model Inputs &amp; Assumptions'!$L$32,'Model Inputs &amp; Assumptions'!$A$40:$A$42,0))</f>
        <v>27505.3878410167</v>
      </c>
      <c r="L2493" s="51" t="n">
        <f aca="false">IFERROR(K2493/I2493,0)</f>
        <v>1.71229620140283</v>
      </c>
      <c r="M2493" s="49" t="n">
        <f aca="false">IFERROR(I2493/H2493,0)</f>
        <v>66.2268595276303</v>
      </c>
      <c r="N2493" s="52" t="str">
        <f aca="false">'Model Inputs &amp; Assumptions'!$L$32</f>
        <v>PRD-SP01</v>
      </c>
      <c r="P2493" s="53" t="n">
        <v>0.514395</v>
      </c>
      <c r="Q2493" s="53" t="n">
        <v>1.133114</v>
      </c>
      <c r="R2493" s="53" t="n">
        <v>0.71803</v>
      </c>
      <c r="S2493" s="53" t="n">
        <v>0.031696</v>
      </c>
    </row>
    <row r="2494" customFormat="false" ht="15" hidden="false" customHeight="false" outlineLevel="0" collapsed="false">
      <c r="A2494" s="43" t="n">
        <v>491</v>
      </c>
      <c r="B2494" s="44" t="str">
        <f aca="false">'Model Inputs &amp; Assumptions'!$B$32</f>
        <v>Trade Republic — In-App Display</v>
      </c>
      <c r="C2494" s="45" t="n">
        <f aca="false">ROUND(MAX(0,'Model Inputs &amp; Assumptions'!$S$32*EXP('Model Inputs &amp; Assumptions'!$T$32*P2494-'Model Inputs &amp; Assumptions'!$T$32^2/2)),0)</f>
        <v>822649</v>
      </c>
      <c r="D2494" s="46" t="n">
        <f aca="false">MIN(1,'Model Inputs &amp; Assumptions'!$U$32*EXP('Model Inputs &amp; Assumptions'!$V$32*Q2494-'Model Inputs &amp; Assumptions'!$V$32^2/2))</f>
        <v>0</v>
      </c>
      <c r="E2494" s="45" t="n">
        <f aca="false">ROUND(C2494*D2494,0)</f>
        <v>0</v>
      </c>
      <c r="F2494" s="47" t="n">
        <f aca="false">MIN(1,'Model Inputs &amp; Assumptions'!$W$32*EXP('Model Inputs &amp; Assumptions'!$X$32*R2494-'Model Inputs &amp; Assumptions'!$X$32^2/2))</f>
        <v>0.00319086828206544</v>
      </c>
      <c r="G2494" s="45" t="n">
        <f aca="false">ROUND(C2494*F2494,0)</f>
        <v>2625</v>
      </c>
      <c r="H2494" s="48" t="n">
        <f aca="false">MAX(0,(C2494*'Model Inputs &amp; Assumptions'!$N$32+E2494*'Model Inputs &amp; Assumptions'!$O$32+G2494*'Model Inputs &amp; Assumptions'!$P$32)*EXP('Model Inputs &amp; Assumptions'!$Q$32*S2494-'Model Inputs &amp; Assumptions'!$Q$32^2/2))</f>
        <v>109.085544441312</v>
      </c>
      <c r="I2494" s="49" t="n">
        <f aca="false">IF('Model Inputs &amp; Assumptions'!$H$32="Fixed",'Model Inputs &amp; Assumptions'!$I$32*'Model Inputs &amp; Assumptions'!$K$32,IF('Model Inputs &amp; Assumptions'!$H$32="CPM",'Model Inputs &amp; Assumptions'!$I$32*'Model Inputs &amp; Assumptions'!$K$32*C2494/1000,IF('Model Inputs &amp; Assumptions'!$H$32="CPC",'Model Inputs &amp; Assumptions'!$I$32*'Model Inputs &amp; Assumptions'!$K$32*G2494,0)))</f>
        <v>9871.788</v>
      </c>
      <c r="J2494" s="50" t="n">
        <f aca="false">H2494*INDEX('Model Inputs &amp; Assumptions'!$D$40:$D$42,MATCH('Model Inputs &amp; Assumptions'!$L$32,'Model Inputs &amp; Assumptions'!$A$40:$A$42,0))*INDEX('Model Inputs &amp; Assumptions'!$H$40:$H$42,MATCH('Model Inputs &amp; Assumptions'!$L$32,'Model Inputs &amp; Assumptions'!$A$40:$A$42,0))</f>
        <v>589061.939983086</v>
      </c>
      <c r="K2494" s="49" t="n">
        <f aca="false">H2494*INDEX('Model Inputs &amp; Assumptions'!$G$40:$G$42,MATCH('Model Inputs &amp; Assumptions'!$L$32,'Model Inputs &amp; Assumptions'!$A$40:$A$42,0))*INDEX('Model Inputs &amp; Assumptions'!$H$40:$H$42,MATCH('Model Inputs &amp; Assumptions'!$L$32,'Model Inputs &amp; Assumptions'!$A$40:$A$42,0))</f>
        <v>12370.3007396448</v>
      </c>
      <c r="L2494" s="51" t="n">
        <f aca="false">IFERROR(K2494/I2494,0)</f>
        <v>1.25309627188558</v>
      </c>
      <c r="M2494" s="49" t="n">
        <f aca="false">IFERROR(I2494/H2494,0)</f>
        <v>90.4958402193335</v>
      </c>
      <c r="N2494" s="52" t="str">
        <f aca="false">'Model Inputs &amp; Assumptions'!$L$32</f>
        <v>PRD-SP01</v>
      </c>
      <c r="P2494" s="53" t="n">
        <v>-1.108489</v>
      </c>
      <c r="Q2494" s="53" t="n">
        <v>0.371083</v>
      </c>
      <c r="R2494" s="53" t="n">
        <v>-0.158233</v>
      </c>
      <c r="S2494" s="53" t="n">
        <v>-0.144325</v>
      </c>
    </row>
    <row r="2495" customFormat="false" ht="15" hidden="false" customHeight="false" outlineLevel="0" collapsed="false">
      <c r="A2495" s="43" t="n">
        <v>492</v>
      </c>
      <c r="B2495" s="44" t="str">
        <f aca="false">'Model Inputs &amp; Assumptions'!$B$32</f>
        <v>Trade Republic — In-App Display</v>
      </c>
      <c r="C2495" s="45" t="n">
        <f aca="false">ROUND(MAX(0,'Model Inputs &amp; Assumptions'!$S$32*EXP('Model Inputs &amp; Assumptions'!$T$32*P2495-'Model Inputs &amp; Assumptions'!$T$32^2/2)),0)</f>
        <v>1532522</v>
      </c>
      <c r="D2495" s="46" t="n">
        <f aca="false">MIN(1,'Model Inputs &amp; Assumptions'!$U$32*EXP('Model Inputs &amp; Assumptions'!$V$32*Q2495-'Model Inputs &amp; Assumptions'!$V$32^2/2))</f>
        <v>0</v>
      </c>
      <c r="E2495" s="45" t="n">
        <f aca="false">ROUND(C2495*D2495,0)</f>
        <v>0</v>
      </c>
      <c r="F2495" s="47" t="n">
        <f aca="false">MIN(1,'Model Inputs &amp; Assumptions'!$W$32*EXP('Model Inputs &amp; Assumptions'!$X$32*R2495-'Model Inputs &amp; Assumptions'!$X$32^2/2))</f>
        <v>0.00385102970542923</v>
      </c>
      <c r="G2495" s="45" t="n">
        <f aca="false">ROUND(C2495*F2495,0)</f>
        <v>5902</v>
      </c>
      <c r="H2495" s="48" t="n">
        <f aca="false">MAX(0,(C2495*'Model Inputs &amp; Assumptions'!$N$32+E2495*'Model Inputs &amp; Assumptions'!$O$32+G2495*'Model Inputs &amp; Assumptions'!$P$32)*EXP('Model Inputs &amp; Assumptions'!$Q$32*S2495-'Model Inputs &amp; Assumptions'!$Q$32^2/2))</f>
        <v>210.138199324451</v>
      </c>
      <c r="I2495" s="49" t="n">
        <f aca="false">IF('Model Inputs &amp; Assumptions'!$H$32="Fixed",'Model Inputs &amp; Assumptions'!$I$32*'Model Inputs &amp; Assumptions'!$K$32,IF('Model Inputs &amp; Assumptions'!$H$32="CPM",'Model Inputs &amp; Assumptions'!$I$32*'Model Inputs &amp; Assumptions'!$K$32*C2495/1000,IF('Model Inputs &amp; Assumptions'!$H$32="CPC",'Model Inputs &amp; Assumptions'!$I$32*'Model Inputs &amp; Assumptions'!$K$32*G2495,0)))</f>
        <v>18390.264</v>
      </c>
      <c r="J2495" s="50" t="n">
        <f aca="false">H2495*INDEX('Model Inputs &amp; Assumptions'!$D$40:$D$42,MATCH('Model Inputs &amp; Assumptions'!$L$32,'Model Inputs &amp; Assumptions'!$A$40:$A$42,0))*INDEX('Model Inputs &amp; Assumptions'!$H$40:$H$42,MATCH('Model Inputs &amp; Assumptions'!$L$32,'Model Inputs &amp; Assumptions'!$A$40:$A$42,0))</f>
        <v>1134746.27635204</v>
      </c>
      <c r="K2495" s="49" t="n">
        <f aca="false">H2495*INDEX('Model Inputs &amp; Assumptions'!$G$40:$G$42,MATCH('Model Inputs &amp; Assumptions'!$L$32,'Model Inputs &amp; Assumptions'!$A$40:$A$42,0))*INDEX('Model Inputs &amp; Assumptions'!$H$40:$H$42,MATCH('Model Inputs &amp; Assumptions'!$L$32,'Model Inputs &amp; Assumptions'!$A$40:$A$42,0))</f>
        <v>23829.6718033928</v>
      </c>
      <c r="L2495" s="51" t="n">
        <f aca="false">IFERROR(K2495/I2495,0)</f>
        <v>1.29577649365951</v>
      </c>
      <c r="M2495" s="49" t="n">
        <f aca="false">IFERROR(I2495/H2495,0)</f>
        <v>87.5150927300258</v>
      </c>
      <c r="N2495" s="52" t="str">
        <f aca="false">'Model Inputs &amp; Assumptions'!$L$32</f>
        <v>PRD-SP01</v>
      </c>
      <c r="P2495" s="53" t="n">
        <v>0.965311</v>
      </c>
      <c r="Q2495" s="53" t="n">
        <v>1.677275</v>
      </c>
      <c r="R2495" s="53" t="n">
        <v>0.468592</v>
      </c>
      <c r="S2495" s="53" t="n">
        <v>-0.696387</v>
      </c>
    </row>
    <row r="2496" customFormat="false" ht="15" hidden="false" customHeight="false" outlineLevel="0" collapsed="false">
      <c r="A2496" s="43" t="n">
        <v>493</v>
      </c>
      <c r="B2496" s="44" t="str">
        <f aca="false">'Model Inputs &amp; Assumptions'!$B$32</f>
        <v>Trade Republic — In-App Display</v>
      </c>
      <c r="C2496" s="45" t="n">
        <f aca="false">ROUND(MAX(0,'Model Inputs &amp; Assumptions'!$S$32*EXP('Model Inputs &amp; Assumptions'!$T$32*P2496-'Model Inputs &amp; Assumptions'!$T$32^2/2)),0)</f>
        <v>1425918</v>
      </c>
      <c r="D2496" s="46" t="n">
        <f aca="false">MIN(1,'Model Inputs &amp; Assumptions'!$U$32*EXP('Model Inputs &amp; Assumptions'!$V$32*Q2496-'Model Inputs &amp; Assumptions'!$V$32^2/2))</f>
        <v>0</v>
      </c>
      <c r="E2496" s="45" t="n">
        <f aca="false">ROUND(C2496*D2496,0)</f>
        <v>0</v>
      </c>
      <c r="F2496" s="47" t="n">
        <f aca="false">MIN(1,'Model Inputs &amp; Assumptions'!$W$32*EXP('Model Inputs &amp; Assumptions'!$X$32*R2496-'Model Inputs &amp; Assumptions'!$X$32^2/2))</f>
        <v>0.00322701857281168</v>
      </c>
      <c r="G2496" s="45" t="n">
        <f aca="false">ROUND(C2496*F2496,0)</f>
        <v>4601</v>
      </c>
      <c r="H2496" s="48" t="n">
        <f aca="false">MAX(0,(C2496*'Model Inputs &amp; Assumptions'!$N$32+E2496*'Model Inputs &amp; Assumptions'!$O$32+G2496*'Model Inputs &amp; Assumptions'!$P$32)*EXP('Model Inputs &amp; Assumptions'!$Q$32*S2496-'Model Inputs &amp; Assumptions'!$Q$32^2/2))</f>
        <v>197.115584679426</v>
      </c>
      <c r="I2496" s="49" t="n">
        <f aca="false">IF('Model Inputs &amp; Assumptions'!$H$32="Fixed",'Model Inputs &amp; Assumptions'!$I$32*'Model Inputs &amp; Assumptions'!$K$32,IF('Model Inputs &amp; Assumptions'!$H$32="CPM",'Model Inputs &amp; Assumptions'!$I$32*'Model Inputs &amp; Assumptions'!$K$32*C2496/1000,IF('Model Inputs &amp; Assumptions'!$H$32="CPC",'Model Inputs &amp; Assumptions'!$I$32*'Model Inputs &amp; Assumptions'!$K$32*G2496,0)))</f>
        <v>17111.016</v>
      </c>
      <c r="J2496" s="50" t="n">
        <f aca="false">H2496*INDEX('Model Inputs &amp; Assumptions'!$D$40:$D$42,MATCH('Model Inputs &amp; Assumptions'!$L$32,'Model Inputs &amp; Assumptions'!$A$40:$A$42,0))*INDEX('Model Inputs &amp; Assumptions'!$H$40:$H$42,MATCH('Model Inputs &amp; Assumptions'!$L$32,'Model Inputs &amp; Assumptions'!$A$40:$A$42,0))</f>
        <v>1064424.1572689</v>
      </c>
      <c r="K2496" s="49" t="n">
        <f aca="false">H2496*INDEX('Model Inputs &amp; Assumptions'!$G$40:$G$42,MATCH('Model Inputs &amp; Assumptions'!$L$32,'Model Inputs &amp; Assumptions'!$A$40:$A$42,0))*INDEX('Model Inputs &amp; Assumptions'!$H$40:$H$42,MATCH('Model Inputs &amp; Assumptions'!$L$32,'Model Inputs &amp; Assumptions'!$A$40:$A$42,0))</f>
        <v>22352.9073026469</v>
      </c>
      <c r="L2496" s="51" t="n">
        <f aca="false">IFERROR(K2496/I2496,0)</f>
        <v>1.30634599971427</v>
      </c>
      <c r="M2496" s="49" t="n">
        <f aca="false">IFERROR(I2496/H2496,0)</f>
        <v>86.8070174554086</v>
      </c>
      <c r="N2496" s="52" t="str">
        <f aca="false">'Model Inputs &amp; Assumptions'!$L$32</f>
        <v>PRD-SP01</v>
      </c>
      <c r="P2496" s="53" t="n">
        <v>0.724982</v>
      </c>
      <c r="Q2496" s="53" t="n">
        <v>0.141894</v>
      </c>
      <c r="R2496" s="53" t="n">
        <v>-0.120681</v>
      </c>
      <c r="S2496" s="53" t="n">
        <v>-0.035521</v>
      </c>
    </row>
    <row r="2497" customFormat="false" ht="15" hidden="false" customHeight="false" outlineLevel="0" collapsed="false">
      <c r="A2497" s="43" t="n">
        <v>494</v>
      </c>
      <c r="B2497" s="44" t="str">
        <f aca="false">'Model Inputs &amp; Assumptions'!$B$32</f>
        <v>Trade Republic — In-App Display</v>
      </c>
      <c r="C2497" s="45" t="n">
        <f aca="false">ROUND(MAX(0,'Model Inputs &amp; Assumptions'!$S$32*EXP('Model Inputs &amp; Assumptions'!$T$32*P2497-'Model Inputs &amp; Assumptions'!$T$32^2/2)),0)</f>
        <v>491334</v>
      </c>
      <c r="D2497" s="46" t="n">
        <f aca="false">MIN(1,'Model Inputs &amp; Assumptions'!$U$32*EXP('Model Inputs &amp; Assumptions'!$V$32*Q2497-'Model Inputs &amp; Assumptions'!$V$32^2/2))</f>
        <v>0</v>
      </c>
      <c r="E2497" s="45" t="n">
        <f aca="false">ROUND(C2497*D2497,0)</f>
        <v>0</v>
      </c>
      <c r="F2497" s="47" t="n">
        <f aca="false">MIN(1,'Model Inputs &amp; Assumptions'!$W$32*EXP('Model Inputs &amp; Assumptions'!$X$32*R2497-'Model Inputs &amp; Assumptions'!$X$32^2/2))</f>
        <v>0.00436418940399919</v>
      </c>
      <c r="G2497" s="45" t="n">
        <f aca="false">ROUND(C2497*F2497,0)</f>
        <v>2144</v>
      </c>
      <c r="H2497" s="48" t="n">
        <f aca="false">MAX(0,(C2497*'Model Inputs &amp; Assumptions'!$N$32+E2497*'Model Inputs &amp; Assumptions'!$O$32+G2497*'Model Inputs &amp; Assumptions'!$P$32)*EXP('Model Inputs &amp; Assumptions'!$Q$32*S2497-'Model Inputs &amp; Assumptions'!$Q$32^2/2))</f>
        <v>59.1402967980605</v>
      </c>
      <c r="I2497" s="49" t="n">
        <f aca="false">IF('Model Inputs &amp; Assumptions'!$H$32="Fixed",'Model Inputs &amp; Assumptions'!$I$32*'Model Inputs &amp; Assumptions'!$K$32,IF('Model Inputs &amp; Assumptions'!$H$32="CPM",'Model Inputs &amp; Assumptions'!$I$32*'Model Inputs &amp; Assumptions'!$K$32*C2497/1000,IF('Model Inputs &amp; Assumptions'!$H$32="CPC",'Model Inputs &amp; Assumptions'!$I$32*'Model Inputs &amp; Assumptions'!$K$32*G2497,0)))</f>
        <v>5896.008</v>
      </c>
      <c r="J2497" s="50" t="n">
        <f aca="false">H2497*INDEX('Model Inputs &amp; Assumptions'!$D$40:$D$42,MATCH('Model Inputs &amp; Assumptions'!$L$32,'Model Inputs &amp; Assumptions'!$A$40:$A$42,0))*INDEX('Model Inputs &amp; Assumptions'!$H$40:$H$42,MATCH('Model Inputs &amp; Assumptions'!$L$32,'Model Inputs &amp; Assumptions'!$A$40:$A$42,0))</f>
        <v>319357.602709527</v>
      </c>
      <c r="K2497" s="49" t="n">
        <f aca="false">H2497*INDEX('Model Inputs &amp; Assumptions'!$G$40:$G$42,MATCH('Model Inputs &amp; Assumptions'!$L$32,'Model Inputs &amp; Assumptions'!$A$40:$A$42,0))*INDEX('Model Inputs &amp; Assumptions'!$H$40:$H$42,MATCH('Model Inputs &amp; Assumptions'!$L$32,'Model Inputs &amp; Assumptions'!$A$40:$A$42,0))</f>
        <v>6706.50965690006</v>
      </c>
      <c r="L2497" s="51" t="n">
        <f aca="false">IFERROR(K2497/I2497,0)</f>
        <v>1.1374661731972</v>
      </c>
      <c r="M2497" s="49" t="n">
        <f aca="false">IFERROR(I2497/H2497,0)</f>
        <v>99.6952724152267</v>
      </c>
      <c r="N2497" s="52" t="str">
        <f aca="false">'Model Inputs &amp; Assumptions'!$L$32</f>
        <v>PRD-SP01</v>
      </c>
      <c r="P2497" s="53" t="n">
        <v>-2.826512</v>
      </c>
      <c r="Q2497" s="53" t="n">
        <v>1.407178</v>
      </c>
      <c r="R2497" s="53" t="n">
        <v>0.885565</v>
      </c>
      <c r="S2497" s="53" t="n">
        <v>-1.60794</v>
      </c>
    </row>
    <row r="2498" customFormat="false" ht="15" hidden="false" customHeight="false" outlineLevel="0" collapsed="false">
      <c r="A2498" s="43" t="n">
        <v>495</v>
      </c>
      <c r="B2498" s="44" t="str">
        <f aca="false">'Model Inputs &amp; Assumptions'!$B$32</f>
        <v>Trade Republic — In-App Display</v>
      </c>
      <c r="C2498" s="45" t="n">
        <f aca="false">ROUND(MAX(0,'Model Inputs &amp; Assumptions'!$S$32*EXP('Model Inputs &amp; Assumptions'!$T$32*P2498-'Model Inputs &amp; Assumptions'!$T$32^2/2)),0)</f>
        <v>1026905</v>
      </c>
      <c r="D2498" s="46" t="n">
        <f aca="false">MIN(1,'Model Inputs &amp; Assumptions'!$U$32*EXP('Model Inputs &amp; Assumptions'!$V$32*Q2498-'Model Inputs &amp; Assumptions'!$V$32^2/2))</f>
        <v>0</v>
      </c>
      <c r="E2498" s="45" t="n">
        <f aca="false">ROUND(C2498*D2498,0)</f>
        <v>0</v>
      </c>
      <c r="F2498" s="47" t="n">
        <f aca="false">MIN(1,'Model Inputs &amp; Assumptions'!$W$32*EXP('Model Inputs &amp; Assumptions'!$X$32*R2498-'Model Inputs &amp; Assumptions'!$X$32^2/2))</f>
        <v>0.00383779187439532</v>
      </c>
      <c r="G2498" s="45" t="n">
        <f aca="false">ROUND(C2498*F2498,0)</f>
        <v>3941</v>
      </c>
      <c r="H2498" s="48" t="n">
        <f aca="false">MAX(0,(C2498*'Model Inputs &amp; Assumptions'!$N$32+E2498*'Model Inputs &amp; Assumptions'!$O$32+G2498*'Model Inputs &amp; Assumptions'!$P$32)*EXP('Model Inputs &amp; Assumptions'!$Q$32*S2498-'Model Inputs &amp; Assumptions'!$Q$32^2/2))</f>
        <v>163.530308783997</v>
      </c>
      <c r="I2498" s="49" t="n">
        <f aca="false">IF('Model Inputs &amp; Assumptions'!$H$32="Fixed",'Model Inputs &amp; Assumptions'!$I$32*'Model Inputs &amp; Assumptions'!$K$32,IF('Model Inputs &amp; Assumptions'!$H$32="CPM",'Model Inputs &amp; Assumptions'!$I$32*'Model Inputs &amp; Assumptions'!$K$32*C2498/1000,IF('Model Inputs &amp; Assumptions'!$H$32="CPC",'Model Inputs &amp; Assumptions'!$I$32*'Model Inputs &amp; Assumptions'!$K$32*G2498,0)))</f>
        <v>12322.86</v>
      </c>
      <c r="J2498" s="50" t="n">
        <f aca="false">H2498*INDEX('Model Inputs &amp; Assumptions'!$D$40:$D$42,MATCH('Model Inputs &amp; Assumptions'!$L$32,'Model Inputs &amp; Assumptions'!$A$40:$A$42,0))*INDEX('Model Inputs &amp; Assumptions'!$H$40:$H$42,MATCH('Model Inputs &amp; Assumptions'!$L$32,'Model Inputs &amp; Assumptions'!$A$40:$A$42,0))</f>
        <v>883063.667433582</v>
      </c>
      <c r="K2498" s="49" t="n">
        <f aca="false">H2498*INDEX('Model Inputs &amp; Assumptions'!$G$40:$G$42,MATCH('Model Inputs &amp; Assumptions'!$L$32,'Model Inputs &amp; Assumptions'!$A$40:$A$42,0))*INDEX('Model Inputs &amp; Assumptions'!$H$40:$H$42,MATCH('Model Inputs &amp; Assumptions'!$L$32,'Model Inputs &amp; Assumptions'!$A$40:$A$42,0))</f>
        <v>18544.3370161052</v>
      </c>
      <c r="L2498" s="51" t="n">
        <f aca="false">IFERROR(K2498/I2498,0)</f>
        <v>1.50487281492326</v>
      </c>
      <c r="M2498" s="49" t="n">
        <f aca="false">IFERROR(I2498/H2498,0)</f>
        <v>75.355205353871</v>
      </c>
      <c r="N2498" s="52" t="str">
        <f aca="false">'Model Inputs &amp; Assumptions'!$L$32</f>
        <v>PRD-SP01</v>
      </c>
      <c r="P2498" s="53" t="n">
        <v>-0.369241</v>
      </c>
      <c r="Q2498" s="53" t="n">
        <v>0.476156</v>
      </c>
      <c r="R2498" s="53" t="n">
        <v>0.457114</v>
      </c>
      <c r="S2498" s="53" t="n">
        <v>-0.149638</v>
      </c>
    </row>
    <row r="2499" customFormat="false" ht="15" hidden="false" customHeight="false" outlineLevel="0" collapsed="false">
      <c r="A2499" s="43" t="n">
        <v>496</v>
      </c>
      <c r="B2499" s="44" t="str">
        <f aca="false">'Model Inputs &amp; Assumptions'!$B$32</f>
        <v>Trade Republic — In-App Display</v>
      </c>
      <c r="C2499" s="45" t="n">
        <f aca="false">ROUND(MAX(0,'Model Inputs &amp; Assumptions'!$S$32*EXP('Model Inputs &amp; Assumptions'!$T$32*P2499-'Model Inputs &amp; Assumptions'!$T$32^2/2)),0)</f>
        <v>551352</v>
      </c>
      <c r="D2499" s="46" t="n">
        <f aca="false">MIN(1,'Model Inputs &amp; Assumptions'!$U$32*EXP('Model Inputs &amp; Assumptions'!$V$32*Q2499-'Model Inputs &amp; Assumptions'!$V$32^2/2))</f>
        <v>0</v>
      </c>
      <c r="E2499" s="45" t="n">
        <f aca="false">ROUND(C2499*D2499,0)</f>
        <v>0</v>
      </c>
      <c r="F2499" s="47" t="n">
        <f aca="false">MIN(1,'Model Inputs &amp; Assumptions'!$W$32*EXP('Model Inputs &amp; Assumptions'!$X$32*R2499-'Model Inputs &amp; Assumptions'!$X$32^2/2))</f>
        <v>0.00322649487019693</v>
      </c>
      <c r="G2499" s="45" t="n">
        <f aca="false">ROUND(C2499*F2499,0)</f>
        <v>1779</v>
      </c>
      <c r="H2499" s="48" t="n">
        <f aca="false">MAX(0,(C2499*'Model Inputs &amp; Assumptions'!$N$32+E2499*'Model Inputs &amp; Assumptions'!$O$32+G2499*'Model Inputs &amp; Assumptions'!$P$32)*EXP('Model Inputs &amp; Assumptions'!$Q$32*S2499-'Model Inputs &amp; Assumptions'!$Q$32^2/2))</f>
        <v>77.3295978721372</v>
      </c>
      <c r="I2499" s="49" t="n">
        <f aca="false">IF('Model Inputs &amp; Assumptions'!$H$32="Fixed",'Model Inputs &amp; Assumptions'!$I$32*'Model Inputs &amp; Assumptions'!$K$32,IF('Model Inputs &amp; Assumptions'!$H$32="CPM",'Model Inputs &amp; Assumptions'!$I$32*'Model Inputs &amp; Assumptions'!$K$32*C2499/1000,IF('Model Inputs &amp; Assumptions'!$H$32="CPC",'Model Inputs &amp; Assumptions'!$I$32*'Model Inputs &amp; Assumptions'!$K$32*G2499,0)))</f>
        <v>6616.224</v>
      </c>
      <c r="J2499" s="50" t="n">
        <f aca="false">H2499*INDEX('Model Inputs &amp; Assumptions'!$D$40:$D$42,MATCH('Model Inputs &amp; Assumptions'!$L$32,'Model Inputs &amp; Assumptions'!$A$40:$A$42,0))*INDEX('Model Inputs &amp; Assumptions'!$H$40:$H$42,MATCH('Model Inputs &amp; Assumptions'!$L$32,'Model Inputs &amp; Assumptions'!$A$40:$A$42,0))</f>
        <v>417579.828509541</v>
      </c>
      <c r="K2499" s="49" t="n">
        <f aca="false">H2499*INDEX('Model Inputs &amp; Assumptions'!$G$40:$G$42,MATCH('Model Inputs &amp; Assumptions'!$L$32,'Model Inputs &amp; Assumptions'!$A$40:$A$42,0))*INDEX('Model Inputs &amp; Assumptions'!$H$40:$H$42,MATCH('Model Inputs &amp; Assumptions'!$L$32,'Model Inputs &amp; Assumptions'!$A$40:$A$42,0))</f>
        <v>8769.17639870035</v>
      </c>
      <c r="L2499" s="51" t="n">
        <f aca="false">IFERROR(K2499/I2499,0)</f>
        <v>1.32540500422905</v>
      </c>
      <c r="M2499" s="49" t="n">
        <f aca="false">IFERROR(I2499/H2499,0)</f>
        <v>85.5587534664254</v>
      </c>
      <c r="N2499" s="52" t="str">
        <f aca="false">'Model Inputs &amp; Assumptions'!$L$32</f>
        <v>PRD-SP01</v>
      </c>
      <c r="P2499" s="53" t="n">
        <v>-2.442347</v>
      </c>
      <c r="Q2499" s="53" t="n">
        <v>0.963862</v>
      </c>
      <c r="R2499" s="53" t="n">
        <v>-0.121222</v>
      </c>
      <c r="S2499" s="53" t="n">
        <v>0.016296</v>
      </c>
    </row>
    <row r="2500" customFormat="false" ht="15" hidden="false" customHeight="false" outlineLevel="0" collapsed="false">
      <c r="A2500" s="43" t="n">
        <v>497</v>
      </c>
      <c r="B2500" s="44" t="str">
        <f aca="false">'Model Inputs &amp; Assumptions'!$B$32</f>
        <v>Trade Republic — In-App Display</v>
      </c>
      <c r="C2500" s="45" t="n">
        <f aca="false">ROUND(MAX(0,'Model Inputs &amp; Assumptions'!$S$32*EXP('Model Inputs &amp; Assumptions'!$T$32*P2500-'Model Inputs &amp; Assumptions'!$T$32^2/2)),0)</f>
        <v>1550599</v>
      </c>
      <c r="D2500" s="46" t="n">
        <f aca="false">MIN(1,'Model Inputs &amp; Assumptions'!$U$32*EXP('Model Inputs &amp; Assumptions'!$V$32*Q2500-'Model Inputs &amp; Assumptions'!$V$32^2/2))</f>
        <v>0</v>
      </c>
      <c r="E2500" s="45" t="n">
        <f aca="false">ROUND(C2500*D2500,0)</f>
        <v>0</v>
      </c>
      <c r="F2500" s="47" t="n">
        <f aca="false">MIN(1,'Model Inputs &amp; Assumptions'!$W$32*EXP('Model Inputs &amp; Assumptions'!$X$32*R2500-'Model Inputs &amp; Assumptions'!$X$32^2/2))</f>
        <v>0.00317218482108484</v>
      </c>
      <c r="G2500" s="45" t="n">
        <f aca="false">ROUND(C2500*F2500,0)</f>
        <v>4919</v>
      </c>
      <c r="H2500" s="48" t="n">
        <f aca="false">MAX(0,(C2500*'Model Inputs &amp; Assumptions'!$N$32+E2500*'Model Inputs &amp; Assumptions'!$O$32+G2500*'Model Inputs &amp; Assumptions'!$P$32)*EXP('Model Inputs &amp; Assumptions'!$Q$32*S2500-'Model Inputs &amp; Assumptions'!$Q$32^2/2))</f>
        <v>276.424638202773</v>
      </c>
      <c r="I2500" s="49" t="n">
        <f aca="false">IF('Model Inputs &amp; Assumptions'!$H$32="Fixed",'Model Inputs &amp; Assumptions'!$I$32*'Model Inputs &amp; Assumptions'!$K$32,IF('Model Inputs &amp; Assumptions'!$H$32="CPM",'Model Inputs &amp; Assumptions'!$I$32*'Model Inputs &amp; Assumptions'!$K$32*C2500/1000,IF('Model Inputs &amp; Assumptions'!$H$32="CPC",'Model Inputs &amp; Assumptions'!$I$32*'Model Inputs &amp; Assumptions'!$K$32*G2500,0)))</f>
        <v>18607.188</v>
      </c>
      <c r="J2500" s="50" t="n">
        <f aca="false">H2500*INDEX('Model Inputs &amp; Assumptions'!$D$40:$D$42,MATCH('Model Inputs &amp; Assumptions'!$L$32,'Model Inputs &amp; Assumptions'!$A$40:$A$42,0))*INDEX('Model Inputs &amp; Assumptions'!$H$40:$H$42,MATCH('Model Inputs &amp; Assumptions'!$L$32,'Model Inputs &amp; Assumptions'!$A$40:$A$42,0))</f>
        <v>1492693.04629498</v>
      </c>
      <c r="K2500" s="49" t="n">
        <f aca="false">H2500*INDEX('Model Inputs &amp; Assumptions'!$G$40:$G$42,MATCH('Model Inputs &amp; Assumptions'!$L$32,'Model Inputs &amp; Assumptions'!$A$40:$A$42,0))*INDEX('Model Inputs &amp; Assumptions'!$H$40:$H$42,MATCH('Model Inputs &amp; Assumptions'!$L$32,'Model Inputs &amp; Assumptions'!$A$40:$A$42,0))</f>
        <v>31346.5539721945</v>
      </c>
      <c r="L2500" s="51" t="n">
        <f aca="false">IFERROR(K2500/I2500,0)</f>
        <v>1.68464756588661</v>
      </c>
      <c r="M2500" s="49" t="n">
        <f aca="false">IFERROR(I2500/H2500,0)</f>
        <v>67.3137825954232</v>
      </c>
      <c r="N2500" s="52" t="str">
        <f aca="false">'Model Inputs &amp; Assumptions'!$L$32</f>
        <v>PRD-SP01</v>
      </c>
      <c r="P2500" s="53" t="n">
        <v>1.004399</v>
      </c>
      <c r="Q2500" s="53" t="n">
        <v>-1.129614</v>
      </c>
      <c r="R2500" s="53" t="n">
        <v>-0.177808</v>
      </c>
      <c r="S2500" s="53" t="n">
        <v>0.933466</v>
      </c>
    </row>
    <row r="2501" customFormat="false" ht="15" hidden="false" customHeight="false" outlineLevel="0" collapsed="false">
      <c r="A2501" s="43" t="n">
        <v>498</v>
      </c>
      <c r="B2501" s="44" t="str">
        <f aca="false">'Model Inputs &amp; Assumptions'!$B$32</f>
        <v>Trade Republic — In-App Display</v>
      </c>
      <c r="C2501" s="45" t="n">
        <f aca="false">ROUND(MAX(0,'Model Inputs &amp; Assumptions'!$S$32*EXP('Model Inputs &amp; Assumptions'!$T$32*P2501-'Model Inputs &amp; Assumptions'!$T$32^2/2)),0)</f>
        <v>1645025</v>
      </c>
      <c r="D2501" s="46" t="n">
        <f aca="false">MIN(1,'Model Inputs &amp; Assumptions'!$U$32*EXP('Model Inputs &amp; Assumptions'!$V$32*Q2501-'Model Inputs &amp; Assumptions'!$V$32^2/2))</f>
        <v>0</v>
      </c>
      <c r="E2501" s="45" t="n">
        <f aca="false">ROUND(C2501*D2501,0)</f>
        <v>0</v>
      </c>
      <c r="F2501" s="47" t="n">
        <f aca="false">MIN(1,'Model Inputs &amp; Assumptions'!$W$32*EXP('Model Inputs &amp; Assumptions'!$X$32*R2501-'Model Inputs &amp; Assumptions'!$X$32^2/2))</f>
        <v>0.00434692704268868</v>
      </c>
      <c r="G2501" s="45" t="n">
        <f aca="false">ROUND(C2501*F2501,0)</f>
        <v>7151</v>
      </c>
      <c r="H2501" s="48" t="n">
        <f aca="false">MAX(0,(C2501*'Model Inputs &amp; Assumptions'!$N$32+E2501*'Model Inputs &amp; Assumptions'!$O$32+G2501*'Model Inputs &amp; Assumptions'!$P$32)*EXP('Model Inputs &amp; Assumptions'!$Q$32*S2501-'Model Inputs &amp; Assumptions'!$Q$32^2/2))</f>
        <v>261.296123462962</v>
      </c>
      <c r="I2501" s="49" t="n">
        <f aca="false">IF('Model Inputs &amp; Assumptions'!$H$32="Fixed",'Model Inputs &amp; Assumptions'!$I$32*'Model Inputs &amp; Assumptions'!$K$32,IF('Model Inputs &amp; Assumptions'!$H$32="CPM",'Model Inputs &amp; Assumptions'!$I$32*'Model Inputs &amp; Assumptions'!$K$32*C2501/1000,IF('Model Inputs &amp; Assumptions'!$H$32="CPC",'Model Inputs &amp; Assumptions'!$I$32*'Model Inputs &amp; Assumptions'!$K$32*G2501,0)))</f>
        <v>19740.3</v>
      </c>
      <c r="J2501" s="50" t="n">
        <f aca="false">H2501*INDEX('Model Inputs &amp; Assumptions'!$D$40:$D$42,MATCH('Model Inputs &amp; Assumptions'!$L$32,'Model Inputs &amp; Assumptions'!$A$40:$A$42,0))*INDEX('Model Inputs &amp; Assumptions'!$H$40:$H$42,MATCH('Model Inputs &amp; Assumptions'!$L$32,'Model Inputs &amp; Assumptions'!$A$40:$A$42,0))</f>
        <v>1410999.06669999</v>
      </c>
      <c r="K2501" s="49" t="n">
        <f aca="false">H2501*INDEX('Model Inputs &amp; Assumptions'!$G$40:$G$42,MATCH('Model Inputs &amp; Assumptions'!$L$32,'Model Inputs &amp; Assumptions'!$A$40:$A$42,0))*INDEX('Model Inputs &amp; Assumptions'!$H$40:$H$42,MATCH('Model Inputs &amp; Assumptions'!$L$32,'Model Inputs &amp; Assumptions'!$A$40:$A$42,0))</f>
        <v>29630.9804006999</v>
      </c>
      <c r="L2501" s="51" t="n">
        <f aca="false">IFERROR(K2501/I2501,0)</f>
        <v>1.50104002475646</v>
      </c>
      <c r="M2501" s="49" t="n">
        <f aca="false">IFERROR(I2501/H2501,0)</f>
        <v>75.5476190705835</v>
      </c>
      <c r="N2501" s="52" t="str">
        <f aca="false">'Model Inputs &amp; Assumptions'!$L$32</f>
        <v>PRD-SP01</v>
      </c>
      <c r="P2501" s="53" t="n">
        <v>1.201447</v>
      </c>
      <c r="Q2501" s="53" t="n">
        <v>0.061833</v>
      </c>
      <c r="R2501" s="53" t="n">
        <v>0.872354</v>
      </c>
      <c r="S2501" s="53" t="n">
        <v>-0.603787</v>
      </c>
    </row>
    <row r="2502" customFormat="false" ht="15" hidden="false" customHeight="false" outlineLevel="0" collapsed="false">
      <c r="A2502" s="43" t="n">
        <v>499</v>
      </c>
      <c r="B2502" s="44" t="str">
        <f aca="false">'Model Inputs &amp; Assumptions'!$B$32</f>
        <v>Trade Republic — In-App Display</v>
      </c>
      <c r="C2502" s="45" t="n">
        <f aca="false">ROUND(MAX(0,'Model Inputs &amp; Assumptions'!$S$32*EXP('Model Inputs &amp; Assumptions'!$T$32*P2502-'Model Inputs &amp; Assumptions'!$T$32^2/2)),0)</f>
        <v>1185920</v>
      </c>
      <c r="D2502" s="46" t="n">
        <f aca="false">MIN(1,'Model Inputs &amp; Assumptions'!$U$32*EXP('Model Inputs &amp; Assumptions'!$V$32*Q2502-'Model Inputs &amp; Assumptions'!$V$32^2/2))</f>
        <v>0</v>
      </c>
      <c r="E2502" s="45" t="n">
        <f aca="false">ROUND(C2502*D2502,0)</f>
        <v>0</v>
      </c>
      <c r="F2502" s="47" t="n">
        <f aca="false">MIN(1,'Model Inputs &amp; Assumptions'!$W$32*EXP('Model Inputs &amp; Assumptions'!$X$32*R2502-'Model Inputs &amp; Assumptions'!$X$32^2/2))</f>
        <v>0.00388543508482628</v>
      </c>
      <c r="G2502" s="45" t="n">
        <f aca="false">ROUND(C2502*F2502,0)</f>
        <v>4608</v>
      </c>
      <c r="H2502" s="48" t="n">
        <f aca="false">MAX(0,(C2502*'Model Inputs &amp; Assumptions'!$N$32+E2502*'Model Inputs &amp; Assumptions'!$O$32+G2502*'Model Inputs &amp; Assumptions'!$P$32)*EXP('Model Inputs &amp; Assumptions'!$Q$32*S2502-'Model Inputs &amp; Assumptions'!$Q$32^2/2))</f>
        <v>184.623233574121</v>
      </c>
      <c r="I2502" s="49" t="n">
        <f aca="false">IF('Model Inputs &amp; Assumptions'!$H$32="Fixed",'Model Inputs &amp; Assumptions'!$I$32*'Model Inputs &amp; Assumptions'!$K$32,IF('Model Inputs &amp; Assumptions'!$H$32="CPM",'Model Inputs &amp; Assumptions'!$I$32*'Model Inputs &amp; Assumptions'!$K$32*C2502/1000,IF('Model Inputs &amp; Assumptions'!$H$32="CPC",'Model Inputs &amp; Assumptions'!$I$32*'Model Inputs &amp; Assumptions'!$K$32*G2502,0)))</f>
        <v>14231.04</v>
      </c>
      <c r="J2502" s="50" t="n">
        <f aca="false">H2502*INDEX('Model Inputs &amp; Assumptions'!$D$40:$D$42,MATCH('Model Inputs &amp; Assumptions'!$L$32,'Model Inputs &amp; Assumptions'!$A$40:$A$42,0))*INDEX('Model Inputs &amp; Assumptions'!$H$40:$H$42,MATCH('Model Inputs &amp; Assumptions'!$L$32,'Model Inputs &amp; Assumptions'!$A$40:$A$42,0))</f>
        <v>996965.461300253</v>
      </c>
      <c r="K2502" s="49" t="n">
        <f aca="false">H2502*INDEX('Model Inputs &amp; Assumptions'!$G$40:$G$42,MATCH('Model Inputs &amp; Assumptions'!$L$32,'Model Inputs &amp; Assumptions'!$A$40:$A$42,0))*INDEX('Model Inputs &amp; Assumptions'!$H$40:$H$42,MATCH('Model Inputs &amp; Assumptions'!$L$32,'Model Inputs &amp; Assumptions'!$A$40:$A$42,0))</f>
        <v>20936.2746873053</v>
      </c>
      <c r="L2502" s="51" t="n">
        <f aca="false">IFERROR(K2502/I2502,0)</f>
        <v>1.47116968874413</v>
      </c>
      <c r="M2502" s="49" t="n">
        <f aca="false">IFERROR(I2502/H2502,0)</f>
        <v>77.0815228641668</v>
      </c>
      <c r="N2502" s="52" t="str">
        <f aca="false">'Model Inputs &amp; Assumptions'!$L$32</f>
        <v>PRD-SP01</v>
      </c>
      <c r="P2502" s="53" t="n">
        <v>0.110658</v>
      </c>
      <c r="Q2502" s="53" t="n">
        <v>1.780167</v>
      </c>
      <c r="R2502" s="53" t="n">
        <v>0.49824</v>
      </c>
      <c r="S2502" s="53" t="n">
        <v>-0.274783</v>
      </c>
    </row>
    <row r="2503" customFormat="false" ht="15" hidden="false" customHeight="false" outlineLevel="0" collapsed="false">
      <c r="A2503" s="43" t="n">
        <v>500</v>
      </c>
      <c r="B2503" s="44" t="str">
        <f aca="false">'Model Inputs &amp; Assumptions'!$B$32</f>
        <v>Trade Republic — In-App Display</v>
      </c>
      <c r="C2503" s="45" t="n">
        <f aca="false">ROUND(MAX(0,'Model Inputs &amp; Assumptions'!$S$32*EXP('Model Inputs &amp; Assumptions'!$T$32*P2503-'Model Inputs &amp; Assumptions'!$T$32^2/2)),0)</f>
        <v>851687</v>
      </c>
      <c r="D2503" s="46" t="n">
        <f aca="false">MIN(1,'Model Inputs &amp; Assumptions'!$U$32*EXP('Model Inputs &amp; Assumptions'!$V$32*Q2503-'Model Inputs &amp; Assumptions'!$V$32^2/2))</f>
        <v>0</v>
      </c>
      <c r="E2503" s="45" t="n">
        <f aca="false">ROUND(C2503*D2503,0)</f>
        <v>0</v>
      </c>
      <c r="F2503" s="47" t="n">
        <f aca="false">MIN(1,'Model Inputs &amp; Assumptions'!$W$32*EXP('Model Inputs &amp; Assumptions'!$X$32*R2503-'Model Inputs &amp; Assumptions'!$X$32^2/2))</f>
        <v>0.00210762868282364</v>
      </c>
      <c r="G2503" s="45" t="n">
        <f aca="false">ROUND(C2503*F2503,0)</f>
        <v>1795</v>
      </c>
      <c r="H2503" s="48" t="n">
        <f aca="false">MAX(0,(C2503*'Model Inputs &amp; Assumptions'!$N$32+E2503*'Model Inputs &amp; Assumptions'!$O$32+G2503*'Model Inputs &amp; Assumptions'!$P$32)*EXP('Model Inputs &amp; Assumptions'!$Q$32*S2503-'Model Inputs &amp; Assumptions'!$Q$32^2/2))</f>
        <v>56.4766631768977</v>
      </c>
      <c r="I2503" s="49" t="n">
        <f aca="false">IF('Model Inputs &amp; Assumptions'!$H$32="Fixed",'Model Inputs &amp; Assumptions'!$I$32*'Model Inputs &amp; Assumptions'!$K$32,IF('Model Inputs &amp; Assumptions'!$H$32="CPM",'Model Inputs &amp; Assumptions'!$I$32*'Model Inputs &amp; Assumptions'!$K$32*C2503/1000,IF('Model Inputs &amp; Assumptions'!$H$32="CPC",'Model Inputs &amp; Assumptions'!$I$32*'Model Inputs &amp; Assumptions'!$K$32*G2503,0)))</f>
        <v>10220.244</v>
      </c>
      <c r="J2503" s="50" t="n">
        <f aca="false">H2503*INDEX('Model Inputs &amp; Assumptions'!$D$40:$D$42,MATCH('Model Inputs &amp; Assumptions'!$L$32,'Model Inputs &amp; Assumptions'!$A$40:$A$42,0))*INDEX('Model Inputs &amp; Assumptions'!$H$40:$H$42,MATCH('Model Inputs &amp; Assumptions'!$L$32,'Model Inputs &amp; Assumptions'!$A$40:$A$42,0))</f>
        <v>304973.981155247</v>
      </c>
      <c r="K2503" s="49" t="n">
        <f aca="false">H2503*INDEX('Model Inputs &amp; Assumptions'!$G$40:$G$42,MATCH('Model Inputs &amp; Assumptions'!$L$32,'Model Inputs &amp; Assumptions'!$A$40:$A$42,0))*INDEX('Model Inputs &amp; Assumptions'!$H$40:$H$42,MATCH('Model Inputs &amp; Assumptions'!$L$32,'Model Inputs &amp; Assumptions'!$A$40:$A$42,0))</f>
        <v>6404.4536042602</v>
      </c>
      <c r="L2503" s="51" t="n">
        <f aca="false">IFERROR(K2503/I2503,0)</f>
        <v>0.626643904417565</v>
      </c>
      <c r="M2503" s="49" t="n">
        <f aca="false">IFERROR(I2503/H2503,0)</f>
        <v>180.96401991718</v>
      </c>
      <c r="N2503" s="52" t="str">
        <f aca="false">'Model Inputs &amp; Assumptions'!$L$32</f>
        <v>PRD-SP01</v>
      </c>
      <c r="P2503" s="53" t="n">
        <v>-0.992859</v>
      </c>
      <c r="Q2503" s="53" t="n">
        <v>0.570455</v>
      </c>
      <c r="R2503" s="53" t="n">
        <v>-1.540665</v>
      </c>
      <c r="S2503" s="53" t="n">
        <v>-1.138</v>
      </c>
    </row>
    <row r="2504" customFormat="false" ht="15" hidden="false" customHeight="false" outlineLevel="0" collapsed="false">
      <c r="A2504" s="43" t="n">
        <v>1</v>
      </c>
      <c r="B2504" s="44" t="str">
        <f aca="false">'Model Inputs &amp; Assumptions'!$B$33</f>
        <v>Trade Republic — Savings Plan Push</v>
      </c>
      <c r="C2504" s="45" t="n">
        <f aca="false">ROUND(MAX(0,'Model Inputs &amp; Assumptions'!$S$33*EXP('Model Inputs &amp; Assumptions'!$T$33*P2504-'Model Inputs &amp; Assumptions'!$T$33^2/2)),0)</f>
        <v>1062941</v>
      </c>
      <c r="D2504" s="46" t="n">
        <f aca="false">MIN(1,'Model Inputs &amp; Assumptions'!$U$33*EXP('Model Inputs &amp; Assumptions'!$V$33*Q2504-'Model Inputs &amp; Assumptions'!$V$33^2/2))</f>
        <v>0</v>
      </c>
      <c r="E2504" s="45" t="n">
        <f aca="false">ROUND(C2504*D2504,0)</f>
        <v>0</v>
      </c>
      <c r="F2504" s="47" t="n">
        <f aca="false">MIN(1,'Model Inputs &amp; Assumptions'!$W$33*EXP('Model Inputs &amp; Assumptions'!$X$33*R2504-'Model Inputs &amp; Assumptions'!$X$33^2/2))</f>
        <v>0.00186548219354478</v>
      </c>
      <c r="G2504" s="45" t="n">
        <f aca="false">ROUND(C2504*F2504,0)</f>
        <v>1983</v>
      </c>
      <c r="H2504" s="48" t="n">
        <f aca="false">MAX(0,(C2504*'Model Inputs &amp; Assumptions'!$N$33+E2504*'Model Inputs &amp; Assumptions'!$O$33+G2504*'Model Inputs &amp; Assumptions'!$P$33)*EXP('Model Inputs &amp; Assumptions'!$Q$33*S2504-'Model Inputs &amp; Assumptions'!$Q$33^2/2))</f>
        <v>82.7111514194094</v>
      </c>
      <c r="I2504" s="49" t="n">
        <f aca="false">IF('Model Inputs &amp; Assumptions'!$H$33="Fixed",'Model Inputs &amp; Assumptions'!$I$33*'Model Inputs &amp; Assumptions'!$K$33,IF('Model Inputs &amp; Assumptions'!$H$33="CPM",'Model Inputs &amp; Assumptions'!$I$33*'Model Inputs &amp; Assumptions'!$K$33*C2504/1000,IF('Model Inputs &amp; Assumptions'!$H$33="CPC",'Model Inputs &amp; Assumptions'!$I$33*'Model Inputs &amp; Assumptions'!$K$33*G2504,0)))</f>
        <v>25000</v>
      </c>
      <c r="J2504" s="50" t="n">
        <f aca="false">H2504*INDEX('Model Inputs &amp; Assumptions'!$D$40:$D$42,MATCH('Model Inputs &amp; Assumptions'!$L$33,'Model Inputs &amp; Assumptions'!$A$40:$A$42,0))*INDEX('Model Inputs &amp; Assumptions'!$H$40:$H$42,MATCH('Model Inputs &amp; Assumptions'!$L$33,'Model Inputs &amp; Assumptions'!$A$40:$A$42,0))</f>
        <v>446640.217664811</v>
      </c>
      <c r="K2504" s="49" t="n">
        <f aca="false">H2504*INDEX('Model Inputs &amp; Assumptions'!$G$40:$G$42,MATCH('Model Inputs &amp; Assumptions'!$L$33,'Model Inputs &amp; Assumptions'!$A$40:$A$42,0))*INDEX('Model Inputs &amp; Assumptions'!$H$40:$H$42,MATCH('Model Inputs &amp; Assumptions'!$L$33,'Model Inputs &amp; Assumptions'!$A$40:$A$42,0))</f>
        <v>9379.44457096102</v>
      </c>
      <c r="L2504" s="51" t="n">
        <f aca="false">IFERROR(K2504/I2504,0)</f>
        <v>0.375177782838441</v>
      </c>
      <c r="M2504" s="49" t="n">
        <f aca="false">IFERROR(I2504/H2504,0)</f>
        <v>302.256703854003</v>
      </c>
      <c r="N2504" s="52" t="str">
        <f aca="false">'Model Inputs &amp; Assumptions'!$L$33</f>
        <v>PRD-SP01</v>
      </c>
      <c r="P2504" s="53" t="n">
        <v>-0.254273</v>
      </c>
      <c r="Q2504" s="53" t="n">
        <v>-0.526571</v>
      </c>
      <c r="R2504" s="53" t="n">
        <v>-1.947478</v>
      </c>
      <c r="S2504" s="53" t="n">
        <v>-0.84782</v>
      </c>
    </row>
    <row r="2505" customFormat="false" ht="15" hidden="false" customHeight="false" outlineLevel="0" collapsed="false">
      <c r="A2505" s="43" t="n">
        <v>2</v>
      </c>
      <c r="B2505" s="44" t="str">
        <f aca="false">'Model Inputs &amp; Assumptions'!$B$33</f>
        <v>Trade Republic — Savings Plan Push</v>
      </c>
      <c r="C2505" s="45" t="n">
        <f aca="false">ROUND(MAX(0,'Model Inputs &amp; Assumptions'!$S$33*EXP('Model Inputs &amp; Assumptions'!$T$33*P2505-'Model Inputs &amp; Assumptions'!$T$33^2/2)),0)</f>
        <v>444859</v>
      </c>
      <c r="D2505" s="46" t="n">
        <f aca="false">MIN(1,'Model Inputs &amp; Assumptions'!$U$33*EXP('Model Inputs &amp; Assumptions'!$V$33*Q2505-'Model Inputs &amp; Assumptions'!$V$33^2/2))</f>
        <v>0</v>
      </c>
      <c r="E2505" s="45" t="n">
        <f aca="false">ROUND(C2505*D2505,0)</f>
        <v>0</v>
      </c>
      <c r="F2505" s="47" t="n">
        <f aca="false">MIN(1,'Model Inputs &amp; Assumptions'!$W$33*EXP('Model Inputs &amp; Assumptions'!$X$33*R2505-'Model Inputs &amp; Assumptions'!$X$33^2/2))</f>
        <v>0.0040822927066617</v>
      </c>
      <c r="G2505" s="45" t="n">
        <f aca="false">ROUND(C2505*F2505,0)</f>
        <v>1816</v>
      </c>
      <c r="H2505" s="48" t="n">
        <f aca="false">MAX(0,(C2505*'Model Inputs &amp; Assumptions'!$N$33+E2505*'Model Inputs &amp; Assumptions'!$O$33+G2505*'Model Inputs &amp; Assumptions'!$P$33)*EXP('Model Inputs &amp; Assumptions'!$Q$33*S2505-'Model Inputs &amp; Assumptions'!$Q$33^2/2))</f>
        <v>177.91430920405</v>
      </c>
      <c r="I2505" s="49" t="n">
        <f aca="false">IF('Model Inputs &amp; Assumptions'!$H$33="Fixed",'Model Inputs &amp; Assumptions'!$I$33*'Model Inputs &amp; Assumptions'!$K$33,IF('Model Inputs &amp; Assumptions'!$H$33="CPM",'Model Inputs &amp; Assumptions'!$I$33*'Model Inputs &amp; Assumptions'!$K$33*C2505/1000,IF('Model Inputs &amp; Assumptions'!$H$33="CPC",'Model Inputs &amp; Assumptions'!$I$33*'Model Inputs &amp; Assumptions'!$K$33*G2505,0)))</f>
        <v>25000</v>
      </c>
      <c r="J2505" s="50" t="n">
        <f aca="false">H2505*INDEX('Model Inputs &amp; Assumptions'!$D$40:$D$42,MATCH('Model Inputs &amp; Assumptions'!$L$33,'Model Inputs &amp; Assumptions'!$A$40:$A$42,0))*INDEX('Model Inputs &amp; Assumptions'!$H$40:$H$42,MATCH('Model Inputs &amp; Assumptions'!$L$33,'Model Inputs &amp; Assumptions'!$A$40:$A$42,0))</f>
        <v>960737.269701868</v>
      </c>
      <c r="K2505" s="49" t="n">
        <f aca="false">H2505*INDEX('Model Inputs &amp; Assumptions'!$G$40:$G$42,MATCH('Model Inputs &amp; Assumptions'!$L$33,'Model Inputs &amp; Assumptions'!$A$40:$A$42,0))*INDEX('Model Inputs &amp; Assumptions'!$H$40:$H$42,MATCH('Model Inputs &amp; Assumptions'!$L$33,'Model Inputs &amp; Assumptions'!$A$40:$A$42,0))</f>
        <v>20175.4826637392</v>
      </c>
      <c r="L2505" s="51" t="n">
        <f aca="false">IFERROR(K2505/I2505,0)</f>
        <v>0.807019306549569</v>
      </c>
      <c r="M2505" s="49" t="n">
        <f aca="false">IFERROR(I2505/H2505,0)</f>
        <v>140.517084386549</v>
      </c>
      <c r="N2505" s="52" t="str">
        <f aca="false">'Model Inputs &amp; Assumptions'!$L$33</f>
        <v>PRD-SP01</v>
      </c>
      <c r="P2505" s="53" t="n">
        <v>-3.157734</v>
      </c>
      <c r="Q2505" s="53" t="n">
        <v>1.081046</v>
      </c>
      <c r="R2505" s="53" t="n">
        <v>0.662986</v>
      </c>
      <c r="S2505" s="53" t="n">
        <v>2.201902</v>
      </c>
    </row>
    <row r="2506" customFormat="false" ht="15" hidden="false" customHeight="false" outlineLevel="0" collapsed="false">
      <c r="A2506" s="43" t="n">
        <v>3</v>
      </c>
      <c r="B2506" s="44" t="str">
        <f aca="false">'Model Inputs &amp; Assumptions'!$B$33</f>
        <v>Trade Republic — Savings Plan Push</v>
      </c>
      <c r="C2506" s="45" t="n">
        <f aca="false">ROUND(MAX(0,'Model Inputs &amp; Assumptions'!$S$33*EXP('Model Inputs &amp; Assumptions'!$T$33*P2506-'Model Inputs &amp; Assumptions'!$T$33^2/2)),0)</f>
        <v>1337435</v>
      </c>
      <c r="D2506" s="46" t="n">
        <f aca="false">MIN(1,'Model Inputs &amp; Assumptions'!$U$33*EXP('Model Inputs &amp; Assumptions'!$V$33*Q2506-'Model Inputs &amp; Assumptions'!$V$33^2/2))</f>
        <v>0</v>
      </c>
      <c r="E2506" s="45" t="n">
        <f aca="false">ROUND(C2506*D2506,0)</f>
        <v>0</v>
      </c>
      <c r="F2506" s="47" t="n">
        <f aca="false">MIN(1,'Model Inputs &amp; Assumptions'!$W$33*EXP('Model Inputs &amp; Assumptions'!$X$33*R2506-'Model Inputs &amp; Assumptions'!$X$33^2/2))</f>
        <v>0.00227367227919906</v>
      </c>
      <c r="G2506" s="45" t="n">
        <f aca="false">ROUND(C2506*F2506,0)</f>
        <v>3041</v>
      </c>
      <c r="H2506" s="48" t="n">
        <f aca="false">MAX(0,(C2506*'Model Inputs &amp; Assumptions'!$N$33+E2506*'Model Inputs &amp; Assumptions'!$O$33+G2506*'Model Inputs &amp; Assumptions'!$P$33)*EXP('Model Inputs &amp; Assumptions'!$Q$33*S2506-'Model Inputs &amp; Assumptions'!$Q$33^2/2))</f>
        <v>159.353447266092</v>
      </c>
      <c r="I2506" s="49" t="n">
        <f aca="false">IF('Model Inputs &amp; Assumptions'!$H$33="Fixed",'Model Inputs &amp; Assumptions'!$I$33*'Model Inputs &amp; Assumptions'!$K$33,IF('Model Inputs &amp; Assumptions'!$H$33="CPM",'Model Inputs &amp; Assumptions'!$I$33*'Model Inputs &amp; Assumptions'!$K$33*C2506/1000,IF('Model Inputs &amp; Assumptions'!$H$33="CPC",'Model Inputs &amp; Assumptions'!$I$33*'Model Inputs &amp; Assumptions'!$K$33*G2506,0)))</f>
        <v>25000</v>
      </c>
      <c r="J2506" s="50" t="n">
        <f aca="false">H2506*INDEX('Model Inputs &amp; Assumptions'!$D$40:$D$42,MATCH('Model Inputs &amp; Assumptions'!$L$33,'Model Inputs &amp; Assumptions'!$A$40:$A$42,0))*INDEX('Model Inputs &amp; Assumptions'!$H$40:$H$42,MATCH('Model Inputs &amp; Assumptions'!$L$33,'Model Inputs &amp; Assumptions'!$A$40:$A$42,0))</f>
        <v>860508.615236897</v>
      </c>
      <c r="K2506" s="49" t="n">
        <f aca="false">H2506*INDEX('Model Inputs &amp; Assumptions'!$G$40:$G$42,MATCH('Model Inputs &amp; Assumptions'!$L$33,'Model Inputs &amp; Assumptions'!$A$40:$A$42,0))*INDEX('Model Inputs &amp; Assumptions'!$H$40:$H$42,MATCH('Model Inputs &amp; Assumptions'!$L$33,'Model Inputs &amp; Assumptions'!$A$40:$A$42,0))</f>
        <v>18070.6809199748</v>
      </c>
      <c r="L2506" s="51" t="n">
        <f aca="false">IFERROR(K2506/I2506,0)</f>
        <v>0.722827236798993</v>
      </c>
      <c r="M2506" s="49" t="n">
        <f aca="false">IFERROR(I2506/H2506,0)</f>
        <v>156.883960961663</v>
      </c>
      <c r="N2506" s="52" t="str">
        <f aca="false">'Model Inputs &amp; Assumptions'!$L$33</f>
        <v>PRD-SP01</v>
      </c>
      <c r="P2506" s="53" t="n">
        <v>0.51144</v>
      </c>
      <c r="Q2506" s="53" t="n">
        <v>1.128763</v>
      </c>
      <c r="R2506" s="53" t="n">
        <v>-1.287889</v>
      </c>
      <c r="S2506" s="53" t="n">
        <v>-0.032839</v>
      </c>
    </row>
    <row r="2507" customFormat="false" ht="15" hidden="false" customHeight="false" outlineLevel="0" collapsed="false">
      <c r="A2507" s="43" t="n">
        <v>4</v>
      </c>
      <c r="B2507" s="44" t="str">
        <f aca="false">'Model Inputs &amp; Assumptions'!$B$33</f>
        <v>Trade Republic — Savings Plan Push</v>
      </c>
      <c r="C2507" s="45" t="n">
        <f aca="false">ROUND(MAX(0,'Model Inputs &amp; Assumptions'!$S$33*EXP('Model Inputs &amp; Assumptions'!$T$33*P2507-'Model Inputs &amp; Assumptions'!$T$33^2/2)),0)</f>
        <v>666271</v>
      </c>
      <c r="D2507" s="46" t="n">
        <f aca="false">MIN(1,'Model Inputs &amp; Assumptions'!$U$33*EXP('Model Inputs &amp; Assumptions'!$V$33*Q2507-'Model Inputs &amp; Assumptions'!$V$33^2/2))</f>
        <v>0</v>
      </c>
      <c r="E2507" s="45" t="n">
        <f aca="false">ROUND(C2507*D2507,0)</f>
        <v>0</v>
      </c>
      <c r="F2507" s="47" t="n">
        <f aca="false">MIN(1,'Model Inputs &amp; Assumptions'!$W$33*EXP('Model Inputs &amp; Assumptions'!$X$33*R2507-'Model Inputs &amp; Assumptions'!$X$33^2/2))</f>
        <v>0.0020730255706992</v>
      </c>
      <c r="G2507" s="45" t="n">
        <f aca="false">ROUND(C2507*F2507,0)</f>
        <v>1381</v>
      </c>
      <c r="H2507" s="48" t="n">
        <f aca="false">MAX(0,(C2507*'Model Inputs &amp; Assumptions'!$N$33+E2507*'Model Inputs &amp; Assumptions'!$O$33+G2507*'Model Inputs &amp; Assumptions'!$P$33)*EXP('Model Inputs &amp; Assumptions'!$Q$33*S2507-'Model Inputs &amp; Assumptions'!$Q$33^2/2))</f>
        <v>70.6333250730115</v>
      </c>
      <c r="I2507" s="49" t="n">
        <f aca="false">IF('Model Inputs &amp; Assumptions'!$H$33="Fixed",'Model Inputs &amp; Assumptions'!$I$33*'Model Inputs &amp; Assumptions'!$K$33,IF('Model Inputs &amp; Assumptions'!$H$33="CPM",'Model Inputs &amp; Assumptions'!$I$33*'Model Inputs &amp; Assumptions'!$K$33*C2507/1000,IF('Model Inputs &amp; Assumptions'!$H$33="CPC",'Model Inputs &amp; Assumptions'!$I$33*'Model Inputs &amp; Assumptions'!$K$33*G2507,0)))</f>
        <v>25000</v>
      </c>
      <c r="J2507" s="50" t="n">
        <f aca="false">H2507*INDEX('Model Inputs &amp; Assumptions'!$D$40:$D$42,MATCH('Model Inputs &amp; Assumptions'!$L$33,'Model Inputs &amp; Assumptions'!$A$40:$A$42,0))*INDEX('Model Inputs &amp; Assumptions'!$H$40:$H$42,MATCH('Model Inputs &amp; Assumptions'!$L$33,'Model Inputs &amp; Assumptions'!$A$40:$A$42,0))</f>
        <v>381419.955394262</v>
      </c>
      <c r="K2507" s="49" t="n">
        <f aca="false">H2507*INDEX('Model Inputs &amp; Assumptions'!$G$40:$G$42,MATCH('Model Inputs &amp; Assumptions'!$L$33,'Model Inputs &amp; Assumptions'!$A$40:$A$42,0))*INDEX('Model Inputs &amp; Assumptions'!$H$40:$H$42,MATCH('Model Inputs &amp; Assumptions'!$L$33,'Model Inputs &amp; Assumptions'!$A$40:$A$42,0))</f>
        <v>8009.8190632795</v>
      </c>
      <c r="L2507" s="51" t="n">
        <f aca="false">IFERROR(K2507/I2507,0)</f>
        <v>0.32039276253118</v>
      </c>
      <c r="M2507" s="49" t="n">
        <f aca="false">IFERROR(I2507/H2507,0)</f>
        <v>353.940579381734</v>
      </c>
      <c r="N2507" s="52" t="str">
        <f aca="false">'Model Inputs &amp; Assumptions'!$L$33</f>
        <v>PRD-SP01</v>
      </c>
      <c r="P2507" s="53" t="n">
        <v>-1.81127</v>
      </c>
      <c r="Q2507" s="53" t="n">
        <v>-1.656158</v>
      </c>
      <c r="R2507" s="53" t="n">
        <v>-1.595846</v>
      </c>
      <c r="S2507" s="53" t="n">
        <v>-0.119425</v>
      </c>
    </row>
    <row r="2508" customFormat="false" ht="15" hidden="false" customHeight="false" outlineLevel="0" collapsed="false">
      <c r="A2508" s="43" t="n">
        <v>5</v>
      </c>
      <c r="B2508" s="44" t="str">
        <f aca="false">'Model Inputs &amp; Assumptions'!$B$33</f>
        <v>Trade Republic — Savings Plan Push</v>
      </c>
      <c r="C2508" s="45" t="n">
        <f aca="false">ROUND(MAX(0,'Model Inputs &amp; Assumptions'!$S$33*EXP('Model Inputs &amp; Assumptions'!$T$33*P2508-'Model Inputs &amp; Assumptions'!$T$33^2/2)),0)</f>
        <v>785348</v>
      </c>
      <c r="D2508" s="46" t="n">
        <f aca="false">MIN(1,'Model Inputs &amp; Assumptions'!$U$33*EXP('Model Inputs &amp; Assumptions'!$V$33*Q2508-'Model Inputs &amp; Assumptions'!$V$33^2/2))</f>
        <v>0</v>
      </c>
      <c r="E2508" s="45" t="n">
        <f aca="false">ROUND(C2508*D2508,0)</f>
        <v>0</v>
      </c>
      <c r="F2508" s="47" t="n">
        <f aca="false">MIN(1,'Model Inputs &amp; Assumptions'!$W$33*EXP('Model Inputs &amp; Assumptions'!$X$33*R2508-'Model Inputs &amp; Assumptions'!$X$33^2/2))</f>
        <v>0.00257908495777581</v>
      </c>
      <c r="G2508" s="45" t="n">
        <f aca="false">ROUND(C2508*F2508,0)</f>
        <v>2025</v>
      </c>
      <c r="H2508" s="48" t="n">
        <f aca="false">MAX(0,(C2508*'Model Inputs &amp; Assumptions'!$N$33+E2508*'Model Inputs &amp; Assumptions'!$O$33+G2508*'Model Inputs &amp; Assumptions'!$P$33)*EXP('Model Inputs &amp; Assumptions'!$Q$33*S2508-'Model Inputs &amp; Assumptions'!$Q$33^2/2))</f>
        <v>92.8171107419614</v>
      </c>
      <c r="I2508" s="49" t="n">
        <f aca="false">IF('Model Inputs &amp; Assumptions'!$H$33="Fixed",'Model Inputs &amp; Assumptions'!$I$33*'Model Inputs &amp; Assumptions'!$K$33,IF('Model Inputs &amp; Assumptions'!$H$33="CPM",'Model Inputs &amp; Assumptions'!$I$33*'Model Inputs &amp; Assumptions'!$K$33*C2508/1000,IF('Model Inputs &amp; Assumptions'!$H$33="CPC",'Model Inputs &amp; Assumptions'!$I$33*'Model Inputs &amp; Assumptions'!$K$33*G2508,0)))</f>
        <v>25000</v>
      </c>
      <c r="J2508" s="50" t="n">
        <f aca="false">H2508*INDEX('Model Inputs &amp; Assumptions'!$D$40:$D$42,MATCH('Model Inputs &amp; Assumptions'!$L$33,'Model Inputs &amp; Assumptions'!$A$40:$A$42,0))*INDEX('Model Inputs &amp; Assumptions'!$H$40:$H$42,MATCH('Model Inputs &amp; Assumptions'!$L$33,'Model Inputs &amp; Assumptions'!$A$40:$A$42,0))</f>
        <v>501212.398006592</v>
      </c>
      <c r="K2508" s="49" t="n">
        <f aca="false">H2508*INDEX('Model Inputs &amp; Assumptions'!$G$40:$G$42,MATCH('Model Inputs &amp; Assumptions'!$L$33,'Model Inputs &amp; Assumptions'!$A$40:$A$42,0))*INDEX('Model Inputs &amp; Assumptions'!$H$40:$H$42,MATCH('Model Inputs &amp; Assumptions'!$L$33,'Model Inputs &amp; Assumptions'!$A$40:$A$42,0))</f>
        <v>10525.4603581384</v>
      </c>
      <c r="L2508" s="51" t="n">
        <f aca="false">IFERROR(K2508/I2508,0)</f>
        <v>0.421018414325537</v>
      </c>
      <c r="M2508" s="49" t="n">
        <f aca="false">IFERROR(I2508/H2508,0)</f>
        <v>269.346888738025</v>
      </c>
      <c r="N2508" s="52" t="str">
        <f aca="false">'Model Inputs &amp; Assumptions'!$L$33</f>
        <v>PRD-SP01</v>
      </c>
      <c r="P2508" s="53" t="n">
        <v>-1.263166</v>
      </c>
      <c r="Q2508" s="53" t="n">
        <v>1.407401</v>
      </c>
      <c r="R2508" s="53" t="n">
        <v>-0.867761</v>
      </c>
      <c r="S2508" s="53" t="n">
        <v>-0.510971</v>
      </c>
    </row>
    <row r="2509" customFormat="false" ht="15" hidden="false" customHeight="false" outlineLevel="0" collapsed="false">
      <c r="A2509" s="43" t="n">
        <v>6</v>
      </c>
      <c r="B2509" s="44" t="str">
        <f aca="false">'Model Inputs &amp; Assumptions'!$B$33</f>
        <v>Trade Republic — Savings Plan Push</v>
      </c>
      <c r="C2509" s="45" t="n">
        <f aca="false">ROUND(MAX(0,'Model Inputs &amp; Assumptions'!$S$33*EXP('Model Inputs &amp; Assumptions'!$T$33*P2509-'Model Inputs &amp; Assumptions'!$T$33^2/2)),0)</f>
        <v>1110185</v>
      </c>
      <c r="D2509" s="46" t="n">
        <f aca="false">MIN(1,'Model Inputs &amp; Assumptions'!$U$33*EXP('Model Inputs &amp; Assumptions'!$V$33*Q2509-'Model Inputs &amp; Assumptions'!$V$33^2/2))</f>
        <v>0</v>
      </c>
      <c r="E2509" s="45" t="n">
        <f aca="false">ROUND(C2509*D2509,0)</f>
        <v>0</v>
      </c>
      <c r="F2509" s="47" t="n">
        <f aca="false">MIN(1,'Model Inputs &amp; Assumptions'!$W$33*EXP('Model Inputs &amp; Assumptions'!$X$33*R2509-'Model Inputs &amp; Assumptions'!$X$33^2/2))</f>
        <v>0.00253389151315769</v>
      </c>
      <c r="G2509" s="45" t="n">
        <f aca="false">ROUND(C2509*F2509,0)</f>
        <v>2813</v>
      </c>
      <c r="H2509" s="48" t="n">
        <f aca="false">MAX(0,(C2509*'Model Inputs &amp; Assumptions'!$N$33+E2509*'Model Inputs &amp; Assumptions'!$O$33+G2509*'Model Inputs &amp; Assumptions'!$P$33)*EXP('Model Inputs &amp; Assumptions'!$Q$33*S2509-'Model Inputs &amp; Assumptions'!$Q$33^2/2))</f>
        <v>288.750835327292</v>
      </c>
      <c r="I2509" s="49" t="n">
        <f aca="false">IF('Model Inputs &amp; Assumptions'!$H$33="Fixed",'Model Inputs &amp; Assumptions'!$I$33*'Model Inputs &amp; Assumptions'!$K$33,IF('Model Inputs &amp; Assumptions'!$H$33="CPM",'Model Inputs &amp; Assumptions'!$I$33*'Model Inputs &amp; Assumptions'!$K$33*C2509/1000,IF('Model Inputs &amp; Assumptions'!$H$33="CPC",'Model Inputs &amp; Assumptions'!$I$33*'Model Inputs &amp; Assumptions'!$K$33*G2509,0)))</f>
        <v>25000</v>
      </c>
      <c r="J2509" s="50" t="n">
        <f aca="false">H2509*INDEX('Model Inputs &amp; Assumptions'!$D$40:$D$42,MATCH('Model Inputs &amp; Assumptions'!$L$33,'Model Inputs &amp; Assumptions'!$A$40:$A$42,0))*INDEX('Model Inputs &amp; Assumptions'!$H$40:$H$42,MATCH('Model Inputs &amp; Assumptions'!$L$33,'Model Inputs &amp; Assumptions'!$A$40:$A$42,0))</f>
        <v>1559254.51076738</v>
      </c>
      <c r="K2509" s="49" t="n">
        <f aca="false">H2509*INDEX('Model Inputs &amp; Assumptions'!$G$40:$G$42,MATCH('Model Inputs &amp; Assumptions'!$L$33,'Model Inputs &amp; Assumptions'!$A$40:$A$42,0))*INDEX('Model Inputs &amp; Assumptions'!$H$40:$H$42,MATCH('Model Inputs &amp; Assumptions'!$L$33,'Model Inputs &amp; Assumptions'!$A$40:$A$42,0))</f>
        <v>32744.344726115</v>
      </c>
      <c r="L2509" s="51" t="n">
        <f aca="false">IFERROR(K2509/I2509,0)</f>
        <v>1.3097737890446</v>
      </c>
      <c r="M2509" s="49" t="n">
        <f aca="false">IFERROR(I2509/H2509,0)</f>
        <v>86.5798361125538</v>
      </c>
      <c r="N2509" s="52" t="str">
        <f aca="false">'Model Inputs &amp; Assumptions'!$L$33</f>
        <v>PRD-SP01</v>
      </c>
      <c r="P2509" s="53" t="n">
        <v>-0.109316</v>
      </c>
      <c r="Q2509" s="53" t="n">
        <v>0.408439</v>
      </c>
      <c r="R2509" s="53" t="n">
        <v>-0.926689</v>
      </c>
      <c r="S2509" s="53" t="n">
        <v>2.368498</v>
      </c>
    </row>
    <row r="2510" customFormat="false" ht="15" hidden="false" customHeight="false" outlineLevel="0" collapsed="false">
      <c r="A2510" s="43" t="n">
        <v>7</v>
      </c>
      <c r="B2510" s="44" t="str">
        <f aca="false">'Model Inputs &amp; Assumptions'!$B$33</f>
        <v>Trade Republic — Savings Plan Push</v>
      </c>
      <c r="C2510" s="45" t="n">
        <f aca="false">ROUND(MAX(0,'Model Inputs &amp; Assumptions'!$S$33*EXP('Model Inputs &amp; Assumptions'!$T$33*P2510-'Model Inputs &amp; Assumptions'!$T$33^2/2)),0)</f>
        <v>1183391</v>
      </c>
      <c r="D2510" s="46" t="n">
        <f aca="false">MIN(1,'Model Inputs &amp; Assumptions'!$U$33*EXP('Model Inputs &amp; Assumptions'!$V$33*Q2510-'Model Inputs &amp; Assumptions'!$V$33^2/2))</f>
        <v>0</v>
      </c>
      <c r="E2510" s="45" t="n">
        <f aca="false">ROUND(C2510*D2510,0)</f>
        <v>0</v>
      </c>
      <c r="F2510" s="47" t="n">
        <f aca="false">MIN(1,'Model Inputs &amp; Assumptions'!$W$33*EXP('Model Inputs &amp; Assumptions'!$X$33*R2510-'Model Inputs &amp; Assumptions'!$X$33^2/2))</f>
        <v>0.00367085266362981</v>
      </c>
      <c r="G2510" s="45" t="n">
        <f aca="false">ROUND(C2510*F2510,0)</f>
        <v>4344</v>
      </c>
      <c r="H2510" s="48" t="n">
        <f aca="false">MAX(0,(C2510*'Model Inputs &amp; Assumptions'!$N$33+E2510*'Model Inputs &amp; Assumptions'!$O$33+G2510*'Model Inputs &amp; Assumptions'!$P$33)*EXP('Model Inputs &amp; Assumptions'!$Q$33*S2510-'Model Inputs &amp; Assumptions'!$Q$33^2/2))</f>
        <v>222.370557409521</v>
      </c>
      <c r="I2510" s="49" t="n">
        <f aca="false">IF('Model Inputs &amp; Assumptions'!$H$33="Fixed",'Model Inputs &amp; Assumptions'!$I$33*'Model Inputs &amp; Assumptions'!$K$33,IF('Model Inputs &amp; Assumptions'!$H$33="CPM",'Model Inputs &amp; Assumptions'!$I$33*'Model Inputs &amp; Assumptions'!$K$33*C2510/1000,IF('Model Inputs &amp; Assumptions'!$H$33="CPC",'Model Inputs &amp; Assumptions'!$I$33*'Model Inputs &amp; Assumptions'!$K$33*G2510,0)))</f>
        <v>25000</v>
      </c>
      <c r="J2510" s="50" t="n">
        <f aca="false">H2510*INDEX('Model Inputs &amp; Assumptions'!$D$40:$D$42,MATCH('Model Inputs &amp; Assumptions'!$L$33,'Model Inputs &amp; Assumptions'!$A$40:$A$42,0))*INDEX('Model Inputs &amp; Assumptions'!$H$40:$H$42,MATCH('Model Inputs &amp; Assumptions'!$L$33,'Model Inputs &amp; Assumptions'!$A$40:$A$42,0))</f>
        <v>1200801.01001141</v>
      </c>
      <c r="K2510" s="49" t="n">
        <f aca="false">H2510*INDEX('Model Inputs &amp; Assumptions'!$G$40:$G$42,MATCH('Model Inputs &amp; Assumptions'!$L$33,'Model Inputs &amp; Assumptions'!$A$40:$A$42,0))*INDEX('Model Inputs &amp; Assumptions'!$H$40:$H$42,MATCH('Model Inputs &amp; Assumptions'!$L$33,'Model Inputs &amp; Assumptions'!$A$40:$A$42,0))</f>
        <v>25216.8212102397</v>
      </c>
      <c r="L2510" s="51" t="n">
        <f aca="false">IFERROR(K2510/I2510,0)</f>
        <v>1.00867284840959</v>
      </c>
      <c r="M2510" s="49" t="n">
        <f aca="false">IFERROR(I2510/H2510,0)</f>
        <v>112.424955404324</v>
      </c>
      <c r="N2510" s="52" t="str">
        <f aca="false">'Model Inputs &amp; Assumptions'!$L$33</f>
        <v>PRD-SP01</v>
      </c>
      <c r="P2510" s="53" t="n">
        <v>0.103542</v>
      </c>
      <c r="Q2510" s="53" t="n">
        <v>-0.464821</v>
      </c>
      <c r="R2510" s="53" t="n">
        <v>0.30887</v>
      </c>
      <c r="S2510" s="53" t="n">
        <v>-0.11637</v>
      </c>
    </row>
    <row r="2511" customFormat="false" ht="15" hidden="false" customHeight="false" outlineLevel="0" collapsed="false">
      <c r="A2511" s="43" t="n">
        <v>8</v>
      </c>
      <c r="B2511" s="44" t="str">
        <f aca="false">'Model Inputs &amp; Assumptions'!$B$33</f>
        <v>Trade Republic — Savings Plan Push</v>
      </c>
      <c r="C2511" s="45" t="n">
        <f aca="false">ROUND(MAX(0,'Model Inputs &amp; Assumptions'!$S$33*EXP('Model Inputs &amp; Assumptions'!$T$33*P2511-'Model Inputs &amp; Assumptions'!$T$33^2/2)),0)</f>
        <v>889103</v>
      </c>
      <c r="D2511" s="46" t="n">
        <f aca="false">MIN(1,'Model Inputs &amp; Assumptions'!$U$33*EXP('Model Inputs &amp; Assumptions'!$V$33*Q2511-'Model Inputs &amp; Assumptions'!$V$33^2/2))</f>
        <v>0</v>
      </c>
      <c r="E2511" s="45" t="n">
        <f aca="false">ROUND(C2511*D2511,0)</f>
        <v>0</v>
      </c>
      <c r="F2511" s="47" t="n">
        <f aca="false">MIN(1,'Model Inputs &amp; Assumptions'!$W$33*EXP('Model Inputs &amp; Assumptions'!$X$33*R2511-'Model Inputs &amp; Assumptions'!$X$33^2/2))</f>
        <v>0.00439243994358645</v>
      </c>
      <c r="G2511" s="45" t="n">
        <f aca="false">ROUND(C2511*F2511,0)</f>
        <v>3905</v>
      </c>
      <c r="H2511" s="48" t="n">
        <f aca="false">MAX(0,(C2511*'Model Inputs &amp; Assumptions'!$N$33+E2511*'Model Inputs &amp; Assumptions'!$O$33+G2511*'Model Inputs &amp; Assumptions'!$P$33)*EXP('Model Inputs &amp; Assumptions'!$Q$33*S2511-'Model Inputs &amp; Assumptions'!$Q$33^2/2))</f>
        <v>283.030529105861</v>
      </c>
      <c r="I2511" s="49" t="n">
        <f aca="false">IF('Model Inputs &amp; Assumptions'!$H$33="Fixed",'Model Inputs &amp; Assumptions'!$I$33*'Model Inputs &amp; Assumptions'!$K$33,IF('Model Inputs &amp; Assumptions'!$H$33="CPM",'Model Inputs &amp; Assumptions'!$I$33*'Model Inputs &amp; Assumptions'!$K$33*C2511/1000,IF('Model Inputs &amp; Assumptions'!$H$33="CPC",'Model Inputs &amp; Assumptions'!$I$33*'Model Inputs &amp; Assumptions'!$K$33*G2511,0)))</f>
        <v>25000</v>
      </c>
      <c r="J2511" s="50" t="n">
        <f aca="false">H2511*INDEX('Model Inputs &amp; Assumptions'!$D$40:$D$42,MATCH('Model Inputs &amp; Assumptions'!$L$33,'Model Inputs &amp; Assumptions'!$A$40:$A$42,0))*INDEX('Model Inputs &amp; Assumptions'!$H$40:$H$42,MATCH('Model Inputs &amp; Assumptions'!$L$33,'Model Inputs &amp; Assumptions'!$A$40:$A$42,0))</f>
        <v>1528364.85717165</v>
      </c>
      <c r="K2511" s="49" t="n">
        <f aca="false">H2511*INDEX('Model Inputs &amp; Assumptions'!$G$40:$G$42,MATCH('Model Inputs &amp; Assumptions'!$L$33,'Model Inputs &amp; Assumptions'!$A$40:$A$42,0))*INDEX('Model Inputs &amp; Assumptions'!$H$40:$H$42,MATCH('Model Inputs &amp; Assumptions'!$L$33,'Model Inputs &amp; Assumptions'!$A$40:$A$42,0))</f>
        <v>32095.6620006046</v>
      </c>
      <c r="L2511" s="51" t="n">
        <f aca="false">IFERROR(K2511/I2511,0)</f>
        <v>1.28382648002419</v>
      </c>
      <c r="M2511" s="49" t="n">
        <f aca="false">IFERROR(I2511/H2511,0)</f>
        <v>88.3296938990258</v>
      </c>
      <c r="N2511" s="52" t="str">
        <f aca="false">'Model Inputs &amp; Assumptions'!$L$33</f>
        <v>PRD-SP01</v>
      </c>
      <c r="P2511" s="53" t="n">
        <v>-0.849545</v>
      </c>
      <c r="Q2511" s="53" t="n">
        <v>-0.23688</v>
      </c>
      <c r="R2511" s="53" t="n">
        <v>0.907073</v>
      </c>
      <c r="S2511" s="53" t="n">
        <v>1.125585</v>
      </c>
    </row>
    <row r="2512" customFormat="false" ht="15" hidden="false" customHeight="false" outlineLevel="0" collapsed="false">
      <c r="A2512" s="43" t="n">
        <v>9</v>
      </c>
      <c r="B2512" s="44" t="str">
        <f aca="false">'Model Inputs &amp; Assumptions'!$B$33</f>
        <v>Trade Republic — Savings Plan Push</v>
      </c>
      <c r="C2512" s="45" t="n">
        <f aca="false">ROUND(MAX(0,'Model Inputs &amp; Assumptions'!$S$33*EXP('Model Inputs &amp; Assumptions'!$T$33*P2512-'Model Inputs &amp; Assumptions'!$T$33^2/2)),0)</f>
        <v>953837</v>
      </c>
      <c r="D2512" s="46" t="n">
        <f aca="false">MIN(1,'Model Inputs &amp; Assumptions'!$U$33*EXP('Model Inputs &amp; Assumptions'!$V$33*Q2512-'Model Inputs &amp; Assumptions'!$V$33^2/2))</f>
        <v>0</v>
      </c>
      <c r="E2512" s="45" t="n">
        <f aca="false">ROUND(C2512*D2512,0)</f>
        <v>0</v>
      </c>
      <c r="F2512" s="47" t="n">
        <f aca="false">MIN(1,'Model Inputs &amp; Assumptions'!$W$33*EXP('Model Inputs &amp; Assumptions'!$X$33*R2512-'Model Inputs &amp; Assumptions'!$X$33^2/2))</f>
        <v>0.00191998979034205</v>
      </c>
      <c r="G2512" s="45" t="n">
        <f aca="false">ROUND(C2512*F2512,0)</f>
        <v>1831</v>
      </c>
      <c r="H2512" s="48" t="n">
        <f aca="false">MAX(0,(C2512*'Model Inputs &amp; Assumptions'!$N$33+E2512*'Model Inputs &amp; Assumptions'!$O$33+G2512*'Model Inputs &amp; Assumptions'!$P$33)*EXP('Model Inputs &amp; Assumptions'!$Q$33*S2512-'Model Inputs &amp; Assumptions'!$Q$33^2/2))</f>
        <v>78.4170149258521</v>
      </c>
      <c r="I2512" s="49" t="n">
        <f aca="false">IF('Model Inputs &amp; Assumptions'!$H$33="Fixed",'Model Inputs &amp; Assumptions'!$I$33*'Model Inputs &amp; Assumptions'!$K$33,IF('Model Inputs &amp; Assumptions'!$H$33="CPM",'Model Inputs &amp; Assumptions'!$I$33*'Model Inputs &amp; Assumptions'!$K$33*C2512/1000,IF('Model Inputs &amp; Assumptions'!$H$33="CPC",'Model Inputs &amp; Assumptions'!$I$33*'Model Inputs &amp; Assumptions'!$K$33*G2512,0)))</f>
        <v>25000</v>
      </c>
      <c r="J2512" s="50" t="n">
        <f aca="false">H2512*INDEX('Model Inputs &amp; Assumptions'!$D$40:$D$42,MATCH('Model Inputs &amp; Assumptions'!$L$33,'Model Inputs &amp; Assumptions'!$A$40:$A$42,0))*INDEX('Model Inputs &amp; Assumptions'!$H$40:$H$42,MATCH('Model Inputs &amp; Assumptions'!$L$33,'Model Inputs &amp; Assumptions'!$A$40:$A$42,0))</f>
        <v>423451.880599601</v>
      </c>
      <c r="K2512" s="49" t="n">
        <f aca="false">H2512*INDEX('Model Inputs &amp; Assumptions'!$G$40:$G$42,MATCH('Model Inputs &amp; Assumptions'!$L$33,'Model Inputs &amp; Assumptions'!$A$40:$A$42,0))*INDEX('Model Inputs &amp; Assumptions'!$H$40:$H$42,MATCH('Model Inputs &amp; Assumptions'!$L$33,'Model Inputs &amp; Assumptions'!$A$40:$A$42,0))</f>
        <v>8892.48949259162</v>
      </c>
      <c r="L2512" s="51" t="n">
        <f aca="false">IFERROR(K2512/I2512,0)</f>
        <v>0.355699579703665</v>
      </c>
      <c r="M2512" s="49" t="n">
        <f aca="false">IFERROR(I2512/H2512,0)</f>
        <v>318.808360961444</v>
      </c>
      <c r="N2512" s="52" t="str">
        <f aca="false">'Model Inputs &amp; Assumptions'!$L$33</f>
        <v>PRD-SP01</v>
      </c>
      <c r="P2512" s="53" t="n">
        <v>-0.615281</v>
      </c>
      <c r="Q2512" s="53" t="n">
        <v>0.192967</v>
      </c>
      <c r="R2512" s="53" t="n">
        <v>-1.851477</v>
      </c>
      <c r="S2512" s="53" t="n">
        <v>-0.753409</v>
      </c>
    </row>
    <row r="2513" customFormat="false" ht="15" hidden="false" customHeight="false" outlineLevel="0" collapsed="false">
      <c r="A2513" s="43" t="n">
        <v>10</v>
      </c>
      <c r="B2513" s="44" t="str">
        <f aca="false">'Model Inputs &amp; Assumptions'!$B$33</f>
        <v>Trade Republic — Savings Plan Push</v>
      </c>
      <c r="C2513" s="45" t="n">
        <f aca="false">ROUND(MAX(0,'Model Inputs &amp; Assumptions'!$S$33*EXP('Model Inputs &amp; Assumptions'!$T$33*P2513-'Model Inputs &amp; Assumptions'!$T$33^2/2)),0)</f>
        <v>878411</v>
      </c>
      <c r="D2513" s="46" t="n">
        <f aca="false">MIN(1,'Model Inputs &amp; Assumptions'!$U$33*EXP('Model Inputs &amp; Assumptions'!$V$33*Q2513-'Model Inputs &amp; Assumptions'!$V$33^2/2))</f>
        <v>0</v>
      </c>
      <c r="E2513" s="45" t="n">
        <f aca="false">ROUND(C2513*D2513,0)</f>
        <v>0</v>
      </c>
      <c r="F2513" s="47" t="n">
        <f aca="false">MIN(1,'Model Inputs &amp; Assumptions'!$W$33*EXP('Model Inputs &amp; Assumptions'!$X$33*R2513-'Model Inputs &amp; Assumptions'!$X$33^2/2))</f>
        <v>0.00460096225963348</v>
      </c>
      <c r="G2513" s="45" t="n">
        <f aca="false">ROUND(C2513*F2513,0)</f>
        <v>4042</v>
      </c>
      <c r="H2513" s="48" t="n">
        <f aca="false">MAX(0,(C2513*'Model Inputs &amp; Assumptions'!$N$33+E2513*'Model Inputs &amp; Assumptions'!$O$33+G2513*'Model Inputs &amp; Assumptions'!$P$33)*EXP('Model Inputs &amp; Assumptions'!$Q$33*S2513-'Model Inputs &amp; Assumptions'!$Q$33^2/2))</f>
        <v>167.187738597393</v>
      </c>
      <c r="I2513" s="49" t="n">
        <f aca="false">IF('Model Inputs &amp; Assumptions'!$H$33="Fixed",'Model Inputs &amp; Assumptions'!$I$33*'Model Inputs &amp; Assumptions'!$K$33,IF('Model Inputs &amp; Assumptions'!$H$33="CPM",'Model Inputs &amp; Assumptions'!$I$33*'Model Inputs &amp; Assumptions'!$K$33*C2513/1000,IF('Model Inputs &amp; Assumptions'!$H$33="CPC",'Model Inputs &amp; Assumptions'!$I$33*'Model Inputs &amp; Assumptions'!$K$33*G2513,0)))</f>
        <v>25000</v>
      </c>
      <c r="J2513" s="50" t="n">
        <f aca="false">H2513*INDEX('Model Inputs &amp; Assumptions'!$D$40:$D$42,MATCH('Model Inputs &amp; Assumptions'!$L$33,'Model Inputs &amp; Assumptions'!$A$40:$A$42,0))*INDEX('Model Inputs &amp; Assumptions'!$H$40:$H$42,MATCH('Model Inputs &amp; Assumptions'!$L$33,'Model Inputs &amp; Assumptions'!$A$40:$A$42,0))</f>
        <v>902813.788425922</v>
      </c>
      <c r="K2513" s="49" t="n">
        <f aca="false">H2513*INDEX('Model Inputs &amp; Assumptions'!$G$40:$G$42,MATCH('Model Inputs &amp; Assumptions'!$L$33,'Model Inputs &amp; Assumptions'!$A$40:$A$42,0))*INDEX('Model Inputs &amp; Assumptions'!$H$40:$H$42,MATCH('Model Inputs &amp; Assumptions'!$L$33,'Model Inputs &amp; Assumptions'!$A$40:$A$42,0))</f>
        <v>18959.0895569444</v>
      </c>
      <c r="L2513" s="51" t="n">
        <f aca="false">IFERROR(K2513/I2513,0)</f>
        <v>0.758363582277774</v>
      </c>
      <c r="M2513" s="49" t="n">
        <f aca="false">IFERROR(I2513/H2513,0)</f>
        <v>149.53249687887</v>
      </c>
      <c r="N2513" s="52" t="str">
        <f aca="false">'Model Inputs &amp; Assumptions'!$L$33</f>
        <v>PRD-SP01</v>
      </c>
      <c r="P2513" s="53" t="n">
        <v>-0.889873</v>
      </c>
      <c r="Q2513" s="53" t="n">
        <v>-1.410004</v>
      </c>
      <c r="R2513" s="53" t="n">
        <v>1.061675</v>
      </c>
      <c r="S2513" s="53" t="n">
        <v>-0.877698</v>
      </c>
    </row>
    <row r="2514" customFormat="false" ht="15" hidden="false" customHeight="false" outlineLevel="0" collapsed="false">
      <c r="A2514" s="43" t="n">
        <v>11</v>
      </c>
      <c r="B2514" s="44" t="str">
        <f aca="false">'Model Inputs &amp; Assumptions'!$B$33</f>
        <v>Trade Republic — Savings Plan Push</v>
      </c>
      <c r="C2514" s="45" t="n">
        <f aca="false">ROUND(MAX(0,'Model Inputs &amp; Assumptions'!$S$33*EXP('Model Inputs &amp; Assumptions'!$T$33*P2514-'Model Inputs &amp; Assumptions'!$T$33^2/2)),0)</f>
        <v>678504</v>
      </c>
      <c r="D2514" s="46" t="n">
        <f aca="false">MIN(1,'Model Inputs &amp; Assumptions'!$U$33*EXP('Model Inputs &amp; Assumptions'!$V$33*Q2514-'Model Inputs &amp; Assumptions'!$V$33^2/2))</f>
        <v>0</v>
      </c>
      <c r="E2514" s="45" t="n">
        <f aca="false">ROUND(C2514*D2514,0)</f>
        <v>0</v>
      </c>
      <c r="F2514" s="47" t="n">
        <f aca="false">MIN(1,'Model Inputs &amp; Assumptions'!$W$33*EXP('Model Inputs &amp; Assumptions'!$X$33*R2514-'Model Inputs &amp; Assumptions'!$X$33^2/2))</f>
        <v>0.00293138840306539</v>
      </c>
      <c r="G2514" s="45" t="n">
        <f aca="false">ROUND(C2514*F2514,0)</f>
        <v>1989</v>
      </c>
      <c r="H2514" s="48" t="n">
        <f aca="false">MAX(0,(C2514*'Model Inputs &amp; Assumptions'!$N$33+E2514*'Model Inputs &amp; Assumptions'!$O$33+G2514*'Model Inputs &amp; Assumptions'!$P$33)*EXP('Model Inputs &amp; Assumptions'!$Q$33*S2514-'Model Inputs &amp; Assumptions'!$Q$33^2/2))</f>
        <v>73.1279718276473</v>
      </c>
      <c r="I2514" s="49" t="n">
        <f aca="false">IF('Model Inputs &amp; Assumptions'!$H$33="Fixed",'Model Inputs &amp; Assumptions'!$I$33*'Model Inputs &amp; Assumptions'!$K$33,IF('Model Inputs &amp; Assumptions'!$H$33="CPM",'Model Inputs &amp; Assumptions'!$I$33*'Model Inputs &amp; Assumptions'!$K$33*C2514/1000,IF('Model Inputs &amp; Assumptions'!$H$33="CPC",'Model Inputs &amp; Assumptions'!$I$33*'Model Inputs &amp; Assumptions'!$K$33*G2514,0)))</f>
        <v>25000</v>
      </c>
      <c r="J2514" s="50" t="n">
        <f aca="false">H2514*INDEX('Model Inputs &amp; Assumptions'!$D$40:$D$42,MATCH('Model Inputs &amp; Assumptions'!$L$33,'Model Inputs &amp; Assumptions'!$A$40:$A$42,0))*INDEX('Model Inputs &amp; Assumptions'!$H$40:$H$42,MATCH('Model Inputs &amp; Assumptions'!$L$33,'Model Inputs &amp; Assumptions'!$A$40:$A$42,0))</f>
        <v>394891.047869296</v>
      </c>
      <c r="K2514" s="49" t="n">
        <f aca="false">H2514*INDEX('Model Inputs &amp; Assumptions'!$G$40:$G$42,MATCH('Model Inputs &amp; Assumptions'!$L$33,'Model Inputs &amp; Assumptions'!$A$40:$A$42,0))*INDEX('Model Inputs &amp; Assumptions'!$H$40:$H$42,MATCH('Model Inputs &amp; Assumptions'!$L$33,'Model Inputs &amp; Assumptions'!$A$40:$A$42,0))</f>
        <v>8292.71200525521</v>
      </c>
      <c r="L2514" s="51" t="n">
        <f aca="false">IFERROR(K2514/I2514,0)</f>
        <v>0.331708480210208</v>
      </c>
      <c r="M2514" s="49" t="n">
        <f aca="false">IFERROR(I2514/H2514,0)</f>
        <v>341.866448298629</v>
      </c>
      <c r="N2514" s="52" t="str">
        <f aca="false">'Model Inputs &amp; Assumptions'!$L$33</f>
        <v>PRD-SP01</v>
      </c>
      <c r="P2514" s="53" t="n">
        <v>-1.75062</v>
      </c>
      <c r="Q2514" s="53" t="n">
        <v>2.762699</v>
      </c>
      <c r="R2514" s="53" t="n">
        <v>-0.440956</v>
      </c>
      <c r="S2514" s="53" t="n">
        <v>-1.298408</v>
      </c>
    </row>
    <row r="2515" customFormat="false" ht="15" hidden="false" customHeight="false" outlineLevel="0" collapsed="false">
      <c r="A2515" s="43" t="n">
        <v>12</v>
      </c>
      <c r="B2515" s="44" t="str">
        <f aca="false">'Model Inputs &amp; Assumptions'!$B$33</f>
        <v>Trade Republic — Savings Plan Push</v>
      </c>
      <c r="C2515" s="45" t="n">
        <f aca="false">ROUND(MAX(0,'Model Inputs &amp; Assumptions'!$S$33*EXP('Model Inputs &amp; Assumptions'!$T$33*P2515-'Model Inputs &amp; Assumptions'!$T$33^2/2)),0)</f>
        <v>978906</v>
      </c>
      <c r="D2515" s="46" t="n">
        <f aca="false">MIN(1,'Model Inputs &amp; Assumptions'!$U$33*EXP('Model Inputs &amp; Assumptions'!$V$33*Q2515-'Model Inputs &amp; Assumptions'!$V$33^2/2))</f>
        <v>0</v>
      </c>
      <c r="E2515" s="45" t="n">
        <f aca="false">ROUND(C2515*D2515,0)</f>
        <v>0</v>
      </c>
      <c r="F2515" s="47" t="n">
        <f aca="false">MIN(1,'Model Inputs &amp; Assumptions'!$W$33*EXP('Model Inputs &amp; Assumptions'!$X$33*R2515-'Model Inputs &amp; Assumptions'!$X$33^2/2))</f>
        <v>0.00348780350015605</v>
      </c>
      <c r="G2515" s="45" t="n">
        <f aca="false">ROUND(C2515*F2515,0)</f>
        <v>3414</v>
      </c>
      <c r="H2515" s="48" t="n">
        <f aca="false">MAX(0,(C2515*'Model Inputs &amp; Assumptions'!$N$33+E2515*'Model Inputs &amp; Assumptions'!$O$33+G2515*'Model Inputs &amp; Assumptions'!$P$33)*EXP('Model Inputs &amp; Assumptions'!$Q$33*S2515-'Model Inputs &amp; Assumptions'!$Q$33^2/2))</f>
        <v>184.156166681568</v>
      </c>
      <c r="I2515" s="49" t="n">
        <f aca="false">IF('Model Inputs &amp; Assumptions'!$H$33="Fixed",'Model Inputs &amp; Assumptions'!$I$33*'Model Inputs &amp; Assumptions'!$K$33,IF('Model Inputs &amp; Assumptions'!$H$33="CPM",'Model Inputs &amp; Assumptions'!$I$33*'Model Inputs &amp; Assumptions'!$K$33*C2515/1000,IF('Model Inputs &amp; Assumptions'!$H$33="CPC",'Model Inputs &amp; Assumptions'!$I$33*'Model Inputs &amp; Assumptions'!$K$33*G2515,0)))</f>
        <v>25000</v>
      </c>
      <c r="J2515" s="50" t="n">
        <f aca="false">H2515*INDEX('Model Inputs &amp; Assumptions'!$D$40:$D$42,MATCH('Model Inputs &amp; Assumptions'!$L$33,'Model Inputs &amp; Assumptions'!$A$40:$A$42,0))*INDEX('Model Inputs &amp; Assumptions'!$H$40:$H$42,MATCH('Model Inputs &amp; Assumptions'!$L$33,'Model Inputs &amp; Assumptions'!$A$40:$A$42,0))</f>
        <v>994443.300080468</v>
      </c>
      <c r="K2515" s="49" t="n">
        <f aca="false">H2515*INDEX('Model Inputs &amp; Assumptions'!$G$40:$G$42,MATCH('Model Inputs &amp; Assumptions'!$L$33,'Model Inputs &amp; Assumptions'!$A$40:$A$42,0))*INDEX('Model Inputs &amp; Assumptions'!$H$40:$H$42,MATCH('Model Inputs &amp; Assumptions'!$L$33,'Model Inputs &amp; Assumptions'!$A$40:$A$42,0))</f>
        <v>20883.3093016898</v>
      </c>
      <c r="L2515" s="51" t="n">
        <f aca="false">IFERROR(K2515/I2515,0)</f>
        <v>0.835332372067593</v>
      </c>
      <c r="M2515" s="49" t="n">
        <f aca="false">IFERROR(I2515/H2515,0)</f>
        <v>135.754346164408</v>
      </c>
      <c r="N2515" s="52" t="str">
        <f aca="false">'Model Inputs &amp; Assumptions'!$L$33</f>
        <v>PRD-SP01</v>
      </c>
      <c r="P2515" s="53" t="n">
        <v>-0.528804</v>
      </c>
      <c r="Q2515" s="53" t="n">
        <v>-1.46138</v>
      </c>
      <c r="R2515" s="53" t="n">
        <v>0.138364</v>
      </c>
      <c r="S2515" s="53" t="n">
        <v>0.070594</v>
      </c>
    </row>
    <row r="2516" customFormat="false" ht="15" hidden="false" customHeight="false" outlineLevel="0" collapsed="false">
      <c r="A2516" s="43" t="n">
        <v>13</v>
      </c>
      <c r="B2516" s="44" t="str">
        <f aca="false">'Model Inputs &amp; Assumptions'!$B$33</f>
        <v>Trade Republic — Savings Plan Push</v>
      </c>
      <c r="C2516" s="45" t="n">
        <f aca="false">ROUND(MAX(0,'Model Inputs &amp; Assumptions'!$S$33*EXP('Model Inputs &amp; Assumptions'!$T$33*P2516-'Model Inputs &amp; Assumptions'!$T$33^2/2)),0)</f>
        <v>1568715</v>
      </c>
      <c r="D2516" s="46" t="n">
        <f aca="false">MIN(1,'Model Inputs &amp; Assumptions'!$U$33*EXP('Model Inputs &amp; Assumptions'!$V$33*Q2516-'Model Inputs &amp; Assumptions'!$V$33^2/2))</f>
        <v>0</v>
      </c>
      <c r="E2516" s="45" t="n">
        <f aca="false">ROUND(C2516*D2516,0)</f>
        <v>0</v>
      </c>
      <c r="F2516" s="47" t="n">
        <f aca="false">MIN(1,'Model Inputs &amp; Assumptions'!$W$33*EXP('Model Inputs &amp; Assumptions'!$X$33*R2516-'Model Inputs &amp; Assumptions'!$X$33^2/2))</f>
        <v>0.00142002441978269</v>
      </c>
      <c r="G2516" s="45" t="n">
        <f aca="false">ROUND(C2516*F2516,0)</f>
        <v>2228</v>
      </c>
      <c r="H2516" s="48" t="n">
        <f aca="false">MAX(0,(C2516*'Model Inputs &amp; Assumptions'!$N$33+E2516*'Model Inputs &amp; Assumptions'!$O$33+G2516*'Model Inputs &amp; Assumptions'!$P$33)*EXP('Model Inputs &amp; Assumptions'!$Q$33*S2516-'Model Inputs &amp; Assumptions'!$Q$33^2/2))</f>
        <v>100.68164079839</v>
      </c>
      <c r="I2516" s="49" t="n">
        <f aca="false">IF('Model Inputs &amp; Assumptions'!$H$33="Fixed",'Model Inputs &amp; Assumptions'!$I$33*'Model Inputs &amp; Assumptions'!$K$33,IF('Model Inputs &amp; Assumptions'!$H$33="CPM",'Model Inputs &amp; Assumptions'!$I$33*'Model Inputs &amp; Assumptions'!$K$33*C2516/1000,IF('Model Inputs &amp; Assumptions'!$H$33="CPC",'Model Inputs &amp; Assumptions'!$I$33*'Model Inputs &amp; Assumptions'!$K$33*G2516,0)))</f>
        <v>25000</v>
      </c>
      <c r="J2516" s="50" t="n">
        <f aca="false">H2516*INDEX('Model Inputs &amp; Assumptions'!$D$40:$D$42,MATCH('Model Inputs &amp; Assumptions'!$L$33,'Model Inputs &amp; Assumptions'!$A$40:$A$42,0))*INDEX('Model Inputs &amp; Assumptions'!$H$40:$H$42,MATCH('Model Inputs &amp; Assumptions'!$L$33,'Model Inputs &amp; Assumptions'!$A$40:$A$42,0))</f>
        <v>543680.860311306</v>
      </c>
      <c r="K2516" s="49" t="n">
        <f aca="false">H2516*INDEX('Model Inputs &amp; Assumptions'!$G$40:$G$42,MATCH('Model Inputs &amp; Assumptions'!$L$33,'Model Inputs &amp; Assumptions'!$A$40:$A$42,0))*INDEX('Model Inputs &amp; Assumptions'!$H$40:$H$42,MATCH('Model Inputs &amp; Assumptions'!$L$33,'Model Inputs &amp; Assumptions'!$A$40:$A$42,0))</f>
        <v>11417.2980665374</v>
      </c>
      <c r="L2516" s="51" t="n">
        <f aca="false">IFERROR(K2516/I2516,0)</f>
        <v>0.456691922661497</v>
      </c>
      <c r="M2516" s="49" t="n">
        <f aca="false">IFERROR(I2516/H2516,0)</f>
        <v>248.307435216131</v>
      </c>
      <c r="N2516" s="52" t="str">
        <f aca="false">'Model Inputs &amp; Assumptions'!$L$33</f>
        <v>PRD-SP01</v>
      </c>
      <c r="P2516" s="53" t="n">
        <v>1.043118</v>
      </c>
      <c r="Q2516" s="53" t="n">
        <v>1.048756</v>
      </c>
      <c r="R2516" s="53" t="n">
        <v>-2.856963</v>
      </c>
      <c r="S2516" s="53" t="n">
        <v>-0.561693</v>
      </c>
    </row>
    <row r="2517" customFormat="false" ht="15" hidden="false" customHeight="false" outlineLevel="0" collapsed="false">
      <c r="A2517" s="43" t="n">
        <v>14</v>
      </c>
      <c r="B2517" s="44" t="str">
        <f aca="false">'Model Inputs &amp; Assumptions'!$B$33</f>
        <v>Trade Republic — Savings Plan Push</v>
      </c>
      <c r="C2517" s="45" t="n">
        <f aca="false">ROUND(MAX(0,'Model Inputs &amp; Assumptions'!$S$33*EXP('Model Inputs &amp; Assumptions'!$T$33*P2517-'Model Inputs &amp; Assumptions'!$T$33^2/2)),0)</f>
        <v>800997</v>
      </c>
      <c r="D2517" s="46" t="n">
        <f aca="false">MIN(1,'Model Inputs &amp; Assumptions'!$U$33*EXP('Model Inputs &amp; Assumptions'!$V$33*Q2517-'Model Inputs &amp; Assumptions'!$V$33^2/2))</f>
        <v>0</v>
      </c>
      <c r="E2517" s="45" t="n">
        <f aca="false">ROUND(C2517*D2517,0)</f>
        <v>0</v>
      </c>
      <c r="F2517" s="47" t="n">
        <f aca="false">MIN(1,'Model Inputs &amp; Assumptions'!$W$33*EXP('Model Inputs &amp; Assumptions'!$X$33*R2517-'Model Inputs &amp; Assumptions'!$X$33^2/2))</f>
        <v>0.00273930371226654</v>
      </c>
      <c r="G2517" s="45" t="n">
        <f aca="false">ROUND(C2517*F2517,0)</f>
        <v>2194</v>
      </c>
      <c r="H2517" s="48" t="n">
        <f aca="false">MAX(0,(C2517*'Model Inputs &amp; Assumptions'!$N$33+E2517*'Model Inputs &amp; Assumptions'!$O$33+G2517*'Model Inputs &amp; Assumptions'!$P$33)*EXP('Model Inputs &amp; Assumptions'!$Q$33*S2517-'Model Inputs &amp; Assumptions'!$Q$33^2/2))</f>
        <v>112.434459211068</v>
      </c>
      <c r="I2517" s="49" t="n">
        <f aca="false">IF('Model Inputs &amp; Assumptions'!$H$33="Fixed",'Model Inputs &amp; Assumptions'!$I$33*'Model Inputs &amp; Assumptions'!$K$33,IF('Model Inputs &amp; Assumptions'!$H$33="CPM",'Model Inputs &amp; Assumptions'!$I$33*'Model Inputs &amp; Assumptions'!$K$33*C2517/1000,IF('Model Inputs &amp; Assumptions'!$H$33="CPC",'Model Inputs &amp; Assumptions'!$I$33*'Model Inputs &amp; Assumptions'!$K$33*G2517,0)))</f>
        <v>25000</v>
      </c>
      <c r="J2517" s="50" t="n">
        <f aca="false">H2517*INDEX('Model Inputs &amp; Assumptions'!$D$40:$D$42,MATCH('Model Inputs &amp; Assumptions'!$L$33,'Model Inputs &amp; Assumptions'!$A$40:$A$42,0))*INDEX('Model Inputs &amp; Assumptions'!$H$40:$H$42,MATCH('Model Inputs &amp; Assumptions'!$L$33,'Model Inputs &amp; Assumptions'!$A$40:$A$42,0))</f>
        <v>607146.079739767</v>
      </c>
      <c r="K2517" s="49" t="n">
        <f aca="false">H2517*INDEX('Model Inputs &amp; Assumptions'!$G$40:$G$42,MATCH('Model Inputs &amp; Assumptions'!$L$33,'Model Inputs &amp; Assumptions'!$A$40:$A$42,0))*INDEX('Model Inputs &amp; Assumptions'!$H$40:$H$42,MATCH('Model Inputs &amp; Assumptions'!$L$33,'Model Inputs &amp; Assumptions'!$A$40:$A$42,0))</f>
        <v>12750.0676745351</v>
      </c>
      <c r="L2517" s="51" t="n">
        <f aca="false">IFERROR(K2517/I2517,0)</f>
        <v>0.510002706981404</v>
      </c>
      <c r="M2517" s="49" t="n">
        <f aca="false">IFERROR(I2517/H2517,0)</f>
        <v>222.351760976309</v>
      </c>
      <c r="N2517" s="52" t="str">
        <f aca="false">'Model Inputs &amp; Assumptions'!$L$33</f>
        <v>PRD-SP01</v>
      </c>
      <c r="P2517" s="53" t="n">
        <v>-1.197398</v>
      </c>
      <c r="Q2517" s="53" t="n">
        <v>-0.578561</v>
      </c>
      <c r="R2517" s="53" t="n">
        <v>-0.666864</v>
      </c>
      <c r="S2517" s="53" t="n">
        <v>-0.112461</v>
      </c>
    </row>
    <row r="2518" customFormat="false" ht="15" hidden="false" customHeight="false" outlineLevel="0" collapsed="false">
      <c r="A2518" s="43" t="n">
        <v>15</v>
      </c>
      <c r="B2518" s="44" t="str">
        <f aca="false">'Model Inputs &amp; Assumptions'!$B$33</f>
        <v>Trade Republic — Savings Plan Push</v>
      </c>
      <c r="C2518" s="45" t="n">
        <f aca="false">ROUND(MAX(0,'Model Inputs &amp; Assumptions'!$S$33*EXP('Model Inputs &amp; Assumptions'!$T$33*P2518-'Model Inputs &amp; Assumptions'!$T$33^2/2)),0)</f>
        <v>1412005</v>
      </c>
      <c r="D2518" s="46" t="n">
        <f aca="false">MIN(1,'Model Inputs &amp; Assumptions'!$U$33*EXP('Model Inputs &amp; Assumptions'!$V$33*Q2518-'Model Inputs &amp; Assumptions'!$V$33^2/2))</f>
        <v>0</v>
      </c>
      <c r="E2518" s="45" t="n">
        <f aca="false">ROUND(C2518*D2518,0)</f>
        <v>0</v>
      </c>
      <c r="F2518" s="47" t="n">
        <f aca="false">MIN(1,'Model Inputs &amp; Assumptions'!$W$33*EXP('Model Inputs &amp; Assumptions'!$X$33*R2518-'Model Inputs &amp; Assumptions'!$X$33^2/2))</f>
        <v>0.0035238264839971</v>
      </c>
      <c r="G2518" s="45" t="n">
        <f aca="false">ROUND(C2518*F2518,0)</f>
        <v>4976</v>
      </c>
      <c r="H2518" s="48" t="n">
        <f aca="false">MAX(0,(C2518*'Model Inputs &amp; Assumptions'!$N$33+E2518*'Model Inputs &amp; Assumptions'!$O$33+G2518*'Model Inputs &amp; Assumptions'!$P$33)*EXP('Model Inputs &amp; Assumptions'!$Q$33*S2518-'Model Inputs &amp; Assumptions'!$Q$33^2/2))</f>
        <v>382.212333358497</v>
      </c>
      <c r="I2518" s="49" t="n">
        <f aca="false">IF('Model Inputs &amp; Assumptions'!$H$33="Fixed",'Model Inputs &amp; Assumptions'!$I$33*'Model Inputs &amp; Assumptions'!$K$33,IF('Model Inputs &amp; Assumptions'!$H$33="CPM",'Model Inputs &amp; Assumptions'!$I$33*'Model Inputs &amp; Assumptions'!$K$33*C2518/1000,IF('Model Inputs &amp; Assumptions'!$H$33="CPC",'Model Inputs &amp; Assumptions'!$I$33*'Model Inputs &amp; Assumptions'!$K$33*G2518,0)))</f>
        <v>25000</v>
      </c>
      <c r="J2518" s="50" t="n">
        <f aca="false">H2518*INDEX('Model Inputs &amp; Assumptions'!$D$40:$D$42,MATCH('Model Inputs &amp; Assumptions'!$L$33,'Model Inputs &amp; Assumptions'!$A$40:$A$42,0))*INDEX('Model Inputs &amp; Assumptions'!$H$40:$H$42,MATCH('Model Inputs &amp; Assumptions'!$L$33,'Model Inputs &amp; Assumptions'!$A$40:$A$42,0))</f>
        <v>2063946.60013588</v>
      </c>
      <c r="K2518" s="49" t="n">
        <f aca="false">H2518*INDEX('Model Inputs &amp; Assumptions'!$G$40:$G$42,MATCH('Model Inputs &amp; Assumptions'!$L$33,'Model Inputs &amp; Assumptions'!$A$40:$A$42,0))*INDEX('Model Inputs &amp; Assumptions'!$H$40:$H$42,MATCH('Model Inputs &amp; Assumptions'!$L$33,'Model Inputs &amp; Assumptions'!$A$40:$A$42,0))</f>
        <v>43342.8786028535</v>
      </c>
      <c r="L2518" s="51" t="n">
        <f aca="false">IFERROR(K2518/I2518,0)</f>
        <v>1.73371514411414</v>
      </c>
      <c r="M2518" s="49" t="n">
        <f aca="false">IFERROR(I2518/H2518,0)</f>
        <v>65.4086689990488</v>
      </c>
      <c r="N2518" s="52" t="str">
        <f aca="false">'Model Inputs &amp; Assumptions'!$L$33</f>
        <v>PRD-SP01</v>
      </c>
      <c r="P2518" s="53" t="n">
        <v>0.692298</v>
      </c>
      <c r="Q2518" s="53" t="n">
        <v>0.924988</v>
      </c>
      <c r="R2518" s="53" t="n">
        <v>0.172615</v>
      </c>
      <c r="S2518" s="53" t="n">
        <v>1.332917</v>
      </c>
    </row>
    <row r="2519" customFormat="false" ht="15" hidden="false" customHeight="false" outlineLevel="0" collapsed="false">
      <c r="A2519" s="43" t="n">
        <v>16</v>
      </c>
      <c r="B2519" s="44" t="str">
        <f aca="false">'Model Inputs &amp; Assumptions'!$B$33</f>
        <v>Trade Republic — Savings Plan Push</v>
      </c>
      <c r="C2519" s="45" t="n">
        <f aca="false">ROUND(MAX(0,'Model Inputs &amp; Assumptions'!$S$33*EXP('Model Inputs &amp; Assumptions'!$T$33*P2519-'Model Inputs &amp; Assumptions'!$T$33^2/2)),0)</f>
        <v>1372982</v>
      </c>
      <c r="D2519" s="46" t="n">
        <f aca="false">MIN(1,'Model Inputs &amp; Assumptions'!$U$33*EXP('Model Inputs &amp; Assumptions'!$V$33*Q2519-'Model Inputs &amp; Assumptions'!$V$33^2/2))</f>
        <v>0</v>
      </c>
      <c r="E2519" s="45" t="n">
        <f aca="false">ROUND(C2519*D2519,0)</f>
        <v>0</v>
      </c>
      <c r="F2519" s="47" t="n">
        <f aca="false">MIN(1,'Model Inputs &amp; Assumptions'!$W$33*EXP('Model Inputs &amp; Assumptions'!$X$33*R2519-'Model Inputs &amp; Assumptions'!$X$33^2/2))</f>
        <v>0.00335584388214355</v>
      </c>
      <c r="G2519" s="45" t="n">
        <f aca="false">ROUND(C2519*F2519,0)</f>
        <v>4608</v>
      </c>
      <c r="H2519" s="48" t="n">
        <f aca="false">MAX(0,(C2519*'Model Inputs &amp; Assumptions'!$N$33+E2519*'Model Inputs &amp; Assumptions'!$O$33+G2519*'Model Inputs &amp; Assumptions'!$P$33)*EXP('Model Inputs &amp; Assumptions'!$Q$33*S2519-'Model Inputs &amp; Assumptions'!$Q$33^2/2))</f>
        <v>188.215297795259</v>
      </c>
      <c r="I2519" s="49" t="n">
        <f aca="false">IF('Model Inputs &amp; Assumptions'!$H$33="Fixed",'Model Inputs &amp; Assumptions'!$I$33*'Model Inputs &amp; Assumptions'!$K$33,IF('Model Inputs &amp; Assumptions'!$H$33="CPM",'Model Inputs &amp; Assumptions'!$I$33*'Model Inputs &amp; Assumptions'!$K$33*C2519/1000,IF('Model Inputs &amp; Assumptions'!$H$33="CPC",'Model Inputs &amp; Assumptions'!$I$33*'Model Inputs &amp; Assumptions'!$K$33*G2519,0)))</f>
        <v>25000</v>
      </c>
      <c r="J2519" s="50" t="n">
        <f aca="false">H2519*INDEX('Model Inputs &amp; Assumptions'!$D$40:$D$42,MATCH('Model Inputs &amp; Assumptions'!$L$33,'Model Inputs &amp; Assumptions'!$A$40:$A$42,0))*INDEX('Model Inputs &amp; Assumptions'!$H$40:$H$42,MATCH('Model Inputs &amp; Assumptions'!$L$33,'Model Inputs &amp; Assumptions'!$A$40:$A$42,0))</f>
        <v>1016362.6080944</v>
      </c>
      <c r="K2519" s="49" t="n">
        <f aca="false">H2519*INDEX('Model Inputs &amp; Assumptions'!$G$40:$G$42,MATCH('Model Inputs &amp; Assumptions'!$L$33,'Model Inputs &amp; Assumptions'!$A$40:$A$42,0))*INDEX('Model Inputs &amp; Assumptions'!$H$40:$H$42,MATCH('Model Inputs &amp; Assumptions'!$L$33,'Model Inputs &amp; Assumptions'!$A$40:$A$42,0))</f>
        <v>21343.6147699824</v>
      </c>
      <c r="L2519" s="51" t="n">
        <f aca="false">IFERROR(K2519/I2519,0)</f>
        <v>0.853744590799296</v>
      </c>
      <c r="M2519" s="49" t="n">
        <f aca="false">IFERROR(I2519/H2519,0)</f>
        <v>132.826610232262</v>
      </c>
      <c r="N2519" s="52" t="str">
        <f aca="false">'Model Inputs &amp; Assumptions'!$L$33</f>
        <v>PRD-SP01</v>
      </c>
      <c r="P2519" s="53" t="n">
        <v>0.598879</v>
      </c>
      <c r="Q2519" s="53" t="n">
        <v>1.210119</v>
      </c>
      <c r="R2519" s="53" t="n">
        <v>0.009801</v>
      </c>
      <c r="S2519" s="53" t="n">
        <v>-0.922645</v>
      </c>
    </row>
    <row r="2520" customFormat="false" ht="15" hidden="false" customHeight="false" outlineLevel="0" collapsed="false">
      <c r="A2520" s="43" t="n">
        <v>17</v>
      </c>
      <c r="B2520" s="44" t="str">
        <f aca="false">'Model Inputs &amp; Assumptions'!$B$33</f>
        <v>Trade Republic — Savings Plan Push</v>
      </c>
      <c r="C2520" s="45" t="n">
        <f aca="false">ROUND(MAX(0,'Model Inputs &amp; Assumptions'!$S$33*EXP('Model Inputs &amp; Assumptions'!$T$33*P2520-'Model Inputs &amp; Assumptions'!$T$33^2/2)),0)</f>
        <v>1301750</v>
      </c>
      <c r="D2520" s="46" t="n">
        <f aca="false">MIN(1,'Model Inputs &amp; Assumptions'!$U$33*EXP('Model Inputs &amp; Assumptions'!$V$33*Q2520-'Model Inputs &amp; Assumptions'!$V$33^2/2))</f>
        <v>0</v>
      </c>
      <c r="E2520" s="45" t="n">
        <f aca="false">ROUND(C2520*D2520,0)</f>
        <v>0</v>
      </c>
      <c r="F2520" s="47" t="n">
        <f aca="false">MIN(1,'Model Inputs &amp; Assumptions'!$W$33*EXP('Model Inputs &amp; Assumptions'!$X$33*R2520-'Model Inputs &amp; Assumptions'!$X$33^2/2))</f>
        <v>0.0021249215169522</v>
      </c>
      <c r="G2520" s="45" t="n">
        <f aca="false">ROUND(C2520*F2520,0)</f>
        <v>2766</v>
      </c>
      <c r="H2520" s="48" t="n">
        <f aca="false">MAX(0,(C2520*'Model Inputs &amp; Assumptions'!$N$33+E2520*'Model Inputs &amp; Assumptions'!$O$33+G2520*'Model Inputs &amp; Assumptions'!$P$33)*EXP('Model Inputs &amp; Assumptions'!$Q$33*S2520-'Model Inputs &amp; Assumptions'!$Q$33^2/2))</f>
        <v>125.973763423927</v>
      </c>
      <c r="I2520" s="49" t="n">
        <f aca="false">IF('Model Inputs &amp; Assumptions'!$H$33="Fixed",'Model Inputs &amp; Assumptions'!$I$33*'Model Inputs &amp; Assumptions'!$K$33,IF('Model Inputs &amp; Assumptions'!$H$33="CPM",'Model Inputs &amp; Assumptions'!$I$33*'Model Inputs &amp; Assumptions'!$K$33*C2520/1000,IF('Model Inputs &amp; Assumptions'!$H$33="CPC",'Model Inputs &amp; Assumptions'!$I$33*'Model Inputs &amp; Assumptions'!$K$33*G2520,0)))</f>
        <v>25000</v>
      </c>
      <c r="J2520" s="50" t="n">
        <f aca="false">H2520*INDEX('Model Inputs &amp; Assumptions'!$D$40:$D$42,MATCH('Model Inputs &amp; Assumptions'!$L$33,'Model Inputs &amp; Assumptions'!$A$40:$A$42,0))*INDEX('Model Inputs &amp; Assumptions'!$H$40:$H$42,MATCH('Model Inputs &amp; Assumptions'!$L$33,'Model Inputs &amp; Assumptions'!$A$40:$A$42,0))</f>
        <v>680258.322489205</v>
      </c>
      <c r="K2520" s="49" t="n">
        <f aca="false">H2520*INDEX('Model Inputs &amp; Assumptions'!$G$40:$G$42,MATCH('Model Inputs &amp; Assumptions'!$L$33,'Model Inputs &amp; Assumptions'!$A$40:$A$42,0))*INDEX('Model Inputs &amp; Assumptions'!$H$40:$H$42,MATCH('Model Inputs &amp; Assumptions'!$L$33,'Model Inputs &amp; Assumptions'!$A$40:$A$42,0))</f>
        <v>14285.4247722733</v>
      </c>
      <c r="L2520" s="51" t="n">
        <f aca="false">IFERROR(K2520/I2520,0)</f>
        <v>0.571416990890932</v>
      </c>
      <c r="M2520" s="49" t="n">
        <f aca="false">IFERROR(I2520/H2520,0)</f>
        <v>198.454021857472</v>
      </c>
      <c r="N2520" s="52" t="str">
        <f aca="false">'Model Inputs &amp; Assumptions'!$L$33</f>
        <v>PRD-SP01</v>
      </c>
      <c r="P2520" s="53" t="n">
        <v>0.421294</v>
      </c>
      <c r="Q2520" s="53" t="n">
        <v>-0.295872</v>
      </c>
      <c r="R2520" s="53" t="n">
        <v>-1.513427</v>
      </c>
      <c r="S2520" s="53" t="n">
        <v>-0.533792</v>
      </c>
    </row>
    <row r="2521" customFormat="false" ht="15" hidden="false" customHeight="false" outlineLevel="0" collapsed="false">
      <c r="A2521" s="43" t="n">
        <v>18</v>
      </c>
      <c r="B2521" s="44" t="str">
        <f aca="false">'Model Inputs &amp; Assumptions'!$B$33</f>
        <v>Trade Republic — Savings Plan Push</v>
      </c>
      <c r="C2521" s="45" t="n">
        <f aca="false">ROUND(MAX(0,'Model Inputs &amp; Assumptions'!$S$33*EXP('Model Inputs &amp; Assumptions'!$T$33*P2521-'Model Inputs &amp; Assumptions'!$T$33^2/2)),0)</f>
        <v>947107</v>
      </c>
      <c r="D2521" s="46" t="n">
        <f aca="false">MIN(1,'Model Inputs &amp; Assumptions'!$U$33*EXP('Model Inputs &amp; Assumptions'!$V$33*Q2521-'Model Inputs &amp; Assumptions'!$V$33^2/2))</f>
        <v>0</v>
      </c>
      <c r="E2521" s="45" t="n">
        <f aca="false">ROUND(C2521*D2521,0)</f>
        <v>0</v>
      </c>
      <c r="F2521" s="47" t="n">
        <f aca="false">MIN(1,'Model Inputs &amp; Assumptions'!$W$33*EXP('Model Inputs &amp; Assumptions'!$X$33*R2521-'Model Inputs &amp; Assumptions'!$X$33^2/2))</f>
        <v>0.00315877776166535</v>
      </c>
      <c r="G2521" s="45" t="n">
        <f aca="false">ROUND(C2521*F2521,0)</f>
        <v>2992</v>
      </c>
      <c r="H2521" s="48" t="n">
        <f aca="false">MAX(0,(C2521*'Model Inputs &amp; Assumptions'!$N$33+E2521*'Model Inputs &amp; Assumptions'!$O$33+G2521*'Model Inputs &amp; Assumptions'!$P$33)*EXP('Model Inputs &amp; Assumptions'!$Q$33*S2521-'Model Inputs &amp; Assumptions'!$Q$33^2/2))</f>
        <v>185.775048543231</v>
      </c>
      <c r="I2521" s="49" t="n">
        <f aca="false">IF('Model Inputs &amp; Assumptions'!$H$33="Fixed",'Model Inputs &amp; Assumptions'!$I$33*'Model Inputs &amp; Assumptions'!$K$33,IF('Model Inputs &amp; Assumptions'!$H$33="CPM",'Model Inputs &amp; Assumptions'!$I$33*'Model Inputs &amp; Assumptions'!$K$33*C2521/1000,IF('Model Inputs &amp; Assumptions'!$H$33="CPC",'Model Inputs &amp; Assumptions'!$I$33*'Model Inputs &amp; Assumptions'!$K$33*G2521,0)))</f>
        <v>25000</v>
      </c>
      <c r="J2521" s="50" t="n">
        <f aca="false">H2521*INDEX('Model Inputs &amp; Assumptions'!$D$40:$D$42,MATCH('Model Inputs &amp; Assumptions'!$L$33,'Model Inputs &amp; Assumptions'!$A$40:$A$42,0))*INDEX('Model Inputs &amp; Assumptions'!$H$40:$H$42,MATCH('Model Inputs &amp; Assumptions'!$L$33,'Model Inputs &amp; Assumptions'!$A$40:$A$42,0))</f>
        <v>1003185.26213345</v>
      </c>
      <c r="K2521" s="49" t="n">
        <f aca="false">H2521*INDEX('Model Inputs &amp; Assumptions'!$G$40:$G$42,MATCH('Model Inputs &amp; Assumptions'!$L$33,'Model Inputs &amp; Assumptions'!$A$40:$A$42,0))*INDEX('Model Inputs &amp; Assumptions'!$H$40:$H$42,MATCH('Model Inputs &amp; Assumptions'!$L$33,'Model Inputs &amp; Assumptions'!$A$40:$A$42,0))</f>
        <v>21066.8905048024</v>
      </c>
      <c r="L2521" s="51" t="n">
        <f aca="false">IFERROR(K2521/I2521,0)</f>
        <v>0.842675620192096</v>
      </c>
      <c r="M2521" s="49" t="n">
        <f aca="false">IFERROR(I2521/H2521,0)</f>
        <v>134.571354958803</v>
      </c>
      <c r="N2521" s="52" t="str">
        <f aca="false">'Model Inputs &amp; Assumptions'!$L$33</f>
        <v>PRD-SP01</v>
      </c>
      <c r="P2521" s="53" t="n">
        <v>-0.638884</v>
      </c>
      <c r="Q2521" s="53" t="n">
        <v>-1.093103</v>
      </c>
      <c r="R2521" s="53" t="n">
        <v>-0.191926</v>
      </c>
      <c r="S2521" s="53" t="n">
        <v>0.573076</v>
      </c>
    </row>
    <row r="2522" customFormat="false" ht="15" hidden="false" customHeight="false" outlineLevel="0" collapsed="false">
      <c r="A2522" s="43" t="n">
        <v>19</v>
      </c>
      <c r="B2522" s="44" t="str">
        <f aca="false">'Model Inputs &amp; Assumptions'!$B$33</f>
        <v>Trade Republic — Savings Plan Push</v>
      </c>
      <c r="C2522" s="45" t="n">
        <f aca="false">ROUND(MAX(0,'Model Inputs &amp; Assumptions'!$S$33*EXP('Model Inputs &amp; Assumptions'!$T$33*P2522-'Model Inputs &amp; Assumptions'!$T$33^2/2)),0)</f>
        <v>1211142</v>
      </c>
      <c r="D2522" s="46" t="n">
        <f aca="false">MIN(1,'Model Inputs &amp; Assumptions'!$U$33*EXP('Model Inputs &amp; Assumptions'!$V$33*Q2522-'Model Inputs &amp; Assumptions'!$V$33^2/2))</f>
        <v>0</v>
      </c>
      <c r="E2522" s="45" t="n">
        <f aca="false">ROUND(C2522*D2522,0)</f>
        <v>0</v>
      </c>
      <c r="F2522" s="47" t="n">
        <f aca="false">MIN(1,'Model Inputs &amp; Assumptions'!$W$33*EXP('Model Inputs &amp; Assumptions'!$X$33*R2522-'Model Inputs &amp; Assumptions'!$X$33^2/2))</f>
        <v>0.00450811167499203</v>
      </c>
      <c r="G2522" s="45" t="n">
        <f aca="false">ROUND(C2522*F2522,0)</f>
        <v>5460</v>
      </c>
      <c r="H2522" s="48" t="n">
        <f aca="false">MAX(0,(C2522*'Model Inputs &amp; Assumptions'!$N$33+E2522*'Model Inputs &amp; Assumptions'!$O$33+G2522*'Model Inputs &amp; Assumptions'!$P$33)*EXP('Model Inputs &amp; Assumptions'!$Q$33*S2522-'Model Inputs &amp; Assumptions'!$Q$33^2/2))</f>
        <v>212.302064899302</v>
      </c>
      <c r="I2522" s="49" t="n">
        <f aca="false">IF('Model Inputs &amp; Assumptions'!$H$33="Fixed",'Model Inputs &amp; Assumptions'!$I$33*'Model Inputs &amp; Assumptions'!$K$33,IF('Model Inputs &amp; Assumptions'!$H$33="CPM",'Model Inputs &amp; Assumptions'!$I$33*'Model Inputs &amp; Assumptions'!$K$33*C2522/1000,IF('Model Inputs &amp; Assumptions'!$H$33="CPC",'Model Inputs &amp; Assumptions'!$I$33*'Model Inputs &amp; Assumptions'!$K$33*G2522,0)))</f>
        <v>25000</v>
      </c>
      <c r="J2522" s="50" t="n">
        <f aca="false">H2522*INDEX('Model Inputs &amp; Assumptions'!$D$40:$D$42,MATCH('Model Inputs &amp; Assumptions'!$L$33,'Model Inputs &amp; Assumptions'!$A$40:$A$42,0))*INDEX('Model Inputs &amp; Assumptions'!$H$40:$H$42,MATCH('Model Inputs &amp; Assumptions'!$L$33,'Model Inputs &amp; Assumptions'!$A$40:$A$42,0))</f>
        <v>1146431.15045623</v>
      </c>
      <c r="K2522" s="49" t="n">
        <f aca="false">H2522*INDEX('Model Inputs &amp; Assumptions'!$G$40:$G$42,MATCH('Model Inputs &amp; Assumptions'!$L$33,'Model Inputs &amp; Assumptions'!$A$40:$A$42,0))*INDEX('Model Inputs &amp; Assumptions'!$H$40:$H$42,MATCH('Model Inputs &amp; Assumptions'!$L$33,'Model Inputs &amp; Assumptions'!$A$40:$A$42,0))</f>
        <v>24075.0541595808</v>
      </c>
      <c r="L2522" s="51" t="n">
        <f aca="false">IFERROR(K2522/I2522,0)</f>
        <v>0.963002166383232</v>
      </c>
      <c r="M2522" s="49" t="n">
        <f aca="false">IFERROR(I2522/H2522,0)</f>
        <v>117.756744437968</v>
      </c>
      <c r="N2522" s="52" t="str">
        <f aca="false">'Model Inputs &amp; Assumptions'!$L$33</f>
        <v>PRD-SP01</v>
      </c>
      <c r="P2522" s="53" t="n">
        <v>0.180808</v>
      </c>
      <c r="Q2522" s="53" t="n">
        <v>-1.161424</v>
      </c>
      <c r="R2522" s="53" t="n">
        <v>0.993718</v>
      </c>
      <c r="S2522" s="53" t="n">
        <v>-1.098471</v>
      </c>
    </row>
    <row r="2523" customFormat="false" ht="15" hidden="false" customHeight="false" outlineLevel="0" collapsed="false">
      <c r="A2523" s="43" t="n">
        <v>20</v>
      </c>
      <c r="B2523" s="44" t="str">
        <f aca="false">'Model Inputs &amp; Assumptions'!$B$33</f>
        <v>Trade Republic — Savings Plan Push</v>
      </c>
      <c r="C2523" s="45" t="n">
        <f aca="false">ROUND(MAX(0,'Model Inputs &amp; Assumptions'!$S$33*EXP('Model Inputs &amp; Assumptions'!$T$33*P2523-'Model Inputs &amp; Assumptions'!$T$33^2/2)),0)</f>
        <v>1547794</v>
      </c>
      <c r="D2523" s="46" t="n">
        <f aca="false">MIN(1,'Model Inputs &amp; Assumptions'!$U$33*EXP('Model Inputs &amp; Assumptions'!$V$33*Q2523-'Model Inputs &amp; Assumptions'!$V$33^2/2))</f>
        <v>0</v>
      </c>
      <c r="E2523" s="45" t="n">
        <f aca="false">ROUND(C2523*D2523,0)</f>
        <v>0</v>
      </c>
      <c r="F2523" s="47" t="n">
        <f aca="false">MIN(1,'Model Inputs &amp; Assumptions'!$W$33*EXP('Model Inputs &amp; Assumptions'!$X$33*R2523-'Model Inputs &amp; Assumptions'!$X$33^2/2))</f>
        <v>0.00484142485288229</v>
      </c>
      <c r="G2523" s="45" t="n">
        <f aca="false">ROUND(C2523*F2523,0)</f>
        <v>7494</v>
      </c>
      <c r="H2523" s="48" t="n">
        <f aca="false">MAX(0,(C2523*'Model Inputs &amp; Assumptions'!$N$33+E2523*'Model Inputs &amp; Assumptions'!$O$33+G2523*'Model Inputs &amp; Assumptions'!$P$33)*EXP('Model Inputs &amp; Assumptions'!$Q$33*S2523-'Model Inputs &amp; Assumptions'!$Q$33^2/2))</f>
        <v>537.354209786625</v>
      </c>
      <c r="I2523" s="49" t="n">
        <f aca="false">IF('Model Inputs &amp; Assumptions'!$H$33="Fixed",'Model Inputs &amp; Assumptions'!$I$33*'Model Inputs &amp; Assumptions'!$K$33,IF('Model Inputs &amp; Assumptions'!$H$33="CPM",'Model Inputs &amp; Assumptions'!$I$33*'Model Inputs &amp; Assumptions'!$K$33*C2523/1000,IF('Model Inputs &amp; Assumptions'!$H$33="CPC",'Model Inputs &amp; Assumptions'!$I$33*'Model Inputs &amp; Assumptions'!$K$33*G2523,0)))</f>
        <v>25000</v>
      </c>
      <c r="J2523" s="50" t="n">
        <f aca="false">H2523*INDEX('Model Inputs &amp; Assumptions'!$D$40:$D$42,MATCH('Model Inputs &amp; Assumptions'!$L$33,'Model Inputs &amp; Assumptions'!$A$40:$A$42,0))*INDEX('Model Inputs &amp; Assumptions'!$H$40:$H$42,MATCH('Model Inputs &amp; Assumptions'!$L$33,'Model Inputs &amp; Assumptions'!$A$40:$A$42,0))</f>
        <v>2901712.73284778</v>
      </c>
      <c r="K2523" s="49" t="n">
        <f aca="false">H2523*INDEX('Model Inputs &amp; Assumptions'!$G$40:$G$42,MATCH('Model Inputs &amp; Assumptions'!$L$33,'Model Inputs &amp; Assumptions'!$A$40:$A$42,0))*INDEX('Model Inputs &amp; Assumptions'!$H$40:$H$42,MATCH('Model Inputs &amp; Assumptions'!$L$33,'Model Inputs &amp; Assumptions'!$A$40:$A$42,0))</f>
        <v>60935.9673898033</v>
      </c>
      <c r="L2523" s="51" t="n">
        <f aca="false">IFERROR(K2523/I2523,0)</f>
        <v>2.43743869559213</v>
      </c>
      <c r="M2523" s="49" t="n">
        <f aca="false">IFERROR(I2523/H2523,0)</f>
        <v>46.5242470323757</v>
      </c>
      <c r="N2523" s="52" t="str">
        <f aca="false">'Model Inputs &amp; Assumptions'!$L$33</f>
        <v>PRD-SP01</v>
      </c>
      <c r="P2523" s="53" t="n">
        <v>0.998364</v>
      </c>
      <c r="Q2523" s="53" t="n">
        <v>-0.139443</v>
      </c>
      <c r="R2523" s="53" t="n">
        <v>1.231487</v>
      </c>
      <c r="S2523" s="53" t="n">
        <v>1.08722</v>
      </c>
    </row>
    <row r="2524" customFormat="false" ht="15" hidden="false" customHeight="false" outlineLevel="0" collapsed="false">
      <c r="A2524" s="43" t="n">
        <v>21</v>
      </c>
      <c r="B2524" s="44" t="str">
        <f aca="false">'Model Inputs &amp; Assumptions'!$B$33</f>
        <v>Trade Republic — Savings Plan Push</v>
      </c>
      <c r="C2524" s="45" t="n">
        <f aca="false">ROUND(MAX(0,'Model Inputs &amp; Assumptions'!$S$33*EXP('Model Inputs &amp; Assumptions'!$T$33*P2524-'Model Inputs &amp; Assumptions'!$T$33^2/2)),0)</f>
        <v>752686</v>
      </c>
      <c r="D2524" s="46" t="n">
        <f aca="false">MIN(1,'Model Inputs &amp; Assumptions'!$U$33*EXP('Model Inputs &amp; Assumptions'!$V$33*Q2524-'Model Inputs &amp; Assumptions'!$V$33^2/2))</f>
        <v>0</v>
      </c>
      <c r="E2524" s="45" t="n">
        <f aca="false">ROUND(C2524*D2524,0)</f>
        <v>0</v>
      </c>
      <c r="F2524" s="47" t="n">
        <f aca="false">MIN(1,'Model Inputs &amp; Assumptions'!$W$33*EXP('Model Inputs &amp; Assumptions'!$X$33*R2524-'Model Inputs &amp; Assumptions'!$X$33^2/2))</f>
        <v>0.00375230556538446</v>
      </c>
      <c r="G2524" s="45" t="n">
        <f aca="false">ROUND(C2524*F2524,0)</f>
        <v>2824</v>
      </c>
      <c r="H2524" s="48" t="n">
        <f aca="false">MAX(0,(C2524*'Model Inputs &amp; Assumptions'!$N$33+E2524*'Model Inputs &amp; Assumptions'!$O$33+G2524*'Model Inputs &amp; Assumptions'!$P$33)*EXP('Model Inputs &amp; Assumptions'!$Q$33*S2524-'Model Inputs &amp; Assumptions'!$Q$33^2/2))</f>
        <v>201.176208830263</v>
      </c>
      <c r="I2524" s="49" t="n">
        <f aca="false">IF('Model Inputs &amp; Assumptions'!$H$33="Fixed",'Model Inputs &amp; Assumptions'!$I$33*'Model Inputs &amp; Assumptions'!$K$33,IF('Model Inputs &amp; Assumptions'!$H$33="CPM",'Model Inputs &amp; Assumptions'!$I$33*'Model Inputs &amp; Assumptions'!$K$33*C2524/1000,IF('Model Inputs &amp; Assumptions'!$H$33="CPC",'Model Inputs &amp; Assumptions'!$I$33*'Model Inputs &amp; Assumptions'!$K$33*G2524,0)))</f>
        <v>25000</v>
      </c>
      <c r="J2524" s="50" t="n">
        <f aca="false">H2524*INDEX('Model Inputs &amp; Assumptions'!$D$40:$D$42,MATCH('Model Inputs &amp; Assumptions'!$L$33,'Model Inputs &amp; Assumptions'!$A$40:$A$42,0))*INDEX('Model Inputs &amp; Assumptions'!$H$40:$H$42,MATCH('Model Inputs &amp; Assumptions'!$L$33,'Model Inputs &amp; Assumptions'!$A$40:$A$42,0))</f>
        <v>1086351.52768342</v>
      </c>
      <c r="K2524" s="49" t="n">
        <f aca="false">H2524*INDEX('Model Inputs &amp; Assumptions'!$G$40:$G$42,MATCH('Model Inputs &amp; Assumptions'!$L$33,'Model Inputs &amp; Assumptions'!$A$40:$A$42,0))*INDEX('Model Inputs &amp; Assumptions'!$H$40:$H$42,MATCH('Model Inputs &amp; Assumptions'!$L$33,'Model Inputs &amp; Assumptions'!$A$40:$A$42,0))</f>
        <v>22813.3820813518</v>
      </c>
      <c r="L2524" s="51" t="n">
        <f aca="false">IFERROR(K2524/I2524,0)</f>
        <v>0.912535283254071</v>
      </c>
      <c r="M2524" s="49" t="n">
        <f aca="false">IFERROR(I2524/H2524,0)</f>
        <v>124.269167539056</v>
      </c>
      <c r="N2524" s="52" t="str">
        <f aca="false">'Model Inputs &amp; Assumptions'!$L$33</f>
        <v>PRD-SP01</v>
      </c>
      <c r="P2524" s="53" t="n">
        <v>-1.404764</v>
      </c>
      <c r="Q2524" s="53" t="n">
        <v>-0.76059</v>
      </c>
      <c r="R2524" s="53" t="n">
        <v>0.382025</v>
      </c>
      <c r="S2524" s="53" t="n">
        <v>1.063906</v>
      </c>
    </row>
    <row r="2525" customFormat="false" ht="15" hidden="false" customHeight="false" outlineLevel="0" collapsed="false">
      <c r="A2525" s="43" t="n">
        <v>22</v>
      </c>
      <c r="B2525" s="44" t="str">
        <f aca="false">'Model Inputs &amp; Assumptions'!$B$33</f>
        <v>Trade Republic — Savings Plan Push</v>
      </c>
      <c r="C2525" s="45" t="n">
        <f aca="false">ROUND(MAX(0,'Model Inputs &amp; Assumptions'!$S$33*EXP('Model Inputs &amp; Assumptions'!$T$33*P2525-'Model Inputs &amp; Assumptions'!$T$33^2/2)),0)</f>
        <v>1296102</v>
      </c>
      <c r="D2525" s="46" t="n">
        <f aca="false">MIN(1,'Model Inputs &amp; Assumptions'!$U$33*EXP('Model Inputs &amp; Assumptions'!$V$33*Q2525-'Model Inputs &amp; Assumptions'!$V$33^2/2))</f>
        <v>0</v>
      </c>
      <c r="E2525" s="45" t="n">
        <f aca="false">ROUND(C2525*D2525,0)</f>
        <v>0</v>
      </c>
      <c r="F2525" s="47" t="n">
        <f aca="false">MIN(1,'Model Inputs &amp; Assumptions'!$W$33*EXP('Model Inputs &amp; Assumptions'!$X$33*R2525-'Model Inputs &amp; Assumptions'!$X$33^2/2))</f>
        <v>0.00412169863522083</v>
      </c>
      <c r="G2525" s="45" t="n">
        <f aca="false">ROUND(C2525*F2525,0)</f>
        <v>5342</v>
      </c>
      <c r="H2525" s="48" t="n">
        <f aca="false">MAX(0,(C2525*'Model Inputs &amp; Assumptions'!$N$33+E2525*'Model Inputs &amp; Assumptions'!$O$33+G2525*'Model Inputs &amp; Assumptions'!$P$33)*EXP('Model Inputs &amp; Assumptions'!$Q$33*S2525-'Model Inputs &amp; Assumptions'!$Q$33^2/2))</f>
        <v>314.440874457184</v>
      </c>
      <c r="I2525" s="49" t="n">
        <f aca="false">IF('Model Inputs &amp; Assumptions'!$H$33="Fixed",'Model Inputs &amp; Assumptions'!$I$33*'Model Inputs &amp; Assumptions'!$K$33,IF('Model Inputs &amp; Assumptions'!$H$33="CPM",'Model Inputs &amp; Assumptions'!$I$33*'Model Inputs &amp; Assumptions'!$K$33*C2525/1000,IF('Model Inputs &amp; Assumptions'!$H$33="CPC",'Model Inputs &amp; Assumptions'!$I$33*'Model Inputs &amp; Assumptions'!$K$33*G2525,0)))</f>
        <v>25000</v>
      </c>
      <c r="J2525" s="50" t="n">
        <f aca="false">H2525*INDEX('Model Inputs &amp; Assumptions'!$D$40:$D$42,MATCH('Model Inputs &amp; Assumptions'!$L$33,'Model Inputs &amp; Assumptions'!$A$40:$A$42,0))*INDEX('Model Inputs &amp; Assumptions'!$H$40:$H$42,MATCH('Model Inputs &amp; Assumptions'!$L$33,'Model Inputs &amp; Assumptions'!$A$40:$A$42,0))</f>
        <v>1697980.7220688</v>
      </c>
      <c r="K2525" s="49" t="n">
        <f aca="false">H2525*INDEX('Model Inputs &amp; Assumptions'!$G$40:$G$42,MATCH('Model Inputs &amp; Assumptions'!$L$33,'Model Inputs &amp; Assumptions'!$A$40:$A$42,0))*INDEX('Model Inputs &amp; Assumptions'!$H$40:$H$42,MATCH('Model Inputs &amp; Assumptions'!$L$33,'Model Inputs &amp; Assumptions'!$A$40:$A$42,0))</f>
        <v>35657.5951634447</v>
      </c>
      <c r="L2525" s="51" t="n">
        <f aca="false">IFERROR(K2525/I2525,0)</f>
        <v>1.42630380653779</v>
      </c>
      <c r="M2525" s="49" t="n">
        <f aca="false">IFERROR(I2525/H2525,0)</f>
        <v>79.5062030124334</v>
      </c>
      <c r="N2525" s="52" t="str">
        <f aca="false">'Model Inputs &amp; Assumptions'!$L$33</f>
        <v>PRD-SP01</v>
      </c>
      <c r="P2525" s="53" t="n">
        <v>0.4068</v>
      </c>
      <c r="Q2525" s="53" t="n">
        <v>0.159281</v>
      </c>
      <c r="R2525" s="53" t="n">
        <v>0.695008</v>
      </c>
      <c r="S2525" s="53" t="n">
        <v>0.382367</v>
      </c>
    </row>
    <row r="2526" customFormat="false" ht="15" hidden="false" customHeight="false" outlineLevel="0" collapsed="false">
      <c r="A2526" s="43" t="n">
        <v>23</v>
      </c>
      <c r="B2526" s="44" t="str">
        <f aca="false">'Model Inputs &amp; Assumptions'!$B$33</f>
        <v>Trade Republic — Savings Plan Push</v>
      </c>
      <c r="C2526" s="45" t="n">
        <f aca="false">ROUND(MAX(0,'Model Inputs &amp; Assumptions'!$S$33*EXP('Model Inputs &amp; Assumptions'!$T$33*P2526-'Model Inputs &amp; Assumptions'!$T$33^2/2)),0)</f>
        <v>755055</v>
      </c>
      <c r="D2526" s="46" t="n">
        <f aca="false">MIN(1,'Model Inputs &amp; Assumptions'!$U$33*EXP('Model Inputs &amp; Assumptions'!$V$33*Q2526-'Model Inputs &amp; Assumptions'!$V$33^2/2))</f>
        <v>0</v>
      </c>
      <c r="E2526" s="45" t="n">
        <f aca="false">ROUND(C2526*D2526,0)</f>
        <v>0</v>
      </c>
      <c r="F2526" s="47" t="n">
        <f aca="false">MIN(1,'Model Inputs &amp; Assumptions'!$W$33*EXP('Model Inputs &amp; Assumptions'!$X$33*R2526-'Model Inputs &amp; Assumptions'!$X$33^2/2))</f>
        <v>0.00285896270503195</v>
      </c>
      <c r="G2526" s="45" t="n">
        <f aca="false">ROUND(C2526*F2526,0)</f>
        <v>2159</v>
      </c>
      <c r="H2526" s="48" t="n">
        <f aca="false">MAX(0,(C2526*'Model Inputs &amp; Assumptions'!$N$33+E2526*'Model Inputs &amp; Assumptions'!$O$33+G2526*'Model Inputs &amp; Assumptions'!$P$33)*EXP('Model Inputs &amp; Assumptions'!$Q$33*S2526-'Model Inputs &amp; Assumptions'!$Q$33^2/2))</f>
        <v>147.878391473138</v>
      </c>
      <c r="I2526" s="49" t="n">
        <f aca="false">IF('Model Inputs &amp; Assumptions'!$H$33="Fixed",'Model Inputs &amp; Assumptions'!$I$33*'Model Inputs &amp; Assumptions'!$K$33,IF('Model Inputs &amp; Assumptions'!$H$33="CPM",'Model Inputs &amp; Assumptions'!$I$33*'Model Inputs &amp; Assumptions'!$K$33*C2526/1000,IF('Model Inputs &amp; Assumptions'!$H$33="CPC",'Model Inputs &amp; Assumptions'!$I$33*'Model Inputs &amp; Assumptions'!$K$33*G2526,0)))</f>
        <v>25000</v>
      </c>
      <c r="J2526" s="50" t="n">
        <f aca="false">H2526*INDEX('Model Inputs &amp; Assumptions'!$D$40:$D$42,MATCH('Model Inputs &amp; Assumptions'!$L$33,'Model Inputs &amp; Assumptions'!$A$40:$A$42,0))*INDEX('Model Inputs &amp; Assumptions'!$H$40:$H$42,MATCH('Model Inputs &amp; Assumptions'!$L$33,'Model Inputs &amp; Assumptions'!$A$40:$A$42,0))</f>
        <v>798543.313954944</v>
      </c>
      <c r="K2526" s="49" t="n">
        <f aca="false">H2526*INDEX('Model Inputs &amp; Assumptions'!$G$40:$G$42,MATCH('Model Inputs &amp; Assumptions'!$L$33,'Model Inputs &amp; Assumptions'!$A$40:$A$42,0))*INDEX('Model Inputs &amp; Assumptions'!$H$40:$H$42,MATCH('Model Inputs &amp; Assumptions'!$L$33,'Model Inputs &amp; Assumptions'!$A$40:$A$42,0))</f>
        <v>16769.4095930538</v>
      </c>
      <c r="L2526" s="51" t="n">
        <f aca="false">IFERROR(K2526/I2526,0)</f>
        <v>0.670776383722153</v>
      </c>
      <c r="M2526" s="49" t="n">
        <f aca="false">IFERROR(I2526/H2526,0)</f>
        <v>169.057830227625</v>
      </c>
      <c r="N2526" s="52" t="str">
        <f aca="false">'Model Inputs &amp; Assumptions'!$L$33</f>
        <v>PRD-SP01</v>
      </c>
      <c r="P2526" s="53" t="n">
        <v>-1.394286</v>
      </c>
      <c r="Q2526" s="53" t="n">
        <v>1.601911</v>
      </c>
      <c r="R2526" s="53" t="n">
        <v>-0.524347</v>
      </c>
      <c r="S2526" s="53" t="n">
        <v>0.923614</v>
      </c>
    </row>
    <row r="2527" customFormat="false" ht="15" hidden="false" customHeight="false" outlineLevel="0" collapsed="false">
      <c r="A2527" s="43" t="n">
        <v>24</v>
      </c>
      <c r="B2527" s="44" t="str">
        <f aca="false">'Model Inputs &amp; Assumptions'!$B$33</f>
        <v>Trade Republic — Savings Plan Push</v>
      </c>
      <c r="C2527" s="45" t="n">
        <f aca="false">ROUND(MAX(0,'Model Inputs &amp; Assumptions'!$S$33*EXP('Model Inputs &amp; Assumptions'!$T$33*P2527-'Model Inputs &amp; Assumptions'!$T$33^2/2)),0)</f>
        <v>1097643</v>
      </c>
      <c r="D2527" s="46" t="n">
        <f aca="false">MIN(1,'Model Inputs &amp; Assumptions'!$U$33*EXP('Model Inputs &amp; Assumptions'!$V$33*Q2527-'Model Inputs &amp; Assumptions'!$V$33^2/2))</f>
        <v>0</v>
      </c>
      <c r="E2527" s="45" t="n">
        <f aca="false">ROUND(C2527*D2527,0)</f>
        <v>0</v>
      </c>
      <c r="F2527" s="47" t="n">
        <f aca="false">MIN(1,'Model Inputs &amp; Assumptions'!$W$33*EXP('Model Inputs &amp; Assumptions'!$X$33*R2527-'Model Inputs &amp; Assumptions'!$X$33^2/2))</f>
        <v>0.00367860597214135</v>
      </c>
      <c r="G2527" s="45" t="n">
        <f aca="false">ROUND(C2527*F2527,0)</f>
        <v>4038</v>
      </c>
      <c r="H2527" s="48" t="n">
        <f aca="false">MAX(0,(C2527*'Model Inputs &amp; Assumptions'!$N$33+E2527*'Model Inputs &amp; Assumptions'!$O$33+G2527*'Model Inputs &amp; Assumptions'!$P$33)*EXP('Model Inputs &amp; Assumptions'!$Q$33*S2527-'Model Inputs &amp; Assumptions'!$Q$33^2/2))</f>
        <v>203.447727613604</v>
      </c>
      <c r="I2527" s="49" t="n">
        <f aca="false">IF('Model Inputs &amp; Assumptions'!$H$33="Fixed",'Model Inputs &amp; Assumptions'!$I$33*'Model Inputs &amp; Assumptions'!$K$33,IF('Model Inputs &amp; Assumptions'!$H$33="CPM",'Model Inputs &amp; Assumptions'!$I$33*'Model Inputs &amp; Assumptions'!$K$33*C2527/1000,IF('Model Inputs &amp; Assumptions'!$H$33="CPC",'Model Inputs &amp; Assumptions'!$I$33*'Model Inputs &amp; Assumptions'!$K$33*G2527,0)))</f>
        <v>25000</v>
      </c>
      <c r="J2527" s="50" t="n">
        <f aca="false">H2527*INDEX('Model Inputs &amp; Assumptions'!$D$40:$D$42,MATCH('Model Inputs &amp; Assumptions'!$L$33,'Model Inputs &amp; Assumptions'!$A$40:$A$42,0))*INDEX('Model Inputs &amp; Assumptions'!$H$40:$H$42,MATCH('Model Inputs &amp; Assumptions'!$L$33,'Model Inputs &amp; Assumptions'!$A$40:$A$42,0))</f>
        <v>1098617.72911346</v>
      </c>
      <c r="K2527" s="49" t="n">
        <f aca="false">H2527*INDEX('Model Inputs &amp; Assumptions'!$G$40:$G$42,MATCH('Model Inputs &amp; Assumptions'!$L$33,'Model Inputs &amp; Assumptions'!$A$40:$A$42,0))*INDEX('Model Inputs &amp; Assumptions'!$H$40:$H$42,MATCH('Model Inputs &amp; Assumptions'!$L$33,'Model Inputs &amp; Assumptions'!$A$40:$A$42,0))</f>
        <v>23070.9723113827</v>
      </c>
      <c r="L2527" s="51" t="n">
        <f aca="false">IFERROR(K2527/I2527,0)</f>
        <v>0.922838892455309</v>
      </c>
      <c r="M2527" s="49" t="n">
        <f aca="false">IFERROR(I2527/H2527,0)</f>
        <v>122.881687071388</v>
      </c>
      <c r="N2527" s="52" t="str">
        <f aca="false">'Model Inputs &amp; Assumptions'!$L$33</f>
        <v>PRD-SP01</v>
      </c>
      <c r="P2527" s="53" t="n">
        <v>-0.147189</v>
      </c>
      <c r="Q2527" s="53" t="n">
        <v>-1.272525</v>
      </c>
      <c r="R2527" s="53" t="n">
        <v>0.315903</v>
      </c>
      <c r="S2527" s="53" t="n">
        <v>-0.17312</v>
      </c>
    </row>
    <row r="2528" customFormat="false" ht="15" hidden="false" customHeight="false" outlineLevel="0" collapsed="false">
      <c r="A2528" s="43" t="n">
        <v>25</v>
      </c>
      <c r="B2528" s="44" t="str">
        <f aca="false">'Model Inputs &amp; Assumptions'!$B$33</f>
        <v>Trade Republic — Savings Plan Push</v>
      </c>
      <c r="C2528" s="45" t="n">
        <f aca="false">ROUND(MAX(0,'Model Inputs &amp; Assumptions'!$S$33*EXP('Model Inputs &amp; Assumptions'!$T$33*P2528-'Model Inputs &amp; Assumptions'!$T$33^2/2)),0)</f>
        <v>1059130</v>
      </c>
      <c r="D2528" s="46" t="n">
        <f aca="false">MIN(1,'Model Inputs &amp; Assumptions'!$U$33*EXP('Model Inputs &amp; Assumptions'!$V$33*Q2528-'Model Inputs &amp; Assumptions'!$V$33^2/2))</f>
        <v>0</v>
      </c>
      <c r="E2528" s="45" t="n">
        <f aca="false">ROUND(C2528*D2528,0)</f>
        <v>0</v>
      </c>
      <c r="F2528" s="47" t="n">
        <f aca="false">MIN(1,'Model Inputs &amp; Assumptions'!$W$33*EXP('Model Inputs &amp; Assumptions'!$X$33*R2528-'Model Inputs &amp; Assumptions'!$X$33^2/2))</f>
        <v>0.00384811365502089</v>
      </c>
      <c r="G2528" s="45" t="n">
        <f aca="false">ROUND(C2528*F2528,0)</f>
        <v>4076</v>
      </c>
      <c r="H2528" s="48" t="n">
        <f aca="false">MAX(0,(C2528*'Model Inputs &amp; Assumptions'!$N$33+E2528*'Model Inputs &amp; Assumptions'!$O$33+G2528*'Model Inputs &amp; Assumptions'!$P$33)*EXP('Model Inputs &amp; Assumptions'!$Q$33*S2528-'Model Inputs &amp; Assumptions'!$Q$33^2/2))</f>
        <v>324.304646370084</v>
      </c>
      <c r="I2528" s="49" t="n">
        <f aca="false">IF('Model Inputs &amp; Assumptions'!$H$33="Fixed",'Model Inputs &amp; Assumptions'!$I$33*'Model Inputs &amp; Assumptions'!$K$33,IF('Model Inputs &amp; Assumptions'!$H$33="CPM",'Model Inputs &amp; Assumptions'!$I$33*'Model Inputs &amp; Assumptions'!$K$33*C2528/1000,IF('Model Inputs &amp; Assumptions'!$H$33="CPC",'Model Inputs &amp; Assumptions'!$I$33*'Model Inputs &amp; Assumptions'!$K$33*G2528,0)))</f>
        <v>25000</v>
      </c>
      <c r="J2528" s="50" t="n">
        <f aca="false">H2528*INDEX('Model Inputs &amp; Assumptions'!$D$40:$D$42,MATCH('Model Inputs &amp; Assumptions'!$L$33,'Model Inputs &amp; Assumptions'!$A$40:$A$42,0))*INDEX('Model Inputs &amp; Assumptions'!$H$40:$H$42,MATCH('Model Inputs &amp; Assumptions'!$L$33,'Model Inputs &amp; Assumptions'!$A$40:$A$42,0))</f>
        <v>1751245.09039845</v>
      </c>
      <c r="K2528" s="49" t="n">
        <f aca="false">H2528*INDEX('Model Inputs &amp; Assumptions'!$G$40:$G$42,MATCH('Model Inputs &amp; Assumptions'!$L$33,'Model Inputs &amp; Assumptions'!$A$40:$A$42,0))*INDEX('Model Inputs &amp; Assumptions'!$H$40:$H$42,MATCH('Model Inputs &amp; Assumptions'!$L$33,'Model Inputs &amp; Assumptions'!$A$40:$A$42,0))</f>
        <v>36776.1468983675</v>
      </c>
      <c r="L2528" s="51" t="n">
        <f aca="false">IFERROR(K2528/I2528,0)</f>
        <v>1.4710458759347</v>
      </c>
      <c r="M2528" s="49" t="n">
        <f aca="false">IFERROR(I2528/H2528,0)</f>
        <v>77.0880105475607</v>
      </c>
      <c r="N2528" s="52" t="str">
        <f aca="false">'Model Inputs &amp; Assumptions'!$L$33</f>
        <v>PRD-SP01</v>
      </c>
      <c r="P2528" s="53" t="n">
        <v>-0.266246</v>
      </c>
      <c r="Q2528" s="53" t="n">
        <v>-0.088594</v>
      </c>
      <c r="R2528" s="53" t="n">
        <v>0.466067</v>
      </c>
      <c r="S2528" s="53" t="n">
        <v>1.458693</v>
      </c>
    </row>
    <row r="2529" customFormat="false" ht="15" hidden="false" customHeight="false" outlineLevel="0" collapsed="false">
      <c r="A2529" s="43" t="n">
        <v>26</v>
      </c>
      <c r="B2529" s="44" t="str">
        <f aca="false">'Model Inputs &amp; Assumptions'!$B$33</f>
        <v>Trade Republic — Savings Plan Push</v>
      </c>
      <c r="C2529" s="45" t="n">
        <f aca="false">ROUND(MAX(0,'Model Inputs &amp; Assumptions'!$S$33*EXP('Model Inputs &amp; Assumptions'!$T$33*P2529-'Model Inputs &amp; Assumptions'!$T$33^2/2)),0)</f>
        <v>968881</v>
      </c>
      <c r="D2529" s="46" t="n">
        <f aca="false">MIN(1,'Model Inputs &amp; Assumptions'!$U$33*EXP('Model Inputs &amp; Assumptions'!$V$33*Q2529-'Model Inputs &amp; Assumptions'!$V$33^2/2))</f>
        <v>0</v>
      </c>
      <c r="E2529" s="45" t="n">
        <f aca="false">ROUND(C2529*D2529,0)</f>
        <v>0</v>
      </c>
      <c r="F2529" s="47" t="n">
        <f aca="false">MIN(1,'Model Inputs &amp; Assumptions'!$W$33*EXP('Model Inputs &amp; Assumptions'!$X$33*R2529-'Model Inputs &amp; Assumptions'!$X$33^2/2))</f>
        <v>0.00351760327000084</v>
      </c>
      <c r="G2529" s="45" t="n">
        <f aca="false">ROUND(C2529*F2529,0)</f>
        <v>3408</v>
      </c>
      <c r="H2529" s="48" t="n">
        <f aca="false">MAX(0,(C2529*'Model Inputs &amp; Assumptions'!$N$33+E2529*'Model Inputs &amp; Assumptions'!$O$33+G2529*'Model Inputs &amp; Assumptions'!$P$33)*EXP('Model Inputs &amp; Assumptions'!$Q$33*S2529-'Model Inputs &amp; Assumptions'!$Q$33^2/2))</f>
        <v>233.583896929194</v>
      </c>
      <c r="I2529" s="49" t="n">
        <f aca="false">IF('Model Inputs &amp; Assumptions'!$H$33="Fixed",'Model Inputs &amp; Assumptions'!$I$33*'Model Inputs &amp; Assumptions'!$K$33,IF('Model Inputs &amp; Assumptions'!$H$33="CPM",'Model Inputs &amp; Assumptions'!$I$33*'Model Inputs &amp; Assumptions'!$K$33*C2529/1000,IF('Model Inputs &amp; Assumptions'!$H$33="CPC",'Model Inputs &amp; Assumptions'!$I$33*'Model Inputs &amp; Assumptions'!$K$33*G2529,0)))</f>
        <v>25000</v>
      </c>
      <c r="J2529" s="50" t="n">
        <f aca="false">H2529*INDEX('Model Inputs &amp; Assumptions'!$D$40:$D$42,MATCH('Model Inputs &amp; Assumptions'!$L$33,'Model Inputs &amp; Assumptions'!$A$40:$A$42,0))*INDEX('Model Inputs &amp; Assumptions'!$H$40:$H$42,MATCH('Model Inputs &amp; Assumptions'!$L$33,'Model Inputs &amp; Assumptions'!$A$40:$A$42,0))</f>
        <v>1261353.04341765</v>
      </c>
      <c r="K2529" s="49" t="n">
        <f aca="false">H2529*INDEX('Model Inputs &amp; Assumptions'!$G$40:$G$42,MATCH('Model Inputs &amp; Assumptions'!$L$33,'Model Inputs &amp; Assumptions'!$A$40:$A$42,0))*INDEX('Model Inputs &amp; Assumptions'!$H$40:$H$42,MATCH('Model Inputs &amp; Assumptions'!$L$33,'Model Inputs &amp; Assumptions'!$A$40:$A$42,0))</f>
        <v>26488.4139117707</v>
      </c>
      <c r="L2529" s="51" t="n">
        <f aca="false">IFERROR(K2529/I2529,0)</f>
        <v>1.05953655647083</v>
      </c>
      <c r="M2529" s="49" t="n">
        <f aca="false">IFERROR(I2529/H2529,0)</f>
        <v>107.02792584875</v>
      </c>
      <c r="N2529" s="52" t="str">
        <f aca="false">'Model Inputs &amp; Assumptions'!$L$33</f>
        <v>PRD-SP01</v>
      </c>
      <c r="P2529" s="53" t="n">
        <v>-0.563117</v>
      </c>
      <c r="Q2529" s="53" t="n">
        <v>-0.983663</v>
      </c>
      <c r="R2529" s="53" t="n">
        <v>0.166723</v>
      </c>
      <c r="S2529" s="53" t="n">
        <v>0.926009</v>
      </c>
    </row>
    <row r="2530" customFormat="false" ht="15" hidden="false" customHeight="false" outlineLevel="0" collapsed="false">
      <c r="A2530" s="43" t="n">
        <v>27</v>
      </c>
      <c r="B2530" s="44" t="str">
        <f aca="false">'Model Inputs &amp; Assumptions'!$B$33</f>
        <v>Trade Republic — Savings Plan Push</v>
      </c>
      <c r="C2530" s="45" t="n">
        <f aca="false">ROUND(MAX(0,'Model Inputs &amp; Assumptions'!$S$33*EXP('Model Inputs &amp; Assumptions'!$T$33*P2530-'Model Inputs &amp; Assumptions'!$T$33^2/2)),0)</f>
        <v>1167509</v>
      </c>
      <c r="D2530" s="46" t="n">
        <f aca="false">MIN(1,'Model Inputs &amp; Assumptions'!$U$33*EXP('Model Inputs &amp; Assumptions'!$V$33*Q2530-'Model Inputs &amp; Assumptions'!$V$33^2/2))</f>
        <v>0</v>
      </c>
      <c r="E2530" s="45" t="n">
        <f aca="false">ROUND(C2530*D2530,0)</f>
        <v>0</v>
      </c>
      <c r="F2530" s="47" t="n">
        <f aca="false">MIN(1,'Model Inputs &amp; Assumptions'!$W$33*EXP('Model Inputs &amp; Assumptions'!$X$33*R2530-'Model Inputs &amp; Assumptions'!$X$33^2/2))</f>
        <v>0.00325109274316422</v>
      </c>
      <c r="G2530" s="45" t="n">
        <f aca="false">ROUND(C2530*F2530,0)</f>
        <v>3796</v>
      </c>
      <c r="H2530" s="48" t="n">
        <f aca="false">MAX(0,(C2530*'Model Inputs &amp; Assumptions'!$N$33+E2530*'Model Inputs &amp; Assumptions'!$O$33+G2530*'Model Inputs &amp; Assumptions'!$P$33)*EXP('Model Inputs &amp; Assumptions'!$Q$33*S2530-'Model Inputs &amp; Assumptions'!$Q$33^2/2))</f>
        <v>173.322715791152</v>
      </c>
      <c r="I2530" s="49" t="n">
        <f aca="false">IF('Model Inputs &amp; Assumptions'!$H$33="Fixed",'Model Inputs &amp; Assumptions'!$I$33*'Model Inputs &amp; Assumptions'!$K$33,IF('Model Inputs &amp; Assumptions'!$H$33="CPM",'Model Inputs &amp; Assumptions'!$I$33*'Model Inputs &amp; Assumptions'!$K$33*C2530/1000,IF('Model Inputs &amp; Assumptions'!$H$33="CPC",'Model Inputs &amp; Assumptions'!$I$33*'Model Inputs &amp; Assumptions'!$K$33*G2530,0)))</f>
        <v>25000</v>
      </c>
      <c r="J2530" s="50" t="n">
        <f aca="false">H2530*INDEX('Model Inputs &amp; Assumptions'!$D$40:$D$42,MATCH('Model Inputs &amp; Assumptions'!$L$33,'Model Inputs &amp; Assumptions'!$A$40:$A$42,0))*INDEX('Model Inputs &amp; Assumptions'!$H$40:$H$42,MATCH('Model Inputs &amp; Assumptions'!$L$33,'Model Inputs &amp; Assumptions'!$A$40:$A$42,0))</f>
        <v>935942.665272223</v>
      </c>
      <c r="K2530" s="49" t="n">
        <f aca="false">H2530*INDEX('Model Inputs &amp; Assumptions'!$G$40:$G$42,MATCH('Model Inputs &amp; Assumptions'!$L$33,'Model Inputs &amp; Assumptions'!$A$40:$A$42,0))*INDEX('Model Inputs &amp; Assumptions'!$H$40:$H$42,MATCH('Model Inputs &amp; Assumptions'!$L$33,'Model Inputs &amp; Assumptions'!$A$40:$A$42,0))</f>
        <v>19654.7959707167</v>
      </c>
      <c r="L2530" s="51" t="n">
        <f aca="false">IFERROR(K2530/I2530,0)</f>
        <v>0.786191838828667</v>
      </c>
      <c r="M2530" s="49" t="n">
        <f aca="false">IFERROR(I2530/H2530,0)</f>
        <v>144.239604635114</v>
      </c>
      <c r="N2530" s="52" t="str">
        <f aca="false">'Model Inputs &amp; Assumptions'!$L$33</f>
        <v>PRD-SP01</v>
      </c>
      <c r="P2530" s="53" t="n">
        <v>0.058503</v>
      </c>
      <c r="Q2530" s="53" t="n">
        <v>0.309925</v>
      </c>
      <c r="R2530" s="53" t="n">
        <v>-0.095906</v>
      </c>
      <c r="S2530" s="53" t="n">
        <v>-0.524735</v>
      </c>
    </row>
    <row r="2531" customFormat="false" ht="15" hidden="false" customHeight="false" outlineLevel="0" collapsed="false">
      <c r="A2531" s="43" t="n">
        <v>28</v>
      </c>
      <c r="B2531" s="44" t="str">
        <f aca="false">'Model Inputs &amp; Assumptions'!$B$33</f>
        <v>Trade Republic — Savings Plan Push</v>
      </c>
      <c r="C2531" s="45" t="n">
        <f aca="false">ROUND(MAX(0,'Model Inputs &amp; Assumptions'!$S$33*EXP('Model Inputs &amp; Assumptions'!$T$33*P2531-'Model Inputs &amp; Assumptions'!$T$33^2/2)),0)</f>
        <v>962973</v>
      </c>
      <c r="D2531" s="46" t="n">
        <f aca="false">MIN(1,'Model Inputs &amp; Assumptions'!$U$33*EXP('Model Inputs &amp; Assumptions'!$V$33*Q2531-'Model Inputs &amp; Assumptions'!$V$33^2/2))</f>
        <v>0</v>
      </c>
      <c r="E2531" s="45" t="n">
        <f aca="false">ROUND(C2531*D2531,0)</f>
        <v>0</v>
      </c>
      <c r="F2531" s="47" t="n">
        <f aca="false">MIN(1,'Model Inputs &amp; Assumptions'!$W$33*EXP('Model Inputs &amp; Assumptions'!$X$33*R2531-'Model Inputs &amp; Assumptions'!$X$33^2/2))</f>
        <v>0.00462994953511418</v>
      </c>
      <c r="G2531" s="45" t="n">
        <f aca="false">ROUND(C2531*F2531,0)</f>
        <v>4459</v>
      </c>
      <c r="H2531" s="48" t="n">
        <f aca="false">MAX(0,(C2531*'Model Inputs &amp; Assumptions'!$N$33+E2531*'Model Inputs &amp; Assumptions'!$O$33+G2531*'Model Inputs &amp; Assumptions'!$P$33)*EXP('Model Inputs &amp; Assumptions'!$Q$33*S2531-'Model Inputs &amp; Assumptions'!$Q$33^2/2))</f>
        <v>180.603942522056</v>
      </c>
      <c r="I2531" s="49" t="n">
        <f aca="false">IF('Model Inputs &amp; Assumptions'!$H$33="Fixed",'Model Inputs &amp; Assumptions'!$I$33*'Model Inputs &amp; Assumptions'!$K$33,IF('Model Inputs &amp; Assumptions'!$H$33="CPM",'Model Inputs &amp; Assumptions'!$I$33*'Model Inputs &amp; Assumptions'!$K$33*C2531/1000,IF('Model Inputs &amp; Assumptions'!$H$33="CPC",'Model Inputs &amp; Assumptions'!$I$33*'Model Inputs &amp; Assumptions'!$K$33*G2531,0)))</f>
        <v>25000</v>
      </c>
      <c r="J2531" s="50" t="n">
        <f aca="false">H2531*INDEX('Model Inputs &amp; Assumptions'!$D$40:$D$42,MATCH('Model Inputs &amp; Assumptions'!$L$33,'Model Inputs &amp; Assumptions'!$A$40:$A$42,0))*INDEX('Model Inputs &amp; Assumptions'!$H$40:$H$42,MATCH('Model Inputs &amp; Assumptions'!$L$33,'Model Inputs &amp; Assumptions'!$A$40:$A$42,0))</f>
        <v>975261.289619101</v>
      </c>
      <c r="K2531" s="49" t="n">
        <f aca="false">H2531*INDEX('Model Inputs &amp; Assumptions'!$G$40:$G$42,MATCH('Model Inputs &amp; Assumptions'!$L$33,'Model Inputs &amp; Assumptions'!$A$40:$A$42,0))*INDEX('Model Inputs &amp; Assumptions'!$H$40:$H$42,MATCH('Model Inputs &amp; Assumptions'!$L$33,'Model Inputs &amp; Assumptions'!$A$40:$A$42,0))</f>
        <v>20480.4870820011</v>
      </c>
      <c r="L2531" s="51" t="n">
        <f aca="false">IFERROR(K2531/I2531,0)</f>
        <v>0.819219483280045</v>
      </c>
      <c r="M2531" s="49" t="n">
        <f aca="false">IFERROR(I2531/H2531,0)</f>
        <v>138.424442184848</v>
      </c>
      <c r="N2531" s="52" t="str">
        <f aca="false">'Model Inputs &amp; Assumptions'!$L$33</f>
        <v>PRD-SP01</v>
      </c>
      <c r="P2531" s="53" t="n">
        <v>-0.583506</v>
      </c>
      <c r="Q2531" s="53" t="n">
        <v>-0.454696</v>
      </c>
      <c r="R2531" s="53" t="n">
        <v>1.08261</v>
      </c>
      <c r="S2531" s="53" t="n">
        <v>-0.952683</v>
      </c>
    </row>
    <row r="2532" customFormat="false" ht="15" hidden="false" customHeight="false" outlineLevel="0" collapsed="false">
      <c r="A2532" s="43" t="n">
        <v>29</v>
      </c>
      <c r="B2532" s="44" t="str">
        <f aca="false">'Model Inputs &amp; Assumptions'!$B$33</f>
        <v>Trade Republic — Savings Plan Push</v>
      </c>
      <c r="C2532" s="45" t="n">
        <f aca="false">ROUND(MAX(0,'Model Inputs &amp; Assumptions'!$S$33*EXP('Model Inputs &amp; Assumptions'!$T$33*P2532-'Model Inputs &amp; Assumptions'!$T$33^2/2)),0)</f>
        <v>819418</v>
      </c>
      <c r="D2532" s="46" t="n">
        <f aca="false">MIN(1,'Model Inputs &amp; Assumptions'!$U$33*EXP('Model Inputs &amp; Assumptions'!$V$33*Q2532-'Model Inputs &amp; Assumptions'!$V$33^2/2))</f>
        <v>0</v>
      </c>
      <c r="E2532" s="45" t="n">
        <f aca="false">ROUND(C2532*D2532,0)</f>
        <v>0</v>
      </c>
      <c r="F2532" s="47" t="n">
        <f aca="false">MIN(1,'Model Inputs &amp; Assumptions'!$W$33*EXP('Model Inputs &amp; Assumptions'!$X$33*R2532-'Model Inputs &amp; Assumptions'!$X$33^2/2))</f>
        <v>0.00521418068378948</v>
      </c>
      <c r="G2532" s="45" t="n">
        <f aca="false">ROUND(C2532*F2532,0)</f>
        <v>4273</v>
      </c>
      <c r="H2532" s="48" t="n">
        <f aca="false">MAX(0,(C2532*'Model Inputs &amp; Assumptions'!$N$33+E2532*'Model Inputs &amp; Assumptions'!$O$33+G2532*'Model Inputs &amp; Assumptions'!$P$33)*EXP('Model Inputs &amp; Assumptions'!$Q$33*S2532-'Model Inputs &amp; Assumptions'!$Q$33^2/2))</f>
        <v>215.549215550574</v>
      </c>
      <c r="I2532" s="49" t="n">
        <f aca="false">IF('Model Inputs &amp; Assumptions'!$H$33="Fixed",'Model Inputs &amp; Assumptions'!$I$33*'Model Inputs &amp; Assumptions'!$K$33,IF('Model Inputs &amp; Assumptions'!$H$33="CPM",'Model Inputs &amp; Assumptions'!$I$33*'Model Inputs &amp; Assumptions'!$K$33*C2532/1000,IF('Model Inputs &amp; Assumptions'!$H$33="CPC",'Model Inputs &amp; Assumptions'!$I$33*'Model Inputs &amp; Assumptions'!$K$33*G2532,0)))</f>
        <v>25000</v>
      </c>
      <c r="J2532" s="50" t="n">
        <f aca="false">H2532*INDEX('Model Inputs &amp; Assumptions'!$D$40:$D$42,MATCH('Model Inputs &amp; Assumptions'!$L$33,'Model Inputs &amp; Assumptions'!$A$40:$A$42,0))*INDEX('Model Inputs &amp; Assumptions'!$H$40:$H$42,MATCH('Model Inputs &amp; Assumptions'!$L$33,'Model Inputs &amp; Assumptions'!$A$40:$A$42,0))</f>
        <v>1163965.7639731</v>
      </c>
      <c r="K2532" s="49" t="n">
        <f aca="false">H2532*INDEX('Model Inputs &amp; Assumptions'!$G$40:$G$42,MATCH('Model Inputs &amp; Assumptions'!$L$33,'Model Inputs &amp; Assumptions'!$A$40:$A$42,0))*INDEX('Model Inputs &amp; Assumptions'!$H$40:$H$42,MATCH('Model Inputs &amp; Assumptions'!$L$33,'Model Inputs &amp; Assumptions'!$A$40:$A$42,0))</f>
        <v>24443.2810434351</v>
      </c>
      <c r="L2532" s="51" t="n">
        <f aca="false">IFERROR(K2532/I2532,0)</f>
        <v>0.977731241737405</v>
      </c>
      <c r="M2532" s="49" t="n">
        <f aca="false">IFERROR(I2532/H2532,0)</f>
        <v>115.982792774925</v>
      </c>
      <c r="N2532" s="52" t="str">
        <f aca="false">'Model Inputs &amp; Assumptions'!$L$33</f>
        <v>PRD-SP01</v>
      </c>
      <c r="P2532" s="53" t="n">
        <v>-1.12161</v>
      </c>
      <c r="Q2532" s="53" t="n">
        <v>-0.614394</v>
      </c>
      <c r="R2532" s="53" t="n">
        <v>1.47873</v>
      </c>
      <c r="S2532" s="53" t="n">
        <v>-0.168786</v>
      </c>
    </row>
    <row r="2533" customFormat="false" ht="15" hidden="false" customHeight="false" outlineLevel="0" collapsed="false">
      <c r="A2533" s="43" t="n">
        <v>30</v>
      </c>
      <c r="B2533" s="44" t="str">
        <f aca="false">'Model Inputs &amp; Assumptions'!$B$33</f>
        <v>Trade Republic — Savings Plan Push</v>
      </c>
      <c r="C2533" s="45" t="n">
        <f aca="false">ROUND(MAX(0,'Model Inputs &amp; Assumptions'!$S$33*EXP('Model Inputs &amp; Assumptions'!$T$33*P2533-'Model Inputs &amp; Assumptions'!$T$33^2/2)),0)</f>
        <v>899858</v>
      </c>
      <c r="D2533" s="46" t="n">
        <f aca="false">MIN(1,'Model Inputs &amp; Assumptions'!$U$33*EXP('Model Inputs &amp; Assumptions'!$V$33*Q2533-'Model Inputs &amp; Assumptions'!$V$33^2/2))</f>
        <v>0</v>
      </c>
      <c r="E2533" s="45" t="n">
        <f aca="false">ROUND(C2533*D2533,0)</f>
        <v>0</v>
      </c>
      <c r="F2533" s="47" t="n">
        <f aca="false">MIN(1,'Model Inputs &amp; Assumptions'!$W$33*EXP('Model Inputs &amp; Assumptions'!$X$33*R2533-'Model Inputs &amp; Assumptions'!$X$33^2/2))</f>
        <v>0.00410166901823676</v>
      </c>
      <c r="G2533" s="45" t="n">
        <f aca="false">ROUND(C2533*F2533,0)</f>
        <v>3691</v>
      </c>
      <c r="H2533" s="48" t="n">
        <f aca="false">MAX(0,(C2533*'Model Inputs &amp; Assumptions'!$N$33+E2533*'Model Inputs &amp; Assumptions'!$O$33+G2533*'Model Inputs &amp; Assumptions'!$P$33)*EXP('Model Inputs &amp; Assumptions'!$Q$33*S2533-'Model Inputs &amp; Assumptions'!$Q$33^2/2))</f>
        <v>210.229032902872</v>
      </c>
      <c r="I2533" s="49" t="n">
        <f aca="false">IF('Model Inputs &amp; Assumptions'!$H$33="Fixed",'Model Inputs &amp; Assumptions'!$I$33*'Model Inputs &amp; Assumptions'!$K$33,IF('Model Inputs &amp; Assumptions'!$H$33="CPM",'Model Inputs &amp; Assumptions'!$I$33*'Model Inputs &amp; Assumptions'!$K$33*C2533/1000,IF('Model Inputs &amp; Assumptions'!$H$33="CPC",'Model Inputs &amp; Assumptions'!$I$33*'Model Inputs &amp; Assumptions'!$K$33*G2533,0)))</f>
        <v>25000</v>
      </c>
      <c r="J2533" s="50" t="n">
        <f aca="false">H2533*INDEX('Model Inputs &amp; Assumptions'!$D$40:$D$42,MATCH('Model Inputs &amp; Assumptions'!$L$33,'Model Inputs &amp; Assumptions'!$A$40:$A$42,0))*INDEX('Model Inputs &amp; Assumptions'!$H$40:$H$42,MATCH('Model Inputs &amp; Assumptions'!$L$33,'Model Inputs &amp; Assumptions'!$A$40:$A$42,0))</f>
        <v>1135236.77767551</v>
      </c>
      <c r="K2533" s="49" t="n">
        <f aca="false">H2533*INDEX('Model Inputs &amp; Assumptions'!$G$40:$G$42,MATCH('Model Inputs &amp; Assumptions'!$L$33,'Model Inputs &amp; Assumptions'!$A$40:$A$42,0))*INDEX('Model Inputs &amp; Assumptions'!$H$40:$H$42,MATCH('Model Inputs &amp; Assumptions'!$L$33,'Model Inputs &amp; Assumptions'!$A$40:$A$42,0))</f>
        <v>23839.9723311857</v>
      </c>
      <c r="L2533" s="51" t="n">
        <f aca="false">IFERROR(K2533/I2533,0)</f>
        <v>0.953598893247426</v>
      </c>
      <c r="M2533" s="49" t="n">
        <f aca="false">IFERROR(I2533/H2533,0)</f>
        <v>118.917923251591</v>
      </c>
      <c r="N2533" s="52" t="str">
        <f aca="false">'Model Inputs &amp; Assumptions'!$L$33</f>
        <v>PRD-SP01</v>
      </c>
      <c r="P2533" s="53" t="n">
        <v>-0.809468</v>
      </c>
      <c r="Q2533" s="53" t="n">
        <v>-0.18919</v>
      </c>
      <c r="R2533" s="53" t="n">
        <v>0.67877</v>
      </c>
      <c r="S2533" s="53" t="n">
        <v>0.264882</v>
      </c>
    </row>
    <row r="2534" customFormat="false" ht="15" hidden="false" customHeight="false" outlineLevel="0" collapsed="false">
      <c r="A2534" s="43" t="n">
        <v>31</v>
      </c>
      <c r="B2534" s="44" t="str">
        <f aca="false">'Model Inputs &amp; Assumptions'!$B$33</f>
        <v>Trade Republic — Savings Plan Push</v>
      </c>
      <c r="C2534" s="45" t="n">
        <f aca="false">ROUND(MAX(0,'Model Inputs &amp; Assumptions'!$S$33*EXP('Model Inputs &amp; Assumptions'!$T$33*P2534-'Model Inputs &amp; Assumptions'!$T$33^2/2)),0)</f>
        <v>1432487</v>
      </c>
      <c r="D2534" s="46" t="n">
        <f aca="false">MIN(1,'Model Inputs &amp; Assumptions'!$U$33*EXP('Model Inputs &amp; Assumptions'!$V$33*Q2534-'Model Inputs &amp; Assumptions'!$V$33^2/2))</f>
        <v>0</v>
      </c>
      <c r="E2534" s="45" t="n">
        <f aca="false">ROUND(C2534*D2534,0)</f>
        <v>0</v>
      </c>
      <c r="F2534" s="47" t="n">
        <f aca="false">MIN(1,'Model Inputs &amp; Assumptions'!$W$33*EXP('Model Inputs &amp; Assumptions'!$X$33*R2534-'Model Inputs &amp; Assumptions'!$X$33^2/2))</f>
        <v>0.00396027738090097</v>
      </c>
      <c r="G2534" s="45" t="n">
        <f aca="false">ROUND(C2534*F2534,0)</f>
        <v>5673</v>
      </c>
      <c r="H2534" s="48" t="n">
        <f aca="false">MAX(0,(C2534*'Model Inputs &amp; Assumptions'!$N$33+E2534*'Model Inputs &amp; Assumptions'!$O$33+G2534*'Model Inputs &amp; Assumptions'!$P$33)*EXP('Model Inputs &amp; Assumptions'!$Q$33*S2534-'Model Inputs &amp; Assumptions'!$Q$33^2/2))</f>
        <v>331.139979104218</v>
      </c>
      <c r="I2534" s="49" t="n">
        <f aca="false">IF('Model Inputs &amp; Assumptions'!$H$33="Fixed",'Model Inputs &amp; Assumptions'!$I$33*'Model Inputs &amp; Assumptions'!$K$33,IF('Model Inputs &amp; Assumptions'!$H$33="CPM",'Model Inputs &amp; Assumptions'!$I$33*'Model Inputs &amp; Assumptions'!$K$33*C2534/1000,IF('Model Inputs &amp; Assumptions'!$H$33="CPC",'Model Inputs &amp; Assumptions'!$I$33*'Model Inputs &amp; Assumptions'!$K$33*G2534,0)))</f>
        <v>25000</v>
      </c>
      <c r="J2534" s="50" t="n">
        <f aca="false">H2534*INDEX('Model Inputs &amp; Assumptions'!$D$40:$D$42,MATCH('Model Inputs &amp; Assumptions'!$L$33,'Model Inputs &amp; Assumptions'!$A$40:$A$42,0))*INDEX('Model Inputs &amp; Assumptions'!$H$40:$H$42,MATCH('Model Inputs &amp; Assumptions'!$L$33,'Model Inputs &amp; Assumptions'!$A$40:$A$42,0))</f>
        <v>1788155.88716278</v>
      </c>
      <c r="K2534" s="49" t="n">
        <f aca="false">H2534*INDEX('Model Inputs &amp; Assumptions'!$G$40:$G$42,MATCH('Model Inputs &amp; Assumptions'!$L$33,'Model Inputs &amp; Assumptions'!$A$40:$A$42,0))*INDEX('Model Inputs &amp; Assumptions'!$H$40:$H$42,MATCH('Model Inputs &amp; Assumptions'!$L$33,'Model Inputs &amp; Assumptions'!$A$40:$A$42,0))</f>
        <v>37551.2736304183</v>
      </c>
      <c r="L2534" s="51" t="n">
        <f aca="false">IFERROR(K2534/I2534,0)</f>
        <v>1.50205094521673</v>
      </c>
      <c r="M2534" s="49" t="n">
        <f aca="false">IFERROR(I2534/H2534,0)</f>
        <v>75.4967735023378</v>
      </c>
      <c r="N2534" s="52" t="str">
        <f aca="false">'Model Inputs &amp; Assumptions'!$L$33</f>
        <v>PRD-SP01</v>
      </c>
      <c r="P2534" s="53" t="n">
        <v>0.740302</v>
      </c>
      <c r="Q2534" s="53" t="n">
        <v>0.385537</v>
      </c>
      <c r="R2534" s="53" t="n">
        <v>0.561837</v>
      </c>
      <c r="S2534" s="53" t="n">
        <v>0.352464</v>
      </c>
    </row>
    <row r="2535" customFormat="false" ht="15" hidden="false" customHeight="false" outlineLevel="0" collapsed="false">
      <c r="A2535" s="43" t="n">
        <v>32</v>
      </c>
      <c r="B2535" s="44" t="str">
        <f aca="false">'Model Inputs &amp; Assumptions'!$B$33</f>
        <v>Trade Republic — Savings Plan Push</v>
      </c>
      <c r="C2535" s="45" t="n">
        <f aca="false">ROUND(MAX(0,'Model Inputs &amp; Assumptions'!$S$33*EXP('Model Inputs &amp; Assumptions'!$T$33*P2535-'Model Inputs &amp; Assumptions'!$T$33^2/2)),0)</f>
        <v>963899</v>
      </c>
      <c r="D2535" s="46" t="n">
        <f aca="false">MIN(1,'Model Inputs &amp; Assumptions'!$U$33*EXP('Model Inputs &amp; Assumptions'!$V$33*Q2535-'Model Inputs &amp; Assumptions'!$V$33^2/2))</f>
        <v>0</v>
      </c>
      <c r="E2535" s="45" t="n">
        <f aca="false">ROUND(C2535*D2535,0)</f>
        <v>0</v>
      </c>
      <c r="F2535" s="47" t="n">
        <f aca="false">MIN(1,'Model Inputs &amp; Assumptions'!$W$33*EXP('Model Inputs &amp; Assumptions'!$X$33*R2535-'Model Inputs &amp; Assumptions'!$X$33^2/2))</f>
        <v>0.0019744379360249</v>
      </c>
      <c r="G2535" s="45" t="n">
        <f aca="false">ROUND(C2535*F2535,0)</f>
        <v>1903</v>
      </c>
      <c r="H2535" s="48" t="n">
        <f aca="false">MAX(0,(C2535*'Model Inputs &amp; Assumptions'!$N$33+E2535*'Model Inputs &amp; Assumptions'!$O$33+G2535*'Model Inputs &amp; Assumptions'!$P$33)*EXP('Model Inputs &amp; Assumptions'!$Q$33*S2535-'Model Inputs &amp; Assumptions'!$Q$33^2/2))</f>
        <v>114.910551601147</v>
      </c>
      <c r="I2535" s="49" t="n">
        <f aca="false">IF('Model Inputs &amp; Assumptions'!$H$33="Fixed",'Model Inputs &amp; Assumptions'!$I$33*'Model Inputs &amp; Assumptions'!$K$33,IF('Model Inputs &amp; Assumptions'!$H$33="CPM",'Model Inputs &amp; Assumptions'!$I$33*'Model Inputs &amp; Assumptions'!$K$33*C2535/1000,IF('Model Inputs &amp; Assumptions'!$H$33="CPC",'Model Inputs &amp; Assumptions'!$I$33*'Model Inputs &amp; Assumptions'!$K$33*G2535,0)))</f>
        <v>25000</v>
      </c>
      <c r="J2535" s="50" t="n">
        <f aca="false">H2535*INDEX('Model Inputs &amp; Assumptions'!$D$40:$D$42,MATCH('Model Inputs &amp; Assumptions'!$L$33,'Model Inputs &amp; Assumptions'!$A$40:$A$42,0))*INDEX('Model Inputs &amp; Assumptions'!$H$40:$H$42,MATCH('Model Inputs &amp; Assumptions'!$L$33,'Model Inputs &amp; Assumptions'!$A$40:$A$42,0))</f>
        <v>620516.978646195</v>
      </c>
      <c r="K2535" s="49" t="n">
        <f aca="false">H2535*INDEX('Model Inputs &amp; Assumptions'!$G$40:$G$42,MATCH('Model Inputs &amp; Assumptions'!$L$33,'Model Inputs &amp; Assumptions'!$A$40:$A$42,0))*INDEX('Model Inputs &amp; Assumptions'!$H$40:$H$42,MATCH('Model Inputs &amp; Assumptions'!$L$33,'Model Inputs &amp; Assumptions'!$A$40:$A$42,0))</f>
        <v>13030.8565515701</v>
      </c>
      <c r="L2535" s="51" t="n">
        <f aca="false">IFERROR(K2535/I2535,0)</f>
        <v>0.521234262062804</v>
      </c>
      <c r="M2535" s="49" t="n">
        <f aca="false">IFERROR(I2535/H2535,0)</f>
        <v>217.560525571008</v>
      </c>
      <c r="N2535" s="52" t="str">
        <f aca="false">'Model Inputs &amp; Assumptions'!$L$33</f>
        <v>PRD-SP01</v>
      </c>
      <c r="P2535" s="53" t="n">
        <v>-0.580302</v>
      </c>
      <c r="Q2535" s="53" t="n">
        <v>-0.676055</v>
      </c>
      <c r="R2535" s="53" t="n">
        <v>-1.758264</v>
      </c>
      <c r="S2535" s="53" t="n">
        <v>0.473533</v>
      </c>
    </row>
    <row r="2536" customFormat="false" ht="15" hidden="false" customHeight="false" outlineLevel="0" collapsed="false">
      <c r="A2536" s="43" t="n">
        <v>33</v>
      </c>
      <c r="B2536" s="44" t="str">
        <f aca="false">'Model Inputs &amp; Assumptions'!$B$33</f>
        <v>Trade Republic — Savings Plan Push</v>
      </c>
      <c r="C2536" s="45" t="n">
        <f aca="false">ROUND(MAX(0,'Model Inputs &amp; Assumptions'!$S$33*EXP('Model Inputs &amp; Assumptions'!$T$33*P2536-'Model Inputs &amp; Assumptions'!$T$33^2/2)),0)</f>
        <v>643618</v>
      </c>
      <c r="D2536" s="46" t="n">
        <f aca="false">MIN(1,'Model Inputs &amp; Assumptions'!$U$33*EXP('Model Inputs &amp; Assumptions'!$V$33*Q2536-'Model Inputs &amp; Assumptions'!$V$33^2/2))</f>
        <v>0</v>
      </c>
      <c r="E2536" s="45" t="n">
        <f aca="false">ROUND(C2536*D2536,0)</f>
        <v>0</v>
      </c>
      <c r="F2536" s="47" t="n">
        <f aca="false">MIN(1,'Model Inputs &amp; Assumptions'!$W$33*EXP('Model Inputs &amp; Assumptions'!$X$33*R2536-'Model Inputs &amp; Assumptions'!$X$33^2/2))</f>
        <v>0.00231843773437934</v>
      </c>
      <c r="G2536" s="45" t="n">
        <f aca="false">ROUND(C2536*F2536,0)</f>
        <v>1492</v>
      </c>
      <c r="H2536" s="48" t="n">
        <f aca="false">MAX(0,(C2536*'Model Inputs &amp; Assumptions'!$N$33+E2536*'Model Inputs &amp; Assumptions'!$O$33+G2536*'Model Inputs &amp; Assumptions'!$P$33)*EXP('Model Inputs &amp; Assumptions'!$Q$33*S2536-'Model Inputs &amp; Assumptions'!$Q$33^2/2))</f>
        <v>64.6291512675597</v>
      </c>
      <c r="I2536" s="49" t="n">
        <f aca="false">IF('Model Inputs &amp; Assumptions'!$H$33="Fixed",'Model Inputs &amp; Assumptions'!$I$33*'Model Inputs &amp; Assumptions'!$K$33,IF('Model Inputs &amp; Assumptions'!$H$33="CPM",'Model Inputs &amp; Assumptions'!$I$33*'Model Inputs &amp; Assumptions'!$K$33*C2536/1000,IF('Model Inputs &amp; Assumptions'!$H$33="CPC",'Model Inputs &amp; Assumptions'!$I$33*'Model Inputs &amp; Assumptions'!$K$33*G2536,0)))</f>
        <v>25000</v>
      </c>
      <c r="J2536" s="50" t="n">
        <f aca="false">H2536*INDEX('Model Inputs &amp; Assumptions'!$D$40:$D$42,MATCH('Model Inputs &amp; Assumptions'!$L$33,'Model Inputs &amp; Assumptions'!$A$40:$A$42,0))*INDEX('Model Inputs &amp; Assumptions'!$H$40:$H$42,MATCH('Model Inputs &amp; Assumptions'!$L$33,'Model Inputs &amp; Assumptions'!$A$40:$A$42,0))</f>
        <v>348997.416844822</v>
      </c>
      <c r="K2536" s="49" t="n">
        <f aca="false">H2536*INDEX('Model Inputs &amp; Assumptions'!$G$40:$G$42,MATCH('Model Inputs &amp; Assumptions'!$L$33,'Model Inputs &amp; Assumptions'!$A$40:$A$42,0))*INDEX('Model Inputs &amp; Assumptions'!$H$40:$H$42,MATCH('Model Inputs &amp; Assumptions'!$L$33,'Model Inputs &amp; Assumptions'!$A$40:$A$42,0))</f>
        <v>7328.94575374127</v>
      </c>
      <c r="L2536" s="51" t="n">
        <f aca="false">IFERROR(K2536/I2536,0)</f>
        <v>0.293157830149651</v>
      </c>
      <c r="M2536" s="49" t="n">
        <f aca="false">IFERROR(I2536/H2536,0)</f>
        <v>386.822347341402</v>
      </c>
      <c r="N2536" s="52" t="str">
        <f aca="false">'Model Inputs &amp; Assumptions'!$L$33</f>
        <v>PRD-SP01</v>
      </c>
      <c r="P2536" s="53" t="n">
        <v>-1.926569</v>
      </c>
      <c r="Q2536" s="53" t="n">
        <v>0.476587</v>
      </c>
      <c r="R2536" s="53" t="n">
        <v>-1.222898</v>
      </c>
      <c r="S2536" s="53" t="n">
        <v>-0.712804</v>
      </c>
    </row>
    <row r="2537" customFormat="false" ht="15" hidden="false" customHeight="false" outlineLevel="0" collapsed="false">
      <c r="A2537" s="43" t="n">
        <v>34</v>
      </c>
      <c r="B2537" s="44" t="str">
        <f aca="false">'Model Inputs &amp; Assumptions'!$B$33</f>
        <v>Trade Republic — Savings Plan Push</v>
      </c>
      <c r="C2537" s="45" t="n">
        <f aca="false">ROUND(MAX(0,'Model Inputs &amp; Assumptions'!$S$33*EXP('Model Inputs &amp; Assumptions'!$T$33*P2537-'Model Inputs &amp; Assumptions'!$T$33^2/2)),0)</f>
        <v>884772</v>
      </c>
      <c r="D2537" s="46" t="n">
        <f aca="false">MIN(1,'Model Inputs &amp; Assumptions'!$U$33*EXP('Model Inputs &amp; Assumptions'!$V$33*Q2537-'Model Inputs &amp; Assumptions'!$V$33^2/2))</f>
        <v>0</v>
      </c>
      <c r="E2537" s="45" t="n">
        <f aca="false">ROUND(C2537*D2537,0)</f>
        <v>0</v>
      </c>
      <c r="F2537" s="47" t="n">
        <f aca="false">MIN(1,'Model Inputs &amp; Assumptions'!$W$33*EXP('Model Inputs &amp; Assumptions'!$X$33*R2537-'Model Inputs &amp; Assumptions'!$X$33^2/2))</f>
        <v>0.00473619072688746</v>
      </c>
      <c r="G2537" s="45" t="n">
        <f aca="false">ROUND(C2537*F2537,0)</f>
        <v>4190</v>
      </c>
      <c r="H2537" s="48" t="n">
        <f aca="false">MAX(0,(C2537*'Model Inputs &amp; Assumptions'!$N$33+E2537*'Model Inputs &amp; Assumptions'!$O$33+G2537*'Model Inputs &amp; Assumptions'!$P$33)*EXP('Model Inputs &amp; Assumptions'!$Q$33*S2537-'Model Inputs &amp; Assumptions'!$Q$33^2/2))</f>
        <v>274.13417578302</v>
      </c>
      <c r="I2537" s="49" t="n">
        <f aca="false">IF('Model Inputs &amp; Assumptions'!$H$33="Fixed",'Model Inputs &amp; Assumptions'!$I$33*'Model Inputs &amp; Assumptions'!$K$33,IF('Model Inputs &amp; Assumptions'!$H$33="CPM",'Model Inputs &amp; Assumptions'!$I$33*'Model Inputs &amp; Assumptions'!$K$33*C2537/1000,IF('Model Inputs &amp; Assumptions'!$H$33="CPC",'Model Inputs &amp; Assumptions'!$I$33*'Model Inputs &amp; Assumptions'!$K$33*G2537,0)))</f>
        <v>25000</v>
      </c>
      <c r="J2537" s="50" t="n">
        <f aca="false">H2537*INDEX('Model Inputs &amp; Assumptions'!$D$40:$D$42,MATCH('Model Inputs &amp; Assumptions'!$L$33,'Model Inputs &amp; Assumptions'!$A$40:$A$42,0))*INDEX('Model Inputs &amp; Assumptions'!$H$40:$H$42,MATCH('Model Inputs &amp; Assumptions'!$L$33,'Model Inputs &amp; Assumptions'!$A$40:$A$42,0))</f>
        <v>1480324.54922831</v>
      </c>
      <c r="K2537" s="49" t="n">
        <f aca="false">H2537*INDEX('Model Inputs &amp; Assumptions'!$G$40:$G$42,MATCH('Model Inputs &amp; Assumptions'!$L$33,'Model Inputs &amp; Assumptions'!$A$40:$A$42,0))*INDEX('Model Inputs &amp; Assumptions'!$H$40:$H$42,MATCH('Model Inputs &amp; Assumptions'!$L$33,'Model Inputs &amp; Assumptions'!$A$40:$A$42,0))</f>
        <v>31086.8155337945</v>
      </c>
      <c r="L2537" s="51" t="n">
        <f aca="false">IFERROR(K2537/I2537,0)</f>
        <v>1.24347262135178</v>
      </c>
      <c r="M2537" s="49" t="n">
        <f aca="false">IFERROR(I2537/H2537,0)</f>
        <v>91.1962177958715</v>
      </c>
      <c r="N2537" s="52" t="str">
        <f aca="false">'Model Inputs &amp; Assumptions'!$L$33</f>
        <v>PRD-SP01</v>
      </c>
      <c r="P2537" s="53" t="n">
        <v>-0.865824</v>
      </c>
      <c r="Q2537" s="53" t="n">
        <v>-0.16576</v>
      </c>
      <c r="R2537" s="53" t="n">
        <v>1.158234</v>
      </c>
      <c r="S2537" s="53" t="n">
        <v>0.759942</v>
      </c>
    </row>
    <row r="2538" customFormat="false" ht="15" hidden="false" customHeight="false" outlineLevel="0" collapsed="false">
      <c r="A2538" s="43" t="n">
        <v>35</v>
      </c>
      <c r="B2538" s="44" t="str">
        <f aca="false">'Model Inputs &amp; Assumptions'!$B$33</f>
        <v>Trade Republic — Savings Plan Push</v>
      </c>
      <c r="C2538" s="45" t="n">
        <f aca="false">ROUND(MAX(0,'Model Inputs &amp; Assumptions'!$S$33*EXP('Model Inputs &amp; Assumptions'!$T$33*P2538-'Model Inputs &amp; Assumptions'!$T$33^2/2)),0)</f>
        <v>1488183</v>
      </c>
      <c r="D2538" s="46" t="n">
        <f aca="false">MIN(1,'Model Inputs &amp; Assumptions'!$U$33*EXP('Model Inputs &amp; Assumptions'!$V$33*Q2538-'Model Inputs &amp; Assumptions'!$V$33^2/2))</f>
        <v>0</v>
      </c>
      <c r="E2538" s="45" t="n">
        <f aca="false">ROUND(C2538*D2538,0)</f>
        <v>0</v>
      </c>
      <c r="F2538" s="47" t="n">
        <f aca="false">MIN(1,'Model Inputs &amp; Assumptions'!$W$33*EXP('Model Inputs &amp; Assumptions'!$X$33*R2538-'Model Inputs &amp; Assumptions'!$X$33^2/2))</f>
        <v>0.00267053244062369</v>
      </c>
      <c r="G2538" s="45" t="n">
        <f aca="false">ROUND(C2538*F2538,0)</f>
        <v>3974</v>
      </c>
      <c r="H2538" s="48" t="n">
        <f aca="false">MAX(0,(C2538*'Model Inputs &amp; Assumptions'!$N$33+E2538*'Model Inputs &amp; Assumptions'!$O$33+G2538*'Model Inputs &amp; Assumptions'!$P$33)*EXP('Model Inputs &amp; Assumptions'!$Q$33*S2538-'Model Inputs &amp; Assumptions'!$Q$33^2/2))</f>
        <v>396.614957367464</v>
      </c>
      <c r="I2538" s="49" t="n">
        <f aca="false">IF('Model Inputs &amp; Assumptions'!$H$33="Fixed",'Model Inputs &amp; Assumptions'!$I$33*'Model Inputs &amp; Assumptions'!$K$33,IF('Model Inputs &amp; Assumptions'!$H$33="CPM",'Model Inputs &amp; Assumptions'!$I$33*'Model Inputs &amp; Assumptions'!$K$33*C2538/1000,IF('Model Inputs &amp; Assumptions'!$H$33="CPC",'Model Inputs &amp; Assumptions'!$I$33*'Model Inputs &amp; Assumptions'!$K$33*G2538,0)))</f>
        <v>25000</v>
      </c>
      <c r="J2538" s="50" t="n">
        <f aca="false">H2538*INDEX('Model Inputs &amp; Assumptions'!$D$40:$D$42,MATCH('Model Inputs &amp; Assumptions'!$L$33,'Model Inputs &amp; Assumptions'!$A$40:$A$42,0))*INDEX('Model Inputs &amp; Assumptions'!$H$40:$H$42,MATCH('Model Inputs &amp; Assumptions'!$L$33,'Model Inputs &amp; Assumptions'!$A$40:$A$42,0))</f>
        <v>2141720.76978431</v>
      </c>
      <c r="K2538" s="49" t="n">
        <f aca="false">H2538*INDEX('Model Inputs &amp; Assumptions'!$G$40:$G$42,MATCH('Model Inputs &amp; Assumptions'!$L$33,'Model Inputs &amp; Assumptions'!$A$40:$A$42,0))*INDEX('Model Inputs &amp; Assumptions'!$H$40:$H$42,MATCH('Model Inputs &amp; Assumptions'!$L$33,'Model Inputs &amp; Assumptions'!$A$40:$A$42,0))</f>
        <v>44976.1361654705</v>
      </c>
      <c r="L2538" s="51" t="n">
        <f aca="false">IFERROR(K2538/I2538,0)</f>
        <v>1.79904544661882</v>
      </c>
      <c r="M2538" s="49" t="n">
        <f aca="false">IFERROR(I2538/H2538,0)</f>
        <v>63.0334270949783</v>
      </c>
      <c r="N2538" s="52" t="str">
        <f aca="false">'Model Inputs &amp; Assumptions'!$L$33</f>
        <v>PRD-SP01</v>
      </c>
      <c r="P2538" s="53" t="n">
        <v>0.867448</v>
      </c>
      <c r="Q2538" s="53" t="n">
        <v>0.995367</v>
      </c>
      <c r="R2538" s="53" t="n">
        <v>-0.751617</v>
      </c>
      <c r="S2538" s="53" t="n">
        <v>2.26807</v>
      </c>
    </row>
    <row r="2539" customFormat="false" ht="15" hidden="false" customHeight="false" outlineLevel="0" collapsed="false">
      <c r="A2539" s="43" t="n">
        <v>36</v>
      </c>
      <c r="B2539" s="44" t="str">
        <f aca="false">'Model Inputs &amp; Assumptions'!$B$33</f>
        <v>Trade Republic — Savings Plan Push</v>
      </c>
      <c r="C2539" s="45" t="n">
        <f aca="false">ROUND(MAX(0,'Model Inputs &amp; Assumptions'!$S$33*EXP('Model Inputs &amp; Assumptions'!$T$33*P2539-'Model Inputs &amp; Assumptions'!$T$33^2/2)),0)</f>
        <v>1179202</v>
      </c>
      <c r="D2539" s="46" t="n">
        <f aca="false">MIN(1,'Model Inputs &amp; Assumptions'!$U$33*EXP('Model Inputs &amp; Assumptions'!$V$33*Q2539-'Model Inputs &amp; Assumptions'!$V$33^2/2))</f>
        <v>0</v>
      </c>
      <c r="E2539" s="45" t="n">
        <f aca="false">ROUND(C2539*D2539,0)</f>
        <v>0</v>
      </c>
      <c r="F2539" s="47" t="n">
        <f aca="false">MIN(1,'Model Inputs &amp; Assumptions'!$W$33*EXP('Model Inputs &amp; Assumptions'!$X$33*R2539-'Model Inputs &amp; Assumptions'!$X$33^2/2))</f>
        <v>0.00217244045332529</v>
      </c>
      <c r="G2539" s="45" t="n">
        <f aca="false">ROUND(C2539*F2539,0)</f>
        <v>2562</v>
      </c>
      <c r="H2539" s="48" t="n">
        <f aca="false">MAX(0,(C2539*'Model Inputs &amp; Assumptions'!$N$33+E2539*'Model Inputs &amp; Assumptions'!$O$33+G2539*'Model Inputs &amp; Assumptions'!$P$33)*EXP('Model Inputs &amp; Assumptions'!$Q$33*S2539-'Model Inputs &amp; Assumptions'!$Q$33^2/2))</f>
        <v>104.552053678294</v>
      </c>
      <c r="I2539" s="49" t="n">
        <f aca="false">IF('Model Inputs &amp; Assumptions'!$H$33="Fixed",'Model Inputs &amp; Assumptions'!$I$33*'Model Inputs &amp; Assumptions'!$K$33,IF('Model Inputs &amp; Assumptions'!$H$33="CPM",'Model Inputs &amp; Assumptions'!$I$33*'Model Inputs &amp; Assumptions'!$K$33*C2539/1000,IF('Model Inputs &amp; Assumptions'!$H$33="CPC",'Model Inputs &amp; Assumptions'!$I$33*'Model Inputs &amp; Assumptions'!$K$33*G2539,0)))</f>
        <v>25000</v>
      </c>
      <c r="J2539" s="50" t="n">
        <f aca="false">H2539*INDEX('Model Inputs &amp; Assumptions'!$D$40:$D$42,MATCH('Model Inputs &amp; Assumptions'!$L$33,'Model Inputs &amp; Assumptions'!$A$40:$A$42,0))*INDEX('Model Inputs &amp; Assumptions'!$H$40:$H$42,MATCH('Model Inputs &amp; Assumptions'!$L$33,'Model Inputs &amp; Assumptions'!$A$40:$A$42,0))</f>
        <v>564581.089862789</v>
      </c>
      <c r="K2539" s="49" t="n">
        <f aca="false">H2539*INDEX('Model Inputs &amp; Assumptions'!$G$40:$G$42,MATCH('Model Inputs &amp; Assumptions'!$L$33,'Model Inputs &amp; Assumptions'!$A$40:$A$42,0))*INDEX('Model Inputs &amp; Assumptions'!$H$40:$H$42,MATCH('Model Inputs &amp; Assumptions'!$L$33,'Model Inputs &amp; Assumptions'!$A$40:$A$42,0))</f>
        <v>11856.2028871186</v>
      </c>
      <c r="L2539" s="51" t="n">
        <f aca="false">IFERROR(K2539/I2539,0)</f>
        <v>0.474248115484743</v>
      </c>
      <c r="M2539" s="49" t="n">
        <f aca="false">IFERROR(I2539/H2539,0)</f>
        <v>239.115341310509</v>
      </c>
      <c r="N2539" s="52" t="str">
        <f aca="false">'Model Inputs &amp; Assumptions'!$L$33</f>
        <v>PRD-SP01</v>
      </c>
      <c r="P2539" s="53" t="n">
        <v>0.091722</v>
      </c>
      <c r="Q2539" s="53" t="n">
        <v>-0.237009</v>
      </c>
      <c r="R2539" s="53" t="n">
        <v>-1.439706</v>
      </c>
      <c r="S2539" s="53" t="n">
        <v>-0.925844</v>
      </c>
    </row>
    <row r="2540" customFormat="false" ht="15" hidden="false" customHeight="false" outlineLevel="0" collapsed="false">
      <c r="A2540" s="43" t="n">
        <v>37</v>
      </c>
      <c r="B2540" s="44" t="str">
        <f aca="false">'Model Inputs &amp; Assumptions'!$B$33</f>
        <v>Trade Republic — Savings Plan Push</v>
      </c>
      <c r="C2540" s="45" t="n">
        <f aca="false">ROUND(MAX(0,'Model Inputs &amp; Assumptions'!$S$33*EXP('Model Inputs &amp; Assumptions'!$T$33*P2540-'Model Inputs &amp; Assumptions'!$T$33^2/2)),0)</f>
        <v>1311182</v>
      </c>
      <c r="D2540" s="46" t="n">
        <f aca="false">MIN(1,'Model Inputs &amp; Assumptions'!$U$33*EXP('Model Inputs &amp; Assumptions'!$V$33*Q2540-'Model Inputs &amp; Assumptions'!$V$33^2/2))</f>
        <v>0</v>
      </c>
      <c r="E2540" s="45" t="n">
        <f aca="false">ROUND(C2540*D2540,0)</f>
        <v>0</v>
      </c>
      <c r="F2540" s="47" t="n">
        <f aca="false">MIN(1,'Model Inputs &amp; Assumptions'!$W$33*EXP('Model Inputs &amp; Assumptions'!$X$33*R2540-'Model Inputs &amp; Assumptions'!$X$33^2/2))</f>
        <v>0.0028273137855323</v>
      </c>
      <c r="G2540" s="45" t="n">
        <f aca="false">ROUND(C2540*F2540,0)</f>
        <v>3707</v>
      </c>
      <c r="H2540" s="48" t="n">
        <f aca="false">MAX(0,(C2540*'Model Inputs &amp; Assumptions'!$N$33+E2540*'Model Inputs &amp; Assumptions'!$O$33+G2540*'Model Inputs &amp; Assumptions'!$P$33)*EXP('Model Inputs &amp; Assumptions'!$Q$33*S2540-'Model Inputs &amp; Assumptions'!$Q$33^2/2))</f>
        <v>282.34959151953</v>
      </c>
      <c r="I2540" s="49" t="n">
        <f aca="false">IF('Model Inputs &amp; Assumptions'!$H$33="Fixed",'Model Inputs &amp; Assumptions'!$I$33*'Model Inputs &amp; Assumptions'!$K$33,IF('Model Inputs &amp; Assumptions'!$H$33="CPM",'Model Inputs &amp; Assumptions'!$I$33*'Model Inputs &amp; Assumptions'!$K$33*C2540/1000,IF('Model Inputs &amp; Assumptions'!$H$33="CPC",'Model Inputs &amp; Assumptions'!$I$33*'Model Inputs &amp; Assumptions'!$K$33*G2540,0)))</f>
        <v>25000</v>
      </c>
      <c r="J2540" s="50" t="n">
        <f aca="false">H2540*INDEX('Model Inputs &amp; Assumptions'!$D$40:$D$42,MATCH('Model Inputs &amp; Assumptions'!$L$33,'Model Inputs &amp; Assumptions'!$A$40:$A$42,0))*INDEX('Model Inputs &amp; Assumptions'!$H$40:$H$42,MATCH('Model Inputs &amp; Assumptions'!$L$33,'Model Inputs &amp; Assumptions'!$A$40:$A$42,0))</f>
        <v>1524687.79420546</v>
      </c>
      <c r="K2540" s="49" t="n">
        <f aca="false">H2540*INDEX('Model Inputs &amp; Assumptions'!$G$40:$G$42,MATCH('Model Inputs &amp; Assumptions'!$L$33,'Model Inputs &amp; Assumptions'!$A$40:$A$42,0))*INDEX('Model Inputs &amp; Assumptions'!$H$40:$H$42,MATCH('Model Inputs &amp; Assumptions'!$L$33,'Model Inputs &amp; Assumptions'!$A$40:$A$42,0))</f>
        <v>32018.4436783147</v>
      </c>
      <c r="L2540" s="51" t="n">
        <f aca="false">IFERROR(K2540/I2540,0)</f>
        <v>1.28073774713259</v>
      </c>
      <c r="M2540" s="49" t="n">
        <f aca="false">IFERROR(I2540/H2540,0)</f>
        <v>88.5427170815323</v>
      </c>
      <c r="N2540" s="52" t="str">
        <f aca="false">'Model Inputs &amp; Assumptions'!$L$33</f>
        <v>PRD-SP01</v>
      </c>
      <c r="P2540" s="53" t="n">
        <v>0.445358</v>
      </c>
      <c r="Q2540" s="53" t="n">
        <v>-0.686533</v>
      </c>
      <c r="R2540" s="53" t="n">
        <v>-0.561453</v>
      </c>
      <c r="S2540" s="53" t="n">
        <v>1.302821</v>
      </c>
    </row>
    <row r="2541" customFormat="false" ht="15" hidden="false" customHeight="false" outlineLevel="0" collapsed="false">
      <c r="A2541" s="43" t="n">
        <v>38</v>
      </c>
      <c r="B2541" s="44" t="str">
        <f aca="false">'Model Inputs &amp; Assumptions'!$B$33</f>
        <v>Trade Republic — Savings Plan Push</v>
      </c>
      <c r="C2541" s="45" t="n">
        <f aca="false">ROUND(MAX(0,'Model Inputs &amp; Assumptions'!$S$33*EXP('Model Inputs &amp; Assumptions'!$T$33*P2541-'Model Inputs &amp; Assumptions'!$T$33^2/2)),0)</f>
        <v>1484691</v>
      </c>
      <c r="D2541" s="46" t="n">
        <f aca="false">MIN(1,'Model Inputs &amp; Assumptions'!$U$33*EXP('Model Inputs &amp; Assumptions'!$V$33*Q2541-'Model Inputs &amp; Assumptions'!$V$33^2/2))</f>
        <v>0</v>
      </c>
      <c r="E2541" s="45" t="n">
        <f aca="false">ROUND(C2541*D2541,0)</f>
        <v>0</v>
      </c>
      <c r="F2541" s="47" t="n">
        <f aca="false">MIN(1,'Model Inputs &amp; Assumptions'!$W$33*EXP('Model Inputs &amp; Assumptions'!$X$33*R2541-'Model Inputs &amp; Assumptions'!$X$33^2/2))</f>
        <v>0.0023524768891958</v>
      </c>
      <c r="G2541" s="45" t="n">
        <f aca="false">ROUND(C2541*F2541,0)</f>
        <v>3493</v>
      </c>
      <c r="H2541" s="48" t="n">
        <f aca="false">MAX(0,(C2541*'Model Inputs &amp; Assumptions'!$N$33+E2541*'Model Inputs &amp; Assumptions'!$O$33+G2541*'Model Inputs &amp; Assumptions'!$P$33)*EXP('Model Inputs &amp; Assumptions'!$Q$33*S2541-'Model Inputs &amp; Assumptions'!$Q$33^2/2))</f>
        <v>217.66814472605</v>
      </c>
      <c r="I2541" s="49" t="n">
        <f aca="false">IF('Model Inputs &amp; Assumptions'!$H$33="Fixed",'Model Inputs &amp; Assumptions'!$I$33*'Model Inputs &amp; Assumptions'!$K$33,IF('Model Inputs &amp; Assumptions'!$H$33="CPM",'Model Inputs &amp; Assumptions'!$I$33*'Model Inputs &amp; Assumptions'!$K$33*C2541/1000,IF('Model Inputs &amp; Assumptions'!$H$33="CPC",'Model Inputs &amp; Assumptions'!$I$33*'Model Inputs &amp; Assumptions'!$K$33*G2541,0)))</f>
        <v>25000</v>
      </c>
      <c r="J2541" s="50" t="n">
        <f aca="false">H2541*INDEX('Model Inputs &amp; Assumptions'!$D$40:$D$42,MATCH('Model Inputs &amp; Assumptions'!$L$33,'Model Inputs &amp; Assumptions'!$A$40:$A$42,0))*INDEX('Model Inputs &amp; Assumptions'!$H$40:$H$42,MATCH('Model Inputs &amp; Assumptions'!$L$33,'Model Inputs &amp; Assumptions'!$A$40:$A$42,0))</f>
        <v>1175407.98152067</v>
      </c>
      <c r="K2541" s="49" t="n">
        <f aca="false">H2541*INDEX('Model Inputs &amp; Assumptions'!$G$40:$G$42,MATCH('Model Inputs &amp; Assumptions'!$L$33,'Model Inputs &amp; Assumptions'!$A$40:$A$42,0))*INDEX('Model Inputs &amp; Assumptions'!$H$40:$H$42,MATCH('Model Inputs &amp; Assumptions'!$L$33,'Model Inputs &amp; Assumptions'!$A$40:$A$42,0))</f>
        <v>24683.5676119341</v>
      </c>
      <c r="L2541" s="51" t="n">
        <f aca="false">IFERROR(K2541/I2541,0)</f>
        <v>0.987342704477363</v>
      </c>
      <c r="M2541" s="49" t="n">
        <f aca="false">IFERROR(I2541/H2541,0)</f>
        <v>114.853737699948</v>
      </c>
      <c r="N2541" s="52" t="str">
        <f aca="false">'Model Inputs &amp; Assumptions'!$L$33</f>
        <v>PRD-SP01</v>
      </c>
      <c r="P2541" s="53" t="n">
        <v>0.859617</v>
      </c>
      <c r="Q2541" s="53" t="n">
        <v>-0.991225</v>
      </c>
      <c r="R2541" s="53" t="n">
        <v>-1.174314</v>
      </c>
      <c r="S2541" s="53" t="n">
        <v>0.585991</v>
      </c>
    </row>
    <row r="2542" customFormat="false" ht="15" hidden="false" customHeight="false" outlineLevel="0" collapsed="false">
      <c r="A2542" s="43" t="n">
        <v>39</v>
      </c>
      <c r="B2542" s="44" t="str">
        <f aca="false">'Model Inputs &amp; Assumptions'!$B$33</f>
        <v>Trade Republic — Savings Plan Push</v>
      </c>
      <c r="C2542" s="45" t="n">
        <f aca="false">ROUND(MAX(0,'Model Inputs &amp; Assumptions'!$S$33*EXP('Model Inputs &amp; Assumptions'!$T$33*P2542-'Model Inputs &amp; Assumptions'!$T$33^2/2)),0)</f>
        <v>1016478</v>
      </c>
      <c r="D2542" s="46" t="n">
        <f aca="false">MIN(1,'Model Inputs &amp; Assumptions'!$U$33*EXP('Model Inputs &amp; Assumptions'!$V$33*Q2542-'Model Inputs &amp; Assumptions'!$V$33^2/2))</f>
        <v>0</v>
      </c>
      <c r="E2542" s="45" t="n">
        <f aca="false">ROUND(C2542*D2542,0)</f>
        <v>0</v>
      </c>
      <c r="F2542" s="47" t="n">
        <f aca="false">MIN(1,'Model Inputs &amp; Assumptions'!$W$33*EXP('Model Inputs &amp; Assumptions'!$X$33*R2542-'Model Inputs &amp; Assumptions'!$X$33^2/2))</f>
        <v>0.00211942721059338</v>
      </c>
      <c r="G2542" s="45" t="n">
        <f aca="false">ROUND(C2542*F2542,0)</f>
        <v>2154</v>
      </c>
      <c r="H2542" s="48" t="n">
        <f aca="false">MAX(0,(C2542*'Model Inputs &amp; Assumptions'!$N$33+E2542*'Model Inputs &amp; Assumptions'!$O$33+G2542*'Model Inputs &amp; Assumptions'!$P$33)*EXP('Model Inputs &amp; Assumptions'!$Q$33*S2542-'Model Inputs &amp; Assumptions'!$Q$33^2/2))</f>
        <v>53.6683629707082</v>
      </c>
      <c r="I2542" s="49" t="n">
        <f aca="false">IF('Model Inputs &amp; Assumptions'!$H$33="Fixed",'Model Inputs &amp; Assumptions'!$I$33*'Model Inputs &amp; Assumptions'!$K$33,IF('Model Inputs &amp; Assumptions'!$H$33="CPM",'Model Inputs &amp; Assumptions'!$I$33*'Model Inputs &amp; Assumptions'!$K$33*C2542/1000,IF('Model Inputs &amp; Assumptions'!$H$33="CPC",'Model Inputs &amp; Assumptions'!$I$33*'Model Inputs &amp; Assumptions'!$K$33*G2542,0)))</f>
        <v>25000</v>
      </c>
      <c r="J2542" s="50" t="n">
        <f aca="false">H2542*INDEX('Model Inputs &amp; Assumptions'!$D$40:$D$42,MATCH('Model Inputs &amp; Assumptions'!$L$33,'Model Inputs &amp; Assumptions'!$A$40:$A$42,0))*INDEX('Model Inputs &amp; Assumptions'!$H$40:$H$42,MATCH('Model Inputs &amp; Assumptions'!$L$33,'Model Inputs &amp; Assumptions'!$A$40:$A$42,0))</f>
        <v>289809.160041824</v>
      </c>
      <c r="K2542" s="49" t="n">
        <f aca="false">H2542*INDEX('Model Inputs &amp; Assumptions'!$G$40:$G$42,MATCH('Model Inputs &amp; Assumptions'!$L$33,'Model Inputs &amp; Assumptions'!$A$40:$A$42,0))*INDEX('Model Inputs &amp; Assumptions'!$H$40:$H$42,MATCH('Model Inputs &amp; Assumptions'!$L$33,'Model Inputs &amp; Assumptions'!$A$40:$A$42,0))</f>
        <v>6085.9923608783</v>
      </c>
      <c r="L2542" s="51" t="n">
        <f aca="false">IFERROR(K2542/I2542,0)</f>
        <v>0.243439694435132</v>
      </c>
      <c r="M2542" s="49" t="n">
        <f aca="false">IFERROR(I2542/H2542,0)</f>
        <v>465.823785488759</v>
      </c>
      <c r="N2542" s="52" t="str">
        <f aca="false">'Model Inputs &amp; Assumptions'!$L$33</f>
        <v>PRD-SP01</v>
      </c>
      <c r="P2542" s="53" t="n">
        <v>-0.403261</v>
      </c>
      <c r="Q2542" s="53" t="n">
        <v>-1.802449</v>
      </c>
      <c r="R2542" s="53" t="n">
        <v>-1.522057</v>
      </c>
      <c r="S2542" s="53" t="n">
        <v>-2.687986</v>
      </c>
    </row>
    <row r="2543" customFormat="false" ht="15" hidden="false" customHeight="false" outlineLevel="0" collapsed="false">
      <c r="A2543" s="43" t="n">
        <v>40</v>
      </c>
      <c r="B2543" s="44" t="str">
        <f aca="false">'Model Inputs &amp; Assumptions'!$B$33</f>
        <v>Trade Republic — Savings Plan Push</v>
      </c>
      <c r="C2543" s="45" t="n">
        <f aca="false">ROUND(MAX(0,'Model Inputs &amp; Assumptions'!$S$33*EXP('Model Inputs &amp; Assumptions'!$T$33*P2543-'Model Inputs &amp; Assumptions'!$T$33^2/2)),0)</f>
        <v>1676766</v>
      </c>
      <c r="D2543" s="46" t="n">
        <f aca="false">MIN(1,'Model Inputs &amp; Assumptions'!$U$33*EXP('Model Inputs &amp; Assumptions'!$V$33*Q2543-'Model Inputs &amp; Assumptions'!$V$33^2/2))</f>
        <v>0</v>
      </c>
      <c r="E2543" s="45" t="n">
        <f aca="false">ROUND(C2543*D2543,0)</f>
        <v>0</v>
      </c>
      <c r="F2543" s="47" t="n">
        <f aca="false">MIN(1,'Model Inputs &amp; Assumptions'!$W$33*EXP('Model Inputs &amp; Assumptions'!$X$33*R2543-'Model Inputs &amp; Assumptions'!$X$33^2/2))</f>
        <v>0.00412409939925073</v>
      </c>
      <c r="G2543" s="45" t="n">
        <f aca="false">ROUND(C2543*F2543,0)</f>
        <v>6915</v>
      </c>
      <c r="H2543" s="48" t="n">
        <f aca="false">MAX(0,(C2543*'Model Inputs &amp; Assumptions'!$N$33+E2543*'Model Inputs &amp; Assumptions'!$O$33+G2543*'Model Inputs &amp; Assumptions'!$P$33)*EXP('Model Inputs &amp; Assumptions'!$Q$33*S2543-'Model Inputs &amp; Assumptions'!$Q$33^2/2))</f>
        <v>409.196839462594</v>
      </c>
      <c r="I2543" s="49" t="n">
        <f aca="false">IF('Model Inputs &amp; Assumptions'!$H$33="Fixed",'Model Inputs &amp; Assumptions'!$I$33*'Model Inputs &amp; Assumptions'!$K$33,IF('Model Inputs &amp; Assumptions'!$H$33="CPM",'Model Inputs &amp; Assumptions'!$I$33*'Model Inputs &amp; Assumptions'!$K$33*C2543/1000,IF('Model Inputs &amp; Assumptions'!$H$33="CPC",'Model Inputs &amp; Assumptions'!$I$33*'Model Inputs &amp; Assumptions'!$K$33*G2543,0)))</f>
        <v>25000</v>
      </c>
      <c r="J2543" s="50" t="n">
        <f aca="false">H2543*INDEX('Model Inputs &amp; Assumptions'!$D$40:$D$42,MATCH('Model Inputs &amp; Assumptions'!$L$33,'Model Inputs &amp; Assumptions'!$A$40:$A$42,0))*INDEX('Model Inputs &amp; Assumptions'!$H$40:$H$42,MATCH('Model Inputs &amp; Assumptions'!$L$33,'Model Inputs &amp; Assumptions'!$A$40:$A$42,0))</f>
        <v>2209662.93309801</v>
      </c>
      <c r="K2543" s="49" t="n">
        <f aca="false">H2543*INDEX('Model Inputs &amp; Assumptions'!$G$40:$G$42,MATCH('Model Inputs &amp; Assumptions'!$L$33,'Model Inputs &amp; Assumptions'!$A$40:$A$42,0))*INDEX('Model Inputs &amp; Assumptions'!$H$40:$H$42,MATCH('Model Inputs &amp; Assumptions'!$L$33,'Model Inputs &amp; Assumptions'!$A$40:$A$42,0))</f>
        <v>46402.9215950581</v>
      </c>
      <c r="L2543" s="51" t="n">
        <f aca="false">IFERROR(K2543/I2543,0)</f>
        <v>1.85611686380233</v>
      </c>
      <c r="M2543" s="49" t="n">
        <f aca="false">IFERROR(I2543/H2543,0)</f>
        <v>61.0952910409401</v>
      </c>
      <c r="N2543" s="52" t="str">
        <f aca="false">'Model Inputs &amp; Assumptions'!$L$33</f>
        <v>PRD-SP01</v>
      </c>
      <c r="P2543" s="53" t="n">
        <v>1.265152</v>
      </c>
      <c r="Q2543" s="53" t="n">
        <v>-0.746628</v>
      </c>
      <c r="R2543" s="53" t="n">
        <v>0.696949</v>
      </c>
      <c r="S2543" s="53" t="n">
        <v>0.401322</v>
      </c>
    </row>
    <row r="2544" customFormat="false" ht="15" hidden="false" customHeight="false" outlineLevel="0" collapsed="false">
      <c r="A2544" s="43" t="n">
        <v>41</v>
      </c>
      <c r="B2544" s="44" t="str">
        <f aca="false">'Model Inputs &amp; Assumptions'!$B$33</f>
        <v>Trade Republic — Savings Plan Push</v>
      </c>
      <c r="C2544" s="45" t="n">
        <f aca="false">ROUND(MAX(0,'Model Inputs &amp; Assumptions'!$S$33*EXP('Model Inputs &amp; Assumptions'!$T$33*P2544-'Model Inputs &amp; Assumptions'!$T$33^2/2)),0)</f>
        <v>1207162</v>
      </c>
      <c r="D2544" s="46" t="n">
        <f aca="false">MIN(1,'Model Inputs &amp; Assumptions'!$U$33*EXP('Model Inputs &amp; Assumptions'!$V$33*Q2544-'Model Inputs &amp; Assumptions'!$V$33^2/2))</f>
        <v>0</v>
      </c>
      <c r="E2544" s="45" t="n">
        <f aca="false">ROUND(C2544*D2544,0)</f>
        <v>0</v>
      </c>
      <c r="F2544" s="47" t="n">
        <f aca="false">MIN(1,'Model Inputs &amp; Assumptions'!$W$33*EXP('Model Inputs &amp; Assumptions'!$X$33*R2544-'Model Inputs &amp; Assumptions'!$X$33^2/2))</f>
        <v>0.00425481621549916</v>
      </c>
      <c r="G2544" s="45" t="n">
        <f aca="false">ROUND(C2544*F2544,0)</f>
        <v>5136</v>
      </c>
      <c r="H2544" s="48" t="n">
        <f aca="false">MAX(0,(C2544*'Model Inputs &amp; Assumptions'!$N$33+E2544*'Model Inputs &amp; Assumptions'!$O$33+G2544*'Model Inputs &amp; Assumptions'!$P$33)*EXP('Model Inputs &amp; Assumptions'!$Q$33*S2544-'Model Inputs &amp; Assumptions'!$Q$33^2/2))</f>
        <v>405.8915280524</v>
      </c>
      <c r="I2544" s="49" t="n">
        <f aca="false">IF('Model Inputs &amp; Assumptions'!$H$33="Fixed",'Model Inputs &amp; Assumptions'!$I$33*'Model Inputs &amp; Assumptions'!$K$33,IF('Model Inputs &amp; Assumptions'!$H$33="CPM",'Model Inputs &amp; Assumptions'!$I$33*'Model Inputs &amp; Assumptions'!$K$33*C2544/1000,IF('Model Inputs &amp; Assumptions'!$H$33="CPC",'Model Inputs &amp; Assumptions'!$I$33*'Model Inputs &amp; Assumptions'!$K$33*G2544,0)))</f>
        <v>25000</v>
      </c>
      <c r="J2544" s="50" t="n">
        <f aca="false">H2544*INDEX('Model Inputs &amp; Assumptions'!$D$40:$D$42,MATCH('Model Inputs &amp; Assumptions'!$L$33,'Model Inputs &amp; Assumptions'!$A$40:$A$42,0))*INDEX('Model Inputs &amp; Assumptions'!$H$40:$H$42,MATCH('Model Inputs &amp; Assumptions'!$L$33,'Model Inputs &amp; Assumptions'!$A$40:$A$42,0))</f>
        <v>2191814.25148296</v>
      </c>
      <c r="K2544" s="49" t="n">
        <f aca="false">H2544*INDEX('Model Inputs &amp; Assumptions'!$G$40:$G$42,MATCH('Model Inputs &amp; Assumptions'!$L$33,'Model Inputs &amp; Assumptions'!$A$40:$A$42,0))*INDEX('Model Inputs &amp; Assumptions'!$H$40:$H$42,MATCH('Model Inputs &amp; Assumptions'!$L$33,'Model Inputs &amp; Assumptions'!$A$40:$A$42,0))</f>
        <v>46028.0992811422</v>
      </c>
      <c r="L2544" s="51" t="n">
        <f aca="false">IFERROR(K2544/I2544,0)</f>
        <v>1.84112397124569</v>
      </c>
      <c r="M2544" s="49" t="n">
        <f aca="false">IFERROR(I2544/H2544,0)</f>
        <v>61.5928105717263</v>
      </c>
      <c r="N2544" s="52" t="str">
        <f aca="false">'Model Inputs &amp; Assumptions'!$L$33</f>
        <v>PRD-SP01</v>
      </c>
      <c r="P2544" s="53" t="n">
        <v>0.169835</v>
      </c>
      <c r="Q2544" s="53" t="n">
        <v>0.244182</v>
      </c>
      <c r="R2544" s="53" t="n">
        <v>0.800962</v>
      </c>
      <c r="S2544" s="53" t="n">
        <v>1.434565</v>
      </c>
    </row>
    <row r="2545" customFormat="false" ht="15" hidden="false" customHeight="false" outlineLevel="0" collapsed="false">
      <c r="A2545" s="43" t="n">
        <v>42</v>
      </c>
      <c r="B2545" s="44" t="str">
        <f aca="false">'Model Inputs &amp; Assumptions'!$B$33</f>
        <v>Trade Republic — Savings Plan Push</v>
      </c>
      <c r="C2545" s="45" t="n">
        <f aca="false">ROUND(MAX(0,'Model Inputs &amp; Assumptions'!$S$33*EXP('Model Inputs &amp; Assumptions'!$T$33*P2545-'Model Inputs &amp; Assumptions'!$T$33^2/2)),0)</f>
        <v>999997</v>
      </c>
      <c r="D2545" s="46" t="n">
        <f aca="false">MIN(1,'Model Inputs &amp; Assumptions'!$U$33*EXP('Model Inputs &amp; Assumptions'!$V$33*Q2545-'Model Inputs &amp; Assumptions'!$V$33^2/2))</f>
        <v>0</v>
      </c>
      <c r="E2545" s="45" t="n">
        <f aca="false">ROUND(C2545*D2545,0)</f>
        <v>0</v>
      </c>
      <c r="F2545" s="47" t="n">
        <f aca="false">MIN(1,'Model Inputs &amp; Assumptions'!$W$33*EXP('Model Inputs &amp; Assumptions'!$X$33*R2545-'Model Inputs &amp; Assumptions'!$X$33^2/2))</f>
        <v>0.00291688238195908</v>
      </c>
      <c r="G2545" s="45" t="n">
        <f aca="false">ROUND(C2545*F2545,0)</f>
        <v>2917</v>
      </c>
      <c r="H2545" s="48" t="n">
        <f aca="false">MAX(0,(C2545*'Model Inputs &amp; Assumptions'!$N$33+E2545*'Model Inputs &amp; Assumptions'!$O$33+G2545*'Model Inputs &amp; Assumptions'!$P$33)*EXP('Model Inputs &amp; Assumptions'!$Q$33*S2545-'Model Inputs &amp; Assumptions'!$Q$33^2/2))</f>
        <v>210.517123397003</v>
      </c>
      <c r="I2545" s="49" t="n">
        <f aca="false">IF('Model Inputs &amp; Assumptions'!$H$33="Fixed",'Model Inputs &amp; Assumptions'!$I$33*'Model Inputs &amp; Assumptions'!$K$33,IF('Model Inputs &amp; Assumptions'!$H$33="CPM",'Model Inputs &amp; Assumptions'!$I$33*'Model Inputs &amp; Assumptions'!$K$33*C2545/1000,IF('Model Inputs &amp; Assumptions'!$H$33="CPC",'Model Inputs &amp; Assumptions'!$I$33*'Model Inputs &amp; Assumptions'!$K$33*G2545,0)))</f>
        <v>25000</v>
      </c>
      <c r="J2545" s="50" t="n">
        <f aca="false">H2545*INDEX('Model Inputs &amp; Assumptions'!$D$40:$D$42,MATCH('Model Inputs &amp; Assumptions'!$L$33,'Model Inputs &amp; Assumptions'!$A$40:$A$42,0))*INDEX('Model Inputs &amp; Assumptions'!$H$40:$H$42,MATCH('Model Inputs &amp; Assumptions'!$L$33,'Model Inputs &amp; Assumptions'!$A$40:$A$42,0))</f>
        <v>1136792.46634381</v>
      </c>
      <c r="K2545" s="49" t="n">
        <f aca="false">H2545*INDEX('Model Inputs &amp; Assumptions'!$G$40:$G$42,MATCH('Model Inputs &amp; Assumptions'!$L$33,'Model Inputs &amp; Assumptions'!$A$40:$A$42,0))*INDEX('Model Inputs &amp; Assumptions'!$H$40:$H$42,MATCH('Model Inputs &amp; Assumptions'!$L$33,'Model Inputs &amp; Assumptions'!$A$40:$A$42,0))</f>
        <v>23872.6417932201</v>
      </c>
      <c r="L2545" s="51" t="n">
        <f aca="false">IFERROR(K2545/I2545,0)</f>
        <v>0.954905671728804</v>
      </c>
      <c r="M2545" s="49" t="n">
        <f aca="false">IFERROR(I2545/H2545,0)</f>
        <v>118.755185310289</v>
      </c>
      <c r="N2545" s="52" t="str">
        <f aca="false">'Model Inputs &amp; Assumptions'!$L$33</f>
        <v>PRD-SP01</v>
      </c>
      <c r="P2545" s="53" t="n">
        <v>-0.45775</v>
      </c>
      <c r="Q2545" s="53" t="n">
        <v>-0.390093</v>
      </c>
      <c r="R2545" s="53" t="n">
        <v>-0.457492</v>
      </c>
      <c r="S2545" s="53" t="n">
        <v>1.110279</v>
      </c>
    </row>
    <row r="2546" customFormat="false" ht="15" hidden="false" customHeight="false" outlineLevel="0" collapsed="false">
      <c r="A2546" s="43" t="n">
        <v>43</v>
      </c>
      <c r="B2546" s="44" t="str">
        <f aca="false">'Model Inputs &amp; Assumptions'!$B$33</f>
        <v>Trade Republic — Savings Plan Push</v>
      </c>
      <c r="C2546" s="45" t="n">
        <f aca="false">ROUND(MAX(0,'Model Inputs &amp; Assumptions'!$S$33*EXP('Model Inputs &amp; Assumptions'!$T$33*P2546-'Model Inputs &amp; Assumptions'!$T$33^2/2)),0)</f>
        <v>1151478</v>
      </c>
      <c r="D2546" s="46" t="n">
        <f aca="false">MIN(1,'Model Inputs &amp; Assumptions'!$U$33*EXP('Model Inputs &amp; Assumptions'!$V$33*Q2546-'Model Inputs &amp; Assumptions'!$V$33^2/2))</f>
        <v>0</v>
      </c>
      <c r="E2546" s="45" t="n">
        <f aca="false">ROUND(C2546*D2546,0)</f>
        <v>0</v>
      </c>
      <c r="F2546" s="47" t="n">
        <f aca="false">MIN(1,'Model Inputs &amp; Assumptions'!$W$33*EXP('Model Inputs &amp; Assumptions'!$X$33*R2546-'Model Inputs &amp; Assumptions'!$X$33^2/2))</f>
        <v>0.00465752629166991</v>
      </c>
      <c r="G2546" s="45" t="n">
        <f aca="false">ROUND(C2546*F2546,0)</f>
        <v>5363</v>
      </c>
      <c r="H2546" s="48" t="n">
        <f aca="false">MAX(0,(C2546*'Model Inputs &amp; Assumptions'!$N$33+E2546*'Model Inputs &amp; Assumptions'!$O$33+G2546*'Model Inputs &amp; Assumptions'!$P$33)*EXP('Model Inputs &amp; Assumptions'!$Q$33*S2546-'Model Inputs &amp; Assumptions'!$Q$33^2/2))</f>
        <v>312.048387908057</v>
      </c>
      <c r="I2546" s="49" t="n">
        <f aca="false">IF('Model Inputs &amp; Assumptions'!$H$33="Fixed",'Model Inputs &amp; Assumptions'!$I$33*'Model Inputs &amp; Assumptions'!$K$33,IF('Model Inputs &amp; Assumptions'!$H$33="CPM",'Model Inputs &amp; Assumptions'!$I$33*'Model Inputs &amp; Assumptions'!$K$33*C2546/1000,IF('Model Inputs &amp; Assumptions'!$H$33="CPC",'Model Inputs &amp; Assumptions'!$I$33*'Model Inputs &amp; Assumptions'!$K$33*G2546,0)))</f>
        <v>25000</v>
      </c>
      <c r="J2546" s="50" t="n">
        <f aca="false">H2546*INDEX('Model Inputs &amp; Assumptions'!$D$40:$D$42,MATCH('Model Inputs &amp; Assumptions'!$L$33,'Model Inputs &amp; Assumptions'!$A$40:$A$42,0))*INDEX('Model Inputs &amp; Assumptions'!$H$40:$H$42,MATCH('Model Inputs &amp; Assumptions'!$L$33,'Model Inputs &amp; Assumptions'!$A$40:$A$42,0))</f>
        <v>1685061.29470351</v>
      </c>
      <c r="K2546" s="49" t="n">
        <f aca="false">H2546*INDEX('Model Inputs &amp; Assumptions'!$G$40:$G$42,MATCH('Model Inputs &amp; Assumptions'!$L$33,'Model Inputs &amp; Assumptions'!$A$40:$A$42,0))*INDEX('Model Inputs &amp; Assumptions'!$H$40:$H$42,MATCH('Model Inputs &amp; Assumptions'!$L$33,'Model Inputs &amp; Assumptions'!$A$40:$A$42,0))</f>
        <v>35386.2871887737</v>
      </c>
      <c r="L2546" s="51" t="n">
        <f aca="false">IFERROR(K2546/I2546,0)</f>
        <v>1.41545148755095</v>
      </c>
      <c r="M2546" s="49" t="n">
        <f aca="false">IFERROR(I2546/H2546,0)</f>
        <v>80.1157800160341</v>
      </c>
      <c r="N2546" s="52" t="str">
        <f aca="false">'Model Inputs &amp; Assumptions'!$L$33</f>
        <v>PRD-SP01</v>
      </c>
      <c r="P2546" s="53" t="n">
        <v>0.012417</v>
      </c>
      <c r="Q2546" s="53" t="n">
        <v>-0.149819</v>
      </c>
      <c r="R2546" s="53" t="n">
        <v>1.102405</v>
      </c>
      <c r="S2546" s="53" t="n">
        <v>0.341077</v>
      </c>
    </row>
    <row r="2547" customFormat="false" ht="15" hidden="false" customHeight="false" outlineLevel="0" collapsed="false">
      <c r="A2547" s="43" t="n">
        <v>44</v>
      </c>
      <c r="B2547" s="44" t="str">
        <f aca="false">'Model Inputs &amp; Assumptions'!$B$33</f>
        <v>Trade Republic — Savings Plan Push</v>
      </c>
      <c r="C2547" s="45" t="n">
        <f aca="false">ROUND(MAX(0,'Model Inputs &amp; Assumptions'!$S$33*EXP('Model Inputs &amp; Assumptions'!$T$33*P2547-'Model Inputs &amp; Assumptions'!$T$33^2/2)),0)</f>
        <v>997093</v>
      </c>
      <c r="D2547" s="46" t="n">
        <f aca="false">MIN(1,'Model Inputs &amp; Assumptions'!$U$33*EXP('Model Inputs &amp; Assumptions'!$V$33*Q2547-'Model Inputs &amp; Assumptions'!$V$33^2/2))</f>
        <v>0</v>
      </c>
      <c r="E2547" s="45" t="n">
        <f aca="false">ROUND(C2547*D2547,0)</f>
        <v>0</v>
      </c>
      <c r="F2547" s="47" t="n">
        <f aca="false">MIN(1,'Model Inputs &amp; Assumptions'!$W$33*EXP('Model Inputs &amp; Assumptions'!$X$33*R2547-'Model Inputs &amp; Assumptions'!$X$33^2/2))</f>
        <v>0.003273765883146</v>
      </c>
      <c r="G2547" s="45" t="n">
        <f aca="false">ROUND(C2547*F2547,0)</f>
        <v>3264</v>
      </c>
      <c r="H2547" s="48" t="n">
        <f aca="false">MAX(0,(C2547*'Model Inputs &amp; Assumptions'!$N$33+E2547*'Model Inputs &amp; Assumptions'!$O$33+G2547*'Model Inputs &amp; Assumptions'!$P$33)*EXP('Model Inputs &amp; Assumptions'!$Q$33*S2547-'Model Inputs &amp; Assumptions'!$Q$33^2/2))</f>
        <v>273.87013175594</v>
      </c>
      <c r="I2547" s="49" t="n">
        <f aca="false">IF('Model Inputs &amp; Assumptions'!$H$33="Fixed",'Model Inputs &amp; Assumptions'!$I$33*'Model Inputs &amp; Assumptions'!$K$33,IF('Model Inputs &amp; Assumptions'!$H$33="CPM",'Model Inputs &amp; Assumptions'!$I$33*'Model Inputs &amp; Assumptions'!$K$33*C2547/1000,IF('Model Inputs &amp; Assumptions'!$H$33="CPC",'Model Inputs &amp; Assumptions'!$I$33*'Model Inputs &amp; Assumptions'!$K$33*G2547,0)))</f>
        <v>25000</v>
      </c>
      <c r="J2547" s="50" t="n">
        <f aca="false">H2547*INDEX('Model Inputs &amp; Assumptions'!$D$40:$D$42,MATCH('Model Inputs &amp; Assumptions'!$L$33,'Model Inputs &amp; Assumptions'!$A$40:$A$42,0))*INDEX('Model Inputs &amp; Assumptions'!$H$40:$H$42,MATCH('Model Inputs &amp; Assumptions'!$L$33,'Model Inputs &amp; Assumptions'!$A$40:$A$42,0))</f>
        <v>1478898.71148208</v>
      </c>
      <c r="K2547" s="49" t="n">
        <f aca="false">H2547*INDEX('Model Inputs &amp; Assumptions'!$G$40:$G$42,MATCH('Model Inputs &amp; Assumptions'!$L$33,'Model Inputs &amp; Assumptions'!$A$40:$A$42,0))*INDEX('Model Inputs &amp; Assumptions'!$H$40:$H$42,MATCH('Model Inputs &amp; Assumptions'!$L$33,'Model Inputs &amp; Assumptions'!$A$40:$A$42,0))</f>
        <v>31056.8729411236</v>
      </c>
      <c r="L2547" s="51" t="n">
        <f aca="false">IFERROR(K2547/I2547,0)</f>
        <v>1.24227491764494</v>
      </c>
      <c r="M2547" s="49" t="n">
        <f aca="false">IFERROR(I2547/H2547,0)</f>
        <v>91.2841420118015</v>
      </c>
      <c r="N2547" s="52" t="str">
        <f aca="false">'Model Inputs &amp; Assumptions'!$L$33</f>
        <v>PRD-SP01</v>
      </c>
      <c r="P2547" s="53" t="n">
        <v>-0.467443</v>
      </c>
      <c r="Q2547" s="53" t="n">
        <v>0.12732</v>
      </c>
      <c r="R2547" s="53" t="n">
        <v>-0.07274</v>
      </c>
      <c r="S2547" s="53" t="n">
        <v>1.648455</v>
      </c>
    </row>
    <row r="2548" customFormat="false" ht="15" hidden="false" customHeight="false" outlineLevel="0" collapsed="false">
      <c r="A2548" s="43" t="n">
        <v>45</v>
      </c>
      <c r="B2548" s="44" t="str">
        <f aca="false">'Model Inputs &amp; Assumptions'!$B$33</f>
        <v>Trade Republic — Savings Plan Push</v>
      </c>
      <c r="C2548" s="45" t="n">
        <f aca="false">ROUND(MAX(0,'Model Inputs &amp; Assumptions'!$S$33*EXP('Model Inputs &amp; Assumptions'!$T$33*P2548-'Model Inputs &amp; Assumptions'!$T$33^2/2)),0)</f>
        <v>1381720</v>
      </c>
      <c r="D2548" s="46" t="n">
        <f aca="false">MIN(1,'Model Inputs &amp; Assumptions'!$U$33*EXP('Model Inputs &amp; Assumptions'!$V$33*Q2548-'Model Inputs &amp; Assumptions'!$V$33^2/2))</f>
        <v>0</v>
      </c>
      <c r="E2548" s="45" t="n">
        <f aca="false">ROUND(C2548*D2548,0)</f>
        <v>0</v>
      </c>
      <c r="F2548" s="47" t="n">
        <f aca="false">MIN(1,'Model Inputs &amp; Assumptions'!$W$33*EXP('Model Inputs &amp; Assumptions'!$X$33*R2548-'Model Inputs &amp; Assumptions'!$X$33^2/2))</f>
        <v>0.00392877655594785</v>
      </c>
      <c r="G2548" s="45" t="n">
        <f aca="false">ROUND(C2548*F2548,0)</f>
        <v>5428</v>
      </c>
      <c r="H2548" s="48" t="n">
        <f aca="false">MAX(0,(C2548*'Model Inputs &amp; Assumptions'!$N$33+E2548*'Model Inputs &amp; Assumptions'!$O$33+G2548*'Model Inputs &amp; Assumptions'!$P$33)*EXP('Model Inputs &amp; Assumptions'!$Q$33*S2548-'Model Inputs &amp; Assumptions'!$Q$33^2/2))</f>
        <v>279.356975819734</v>
      </c>
      <c r="I2548" s="49" t="n">
        <f aca="false">IF('Model Inputs &amp; Assumptions'!$H$33="Fixed",'Model Inputs &amp; Assumptions'!$I$33*'Model Inputs &amp; Assumptions'!$K$33,IF('Model Inputs &amp; Assumptions'!$H$33="CPM",'Model Inputs &amp; Assumptions'!$I$33*'Model Inputs &amp; Assumptions'!$K$33*C2548/1000,IF('Model Inputs &amp; Assumptions'!$H$33="CPC",'Model Inputs &amp; Assumptions'!$I$33*'Model Inputs &amp; Assumptions'!$K$33*G2548,0)))</f>
        <v>25000</v>
      </c>
      <c r="J2548" s="50" t="n">
        <f aca="false">H2548*INDEX('Model Inputs &amp; Assumptions'!$D$40:$D$42,MATCH('Model Inputs &amp; Assumptions'!$L$33,'Model Inputs &amp; Assumptions'!$A$40:$A$42,0))*INDEX('Model Inputs &amp; Assumptions'!$H$40:$H$42,MATCH('Model Inputs &amp; Assumptions'!$L$33,'Model Inputs &amp; Assumptions'!$A$40:$A$42,0))</f>
        <v>1508527.66942657</v>
      </c>
      <c r="K2548" s="49" t="n">
        <f aca="false">H2548*INDEX('Model Inputs &amp; Assumptions'!$G$40:$G$42,MATCH('Model Inputs &amp; Assumptions'!$L$33,'Model Inputs &amp; Assumptions'!$A$40:$A$42,0))*INDEX('Model Inputs &amp; Assumptions'!$H$40:$H$42,MATCH('Model Inputs &amp; Assumptions'!$L$33,'Model Inputs &amp; Assumptions'!$A$40:$A$42,0))</f>
        <v>31679.0810579579</v>
      </c>
      <c r="L2548" s="51" t="n">
        <f aca="false">IFERROR(K2548/I2548,0)</f>
        <v>1.26716324231832</v>
      </c>
      <c r="M2548" s="49" t="n">
        <f aca="false">IFERROR(I2548/H2548,0)</f>
        <v>89.4912322366068</v>
      </c>
      <c r="N2548" s="52" t="str">
        <f aca="false">'Model Inputs &amp; Assumptions'!$L$33</f>
        <v>PRD-SP01</v>
      </c>
      <c r="P2548" s="53" t="n">
        <v>0.620024</v>
      </c>
      <c r="Q2548" s="53" t="n">
        <v>-2.016355</v>
      </c>
      <c r="R2548" s="53" t="n">
        <v>0.535217</v>
      </c>
      <c r="S2548" s="53" t="n">
        <v>-0.097191</v>
      </c>
    </row>
    <row r="2549" customFormat="false" ht="15" hidden="false" customHeight="false" outlineLevel="0" collapsed="false">
      <c r="A2549" s="43" t="n">
        <v>46</v>
      </c>
      <c r="B2549" s="44" t="str">
        <f aca="false">'Model Inputs &amp; Assumptions'!$B$33</f>
        <v>Trade Republic — Savings Plan Push</v>
      </c>
      <c r="C2549" s="45" t="n">
        <f aca="false">ROUND(MAX(0,'Model Inputs &amp; Assumptions'!$S$33*EXP('Model Inputs &amp; Assumptions'!$T$33*P2549-'Model Inputs &amp; Assumptions'!$T$33^2/2)),0)</f>
        <v>1355581</v>
      </c>
      <c r="D2549" s="46" t="n">
        <f aca="false">MIN(1,'Model Inputs &amp; Assumptions'!$U$33*EXP('Model Inputs &amp; Assumptions'!$V$33*Q2549-'Model Inputs &amp; Assumptions'!$V$33^2/2))</f>
        <v>0</v>
      </c>
      <c r="E2549" s="45" t="n">
        <f aca="false">ROUND(C2549*D2549,0)</f>
        <v>0</v>
      </c>
      <c r="F2549" s="47" t="n">
        <f aca="false">MIN(1,'Model Inputs &amp; Assumptions'!$W$33*EXP('Model Inputs &amp; Assumptions'!$X$33*R2549-'Model Inputs &amp; Assumptions'!$X$33^2/2))</f>
        <v>0.00261385245247311</v>
      </c>
      <c r="G2549" s="45" t="n">
        <f aca="false">ROUND(C2549*F2549,0)</f>
        <v>3543</v>
      </c>
      <c r="H2549" s="48" t="n">
        <f aca="false">MAX(0,(C2549*'Model Inputs &amp; Assumptions'!$N$33+E2549*'Model Inputs &amp; Assumptions'!$O$33+G2549*'Model Inputs &amp; Assumptions'!$P$33)*EXP('Model Inputs &amp; Assumptions'!$Q$33*S2549-'Model Inputs &amp; Assumptions'!$Q$33^2/2))</f>
        <v>322.045851418203</v>
      </c>
      <c r="I2549" s="49" t="n">
        <f aca="false">IF('Model Inputs &amp; Assumptions'!$H$33="Fixed",'Model Inputs &amp; Assumptions'!$I$33*'Model Inputs &amp; Assumptions'!$K$33,IF('Model Inputs &amp; Assumptions'!$H$33="CPM",'Model Inputs &amp; Assumptions'!$I$33*'Model Inputs &amp; Assumptions'!$K$33*C2549/1000,IF('Model Inputs &amp; Assumptions'!$H$33="CPC",'Model Inputs &amp; Assumptions'!$I$33*'Model Inputs &amp; Assumptions'!$K$33*G2549,0)))</f>
        <v>25000</v>
      </c>
      <c r="J2549" s="50" t="n">
        <f aca="false">H2549*INDEX('Model Inputs &amp; Assumptions'!$D$40:$D$42,MATCH('Model Inputs &amp; Assumptions'!$L$33,'Model Inputs &amp; Assumptions'!$A$40:$A$42,0))*INDEX('Model Inputs &amp; Assumptions'!$H$40:$H$42,MATCH('Model Inputs &amp; Assumptions'!$L$33,'Model Inputs &amp; Assumptions'!$A$40:$A$42,0))</f>
        <v>1739047.59765829</v>
      </c>
      <c r="K2549" s="49" t="n">
        <f aca="false">H2549*INDEX('Model Inputs &amp; Assumptions'!$G$40:$G$42,MATCH('Model Inputs &amp; Assumptions'!$L$33,'Model Inputs &amp; Assumptions'!$A$40:$A$42,0))*INDEX('Model Inputs &amp; Assumptions'!$H$40:$H$42,MATCH('Model Inputs &amp; Assumptions'!$L$33,'Model Inputs &amp; Assumptions'!$A$40:$A$42,0))</f>
        <v>36519.9995508242</v>
      </c>
      <c r="L2549" s="51" t="n">
        <f aca="false">IFERROR(K2549/I2549,0)</f>
        <v>1.46079998203297</v>
      </c>
      <c r="M2549" s="49" t="n">
        <f aca="false">IFERROR(I2549/H2549,0)</f>
        <v>77.6286975593903</v>
      </c>
      <c r="N2549" s="52" t="str">
        <f aca="false">'Model Inputs &amp; Assumptions'!$L$33</f>
        <v>PRD-SP01</v>
      </c>
      <c r="P2549" s="53" t="n">
        <v>0.556361</v>
      </c>
      <c r="Q2549" s="53" t="n">
        <v>-0.121721</v>
      </c>
      <c r="R2549" s="53" t="n">
        <v>-0.823126</v>
      </c>
      <c r="S2549" s="53" t="n">
        <v>1.934239</v>
      </c>
    </row>
    <row r="2550" customFormat="false" ht="15" hidden="false" customHeight="false" outlineLevel="0" collapsed="false">
      <c r="A2550" s="43" t="n">
        <v>47</v>
      </c>
      <c r="B2550" s="44" t="str">
        <f aca="false">'Model Inputs &amp; Assumptions'!$B$33</f>
        <v>Trade Republic — Savings Plan Push</v>
      </c>
      <c r="C2550" s="45" t="n">
        <f aca="false">ROUND(MAX(0,'Model Inputs &amp; Assumptions'!$S$33*EXP('Model Inputs &amp; Assumptions'!$T$33*P2550-'Model Inputs &amp; Assumptions'!$T$33^2/2)),0)</f>
        <v>1528735</v>
      </c>
      <c r="D2550" s="46" t="n">
        <f aca="false">MIN(1,'Model Inputs &amp; Assumptions'!$U$33*EXP('Model Inputs &amp; Assumptions'!$V$33*Q2550-'Model Inputs &amp; Assumptions'!$V$33^2/2))</f>
        <v>0</v>
      </c>
      <c r="E2550" s="45" t="n">
        <f aca="false">ROUND(C2550*D2550,0)</f>
        <v>0</v>
      </c>
      <c r="F2550" s="47" t="n">
        <f aca="false">MIN(1,'Model Inputs &amp; Assumptions'!$W$33*EXP('Model Inputs &amp; Assumptions'!$X$33*R2550-'Model Inputs &amp; Assumptions'!$X$33^2/2))</f>
        <v>0.00348558596238171</v>
      </c>
      <c r="G2550" s="45" t="n">
        <f aca="false">ROUND(C2550*F2550,0)</f>
        <v>5329</v>
      </c>
      <c r="H2550" s="48" t="n">
        <f aca="false">MAX(0,(C2550*'Model Inputs &amp; Assumptions'!$N$33+E2550*'Model Inputs &amp; Assumptions'!$O$33+G2550*'Model Inputs &amp; Assumptions'!$P$33)*EXP('Model Inputs &amp; Assumptions'!$Q$33*S2550-'Model Inputs &amp; Assumptions'!$Q$33^2/2))</f>
        <v>245.423131578864</v>
      </c>
      <c r="I2550" s="49" t="n">
        <f aca="false">IF('Model Inputs &amp; Assumptions'!$H$33="Fixed",'Model Inputs &amp; Assumptions'!$I$33*'Model Inputs &amp; Assumptions'!$K$33,IF('Model Inputs &amp; Assumptions'!$H$33="CPM",'Model Inputs &amp; Assumptions'!$I$33*'Model Inputs &amp; Assumptions'!$K$33*C2550/1000,IF('Model Inputs &amp; Assumptions'!$H$33="CPC",'Model Inputs &amp; Assumptions'!$I$33*'Model Inputs &amp; Assumptions'!$K$33*G2550,0)))</f>
        <v>25000</v>
      </c>
      <c r="J2550" s="50" t="n">
        <f aca="false">H2550*INDEX('Model Inputs &amp; Assumptions'!$D$40:$D$42,MATCH('Model Inputs &amp; Assumptions'!$L$33,'Model Inputs &amp; Assumptions'!$A$40:$A$42,0))*INDEX('Model Inputs &amp; Assumptions'!$H$40:$H$42,MATCH('Model Inputs &amp; Assumptions'!$L$33,'Model Inputs &amp; Assumptions'!$A$40:$A$42,0))</f>
        <v>1325284.91052587</v>
      </c>
      <c r="K2550" s="49" t="n">
        <f aca="false">H2550*INDEX('Model Inputs &amp; Assumptions'!$G$40:$G$42,MATCH('Model Inputs &amp; Assumptions'!$L$33,'Model Inputs &amp; Assumptions'!$A$40:$A$42,0))*INDEX('Model Inputs &amp; Assumptions'!$H$40:$H$42,MATCH('Model Inputs &amp; Assumptions'!$L$33,'Model Inputs &amp; Assumptions'!$A$40:$A$42,0))</f>
        <v>27830.9831210432</v>
      </c>
      <c r="L2550" s="51" t="n">
        <f aca="false">IFERROR(K2550/I2550,0)</f>
        <v>1.11323932484173</v>
      </c>
      <c r="M2550" s="49" t="n">
        <f aca="false">IFERROR(I2550/H2550,0)</f>
        <v>101.864888770546</v>
      </c>
      <c r="N2550" s="52" t="str">
        <f aca="false">'Model Inputs &amp; Assumptions'!$L$33</f>
        <v>PRD-SP01</v>
      </c>
      <c r="P2550" s="53" t="n">
        <v>0.957063</v>
      </c>
      <c r="Q2550" s="53" t="n">
        <v>-1.423198</v>
      </c>
      <c r="R2550" s="53" t="n">
        <v>0.136244</v>
      </c>
      <c r="S2550" s="53" t="n">
        <v>-0.493975</v>
      </c>
    </row>
    <row r="2551" customFormat="false" ht="15" hidden="false" customHeight="false" outlineLevel="0" collapsed="false">
      <c r="A2551" s="43" t="n">
        <v>48</v>
      </c>
      <c r="B2551" s="44" t="str">
        <f aca="false">'Model Inputs &amp; Assumptions'!$B$33</f>
        <v>Trade Republic — Savings Plan Push</v>
      </c>
      <c r="C2551" s="45" t="n">
        <f aca="false">ROUND(MAX(0,'Model Inputs &amp; Assumptions'!$S$33*EXP('Model Inputs &amp; Assumptions'!$T$33*P2551-'Model Inputs &amp; Assumptions'!$T$33^2/2)),0)</f>
        <v>625076</v>
      </c>
      <c r="D2551" s="46" t="n">
        <f aca="false">MIN(1,'Model Inputs &amp; Assumptions'!$U$33*EXP('Model Inputs &amp; Assumptions'!$V$33*Q2551-'Model Inputs &amp; Assumptions'!$V$33^2/2))</f>
        <v>0</v>
      </c>
      <c r="E2551" s="45" t="n">
        <f aca="false">ROUND(C2551*D2551,0)</f>
        <v>0</v>
      </c>
      <c r="F2551" s="47" t="n">
        <f aca="false">MIN(1,'Model Inputs &amp; Assumptions'!$W$33*EXP('Model Inputs &amp; Assumptions'!$X$33*R2551-'Model Inputs &amp; Assumptions'!$X$33^2/2))</f>
        <v>0.00391372837595261</v>
      </c>
      <c r="G2551" s="45" t="n">
        <f aca="false">ROUND(C2551*F2551,0)</f>
        <v>2446</v>
      </c>
      <c r="H2551" s="48" t="n">
        <f aca="false">MAX(0,(C2551*'Model Inputs &amp; Assumptions'!$N$33+E2551*'Model Inputs &amp; Assumptions'!$O$33+G2551*'Model Inputs &amp; Assumptions'!$P$33)*EXP('Model Inputs &amp; Assumptions'!$Q$33*S2551-'Model Inputs &amp; Assumptions'!$Q$33^2/2))</f>
        <v>215.932457602</v>
      </c>
      <c r="I2551" s="49" t="n">
        <f aca="false">IF('Model Inputs &amp; Assumptions'!$H$33="Fixed",'Model Inputs &amp; Assumptions'!$I$33*'Model Inputs &amp; Assumptions'!$K$33,IF('Model Inputs &amp; Assumptions'!$H$33="CPM",'Model Inputs &amp; Assumptions'!$I$33*'Model Inputs &amp; Assumptions'!$K$33*C2551/1000,IF('Model Inputs &amp; Assumptions'!$H$33="CPC",'Model Inputs &amp; Assumptions'!$I$33*'Model Inputs &amp; Assumptions'!$K$33*G2551,0)))</f>
        <v>25000</v>
      </c>
      <c r="J2551" s="50" t="n">
        <f aca="false">H2551*INDEX('Model Inputs &amp; Assumptions'!$D$40:$D$42,MATCH('Model Inputs &amp; Assumptions'!$L$33,'Model Inputs &amp; Assumptions'!$A$40:$A$42,0))*INDEX('Model Inputs &amp; Assumptions'!$H$40:$H$42,MATCH('Model Inputs &amp; Assumptions'!$L$33,'Model Inputs &amp; Assumptions'!$A$40:$A$42,0))</f>
        <v>1166035.2710508</v>
      </c>
      <c r="K2551" s="49" t="n">
        <f aca="false">H2551*INDEX('Model Inputs &amp; Assumptions'!$G$40:$G$42,MATCH('Model Inputs &amp; Assumptions'!$L$33,'Model Inputs &amp; Assumptions'!$A$40:$A$42,0))*INDEX('Model Inputs &amp; Assumptions'!$H$40:$H$42,MATCH('Model Inputs &amp; Assumptions'!$L$33,'Model Inputs &amp; Assumptions'!$A$40:$A$42,0))</f>
        <v>24486.7406920668</v>
      </c>
      <c r="L2551" s="51" t="n">
        <f aca="false">IFERROR(K2551/I2551,0)</f>
        <v>0.979469627682673</v>
      </c>
      <c r="M2551" s="49" t="n">
        <f aca="false">IFERROR(I2551/H2551,0)</f>
        <v>115.776943761179</v>
      </c>
      <c r="N2551" s="52" t="str">
        <f aca="false">'Model Inputs &amp; Assumptions'!$L$33</f>
        <v>PRD-SP01</v>
      </c>
      <c r="P2551" s="53" t="n">
        <v>-2.024013</v>
      </c>
      <c r="Q2551" s="53" t="n">
        <v>-0.510237</v>
      </c>
      <c r="R2551" s="53" t="n">
        <v>0.522425</v>
      </c>
      <c r="S2551" s="53" t="n">
        <v>1.829923</v>
      </c>
    </row>
    <row r="2552" customFormat="false" ht="15" hidden="false" customHeight="false" outlineLevel="0" collapsed="false">
      <c r="A2552" s="43" t="n">
        <v>49</v>
      </c>
      <c r="B2552" s="44" t="str">
        <f aca="false">'Model Inputs &amp; Assumptions'!$B$33</f>
        <v>Trade Republic — Savings Plan Push</v>
      </c>
      <c r="C2552" s="45" t="n">
        <f aca="false">ROUND(MAX(0,'Model Inputs &amp; Assumptions'!$S$33*EXP('Model Inputs &amp; Assumptions'!$T$33*P2552-'Model Inputs &amp; Assumptions'!$T$33^2/2)),0)</f>
        <v>1201586</v>
      </c>
      <c r="D2552" s="46" t="n">
        <f aca="false">MIN(1,'Model Inputs &amp; Assumptions'!$U$33*EXP('Model Inputs &amp; Assumptions'!$V$33*Q2552-'Model Inputs &amp; Assumptions'!$V$33^2/2))</f>
        <v>0</v>
      </c>
      <c r="E2552" s="45" t="n">
        <f aca="false">ROUND(C2552*D2552,0)</f>
        <v>0</v>
      </c>
      <c r="F2552" s="47" t="n">
        <f aca="false">MIN(1,'Model Inputs &amp; Assumptions'!$W$33*EXP('Model Inputs &amp; Assumptions'!$X$33*R2552-'Model Inputs &amp; Assumptions'!$X$33^2/2))</f>
        <v>0.00279173807688445</v>
      </c>
      <c r="G2552" s="45" t="n">
        <f aca="false">ROUND(C2552*F2552,0)</f>
        <v>3355</v>
      </c>
      <c r="H2552" s="48" t="n">
        <f aca="false">MAX(0,(C2552*'Model Inputs &amp; Assumptions'!$N$33+E2552*'Model Inputs &amp; Assumptions'!$O$33+G2552*'Model Inputs &amp; Assumptions'!$P$33)*EXP('Model Inputs &amp; Assumptions'!$Q$33*S2552-'Model Inputs &amp; Assumptions'!$Q$33^2/2))</f>
        <v>198.888879771332</v>
      </c>
      <c r="I2552" s="49" t="n">
        <f aca="false">IF('Model Inputs &amp; Assumptions'!$H$33="Fixed",'Model Inputs &amp; Assumptions'!$I$33*'Model Inputs &amp; Assumptions'!$K$33,IF('Model Inputs &amp; Assumptions'!$H$33="CPM",'Model Inputs &amp; Assumptions'!$I$33*'Model Inputs &amp; Assumptions'!$K$33*C2552/1000,IF('Model Inputs &amp; Assumptions'!$H$33="CPC",'Model Inputs &amp; Assumptions'!$I$33*'Model Inputs &amp; Assumptions'!$K$33*G2552,0)))</f>
        <v>25000</v>
      </c>
      <c r="J2552" s="50" t="n">
        <f aca="false">H2552*INDEX('Model Inputs &amp; Assumptions'!$D$40:$D$42,MATCH('Model Inputs &amp; Assumptions'!$L$33,'Model Inputs &amp; Assumptions'!$A$40:$A$42,0))*INDEX('Model Inputs &amp; Assumptions'!$H$40:$H$42,MATCH('Model Inputs &amp; Assumptions'!$L$33,'Model Inputs &amp; Assumptions'!$A$40:$A$42,0))</f>
        <v>1073999.95076519</v>
      </c>
      <c r="K2552" s="49" t="n">
        <f aca="false">H2552*INDEX('Model Inputs &amp; Assumptions'!$G$40:$G$42,MATCH('Model Inputs &amp; Assumptions'!$L$33,'Model Inputs &amp; Assumptions'!$A$40:$A$42,0))*INDEX('Model Inputs &amp; Assumptions'!$H$40:$H$42,MATCH('Model Inputs &amp; Assumptions'!$L$33,'Model Inputs &amp; Assumptions'!$A$40:$A$42,0))</f>
        <v>22553.9989660691</v>
      </c>
      <c r="L2552" s="51" t="n">
        <f aca="false">IFERROR(K2552/I2552,0)</f>
        <v>0.902159958642763</v>
      </c>
      <c r="M2552" s="49" t="n">
        <f aca="false">IFERROR(I2552/H2552,0)</f>
        <v>125.698329784668</v>
      </c>
      <c r="N2552" s="52" t="str">
        <f aca="false">'Model Inputs &amp; Assumptions'!$L$33</f>
        <v>PRD-SP01</v>
      </c>
      <c r="P2552" s="53" t="n">
        <v>0.154404</v>
      </c>
      <c r="Q2552" s="53" t="n">
        <v>2.990572</v>
      </c>
      <c r="R2552" s="53" t="n">
        <v>-0.603662</v>
      </c>
      <c r="S2552" s="53" t="n">
        <v>0.407719</v>
      </c>
    </row>
    <row r="2553" customFormat="false" ht="15" hidden="false" customHeight="false" outlineLevel="0" collapsed="false">
      <c r="A2553" s="43" t="n">
        <v>50</v>
      </c>
      <c r="B2553" s="44" t="str">
        <f aca="false">'Model Inputs &amp; Assumptions'!$B$33</f>
        <v>Trade Republic — Savings Plan Push</v>
      </c>
      <c r="C2553" s="45" t="n">
        <f aca="false">ROUND(MAX(0,'Model Inputs &amp; Assumptions'!$S$33*EXP('Model Inputs &amp; Assumptions'!$T$33*P2553-'Model Inputs &amp; Assumptions'!$T$33^2/2)),0)</f>
        <v>1468774</v>
      </c>
      <c r="D2553" s="46" t="n">
        <f aca="false">MIN(1,'Model Inputs &amp; Assumptions'!$U$33*EXP('Model Inputs &amp; Assumptions'!$V$33*Q2553-'Model Inputs &amp; Assumptions'!$V$33^2/2))</f>
        <v>0</v>
      </c>
      <c r="E2553" s="45" t="n">
        <f aca="false">ROUND(C2553*D2553,0)</f>
        <v>0</v>
      </c>
      <c r="F2553" s="47" t="n">
        <f aca="false">MIN(1,'Model Inputs &amp; Assumptions'!$W$33*EXP('Model Inputs &amp; Assumptions'!$X$33*R2553-'Model Inputs &amp; Assumptions'!$X$33^2/2))</f>
        <v>0.0031592857339693</v>
      </c>
      <c r="G2553" s="45" t="n">
        <f aca="false">ROUND(C2553*F2553,0)</f>
        <v>4640</v>
      </c>
      <c r="H2553" s="48" t="n">
        <f aca="false">MAX(0,(C2553*'Model Inputs &amp; Assumptions'!$N$33+E2553*'Model Inputs &amp; Assumptions'!$O$33+G2553*'Model Inputs &amp; Assumptions'!$P$33)*EXP('Model Inputs &amp; Assumptions'!$Q$33*S2553-'Model Inputs &amp; Assumptions'!$Q$33^2/2))</f>
        <v>232.867828154009</v>
      </c>
      <c r="I2553" s="49" t="n">
        <f aca="false">IF('Model Inputs &amp; Assumptions'!$H$33="Fixed",'Model Inputs &amp; Assumptions'!$I$33*'Model Inputs &amp; Assumptions'!$K$33,IF('Model Inputs &amp; Assumptions'!$H$33="CPM",'Model Inputs &amp; Assumptions'!$I$33*'Model Inputs &amp; Assumptions'!$K$33*C2553/1000,IF('Model Inputs &amp; Assumptions'!$H$33="CPC",'Model Inputs &amp; Assumptions'!$I$33*'Model Inputs &amp; Assumptions'!$K$33*G2553,0)))</f>
        <v>25000</v>
      </c>
      <c r="J2553" s="50" t="n">
        <f aca="false">H2553*INDEX('Model Inputs &amp; Assumptions'!$D$40:$D$42,MATCH('Model Inputs &amp; Assumptions'!$L$33,'Model Inputs &amp; Assumptions'!$A$40:$A$42,0))*INDEX('Model Inputs &amp; Assumptions'!$H$40:$H$42,MATCH('Model Inputs &amp; Assumptions'!$L$33,'Model Inputs &amp; Assumptions'!$A$40:$A$42,0))</f>
        <v>1257486.27203165</v>
      </c>
      <c r="K2553" s="49" t="n">
        <f aca="false">H2553*INDEX('Model Inputs &amp; Assumptions'!$G$40:$G$42,MATCH('Model Inputs &amp; Assumptions'!$L$33,'Model Inputs &amp; Assumptions'!$A$40:$A$42,0))*INDEX('Model Inputs &amp; Assumptions'!$H$40:$H$42,MATCH('Model Inputs &amp; Assumptions'!$L$33,'Model Inputs &amp; Assumptions'!$A$40:$A$42,0))</f>
        <v>26407.2117126646</v>
      </c>
      <c r="L2553" s="51" t="n">
        <f aca="false">IFERROR(K2553/I2553,0)</f>
        <v>1.05628846850658</v>
      </c>
      <c r="M2553" s="49" t="n">
        <f aca="false">IFERROR(I2553/H2553,0)</f>
        <v>107.357036814317</v>
      </c>
      <c r="N2553" s="52" t="str">
        <f aca="false">'Model Inputs &amp; Assumptions'!$L$33</f>
        <v>PRD-SP01</v>
      </c>
      <c r="P2553" s="53" t="n">
        <v>0.823689</v>
      </c>
      <c r="Q2553" s="53" t="n">
        <v>-0.618343</v>
      </c>
      <c r="R2553" s="53" t="n">
        <v>-0.19139</v>
      </c>
      <c r="S2553" s="53" t="n">
        <v>-0.187059</v>
      </c>
    </row>
    <row r="2554" customFormat="false" ht="15" hidden="false" customHeight="false" outlineLevel="0" collapsed="false">
      <c r="A2554" s="43" t="n">
        <v>51</v>
      </c>
      <c r="B2554" s="44" t="str">
        <f aca="false">'Model Inputs &amp; Assumptions'!$B$33</f>
        <v>Trade Republic — Savings Plan Push</v>
      </c>
      <c r="C2554" s="45" t="n">
        <f aca="false">ROUND(MAX(0,'Model Inputs &amp; Assumptions'!$S$33*EXP('Model Inputs &amp; Assumptions'!$T$33*P2554-'Model Inputs &amp; Assumptions'!$T$33^2/2)),0)</f>
        <v>1034831</v>
      </c>
      <c r="D2554" s="46" t="n">
        <f aca="false">MIN(1,'Model Inputs &amp; Assumptions'!$U$33*EXP('Model Inputs &amp; Assumptions'!$V$33*Q2554-'Model Inputs &amp; Assumptions'!$V$33^2/2))</f>
        <v>0</v>
      </c>
      <c r="E2554" s="45" t="n">
        <f aca="false">ROUND(C2554*D2554,0)</f>
        <v>0</v>
      </c>
      <c r="F2554" s="47" t="n">
        <f aca="false">MIN(1,'Model Inputs &amp; Assumptions'!$W$33*EXP('Model Inputs &amp; Assumptions'!$X$33*R2554-'Model Inputs &amp; Assumptions'!$X$33^2/2))</f>
        <v>0.0055428082047521</v>
      </c>
      <c r="G2554" s="45" t="n">
        <f aca="false">ROUND(C2554*F2554,0)</f>
        <v>5736</v>
      </c>
      <c r="H2554" s="48" t="n">
        <f aca="false">MAX(0,(C2554*'Model Inputs &amp; Assumptions'!$N$33+E2554*'Model Inputs &amp; Assumptions'!$O$33+G2554*'Model Inputs &amp; Assumptions'!$P$33)*EXP('Model Inputs &amp; Assumptions'!$Q$33*S2554-'Model Inputs &amp; Assumptions'!$Q$33^2/2))</f>
        <v>318.977768307357</v>
      </c>
      <c r="I2554" s="49" t="n">
        <f aca="false">IF('Model Inputs &amp; Assumptions'!$H$33="Fixed",'Model Inputs &amp; Assumptions'!$I$33*'Model Inputs &amp; Assumptions'!$K$33,IF('Model Inputs &amp; Assumptions'!$H$33="CPM",'Model Inputs &amp; Assumptions'!$I$33*'Model Inputs &amp; Assumptions'!$K$33*C2554/1000,IF('Model Inputs &amp; Assumptions'!$H$33="CPC",'Model Inputs &amp; Assumptions'!$I$33*'Model Inputs &amp; Assumptions'!$K$33*G2554,0)))</f>
        <v>25000</v>
      </c>
      <c r="J2554" s="50" t="n">
        <f aca="false">H2554*INDEX('Model Inputs &amp; Assumptions'!$D$40:$D$42,MATCH('Model Inputs &amp; Assumptions'!$L$33,'Model Inputs &amp; Assumptions'!$A$40:$A$42,0))*INDEX('Model Inputs &amp; Assumptions'!$H$40:$H$42,MATCH('Model Inputs &amp; Assumptions'!$L$33,'Model Inputs &amp; Assumptions'!$A$40:$A$42,0))</f>
        <v>1722479.94885973</v>
      </c>
      <c r="K2554" s="49" t="n">
        <f aca="false">H2554*INDEX('Model Inputs &amp; Assumptions'!$G$40:$G$42,MATCH('Model Inputs &amp; Assumptions'!$L$33,'Model Inputs &amp; Assumptions'!$A$40:$A$42,0))*INDEX('Model Inputs &amp; Assumptions'!$H$40:$H$42,MATCH('Model Inputs &amp; Assumptions'!$L$33,'Model Inputs &amp; Assumptions'!$A$40:$A$42,0))</f>
        <v>36172.0789260543</v>
      </c>
      <c r="L2554" s="51" t="n">
        <f aca="false">IFERROR(K2554/I2554,0)</f>
        <v>1.44688315704217</v>
      </c>
      <c r="M2554" s="49" t="n">
        <f aca="false">IFERROR(I2554/H2554,0)</f>
        <v>78.3753680786642</v>
      </c>
      <c r="N2554" s="52" t="str">
        <f aca="false">'Model Inputs &amp; Assumptions'!$L$33</f>
        <v>PRD-SP01</v>
      </c>
      <c r="P2554" s="53" t="n">
        <v>-0.34361</v>
      </c>
      <c r="Q2554" s="53" t="n">
        <v>0.568613</v>
      </c>
      <c r="R2554" s="53" t="n">
        <v>1.682461</v>
      </c>
      <c r="S2554" s="53" t="n">
        <v>0.179379</v>
      </c>
    </row>
    <row r="2555" customFormat="false" ht="15" hidden="false" customHeight="false" outlineLevel="0" collapsed="false">
      <c r="A2555" s="43" t="n">
        <v>52</v>
      </c>
      <c r="B2555" s="44" t="str">
        <f aca="false">'Model Inputs &amp; Assumptions'!$B$33</f>
        <v>Trade Republic — Savings Plan Push</v>
      </c>
      <c r="C2555" s="45" t="n">
        <f aca="false">ROUND(MAX(0,'Model Inputs &amp; Assumptions'!$S$33*EXP('Model Inputs &amp; Assumptions'!$T$33*P2555-'Model Inputs &amp; Assumptions'!$T$33^2/2)),0)</f>
        <v>1425330</v>
      </c>
      <c r="D2555" s="46" t="n">
        <f aca="false">MIN(1,'Model Inputs &amp; Assumptions'!$U$33*EXP('Model Inputs &amp; Assumptions'!$V$33*Q2555-'Model Inputs &amp; Assumptions'!$V$33^2/2))</f>
        <v>0</v>
      </c>
      <c r="E2555" s="45" t="n">
        <f aca="false">ROUND(C2555*D2555,0)</f>
        <v>0</v>
      </c>
      <c r="F2555" s="47" t="n">
        <f aca="false">MIN(1,'Model Inputs &amp; Assumptions'!$W$33*EXP('Model Inputs &amp; Assumptions'!$X$33*R2555-'Model Inputs &amp; Assumptions'!$X$33^2/2))</f>
        <v>0.00474994893990632</v>
      </c>
      <c r="G2555" s="45" t="n">
        <f aca="false">ROUND(C2555*F2555,0)</f>
        <v>6770</v>
      </c>
      <c r="H2555" s="48" t="n">
        <f aca="false">MAX(0,(C2555*'Model Inputs &amp; Assumptions'!$N$33+E2555*'Model Inputs &amp; Assumptions'!$O$33+G2555*'Model Inputs &amp; Assumptions'!$P$33)*EXP('Model Inputs &amp; Assumptions'!$Q$33*S2555-'Model Inputs &amp; Assumptions'!$Q$33^2/2))</f>
        <v>373.601421850321</v>
      </c>
      <c r="I2555" s="49" t="n">
        <f aca="false">IF('Model Inputs &amp; Assumptions'!$H$33="Fixed",'Model Inputs &amp; Assumptions'!$I$33*'Model Inputs &amp; Assumptions'!$K$33,IF('Model Inputs &amp; Assumptions'!$H$33="CPM",'Model Inputs &amp; Assumptions'!$I$33*'Model Inputs &amp; Assumptions'!$K$33*C2555/1000,IF('Model Inputs &amp; Assumptions'!$H$33="CPC",'Model Inputs &amp; Assumptions'!$I$33*'Model Inputs &amp; Assumptions'!$K$33*G2555,0)))</f>
        <v>25000</v>
      </c>
      <c r="J2555" s="50" t="n">
        <f aca="false">H2555*INDEX('Model Inputs &amp; Assumptions'!$D$40:$D$42,MATCH('Model Inputs &amp; Assumptions'!$L$33,'Model Inputs &amp; Assumptions'!$A$40:$A$42,0))*INDEX('Model Inputs &amp; Assumptions'!$H$40:$H$42,MATCH('Model Inputs &amp; Assumptions'!$L$33,'Model Inputs &amp; Assumptions'!$A$40:$A$42,0))</f>
        <v>2017447.67799173</v>
      </c>
      <c r="K2555" s="49" t="n">
        <f aca="false">H2555*INDEX('Model Inputs &amp; Assumptions'!$G$40:$G$42,MATCH('Model Inputs &amp; Assumptions'!$L$33,'Model Inputs &amp; Assumptions'!$A$40:$A$42,0))*INDEX('Model Inputs &amp; Assumptions'!$H$40:$H$42,MATCH('Model Inputs &amp; Assumptions'!$L$33,'Model Inputs &amp; Assumptions'!$A$40:$A$42,0))</f>
        <v>42366.4012378264</v>
      </c>
      <c r="L2555" s="51" t="n">
        <f aca="false">IFERROR(K2555/I2555,0)</f>
        <v>1.69465604951305</v>
      </c>
      <c r="M2555" s="49" t="n">
        <f aca="false">IFERROR(I2555/H2555,0)</f>
        <v>66.9162335522802</v>
      </c>
      <c r="N2555" s="52" t="str">
        <f aca="false">'Model Inputs &amp; Assumptions'!$L$33</f>
        <v>PRD-SP01</v>
      </c>
      <c r="P2555" s="53" t="n">
        <v>0.723607</v>
      </c>
      <c r="Q2555" s="53" t="n">
        <v>-0.440463</v>
      </c>
      <c r="R2555" s="53" t="n">
        <v>1.167903</v>
      </c>
      <c r="S2555" s="53" t="n">
        <v>0.151983</v>
      </c>
    </row>
    <row r="2556" customFormat="false" ht="15" hidden="false" customHeight="false" outlineLevel="0" collapsed="false">
      <c r="A2556" s="43" t="n">
        <v>53</v>
      </c>
      <c r="B2556" s="44" t="str">
        <f aca="false">'Model Inputs &amp; Assumptions'!$B$33</f>
        <v>Trade Republic — Savings Plan Push</v>
      </c>
      <c r="C2556" s="45" t="n">
        <f aca="false">ROUND(MAX(0,'Model Inputs &amp; Assumptions'!$S$33*EXP('Model Inputs &amp; Assumptions'!$T$33*P2556-'Model Inputs &amp; Assumptions'!$T$33^2/2)),0)</f>
        <v>1593130</v>
      </c>
      <c r="D2556" s="46" t="n">
        <f aca="false">MIN(1,'Model Inputs &amp; Assumptions'!$U$33*EXP('Model Inputs &amp; Assumptions'!$V$33*Q2556-'Model Inputs &amp; Assumptions'!$V$33^2/2))</f>
        <v>0</v>
      </c>
      <c r="E2556" s="45" t="n">
        <f aca="false">ROUND(C2556*D2556,0)</f>
        <v>0</v>
      </c>
      <c r="F2556" s="47" t="n">
        <f aca="false">MIN(1,'Model Inputs &amp; Assumptions'!$W$33*EXP('Model Inputs &amp; Assumptions'!$X$33*R2556-'Model Inputs &amp; Assumptions'!$X$33^2/2))</f>
        <v>0.00398968295759509</v>
      </c>
      <c r="G2556" s="45" t="n">
        <f aca="false">ROUND(C2556*F2556,0)</f>
        <v>6356</v>
      </c>
      <c r="H2556" s="48" t="n">
        <f aca="false">MAX(0,(C2556*'Model Inputs &amp; Assumptions'!$N$33+E2556*'Model Inputs &amp; Assumptions'!$O$33+G2556*'Model Inputs &amp; Assumptions'!$P$33)*EXP('Model Inputs &amp; Assumptions'!$Q$33*S2556-'Model Inputs &amp; Assumptions'!$Q$33^2/2))</f>
        <v>334.118377523646</v>
      </c>
      <c r="I2556" s="49" t="n">
        <f aca="false">IF('Model Inputs &amp; Assumptions'!$H$33="Fixed",'Model Inputs &amp; Assumptions'!$I$33*'Model Inputs &amp; Assumptions'!$K$33,IF('Model Inputs &amp; Assumptions'!$H$33="CPM",'Model Inputs &amp; Assumptions'!$I$33*'Model Inputs &amp; Assumptions'!$K$33*C2556/1000,IF('Model Inputs &amp; Assumptions'!$H$33="CPC",'Model Inputs &amp; Assumptions'!$I$33*'Model Inputs &amp; Assumptions'!$K$33*G2556,0)))</f>
        <v>25000</v>
      </c>
      <c r="J2556" s="50" t="n">
        <f aca="false">H2556*INDEX('Model Inputs &amp; Assumptions'!$D$40:$D$42,MATCH('Model Inputs &amp; Assumptions'!$L$33,'Model Inputs &amp; Assumptions'!$A$40:$A$42,0))*INDEX('Model Inputs &amp; Assumptions'!$H$40:$H$42,MATCH('Model Inputs &amp; Assumptions'!$L$33,'Model Inputs &amp; Assumptions'!$A$40:$A$42,0))</f>
        <v>1804239.23862769</v>
      </c>
      <c r="K2556" s="49" t="n">
        <f aca="false">H2556*INDEX('Model Inputs &amp; Assumptions'!$G$40:$G$42,MATCH('Model Inputs &amp; Assumptions'!$L$33,'Model Inputs &amp; Assumptions'!$A$40:$A$42,0))*INDEX('Model Inputs &amp; Assumptions'!$H$40:$H$42,MATCH('Model Inputs &amp; Assumptions'!$L$33,'Model Inputs &amp; Assumptions'!$A$40:$A$42,0))</f>
        <v>37889.0240111815</v>
      </c>
      <c r="L2556" s="51" t="n">
        <f aca="false">IFERROR(K2556/I2556,0)</f>
        <v>1.51556096044726</v>
      </c>
      <c r="M2556" s="49" t="n">
        <f aca="false">IFERROR(I2556/H2556,0)</f>
        <v>74.8237800784565</v>
      </c>
      <c r="N2556" s="52" t="str">
        <f aca="false">'Model Inputs &amp; Assumptions'!$L$33</f>
        <v>PRD-SP01</v>
      </c>
      <c r="P2556" s="53" t="n">
        <v>1.094597</v>
      </c>
      <c r="Q2556" s="53" t="n">
        <v>0.368304</v>
      </c>
      <c r="R2556" s="53" t="n">
        <v>0.586496</v>
      </c>
      <c r="S2556" s="53" t="n">
        <v>-0.021561</v>
      </c>
    </row>
    <row r="2557" customFormat="false" ht="15" hidden="false" customHeight="false" outlineLevel="0" collapsed="false">
      <c r="A2557" s="43" t="n">
        <v>54</v>
      </c>
      <c r="B2557" s="44" t="str">
        <f aca="false">'Model Inputs &amp; Assumptions'!$B$33</f>
        <v>Trade Republic — Savings Plan Push</v>
      </c>
      <c r="C2557" s="45" t="n">
        <f aca="false">ROUND(MAX(0,'Model Inputs &amp; Assumptions'!$S$33*EXP('Model Inputs &amp; Assumptions'!$T$33*P2557-'Model Inputs &amp; Assumptions'!$T$33^2/2)),0)</f>
        <v>1076858</v>
      </c>
      <c r="D2557" s="46" t="n">
        <f aca="false">MIN(1,'Model Inputs &amp; Assumptions'!$U$33*EXP('Model Inputs &amp; Assumptions'!$V$33*Q2557-'Model Inputs &amp; Assumptions'!$V$33^2/2))</f>
        <v>0</v>
      </c>
      <c r="E2557" s="45" t="n">
        <f aca="false">ROUND(C2557*D2557,0)</f>
        <v>0</v>
      </c>
      <c r="F2557" s="47" t="n">
        <f aca="false">MIN(1,'Model Inputs &amp; Assumptions'!$W$33*EXP('Model Inputs &amp; Assumptions'!$X$33*R2557-'Model Inputs &amp; Assumptions'!$X$33^2/2))</f>
        <v>0.0034381153864926</v>
      </c>
      <c r="G2557" s="45" t="n">
        <f aca="false">ROUND(C2557*F2557,0)</f>
        <v>3702</v>
      </c>
      <c r="H2557" s="48" t="n">
        <f aca="false">MAX(0,(C2557*'Model Inputs &amp; Assumptions'!$N$33+E2557*'Model Inputs &amp; Assumptions'!$O$33+G2557*'Model Inputs &amp; Assumptions'!$P$33)*EXP('Model Inputs &amp; Assumptions'!$Q$33*S2557-'Model Inputs &amp; Assumptions'!$Q$33^2/2))</f>
        <v>290.170870876587</v>
      </c>
      <c r="I2557" s="49" t="n">
        <f aca="false">IF('Model Inputs &amp; Assumptions'!$H$33="Fixed",'Model Inputs &amp; Assumptions'!$I$33*'Model Inputs &amp; Assumptions'!$K$33,IF('Model Inputs &amp; Assumptions'!$H$33="CPM",'Model Inputs &amp; Assumptions'!$I$33*'Model Inputs &amp; Assumptions'!$K$33*C2557/1000,IF('Model Inputs &amp; Assumptions'!$H$33="CPC",'Model Inputs &amp; Assumptions'!$I$33*'Model Inputs &amp; Assumptions'!$K$33*G2557,0)))</f>
        <v>25000</v>
      </c>
      <c r="J2557" s="50" t="n">
        <f aca="false">H2557*INDEX('Model Inputs &amp; Assumptions'!$D$40:$D$42,MATCH('Model Inputs &amp; Assumptions'!$L$33,'Model Inputs &amp; Assumptions'!$A$40:$A$42,0))*INDEX('Model Inputs &amp; Assumptions'!$H$40:$H$42,MATCH('Model Inputs &amp; Assumptions'!$L$33,'Model Inputs &amp; Assumptions'!$A$40:$A$42,0))</f>
        <v>1566922.70273357</v>
      </c>
      <c r="K2557" s="49" t="n">
        <f aca="false">H2557*INDEX('Model Inputs &amp; Assumptions'!$G$40:$G$42,MATCH('Model Inputs &amp; Assumptions'!$L$33,'Model Inputs &amp; Assumptions'!$A$40:$A$42,0))*INDEX('Model Inputs &amp; Assumptions'!$H$40:$H$42,MATCH('Model Inputs &amp; Assumptions'!$L$33,'Model Inputs &amp; Assumptions'!$A$40:$A$42,0))</f>
        <v>32905.376757405</v>
      </c>
      <c r="L2557" s="51" t="n">
        <f aca="false">IFERROR(K2557/I2557,0)</f>
        <v>1.3162150702962</v>
      </c>
      <c r="M2557" s="49" t="n">
        <f aca="false">IFERROR(I2557/H2557,0)</f>
        <v>86.1561325038472</v>
      </c>
      <c r="N2557" s="52" t="str">
        <f aca="false">'Model Inputs &amp; Assumptions'!$L$33</f>
        <v>PRD-SP01</v>
      </c>
      <c r="P2557" s="53" t="n">
        <v>-0.210913</v>
      </c>
      <c r="Q2557" s="53" t="n">
        <v>-1.597705</v>
      </c>
      <c r="R2557" s="53" t="n">
        <v>0.090535</v>
      </c>
      <c r="S2557" s="53" t="n">
        <v>1.405227</v>
      </c>
    </row>
    <row r="2558" customFormat="false" ht="15" hidden="false" customHeight="false" outlineLevel="0" collapsed="false">
      <c r="A2558" s="43" t="n">
        <v>55</v>
      </c>
      <c r="B2558" s="44" t="str">
        <f aca="false">'Model Inputs &amp; Assumptions'!$B$33</f>
        <v>Trade Republic — Savings Plan Push</v>
      </c>
      <c r="C2558" s="45" t="n">
        <f aca="false">ROUND(MAX(0,'Model Inputs &amp; Assumptions'!$S$33*EXP('Model Inputs &amp; Assumptions'!$T$33*P2558-'Model Inputs &amp; Assumptions'!$T$33^2/2)),0)</f>
        <v>1504741</v>
      </c>
      <c r="D2558" s="46" t="n">
        <f aca="false">MIN(1,'Model Inputs &amp; Assumptions'!$U$33*EXP('Model Inputs &amp; Assumptions'!$V$33*Q2558-'Model Inputs &amp; Assumptions'!$V$33^2/2))</f>
        <v>0</v>
      </c>
      <c r="E2558" s="45" t="n">
        <f aca="false">ROUND(C2558*D2558,0)</f>
        <v>0</v>
      </c>
      <c r="F2558" s="47" t="n">
        <f aca="false">MIN(1,'Model Inputs &amp; Assumptions'!$W$33*EXP('Model Inputs &amp; Assumptions'!$X$33*R2558-'Model Inputs &amp; Assumptions'!$X$33^2/2))</f>
        <v>0.00563203012925097</v>
      </c>
      <c r="G2558" s="45" t="n">
        <f aca="false">ROUND(C2558*F2558,0)</f>
        <v>8475</v>
      </c>
      <c r="H2558" s="48" t="n">
        <f aca="false">MAX(0,(C2558*'Model Inputs &amp; Assumptions'!$N$33+E2558*'Model Inputs &amp; Assumptions'!$O$33+G2558*'Model Inputs &amp; Assumptions'!$P$33)*EXP('Model Inputs &amp; Assumptions'!$Q$33*S2558-'Model Inputs &amp; Assumptions'!$Q$33^2/2))</f>
        <v>685.005370583234</v>
      </c>
      <c r="I2558" s="49" t="n">
        <f aca="false">IF('Model Inputs &amp; Assumptions'!$H$33="Fixed",'Model Inputs &amp; Assumptions'!$I$33*'Model Inputs &amp; Assumptions'!$K$33,IF('Model Inputs &amp; Assumptions'!$H$33="CPM",'Model Inputs &amp; Assumptions'!$I$33*'Model Inputs &amp; Assumptions'!$K$33*C2558/1000,IF('Model Inputs &amp; Assumptions'!$H$33="CPC",'Model Inputs &amp; Assumptions'!$I$33*'Model Inputs &amp; Assumptions'!$K$33*G2558,0)))</f>
        <v>25000</v>
      </c>
      <c r="J2558" s="50" t="n">
        <f aca="false">H2558*INDEX('Model Inputs &amp; Assumptions'!$D$40:$D$42,MATCH('Model Inputs &amp; Assumptions'!$L$33,'Model Inputs &amp; Assumptions'!$A$40:$A$42,0))*INDEX('Model Inputs &amp; Assumptions'!$H$40:$H$42,MATCH('Model Inputs &amp; Assumptions'!$L$33,'Model Inputs &amp; Assumptions'!$A$40:$A$42,0))</f>
        <v>3699029.00114946</v>
      </c>
      <c r="K2558" s="49" t="n">
        <f aca="false">H2558*INDEX('Model Inputs &amp; Assumptions'!$G$40:$G$42,MATCH('Model Inputs &amp; Assumptions'!$L$33,'Model Inputs &amp; Assumptions'!$A$40:$A$42,0))*INDEX('Model Inputs &amp; Assumptions'!$H$40:$H$42,MATCH('Model Inputs &amp; Assumptions'!$L$33,'Model Inputs &amp; Assumptions'!$A$40:$A$42,0))</f>
        <v>77679.6090241387</v>
      </c>
      <c r="L2558" s="51" t="n">
        <f aca="false">IFERROR(K2558/I2558,0)</f>
        <v>3.10718436096555</v>
      </c>
      <c r="M2558" s="49" t="n">
        <f aca="false">IFERROR(I2558/H2558,0)</f>
        <v>36.4960642260575</v>
      </c>
      <c r="N2558" s="52" t="str">
        <f aca="false">'Model Inputs &amp; Assumptions'!$L$33</f>
        <v>PRD-SP01</v>
      </c>
      <c r="P2558" s="53" t="n">
        <v>0.904331</v>
      </c>
      <c r="Q2558" s="53" t="n">
        <v>-0.995877</v>
      </c>
      <c r="R2558" s="53" t="n">
        <v>1.73569</v>
      </c>
      <c r="S2558" s="53" t="n">
        <v>1.514903</v>
      </c>
    </row>
    <row r="2559" customFormat="false" ht="15" hidden="false" customHeight="false" outlineLevel="0" collapsed="false">
      <c r="A2559" s="43" t="n">
        <v>56</v>
      </c>
      <c r="B2559" s="44" t="str">
        <f aca="false">'Model Inputs &amp; Assumptions'!$B$33</f>
        <v>Trade Republic — Savings Plan Push</v>
      </c>
      <c r="C2559" s="45" t="n">
        <f aca="false">ROUND(MAX(0,'Model Inputs &amp; Assumptions'!$S$33*EXP('Model Inputs &amp; Assumptions'!$T$33*P2559-'Model Inputs &amp; Assumptions'!$T$33^2/2)),0)</f>
        <v>1398184</v>
      </c>
      <c r="D2559" s="46" t="n">
        <f aca="false">MIN(1,'Model Inputs &amp; Assumptions'!$U$33*EXP('Model Inputs &amp; Assumptions'!$V$33*Q2559-'Model Inputs &amp; Assumptions'!$V$33^2/2))</f>
        <v>0</v>
      </c>
      <c r="E2559" s="45" t="n">
        <f aca="false">ROUND(C2559*D2559,0)</f>
        <v>0</v>
      </c>
      <c r="F2559" s="47" t="n">
        <f aca="false">MIN(1,'Model Inputs &amp; Assumptions'!$W$33*EXP('Model Inputs &amp; Assumptions'!$X$33*R2559-'Model Inputs &amp; Assumptions'!$X$33^2/2))</f>
        <v>0.00375430870535506</v>
      </c>
      <c r="G2559" s="45" t="n">
        <f aca="false">ROUND(C2559*F2559,0)</f>
        <v>5249</v>
      </c>
      <c r="H2559" s="48" t="n">
        <f aca="false">MAX(0,(C2559*'Model Inputs &amp; Assumptions'!$N$33+E2559*'Model Inputs &amp; Assumptions'!$O$33+G2559*'Model Inputs &amp; Assumptions'!$P$33)*EXP('Model Inputs &amp; Assumptions'!$Q$33*S2559-'Model Inputs &amp; Assumptions'!$Q$33^2/2))</f>
        <v>240.239928847543</v>
      </c>
      <c r="I2559" s="49" t="n">
        <f aca="false">IF('Model Inputs &amp; Assumptions'!$H$33="Fixed",'Model Inputs &amp; Assumptions'!$I$33*'Model Inputs &amp; Assumptions'!$K$33,IF('Model Inputs &amp; Assumptions'!$H$33="CPM",'Model Inputs &amp; Assumptions'!$I$33*'Model Inputs &amp; Assumptions'!$K$33*C2559/1000,IF('Model Inputs &amp; Assumptions'!$H$33="CPC",'Model Inputs &amp; Assumptions'!$I$33*'Model Inputs &amp; Assumptions'!$K$33*G2559,0)))</f>
        <v>25000</v>
      </c>
      <c r="J2559" s="50" t="n">
        <f aca="false">H2559*INDEX('Model Inputs &amp; Assumptions'!$D$40:$D$42,MATCH('Model Inputs &amp; Assumptions'!$L$33,'Model Inputs &amp; Assumptions'!$A$40:$A$42,0))*INDEX('Model Inputs &amp; Assumptions'!$H$40:$H$42,MATCH('Model Inputs &amp; Assumptions'!$L$33,'Model Inputs &amp; Assumptions'!$A$40:$A$42,0))</f>
        <v>1297295.61577673</v>
      </c>
      <c r="K2559" s="49" t="n">
        <f aca="false">H2559*INDEX('Model Inputs &amp; Assumptions'!$G$40:$G$42,MATCH('Model Inputs &amp; Assumptions'!$L$33,'Model Inputs &amp; Assumptions'!$A$40:$A$42,0))*INDEX('Model Inputs &amp; Assumptions'!$H$40:$H$42,MATCH('Model Inputs &amp; Assumptions'!$L$33,'Model Inputs &amp; Assumptions'!$A$40:$A$42,0))</f>
        <v>27243.2079313114</v>
      </c>
      <c r="L2559" s="51" t="n">
        <f aca="false">IFERROR(K2559/I2559,0)</f>
        <v>1.08972831725246</v>
      </c>
      <c r="M2559" s="49" t="n">
        <f aca="false">IFERROR(I2559/H2559,0)</f>
        <v>104.062634883084</v>
      </c>
      <c r="N2559" s="52" t="str">
        <f aca="false">'Model Inputs &amp; Assumptions'!$L$33</f>
        <v>PRD-SP01</v>
      </c>
      <c r="P2559" s="53" t="n">
        <v>0.659508</v>
      </c>
      <c r="Q2559" s="53" t="n">
        <v>-0.23611</v>
      </c>
      <c r="R2559" s="53" t="n">
        <v>0.383804</v>
      </c>
      <c r="S2559" s="53" t="n">
        <v>-0.516188</v>
      </c>
    </row>
    <row r="2560" customFormat="false" ht="15" hidden="false" customHeight="false" outlineLevel="0" collapsed="false">
      <c r="A2560" s="43" t="n">
        <v>57</v>
      </c>
      <c r="B2560" s="44" t="str">
        <f aca="false">'Model Inputs &amp; Assumptions'!$B$33</f>
        <v>Trade Republic — Savings Plan Push</v>
      </c>
      <c r="C2560" s="45" t="n">
        <f aca="false">ROUND(MAX(0,'Model Inputs &amp; Assumptions'!$S$33*EXP('Model Inputs &amp; Assumptions'!$T$33*P2560-'Model Inputs &amp; Assumptions'!$T$33^2/2)),0)</f>
        <v>667459</v>
      </c>
      <c r="D2560" s="46" t="n">
        <f aca="false">MIN(1,'Model Inputs &amp; Assumptions'!$U$33*EXP('Model Inputs &amp; Assumptions'!$V$33*Q2560-'Model Inputs &amp; Assumptions'!$V$33^2/2))</f>
        <v>0</v>
      </c>
      <c r="E2560" s="45" t="n">
        <f aca="false">ROUND(C2560*D2560,0)</f>
        <v>0</v>
      </c>
      <c r="F2560" s="47" t="n">
        <f aca="false">MIN(1,'Model Inputs &amp; Assumptions'!$W$33*EXP('Model Inputs &amp; Assumptions'!$X$33*R2560-'Model Inputs &amp; Assumptions'!$X$33^2/2))</f>
        <v>0.00342199073674534</v>
      </c>
      <c r="G2560" s="45" t="n">
        <f aca="false">ROUND(C2560*F2560,0)</f>
        <v>2284</v>
      </c>
      <c r="H2560" s="48" t="n">
        <f aca="false">MAX(0,(C2560*'Model Inputs &amp; Assumptions'!$N$33+E2560*'Model Inputs &amp; Assumptions'!$O$33+G2560*'Model Inputs &amp; Assumptions'!$P$33)*EXP('Model Inputs &amp; Assumptions'!$Q$33*S2560-'Model Inputs &amp; Assumptions'!$Q$33^2/2))</f>
        <v>126.91112991067</v>
      </c>
      <c r="I2560" s="49" t="n">
        <f aca="false">IF('Model Inputs &amp; Assumptions'!$H$33="Fixed",'Model Inputs &amp; Assumptions'!$I$33*'Model Inputs &amp; Assumptions'!$K$33,IF('Model Inputs &amp; Assumptions'!$H$33="CPM",'Model Inputs &amp; Assumptions'!$I$33*'Model Inputs &amp; Assumptions'!$K$33*C2560/1000,IF('Model Inputs &amp; Assumptions'!$H$33="CPC",'Model Inputs &amp; Assumptions'!$I$33*'Model Inputs &amp; Assumptions'!$K$33*G2560,0)))</f>
        <v>25000</v>
      </c>
      <c r="J2560" s="50" t="n">
        <f aca="false">H2560*INDEX('Model Inputs &amp; Assumptions'!$D$40:$D$42,MATCH('Model Inputs &amp; Assumptions'!$L$33,'Model Inputs &amp; Assumptions'!$A$40:$A$42,0))*INDEX('Model Inputs &amp; Assumptions'!$H$40:$H$42,MATCH('Model Inputs &amp; Assumptions'!$L$33,'Model Inputs &amp; Assumptions'!$A$40:$A$42,0))</f>
        <v>685320.101517618</v>
      </c>
      <c r="K2560" s="49" t="n">
        <f aca="false">H2560*INDEX('Model Inputs &amp; Assumptions'!$G$40:$G$42,MATCH('Model Inputs &amp; Assumptions'!$L$33,'Model Inputs &amp; Assumptions'!$A$40:$A$42,0))*INDEX('Model Inputs &amp; Assumptions'!$H$40:$H$42,MATCH('Model Inputs &amp; Assumptions'!$L$33,'Model Inputs &amp; Assumptions'!$A$40:$A$42,0))</f>
        <v>14391.72213187</v>
      </c>
      <c r="L2560" s="51" t="n">
        <f aca="false">IFERROR(K2560/I2560,0)</f>
        <v>0.575668885274799</v>
      </c>
      <c r="M2560" s="49" t="n">
        <f aca="false">IFERROR(I2560/H2560,0)</f>
        <v>196.988239074043</v>
      </c>
      <c r="N2560" s="52" t="str">
        <f aca="false">'Model Inputs &amp; Assumptions'!$L$33</f>
        <v>PRD-SP01</v>
      </c>
      <c r="P2560" s="53" t="n">
        <v>-1.805328</v>
      </c>
      <c r="Q2560" s="53" t="n">
        <v>-0.016684</v>
      </c>
      <c r="R2560" s="53" t="n">
        <v>0.074865</v>
      </c>
      <c r="S2560" s="53" t="n">
        <v>0.17652</v>
      </c>
    </row>
    <row r="2561" customFormat="false" ht="15" hidden="false" customHeight="false" outlineLevel="0" collapsed="false">
      <c r="A2561" s="43" t="n">
        <v>58</v>
      </c>
      <c r="B2561" s="44" t="str">
        <f aca="false">'Model Inputs &amp; Assumptions'!$B$33</f>
        <v>Trade Republic — Savings Plan Push</v>
      </c>
      <c r="C2561" s="45" t="n">
        <f aca="false">ROUND(MAX(0,'Model Inputs &amp; Assumptions'!$S$33*EXP('Model Inputs &amp; Assumptions'!$T$33*P2561-'Model Inputs &amp; Assumptions'!$T$33^2/2)),0)</f>
        <v>1196384</v>
      </c>
      <c r="D2561" s="46" t="n">
        <f aca="false">MIN(1,'Model Inputs &amp; Assumptions'!$U$33*EXP('Model Inputs &amp; Assumptions'!$V$33*Q2561-'Model Inputs &amp; Assumptions'!$V$33^2/2))</f>
        <v>0</v>
      </c>
      <c r="E2561" s="45" t="n">
        <f aca="false">ROUND(C2561*D2561,0)</f>
        <v>0</v>
      </c>
      <c r="F2561" s="47" t="n">
        <f aca="false">MIN(1,'Model Inputs &amp; Assumptions'!$W$33*EXP('Model Inputs &amp; Assumptions'!$X$33*R2561-'Model Inputs &amp; Assumptions'!$X$33^2/2))</f>
        <v>0.00372433669863604</v>
      </c>
      <c r="G2561" s="45" t="n">
        <f aca="false">ROUND(C2561*F2561,0)</f>
        <v>4456</v>
      </c>
      <c r="H2561" s="48" t="n">
        <f aca="false">MAX(0,(C2561*'Model Inputs &amp; Assumptions'!$N$33+E2561*'Model Inputs &amp; Assumptions'!$O$33+G2561*'Model Inputs &amp; Assumptions'!$P$33)*EXP('Model Inputs &amp; Assumptions'!$Q$33*S2561-'Model Inputs &amp; Assumptions'!$Q$33^2/2))</f>
        <v>158.18517300814</v>
      </c>
      <c r="I2561" s="49" t="n">
        <f aca="false">IF('Model Inputs &amp; Assumptions'!$H$33="Fixed",'Model Inputs &amp; Assumptions'!$I$33*'Model Inputs &amp; Assumptions'!$K$33,IF('Model Inputs &amp; Assumptions'!$H$33="CPM",'Model Inputs &amp; Assumptions'!$I$33*'Model Inputs &amp; Assumptions'!$K$33*C2561/1000,IF('Model Inputs &amp; Assumptions'!$H$33="CPC",'Model Inputs &amp; Assumptions'!$I$33*'Model Inputs &amp; Assumptions'!$K$33*G2561,0)))</f>
        <v>25000</v>
      </c>
      <c r="J2561" s="50" t="n">
        <f aca="false">H2561*INDEX('Model Inputs &amp; Assumptions'!$D$40:$D$42,MATCH('Model Inputs &amp; Assumptions'!$L$33,'Model Inputs &amp; Assumptions'!$A$40:$A$42,0))*INDEX('Model Inputs &amp; Assumptions'!$H$40:$H$42,MATCH('Model Inputs &amp; Assumptions'!$L$33,'Model Inputs &amp; Assumptions'!$A$40:$A$42,0))</f>
        <v>854199.934243957</v>
      </c>
      <c r="K2561" s="49" t="n">
        <f aca="false">H2561*INDEX('Model Inputs &amp; Assumptions'!$G$40:$G$42,MATCH('Model Inputs &amp; Assumptions'!$L$33,'Model Inputs &amp; Assumptions'!$A$40:$A$42,0))*INDEX('Model Inputs &amp; Assumptions'!$H$40:$H$42,MATCH('Model Inputs &amp; Assumptions'!$L$33,'Model Inputs &amp; Assumptions'!$A$40:$A$42,0))</f>
        <v>17938.1986191231</v>
      </c>
      <c r="L2561" s="51" t="n">
        <f aca="false">IFERROR(K2561/I2561,0)</f>
        <v>0.717527944764924</v>
      </c>
      <c r="M2561" s="49" t="n">
        <f aca="false">IFERROR(I2561/H2561,0)</f>
        <v>158.042625137272</v>
      </c>
      <c r="N2561" s="52" t="str">
        <f aca="false">'Model Inputs &amp; Assumptions'!$L$33</f>
        <v>PRD-SP01</v>
      </c>
      <c r="P2561" s="53" t="n">
        <v>0.139939</v>
      </c>
      <c r="Q2561" s="53" t="n">
        <v>0.783918</v>
      </c>
      <c r="R2561" s="53" t="n">
        <v>0.357086</v>
      </c>
      <c r="S2561" s="53" t="n">
        <v>-1.423637</v>
      </c>
    </row>
    <row r="2562" customFormat="false" ht="15" hidden="false" customHeight="false" outlineLevel="0" collapsed="false">
      <c r="A2562" s="43" t="n">
        <v>59</v>
      </c>
      <c r="B2562" s="44" t="str">
        <f aca="false">'Model Inputs &amp; Assumptions'!$B$33</f>
        <v>Trade Republic — Savings Plan Push</v>
      </c>
      <c r="C2562" s="45" t="n">
        <f aca="false">ROUND(MAX(0,'Model Inputs &amp; Assumptions'!$S$33*EXP('Model Inputs &amp; Assumptions'!$T$33*P2562-'Model Inputs &amp; Assumptions'!$T$33^2/2)),0)</f>
        <v>858245</v>
      </c>
      <c r="D2562" s="46" t="n">
        <f aca="false">MIN(1,'Model Inputs &amp; Assumptions'!$U$33*EXP('Model Inputs &amp; Assumptions'!$V$33*Q2562-'Model Inputs &amp; Assumptions'!$V$33^2/2))</f>
        <v>0</v>
      </c>
      <c r="E2562" s="45" t="n">
        <f aca="false">ROUND(C2562*D2562,0)</f>
        <v>0</v>
      </c>
      <c r="F2562" s="47" t="n">
        <f aca="false">MIN(1,'Model Inputs &amp; Assumptions'!$W$33*EXP('Model Inputs &amp; Assumptions'!$X$33*R2562-'Model Inputs &amp; Assumptions'!$X$33^2/2))</f>
        <v>0.00497671964661294</v>
      </c>
      <c r="G2562" s="45" t="n">
        <f aca="false">ROUND(C2562*F2562,0)</f>
        <v>4271</v>
      </c>
      <c r="H2562" s="48" t="n">
        <f aca="false">MAX(0,(C2562*'Model Inputs &amp; Assumptions'!$N$33+E2562*'Model Inputs &amp; Assumptions'!$O$33+G2562*'Model Inputs &amp; Assumptions'!$P$33)*EXP('Model Inputs &amp; Assumptions'!$Q$33*S2562-'Model Inputs &amp; Assumptions'!$Q$33^2/2))</f>
        <v>294.974507423375</v>
      </c>
      <c r="I2562" s="49" t="n">
        <f aca="false">IF('Model Inputs &amp; Assumptions'!$H$33="Fixed",'Model Inputs &amp; Assumptions'!$I$33*'Model Inputs &amp; Assumptions'!$K$33,IF('Model Inputs &amp; Assumptions'!$H$33="CPM",'Model Inputs &amp; Assumptions'!$I$33*'Model Inputs &amp; Assumptions'!$K$33*C2562/1000,IF('Model Inputs &amp; Assumptions'!$H$33="CPC",'Model Inputs &amp; Assumptions'!$I$33*'Model Inputs &amp; Assumptions'!$K$33*G2562,0)))</f>
        <v>25000</v>
      </c>
      <c r="J2562" s="50" t="n">
        <f aca="false">H2562*INDEX('Model Inputs &amp; Assumptions'!$D$40:$D$42,MATCH('Model Inputs &amp; Assumptions'!$L$33,'Model Inputs &amp; Assumptions'!$A$40:$A$42,0))*INDEX('Model Inputs &amp; Assumptions'!$H$40:$H$42,MATCH('Model Inputs &amp; Assumptions'!$L$33,'Model Inputs &amp; Assumptions'!$A$40:$A$42,0))</f>
        <v>1592862.34008622</v>
      </c>
      <c r="K2562" s="49" t="n">
        <f aca="false">H2562*INDEX('Model Inputs &amp; Assumptions'!$G$40:$G$42,MATCH('Model Inputs &amp; Assumptions'!$L$33,'Model Inputs &amp; Assumptions'!$A$40:$A$42,0))*INDEX('Model Inputs &amp; Assumptions'!$H$40:$H$42,MATCH('Model Inputs &amp; Assumptions'!$L$33,'Model Inputs &amp; Assumptions'!$A$40:$A$42,0))</f>
        <v>33450.1091418107</v>
      </c>
      <c r="L2562" s="51" t="n">
        <f aca="false">IFERROR(K2562/I2562,0)</f>
        <v>1.33800436567243</v>
      </c>
      <c r="M2562" s="49" t="n">
        <f aca="false">IFERROR(I2562/H2562,0)</f>
        <v>84.7530866934127</v>
      </c>
      <c r="N2562" s="52" t="str">
        <f aca="false">'Model Inputs &amp; Assumptions'!$L$33</f>
        <v>PRD-SP01</v>
      </c>
      <c r="P2562" s="53" t="n">
        <v>-0.967289</v>
      </c>
      <c r="Q2562" s="53" t="n">
        <v>-0.998156</v>
      </c>
      <c r="R2562" s="53" t="n">
        <v>1.32336</v>
      </c>
      <c r="S2562" s="53" t="n">
        <v>0.953242</v>
      </c>
    </row>
    <row r="2563" customFormat="false" ht="15" hidden="false" customHeight="false" outlineLevel="0" collapsed="false">
      <c r="A2563" s="43" t="n">
        <v>60</v>
      </c>
      <c r="B2563" s="44" t="str">
        <f aca="false">'Model Inputs &amp; Assumptions'!$B$33</f>
        <v>Trade Republic — Savings Plan Push</v>
      </c>
      <c r="C2563" s="45" t="n">
        <f aca="false">ROUND(MAX(0,'Model Inputs &amp; Assumptions'!$S$33*EXP('Model Inputs &amp; Assumptions'!$T$33*P2563-'Model Inputs &amp; Assumptions'!$T$33^2/2)),0)</f>
        <v>776589</v>
      </c>
      <c r="D2563" s="46" t="n">
        <f aca="false">MIN(1,'Model Inputs &amp; Assumptions'!$U$33*EXP('Model Inputs &amp; Assumptions'!$V$33*Q2563-'Model Inputs &amp; Assumptions'!$V$33^2/2))</f>
        <v>0</v>
      </c>
      <c r="E2563" s="45" t="n">
        <f aca="false">ROUND(C2563*D2563,0)</f>
        <v>0</v>
      </c>
      <c r="F2563" s="47" t="n">
        <f aca="false">MIN(1,'Model Inputs &amp; Assumptions'!$W$33*EXP('Model Inputs &amp; Assumptions'!$X$33*R2563-'Model Inputs &amp; Assumptions'!$X$33^2/2))</f>
        <v>0.00295567150440417</v>
      </c>
      <c r="G2563" s="45" t="n">
        <f aca="false">ROUND(C2563*F2563,0)</f>
        <v>2295</v>
      </c>
      <c r="H2563" s="48" t="n">
        <f aca="false">MAX(0,(C2563*'Model Inputs &amp; Assumptions'!$N$33+E2563*'Model Inputs &amp; Assumptions'!$O$33+G2563*'Model Inputs &amp; Assumptions'!$P$33)*EXP('Model Inputs &amp; Assumptions'!$Q$33*S2563-'Model Inputs &amp; Assumptions'!$Q$33^2/2))</f>
        <v>80.861271495683</v>
      </c>
      <c r="I2563" s="49" t="n">
        <f aca="false">IF('Model Inputs &amp; Assumptions'!$H$33="Fixed",'Model Inputs &amp; Assumptions'!$I$33*'Model Inputs &amp; Assumptions'!$K$33,IF('Model Inputs &amp; Assumptions'!$H$33="CPM",'Model Inputs &amp; Assumptions'!$I$33*'Model Inputs &amp; Assumptions'!$K$33*C2563/1000,IF('Model Inputs &amp; Assumptions'!$H$33="CPC",'Model Inputs &amp; Assumptions'!$I$33*'Model Inputs &amp; Assumptions'!$K$33*G2563,0)))</f>
        <v>25000</v>
      </c>
      <c r="J2563" s="50" t="n">
        <f aca="false">H2563*INDEX('Model Inputs &amp; Assumptions'!$D$40:$D$42,MATCH('Model Inputs &amp; Assumptions'!$L$33,'Model Inputs &amp; Assumptions'!$A$40:$A$42,0))*INDEX('Model Inputs &amp; Assumptions'!$H$40:$H$42,MATCH('Model Inputs &amp; Assumptions'!$L$33,'Model Inputs &amp; Assumptions'!$A$40:$A$42,0))</f>
        <v>436650.866076688</v>
      </c>
      <c r="K2563" s="49" t="n">
        <f aca="false">H2563*INDEX('Model Inputs &amp; Assumptions'!$G$40:$G$42,MATCH('Model Inputs &amp; Assumptions'!$L$33,'Model Inputs &amp; Assumptions'!$A$40:$A$42,0))*INDEX('Model Inputs &amp; Assumptions'!$H$40:$H$42,MATCH('Model Inputs &amp; Assumptions'!$L$33,'Model Inputs &amp; Assumptions'!$A$40:$A$42,0))</f>
        <v>9169.66818761045</v>
      </c>
      <c r="L2563" s="51" t="n">
        <f aca="false">IFERROR(K2563/I2563,0)</f>
        <v>0.366786727504418</v>
      </c>
      <c r="M2563" s="49" t="n">
        <f aca="false">IFERROR(I2563/H2563,0)</f>
        <v>309.17149257707</v>
      </c>
      <c r="N2563" s="52" t="str">
        <f aca="false">'Model Inputs &amp; Assumptions'!$L$33</f>
        <v>PRD-SP01</v>
      </c>
      <c r="P2563" s="53" t="n">
        <v>-1.300554</v>
      </c>
      <c r="Q2563" s="53" t="n">
        <v>-0.156013</v>
      </c>
      <c r="R2563" s="53" t="n">
        <v>-0.413457</v>
      </c>
      <c r="S2563" s="53" t="n">
        <v>-1.450468</v>
      </c>
    </row>
    <row r="2564" customFormat="false" ht="15" hidden="false" customHeight="false" outlineLevel="0" collapsed="false">
      <c r="A2564" s="43" t="n">
        <v>61</v>
      </c>
      <c r="B2564" s="44" t="str">
        <f aca="false">'Model Inputs &amp; Assumptions'!$B$33</f>
        <v>Trade Republic — Savings Plan Push</v>
      </c>
      <c r="C2564" s="45" t="n">
        <f aca="false">ROUND(MAX(0,'Model Inputs &amp; Assumptions'!$S$33*EXP('Model Inputs &amp; Assumptions'!$T$33*P2564-'Model Inputs &amp; Assumptions'!$T$33^2/2)),0)</f>
        <v>1168362</v>
      </c>
      <c r="D2564" s="46" t="n">
        <f aca="false">MIN(1,'Model Inputs &amp; Assumptions'!$U$33*EXP('Model Inputs &amp; Assumptions'!$V$33*Q2564-'Model Inputs &amp; Assumptions'!$V$33^2/2))</f>
        <v>0</v>
      </c>
      <c r="E2564" s="45" t="n">
        <f aca="false">ROUND(C2564*D2564,0)</f>
        <v>0</v>
      </c>
      <c r="F2564" s="47" t="n">
        <f aca="false">MIN(1,'Model Inputs &amp; Assumptions'!$W$33*EXP('Model Inputs &amp; Assumptions'!$X$33*R2564-'Model Inputs &amp; Assumptions'!$X$33^2/2))</f>
        <v>0.00386788547371343</v>
      </c>
      <c r="G2564" s="45" t="n">
        <f aca="false">ROUND(C2564*F2564,0)</f>
        <v>4519</v>
      </c>
      <c r="H2564" s="48" t="n">
        <f aca="false">MAX(0,(C2564*'Model Inputs &amp; Assumptions'!$N$33+E2564*'Model Inputs &amp; Assumptions'!$O$33+G2564*'Model Inputs &amp; Assumptions'!$P$33)*EXP('Model Inputs &amp; Assumptions'!$Q$33*S2564-'Model Inputs &amp; Assumptions'!$Q$33^2/2))</f>
        <v>359.094920361588</v>
      </c>
      <c r="I2564" s="49" t="n">
        <f aca="false">IF('Model Inputs &amp; Assumptions'!$H$33="Fixed",'Model Inputs &amp; Assumptions'!$I$33*'Model Inputs &amp; Assumptions'!$K$33,IF('Model Inputs &amp; Assumptions'!$H$33="CPM",'Model Inputs &amp; Assumptions'!$I$33*'Model Inputs &amp; Assumptions'!$K$33*C2564/1000,IF('Model Inputs &amp; Assumptions'!$H$33="CPC",'Model Inputs &amp; Assumptions'!$I$33*'Model Inputs &amp; Assumptions'!$K$33*G2564,0)))</f>
        <v>25000</v>
      </c>
      <c r="J2564" s="50" t="n">
        <f aca="false">H2564*INDEX('Model Inputs &amp; Assumptions'!$D$40:$D$42,MATCH('Model Inputs &amp; Assumptions'!$L$33,'Model Inputs &amp; Assumptions'!$A$40:$A$42,0))*INDEX('Model Inputs &amp; Assumptions'!$H$40:$H$42,MATCH('Model Inputs &amp; Assumptions'!$L$33,'Model Inputs &amp; Assumptions'!$A$40:$A$42,0))</f>
        <v>1939112.56995258</v>
      </c>
      <c r="K2564" s="49" t="n">
        <f aca="false">H2564*INDEX('Model Inputs &amp; Assumptions'!$G$40:$G$42,MATCH('Model Inputs &amp; Assumptions'!$L$33,'Model Inputs &amp; Assumptions'!$A$40:$A$42,0))*INDEX('Model Inputs &amp; Assumptions'!$H$40:$H$42,MATCH('Model Inputs &amp; Assumptions'!$L$33,'Model Inputs &amp; Assumptions'!$A$40:$A$42,0))</f>
        <v>40721.3639690041</v>
      </c>
      <c r="L2564" s="51" t="n">
        <f aca="false">IFERROR(K2564/I2564,0)</f>
        <v>1.62885455876016</v>
      </c>
      <c r="M2564" s="49" t="n">
        <f aca="false">IFERROR(I2564/H2564,0)</f>
        <v>69.6194754713501</v>
      </c>
      <c r="N2564" s="52" t="str">
        <f aca="false">'Model Inputs &amp; Assumptions'!$L$33</f>
        <v>PRD-SP01</v>
      </c>
      <c r="P2564" s="53" t="n">
        <v>0.060938</v>
      </c>
      <c r="Q2564" s="53" t="n">
        <v>0.743718</v>
      </c>
      <c r="R2564" s="53" t="n">
        <v>0.48315</v>
      </c>
      <c r="S2564" s="53" t="n">
        <v>1.454153</v>
      </c>
    </row>
    <row r="2565" customFormat="false" ht="15" hidden="false" customHeight="false" outlineLevel="0" collapsed="false">
      <c r="A2565" s="43" t="n">
        <v>62</v>
      </c>
      <c r="B2565" s="44" t="str">
        <f aca="false">'Model Inputs &amp; Assumptions'!$B$33</f>
        <v>Trade Republic — Savings Plan Push</v>
      </c>
      <c r="C2565" s="45" t="n">
        <f aca="false">ROUND(MAX(0,'Model Inputs &amp; Assumptions'!$S$33*EXP('Model Inputs &amp; Assumptions'!$T$33*P2565-'Model Inputs &amp; Assumptions'!$T$33^2/2)),0)</f>
        <v>1412877</v>
      </c>
      <c r="D2565" s="46" t="n">
        <f aca="false">MIN(1,'Model Inputs &amp; Assumptions'!$U$33*EXP('Model Inputs &amp; Assumptions'!$V$33*Q2565-'Model Inputs &amp; Assumptions'!$V$33^2/2))</f>
        <v>0</v>
      </c>
      <c r="E2565" s="45" t="n">
        <f aca="false">ROUND(C2565*D2565,0)</f>
        <v>0</v>
      </c>
      <c r="F2565" s="47" t="n">
        <f aca="false">MIN(1,'Model Inputs &amp; Assumptions'!$W$33*EXP('Model Inputs &amp; Assumptions'!$X$33*R2565-'Model Inputs &amp; Assumptions'!$X$33^2/2))</f>
        <v>0.00251091610467287</v>
      </c>
      <c r="G2565" s="45" t="n">
        <f aca="false">ROUND(C2565*F2565,0)</f>
        <v>3548</v>
      </c>
      <c r="H2565" s="48" t="n">
        <f aca="false">MAX(0,(C2565*'Model Inputs &amp; Assumptions'!$N$33+E2565*'Model Inputs &amp; Assumptions'!$O$33+G2565*'Model Inputs &amp; Assumptions'!$P$33)*EXP('Model Inputs &amp; Assumptions'!$Q$33*S2565-'Model Inputs &amp; Assumptions'!$Q$33^2/2))</f>
        <v>187.520221890889</v>
      </c>
      <c r="I2565" s="49" t="n">
        <f aca="false">IF('Model Inputs &amp; Assumptions'!$H$33="Fixed",'Model Inputs &amp; Assumptions'!$I$33*'Model Inputs &amp; Assumptions'!$K$33,IF('Model Inputs &amp; Assumptions'!$H$33="CPM",'Model Inputs &amp; Assumptions'!$I$33*'Model Inputs &amp; Assumptions'!$K$33*C2565/1000,IF('Model Inputs &amp; Assumptions'!$H$33="CPC",'Model Inputs &amp; Assumptions'!$I$33*'Model Inputs &amp; Assumptions'!$K$33*G2565,0)))</f>
        <v>25000</v>
      </c>
      <c r="J2565" s="50" t="n">
        <f aca="false">H2565*INDEX('Model Inputs &amp; Assumptions'!$D$40:$D$42,MATCH('Model Inputs &amp; Assumptions'!$L$33,'Model Inputs &amp; Assumptions'!$A$40:$A$42,0))*INDEX('Model Inputs &amp; Assumptions'!$H$40:$H$42,MATCH('Model Inputs &amp; Assumptions'!$L$33,'Model Inputs &amp; Assumptions'!$A$40:$A$42,0))</f>
        <v>1012609.1982108</v>
      </c>
      <c r="K2565" s="49" t="n">
        <f aca="false">H2565*INDEX('Model Inputs &amp; Assumptions'!$G$40:$G$42,MATCH('Model Inputs &amp; Assumptions'!$L$33,'Model Inputs &amp; Assumptions'!$A$40:$A$42,0))*INDEX('Model Inputs &amp; Assumptions'!$H$40:$H$42,MATCH('Model Inputs &amp; Assumptions'!$L$33,'Model Inputs &amp; Assumptions'!$A$40:$A$42,0))</f>
        <v>21264.7931624268</v>
      </c>
      <c r="L2565" s="51" t="n">
        <f aca="false">IFERROR(K2565/I2565,0)</f>
        <v>0.850591726497072</v>
      </c>
      <c r="M2565" s="49" t="n">
        <f aca="false">IFERROR(I2565/H2565,0)</f>
        <v>133.318954872753</v>
      </c>
      <c r="N2565" s="52" t="str">
        <f aca="false">'Model Inputs &amp; Assumptions'!$L$33</f>
        <v>PRD-SP01</v>
      </c>
      <c r="P2565" s="53" t="n">
        <v>0.694356</v>
      </c>
      <c r="Q2565" s="53" t="n">
        <v>0.14816</v>
      </c>
      <c r="R2565" s="53" t="n">
        <v>-0.957051</v>
      </c>
      <c r="S2565" s="53" t="n">
        <v>-0.002252</v>
      </c>
    </row>
    <row r="2566" customFormat="false" ht="15" hidden="false" customHeight="false" outlineLevel="0" collapsed="false">
      <c r="A2566" s="43" t="n">
        <v>63</v>
      </c>
      <c r="B2566" s="44" t="str">
        <f aca="false">'Model Inputs &amp; Assumptions'!$B$33</f>
        <v>Trade Republic — Savings Plan Push</v>
      </c>
      <c r="C2566" s="45" t="n">
        <f aca="false">ROUND(MAX(0,'Model Inputs &amp; Assumptions'!$S$33*EXP('Model Inputs &amp; Assumptions'!$T$33*P2566-'Model Inputs &amp; Assumptions'!$T$33^2/2)),0)</f>
        <v>1266165</v>
      </c>
      <c r="D2566" s="46" t="n">
        <f aca="false">MIN(1,'Model Inputs &amp; Assumptions'!$U$33*EXP('Model Inputs &amp; Assumptions'!$V$33*Q2566-'Model Inputs &amp; Assumptions'!$V$33^2/2))</f>
        <v>0</v>
      </c>
      <c r="E2566" s="45" t="n">
        <f aca="false">ROUND(C2566*D2566,0)</f>
        <v>0</v>
      </c>
      <c r="F2566" s="47" t="n">
        <f aca="false">MIN(1,'Model Inputs &amp; Assumptions'!$W$33*EXP('Model Inputs &amp; Assumptions'!$X$33*R2566-'Model Inputs &amp; Assumptions'!$X$33^2/2))</f>
        <v>0.00274125122738237</v>
      </c>
      <c r="G2566" s="45" t="n">
        <f aca="false">ROUND(C2566*F2566,0)</f>
        <v>3471</v>
      </c>
      <c r="H2566" s="48" t="n">
        <f aca="false">MAX(0,(C2566*'Model Inputs &amp; Assumptions'!$N$33+E2566*'Model Inputs &amp; Assumptions'!$O$33+G2566*'Model Inputs &amp; Assumptions'!$P$33)*EXP('Model Inputs &amp; Assumptions'!$Q$33*S2566-'Model Inputs &amp; Assumptions'!$Q$33^2/2))</f>
        <v>216.743590028139</v>
      </c>
      <c r="I2566" s="49" t="n">
        <f aca="false">IF('Model Inputs &amp; Assumptions'!$H$33="Fixed",'Model Inputs &amp; Assumptions'!$I$33*'Model Inputs &amp; Assumptions'!$K$33,IF('Model Inputs &amp; Assumptions'!$H$33="CPM",'Model Inputs &amp; Assumptions'!$I$33*'Model Inputs &amp; Assumptions'!$K$33*C2566/1000,IF('Model Inputs &amp; Assumptions'!$H$33="CPC",'Model Inputs &amp; Assumptions'!$I$33*'Model Inputs &amp; Assumptions'!$K$33*G2566,0)))</f>
        <v>25000</v>
      </c>
      <c r="J2566" s="50" t="n">
        <f aca="false">H2566*INDEX('Model Inputs &amp; Assumptions'!$D$40:$D$42,MATCH('Model Inputs &amp; Assumptions'!$L$33,'Model Inputs &amp; Assumptions'!$A$40:$A$42,0))*INDEX('Model Inputs &amp; Assumptions'!$H$40:$H$42,MATCH('Model Inputs &amp; Assumptions'!$L$33,'Model Inputs &amp; Assumptions'!$A$40:$A$42,0))</f>
        <v>1170415.38615195</v>
      </c>
      <c r="K2566" s="49" t="n">
        <f aca="false">H2566*INDEX('Model Inputs &amp; Assumptions'!$G$40:$G$42,MATCH('Model Inputs &amp; Assumptions'!$L$33,'Model Inputs &amp; Assumptions'!$A$40:$A$42,0))*INDEX('Model Inputs &amp; Assumptions'!$H$40:$H$42,MATCH('Model Inputs &amp; Assumptions'!$L$33,'Model Inputs &amp; Assumptions'!$A$40:$A$42,0))</f>
        <v>24578.723109191</v>
      </c>
      <c r="L2566" s="51" t="n">
        <f aca="false">IFERROR(K2566/I2566,0)</f>
        <v>0.983148924367639</v>
      </c>
      <c r="M2566" s="49" t="n">
        <f aca="false">IFERROR(I2566/H2566,0)</f>
        <v>115.343664819589</v>
      </c>
      <c r="N2566" s="52" t="str">
        <f aca="false">'Model Inputs &amp; Assumptions'!$L$33</f>
        <v>PRD-SP01</v>
      </c>
      <c r="P2566" s="53" t="n">
        <v>0.328903</v>
      </c>
      <c r="Q2566" s="53" t="n">
        <v>1.032153</v>
      </c>
      <c r="R2566" s="53" t="n">
        <v>-0.664495</v>
      </c>
      <c r="S2566" s="53" t="n">
        <v>0.593354</v>
      </c>
    </row>
    <row r="2567" customFormat="false" ht="15" hidden="false" customHeight="false" outlineLevel="0" collapsed="false">
      <c r="A2567" s="43" t="n">
        <v>64</v>
      </c>
      <c r="B2567" s="44" t="str">
        <f aca="false">'Model Inputs &amp; Assumptions'!$B$33</f>
        <v>Trade Republic — Savings Plan Push</v>
      </c>
      <c r="C2567" s="45" t="n">
        <f aca="false">ROUND(MAX(0,'Model Inputs &amp; Assumptions'!$S$33*EXP('Model Inputs &amp; Assumptions'!$T$33*P2567-'Model Inputs &amp; Assumptions'!$T$33^2/2)),0)</f>
        <v>1388756</v>
      </c>
      <c r="D2567" s="46" t="n">
        <f aca="false">MIN(1,'Model Inputs &amp; Assumptions'!$U$33*EXP('Model Inputs &amp; Assumptions'!$V$33*Q2567-'Model Inputs &amp; Assumptions'!$V$33^2/2))</f>
        <v>0</v>
      </c>
      <c r="E2567" s="45" t="n">
        <f aca="false">ROUND(C2567*D2567,0)</f>
        <v>0</v>
      </c>
      <c r="F2567" s="47" t="n">
        <f aca="false">MIN(1,'Model Inputs &amp; Assumptions'!$W$33*EXP('Model Inputs &amp; Assumptions'!$X$33*R2567-'Model Inputs &amp; Assumptions'!$X$33^2/2))</f>
        <v>0.00273534307973584</v>
      </c>
      <c r="G2567" s="45" t="n">
        <f aca="false">ROUND(C2567*F2567,0)</f>
        <v>3799</v>
      </c>
      <c r="H2567" s="48" t="n">
        <f aca="false">MAX(0,(C2567*'Model Inputs &amp; Assumptions'!$N$33+E2567*'Model Inputs &amp; Assumptions'!$O$33+G2567*'Model Inputs &amp; Assumptions'!$P$33)*EXP('Model Inputs &amp; Assumptions'!$Q$33*S2567-'Model Inputs &amp; Assumptions'!$Q$33^2/2))</f>
        <v>187.335689666605</v>
      </c>
      <c r="I2567" s="49" t="n">
        <f aca="false">IF('Model Inputs &amp; Assumptions'!$H$33="Fixed",'Model Inputs &amp; Assumptions'!$I$33*'Model Inputs &amp; Assumptions'!$K$33,IF('Model Inputs &amp; Assumptions'!$H$33="CPM",'Model Inputs &amp; Assumptions'!$I$33*'Model Inputs &amp; Assumptions'!$K$33*C2567/1000,IF('Model Inputs &amp; Assumptions'!$H$33="CPC",'Model Inputs &amp; Assumptions'!$I$33*'Model Inputs &amp; Assumptions'!$K$33*G2567,0)))</f>
        <v>25000</v>
      </c>
      <c r="J2567" s="50" t="n">
        <f aca="false">H2567*INDEX('Model Inputs &amp; Assumptions'!$D$40:$D$42,MATCH('Model Inputs &amp; Assumptions'!$L$33,'Model Inputs &amp; Assumptions'!$A$40:$A$42,0))*INDEX('Model Inputs &amp; Assumptions'!$H$40:$H$42,MATCH('Model Inputs &amp; Assumptions'!$L$33,'Model Inputs &amp; Assumptions'!$A$40:$A$42,0))</f>
        <v>1011612.72419967</v>
      </c>
      <c r="K2567" s="49" t="n">
        <f aca="false">H2567*INDEX('Model Inputs &amp; Assumptions'!$G$40:$G$42,MATCH('Model Inputs &amp; Assumptions'!$L$33,'Model Inputs &amp; Assumptions'!$A$40:$A$42,0))*INDEX('Model Inputs &amp; Assumptions'!$H$40:$H$42,MATCH('Model Inputs &amp; Assumptions'!$L$33,'Model Inputs &amp; Assumptions'!$A$40:$A$42,0))</f>
        <v>21243.867208193</v>
      </c>
      <c r="L2567" s="51" t="n">
        <f aca="false">IFERROR(K2567/I2567,0)</f>
        <v>0.849754688327719</v>
      </c>
      <c r="M2567" s="49" t="n">
        <f aca="false">IFERROR(I2567/H2567,0)</f>
        <v>133.450278718869</v>
      </c>
      <c r="N2567" s="52" t="str">
        <f aca="false">'Model Inputs &amp; Assumptions'!$L$33</f>
        <v>PRD-SP01</v>
      </c>
      <c r="P2567" s="53" t="n">
        <v>0.636955</v>
      </c>
      <c r="Q2567" s="53" t="n">
        <v>0.610052</v>
      </c>
      <c r="R2567" s="53" t="n">
        <v>-0.671687</v>
      </c>
      <c r="S2567" s="53" t="n">
        <v>-0.249889</v>
      </c>
    </row>
    <row r="2568" customFormat="false" ht="15" hidden="false" customHeight="false" outlineLevel="0" collapsed="false">
      <c r="A2568" s="43" t="n">
        <v>65</v>
      </c>
      <c r="B2568" s="44" t="str">
        <f aca="false">'Model Inputs &amp; Assumptions'!$B$33</f>
        <v>Trade Republic — Savings Plan Push</v>
      </c>
      <c r="C2568" s="45" t="n">
        <f aca="false">ROUND(MAX(0,'Model Inputs &amp; Assumptions'!$S$33*EXP('Model Inputs &amp; Assumptions'!$T$33*P2568-'Model Inputs &amp; Assumptions'!$T$33^2/2)),0)</f>
        <v>866526</v>
      </c>
      <c r="D2568" s="46" t="n">
        <f aca="false">MIN(1,'Model Inputs &amp; Assumptions'!$U$33*EXP('Model Inputs &amp; Assumptions'!$V$33*Q2568-'Model Inputs &amp; Assumptions'!$V$33^2/2))</f>
        <v>0</v>
      </c>
      <c r="E2568" s="45" t="n">
        <f aca="false">ROUND(C2568*D2568,0)</f>
        <v>0</v>
      </c>
      <c r="F2568" s="47" t="n">
        <f aca="false">MIN(1,'Model Inputs &amp; Assumptions'!$W$33*EXP('Model Inputs &amp; Assumptions'!$X$33*R2568-'Model Inputs &amp; Assumptions'!$X$33^2/2))</f>
        <v>0.0031275522457506</v>
      </c>
      <c r="G2568" s="45" t="n">
        <f aca="false">ROUND(C2568*F2568,0)</f>
        <v>2710</v>
      </c>
      <c r="H2568" s="48" t="n">
        <f aca="false">MAX(0,(C2568*'Model Inputs &amp; Assumptions'!$N$33+E2568*'Model Inputs &amp; Assumptions'!$O$33+G2568*'Model Inputs &amp; Assumptions'!$P$33)*EXP('Model Inputs &amp; Assumptions'!$Q$33*S2568-'Model Inputs &amp; Assumptions'!$Q$33^2/2))</f>
        <v>115.357488246472</v>
      </c>
      <c r="I2568" s="49" t="n">
        <f aca="false">IF('Model Inputs &amp; Assumptions'!$H$33="Fixed",'Model Inputs &amp; Assumptions'!$I$33*'Model Inputs &amp; Assumptions'!$K$33,IF('Model Inputs &amp; Assumptions'!$H$33="CPM",'Model Inputs &amp; Assumptions'!$I$33*'Model Inputs &amp; Assumptions'!$K$33*C2568/1000,IF('Model Inputs &amp; Assumptions'!$H$33="CPC",'Model Inputs &amp; Assumptions'!$I$33*'Model Inputs &amp; Assumptions'!$K$33*G2568,0)))</f>
        <v>25000</v>
      </c>
      <c r="J2568" s="50" t="n">
        <f aca="false">H2568*INDEX('Model Inputs &amp; Assumptions'!$D$40:$D$42,MATCH('Model Inputs &amp; Assumptions'!$L$33,'Model Inputs &amp; Assumptions'!$A$40:$A$42,0))*INDEX('Model Inputs &amp; Assumptions'!$H$40:$H$42,MATCH('Model Inputs &amp; Assumptions'!$L$33,'Model Inputs &amp; Assumptions'!$A$40:$A$42,0))</f>
        <v>622930.436530949</v>
      </c>
      <c r="K2568" s="49" t="n">
        <f aca="false">H2568*INDEX('Model Inputs &amp; Assumptions'!$G$40:$G$42,MATCH('Model Inputs &amp; Assumptions'!$L$33,'Model Inputs &amp; Assumptions'!$A$40:$A$42,0))*INDEX('Model Inputs &amp; Assumptions'!$H$40:$H$42,MATCH('Model Inputs &amp; Assumptions'!$L$33,'Model Inputs &amp; Assumptions'!$A$40:$A$42,0))</f>
        <v>13081.5391671499</v>
      </c>
      <c r="L2568" s="51" t="n">
        <f aca="false">IFERROR(K2568/I2568,0)</f>
        <v>0.523261566685997</v>
      </c>
      <c r="M2568" s="49" t="n">
        <f aca="false">IFERROR(I2568/H2568,0)</f>
        <v>216.717617382455</v>
      </c>
      <c r="N2568" s="52" t="str">
        <f aca="false">'Model Inputs &amp; Assumptions'!$L$33</f>
        <v>PRD-SP01</v>
      </c>
      <c r="P2568" s="53" t="n">
        <v>-0.935284</v>
      </c>
      <c r="Q2568" s="53" t="n">
        <v>-0.178156</v>
      </c>
      <c r="R2568" s="53" t="n">
        <v>-0.225041</v>
      </c>
      <c r="S2568" s="53" t="n">
        <v>-0.775164</v>
      </c>
    </row>
    <row r="2569" customFormat="false" ht="15" hidden="false" customHeight="false" outlineLevel="0" collapsed="false">
      <c r="A2569" s="43" t="n">
        <v>66</v>
      </c>
      <c r="B2569" s="44" t="str">
        <f aca="false">'Model Inputs &amp; Assumptions'!$B$33</f>
        <v>Trade Republic — Savings Plan Push</v>
      </c>
      <c r="C2569" s="45" t="n">
        <f aca="false">ROUND(MAX(0,'Model Inputs &amp; Assumptions'!$S$33*EXP('Model Inputs &amp; Assumptions'!$T$33*P2569-'Model Inputs &amp; Assumptions'!$T$33^2/2)),0)</f>
        <v>670710</v>
      </c>
      <c r="D2569" s="46" t="n">
        <f aca="false">MIN(1,'Model Inputs &amp; Assumptions'!$U$33*EXP('Model Inputs &amp; Assumptions'!$V$33*Q2569-'Model Inputs &amp; Assumptions'!$V$33^2/2))</f>
        <v>0</v>
      </c>
      <c r="E2569" s="45" t="n">
        <f aca="false">ROUND(C2569*D2569,0)</f>
        <v>0</v>
      </c>
      <c r="F2569" s="47" t="n">
        <f aca="false">MIN(1,'Model Inputs &amp; Assumptions'!$W$33*EXP('Model Inputs &amp; Assumptions'!$X$33*R2569-'Model Inputs &amp; Assumptions'!$X$33^2/2))</f>
        <v>0.00297586564117005</v>
      </c>
      <c r="G2569" s="45" t="n">
        <f aca="false">ROUND(C2569*F2569,0)</f>
        <v>1996</v>
      </c>
      <c r="H2569" s="48" t="n">
        <f aca="false">MAX(0,(C2569*'Model Inputs &amp; Assumptions'!$N$33+E2569*'Model Inputs &amp; Assumptions'!$O$33+G2569*'Model Inputs &amp; Assumptions'!$P$33)*EXP('Model Inputs &amp; Assumptions'!$Q$33*S2569-'Model Inputs &amp; Assumptions'!$Q$33^2/2))</f>
        <v>180.300604531132</v>
      </c>
      <c r="I2569" s="49" t="n">
        <f aca="false">IF('Model Inputs &amp; Assumptions'!$H$33="Fixed",'Model Inputs &amp; Assumptions'!$I$33*'Model Inputs &amp; Assumptions'!$K$33,IF('Model Inputs &amp; Assumptions'!$H$33="CPM",'Model Inputs &amp; Assumptions'!$I$33*'Model Inputs &amp; Assumptions'!$K$33*C2569/1000,IF('Model Inputs &amp; Assumptions'!$H$33="CPC",'Model Inputs &amp; Assumptions'!$I$33*'Model Inputs &amp; Assumptions'!$K$33*G2569,0)))</f>
        <v>25000</v>
      </c>
      <c r="J2569" s="50" t="n">
        <f aca="false">H2569*INDEX('Model Inputs &amp; Assumptions'!$D$40:$D$42,MATCH('Model Inputs &amp; Assumptions'!$L$33,'Model Inputs &amp; Assumptions'!$A$40:$A$42,0))*INDEX('Model Inputs &amp; Assumptions'!$H$40:$H$42,MATCH('Model Inputs &amp; Assumptions'!$L$33,'Model Inputs &amp; Assumptions'!$A$40:$A$42,0))</f>
        <v>973623.264468113</v>
      </c>
      <c r="K2569" s="49" t="n">
        <f aca="false">H2569*INDEX('Model Inputs &amp; Assumptions'!$G$40:$G$42,MATCH('Model Inputs &amp; Assumptions'!$L$33,'Model Inputs &amp; Assumptions'!$A$40:$A$42,0))*INDEX('Model Inputs &amp; Assumptions'!$H$40:$H$42,MATCH('Model Inputs &amp; Assumptions'!$L$33,'Model Inputs &amp; Assumptions'!$A$40:$A$42,0))</f>
        <v>20446.0885538304</v>
      </c>
      <c r="L2569" s="51" t="n">
        <f aca="false">IFERROR(K2569/I2569,0)</f>
        <v>0.817843542153215</v>
      </c>
      <c r="M2569" s="49" t="n">
        <f aca="false">IFERROR(I2569/H2569,0)</f>
        <v>138.65732766128</v>
      </c>
      <c r="N2569" s="52" t="str">
        <f aca="false">'Model Inputs &amp; Assumptions'!$L$33</f>
        <v>PRD-SP01</v>
      </c>
      <c r="P2569" s="53" t="n">
        <v>-1.789135</v>
      </c>
      <c r="Q2569" s="53" t="n">
        <v>0.568916</v>
      </c>
      <c r="R2569" s="53" t="n">
        <v>-0.39076</v>
      </c>
      <c r="S2569" s="53" t="n">
        <v>1.911954</v>
      </c>
    </row>
    <row r="2570" customFormat="false" ht="15" hidden="false" customHeight="false" outlineLevel="0" collapsed="false">
      <c r="A2570" s="43" t="n">
        <v>67</v>
      </c>
      <c r="B2570" s="44" t="str">
        <f aca="false">'Model Inputs &amp; Assumptions'!$B$33</f>
        <v>Trade Republic — Savings Plan Push</v>
      </c>
      <c r="C2570" s="45" t="n">
        <f aca="false">ROUND(MAX(0,'Model Inputs &amp; Assumptions'!$S$33*EXP('Model Inputs &amp; Assumptions'!$T$33*P2570-'Model Inputs &amp; Assumptions'!$T$33^2/2)),0)</f>
        <v>884757</v>
      </c>
      <c r="D2570" s="46" t="n">
        <f aca="false">MIN(1,'Model Inputs &amp; Assumptions'!$U$33*EXP('Model Inputs &amp; Assumptions'!$V$33*Q2570-'Model Inputs &amp; Assumptions'!$V$33^2/2))</f>
        <v>0</v>
      </c>
      <c r="E2570" s="45" t="n">
        <f aca="false">ROUND(C2570*D2570,0)</f>
        <v>0</v>
      </c>
      <c r="F2570" s="47" t="n">
        <f aca="false">MIN(1,'Model Inputs &amp; Assumptions'!$W$33*EXP('Model Inputs &amp; Assumptions'!$X$33*R2570-'Model Inputs &amp; Assumptions'!$X$33^2/2))</f>
        <v>0.00437119299533722</v>
      </c>
      <c r="G2570" s="45" t="n">
        <f aca="false">ROUND(C2570*F2570,0)</f>
        <v>3867</v>
      </c>
      <c r="H2570" s="48" t="n">
        <f aca="false">MAX(0,(C2570*'Model Inputs &amp; Assumptions'!$N$33+E2570*'Model Inputs &amp; Assumptions'!$O$33+G2570*'Model Inputs &amp; Assumptions'!$P$33)*EXP('Model Inputs &amp; Assumptions'!$Q$33*S2570-'Model Inputs &amp; Assumptions'!$Q$33^2/2))</f>
        <v>293.783269776189</v>
      </c>
      <c r="I2570" s="49" t="n">
        <f aca="false">IF('Model Inputs &amp; Assumptions'!$H$33="Fixed",'Model Inputs &amp; Assumptions'!$I$33*'Model Inputs &amp; Assumptions'!$K$33,IF('Model Inputs &amp; Assumptions'!$H$33="CPM",'Model Inputs &amp; Assumptions'!$I$33*'Model Inputs &amp; Assumptions'!$K$33*C2570/1000,IF('Model Inputs &amp; Assumptions'!$H$33="CPC",'Model Inputs &amp; Assumptions'!$I$33*'Model Inputs &amp; Assumptions'!$K$33*G2570,0)))</f>
        <v>25000</v>
      </c>
      <c r="J2570" s="50" t="n">
        <f aca="false">H2570*INDEX('Model Inputs &amp; Assumptions'!$D$40:$D$42,MATCH('Model Inputs &amp; Assumptions'!$L$33,'Model Inputs &amp; Assumptions'!$A$40:$A$42,0))*INDEX('Model Inputs &amp; Assumptions'!$H$40:$H$42,MATCH('Model Inputs &amp; Assumptions'!$L$33,'Model Inputs &amp; Assumptions'!$A$40:$A$42,0))</f>
        <v>1586429.65679142</v>
      </c>
      <c r="K2570" s="49" t="n">
        <f aca="false">H2570*INDEX('Model Inputs &amp; Assumptions'!$G$40:$G$42,MATCH('Model Inputs &amp; Assumptions'!$L$33,'Model Inputs &amp; Assumptions'!$A$40:$A$42,0))*INDEX('Model Inputs &amp; Assumptions'!$H$40:$H$42,MATCH('Model Inputs &amp; Assumptions'!$L$33,'Model Inputs &amp; Assumptions'!$A$40:$A$42,0))</f>
        <v>33315.0227926198</v>
      </c>
      <c r="L2570" s="51" t="n">
        <f aca="false">IFERROR(K2570/I2570,0)</f>
        <v>1.33260091170479</v>
      </c>
      <c r="M2570" s="49" t="n">
        <f aca="false">IFERROR(I2570/H2570,0)</f>
        <v>85.0967450224297</v>
      </c>
      <c r="N2570" s="52" t="str">
        <f aca="false">'Model Inputs &amp; Assumptions'!$L$33</f>
        <v>PRD-SP01</v>
      </c>
      <c r="P2570" s="53" t="n">
        <v>-0.865878</v>
      </c>
      <c r="Q2570" s="53" t="n">
        <v>-0.284157</v>
      </c>
      <c r="R2570" s="53" t="n">
        <v>0.89091</v>
      </c>
      <c r="S2570" s="53" t="n">
        <v>1.293679</v>
      </c>
    </row>
    <row r="2571" customFormat="false" ht="15" hidden="false" customHeight="false" outlineLevel="0" collapsed="false">
      <c r="A2571" s="43" t="n">
        <v>68</v>
      </c>
      <c r="B2571" s="44" t="str">
        <f aca="false">'Model Inputs &amp; Assumptions'!$B$33</f>
        <v>Trade Republic — Savings Plan Push</v>
      </c>
      <c r="C2571" s="45" t="n">
        <f aca="false">ROUND(MAX(0,'Model Inputs &amp; Assumptions'!$S$33*EXP('Model Inputs &amp; Assumptions'!$T$33*P2571-'Model Inputs &amp; Assumptions'!$T$33^2/2)),0)</f>
        <v>1648424</v>
      </c>
      <c r="D2571" s="46" t="n">
        <f aca="false">MIN(1,'Model Inputs &amp; Assumptions'!$U$33*EXP('Model Inputs &amp; Assumptions'!$V$33*Q2571-'Model Inputs &amp; Assumptions'!$V$33^2/2))</f>
        <v>0</v>
      </c>
      <c r="E2571" s="45" t="n">
        <f aca="false">ROUND(C2571*D2571,0)</f>
        <v>0</v>
      </c>
      <c r="F2571" s="47" t="n">
        <f aca="false">MIN(1,'Model Inputs &amp; Assumptions'!$W$33*EXP('Model Inputs &amp; Assumptions'!$X$33*R2571-'Model Inputs &amp; Assumptions'!$X$33^2/2))</f>
        <v>0.00347886039862159</v>
      </c>
      <c r="G2571" s="45" t="n">
        <f aca="false">ROUND(C2571*F2571,0)</f>
        <v>5735</v>
      </c>
      <c r="H2571" s="48" t="n">
        <f aca="false">MAX(0,(C2571*'Model Inputs &amp; Assumptions'!$N$33+E2571*'Model Inputs &amp; Assumptions'!$O$33+G2571*'Model Inputs &amp; Assumptions'!$P$33)*EXP('Model Inputs &amp; Assumptions'!$Q$33*S2571-'Model Inputs &amp; Assumptions'!$Q$33^2/2))</f>
        <v>263.161285170264</v>
      </c>
      <c r="I2571" s="49" t="n">
        <f aca="false">IF('Model Inputs &amp; Assumptions'!$H$33="Fixed",'Model Inputs &amp; Assumptions'!$I$33*'Model Inputs &amp; Assumptions'!$K$33,IF('Model Inputs &amp; Assumptions'!$H$33="CPM",'Model Inputs &amp; Assumptions'!$I$33*'Model Inputs &amp; Assumptions'!$K$33*C2571/1000,IF('Model Inputs &amp; Assumptions'!$H$33="CPC",'Model Inputs &amp; Assumptions'!$I$33*'Model Inputs &amp; Assumptions'!$K$33*G2571,0)))</f>
        <v>25000</v>
      </c>
      <c r="J2571" s="50" t="n">
        <f aca="false">H2571*INDEX('Model Inputs &amp; Assumptions'!$D$40:$D$42,MATCH('Model Inputs &amp; Assumptions'!$L$33,'Model Inputs &amp; Assumptions'!$A$40:$A$42,0))*INDEX('Model Inputs &amp; Assumptions'!$H$40:$H$42,MATCH('Model Inputs &amp; Assumptions'!$L$33,'Model Inputs &amp; Assumptions'!$A$40:$A$42,0))</f>
        <v>1421070.93991942</v>
      </c>
      <c r="K2571" s="49" t="n">
        <f aca="false">H2571*INDEX('Model Inputs &amp; Assumptions'!$G$40:$G$42,MATCH('Model Inputs &amp; Assumptions'!$L$33,'Model Inputs &amp; Assumptions'!$A$40:$A$42,0))*INDEX('Model Inputs &amp; Assumptions'!$H$40:$H$42,MATCH('Model Inputs &amp; Assumptions'!$L$33,'Model Inputs &amp; Assumptions'!$A$40:$A$42,0))</f>
        <v>29842.4897383079</v>
      </c>
      <c r="L2571" s="51" t="n">
        <f aca="false">IFERROR(K2571/I2571,0)</f>
        <v>1.19369958953232</v>
      </c>
      <c r="M2571" s="49" t="n">
        <f aca="false">IFERROR(I2571/H2571,0)</f>
        <v>94.9987760693036</v>
      </c>
      <c r="N2571" s="52" t="str">
        <f aca="false">'Model Inputs &amp; Assumptions'!$L$33</f>
        <v>PRD-SP01</v>
      </c>
      <c r="P2571" s="53" t="n">
        <v>1.208327</v>
      </c>
      <c r="Q2571" s="53" t="n">
        <v>0.598345</v>
      </c>
      <c r="R2571" s="53" t="n">
        <v>0.129806</v>
      </c>
      <c r="S2571" s="53" t="n">
        <v>-0.506978</v>
      </c>
    </row>
    <row r="2572" customFormat="false" ht="15" hidden="false" customHeight="false" outlineLevel="0" collapsed="false">
      <c r="A2572" s="43" t="n">
        <v>69</v>
      </c>
      <c r="B2572" s="44" t="str">
        <f aca="false">'Model Inputs &amp; Assumptions'!$B$33</f>
        <v>Trade Republic — Savings Plan Push</v>
      </c>
      <c r="C2572" s="45" t="n">
        <f aca="false">ROUND(MAX(0,'Model Inputs &amp; Assumptions'!$S$33*EXP('Model Inputs &amp; Assumptions'!$T$33*P2572-'Model Inputs &amp; Assumptions'!$T$33^2/2)),0)</f>
        <v>1144173</v>
      </c>
      <c r="D2572" s="46" t="n">
        <f aca="false">MIN(1,'Model Inputs &amp; Assumptions'!$U$33*EXP('Model Inputs &amp; Assumptions'!$V$33*Q2572-'Model Inputs &amp; Assumptions'!$V$33^2/2))</f>
        <v>0</v>
      </c>
      <c r="E2572" s="45" t="n">
        <f aca="false">ROUND(C2572*D2572,0)</f>
        <v>0</v>
      </c>
      <c r="F2572" s="47" t="n">
        <f aca="false">MIN(1,'Model Inputs &amp; Assumptions'!$W$33*EXP('Model Inputs &amp; Assumptions'!$X$33*R2572-'Model Inputs &amp; Assumptions'!$X$33^2/2))</f>
        <v>0.00235020901909233</v>
      </c>
      <c r="G2572" s="45" t="n">
        <f aca="false">ROUND(C2572*F2572,0)</f>
        <v>2689</v>
      </c>
      <c r="H2572" s="48" t="n">
        <f aca="false">MAX(0,(C2572*'Model Inputs &amp; Assumptions'!$N$33+E2572*'Model Inputs &amp; Assumptions'!$O$33+G2572*'Model Inputs &amp; Assumptions'!$P$33)*EXP('Model Inputs &amp; Assumptions'!$Q$33*S2572-'Model Inputs &amp; Assumptions'!$Q$33^2/2))</f>
        <v>187.091717123992</v>
      </c>
      <c r="I2572" s="49" t="n">
        <f aca="false">IF('Model Inputs &amp; Assumptions'!$H$33="Fixed",'Model Inputs &amp; Assumptions'!$I$33*'Model Inputs &amp; Assumptions'!$K$33,IF('Model Inputs &amp; Assumptions'!$H$33="CPM",'Model Inputs &amp; Assumptions'!$I$33*'Model Inputs &amp; Assumptions'!$K$33*C2572/1000,IF('Model Inputs &amp; Assumptions'!$H$33="CPC",'Model Inputs &amp; Assumptions'!$I$33*'Model Inputs &amp; Assumptions'!$K$33*G2572,0)))</f>
        <v>25000</v>
      </c>
      <c r="J2572" s="50" t="n">
        <f aca="false">H2572*INDEX('Model Inputs &amp; Assumptions'!$D$40:$D$42,MATCH('Model Inputs &amp; Assumptions'!$L$33,'Model Inputs &amp; Assumptions'!$A$40:$A$42,0))*INDEX('Model Inputs &amp; Assumptions'!$H$40:$H$42,MATCH('Model Inputs &amp; Assumptions'!$L$33,'Model Inputs &amp; Assumptions'!$A$40:$A$42,0))</f>
        <v>1010295.27246956</v>
      </c>
      <c r="K2572" s="49" t="n">
        <f aca="false">H2572*INDEX('Model Inputs &amp; Assumptions'!$G$40:$G$42,MATCH('Model Inputs &amp; Assumptions'!$L$33,'Model Inputs &amp; Assumptions'!$A$40:$A$42,0))*INDEX('Model Inputs &amp; Assumptions'!$H$40:$H$42,MATCH('Model Inputs &amp; Assumptions'!$L$33,'Model Inputs &amp; Assumptions'!$A$40:$A$42,0))</f>
        <v>21216.2007218607</v>
      </c>
      <c r="L2572" s="51" t="n">
        <f aca="false">IFERROR(K2572/I2572,0)</f>
        <v>0.848648028874427</v>
      </c>
      <c r="M2572" s="49" t="n">
        <f aca="false">IFERROR(I2572/H2572,0)</f>
        <v>133.624301408446</v>
      </c>
      <c r="N2572" s="52" t="str">
        <f aca="false">'Model Inputs &amp; Assumptions'!$L$33</f>
        <v>PRD-SP01</v>
      </c>
      <c r="P2572" s="53" t="n">
        <v>-0.008799</v>
      </c>
      <c r="Q2572" s="53" t="n">
        <v>0.065655</v>
      </c>
      <c r="R2572" s="53" t="n">
        <v>-1.177529</v>
      </c>
      <c r="S2572" s="53" t="n">
        <v>0.97963</v>
      </c>
    </row>
    <row r="2573" customFormat="false" ht="15" hidden="false" customHeight="false" outlineLevel="0" collapsed="false">
      <c r="A2573" s="43" t="n">
        <v>70</v>
      </c>
      <c r="B2573" s="44" t="str">
        <f aca="false">'Model Inputs &amp; Assumptions'!$B$33</f>
        <v>Trade Republic — Savings Plan Push</v>
      </c>
      <c r="C2573" s="45" t="n">
        <f aca="false">ROUND(MAX(0,'Model Inputs &amp; Assumptions'!$S$33*EXP('Model Inputs &amp; Assumptions'!$T$33*P2573-'Model Inputs &amp; Assumptions'!$T$33^2/2)),0)</f>
        <v>1508352</v>
      </c>
      <c r="D2573" s="46" t="n">
        <f aca="false">MIN(1,'Model Inputs &amp; Assumptions'!$U$33*EXP('Model Inputs &amp; Assumptions'!$V$33*Q2573-'Model Inputs &amp; Assumptions'!$V$33^2/2))</f>
        <v>0</v>
      </c>
      <c r="E2573" s="45" t="n">
        <f aca="false">ROUND(C2573*D2573,0)</f>
        <v>0</v>
      </c>
      <c r="F2573" s="47" t="n">
        <f aca="false">MIN(1,'Model Inputs &amp; Assumptions'!$W$33*EXP('Model Inputs &amp; Assumptions'!$X$33*R2573-'Model Inputs &amp; Assumptions'!$X$33^2/2))</f>
        <v>0.00387660033992097</v>
      </c>
      <c r="G2573" s="45" t="n">
        <f aca="false">ROUND(C2573*F2573,0)</f>
        <v>5847</v>
      </c>
      <c r="H2573" s="48" t="n">
        <f aca="false">MAX(0,(C2573*'Model Inputs &amp; Assumptions'!$N$33+E2573*'Model Inputs &amp; Assumptions'!$O$33+G2573*'Model Inputs &amp; Assumptions'!$P$33)*EXP('Model Inputs &amp; Assumptions'!$Q$33*S2573-'Model Inputs &amp; Assumptions'!$Q$33^2/2))</f>
        <v>267.844624866661</v>
      </c>
      <c r="I2573" s="49" t="n">
        <f aca="false">IF('Model Inputs &amp; Assumptions'!$H$33="Fixed",'Model Inputs &amp; Assumptions'!$I$33*'Model Inputs &amp; Assumptions'!$K$33,IF('Model Inputs &amp; Assumptions'!$H$33="CPM",'Model Inputs &amp; Assumptions'!$I$33*'Model Inputs &amp; Assumptions'!$K$33*C2573/1000,IF('Model Inputs &amp; Assumptions'!$H$33="CPC",'Model Inputs &amp; Assumptions'!$I$33*'Model Inputs &amp; Assumptions'!$K$33*G2573,0)))</f>
        <v>25000</v>
      </c>
      <c r="J2573" s="50" t="n">
        <f aca="false">H2573*INDEX('Model Inputs &amp; Assumptions'!$D$40:$D$42,MATCH('Model Inputs &amp; Assumptions'!$L$33,'Model Inputs &amp; Assumptions'!$A$40:$A$42,0))*INDEX('Model Inputs &amp; Assumptions'!$H$40:$H$42,MATCH('Model Inputs &amp; Assumptions'!$L$33,'Model Inputs &amp; Assumptions'!$A$40:$A$42,0))</f>
        <v>1446360.97427997</v>
      </c>
      <c r="K2573" s="49" t="n">
        <f aca="false">H2573*INDEX('Model Inputs &amp; Assumptions'!$G$40:$G$42,MATCH('Model Inputs &amp; Assumptions'!$L$33,'Model Inputs &amp; Assumptions'!$A$40:$A$42,0))*INDEX('Model Inputs &amp; Assumptions'!$H$40:$H$42,MATCH('Model Inputs &amp; Assumptions'!$L$33,'Model Inputs &amp; Assumptions'!$A$40:$A$42,0))</f>
        <v>30373.5804598793</v>
      </c>
      <c r="L2573" s="51" t="n">
        <f aca="false">IFERROR(K2573/I2573,0)</f>
        <v>1.21494321839517</v>
      </c>
      <c r="M2573" s="49" t="n">
        <f aca="false">IFERROR(I2573/H2573,0)</f>
        <v>93.3376953614268</v>
      </c>
      <c r="N2573" s="52" t="str">
        <f aca="false">'Model Inputs &amp; Assumptions'!$L$33</f>
        <v>PRD-SP01</v>
      </c>
      <c r="P2573" s="53" t="n">
        <v>0.91232</v>
      </c>
      <c r="Q2573" s="53" t="n">
        <v>0.063518</v>
      </c>
      <c r="R2573" s="53" t="n">
        <v>0.490652</v>
      </c>
      <c r="S2573" s="53" t="n">
        <v>-0.513053</v>
      </c>
    </row>
    <row r="2574" customFormat="false" ht="15" hidden="false" customHeight="false" outlineLevel="0" collapsed="false">
      <c r="A2574" s="43" t="n">
        <v>71</v>
      </c>
      <c r="B2574" s="44" t="str">
        <f aca="false">'Model Inputs &amp; Assumptions'!$B$33</f>
        <v>Trade Republic — Savings Plan Push</v>
      </c>
      <c r="C2574" s="45" t="n">
        <f aca="false">ROUND(MAX(0,'Model Inputs &amp; Assumptions'!$S$33*EXP('Model Inputs &amp; Assumptions'!$T$33*P2574-'Model Inputs &amp; Assumptions'!$T$33^2/2)),0)</f>
        <v>1599239</v>
      </c>
      <c r="D2574" s="46" t="n">
        <f aca="false">MIN(1,'Model Inputs &amp; Assumptions'!$U$33*EXP('Model Inputs &amp; Assumptions'!$V$33*Q2574-'Model Inputs &amp; Assumptions'!$V$33^2/2))</f>
        <v>0</v>
      </c>
      <c r="E2574" s="45" t="n">
        <f aca="false">ROUND(C2574*D2574,0)</f>
        <v>0</v>
      </c>
      <c r="F2574" s="47" t="n">
        <f aca="false">MIN(1,'Model Inputs &amp; Assumptions'!$W$33*EXP('Model Inputs &amp; Assumptions'!$X$33*R2574-'Model Inputs &amp; Assumptions'!$X$33^2/2))</f>
        <v>0.00364873038914957</v>
      </c>
      <c r="G2574" s="45" t="n">
        <f aca="false">ROUND(C2574*F2574,0)</f>
        <v>5835</v>
      </c>
      <c r="H2574" s="48" t="n">
        <f aca="false">MAX(0,(C2574*'Model Inputs &amp; Assumptions'!$N$33+E2574*'Model Inputs &amp; Assumptions'!$O$33+G2574*'Model Inputs &amp; Assumptions'!$P$33)*EXP('Model Inputs &amp; Assumptions'!$Q$33*S2574-'Model Inputs &amp; Assumptions'!$Q$33^2/2))</f>
        <v>318.24515421392</v>
      </c>
      <c r="I2574" s="49" t="n">
        <f aca="false">IF('Model Inputs &amp; Assumptions'!$H$33="Fixed",'Model Inputs &amp; Assumptions'!$I$33*'Model Inputs &amp; Assumptions'!$K$33,IF('Model Inputs &amp; Assumptions'!$H$33="CPM",'Model Inputs &amp; Assumptions'!$I$33*'Model Inputs &amp; Assumptions'!$K$33*C2574/1000,IF('Model Inputs &amp; Assumptions'!$H$33="CPC",'Model Inputs &amp; Assumptions'!$I$33*'Model Inputs &amp; Assumptions'!$K$33*G2574,0)))</f>
        <v>25000</v>
      </c>
      <c r="J2574" s="50" t="n">
        <f aca="false">H2574*INDEX('Model Inputs &amp; Assumptions'!$D$40:$D$42,MATCH('Model Inputs &amp; Assumptions'!$L$33,'Model Inputs &amp; Assumptions'!$A$40:$A$42,0))*INDEX('Model Inputs &amp; Assumptions'!$H$40:$H$42,MATCH('Model Inputs &amp; Assumptions'!$L$33,'Model Inputs &amp; Assumptions'!$A$40:$A$42,0))</f>
        <v>1718523.83275517</v>
      </c>
      <c r="K2574" s="49" t="n">
        <f aca="false">H2574*INDEX('Model Inputs &amp; Assumptions'!$G$40:$G$42,MATCH('Model Inputs &amp; Assumptions'!$L$33,'Model Inputs &amp; Assumptions'!$A$40:$A$42,0))*INDEX('Model Inputs &amp; Assumptions'!$H$40:$H$42,MATCH('Model Inputs &amp; Assumptions'!$L$33,'Model Inputs &amp; Assumptions'!$A$40:$A$42,0))</f>
        <v>36089.0004878586</v>
      </c>
      <c r="L2574" s="51" t="n">
        <f aca="false">IFERROR(K2574/I2574,0)</f>
        <v>1.44356001951434</v>
      </c>
      <c r="M2574" s="49" t="n">
        <f aca="false">IFERROR(I2574/H2574,0)</f>
        <v>78.5557915618577</v>
      </c>
      <c r="N2574" s="52" t="str">
        <f aca="false">'Model Inputs &amp; Assumptions'!$L$33</f>
        <v>PRD-SP01</v>
      </c>
      <c r="P2574" s="53" t="n">
        <v>1.107355</v>
      </c>
      <c r="Q2574" s="53" t="n">
        <v>0.925204</v>
      </c>
      <c r="R2574" s="53" t="n">
        <v>0.288721</v>
      </c>
      <c r="S2574" s="53" t="n">
        <v>0.110052</v>
      </c>
    </row>
    <row r="2575" customFormat="false" ht="15" hidden="false" customHeight="false" outlineLevel="0" collapsed="false">
      <c r="A2575" s="43" t="n">
        <v>72</v>
      </c>
      <c r="B2575" s="44" t="str">
        <f aca="false">'Model Inputs &amp; Assumptions'!$B$33</f>
        <v>Trade Republic — Savings Plan Push</v>
      </c>
      <c r="C2575" s="45" t="n">
        <f aca="false">ROUND(MAX(0,'Model Inputs &amp; Assumptions'!$S$33*EXP('Model Inputs &amp; Assumptions'!$T$33*P2575-'Model Inputs &amp; Assumptions'!$T$33^2/2)),0)</f>
        <v>1285434</v>
      </c>
      <c r="D2575" s="46" t="n">
        <f aca="false">MIN(1,'Model Inputs &amp; Assumptions'!$U$33*EXP('Model Inputs &amp; Assumptions'!$V$33*Q2575-'Model Inputs &amp; Assumptions'!$V$33^2/2))</f>
        <v>0</v>
      </c>
      <c r="E2575" s="45" t="n">
        <f aca="false">ROUND(C2575*D2575,0)</f>
        <v>0</v>
      </c>
      <c r="F2575" s="47" t="n">
        <f aca="false">MIN(1,'Model Inputs &amp; Assumptions'!$W$33*EXP('Model Inputs &amp; Assumptions'!$X$33*R2575-'Model Inputs &amp; Assumptions'!$X$33^2/2))</f>
        <v>0.00291528582595204</v>
      </c>
      <c r="G2575" s="45" t="n">
        <f aca="false">ROUND(C2575*F2575,0)</f>
        <v>3747</v>
      </c>
      <c r="H2575" s="48" t="n">
        <f aca="false">MAX(0,(C2575*'Model Inputs &amp; Assumptions'!$N$33+E2575*'Model Inputs &amp; Assumptions'!$O$33+G2575*'Model Inputs &amp; Assumptions'!$P$33)*EXP('Model Inputs &amp; Assumptions'!$Q$33*S2575-'Model Inputs &amp; Assumptions'!$Q$33^2/2))</f>
        <v>210.106567238899</v>
      </c>
      <c r="I2575" s="49" t="n">
        <f aca="false">IF('Model Inputs &amp; Assumptions'!$H$33="Fixed",'Model Inputs &amp; Assumptions'!$I$33*'Model Inputs &amp; Assumptions'!$K$33,IF('Model Inputs &amp; Assumptions'!$H$33="CPM",'Model Inputs &amp; Assumptions'!$I$33*'Model Inputs &amp; Assumptions'!$K$33*C2575/1000,IF('Model Inputs &amp; Assumptions'!$H$33="CPC",'Model Inputs &amp; Assumptions'!$I$33*'Model Inputs &amp; Assumptions'!$K$33*G2575,0)))</f>
        <v>25000</v>
      </c>
      <c r="J2575" s="50" t="n">
        <f aca="false">H2575*INDEX('Model Inputs &amp; Assumptions'!$D$40:$D$42,MATCH('Model Inputs &amp; Assumptions'!$L$33,'Model Inputs &amp; Assumptions'!$A$40:$A$42,0))*INDEX('Model Inputs &amp; Assumptions'!$H$40:$H$42,MATCH('Model Inputs &amp; Assumptions'!$L$33,'Model Inputs &amp; Assumptions'!$A$40:$A$42,0))</f>
        <v>1134575.46309006</v>
      </c>
      <c r="K2575" s="49" t="n">
        <f aca="false">H2575*INDEX('Model Inputs &amp; Assumptions'!$G$40:$G$42,MATCH('Model Inputs &amp; Assumptions'!$L$33,'Model Inputs &amp; Assumptions'!$A$40:$A$42,0))*INDEX('Model Inputs &amp; Assumptions'!$H$40:$H$42,MATCH('Model Inputs &amp; Assumptions'!$L$33,'Model Inputs &amp; Assumptions'!$A$40:$A$42,0))</f>
        <v>23826.0847248912</v>
      </c>
      <c r="L2575" s="51" t="n">
        <f aca="false">IFERROR(K2575/I2575,0)</f>
        <v>0.953043388995648</v>
      </c>
      <c r="M2575" s="49" t="n">
        <f aca="false">IFERROR(I2575/H2575,0)</f>
        <v>118.987237422113</v>
      </c>
      <c r="N2575" s="52" t="str">
        <f aca="false">'Model Inputs &amp; Assumptions'!$L$33</f>
        <v>PRD-SP01</v>
      </c>
      <c r="P2575" s="53" t="n">
        <v>0.379249</v>
      </c>
      <c r="Q2575" s="53" t="n">
        <v>-0.863244</v>
      </c>
      <c r="R2575" s="53" t="n">
        <v>-0.459317</v>
      </c>
      <c r="S2575" s="53" t="n">
        <v>0.209022</v>
      </c>
    </row>
    <row r="2576" customFormat="false" ht="15" hidden="false" customHeight="false" outlineLevel="0" collapsed="false">
      <c r="A2576" s="43" t="n">
        <v>73</v>
      </c>
      <c r="B2576" s="44" t="str">
        <f aca="false">'Model Inputs &amp; Assumptions'!$B$33</f>
        <v>Trade Republic — Savings Plan Push</v>
      </c>
      <c r="C2576" s="45" t="n">
        <f aca="false">ROUND(MAX(0,'Model Inputs &amp; Assumptions'!$S$33*EXP('Model Inputs &amp; Assumptions'!$T$33*P2576-'Model Inputs &amp; Assumptions'!$T$33^2/2)),0)</f>
        <v>1115611</v>
      </c>
      <c r="D2576" s="46" t="n">
        <f aca="false">MIN(1,'Model Inputs &amp; Assumptions'!$U$33*EXP('Model Inputs &amp; Assumptions'!$V$33*Q2576-'Model Inputs &amp; Assumptions'!$V$33^2/2))</f>
        <v>0</v>
      </c>
      <c r="E2576" s="45" t="n">
        <f aca="false">ROUND(C2576*D2576,0)</f>
        <v>0</v>
      </c>
      <c r="F2576" s="47" t="n">
        <f aca="false">MIN(1,'Model Inputs &amp; Assumptions'!$W$33*EXP('Model Inputs &amp; Assumptions'!$X$33*R2576-'Model Inputs &amp; Assumptions'!$X$33^2/2))</f>
        <v>0.00371214571211693</v>
      </c>
      <c r="G2576" s="45" t="n">
        <f aca="false">ROUND(C2576*F2576,0)</f>
        <v>4141</v>
      </c>
      <c r="H2576" s="48" t="n">
        <f aca="false">MAX(0,(C2576*'Model Inputs &amp; Assumptions'!$N$33+E2576*'Model Inputs &amp; Assumptions'!$O$33+G2576*'Model Inputs &amp; Assumptions'!$P$33)*EXP('Model Inputs &amp; Assumptions'!$Q$33*S2576-'Model Inputs &amp; Assumptions'!$Q$33^2/2))</f>
        <v>145.16502080122</v>
      </c>
      <c r="I2576" s="49" t="n">
        <f aca="false">IF('Model Inputs &amp; Assumptions'!$H$33="Fixed",'Model Inputs &amp; Assumptions'!$I$33*'Model Inputs &amp; Assumptions'!$K$33,IF('Model Inputs &amp; Assumptions'!$H$33="CPM",'Model Inputs &amp; Assumptions'!$I$33*'Model Inputs &amp; Assumptions'!$K$33*C2576/1000,IF('Model Inputs &amp; Assumptions'!$H$33="CPC",'Model Inputs &amp; Assumptions'!$I$33*'Model Inputs &amp; Assumptions'!$K$33*G2576,0)))</f>
        <v>25000</v>
      </c>
      <c r="J2576" s="50" t="n">
        <f aca="false">H2576*INDEX('Model Inputs &amp; Assumptions'!$D$40:$D$42,MATCH('Model Inputs &amp; Assumptions'!$L$33,'Model Inputs &amp; Assumptions'!$A$40:$A$42,0))*INDEX('Model Inputs &amp; Assumptions'!$H$40:$H$42,MATCH('Model Inputs &amp; Assumptions'!$L$33,'Model Inputs &amp; Assumptions'!$A$40:$A$42,0))</f>
        <v>783891.112326586</v>
      </c>
      <c r="K2576" s="49" t="n">
        <f aca="false">H2576*INDEX('Model Inputs &amp; Assumptions'!$G$40:$G$42,MATCH('Model Inputs &amp; Assumptions'!$L$33,'Model Inputs &amp; Assumptions'!$A$40:$A$42,0))*INDEX('Model Inputs &amp; Assumptions'!$H$40:$H$42,MATCH('Model Inputs &amp; Assumptions'!$L$33,'Model Inputs &amp; Assumptions'!$A$40:$A$42,0))</f>
        <v>16461.7133588583</v>
      </c>
      <c r="L2576" s="51" t="n">
        <f aca="false">IFERROR(K2576/I2576,0)</f>
        <v>0.658468534354332</v>
      </c>
      <c r="M2576" s="49" t="n">
        <f aca="false">IFERROR(I2576/H2576,0)</f>
        <v>172.217796422415</v>
      </c>
      <c r="N2576" s="52" t="str">
        <f aca="false">'Model Inputs &amp; Assumptions'!$L$33</f>
        <v>PRD-SP01</v>
      </c>
      <c r="P2576" s="53" t="n">
        <v>-0.093065</v>
      </c>
      <c r="Q2576" s="53" t="n">
        <v>-0.002358</v>
      </c>
      <c r="R2576" s="53" t="n">
        <v>0.346157</v>
      </c>
      <c r="S2576" s="53" t="n">
        <v>-1.468569</v>
      </c>
    </row>
    <row r="2577" customFormat="false" ht="15" hidden="false" customHeight="false" outlineLevel="0" collapsed="false">
      <c r="A2577" s="43" t="n">
        <v>74</v>
      </c>
      <c r="B2577" s="44" t="str">
        <f aca="false">'Model Inputs &amp; Assumptions'!$B$33</f>
        <v>Trade Republic — Savings Plan Push</v>
      </c>
      <c r="C2577" s="45" t="n">
        <f aca="false">ROUND(MAX(0,'Model Inputs &amp; Assumptions'!$S$33*EXP('Model Inputs &amp; Assumptions'!$T$33*P2577-'Model Inputs &amp; Assumptions'!$T$33^2/2)),0)</f>
        <v>971038</v>
      </c>
      <c r="D2577" s="46" t="n">
        <f aca="false">MIN(1,'Model Inputs &amp; Assumptions'!$U$33*EXP('Model Inputs &amp; Assumptions'!$V$33*Q2577-'Model Inputs &amp; Assumptions'!$V$33^2/2))</f>
        <v>0</v>
      </c>
      <c r="E2577" s="45" t="n">
        <f aca="false">ROUND(C2577*D2577,0)</f>
        <v>0</v>
      </c>
      <c r="F2577" s="47" t="n">
        <f aca="false">MIN(1,'Model Inputs &amp; Assumptions'!$W$33*EXP('Model Inputs &amp; Assumptions'!$X$33*R2577-'Model Inputs &amp; Assumptions'!$X$33^2/2))</f>
        <v>0.00322719090020456</v>
      </c>
      <c r="G2577" s="45" t="n">
        <f aca="false">ROUND(C2577*F2577,0)</f>
        <v>3134</v>
      </c>
      <c r="H2577" s="48" t="n">
        <f aca="false">MAX(0,(C2577*'Model Inputs &amp; Assumptions'!$N$33+E2577*'Model Inputs &amp; Assumptions'!$O$33+G2577*'Model Inputs &amp; Assumptions'!$P$33)*EXP('Model Inputs &amp; Assumptions'!$Q$33*S2577-'Model Inputs &amp; Assumptions'!$Q$33^2/2))</f>
        <v>157.739189407212</v>
      </c>
      <c r="I2577" s="49" t="n">
        <f aca="false">IF('Model Inputs &amp; Assumptions'!$H$33="Fixed",'Model Inputs &amp; Assumptions'!$I$33*'Model Inputs &amp; Assumptions'!$K$33,IF('Model Inputs &amp; Assumptions'!$H$33="CPM",'Model Inputs &amp; Assumptions'!$I$33*'Model Inputs &amp; Assumptions'!$K$33*C2577/1000,IF('Model Inputs &amp; Assumptions'!$H$33="CPC",'Model Inputs &amp; Assumptions'!$I$33*'Model Inputs &amp; Assumptions'!$K$33*G2577,0)))</f>
        <v>25000</v>
      </c>
      <c r="J2577" s="50" t="n">
        <f aca="false">H2577*INDEX('Model Inputs &amp; Assumptions'!$D$40:$D$42,MATCH('Model Inputs &amp; Assumptions'!$L$33,'Model Inputs &amp; Assumptions'!$A$40:$A$42,0))*INDEX('Model Inputs &amp; Assumptions'!$H$40:$H$42,MATCH('Model Inputs &amp; Assumptions'!$L$33,'Model Inputs &amp; Assumptions'!$A$40:$A$42,0))</f>
        <v>851791.622798943</v>
      </c>
      <c r="K2577" s="49" t="n">
        <f aca="false">H2577*INDEX('Model Inputs &amp; Assumptions'!$G$40:$G$42,MATCH('Model Inputs &amp; Assumptions'!$L$33,'Model Inputs &amp; Assumptions'!$A$40:$A$42,0))*INDEX('Model Inputs &amp; Assumptions'!$H$40:$H$42,MATCH('Model Inputs &amp; Assumptions'!$L$33,'Model Inputs &amp; Assumptions'!$A$40:$A$42,0))</f>
        <v>17887.6240787778</v>
      </c>
      <c r="L2577" s="51" t="n">
        <f aca="false">IFERROR(K2577/I2577,0)</f>
        <v>0.715504963151112</v>
      </c>
      <c r="M2577" s="49" t="n">
        <f aca="false">IFERROR(I2577/H2577,0)</f>
        <v>158.489466656642</v>
      </c>
      <c r="N2577" s="52" t="str">
        <f aca="false">'Model Inputs &amp; Assumptions'!$L$33</f>
        <v>PRD-SP01</v>
      </c>
      <c r="P2577" s="53" t="n">
        <v>-0.555704</v>
      </c>
      <c r="Q2577" s="53" t="n">
        <v>-2.31054</v>
      </c>
      <c r="R2577" s="53" t="n">
        <v>-0.120503</v>
      </c>
      <c r="S2577" s="53" t="n">
        <v>-0.176787</v>
      </c>
    </row>
    <row r="2578" customFormat="false" ht="15" hidden="false" customHeight="false" outlineLevel="0" collapsed="false">
      <c r="A2578" s="43" t="n">
        <v>75</v>
      </c>
      <c r="B2578" s="44" t="str">
        <f aca="false">'Model Inputs &amp; Assumptions'!$B$33</f>
        <v>Trade Republic — Savings Plan Push</v>
      </c>
      <c r="C2578" s="45" t="n">
        <f aca="false">ROUND(MAX(0,'Model Inputs &amp; Assumptions'!$S$33*EXP('Model Inputs &amp; Assumptions'!$T$33*P2578-'Model Inputs &amp; Assumptions'!$T$33^2/2)),0)</f>
        <v>1953595</v>
      </c>
      <c r="D2578" s="46" t="n">
        <f aca="false">MIN(1,'Model Inputs &amp; Assumptions'!$U$33*EXP('Model Inputs &amp; Assumptions'!$V$33*Q2578-'Model Inputs &amp; Assumptions'!$V$33^2/2))</f>
        <v>0</v>
      </c>
      <c r="E2578" s="45" t="n">
        <f aca="false">ROUND(C2578*D2578,0)</f>
        <v>0</v>
      </c>
      <c r="F2578" s="47" t="n">
        <f aca="false">MIN(1,'Model Inputs &amp; Assumptions'!$W$33*EXP('Model Inputs &amp; Assumptions'!$X$33*R2578-'Model Inputs &amp; Assumptions'!$X$33^2/2))</f>
        <v>0.00276221189083718</v>
      </c>
      <c r="G2578" s="45" t="n">
        <f aca="false">ROUND(C2578*F2578,0)</f>
        <v>5396</v>
      </c>
      <c r="H2578" s="48" t="n">
        <f aca="false">MAX(0,(C2578*'Model Inputs &amp; Assumptions'!$N$33+E2578*'Model Inputs &amp; Assumptions'!$O$33+G2578*'Model Inputs &amp; Assumptions'!$P$33)*EXP('Model Inputs &amp; Assumptions'!$Q$33*S2578-'Model Inputs &amp; Assumptions'!$Q$33^2/2))</f>
        <v>238.000088037765</v>
      </c>
      <c r="I2578" s="49" t="n">
        <f aca="false">IF('Model Inputs &amp; Assumptions'!$H$33="Fixed",'Model Inputs &amp; Assumptions'!$I$33*'Model Inputs &amp; Assumptions'!$K$33,IF('Model Inputs &amp; Assumptions'!$H$33="CPM",'Model Inputs &amp; Assumptions'!$I$33*'Model Inputs &amp; Assumptions'!$K$33*C2578/1000,IF('Model Inputs &amp; Assumptions'!$H$33="CPC",'Model Inputs &amp; Assumptions'!$I$33*'Model Inputs &amp; Assumptions'!$K$33*G2578,0)))</f>
        <v>25000</v>
      </c>
      <c r="J2578" s="50" t="n">
        <f aca="false">H2578*INDEX('Model Inputs &amp; Assumptions'!$D$40:$D$42,MATCH('Model Inputs &amp; Assumptions'!$L$33,'Model Inputs &amp; Assumptions'!$A$40:$A$42,0))*INDEX('Model Inputs &amp; Assumptions'!$H$40:$H$42,MATCH('Model Inputs &amp; Assumptions'!$L$33,'Model Inputs &amp; Assumptions'!$A$40:$A$42,0))</f>
        <v>1285200.47540393</v>
      </c>
      <c r="K2578" s="49" t="n">
        <f aca="false">H2578*INDEX('Model Inputs &amp; Assumptions'!$G$40:$G$42,MATCH('Model Inputs &amp; Assumptions'!$L$33,'Model Inputs &amp; Assumptions'!$A$40:$A$42,0))*INDEX('Model Inputs &amp; Assumptions'!$H$40:$H$42,MATCH('Model Inputs &amp; Assumptions'!$L$33,'Model Inputs &amp; Assumptions'!$A$40:$A$42,0))</f>
        <v>26989.2099834825</v>
      </c>
      <c r="L2578" s="51" t="n">
        <f aca="false">IFERROR(K2578/I2578,0)</f>
        <v>1.0795683993393</v>
      </c>
      <c r="M2578" s="49" t="n">
        <f aca="false">IFERROR(I2578/H2578,0)</f>
        <v>105.041977951004</v>
      </c>
      <c r="N2578" s="52" t="str">
        <f aca="false">'Model Inputs &amp; Assumptions'!$L$33</f>
        <v>PRD-SP01</v>
      </c>
      <c r="P2578" s="53" t="n">
        <v>1.774499</v>
      </c>
      <c r="Q2578" s="53" t="n">
        <v>0.762103</v>
      </c>
      <c r="R2578" s="53" t="n">
        <v>-0.639104</v>
      </c>
      <c r="S2578" s="53" t="n">
        <v>-0.648286</v>
      </c>
    </row>
    <row r="2579" customFormat="false" ht="15" hidden="false" customHeight="false" outlineLevel="0" collapsed="false">
      <c r="A2579" s="43" t="n">
        <v>76</v>
      </c>
      <c r="B2579" s="44" t="str">
        <f aca="false">'Model Inputs &amp; Assumptions'!$B$33</f>
        <v>Trade Republic — Savings Plan Push</v>
      </c>
      <c r="C2579" s="45" t="n">
        <f aca="false">ROUND(MAX(0,'Model Inputs &amp; Assumptions'!$S$33*EXP('Model Inputs &amp; Assumptions'!$T$33*P2579-'Model Inputs &amp; Assumptions'!$T$33^2/2)),0)</f>
        <v>940803</v>
      </c>
      <c r="D2579" s="46" t="n">
        <f aca="false">MIN(1,'Model Inputs &amp; Assumptions'!$U$33*EXP('Model Inputs &amp; Assumptions'!$V$33*Q2579-'Model Inputs &amp; Assumptions'!$V$33^2/2))</f>
        <v>0</v>
      </c>
      <c r="E2579" s="45" t="n">
        <f aca="false">ROUND(C2579*D2579,0)</f>
        <v>0</v>
      </c>
      <c r="F2579" s="47" t="n">
        <f aca="false">MIN(1,'Model Inputs &amp; Assumptions'!$W$33*EXP('Model Inputs &amp; Assumptions'!$X$33*R2579-'Model Inputs &amp; Assumptions'!$X$33^2/2))</f>
        <v>0.00364352918588967</v>
      </c>
      <c r="G2579" s="45" t="n">
        <f aca="false">ROUND(C2579*F2579,0)</f>
        <v>3428</v>
      </c>
      <c r="H2579" s="48" t="n">
        <f aca="false">MAX(0,(C2579*'Model Inputs &amp; Assumptions'!$N$33+E2579*'Model Inputs &amp; Assumptions'!$O$33+G2579*'Model Inputs &amp; Assumptions'!$P$33)*EXP('Model Inputs &amp; Assumptions'!$Q$33*S2579-'Model Inputs &amp; Assumptions'!$Q$33^2/2))</f>
        <v>191.250327661516</v>
      </c>
      <c r="I2579" s="49" t="n">
        <f aca="false">IF('Model Inputs &amp; Assumptions'!$H$33="Fixed",'Model Inputs &amp; Assumptions'!$I$33*'Model Inputs &amp; Assumptions'!$K$33,IF('Model Inputs &amp; Assumptions'!$H$33="CPM",'Model Inputs &amp; Assumptions'!$I$33*'Model Inputs &amp; Assumptions'!$K$33*C2579/1000,IF('Model Inputs &amp; Assumptions'!$H$33="CPC",'Model Inputs &amp; Assumptions'!$I$33*'Model Inputs &amp; Assumptions'!$K$33*G2579,0)))</f>
        <v>25000</v>
      </c>
      <c r="J2579" s="50" t="n">
        <f aca="false">H2579*INDEX('Model Inputs &amp; Assumptions'!$D$40:$D$42,MATCH('Model Inputs &amp; Assumptions'!$L$33,'Model Inputs &amp; Assumptions'!$A$40:$A$42,0))*INDEX('Model Inputs &amp; Assumptions'!$H$40:$H$42,MATCH('Model Inputs &amp; Assumptions'!$L$33,'Model Inputs &amp; Assumptions'!$A$40:$A$42,0))</f>
        <v>1032751.76937218</v>
      </c>
      <c r="K2579" s="49" t="n">
        <f aca="false">H2579*INDEX('Model Inputs &amp; Assumptions'!$G$40:$G$42,MATCH('Model Inputs &amp; Assumptions'!$L$33,'Model Inputs &amp; Assumptions'!$A$40:$A$42,0))*INDEX('Model Inputs &amp; Assumptions'!$H$40:$H$42,MATCH('Model Inputs &amp; Assumptions'!$L$33,'Model Inputs &amp; Assumptions'!$A$40:$A$42,0))</f>
        <v>21687.7871568159</v>
      </c>
      <c r="L2579" s="51" t="n">
        <f aca="false">IFERROR(K2579/I2579,0)</f>
        <v>0.867511486272635</v>
      </c>
      <c r="M2579" s="49" t="n">
        <f aca="false">IFERROR(I2579/H2579,0)</f>
        <v>130.718730292825</v>
      </c>
      <c r="N2579" s="52" t="str">
        <f aca="false">'Model Inputs &amp; Assumptions'!$L$33</f>
        <v>PRD-SP01</v>
      </c>
      <c r="P2579" s="53" t="n">
        <v>-0.661142</v>
      </c>
      <c r="Q2579" s="53" t="n">
        <v>-0.707671</v>
      </c>
      <c r="R2579" s="53" t="n">
        <v>0.283966</v>
      </c>
      <c r="S2579" s="53" t="n">
        <v>0.190975</v>
      </c>
    </row>
    <row r="2580" customFormat="false" ht="15" hidden="false" customHeight="false" outlineLevel="0" collapsed="false">
      <c r="A2580" s="43" t="n">
        <v>77</v>
      </c>
      <c r="B2580" s="44" t="str">
        <f aca="false">'Model Inputs &amp; Assumptions'!$B$33</f>
        <v>Trade Republic — Savings Plan Push</v>
      </c>
      <c r="C2580" s="45" t="n">
        <f aca="false">ROUND(MAX(0,'Model Inputs &amp; Assumptions'!$S$33*EXP('Model Inputs &amp; Assumptions'!$T$33*P2580-'Model Inputs &amp; Assumptions'!$T$33^2/2)),0)</f>
        <v>973052</v>
      </c>
      <c r="D2580" s="46" t="n">
        <f aca="false">MIN(1,'Model Inputs &amp; Assumptions'!$U$33*EXP('Model Inputs &amp; Assumptions'!$V$33*Q2580-'Model Inputs &amp; Assumptions'!$V$33^2/2))</f>
        <v>0</v>
      </c>
      <c r="E2580" s="45" t="n">
        <f aca="false">ROUND(C2580*D2580,0)</f>
        <v>0</v>
      </c>
      <c r="F2580" s="47" t="n">
        <f aca="false">MIN(1,'Model Inputs &amp; Assumptions'!$W$33*EXP('Model Inputs &amp; Assumptions'!$X$33*R2580-'Model Inputs &amp; Assumptions'!$X$33^2/2))</f>
        <v>0.0029521684511131</v>
      </c>
      <c r="G2580" s="45" t="n">
        <f aca="false">ROUND(C2580*F2580,0)</f>
        <v>2873</v>
      </c>
      <c r="H2580" s="48" t="n">
        <f aca="false">MAX(0,(C2580*'Model Inputs &amp; Assumptions'!$N$33+E2580*'Model Inputs &amp; Assumptions'!$O$33+G2580*'Model Inputs &amp; Assumptions'!$P$33)*EXP('Model Inputs &amp; Assumptions'!$Q$33*S2580-'Model Inputs &amp; Assumptions'!$Q$33^2/2))</f>
        <v>117.707305979134</v>
      </c>
      <c r="I2580" s="49" t="n">
        <f aca="false">IF('Model Inputs &amp; Assumptions'!$H$33="Fixed",'Model Inputs &amp; Assumptions'!$I$33*'Model Inputs &amp; Assumptions'!$K$33,IF('Model Inputs &amp; Assumptions'!$H$33="CPM",'Model Inputs &amp; Assumptions'!$I$33*'Model Inputs &amp; Assumptions'!$K$33*C2580/1000,IF('Model Inputs &amp; Assumptions'!$H$33="CPC",'Model Inputs &amp; Assumptions'!$I$33*'Model Inputs &amp; Assumptions'!$K$33*G2580,0)))</f>
        <v>25000</v>
      </c>
      <c r="J2580" s="50" t="n">
        <f aca="false">H2580*INDEX('Model Inputs &amp; Assumptions'!$D$40:$D$42,MATCH('Model Inputs &amp; Assumptions'!$L$33,'Model Inputs &amp; Assumptions'!$A$40:$A$42,0))*INDEX('Model Inputs &amp; Assumptions'!$H$40:$H$42,MATCH('Model Inputs &amp; Assumptions'!$L$33,'Model Inputs &amp; Assumptions'!$A$40:$A$42,0))</f>
        <v>635619.452287321</v>
      </c>
      <c r="K2580" s="49" t="n">
        <f aca="false">H2580*INDEX('Model Inputs &amp; Assumptions'!$G$40:$G$42,MATCH('Model Inputs &amp; Assumptions'!$L$33,'Model Inputs &amp; Assumptions'!$A$40:$A$42,0))*INDEX('Model Inputs &amp; Assumptions'!$H$40:$H$42,MATCH('Model Inputs &amp; Assumptions'!$L$33,'Model Inputs &amp; Assumptions'!$A$40:$A$42,0))</f>
        <v>13348.0084980337</v>
      </c>
      <c r="L2580" s="51" t="n">
        <f aca="false">IFERROR(K2580/I2580,0)</f>
        <v>0.53392033992135</v>
      </c>
      <c r="M2580" s="49" t="n">
        <f aca="false">IFERROR(I2580/H2580,0)</f>
        <v>212.391234274208</v>
      </c>
      <c r="N2580" s="52" t="str">
        <f aca="false">'Model Inputs &amp; Assumptions'!$L$33</f>
        <v>PRD-SP01</v>
      </c>
      <c r="P2580" s="53" t="n">
        <v>-0.548797</v>
      </c>
      <c r="Q2580" s="53" t="n">
        <v>0.738707</v>
      </c>
      <c r="R2580" s="53" t="n">
        <v>-0.41741</v>
      </c>
      <c r="S2580" s="53" t="n">
        <v>-0.911746</v>
      </c>
    </row>
    <row r="2581" customFormat="false" ht="15" hidden="false" customHeight="false" outlineLevel="0" collapsed="false">
      <c r="A2581" s="43" t="n">
        <v>78</v>
      </c>
      <c r="B2581" s="44" t="str">
        <f aca="false">'Model Inputs &amp; Assumptions'!$B$33</f>
        <v>Trade Republic — Savings Plan Push</v>
      </c>
      <c r="C2581" s="45" t="n">
        <f aca="false">ROUND(MAX(0,'Model Inputs &amp; Assumptions'!$S$33*EXP('Model Inputs &amp; Assumptions'!$T$33*P2581-'Model Inputs &amp; Assumptions'!$T$33^2/2)),0)</f>
        <v>946164</v>
      </c>
      <c r="D2581" s="46" t="n">
        <f aca="false">MIN(1,'Model Inputs &amp; Assumptions'!$U$33*EXP('Model Inputs &amp; Assumptions'!$V$33*Q2581-'Model Inputs &amp; Assumptions'!$V$33^2/2))</f>
        <v>0</v>
      </c>
      <c r="E2581" s="45" t="n">
        <f aca="false">ROUND(C2581*D2581,0)</f>
        <v>0</v>
      </c>
      <c r="F2581" s="47" t="n">
        <f aca="false">MIN(1,'Model Inputs &amp; Assumptions'!$W$33*EXP('Model Inputs &amp; Assumptions'!$X$33*R2581-'Model Inputs &amp; Assumptions'!$X$33^2/2))</f>
        <v>0.00204479833000085</v>
      </c>
      <c r="G2581" s="45" t="n">
        <f aca="false">ROUND(C2581*F2581,0)</f>
        <v>1935</v>
      </c>
      <c r="H2581" s="48" t="n">
        <f aca="false">MAX(0,(C2581*'Model Inputs &amp; Assumptions'!$N$33+E2581*'Model Inputs &amp; Assumptions'!$O$33+G2581*'Model Inputs &amp; Assumptions'!$P$33)*EXP('Model Inputs &amp; Assumptions'!$Q$33*S2581-'Model Inputs &amp; Assumptions'!$Q$33^2/2))</f>
        <v>72.7038944379099</v>
      </c>
      <c r="I2581" s="49" t="n">
        <f aca="false">IF('Model Inputs &amp; Assumptions'!$H$33="Fixed",'Model Inputs &amp; Assumptions'!$I$33*'Model Inputs &amp; Assumptions'!$K$33,IF('Model Inputs &amp; Assumptions'!$H$33="CPM",'Model Inputs &amp; Assumptions'!$I$33*'Model Inputs &amp; Assumptions'!$K$33*C2581/1000,IF('Model Inputs &amp; Assumptions'!$H$33="CPC",'Model Inputs &amp; Assumptions'!$I$33*'Model Inputs &amp; Assumptions'!$K$33*G2581,0)))</f>
        <v>25000</v>
      </c>
      <c r="J2581" s="50" t="n">
        <f aca="false">H2581*INDEX('Model Inputs &amp; Assumptions'!$D$40:$D$42,MATCH('Model Inputs &amp; Assumptions'!$L$33,'Model Inputs &amp; Assumptions'!$A$40:$A$42,0))*INDEX('Model Inputs &amp; Assumptions'!$H$40:$H$42,MATCH('Model Inputs &amp; Assumptions'!$L$33,'Model Inputs &amp; Assumptions'!$A$40:$A$42,0))</f>
        <v>392601.029964713</v>
      </c>
      <c r="K2581" s="49" t="n">
        <f aca="false">H2581*INDEX('Model Inputs &amp; Assumptions'!$G$40:$G$42,MATCH('Model Inputs &amp; Assumptions'!$L$33,'Model Inputs &amp; Assumptions'!$A$40:$A$42,0))*INDEX('Model Inputs &amp; Assumptions'!$H$40:$H$42,MATCH('Model Inputs &amp; Assumptions'!$L$33,'Model Inputs &amp; Assumptions'!$A$40:$A$42,0))</f>
        <v>8244.62162925898</v>
      </c>
      <c r="L2581" s="51" t="n">
        <f aca="false">IFERROR(K2581/I2581,0)</f>
        <v>0.329784865170359</v>
      </c>
      <c r="M2581" s="49" t="n">
        <f aca="false">IFERROR(I2581/H2581,0)</f>
        <v>343.860534477288</v>
      </c>
      <c r="N2581" s="52" t="str">
        <f aca="false">'Model Inputs &amp; Assumptions'!$L$33</f>
        <v>PRD-SP01</v>
      </c>
      <c r="P2581" s="53" t="n">
        <v>-0.642202</v>
      </c>
      <c r="Q2581" s="53" t="n">
        <v>-0.306141</v>
      </c>
      <c r="R2581" s="53" t="n">
        <v>-1.641546</v>
      </c>
      <c r="S2581" s="53" t="n">
        <v>-1.220877</v>
      </c>
    </row>
    <row r="2582" customFormat="false" ht="15" hidden="false" customHeight="false" outlineLevel="0" collapsed="false">
      <c r="A2582" s="43" t="n">
        <v>79</v>
      </c>
      <c r="B2582" s="44" t="str">
        <f aca="false">'Model Inputs &amp; Assumptions'!$B$33</f>
        <v>Trade Republic — Savings Plan Push</v>
      </c>
      <c r="C2582" s="45" t="n">
        <f aca="false">ROUND(MAX(0,'Model Inputs &amp; Assumptions'!$S$33*EXP('Model Inputs &amp; Assumptions'!$T$33*P2582-'Model Inputs &amp; Assumptions'!$T$33^2/2)),0)</f>
        <v>1595741</v>
      </c>
      <c r="D2582" s="46" t="n">
        <f aca="false">MIN(1,'Model Inputs &amp; Assumptions'!$U$33*EXP('Model Inputs &amp; Assumptions'!$V$33*Q2582-'Model Inputs &amp; Assumptions'!$V$33^2/2))</f>
        <v>0</v>
      </c>
      <c r="E2582" s="45" t="n">
        <f aca="false">ROUND(C2582*D2582,0)</f>
        <v>0</v>
      </c>
      <c r="F2582" s="47" t="n">
        <f aca="false">MIN(1,'Model Inputs &amp; Assumptions'!$W$33*EXP('Model Inputs &amp; Assumptions'!$X$33*R2582-'Model Inputs &amp; Assumptions'!$X$33^2/2))</f>
        <v>0.00322081318144722</v>
      </c>
      <c r="G2582" s="45" t="n">
        <f aca="false">ROUND(C2582*F2582,0)</f>
        <v>5140</v>
      </c>
      <c r="H2582" s="48" t="n">
        <f aca="false">MAX(0,(C2582*'Model Inputs &amp; Assumptions'!$N$33+E2582*'Model Inputs &amp; Assumptions'!$O$33+G2582*'Model Inputs &amp; Assumptions'!$P$33)*EXP('Model Inputs &amp; Assumptions'!$Q$33*S2582-'Model Inputs &amp; Assumptions'!$Q$33^2/2))</f>
        <v>190.487494110806</v>
      </c>
      <c r="I2582" s="49" t="n">
        <f aca="false">IF('Model Inputs &amp; Assumptions'!$H$33="Fixed",'Model Inputs &amp; Assumptions'!$I$33*'Model Inputs &amp; Assumptions'!$K$33,IF('Model Inputs &amp; Assumptions'!$H$33="CPM",'Model Inputs &amp; Assumptions'!$I$33*'Model Inputs &amp; Assumptions'!$K$33*C2582/1000,IF('Model Inputs &amp; Assumptions'!$H$33="CPC",'Model Inputs &amp; Assumptions'!$I$33*'Model Inputs &amp; Assumptions'!$K$33*G2582,0)))</f>
        <v>25000</v>
      </c>
      <c r="J2582" s="50" t="n">
        <f aca="false">H2582*INDEX('Model Inputs &amp; Assumptions'!$D$40:$D$42,MATCH('Model Inputs &amp; Assumptions'!$L$33,'Model Inputs &amp; Assumptions'!$A$40:$A$42,0))*INDEX('Model Inputs &amp; Assumptions'!$H$40:$H$42,MATCH('Model Inputs &amp; Assumptions'!$L$33,'Model Inputs &amp; Assumptions'!$A$40:$A$42,0))</f>
        <v>1028632.46819835</v>
      </c>
      <c r="K2582" s="49" t="n">
        <f aca="false">H2582*INDEX('Model Inputs &amp; Assumptions'!$G$40:$G$42,MATCH('Model Inputs &amp; Assumptions'!$L$33,'Model Inputs &amp; Assumptions'!$A$40:$A$42,0))*INDEX('Model Inputs &amp; Assumptions'!$H$40:$H$42,MATCH('Model Inputs &amp; Assumptions'!$L$33,'Model Inputs &amp; Assumptions'!$A$40:$A$42,0))</f>
        <v>21601.2818321654</v>
      </c>
      <c r="L2582" s="51" t="n">
        <f aca="false">IFERROR(K2582/I2582,0)</f>
        <v>0.864051273286615</v>
      </c>
      <c r="M2582" s="49" t="n">
        <f aca="false">IFERROR(I2582/H2582,0)</f>
        <v>131.242211551471</v>
      </c>
      <c r="N2582" s="52" t="str">
        <f aca="false">'Model Inputs &amp; Assumptions'!$L$33</f>
        <v>PRD-SP01</v>
      </c>
      <c r="P2582" s="53" t="n">
        <v>1.100056</v>
      </c>
      <c r="Q2582" s="53" t="n">
        <v>-1.268113</v>
      </c>
      <c r="R2582" s="53" t="n">
        <v>-0.127097</v>
      </c>
      <c r="S2582" s="53" t="n">
        <v>-1.269999</v>
      </c>
    </row>
    <row r="2583" customFormat="false" ht="15" hidden="false" customHeight="false" outlineLevel="0" collapsed="false">
      <c r="A2583" s="43" t="n">
        <v>80</v>
      </c>
      <c r="B2583" s="44" t="str">
        <f aca="false">'Model Inputs &amp; Assumptions'!$B$33</f>
        <v>Trade Republic — Savings Plan Push</v>
      </c>
      <c r="C2583" s="45" t="n">
        <f aca="false">ROUND(MAX(0,'Model Inputs &amp; Assumptions'!$S$33*EXP('Model Inputs &amp; Assumptions'!$T$33*P2583-'Model Inputs &amp; Assumptions'!$T$33^2/2)),0)</f>
        <v>900983</v>
      </c>
      <c r="D2583" s="46" t="n">
        <f aca="false">MIN(1,'Model Inputs &amp; Assumptions'!$U$33*EXP('Model Inputs &amp; Assumptions'!$V$33*Q2583-'Model Inputs &amp; Assumptions'!$V$33^2/2))</f>
        <v>0</v>
      </c>
      <c r="E2583" s="45" t="n">
        <f aca="false">ROUND(C2583*D2583,0)</f>
        <v>0</v>
      </c>
      <c r="F2583" s="47" t="n">
        <f aca="false">MIN(1,'Model Inputs &amp; Assumptions'!$W$33*EXP('Model Inputs &amp; Assumptions'!$X$33*R2583-'Model Inputs &amp; Assumptions'!$X$33^2/2))</f>
        <v>0.00382817645536186</v>
      </c>
      <c r="G2583" s="45" t="n">
        <f aca="false">ROUND(C2583*F2583,0)</f>
        <v>3449</v>
      </c>
      <c r="H2583" s="48" t="n">
        <f aca="false">MAX(0,(C2583*'Model Inputs &amp; Assumptions'!$N$33+E2583*'Model Inputs &amp; Assumptions'!$O$33+G2583*'Model Inputs &amp; Assumptions'!$P$33)*EXP('Model Inputs &amp; Assumptions'!$Q$33*S2583-'Model Inputs &amp; Assumptions'!$Q$33^2/2))</f>
        <v>158.233115335106</v>
      </c>
      <c r="I2583" s="49" t="n">
        <f aca="false">IF('Model Inputs &amp; Assumptions'!$H$33="Fixed",'Model Inputs &amp; Assumptions'!$I$33*'Model Inputs &amp; Assumptions'!$K$33,IF('Model Inputs &amp; Assumptions'!$H$33="CPM",'Model Inputs &amp; Assumptions'!$I$33*'Model Inputs &amp; Assumptions'!$K$33*C2583/1000,IF('Model Inputs &amp; Assumptions'!$H$33="CPC",'Model Inputs &amp; Assumptions'!$I$33*'Model Inputs &amp; Assumptions'!$K$33*G2583,0)))</f>
        <v>25000</v>
      </c>
      <c r="J2583" s="50" t="n">
        <f aca="false">H2583*INDEX('Model Inputs &amp; Assumptions'!$D$40:$D$42,MATCH('Model Inputs &amp; Assumptions'!$L$33,'Model Inputs &amp; Assumptions'!$A$40:$A$42,0))*INDEX('Model Inputs &amp; Assumptions'!$H$40:$H$42,MATCH('Model Inputs &amp; Assumptions'!$L$33,'Model Inputs &amp; Assumptions'!$A$40:$A$42,0))</f>
        <v>854458.82280957</v>
      </c>
      <c r="K2583" s="49" t="n">
        <f aca="false">H2583*INDEX('Model Inputs &amp; Assumptions'!$G$40:$G$42,MATCH('Model Inputs &amp; Assumptions'!$L$33,'Model Inputs &amp; Assumptions'!$A$40:$A$42,0))*INDEX('Model Inputs &amp; Assumptions'!$H$40:$H$42,MATCH('Model Inputs &amp; Assumptions'!$L$33,'Model Inputs &amp; Assumptions'!$A$40:$A$42,0))</f>
        <v>17943.635279001</v>
      </c>
      <c r="L2583" s="51" t="n">
        <f aca="false">IFERROR(K2583/I2583,0)</f>
        <v>0.717745411160039</v>
      </c>
      <c r="M2583" s="49" t="n">
        <f aca="false">IFERROR(I2583/H2583,0)</f>
        <v>157.994740526059</v>
      </c>
      <c r="N2583" s="52" t="str">
        <f aca="false">'Model Inputs &amp; Assumptions'!$L$33</f>
        <v>PRD-SP01</v>
      </c>
      <c r="P2583" s="53" t="n">
        <v>-0.805302</v>
      </c>
      <c r="Q2583" s="53" t="n">
        <v>-0.502624</v>
      </c>
      <c r="R2583" s="53" t="n">
        <v>0.448752</v>
      </c>
      <c r="S2583" s="53" t="n">
        <v>-0.507672</v>
      </c>
    </row>
    <row r="2584" customFormat="false" ht="15" hidden="false" customHeight="false" outlineLevel="0" collapsed="false">
      <c r="A2584" s="43" t="n">
        <v>81</v>
      </c>
      <c r="B2584" s="44" t="str">
        <f aca="false">'Model Inputs &amp; Assumptions'!$B$33</f>
        <v>Trade Republic — Savings Plan Push</v>
      </c>
      <c r="C2584" s="45" t="n">
        <f aca="false">ROUND(MAX(0,'Model Inputs &amp; Assumptions'!$S$33*EXP('Model Inputs &amp; Assumptions'!$T$33*P2584-'Model Inputs &amp; Assumptions'!$T$33^2/2)),0)</f>
        <v>1855018</v>
      </c>
      <c r="D2584" s="46" t="n">
        <f aca="false">MIN(1,'Model Inputs &amp; Assumptions'!$U$33*EXP('Model Inputs &amp; Assumptions'!$V$33*Q2584-'Model Inputs &amp; Assumptions'!$V$33^2/2))</f>
        <v>0</v>
      </c>
      <c r="E2584" s="45" t="n">
        <f aca="false">ROUND(C2584*D2584,0)</f>
        <v>0</v>
      </c>
      <c r="F2584" s="47" t="n">
        <f aca="false">MIN(1,'Model Inputs &amp; Assumptions'!$W$33*EXP('Model Inputs &amp; Assumptions'!$X$33*R2584-'Model Inputs &amp; Assumptions'!$X$33^2/2))</f>
        <v>0.00276614089049737</v>
      </c>
      <c r="G2584" s="45" t="n">
        <f aca="false">ROUND(C2584*F2584,0)</f>
        <v>5131</v>
      </c>
      <c r="H2584" s="48" t="n">
        <f aca="false">MAX(0,(C2584*'Model Inputs &amp; Assumptions'!$N$33+E2584*'Model Inputs &amp; Assumptions'!$O$33+G2584*'Model Inputs &amp; Assumptions'!$P$33)*EXP('Model Inputs &amp; Assumptions'!$Q$33*S2584-'Model Inputs &amp; Assumptions'!$Q$33^2/2))</f>
        <v>301.35863599002</v>
      </c>
      <c r="I2584" s="49" t="n">
        <f aca="false">IF('Model Inputs &amp; Assumptions'!$H$33="Fixed",'Model Inputs &amp; Assumptions'!$I$33*'Model Inputs &amp; Assumptions'!$K$33,IF('Model Inputs &amp; Assumptions'!$H$33="CPM",'Model Inputs &amp; Assumptions'!$I$33*'Model Inputs &amp; Assumptions'!$K$33*C2584/1000,IF('Model Inputs &amp; Assumptions'!$H$33="CPC",'Model Inputs &amp; Assumptions'!$I$33*'Model Inputs &amp; Assumptions'!$K$33*G2584,0)))</f>
        <v>25000</v>
      </c>
      <c r="J2584" s="50" t="n">
        <f aca="false">H2584*INDEX('Model Inputs &amp; Assumptions'!$D$40:$D$42,MATCH('Model Inputs &amp; Assumptions'!$L$33,'Model Inputs &amp; Assumptions'!$A$40:$A$42,0))*INDEX('Model Inputs &amp; Assumptions'!$H$40:$H$42,MATCH('Model Inputs &amp; Assumptions'!$L$33,'Model Inputs &amp; Assumptions'!$A$40:$A$42,0))</f>
        <v>1627336.63434611</v>
      </c>
      <c r="K2584" s="49" t="n">
        <f aca="false">H2584*INDEX('Model Inputs &amp; Assumptions'!$G$40:$G$42,MATCH('Model Inputs &amp; Assumptions'!$L$33,'Model Inputs &amp; Assumptions'!$A$40:$A$42,0))*INDEX('Model Inputs &amp; Assumptions'!$H$40:$H$42,MATCH('Model Inputs &amp; Assumptions'!$L$33,'Model Inputs &amp; Assumptions'!$A$40:$A$42,0))</f>
        <v>34174.0693212683</v>
      </c>
      <c r="L2584" s="51" t="n">
        <f aca="false">IFERROR(K2584/I2584,0)</f>
        <v>1.36696277285073</v>
      </c>
      <c r="M2584" s="49" t="n">
        <f aca="false">IFERROR(I2584/H2584,0)</f>
        <v>82.9576359007276</v>
      </c>
      <c r="N2584" s="52" t="str">
        <f aca="false">'Model Inputs &amp; Assumptions'!$L$33</f>
        <v>PRD-SP01</v>
      </c>
      <c r="P2584" s="53" t="n">
        <v>1.601909</v>
      </c>
      <c r="Q2584" s="53" t="n">
        <v>1.155451</v>
      </c>
      <c r="R2584" s="53" t="n">
        <v>-0.634366</v>
      </c>
      <c r="S2584" s="53" t="n">
        <v>0.374526</v>
      </c>
    </row>
    <row r="2585" customFormat="false" ht="15" hidden="false" customHeight="false" outlineLevel="0" collapsed="false">
      <c r="A2585" s="43" t="n">
        <v>82</v>
      </c>
      <c r="B2585" s="44" t="str">
        <f aca="false">'Model Inputs &amp; Assumptions'!$B$33</f>
        <v>Trade Republic — Savings Plan Push</v>
      </c>
      <c r="C2585" s="45" t="n">
        <f aca="false">ROUND(MAX(0,'Model Inputs &amp; Assumptions'!$S$33*EXP('Model Inputs &amp; Assumptions'!$T$33*P2585-'Model Inputs &amp; Assumptions'!$T$33^2/2)),0)</f>
        <v>1129449</v>
      </c>
      <c r="D2585" s="46" t="n">
        <f aca="false">MIN(1,'Model Inputs &amp; Assumptions'!$U$33*EXP('Model Inputs &amp; Assumptions'!$V$33*Q2585-'Model Inputs &amp; Assumptions'!$V$33^2/2))</f>
        <v>0</v>
      </c>
      <c r="E2585" s="45" t="n">
        <f aca="false">ROUND(C2585*D2585,0)</f>
        <v>0</v>
      </c>
      <c r="F2585" s="47" t="n">
        <f aca="false">MIN(1,'Model Inputs &amp; Assumptions'!$W$33*EXP('Model Inputs &amp; Assumptions'!$X$33*R2585-'Model Inputs &amp; Assumptions'!$X$33^2/2))</f>
        <v>0.00262479859791257</v>
      </c>
      <c r="G2585" s="45" t="n">
        <f aca="false">ROUND(C2585*F2585,0)</f>
        <v>2965</v>
      </c>
      <c r="H2585" s="48" t="n">
        <f aca="false">MAX(0,(C2585*'Model Inputs &amp; Assumptions'!$N$33+E2585*'Model Inputs &amp; Assumptions'!$O$33+G2585*'Model Inputs &amp; Assumptions'!$P$33)*EXP('Model Inputs &amp; Assumptions'!$Q$33*S2585-'Model Inputs &amp; Assumptions'!$Q$33^2/2))</f>
        <v>193.149793053381</v>
      </c>
      <c r="I2585" s="49" t="n">
        <f aca="false">IF('Model Inputs &amp; Assumptions'!$H$33="Fixed",'Model Inputs &amp; Assumptions'!$I$33*'Model Inputs &amp; Assumptions'!$K$33,IF('Model Inputs &amp; Assumptions'!$H$33="CPM",'Model Inputs &amp; Assumptions'!$I$33*'Model Inputs &amp; Assumptions'!$K$33*C2585/1000,IF('Model Inputs &amp; Assumptions'!$H$33="CPC",'Model Inputs &amp; Assumptions'!$I$33*'Model Inputs &amp; Assumptions'!$K$33*G2585,0)))</f>
        <v>25000</v>
      </c>
      <c r="J2585" s="50" t="n">
        <f aca="false">H2585*INDEX('Model Inputs &amp; Assumptions'!$D$40:$D$42,MATCH('Model Inputs &amp; Assumptions'!$L$33,'Model Inputs &amp; Assumptions'!$A$40:$A$42,0))*INDEX('Model Inputs &amp; Assumptions'!$H$40:$H$42,MATCH('Model Inputs &amp; Assumptions'!$L$33,'Model Inputs &amp; Assumptions'!$A$40:$A$42,0))</f>
        <v>1043008.88248826</v>
      </c>
      <c r="K2585" s="49" t="n">
        <f aca="false">H2585*INDEX('Model Inputs &amp; Assumptions'!$G$40:$G$42,MATCH('Model Inputs &amp; Assumptions'!$L$33,'Model Inputs &amp; Assumptions'!$A$40:$A$42,0))*INDEX('Model Inputs &amp; Assumptions'!$H$40:$H$42,MATCH('Model Inputs &amp; Assumptions'!$L$33,'Model Inputs &amp; Assumptions'!$A$40:$A$42,0))</f>
        <v>21903.1865322534</v>
      </c>
      <c r="L2585" s="51" t="n">
        <f aca="false">IFERROR(K2585/I2585,0)</f>
        <v>0.876127461290137</v>
      </c>
      <c r="M2585" s="49" t="n">
        <f aca="false">IFERROR(I2585/H2585,0)</f>
        <v>129.433221774619</v>
      </c>
      <c r="N2585" s="52" t="str">
        <f aca="false">'Model Inputs &amp; Assumptions'!$L$33</f>
        <v>PRD-SP01</v>
      </c>
      <c r="P2585" s="53" t="n">
        <v>-0.051972</v>
      </c>
      <c r="Q2585" s="53" t="n">
        <v>-1.076432</v>
      </c>
      <c r="R2585" s="53" t="n">
        <v>-0.809196</v>
      </c>
      <c r="S2585" s="53" t="n">
        <v>0.744485</v>
      </c>
    </row>
    <row r="2586" customFormat="false" ht="15" hidden="false" customHeight="false" outlineLevel="0" collapsed="false">
      <c r="A2586" s="43" t="n">
        <v>83</v>
      </c>
      <c r="B2586" s="44" t="str">
        <f aca="false">'Model Inputs &amp; Assumptions'!$B$33</f>
        <v>Trade Republic — Savings Plan Push</v>
      </c>
      <c r="C2586" s="45" t="n">
        <f aca="false">ROUND(MAX(0,'Model Inputs &amp; Assumptions'!$S$33*EXP('Model Inputs &amp; Assumptions'!$T$33*P2586-'Model Inputs &amp; Assumptions'!$T$33^2/2)),0)</f>
        <v>730110</v>
      </c>
      <c r="D2586" s="46" t="n">
        <f aca="false">MIN(1,'Model Inputs &amp; Assumptions'!$U$33*EXP('Model Inputs &amp; Assumptions'!$V$33*Q2586-'Model Inputs &amp; Assumptions'!$V$33^2/2))</f>
        <v>0</v>
      </c>
      <c r="E2586" s="45" t="n">
        <f aca="false">ROUND(C2586*D2586,0)</f>
        <v>0</v>
      </c>
      <c r="F2586" s="47" t="n">
        <f aca="false">MIN(1,'Model Inputs &amp; Assumptions'!$W$33*EXP('Model Inputs &amp; Assumptions'!$X$33*R2586-'Model Inputs &amp; Assumptions'!$X$33^2/2))</f>
        <v>0.00304330948147406</v>
      </c>
      <c r="G2586" s="45" t="n">
        <f aca="false">ROUND(C2586*F2586,0)</f>
        <v>2222</v>
      </c>
      <c r="H2586" s="48" t="n">
        <f aca="false">MAX(0,(C2586*'Model Inputs &amp; Assumptions'!$N$33+E2586*'Model Inputs &amp; Assumptions'!$O$33+G2586*'Model Inputs &amp; Assumptions'!$P$33)*EXP('Model Inputs &amp; Assumptions'!$Q$33*S2586-'Model Inputs &amp; Assumptions'!$Q$33^2/2))</f>
        <v>218.271660582415</v>
      </c>
      <c r="I2586" s="49" t="n">
        <f aca="false">IF('Model Inputs &amp; Assumptions'!$H$33="Fixed",'Model Inputs &amp; Assumptions'!$I$33*'Model Inputs &amp; Assumptions'!$K$33,IF('Model Inputs &amp; Assumptions'!$H$33="CPM",'Model Inputs &amp; Assumptions'!$I$33*'Model Inputs &amp; Assumptions'!$K$33*C2586/1000,IF('Model Inputs &amp; Assumptions'!$H$33="CPC",'Model Inputs &amp; Assumptions'!$I$33*'Model Inputs &amp; Assumptions'!$K$33*G2586,0)))</f>
        <v>25000</v>
      </c>
      <c r="J2586" s="50" t="n">
        <f aca="false">H2586*INDEX('Model Inputs &amp; Assumptions'!$D$40:$D$42,MATCH('Model Inputs &amp; Assumptions'!$L$33,'Model Inputs &amp; Assumptions'!$A$40:$A$42,0))*INDEX('Model Inputs &amp; Assumptions'!$H$40:$H$42,MATCH('Model Inputs &amp; Assumptions'!$L$33,'Model Inputs &amp; Assumptions'!$A$40:$A$42,0))</f>
        <v>1178666.96714504</v>
      </c>
      <c r="K2586" s="49" t="n">
        <f aca="false">H2586*INDEX('Model Inputs &amp; Assumptions'!$G$40:$G$42,MATCH('Model Inputs &amp; Assumptions'!$L$33,'Model Inputs &amp; Assumptions'!$A$40:$A$42,0))*INDEX('Model Inputs &amp; Assumptions'!$H$40:$H$42,MATCH('Model Inputs &amp; Assumptions'!$L$33,'Model Inputs &amp; Assumptions'!$A$40:$A$42,0))</f>
        <v>24752.0063100458</v>
      </c>
      <c r="L2586" s="51" t="n">
        <f aca="false">IFERROR(K2586/I2586,0)</f>
        <v>0.990080252401833</v>
      </c>
      <c r="M2586" s="49" t="n">
        <f aca="false">IFERROR(I2586/H2586,0)</f>
        <v>114.536169896231</v>
      </c>
      <c r="N2586" s="52" t="str">
        <f aca="false">'Model Inputs &amp; Assumptions'!$L$33</f>
        <v>PRD-SP01</v>
      </c>
      <c r="P2586" s="53" t="n">
        <v>-1.506273</v>
      </c>
      <c r="Q2586" s="53" t="n">
        <v>0.174115</v>
      </c>
      <c r="R2586" s="53" t="n">
        <v>-0.316058</v>
      </c>
      <c r="S2586" s="53" t="n">
        <v>2.211427</v>
      </c>
    </row>
    <row r="2587" customFormat="false" ht="15" hidden="false" customHeight="false" outlineLevel="0" collapsed="false">
      <c r="A2587" s="43" t="n">
        <v>84</v>
      </c>
      <c r="B2587" s="44" t="str">
        <f aca="false">'Model Inputs &amp; Assumptions'!$B$33</f>
        <v>Trade Republic — Savings Plan Push</v>
      </c>
      <c r="C2587" s="45" t="n">
        <f aca="false">ROUND(MAX(0,'Model Inputs &amp; Assumptions'!$S$33*EXP('Model Inputs &amp; Assumptions'!$T$33*P2587-'Model Inputs &amp; Assumptions'!$T$33^2/2)),0)</f>
        <v>1777703</v>
      </c>
      <c r="D2587" s="46" t="n">
        <f aca="false">MIN(1,'Model Inputs &amp; Assumptions'!$U$33*EXP('Model Inputs &amp; Assumptions'!$V$33*Q2587-'Model Inputs &amp; Assumptions'!$V$33^2/2))</f>
        <v>0</v>
      </c>
      <c r="E2587" s="45" t="n">
        <f aca="false">ROUND(C2587*D2587,0)</f>
        <v>0</v>
      </c>
      <c r="F2587" s="47" t="n">
        <f aca="false">MIN(1,'Model Inputs &amp; Assumptions'!$W$33*EXP('Model Inputs &amp; Assumptions'!$X$33*R2587-'Model Inputs &amp; Assumptions'!$X$33^2/2))</f>
        <v>0.00257907103075464</v>
      </c>
      <c r="G2587" s="45" t="n">
        <f aca="false">ROUND(C2587*F2587,0)</f>
        <v>4585</v>
      </c>
      <c r="H2587" s="48" t="n">
        <f aca="false">MAX(0,(C2587*'Model Inputs &amp; Assumptions'!$N$33+E2587*'Model Inputs &amp; Assumptions'!$O$33+G2587*'Model Inputs &amp; Assumptions'!$P$33)*EXP('Model Inputs &amp; Assumptions'!$Q$33*S2587-'Model Inputs &amp; Assumptions'!$Q$33^2/2))</f>
        <v>191.017378523368</v>
      </c>
      <c r="I2587" s="49" t="n">
        <f aca="false">IF('Model Inputs &amp; Assumptions'!$H$33="Fixed",'Model Inputs &amp; Assumptions'!$I$33*'Model Inputs &amp; Assumptions'!$K$33,IF('Model Inputs &amp; Assumptions'!$H$33="CPM",'Model Inputs &amp; Assumptions'!$I$33*'Model Inputs &amp; Assumptions'!$K$33*C2587/1000,IF('Model Inputs &amp; Assumptions'!$H$33="CPC",'Model Inputs &amp; Assumptions'!$I$33*'Model Inputs &amp; Assumptions'!$K$33*G2587,0)))</f>
        <v>25000</v>
      </c>
      <c r="J2587" s="50" t="n">
        <f aca="false">H2587*INDEX('Model Inputs &amp; Assumptions'!$D$40:$D$42,MATCH('Model Inputs &amp; Assumptions'!$L$33,'Model Inputs &amp; Assumptions'!$A$40:$A$42,0))*INDEX('Model Inputs &amp; Assumptions'!$H$40:$H$42,MATCH('Model Inputs &amp; Assumptions'!$L$33,'Model Inputs &amp; Assumptions'!$A$40:$A$42,0))</f>
        <v>1031493.84402619</v>
      </c>
      <c r="K2587" s="49" t="n">
        <f aca="false">H2587*INDEX('Model Inputs &amp; Assumptions'!$G$40:$G$42,MATCH('Model Inputs &amp; Assumptions'!$L$33,'Model Inputs &amp; Assumptions'!$A$40:$A$42,0))*INDEX('Model Inputs &amp; Assumptions'!$H$40:$H$42,MATCH('Model Inputs &amp; Assumptions'!$L$33,'Model Inputs &amp; Assumptions'!$A$40:$A$42,0))</f>
        <v>21661.3707245499</v>
      </c>
      <c r="L2587" s="51" t="n">
        <f aca="false">IFERROR(K2587/I2587,0)</f>
        <v>0.866454828981995</v>
      </c>
      <c r="M2587" s="49" t="n">
        <f aca="false">IFERROR(I2587/H2587,0)</f>
        <v>130.878144141957</v>
      </c>
      <c r="N2587" s="52" t="str">
        <f aca="false">'Model Inputs &amp; Assumptions'!$L$33</f>
        <v>PRD-SP01</v>
      </c>
      <c r="P2587" s="53" t="n">
        <v>1.460002</v>
      </c>
      <c r="Q2587" s="53" t="n">
        <v>0.730961</v>
      </c>
      <c r="R2587" s="53" t="n">
        <v>-0.867779</v>
      </c>
      <c r="S2587" s="53" t="n">
        <v>-0.851996</v>
      </c>
    </row>
    <row r="2588" customFormat="false" ht="15" hidden="false" customHeight="false" outlineLevel="0" collapsed="false">
      <c r="A2588" s="43" t="n">
        <v>85</v>
      </c>
      <c r="B2588" s="44" t="str">
        <f aca="false">'Model Inputs &amp; Assumptions'!$B$33</f>
        <v>Trade Republic — Savings Plan Push</v>
      </c>
      <c r="C2588" s="45" t="n">
        <f aca="false">ROUND(MAX(0,'Model Inputs &amp; Assumptions'!$S$33*EXP('Model Inputs &amp; Assumptions'!$T$33*P2588-'Model Inputs &amp; Assumptions'!$T$33^2/2)),0)</f>
        <v>988392</v>
      </c>
      <c r="D2588" s="46" t="n">
        <f aca="false">MIN(1,'Model Inputs &amp; Assumptions'!$U$33*EXP('Model Inputs &amp; Assumptions'!$V$33*Q2588-'Model Inputs &amp; Assumptions'!$V$33^2/2))</f>
        <v>0</v>
      </c>
      <c r="E2588" s="45" t="n">
        <f aca="false">ROUND(C2588*D2588,0)</f>
        <v>0</v>
      </c>
      <c r="F2588" s="47" t="n">
        <f aca="false">MIN(1,'Model Inputs &amp; Assumptions'!$W$33*EXP('Model Inputs &amp; Assumptions'!$X$33*R2588-'Model Inputs &amp; Assumptions'!$X$33^2/2))</f>
        <v>0.00377006698231868</v>
      </c>
      <c r="G2588" s="45" t="n">
        <f aca="false">ROUND(C2588*F2588,0)</f>
        <v>3726</v>
      </c>
      <c r="H2588" s="48" t="n">
        <f aca="false">MAX(0,(C2588*'Model Inputs &amp; Assumptions'!$N$33+E2588*'Model Inputs &amp; Assumptions'!$O$33+G2588*'Model Inputs &amp; Assumptions'!$P$33)*EXP('Model Inputs &amp; Assumptions'!$Q$33*S2588-'Model Inputs &amp; Assumptions'!$Q$33^2/2))</f>
        <v>251.833193406508</v>
      </c>
      <c r="I2588" s="49" t="n">
        <f aca="false">IF('Model Inputs &amp; Assumptions'!$H$33="Fixed",'Model Inputs &amp; Assumptions'!$I$33*'Model Inputs &amp; Assumptions'!$K$33,IF('Model Inputs &amp; Assumptions'!$H$33="CPM",'Model Inputs &amp; Assumptions'!$I$33*'Model Inputs &amp; Assumptions'!$K$33*C2588/1000,IF('Model Inputs &amp; Assumptions'!$H$33="CPC",'Model Inputs &amp; Assumptions'!$I$33*'Model Inputs &amp; Assumptions'!$K$33*G2588,0)))</f>
        <v>25000</v>
      </c>
      <c r="J2588" s="50" t="n">
        <f aca="false">H2588*INDEX('Model Inputs &amp; Assumptions'!$D$40:$D$42,MATCH('Model Inputs &amp; Assumptions'!$L$33,'Model Inputs &amp; Assumptions'!$A$40:$A$42,0))*INDEX('Model Inputs &amp; Assumptions'!$H$40:$H$42,MATCH('Model Inputs &amp; Assumptions'!$L$33,'Model Inputs &amp; Assumptions'!$A$40:$A$42,0))</f>
        <v>1359899.24439514</v>
      </c>
      <c r="K2588" s="49" t="n">
        <f aca="false">H2588*INDEX('Model Inputs &amp; Assumptions'!$G$40:$G$42,MATCH('Model Inputs &amp; Assumptions'!$L$33,'Model Inputs &amp; Assumptions'!$A$40:$A$42,0))*INDEX('Model Inputs &amp; Assumptions'!$H$40:$H$42,MATCH('Model Inputs &amp; Assumptions'!$L$33,'Model Inputs &amp; Assumptions'!$A$40:$A$42,0))</f>
        <v>28557.884132298</v>
      </c>
      <c r="L2588" s="51" t="n">
        <f aca="false">IFERROR(K2588/I2588,0)</f>
        <v>1.14231536529192</v>
      </c>
      <c r="M2588" s="49" t="n">
        <f aca="false">IFERROR(I2588/H2588,0)</f>
        <v>99.2720604533062</v>
      </c>
      <c r="N2588" s="52" t="str">
        <f aca="false">'Model Inputs &amp; Assumptions'!$L$33</f>
        <v>PRD-SP01</v>
      </c>
      <c r="P2588" s="53" t="n">
        <v>-0.496657</v>
      </c>
      <c r="Q2588" s="53" t="n">
        <v>-0.923816</v>
      </c>
      <c r="R2588" s="53" t="n">
        <v>0.397766</v>
      </c>
      <c r="S2588" s="53" t="n">
        <v>0.876066</v>
      </c>
    </row>
    <row r="2589" customFormat="false" ht="15" hidden="false" customHeight="false" outlineLevel="0" collapsed="false">
      <c r="A2589" s="43" t="n">
        <v>86</v>
      </c>
      <c r="B2589" s="44" t="str">
        <f aca="false">'Model Inputs &amp; Assumptions'!$B$33</f>
        <v>Trade Republic — Savings Plan Push</v>
      </c>
      <c r="C2589" s="45" t="n">
        <f aca="false">ROUND(MAX(0,'Model Inputs &amp; Assumptions'!$S$33*EXP('Model Inputs &amp; Assumptions'!$T$33*P2589-'Model Inputs &amp; Assumptions'!$T$33^2/2)),0)</f>
        <v>926857</v>
      </c>
      <c r="D2589" s="46" t="n">
        <f aca="false">MIN(1,'Model Inputs &amp; Assumptions'!$U$33*EXP('Model Inputs &amp; Assumptions'!$V$33*Q2589-'Model Inputs &amp; Assumptions'!$V$33^2/2))</f>
        <v>0</v>
      </c>
      <c r="E2589" s="45" t="n">
        <f aca="false">ROUND(C2589*D2589,0)</f>
        <v>0</v>
      </c>
      <c r="F2589" s="47" t="n">
        <f aca="false">MIN(1,'Model Inputs &amp; Assumptions'!$W$33*EXP('Model Inputs &amp; Assumptions'!$X$33*R2589-'Model Inputs &amp; Assumptions'!$X$33^2/2))</f>
        <v>0.00339432041443683</v>
      </c>
      <c r="G2589" s="45" t="n">
        <f aca="false">ROUND(C2589*F2589,0)</f>
        <v>3146</v>
      </c>
      <c r="H2589" s="48" t="n">
        <f aca="false">MAX(0,(C2589*'Model Inputs &amp; Assumptions'!$N$33+E2589*'Model Inputs &amp; Assumptions'!$O$33+G2589*'Model Inputs &amp; Assumptions'!$P$33)*EXP('Model Inputs &amp; Assumptions'!$Q$33*S2589-'Model Inputs &amp; Assumptions'!$Q$33^2/2))</f>
        <v>325.899101828999</v>
      </c>
      <c r="I2589" s="49" t="n">
        <f aca="false">IF('Model Inputs &amp; Assumptions'!$H$33="Fixed",'Model Inputs &amp; Assumptions'!$I$33*'Model Inputs &amp; Assumptions'!$K$33,IF('Model Inputs &amp; Assumptions'!$H$33="CPM",'Model Inputs &amp; Assumptions'!$I$33*'Model Inputs &amp; Assumptions'!$K$33*C2589/1000,IF('Model Inputs &amp; Assumptions'!$H$33="CPC",'Model Inputs &amp; Assumptions'!$I$33*'Model Inputs &amp; Assumptions'!$K$33*G2589,0)))</f>
        <v>25000</v>
      </c>
      <c r="J2589" s="50" t="n">
        <f aca="false">H2589*INDEX('Model Inputs &amp; Assumptions'!$D$40:$D$42,MATCH('Model Inputs &amp; Assumptions'!$L$33,'Model Inputs &amp; Assumptions'!$A$40:$A$42,0))*INDEX('Model Inputs &amp; Assumptions'!$H$40:$H$42,MATCH('Model Inputs &amp; Assumptions'!$L$33,'Model Inputs &amp; Assumptions'!$A$40:$A$42,0))</f>
        <v>1759855.14987659</v>
      </c>
      <c r="K2589" s="49" t="n">
        <f aca="false">H2589*INDEX('Model Inputs &amp; Assumptions'!$G$40:$G$42,MATCH('Model Inputs &amp; Assumptions'!$L$33,'Model Inputs &amp; Assumptions'!$A$40:$A$42,0))*INDEX('Model Inputs &amp; Assumptions'!$H$40:$H$42,MATCH('Model Inputs &amp; Assumptions'!$L$33,'Model Inputs &amp; Assumptions'!$A$40:$A$42,0))</f>
        <v>36956.9581474084</v>
      </c>
      <c r="L2589" s="51" t="n">
        <f aca="false">IFERROR(K2589/I2589,0)</f>
        <v>1.47827832589634</v>
      </c>
      <c r="M2589" s="49" t="n">
        <f aca="false">IFERROR(I2589/H2589,0)</f>
        <v>76.7108588507791</v>
      </c>
      <c r="N2589" s="52" t="str">
        <f aca="false">'Model Inputs &amp; Assumptions'!$L$33</f>
        <v>PRD-SP01</v>
      </c>
      <c r="P2589" s="53" t="n">
        <v>-0.710924</v>
      </c>
      <c r="Q2589" s="53" t="n">
        <v>1.373506</v>
      </c>
      <c r="R2589" s="53" t="n">
        <v>0.047802</v>
      </c>
      <c r="S2589" s="53" t="n">
        <v>2.401153</v>
      </c>
    </row>
    <row r="2590" customFormat="false" ht="15" hidden="false" customHeight="false" outlineLevel="0" collapsed="false">
      <c r="A2590" s="43" t="n">
        <v>87</v>
      </c>
      <c r="B2590" s="44" t="str">
        <f aca="false">'Model Inputs &amp; Assumptions'!$B$33</f>
        <v>Trade Republic — Savings Plan Push</v>
      </c>
      <c r="C2590" s="45" t="n">
        <f aca="false">ROUND(MAX(0,'Model Inputs &amp; Assumptions'!$S$33*EXP('Model Inputs &amp; Assumptions'!$T$33*P2590-'Model Inputs &amp; Assumptions'!$T$33^2/2)),0)</f>
        <v>720587</v>
      </c>
      <c r="D2590" s="46" t="n">
        <f aca="false">MIN(1,'Model Inputs &amp; Assumptions'!$U$33*EXP('Model Inputs &amp; Assumptions'!$V$33*Q2590-'Model Inputs &amp; Assumptions'!$V$33^2/2))</f>
        <v>0</v>
      </c>
      <c r="E2590" s="45" t="n">
        <f aca="false">ROUND(C2590*D2590,0)</f>
        <v>0</v>
      </c>
      <c r="F2590" s="47" t="n">
        <f aca="false">MIN(1,'Model Inputs &amp; Assumptions'!$W$33*EXP('Model Inputs &amp; Assumptions'!$X$33*R2590-'Model Inputs &amp; Assumptions'!$X$33^2/2))</f>
        <v>0.0056475079016224</v>
      </c>
      <c r="G2590" s="45" t="n">
        <f aca="false">ROUND(C2590*F2590,0)</f>
        <v>4070</v>
      </c>
      <c r="H2590" s="48" t="n">
        <f aca="false">MAX(0,(C2590*'Model Inputs &amp; Assumptions'!$N$33+E2590*'Model Inputs &amp; Assumptions'!$O$33+G2590*'Model Inputs &amp; Assumptions'!$P$33)*EXP('Model Inputs &amp; Assumptions'!$Q$33*S2590-'Model Inputs &amp; Assumptions'!$Q$33^2/2))</f>
        <v>166.144415773464</v>
      </c>
      <c r="I2590" s="49" t="n">
        <f aca="false">IF('Model Inputs &amp; Assumptions'!$H$33="Fixed",'Model Inputs &amp; Assumptions'!$I$33*'Model Inputs &amp; Assumptions'!$K$33,IF('Model Inputs &amp; Assumptions'!$H$33="CPM",'Model Inputs &amp; Assumptions'!$I$33*'Model Inputs &amp; Assumptions'!$K$33*C2590/1000,IF('Model Inputs &amp; Assumptions'!$H$33="CPC",'Model Inputs &amp; Assumptions'!$I$33*'Model Inputs &amp; Assumptions'!$K$33*G2590,0)))</f>
        <v>25000</v>
      </c>
      <c r="J2590" s="50" t="n">
        <f aca="false">H2590*INDEX('Model Inputs &amp; Assumptions'!$D$40:$D$42,MATCH('Model Inputs &amp; Assumptions'!$L$33,'Model Inputs &amp; Assumptions'!$A$40:$A$42,0))*INDEX('Model Inputs &amp; Assumptions'!$H$40:$H$42,MATCH('Model Inputs &amp; Assumptions'!$L$33,'Model Inputs &amp; Assumptions'!$A$40:$A$42,0))</f>
        <v>897179.845176708</v>
      </c>
      <c r="K2590" s="49" t="n">
        <f aca="false">H2590*INDEX('Model Inputs &amp; Assumptions'!$G$40:$G$42,MATCH('Model Inputs &amp; Assumptions'!$L$33,'Model Inputs &amp; Assumptions'!$A$40:$A$42,0))*INDEX('Model Inputs &amp; Assumptions'!$H$40:$H$42,MATCH('Model Inputs &amp; Assumptions'!$L$33,'Model Inputs &amp; Assumptions'!$A$40:$A$42,0))</f>
        <v>18840.7767487109</v>
      </c>
      <c r="L2590" s="51" t="n">
        <f aca="false">IFERROR(K2590/I2590,0)</f>
        <v>0.753631069948434</v>
      </c>
      <c r="M2590" s="49" t="n">
        <f aca="false">IFERROR(I2590/H2590,0)</f>
        <v>150.47150326188</v>
      </c>
      <c r="N2590" s="52" t="str">
        <f aca="false">'Model Inputs &amp; Assumptions'!$L$33</f>
        <v>PRD-SP01</v>
      </c>
      <c r="P2590" s="53" t="n">
        <v>-1.550034</v>
      </c>
      <c r="Q2590" s="53" t="n">
        <v>0.289547</v>
      </c>
      <c r="R2590" s="53" t="n">
        <v>1.744838</v>
      </c>
      <c r="S2590" s="53" t="n">
        <v>-0.92471</v>
      </c>
    </row>
    <row r="2591" customFormat="false" ht="15" hidden="false" customHeight="false" outlineLevel="0" collapsed="false">
      <c r="A2591" s="43" t="n">
        <v>88</v>
      </c>
      <c r="B2591" s="44" t="str">
        <f aca="false">'Model Inputs &amp; Assumptions'!$B$33</f>
        <v>Trade Republic — Savings Plan Push</v>
      </c>
      <c r="C2591" s="45" t="n">
        <f aca="false">ROUND(MAX(0,'Model Inputs &amp; Assumptions'!$S$33*EXP('Model Inputs &amp; Assumptions'!$T$33*P2591-'Model Inputs &amp; Assumptions'!$T$33^2/2)),0)</f>
        <v>1360067</v>
      </c>
      <c r="D2591" s="46" t="n">
        <f aca="false">MIN(1,'Model Inputs &amp; Assumptions'!$U$33*EXP('Model Inputs &amp; Assumptions'!$V$33*Q2591-'Model Inputs &amp; Assumptions'!$V$33^2/2))</f>
        <v>0</v>
      </c>
      <c r="E2591" s="45" t="n">
        <f aca="false">ROUND(C2591*D2591,0)</f>
        <v>0</v>
      </c>
      <c r="F2591" s="47" t="n">
        <f aca="false">MIN(1,'Model Inputs &amp; Assumptions'!$W$33*EXP('Model Inputs &amp; Assumptions'!$X$33*R2591-'Model Inputs &amp; Assumptions'!$X$33^2/2))</f>
        <v>0.00320297276778808</v>
      </c>
      <c r="G2591" s="45" t="n">
        <f aca="false">ROUND(C2591*F2591,0)</f>
        <v>4356</v>
      </c>
      <c r="H2591" s="48" t="n">
        <f aca="false">MAX(0,(C2591*'Model Inputs &amp; Assumptions'!$N$33+E2591*'Model Inputs &amp; Assumptions'!$O$33+G2591*'Model Inputs &amp; Assumptions'!$P$33)*EXP('Model Inputs &amp; Assumptions'!$Q$33*S2591-'Model Inputs &amp; Assumptions'!$Q$33^2/2))</f>
        <v>301.439023008977</v>
      </c>
      <c r="I2591" s="49" t="n">
        <f aca="false">IF('Model Inputs &amp; Assumptions'!$H$33="Fixed",'Model Inputs &amp; Assumptions'!$I$33*'Model Inputs &amp; Assumptions'!$K$33,IF('Model Inputs &amp; Assumptions'!$H$33="CPM",'Model Inputs &amp; Assumptions'!$I$33*'Model Inputs &amp; Assumptions'!$K$33*C2591/1000,IF('Model Inputs &amp; Assumptions'!$H$33="CPC",'Model Inputs &amp; Assumptions'!$I$33*'Model Inputs &amp; Assumptions'!$K$33*G2591,0)))</f>
        <v>25000</v>
      </c>
      <c r="J2591" s="50" t="n">
        <f aca="false">H2591*INDEX('Model Inputs &amp; Assumptions'!$D$40:$D$42,MATCH('Model Inputs &amp; Assumptions'!$L$33,'Model Inputs &amp; Assumptions'!$A$40:$A$42,0))*INDEX('Model Inputs &amp; Assumptions'!$H$40:$H$42,MATCH('Model Inputs &amp; Assumptions'!$L$33,'Model Inputs &amp; Assumptions'!$A$40:$A$42,0))</f>
        <v>1627770.72424848</v>
      </c>
      <c r="K2591" s="49" t="n">
        <f aca="false">H2591*INDEX('Model Inputs &amp; Assumptions'!$G$40:$G$42,MATCH('Model Inputs &amp; Assumptions'!$L$33,'Model Inputs &amp; Assumptions'!$A$40:$A$42,0))*INDEX('Model Inputs &amp; Assumptions'!$H$40:$H$42,MATCH('Model Inputs &amp; Assumptions'!$L$33,'Model Inputs &amp; Assumptions'!$A$40:$A$42,0))</f>
        <v>34183.185209218</v>
      </c>
      <c r="L2591" s="51" t="n">
        <f aca="false">IFERROR(K2591/I2591,0)</f>
        <v>1.36732740836872</v>
      </c>
      <c r="M2591" s="49" t="n">
        <f aca="false">IFERROR(I2591/H2591,0)</f>
        <v>82.9355129619547</v>
      </c>
      <c r="N2591" s="52" t="str">
        <f aca="false">'Model Inputs &amp; Assumptions'!$L$33</f>
        <v>PRD-SP01</v>
      </c>
      <c r="P2591" s="53" t="n">
        <v>0.567375</v>
      </c>
      <c r="Q2591" s="53" t="n">
        <v>0.292089</v>
      </c>
      <c r="R2591" s="53" t="n">
        <v>-0.145612</v>
      </c>
      <c r="S2591" s="53" t="n">
        <v>0.960287</v>
      </c>
    </row>
    <row r="2592" customFormat="false" ht="15" hidden="false" customHeight="false" outlineLevel="0" collapsed="false">
      <c r="A2592" s="43" t="n">
        <v>89</v>
      </c>
      <c r="B2592" s="44" t="str">
        <f aca="false">'Model Inputs &amp; Assumptions'!$B$33</f>
        <v>Trade Republic — Savings Plan Push</v>
      </c>
      <c r="C2592" s="45" t="n">
        <f aca="false">ROUND(MAX(0,'Model Inputs &amp; Assumptions'!$S$33*EXP('Model Inputs &amp; Assumptions'!$T$33*P2592-'Model Inputs &amp; Assumptions'!$T$33^2/2)),0)</f>
        <v>1099904</v>
      </c>
      <c r="D2592" s="46" t="n">
        <f aca="false">MIN(1,'Model Inputs &amp; Assumptions'!$U$33*EXP('Model Inputs &amp; Assumptions'!$V$33*Q2592-'Model Inputs &amp; Assumptions'!$V$33^2/2))</f>
        <v>0</v>
      </c>
      <c r="E2592" s="45" t="n">
        <f aca="false">ROUND(C2592*D2592,0)</f>
        <v>0</v>
      </c>
      <c r="F2592" s="47" t="n">
        <f aca="false">MIN(1,'Model Inputs &amp; Assumptions'!$W$33*EXP('Model Inputs &amp; Assumptions'!$X$33*R2592-'Model Inputs &amp; Assumptions'!$X$33^2/2))</f>
        <v>0.00511484537124174</v>
      </c>
      <c r="G2592" s="45" t="n">
        <f aca="false">ROUND(C2592*F2592,0)</f>
        <v>5626</v>
      </c>
      <c r="H2592" s="48" t="n">
        <f aca="false">MAX(0,(C2592*'Model Inputs &amp; Assumptions'!$N$33+E2592*'Model Inputs &amp; Assumptions'!$O$33+G2592*'Model Inputs &amp; Assumptions'!$P$33)*EXP('Model Inputs &amp; Assumptions'!$Q$33*S2592-'Model Inputs &amp; Assumptions'!$Q$33^2/2))</f>
        <v>324.935381140227</v>
      </c>
      <c r="I2592" s="49" t="n">
        <f aca="false">IF('Model Inputs &amp; Assumptions'!$H$33="Fixed",'Model Inputs &amp; Assumptions'!$I$33*'Model Inputs &amp; Assumptions'!$K$33,IF('Model Inputs &amp; Assumptions'!$H$33="CPM",'Model Inputs &amp; Assumptions'!$I$33*'Model Inputs &amp; Assumptions'!$K$33*C2592/1000,IF('Model Inputs &amp; Assumptions'!$H$33="CPC",'Model Inputs &amp; Assumptions'!$I$33*'Model Inputs &amp; Assumptions'!$K$33*G2592,0)))</f>
        <v>25000</v>
      </c>
      <c r="J2592" s="50" t="n">
        <f aca="false">H2592*INDEX('Model Inputs &amp; Assumptions'!$D$40:$D$42,MATCH('Model Inputs &amp; Assumptions'!$L$33,'Model Inputs &amp; Assumptions'!$A$40:$A$42,0))*INDEX('Model Inputs &amp; Assumptions'!$H$40:$H$42,MATCH('Model Inputs &amp; Assumptions'!$L$33,'Model Inputs &amp; Assumptions'!$A$40:$A$42,0))</f>
        <v>1754651.05815722</v>
      </c>
      <c r="K2592" s="49" t="n">
        <f aca="false">H2592*INDEX('Model Inputs &amp; Assumptions'!$G$40:$G$42,MATCH('Model Inputs &amp; Assumptions'!$L$33,'Model Inputs &amp; Assumptions'!$A$40:$A$42,0))*INDEX('Model Inputs &amp; Assumptions'!$H$40:$H$42,MATCH('Model Inputs &amp; Assumptions'!$L$33,'Model Inputs &amp; Assumptions'!$A$40:$A$42,0))</f>
        <v>36847.6722213017</v>
      </c>
      <c r="L2592" s="51" t="n">
        <f aca="false">IFERROR(K2592/I2592,0)</f>
        <v>1.47390688885207</v>
      </c>
      <c r="M2592" s="49" t="n">
        <f aca="false">IFERROR(I2592/H2592,0)</f>
        <v>76.9383743693064</v>
      </c>
      <c r="N2592" s="52" t="str">
        <f aca="false">'Model Inputs &amp; Assumptions'!$L$33</f>
        <v>PRD-SP01</v>
      </c>
      <c r="P2592" s="53" t="n">
        <v>-0.140328</v>
      </c>
      <c r="Q2592" s="53" t="n">
        <v>0.825854</v>
      </c>
      <c r="R2592" s="53" t="n">
        <v>1.414614</v>
      </c>
      <c r="S2592" s="53" t="n">
        <v>0.314623</v>
      </c>
    </row>
    <row r="2593" customFormat="false" ht="15" hidden="false" customHeight="false" outlineLevel="0" collapsed="false">
      <c r="A2593" s="43" t="n">
        <v>90</v>
      </c>
      <c r="B2593" s="44" t="str">
        <f aca="false">'Model Inputs &amp; Assumptions'!$B$33</f>
        <v>Trade Republic — Savings Plan Push</v>
      </c>
      <c r="C2593" s="45" t="n">
        <f aca="false">ROUND(MAX(0,'Model Inputs &amp; Assumptions'!$S$33*EXP('Model Inputs &amp; Assumptions'!$T$33*P2593-'Model Inputs &amp; Assumptions'!$T$33^2/2)),0)</f>
        <v>1068091</v>
      </c>
      <c r="D2593" s="46" t="n">
        <f aca="false">MIN(1,'Model Inputs &amp; Assumptions'!$U$33*EXP('Model Inputs &amp; Assumptions'!$V$33*Q2593-'Model Inputs &amp; Assumptions'!$V$33^2/2))</f>
        <v>0</v>
      </c>
      <c r="E2593" s="45" t="n">
        <f aca="false">ROUND(C2593*D2593,0)</f>
        <v>0</v>
      </c>
      <c r="F2593" s="47" t="n">
        <f aca="false">MIN(1,'Model Inputs &amp; Assumptions'!$W$33*EXP('Model Inputs &amp; Assumptions'!$X$33*R2593-'Model Inputs &amp; Assumptions'!$X$33^2/2))</f>
        <v>0.00253054442793155</v>
      </c>
      <c r="G2593" s="45" t="n">
        <f aca="false">ROUND(C2593*F2593,0)</f>
        <v>2703</v>
      </c>
      <c r="H2593" s="48" t="n">
        <f aca="false">MAX(0,(C2593*'Model Inputs &amp; Assumptions'!$N$33+E2593*'Model Inputs &amp; Assumptions'!$O$33+G2593*'Model Inputs &amp; Assumptions'!$P$33)*EXP('Model Inputs &amp; Assumptions'!$Q$33*S2593-'Model Inputs &amp; Assumptions'!$Q$33^2/2))</f>
        <v>152.006920972997</v>
      </c>
      <c r="I2593" s="49" t="n">
        <f aca="false">IF('Model Inputs &amp; Assumptions'!$H$33="Fixed",'Model Inputs &amp; Assumptions'!$I$33*'Model Inputs &amp; Assumptions'!$K$33,IF('Model Inputs &amp; Assumptions'!$H$33="CPM",'Model Inputs &amp; Assumptions'!$I$33*'Model Inputs &amp; Assumptions'!$K$33*C2593/1000,IF('Model Inputs &amp; Assumptions'!$H$33="CPC",'Model Inputs &amp; Assumptions'!$I$33*'Model Inputs &amp; Assumptions'!$K$33*G2593,0)))</f>
        <v>25000</v>
      </c>
      <c r="J2593" s="50" t="n">
        <f aca="false">H2593*INDEX('Model Inputs &amp; Assumptions'!$D$40:$D$42,MATCH('Model Inputs &amp; Assumptions'!$L$33,'Model Inputs &amp; Assumptions'!$A$40:$A$42,0))*INDEX('Model Inputs &amp; Assumptions'!$H$40:$H$42,MATCH('Model Inputs &amp; Assumptions'!$L$33,'Model Inputs &amp; Assumptions'!$A$40:$A$42,0))</f>
        <v>820837.373254186</v>
      </c>
      <c r="K2593" s="49" t="n">
        <f aca="false">H2593*INDEX('Model Inputs &amp; Assumptions'!$G$40:$G$42,MATCH('Model Inputs &amp; Assumptions'!$L$33,'Model Inputs &amp; Assumptions'!$A$40:$A$42,0))*INDEX('Model Inputs &amp; Assumptions'!$H$40:$H$42,MATCH('Model Inputs &amp; Assumptions'!$L$33,'Model Inputs &amp; Assumptions'!$A$40:$A$42,0))</f>
        <v>17237.5848383379</v>
      </c>
      <c r="L2593" s="51" t="n">
        <f aca="false">IFERROR(K2593/I2593,0)</f>
        <v>0.689503393533516</v>
      </c>
      <c r="M2593" s="49" t="n">
        <f aca="false">IFERROR(I2593/H2593,0)</f>
        <v>164.466195617771</v>
      </c>
      <c r="N2593" s="52" t="str">
        <f aca="false">'Model Inputs &amp; Assumptions'!$L$33</f>
        <v>PRD-SP01</v>
      </c>
      <c r="P2593" s="53" t="n">
        <v>-0.238163</v>
      </c>
      <c r="Q2593" s="53" t="n">
        <v>0.298668</v>
      </c>
      <c r="R2593" s="53" t="n">
        <v>-0.931095</v>
      </c>
      <c r="S2593" s="53" t="n">
        <v>0.219395</v>
      </c>
    </row>
    <row r="2594" customFormat="false" ht="15" hidden="false" customHeight="false" outlineLevel="0" collapsed="false">
      <c r="A2594" s="43" t="n">
        <v>91</v>
      </c>
      <c r="B2594" s="44" t="str">
        <f aca="false">'Model Inputs &amp; Assumptions'!$B$33</f>
        <v>Trade Republic — Savings Plan Push</v>
      </c>
      <c r="C2594" s="45" t="n">
        <f aca="false">ROUND(MAX(0,'Model Inputs &amp; Assumptions'!$S$33*EXP('Model Inputs &amp; Assumptions'!$T$33*P2594-'Model Inputs &amp; Assumptions'!$T$33^2/2)),0)</f>
        <v>1351312</v>
      </c>
      <c r="D2594" s="46" t="n">
        <f aca="false">MIN(1,'Model Inputs &amp; Assumptions'!$U$33*EXP('Model Inputs &amp; Assumptions'!$V$33*Q2594-'Model Inputs &amp; Assumptions'!$V$33^2/2))</f>
        <v>0</v>
      </c>
      <c r="E2594" s="45" t="n">
        <f aca="false">ROUND(C2594*D2594,0)</f>
        <v>0</v>
      </c>
      <c r="F2594" s="47" t="n">
        <f aca="false">MIN(1,'Model Inputs &amp; Assumptions'!$W$33*EXP('Model Inputs &amp; Assumptions'!$X$33*R2594-'Model Inputs &amp; Assumptions'!$X$33^2/2))</f>
        <v>0.00256298621395081</v>
      </c>
      <c r="G2594" s="45" t="n">
        <f aca="false">ROUND(C2594*F2594,0)</f>
        <v>3463</v>
      </c>
      <c r="H2594" s="48" t="n">
        <f aca="false">MAX(0,(C2594*'Model Inputs &amp; Assumptions'!$N$33+E2594*'Model Inputs &amp; Assumptions'!$O$33+G2594*'Model Inputs &amp; Assumptions'!$P$33)*EXP('Model Inputs &amp; Assumptions'!$Q$33*S2594-'Model Inputs &amp; Assumptions'!$Q$33^2/2))</f>
        <v>201.711788840695</v>
      </c>
      <c r="I2594" s="49" t="n">
        <f aca="false">IF('Model Inputs &amp; Assumptions'!$H$33="Fixed",'Model Inputs &amp; Assumptions'!$I$33*'Model Inputs &amp; Assumptions'!$K$33,IF('Model Inputs &amp; Assumptions'!$H$33="CPM",'Model Inputs &amp; Assumptions'!$I$33*'Model Inputs &amp; Assumptions'!$K$33*C2594/1000,IF('Model Inputs &amp; Assumptions'!$H$33="CPC",'Model Inputs &amp; Assumptions'!$I$33*'Model Inputs &amp; Assumptions'!$K$33*G2594,0)))</f>
        <v>25000</v>
      </c>
      <c r="J2594" s="50" t="n">
        <f aca="false">H2594*INDEX('Model Inputs &amp; Assumptions'!$D$40:$D$42,MATCH('Model Inputs &amp; Assumptions'!$L$33,'Model Inputs &amp; Assumptions'!$A$40:$A$42,0))*INDEX('Model Inputs &amp; Assumptions'!$H$40:$H$42,MATCH('Model Inputs &amp; Assumptions'!$L$33,'Model Inputs &amp; Assumptions'!$A$40:$A$42,0))</f>
        <v>1089243.65973976</v>
      </c>
      <c r="K2594" s="49" t="n">
        <f aca="false">H2594*INDEX('Model Inputs &amp; Assumptions'!$G$40:$G$42,MATCH('Model Inputs &amp; Assumptions'!$L$33,'Model Inputs &amp; Assumptions'!$A$40:$A$42,0))*INDEX('Model Inputs &amp; Assumptions'!$H$40:$H$42,MATCH('Model Inputs &amp; Assumptions'!$L$33,'Model Inputs &amp; Assumptions'!$A$40:$A$42,0))</f>
        <v>22874.1168545349</v>
      </c>
      <c r="L2594" s="51" t="n">
        <f aca="false">IFERROR(K2594/I2594,0)</f>
        <v>0.914964674181395</v>
      </c>
      <c r="M2594" s="49" t="n">
        <f aca="false">IFERROR(I2594/H2594,0)</f>
        <v>123.939211206659</v>
      </c>
      <c r="N2594" s="52" t="str">
        <f aca="false">'Model Inputs &amp; Assumptions'!$L$33</f>
        <v>PRD-SP01</v>
      </c>
      <c r="P2594" s="53" t="n">
        <v>0.545849</v>
      </c>
      <c r="Q2594" s="53" t="n">
        <v>1.721464</v>
      </c>
      <c r="R2594" s="53" t="n">
        <v>-0.888633</v>
      </c>
      <c r="S2594" s="53" t="n">
        <v>0.344898</v>
      </c>
    </row>
    <row r="2595" customFormat="false" ht="15" hidden="false" customHeight="false" outlineLevel="0" collapsed="false">
      <c r="A2595" s="43" t="n">
        <v>92</v>
      </c>
      <c r="B2595" s="44" t="str">
        <f aca="false">'Model Inputs &amp; Assumptions'!$B$33</f>
        <v>Trade Republic — Savings Plan Push</v>
      </c>
      <c r="C2595" s="45" t="n">
        <f aca="false">ROUND(MAX(0,'Model Inputs &amp; Assumptions'!$S$33*EXP('Model Inputs &amp; Assumptions'!$T$33*P2595-'Model Inputs &amp; Assumptions'!$T$33^2/2)),0)</f>
        <v>1035131</v>
      </c>
      <c r="D2595" s="46" t="n">
        <f aca="false">MIN(1,'Model Inputs &amp; Assumptions'!$U$33*EXP('Model Inputs &amp; Assumptions'!$V$33*Q2595-'Model Inputs &amp; Assumptions'!$V$33^2/2))</f>
        <v>0</v>
      </c>
      <c r="E2595" s="45" t="n">
        <f aca="false">ROUND(C2595*D2595,0)</f>
        <v>0</v>
      </c>
      <c r="F2595" s="47" t="n">
        <f aca="false">MIN(1,'Model Inputs &amp; Assumptions'!$W$33*EXP('Model Inputs &amp; Assumptions'!$X$33*R2595-'Model Inputs &amp; Assumptions'!$X$33^2/2))</f>
        <v>0.00356047680005457</v>
      </c>
      <c r="G2595" s="45" t="n">
        <f aca="false">ROUND(C2595*F2595,0)</f>
        <v>3686</v>
      </c>
      <c r="H2595" s="48" t="n">
        <f aca="false">MAX(0,(C2595*'Model Inputs &amp; Assumptions'!$N$33+E2595*'Model Inputs &amp; Assumptions'!$O$33+G2595*'Model Inputs &amp; Assumptions'!$P$33)*EXP('Model Inputs &amp; Assumptions'!$Q$33*S2595-'Model Inputs &amp; Assumptions'!$Q$33^2/2))</f>
        <v>145.418222579749</v>
      </c>
      <c r="I2595" s="49" t="n">
        <f aca="false">IF('Model Inputs &amp; Assumptions'!$H$33="Fixed",'Model Inputs &amp; Assumptions'!$I$33*'Model Inputs &amp; Assumptions'!$K$33,IF('Model Inputs &amp; Assumptions'!$H$33="CPM",'Model Inputs &amp; Assumptions'!$I$33*'Model Inputs &amp; Assumptions'!$K$33*C2595/1000,IF('Model Inputs &amp; Assumptions'!$H$33="CPC",'Model Inputs &amp; Assumptions'!$I$33*'Model Inputs &amp; Assumptions'!$K$33*G2595,0)))</f>
        <v>25000</v>
      </c>
      <c r="J2595" s="50" t="n">
        <f aca="false">H2595*INDEX('Model Inputs &amp; Assumptions'!$D$40:$D$42,MATCH('Model Inputs &amp; Assumptions'!$L$33,'Model Inputs &amp; Assumptions'!$A$40:$A$42,0))*INDEX('Model Inputs &amp; Assumptions'!$H$40:$H$42,MATCH('Model Inputs &amp; Assumptions'!$L$33,'Model Inputs &amp; Assumptions'!$A$40:$A$42,0))</f>
        <v>785258.401930643</v>
      </c>
      <c r="K2595" s="49" t="n">
        <f aca="false">H2595*INDEX('Model Inputs &amp; Assumptions'!$G$40:$G$42,MATCH('Model Inputs &amp; Assumptions'!$L$33,'Model Inputs &amp; Assumptions'!$A$40:$A$42,0))*INDEX('Model Inputs &amp; Assumptions'!$H$40:$H$42,MATCH('Model Inputs &amp; Assumptions'!$L$33,'Model Inputs &amp; Assumptions'!$A$40:$A$42,0))</f>
        <v>16490.4264405435</v>
      </c>
      <c r="L2595" s="51" t="n">
        <f aca="false">IFERROR(K2595/I2595,0)</f>
        <v>0.65961705762174</v>
      </c>
      <c r="M2595" s="49" t="n">
        <f aca="false">IFERROR(I2595/H2595,0)</f>
        <v>171.917931305272</v>
      </c>
      <c r="N2595" s="52" t="str">
        <f aca="false">'Model Inputs &amp; Assumptions'!$L$33</f>
        <v>PRD-SP01</v>
      </c>
      <c r="P2595" s="53" t="n">
        <v>-0.342644</v>
      </c>
      <c r="Q2595" s="53" t="n">
        <v>0.446202</v>
      </c>
      <c r="R2595" s="53" t="n">
        <v>0.207105</v>
      </c>
      <c r="S2595" s="53" t="n">
        <v>-1.046647</v>
      </c>
    </row>
    <row r="2596" customFormat="false" ht="15" hidden="false" customHeight="false" outlineLevel="0" collapsed="false">
      <c r="A2596" s="43" t="n">
        <v>93</v>
      </c>
      <c r="B2596" s="44" t="str">
        <f aca="false">'Model Inputs &amp; Assumptions'!$B$33</f>
        <v>Trade Republic — Savings Plan Push</v>
      </c>
      <c r="C2596" s="45" t="n">
        <f aca="false">ROUND(MAX(0,'Model Inputs &amp; Assumptions'!$S$33*EXP('Model Inputs &amp; Assumptions'!$T$33*P2596-'Model Inputs &amp; Assumptions'!$T$33^2/2)),0)</f>
        <v>1316068</v>
      </c>
      <c r="D2596" s="46" t="n">
        <f aca="false">MIN(1,'Model Inputs &amp; Assumptions'!$U$33*EXP('Model Inputs &amp; Assumptions'!$V$33*Q2596-'Model Inputs &amp; Assumptions'!$V$33^2/2))</f>
        <v>0</v>
      </c>
      <c r="E2596" s="45" t="n">
        <f aca="false">ROUND(C2596*D2596,0)</f>
        <v>0</v>
      </c>
      <c r="F2596" s="47" t="n">
        <f aca="false">MIN(1,'Model Inputs &amp; Assumptions'!$W$33*EXP('Model Inputs &amp; Assumptions'!$X$33*R2596-'Model Inputs &amp; Assumptions'!$X$33^2/2))</f>
        <v>0.0041690461494041</v>
      </c>
      <c r="G2596" s="45" t="n">
        <f aca="false">ROUND(C2596*F2596,0)</f>
        <v>5487</v>
      </c>
      <c r="H2596" s="48" t="n">
        <f aca="false">MAX(0,(C2596*'Model Inputs &amp; Assumptions'!$N$33+E2596*'Model Inputs &amp; Assumptions'!$O$33+G2596*'Model Inputs &amp; Assumptions'!$P$33)*EXP('Model Inputs &amp; Assumptions'!$Q$33*S2596-'Model Inputs &amp; Assumptions'!$Q$33^2/2))</f>
        <v>235.731188323925</v>
      </c>
      <c r="I2596" s="49" t="n">
        <f aca="false">IF('Model Inputs &amp; Assumptions'!$H$33="Fixed",'Model Inputs &amp; Assumptions'!$I$33*'Model Inputs &amp; Assumptions'!$K$33,IF('Model Inputs &amp; Assumptions'!$H$33="CPM",'Model Inputs &amp; Assumptions'!$I$33*'Model Inputs &amp; Assumptions'!$K$33*C2596/1000,IF('Model Inputs &amp; Assumptions'!$H$33="CPC",'Model Inputs &amp; Assumptions'!$I$33*'Model Inputs &amp; Assumptions'!$K$33*G2596,0)))</f>
        <v>25000</v>
      </c>
      <c r="J2596" s="50" t="n">
        <f aca="false">H2596*INDEX('Model Inputs &amp; Assumptions'!$D$40:$D$42,MATCH('Model Inputs &amp; Assumptions'!$L$33,'Model Inputs &amp; Assumptions'!$A$40:$A$42,0))*INDEX('Model Inputs &amp; Assumptions'!$H$40:$H$42,MATCH('Model Inputs &amp; Assumptions'!$L$33,'Model Inputs &amp; Assumptions'!$A$40:$A$42,0))</f>
        <v>1272948.4169492</v>
      </c>
      <c r="K2596" s="49" t="n">
        <f aca="false">H2596*INDEX('Model Inputs &amp; Assumptions'!$G$40:$G$42,MATCH('Model Inputs &amp; Assumptions'!$L$33,'Model Inputs &amp; Assumptions'!$A$40:$A$42,0))*INDEX('Model Inputs &amp; Assumptions'!$H$40:$H$42,MATCH('Model Inputs &amp; Assumptions'!$L$33,'Model Inputs &amp; Assumptions'!$A$40:$A$42,0))</f>
        <v>26731.9167559331</v>
      </c>
      <c r="L2596" s="51" t="n">
        <f aca="false">IFERROR(K2596/I2596,0)</f>
        <v>1.06927667023732</v>
      </c>
      <c r="M2596" s="49" t="n">
        <f aca="false">IFERROR(I2596/H2596,0)</f>
        <v>106.053001207658</v>
      </c>
      <c r="N2596" s="52" t="str">
        <f aca="false">'Model Inputs &amp; Assumptions'!$L$33</f>
        <v>PRD-SP01</v>
      </c>
      <c r="P2596" s="53" t="n">
        <v>0.457756</v>
      </c>
      <c r="Q2596" s="53" t="n">
        <v>-0.421154</v>
      </c>
      <c r="R2596" s="53" t="n">
        <v>0.733081</v>
      </c>
      <c r="S2596" s="53" t="n">
        <v>-0.742224</v>
      </c>
    </row>
    <row r="2597" customFormat="false" ht="15" hidden="false" customHeight="false" outlineLevel="0" collapsed="false">
      <c r="A2597" s="43" t="n">
        <v>94</v>
      </c>
      <c r="B2597" s="44" t="str">
        <f aca="false">'Model Inputs &amp; Assumptions'!$B$33</f>
        <v>Trade Republic — Savings Plan Push</v>
      </c>
      <c r="C2597" s="45" t="n">
        <f aca="false">ROUND(MAX(0,'Model Inputs &amp; Assumptions'!$S$33*EXP('Model Inputs &amp; Assumptions'!$T$33*P2597-'Model Inputs &amp; Assumptions'!$T$33^2/2)),0)</f>
        <v>1048603</v>
      </c>
      <c r="D2597" s="46" t="n">
        <f aca="false">MIN(1,'Model Inputs &amp; Assumptions'!$U$33*EXP('Model Inputs &amp; Assumptions'!$V$33*Q2597-'Model Inputs &amp; Assumptions'!$V$33^2/2))</f>
        <v>0</v>
      </c>
      <c r="E2597" s="45" t="n">
        <f aca="false">ROUND(C2597*D2597,0)</f>
        <v>0</v>
      </c>
      <c r="F2597" s="47" t="n">
        <f aca="false">MIN(1,'Model Inputs &amp; Assumptions'!$W$33*EXP('Model Inputs &amp; Assumptions'!$X$33*R2597-'Model Inputs &amp; Assumptions'!$X$33^2/2))</f>
        <v>0.00252927694270472</v>
      </c>
      <c r="G2597" s="45" t="n">
        <f aca="false">ROUND(C2597*F2597,0)</f>
        <v>2652</v>
      </c>
      <c r="H2597" s="48" t="n">
        <f aca="false">MAX(0,(C2597*'Model Inputs &amp; Assumptions'!$N$33+E2597*'Model Inputs &amp; Assumptions'!$O$33+G2597*'Model Inputs &amp; Assumptions'!$P$33)*EXP('Model Inputs &amp; Assumptions'!$Q$33*S2597-'Model Inputs &amp; Assumptions'!$Q$33^2/2))</f>
        <v>217.964738031363</v>
      </c>
      <c r="I2597" s="49" t="n">
        <f aca="false">IF('Model Inputs &amp; Assumptions'!$H$33="Fixed",'Model Inputs &amp; Assumptions'!$I$33*'Model Inputs &amp; Assumptions'!$K$33,IF('Model Inputs &amp; Assumptions'!$H$33="CPM",'Model Inputs &amp; Assumptions'!$I$33*'Model Inputs &amp; Assumptions'!$K$33*C2597/1000,IF('Model Inputs &amp; Assumptions'!$H$33="CPC",'Model Inputs &amp; Assumptions'!$I$33*'Model Inputs &amp; Assumptions'!$K$33*G2597,0)))</f>
        <v>25000</v>
      </c>
      <c r="J2597" s="50" t="n">
        <f aca="false">H2597*INDEX('Model Inputs &amp; Assumptions'!$D$40:$D$42,MATCH('Model Inputs &amp; Assumptions'!$L$33,'Model Inputs &amp; Assumptions'!$A$40:$A$42,0))*INDEX('Model Inputs &amp; Assumptions'!$H$40:$H$42,MATCH('Model Inputs &amp; Assumptions'!$L$33,'Model Inputs &amp; Assumptions'!$A$40:$A$42,0))</f>
        <v>1177009.58536936</v>
      </c>
      <c r="K2597" s="49" t="n">
        <f aca="false">H2597*INDEX('Model Inputs &amp; Assumptions'!$G$40:$G$42,MATCH('Model Inputs &amp; Assumptions'!$L$33,'Model Inputs &amp; Assumptions'!$A$40:$A$42,0))*INDEX('Model Inputs &amp; Assumptions'!$H$40:$H$42,MATCH('Model Inputs &amp; Assumptions'!$L$33,'Model Inputs &amp; Assumptions'!$A$40:$A$42,0))</f>
        <v>24717.2012927565</v>
      </c>
      <c r="L2597" s="51" t="n">
        <f aca="false">IFERROR(K2597/I2597,0)</f>
        <v>0.988688051710262</v>
      </c>
      <c r="M2597" s="49" t="n">
        <f aca="false">IFERROR(I2597/H2597,0)</f>
        <v>114.697451641938</v>
      </c>
      <c r="N2597" s="52" t="str">
        <f aca="false">'Model Inputs &amp; Assumptions'!$L$33</f>
        <v>PRD-SP01</v>
      </c>
      <c r="P2597" s="53" t="n">
        <v>-0.299543</v>
      </c>
      <c r="Q2597" s="53" t="n">
        <v>0.336159</v>
      </c>
      <c r="R2597" s="53" t="n">
        <v>-0.932765</v>
      </c>
      <c r="S2597" s="53" t="n">
        <v>1.574593</v>
      </c>
    </row>
    <row r="2598" customFormat="false" ht="15" hidden="false" customHeight="false" outlineLevel="0" collapsed="false">
      <c r="A2598" s="43" t="n">
        <v>95</v>
      </c>
      <c r="B2598" s="44" t="str">
        <f aca="false">'Model Inputs &amp; Assumptions'!$B$33</f>
        <v>Trade Republic — Savings Plan Push</v>
      </c>
      <c r="C2598" s="45" t="n">
        <f aca="false">ROUND(MAX(0,'Model Inputs &amp; Assumptions'!$S$33*EXP('Model Inputs &amp; Assumptions'!$T$33*P2598-'Model Inputs &amp; Assumptions'!$T$33^2/2)),0)</f>
        <v>1195201</v>
      </c>
      <c r="D2598" s="46" t="n">
        <f aca="false">MIN(1,'Model Inputs &amp; Assumptions'!$U$33*EXP('Model Inputs &amp; Assumptions'!$V$33*Q2598-'Model Inputs &amp; Assumptions'!$V$33^2/2))</f>
        <v>0</v>
      </c>
      <c r="E2598" s="45" t="n">
        <f aca="false">ROUND(C2598*D2598,0)</f>
        <v>0</v>
      </c>
      <c r="F2598" s="47" t="n">
        <f aca="false">MIN(1,'Model Inputs &amp; Assumptions'!$W$33*EXP('Model Inputs &amp; Assumptions'!$X$33*R2598-'Model Inputs &amp; Assumptions'!$X$33^2/2))</f>
        <v>0.00274192565813589</v>
      </c>
      <c r="G2598" s="45" t="n">
        <f aca="false">ROUND(C2598*F2598,0)</f>
        <v>3277</v>
      </c>
      <c r="H2598" s="48" t="n">
        <f aca="false">MAX(0,(C2598*'Model Inputs &amp; Assumptions'!$N$33+E2598*'Model Inputs &amp; Assumptions'!$O$33+G2598*'Model Inputs &amp; Assumptions'!$P$33)*EXP('Model Inputs &amp; Assumptions'!$Q$33*S2598-'Model Inputs &amp; Assumptions'!$Q$33^2/2))</f>
        <v>208.156382249138</v>
      </c>
      <c r="I2598" s="49" t="n">
        <f aca="false">IF('Model Inputs &amp; Assumptions'!$H$33="Fixed",'Model Inputs &amp; Assumptions'!$I$33*'Model Inputs &amp; Assumptions'!$K$33,IF('Model Inputs &amp; Assumptions'!$H$33="CPM",'Model Inputs &amp; Assumptions'!$I$33*'Model Inputs &amp; Assumptions'!$K$33*C2598/1000,IF('Model Inputs &amp; Assumptions'!$H$33="CPC",'Model Inputs &amp; Assumptions'!$I$33*'Model Inputs &amp; Assumptions'!$K$33*G2598,0)))</f>
        <v>25000</v>
      </c>
      <c r="J2598" s="50" t="n">
        <f aca="false">H2598*INDEX('Model Inputs &amp; Assumptions'!$D$40:$D$42,MATCH('Model Inputs &amp; Assumptions'!$L$33,'Model Inputs &amp; Assumptions'!$A$40:$A$42,0))*INDEX('Model Inputs &amp; Assumptions'!$H$40:$H$42,MATCH('Model Inputs &amp; Assumptions'!$L$33,'Model Inputs &amp; Assumptions'!$A$40:$A$42,0))</f>
        <v>1124044.46414534</v>
      </c>
      <c r="K2598" s="49" t="n">
        <f aca="false">H2598*INDEX('Model Inputs &amp; Assumptions'!$G$40:$G$42,MATCH('Model Inputs &amp; Assumptions'!$L$33,'Model Inputs &amp; Assumptions'!$A$40:$A$42,0))*INDEX('Model Inputs &amp; Assumptions'!$H$40:$H$42,MATCH('Model Inputs &amp; Assumptions'!$L$33,'Model Inputs &amp; Assumptions'!$A$40:$A$42,0))</f>
        <v>23604.9337470522</v>
      </c>
      <c r="L2598" s="51" t="n">
        <f aca="false">IFERROR(K2598/I2598,0)</f>
        <v>0.94419734988209</v>
      </c>
      <c r="M2598" s="49" t="n">
        <f aca="false">IFERROR(I2598/H2598,0)</f>
        <v>120.102010468639</v>
      </c>
      <c r="N2598" s="52" t="str">
        <f aca="false">'Model Inputs &amp; Assumptions'!$L$33</f>
        <v>PRD-SP01</v>
      </c>
      <c r="P2598" s="53" t="n">
        <v>0.136642</v>
      </c>
      <c r="Q2598" s="53" t="n">
        <v>-0.001437</v>
      </c>
      <c r="R2598" s="53" t="n">
        <v>-0.663675</v>
      </c>
      <c r="S2598" s="53" t="n">
        <v>0.654386</v>
      </c>
    </row>
    <row r="2599" customFormat="false" ht="15" hidden="false" customHeight="false" outlineLevel="0" collapsed="false">
      <c r="A2599" s="43" t="n">
        <v>96</v>
      </c>
      <c r="B2599" s="44" t="str">
        <f aca="false">'Model Inputs &amp; Assumptions'!$B$33</f>
        <v>Trade Republic — Savings Plan Push</v>
      </c>
      <c r="C2599" s="45" t="n">
        <f aca="false">ROUND(MAX(0,'Model Inputs &amp; Assumptions'!$S$33*EXP('Model Inputs &amp; Assumptions'!$T$33*P2599-'Model Inputs &amp; Assumptions'!$T$33^2/2)),0)</f>
        <v>1044911</v>
      </c>
      <c r="D2599" s="46" t="n">
        <f aca="false">MIN(1,'Model Inputs &amp; Assumptions'!$U$33*EXP('Model Inputs &amp; Assumptions'!$V$33*Q2599-'Model Inputs &amp; Assumptions'!$V$33^2/2))</f>
        <v>0</v>
      </c>
      <c r="E2599" s="45" t="n">
        <f aca="false">ROUND(C2599*D2599,0)</f>
        <v>0</v>
      </c>
      <c r="F2599" s="47" t="n">
        <f aca="false">MIN(1,'Model Inputs &amp; Assumptions'!$W$33*EXP('Model Inputs &amp; Assumptions'!$X$33*R2599-'Model Inputs &amp; Assumptions'!$X$33^2/2))</f>
        <v>0.00342727151689653</v>
      </c>
      <c r="G2599" s="45" t="n">
        <f aca="false">ROUND(C2599*F2599,0)</f>
        <v>3581</v>
      </c>
      <c r="H2599" s="48" t="n">
        <f aca="false">MAX(0,(C2599*'Model Inputs &amp; Assumptions'!$N$33+E2599*'Model Inputs &amp; Assumptions'!$O$33+G2599*'Model Inputs &amp; Assumptions'!$P$33)*EXP('Model Inputs &amp; Assumptions'!$Q$33*S2599-'Model Inputs &amp; Assumptions'!$Q$33^2/2))</f>
        <v>245.107045675939</v>
      </c>
      <c r="I2599" s="49" t="n">
        <f aca="false">IF('Model Inputs &amp; Assumptions'!$H$33="Fixed",'Model Inputs &amp; Assumptions'!$I$33*'Model Inputs &amp; Assumptions'!$K$33,IF('Model Inputs &amp; Assumptions'!$H$33="CPM",'Model Inputs &amp; Assumptions'!$I$33*'Model Inputs &amp; Assumptions'!$K$33*C2599/1000,IF('Model Inputs &amp; Assumptions'!$H$33="CPC",'Model Inputs &amp; Assumptions'!$I$33*'Model Inputs &amp; Assumptions'!$K$33*G2599,0)))</f>
        <v>25000</v>
      </c>
      <c r="J2599" s="50" t="n">
        <f aca="false">H2599*INDEX('Model Inputs &amp; Assumptions'!$D$40:$D$42,MATCH('Model Inputs &amp; Assumptions'!$L$33,'Model Inputs &amp; Assumptions'!$A$40:$A$42,0))*INDEX('Model Inputs &amp; Assumptions'!$H$40:$H$42,MATCH('Model Inputs &amp; Assumptions'!$L$33,'Model Inputs &amp; Assumptions'!$A$40:$A$42,0))</f>
        <v>1323578.04665007</v>
      </c>
      <c r="K2599" s="49" t="n">
        <f aca="false">H2599*INDEX('Model Inputs &amp; Assumptions'!$G$40:$G$42,MATCH('Model Inputs &amp; Assumptions'!$L$33,'Model Inputs &amp; Assumptions'!$A$40:$A$42,0))*INDEX('Model Inputs &amp; Assumptions'!$H$40:$H$42,MATCH('Model Inputs &amp; Assumptions'!$L$33,'Model Inputs &amp; Assumptions'!$A$40:$A$42,0))</f>
        <v>27795.1389796515</v>
      </c>
      <c r="L2599" s="51" t="n">
        <f aca="false">IFERROR(K2599/I2599,0)</f>
        <v>1.11180555918606</v>
      </c>
      <c r="M2599" s="49" t="n">
        <f aca="false">IFERROR(I2599/H2599,0)</f>
        <v>101.996252009226</v>
      </c>
      <c r="N2599" s="52" t="str">
        <f aca="false">'Model Inputs &amp; Assumptions'!$L$33</f>
        <v>PRD-SP01</v>
      </c>
      <c r="P2599" s="53" t="n">
        <v>-0.3113</v>
      </c>
      <c r="Q2599" s="53" t="n">
        <v>-1.480801</v>
      </c>
      <c r="R2599" s="53" t="n">
        <v>0.080005</v>
      </c>
      <c r="S2599" s="53" t="n">
        <v>0.921142</v>
      </c>
    </row>
    <row r="2600" customFormat="false" ht="15" hidden="false" customHeight="false" outlineLevel="0" collapsed="false">
      <c r="A2600" s="43" t="n">
        <v>97</v>
      </c>
      <c r="B2600" s="44" t="str">
        <f aca="false">'Model Inputs &amp; Assumptions'!$B$33</f>
        <v>Trade Republic — Savings Plan Push</v>
      </c>
      <c r="C2600" s="45" t="n">
        <f aca="false">ROUND(MAX(0,'Model Inputs &amp; Assumptions'!$S$33*EXP('Model Inputs &amp; Assumptions'!$T$33*P2600-'Model Inputs &amp; Assumptions'!$T$33^2/2)),0)</f>
        <v>574049</v>
      </c>
      <c r="D2600" s="46" t="n">
        <f aca="false">MIN(1,'Model Inputs &amp; Assumptions'!$U$33*EXP('Model Inputs &amp; Assumptions'!$V$33*Q2600-'Model Inputs &amp; Assumptions'!$V$33^2/2))</f>
        <v>0</v>
      </c>
      <c r="E2600" s="45" t="n">
        <f aca="false">ROUND(C2600*D2600,0)</f>
        <v>0</v>
      </c>
      <c r="F2600" s="47" t="n">
        <f aca="false">MIN(1,'Model Inputs &amp; Assumptions'!$W$33*EXP('Model Inputs &amp; Assumptions'!$X$33*R2600-'Model Inputs &amp; Assumptions'!$X$33^2/2))</f>
        <v>0.00273031249176836</v>
      </c>
      <c r="G2600" s="45" t="n">
        <f aca="false">ROUND(C2600*F2600,0)</f>
        <v>1567</v>
      </c>
      <c r="H2600" s="48" t="n">
        <f aca="false">MAX(0,(C2600*'Model Inputs &amp; Assumptions'!$N$33+E2600*'Model Inputs &amp; Assumptions'!$O$33+G2600*'Model Inputs &amp; Assumptions'!$P$33)*EXP('Model Inputs &amp; Assumptions'!$Q$33*S2600-'Model Inputs &amp; Assumptions'!$Q$33^2/2))</f>
        <v>94.5268147867659</v>
      </c>
      <c r="I2600" s="49" t="n">
        <f aca="false">IF('Model Inputs &amp; Assumptions'!$H$33="Fixed",'Model Inputs &amp; Assumptions'!$I$33*'Model Inputs &amp; Assumptions'!$K$33,IF('Model Inputs &amp; Assumptions'!$H$33="CPM",'Model Inputs &amp; Assumptions'!$I$33*'Model Inputs &amp; Assumptions'!$K$33*C2600/1000,IF('Model Inputs &amp; Assumptions'!$H$33="CPC",'Model Inputs &amp; Assumptions'!$I$33*'Model Inputs &amp; Assumptions'!$K$33*G2600,0)))</f>
        <v>25000</v>
      </c>
      <c r="J2600" s="50" t="n">
        <f aca="false">H2600*INDEX('Model Inputs &amp; Assumptions'!$D$40:$D$42,MATCH('Model Inputs &amp; Assumptions'!$L$33,'Model Inputs &amp; Assumptions'!$A$40:$A$42,0))*INDEX('Model Inputs &amp; Assumptions'!$H$40:$H$42,MATCH('Model Inputs &amp; Assumptions'!$L$33,'Model Inputs &amp; Assumptions'!$A$40:$A$42,0))</f>
        <v>510444.799848536</v>
      </c>
      <c r="K2600" s="49" t="n">
        <f aca="false">H2600*INDEX('Model Inputs &amp; Assumptions'!$G$40:$G$42,MATCH('Model Inputs &amp; Assumptions'!$L$33,'Model Inputs &amp; Assumptions'!$A$40:$A$42,0))*INDEX('Model Inputs &amp; Assumptions'!$H$40:$H$42,MATCH('Model Inputs &amp; Assumptions'!$L$33,'Model Inputs &amp; Assumptions'!$A$40:$A$42,0))</f>
        <v>10719.3407968193</v>
      </c>
      <c r="L2600" s="51" t="n">
        <f aca="false">IFERROR(K2600/I2600,0)</f>
        <v>0.42877363187277</v>
      </c>
      <c r="M2600" s="49" t="n">
        <f aca="false">IFERROR(I2600/H2600,0)</f>
        <v>264.475218554599</v>
      </c>
      <c r="N2600" s="52" t="str">
        <f aca="false">'Model Inputs &amp; Assumptions'!$L$33</f>
        <v>PRD-SP01</v>
      </c>
      <c r="P2600" s="53" t="n">
        <v>-2.307873</v>
      </c>
      <c r="Q2600" s="53" t="n">
        <v>-0.754352</v>
      </c>
      <c r="R2600" s="53" t="n">
        <v>-0.677823</v>
      </c>
      <c r="S2600" s="53" t="n">
        <v>0.469955</v>
      </c>
    </row>
    <row r="2601" customFormat="false" ht="15" hidden="false" customHeight="false" outlineLevel="0" collapsed="false">
      <c r="A2601" s="43" t="n">
        <v>98</v>
      </c>
      <c r="B2601" s="44" t="str">
        <f aca="false">'Model Inputs &amp; Assumptions'!$B$33</f>
        <v>Trade Republic — Savings Plan Push</v>
      </c>
      <c r="C2601" s="45" t="n">
        <f aca="false">ROUND(MAX(0,'Model Inputs &amp; Assumptions'!$S$33*EXP('Model Inputs &amp; Assumptions'!$T$33*P2601-'Model Inputs &amp; Assumptions'!$T$33^2/2)),0)</f>
        <v>1803773</v>
      </c>
      <c r="D2601" s="46" t="n">
        <f aca="false">MIN(1,'Model Inputs &amp; Assumptions'!$U$33*EXP('Model Inputs &amp; Assumptions'!$V$33*Q2601-'Model Inputs &amp; Assumptions'!$V$33^2/2))</f>
        <v>0</v>
      </c>
      <c r="E2601" s="45" t="n">
        <f aca="false">ROUND(C2601*D2601,0)</f>
        <v>0</v>
      </c>
      <c r="F2601" s="47" t="n">
        <f aca="false">MIN(1,'Model Inputs &amp; Assumptions'!$W$33*EXP('Model Inputs &amp; Assumptions'!$X$33*R2601-'Model Inputs &amp; Assumptions'!$X$33^2/2))</f>
        <v>0.00265683421293637</v>
      </c>
      <c r="G2601" s="45" t="n">
        <f aca="false">ROUND(C2601*F2601,0)</f>
        <v>4792</v>
      </c>
      <c r="H2601" s="48" t="n">
        <f aca="false">MAX(0,(C2601*'Model Inputs &amp; Assumptions'!$N$33+E2601*'Model Inputs &amp; Assumptions'!$O$33+G2601*'Model Inputs &amp; Assumptions'!$P$33)*EXP('Model Inputs &amp; Assumptions'!$Q$33*S2601-'Model Inputs &amp; Assumptions'!$Q$33^2/2))</f>
        <v>230.167164256323</v>
      </c>
      <c r="I2601" s="49" t="n">
        <f aca="false">IF('Model Inputs &amp; Assumptions'!$H$33="Fixed",'Model Inputs &amp; Assumptions'!$I$33*'Model Inputs &amp; Assumptions'!$K$33,IF('Model Inputs &amp; Assumptions'!$H$33="CPM",'Model Inputs &amp; Assumptions'!$I$33*'Model Inputs &amp; Assumptions'!$K$33*C2601/1000,IF('Model Inputs &amp; Assumptions'!$H$33="CPC",'Model Inputs &amp; Assumptions'!$I$33*'Model Inputs &amp; Assumptions'!$K$33*G2601,0)))</f>
        <v>25000</v>
      </c>
      <c r="J2601" s="50" t="n">
        <f aca="false">H2601*INDEX('Model Inputs &amp; Assumptions'!$D$40:$D$42,MATCH('Model Inputs &amp; Assumptions'!$L$33,'Model Inputs &amp; Assumptions'!$A$40:$A$42,0))*INDEX('Model Inputs &amp; Assumptions'!$H$40:$H$42,MATCH('Model Inputs &amp; Assumptions'!$L$33,'Model Inputs &amp; Assumptions'!$A$40:$A$42,0))</f>
        <v>1242902.68698414</v>
      </c>
      <c r="K2601" s="49" t="n">
        <f aca="false">H2601*INDEX('Model Inputs &amp; Assumptions'!$G$40:$G$42,MATCH('Model Inputs &amp; Assumptions'!$L$33,'Model Inputs &amp; Assumptions'!$A$40:$A$42,0))*INDEX('Model Inputs &amp; Assumptions'!$H$40:$H$42,MATCH('Model Inputs &amp; Assumptions'!$L$33,'Model Inputs &amp; Assumptions'!$A$40:$A$42,0))</f>
        <v>26100.956426667</v>
      </c>
      <c r="L2601" s="51" t="n">
        <f aca="false">IFERROR(K2601/I2601,0)</f>
        <v>1.04403825706668</v>
      </c>
      <c r="M2601" s="49" t="n">
        <f aca="false">IFERROR(I2601/H2601,0)</f>
        <v>108.616709428453</v>
      </c>
      <c r="N2601" s="52" t="str">
        <f aca="false">'Model Inputs &amp; Assumptions'!$L$33</f>
        <v>PRD-SP01</v>
      </c>
      <c r="P2601" s="53" t="n">
        <v>1.50853</v>
      </c>
      <c r="Q2601" s="53" t="n">
        <v>1.666845</v>
      </c>
      <c r="R2601" s="53" t="n">
        <v>-0.768759</v>
      </c>
      <c r="S2601" s="53" t="n">
        <v>-0.34384</v>
      </c>
    </row>
    <row r="2602" customFormat="false" ht="15" hidden="false" customHeight="false" outlineLevel="0" collapsed="false">
      <c r="A2602" s="43" t="n">
        <v>99</v>
      </c>
      <c r="B2602" s="44" t="str">
        <f aca="false">'Model Inputs &amp; Assumptions'!$B$33</f>
        <v>Trade Republic — Savings Plan Push</v>
      </c>
      <c r="C2602" s="45" t="n">
        <f aca="false">ROUND(MAX(0,'Model Inputs &amp; Assumptions'!$S$33*EXP('Model Inputs &amp; Assumptions'!$T$33*P2602-'Model Inputs &amp; Assumptions'!$T$33^2/2)),0)</f>
        <v>1277729</v>
      </c>
      <c r="D2602" s="46" t="n">
        <f aca="false">MIN(1,'Model Inputs &amp; Assumptions'!$U$33*EXP('Model Inputs &amp; Assumptions'!$V$33*Q2602-'Model Inputs &amp; Assumptions'!$V$33^2/2))</f>
        <v>0</v>
      </c>
      <c r="E2602" s="45" t="n">
        <f aca="false">ROUND(C2602*D2602,0)</f>
        <v>0</v>
      </c>
      <c r="F2602" s="47" t="n">
        <f aca="false">MIN(1,'Model Inputs &amp; Assumptions'!$W$33*EXP('Model Inputs &amp; Assumptions'!$X$33*R2602-'Model Inputs &amp; Assumptions'!$X$33^2/2))</f>
        <v>0.00376957049719137</v>
      </c>
      <c r="G2602" s="45" t="n">
        <f aca="false">ROUND(C2602*F2602,0)</f>
        <v>4816</v>
      </c>
      <c r="H2602" s="48" t="n">
        <f aca="false">MAX(0,(C2602*'Model Inputs &amp; Assumptions'!$N$33+E2602*'Model Inputs &amp; Assumptions'!$O$33+G2602*'Model Inputs &amp; Assumptions'!$P$33)*EXP('Model Inputs &amp; Assumptions'!$Q$33*S2602-'Model Inputs &amp; Assumptions'!$Q$33^2/2))</f>
        <v>216.2473849969</v>
      </c>
      <c r="I2602" s="49" t="n">
        <f aca="false">IF('Model Inputs &amp; Assumptions'!$H$33="Fixed",'Model Inputs &amp; Assumptions'!$I$33*'Model Inputs &amp; Assumptions'!$K$33,IF('Model Inputs &amp; Assumptions'!$H$33="CPM",'Model Inputs &amp; Assumptions'!$I$33*'Model Inputs &amp; Assumptions'!$K$33*C2602/1000,IF('Model Inputs &amp; Assumptions'!$H$33="CPC",'Model Inputs &amp; Assumptions'!$I$33*'Model Inputs &amp; Assumptions'!$K$33*G2602,0)))</f>
        <v>25000</v>
      </c>
      <c r="J2602" s="50" t="n">
        <f aca="false">H2602*INDEX('Model Inputs &amp; Assumptions'!$D$40:$D$42,MATCH('Model Inputs &amp; Assumptions'!$L$33,'Model Inputs &amp; Assumptions'!$A$40:$A$42,0))*INDEX('Model Inputs &amp; Assumptions'!$H$40:$H$42,MATCH('Model Inputs &amp; Assumptions'!$L$33,'Model Inputs &amp; Assumptions'!$A$40:$A$42,0))</f>
        <v>1167735.87898326</v>
      </c>
      <c r="K2602" s="49" t="n">
        <f aca="false">H2602*INDEX('Model Inputs &amp; Assumptions'!$G$40:$G$42,MATCH('Model Inputs &amp; Assumptions'!$L$33,'Model Inputs &amp; Assumptions'!$A$40:$A$42,0))*INDEX('Model Inputs &amp; Assumptions'!$H$40:$H$42,MATCH('Model Inputs &amp; Assumptions'!$L$33,'Model Inputs &amp; Assumptions'!$A$40:$A$42,0))</f>
        <v>24522.4534586485</v>
      </c>
      <c r="L2602" s="51" t="n">
        <f aca="false">IFERROR(K2602/I2602,0)</f>
        <v>0.98089813834594</v>
      </c>
      <c r="M2602" s="49" t="n">
        <f aca="false">IFERROR(I2602/H2602,0)</f>
        <v>115.608334409955</v>
      </c>
      <c r="N2602" s="52" t="str">
        <f aca="false">'Model Inputs &amp; Assumptions'!$L$33</f>
        <v>PRD-SP01</v>
      </c>
      <c r="P2602" s="53" t="n">
        <v>0.35921</v>
      </c>
      <c r="Q2602" s="53" t="n">
        <v>-0.926862</v>
      </c>
      <c r="R2602" s="53" t="n">
        <v>0.397327</v>
      </c>
      <c r="S2602" s="53" t="n">
        <v>-0.584478</v>
      </c>
    </row>
    <row r="2603" customFormat="false" ht="15" hidden="false" customHeight="false" outlineLevel="0" collapsed="false">
      <c r="A2603" s="43" t="n">
        <v>100</v>
      </c>
      <c r="B2603" s="44" t="str">
        <f aca="false">'Model Inputs &amp; Assumptions'!$B$33</f>
        <v>Trade Republic — Savings Plan Push</v>
      </c>
      <c r="C2603" s="45" t="n">
        <f aca="false">ROUND(MAX(0,'Model Inputs &amp; Assumptions'!$S$33*EXP('Model Inputs &amp; Assumptions'!$T$33*P2603-'Model Inputs &amp; Assumptions'!$T$33^2/2)),0)</f>
        <v>1376737</v>
      </c>
      <c r="D2603" s="46" t="n">
        <f aca="false">MIN(1,'Model Inputs &amp; Assumptions'!$U$33*EXP('Model Inputs &amp; Assumptions'!$V$33*Q2603-'Model Inputs &amp; Assumptions'!$V$33^2/2))</f>
        <v>0</v>
      </c>
      <c r="E2603" s="45" t="n">
        <f aca="false">ROUND(C2603*D2603,0)</f>
        <v>0</v>
      </c>
      <c r="F2603" s="47" t="n">
        <f aca="false">MIN(1,'Model Inputs &amp; Assumptions'!$W$33*EXP('Model Inputs &amp; Assumptions'!$X$33*R2603-'Model Inputs &amp; Assumptions'!$X$33^2/2))</f>
        <v>0.00441134780947214</v>
      </c>
      <c r="G2603" s="45" t="n">
        <f aca="false">ROUND(C2603*F2603,0)</f>
        <v>6073</v>
      </c>
      <c r="H2603" s="48" t="n">
        <f aca="false">MAX(0,(C2603*'Model Inputs &amp; Assumptions'!$N$33+E2603*'Model Inputs &amp; Assumptions'!$O$33+G2603*'Model Inputs &amp; Assumptions'!$P$33)*EXP('Model Inputs &amp; Assumptions'!$Q$33*S2603-'Model Inputs &amp; Assumptions'!$Q$33^2/2))</f>
        <v>332.12667991506</v>
      </c>
      <c r="I2603" s="49" t="n">
        <f aca="false">IF('Model Inputs &amp; Assumptions'!$H$33="Fixed",'Model Inputs &amp; Assumptions'!$I$33*'Model Inputs &amp; Assumptions'!$K$33,IF('Model Inputs &amp; Assumptions'!$H$33="CPM",'Model Inputs &amp; Assumptions'!$I$33*'Model Inputs &amp; Assumptions'!$K$33*C2603/1000,IF('Model Inputs &amp; Assumptions'!$H$33="CPC",'Model Inputs &amp; Assumptions'!$I$33*'Model Inputs &amp; Assumptions'!$K$33*G2603,0)))</f>
        <v>25000</v>
      </c>
      <c r="J2603" s="50" t="n">
        <f aca="false">H2603*INDEX('Model Inputs &amp; Assumptions'!$D$40:$D$42,MATCH('Model Inputs &amp; Assumptions'!$L$33,'Model Inputs &amp; Assumptions'!$A$40:$A$42,0))*INDEX('Model Inputs &amp; Assumptions'!$H$40:$H$42,MATCH('Model Inputs &amp; Assumptions'!$L$33,'Model Inputs &amp; Assumptions'!$A$40:$A$42,0))</f>
        <v>1793484.07154133</v>
      </c>
      <c r="K2603" s="49" t="n">
        <f aca="false">H2603*INDEX('Model Inputs &amp; Assumptions'!$G$40:$G$42,MATCH('Model Inputs &amp; Assumptions'!$L$33,'Model Inputs &amp; Assumptions'!$A$40:$A$42,0))*INDEX('Model Inputs &amp; Assumptions'!$H$40:$H$42,MATCH('Model Inputs &amp; Assumptions'!$L$33,'Model Inputs &amp; Assumptions'!$A$40:$A$42,0))</f>
        <v>37663.1655023678</v>
      </c>
      <c r="L2603" s="51" t="n">
        <f aca="false">IFERROR(K2603/I2603,0)</f>
        <v>1.50652662009471</v>
      </c>
      <c r="M2603" s="49" t="n">
        <f aca="false">IFERROR(I2603/H2603,0)</f>
        <v>75.2724833981829</v>
      </c>
      <c r="N2603" s="52" t="str">
        <f aca="false">'Model Inputs &amp; Assumptions'!$L$33</f>
        <v>PRD-SP01</v>
      </c>
      <c r="P2603" s="53" t="n">
        <v>0.607982</v>
      </c>
      <c r="Q2603" s="53" t="n">
        <v>-0.204544</v>
      </c>
      <c r="R2603" s="53" t="n">
        <v>0.921391</v>
      </c>
      <c r="S2603" s="53" t="n">
        <v>0.119752</v>
      </c>
    </row>
    <row r="2604" customFormat="false" ht="15" hidden="false" customHeight="false" outlineLevel="0" collapsed="false">
      <c r="A2604" s="43" t="n">
        <v>101</v>
      </c>
      <c r="B2604" s="44" t="str">
        <f aca="false">'Model Inputs &amp; Assumptions'!$B$33</f>
        <v>Trade Republic — Savings Plan Push</v>
      </c>
      <c r="C2604" s="45" t="n">
        <f aca="false">ROUND(MAX(0,'Model Inputs &amp; Assumptions'!$S$33*EXP('Model Inputs &amp; Assumptions'!$T$33*P2604-'Model Inputs &amp; Assumptions'!$T$33^2/2)),0)</f>
        <v>1248858</v>
      </c>
      <c r="D2604" s="46" t="n">
        <f aca="false">MIN(1,'Model Inputs &amp; Assumptions'!$U$33*EXP('Model Inputs &amp; Assumptions'!$V$33*Q2604-'Model Inputs &amp; Assumptions'!$V$33^2/2))</f>
        <v>0</v>
      </c>
      <c r="E2604" s="45" t="n">
        <f aca="false">ROUND(C2604*D2604,0)</f>
        <v>0</v>
      </c>
      <c r="F2604" s="47" t="n">
        <f aca="false">MIN(1,'Model Inputs &amp; Assumptions'!$W$33*EXP('Model Inputs &amp; Assumptions'!$X$33*R2604-'Model Inputs &amp; Assumptions'!$X$33^2/2))</f>
        <v>0.00486020767507022</v>
      </c>
      <c r="G2604" s="45" t="n">
        <f aca="false">ROUND(C2604*F2604,0)</f>
        <v>6070</v>
      </c>
      <c r="H2604" s="48" t="n">
        <f aca="false">MAX(0,(C2604*'Model Inputs &amp; Assumptions'!$N$33+E2604*'Model Inputs &amp; Assumptions'!$O$33+G2604*'Model Inputs &amp; Assumptions'!$P$33)*EXP('Model Inputs &amp; Assumptions'!$Q$33*S2604-'Model Inputs &amp; Assumptions'!$Q$33^2/2))</f>
        <v>309.643845123289</v>
      </c>
      <c r="I2604" s="49" t="n">
        <f aca="false">IF('Model Inputs &amp; Assumptions'!$H$33="Fixed",'Model Inputs &amp; Assumptions'!$I$33*'Model Inputs &amp; Assumptions'!$K$33,IF('Model Inputs &amp; Assumptions'!$H$33="CPM",'Model Inputs &amp; Assumptions'!$I$33*'Model Inputs &amp; Assumptions'!$K$33*C2604/1000,IF('Model Inputs &amp; Assumptions'!$H$33="CPC",'Model Inputs &amp; Assumptions'!$I$33*'Model Inputs &amp; Assumptions'!$K$33*G2604,0)))</f>
        <v>25000</v>
      </c>
      <c r="J2604" s="50" t="n">
        <f aca="false">H2604*INDEX('Model Inputs &amp; Assumptions'!$D$40:$D$42,MATCH('Model Inputs &amp; Assumptions'!$L$33,'Model Inputs &amp; Assumptions'!$A$40:$A$42,0))*INDEX('Model Inputs &amp; Assumptions'!$H$40:$H$42,MATCH('Model Inputs &amp; Assumptions'!$L$33,'Model Inputs &amp; Assumptions'!$A$40:$A$42,0))</f>
        <v>1672076.76366576</v>
      </c>
      <c r="K2604" s="49" t="n">
        <f aca="false">H2604*INDEX('Model Inputs &amp; Assumptions'!$G$40:$G$42,MATCH('Model Inputs &amp; Assumptions'!$L$33,'Model Inputs &amp; Assumptions'!$A$40:$A$42,0))*INDEX('Model Inputs &amp; Assumptions'!$H$40:$H$42,MATCH('Model Inputs &amp; Assumptions'!$L$33,'Model Inputs &amp; Assumptions'!$A$40:$A$42,0))</f>
        <v>35113.612036981</v>
      </c>
      <c r="L2604" s="51" t="n">
        <f aca="false">IFERROR(K2604/I2604,0)</f>
        <v>1.40454448147924</v>
      </c>
      <c r="M2604" s="49" t="n">
        <f aca="false">IFERROR(I2604/H2604,0)</f>
        <v>80.7379200127355</v>
      </c>
      <c r="N2604" s="52" t="str">
        <f aca="false">'Model Inputs &amp; Assumptions'!$L$33</f>
        <v>PRD-SP01</v>
      </c>
      <c r="P2604" s="53" t="n">
        <v>0.283027</v>
      </c>
      <c r="Q2604" s="53" t="n">
        <v>1.640075</v>
      </c>
      <c r="R2604" s="53" t="n">
        <v>1.244394</v>
      </c>
      <c r="S2604" s="53" t="n">
        <v>-0.128818</v>
      </c>
    </row>
    <row r="2605" customFormat="false" ht="15" hidden="false" customHeight="false" outlineLevel="0" collapsed="false">
      <c r="A2605" s="43" t="n">
        <v>102</v>
      </c>
      <c r="B2605" s="44" t="str">
        <f aca="false">'Model Inputs &amp; Assumptions'!$B$33</f>
        <v>Trade Republic — Savings Plan Push</v>
      </c>
      <c r="C2605" s="45" t="n">
        <f aca="false">ROUND(MAX(0,'Model Inputs &amp; Assumptions'!$S$33*EXP('Model Inputs &amp; Assumptions'!$T$33*P2605-'Model Inputs &amp; Assumptions'!$T$33^2/2)),0)</f>
        <v>1197014</v>
      </c>
      <c r="D2605" s="46" t="n">
        <f aca="false">MIN(1,'Model Inputs &amp; Assumptions'!$U$33*EXP('Model Inputs &amp; Assumptions'!$V$33*Q2605-'Model Inputs &amp; Assumptions'!$V$33^2/2))</f>
        <v>0</v>
      </c>
      <c r="E2605" s="45" t="n">
        <f aca="false">ROUND(C2605*D2605,0)</f>
        <v>0</v>
      </c>
      <c r="F2605" s="47" t="n">
        <f aca="false">MIN(1,'Model Inputs &amp; Assumptions'!$W$33*EXP('Model Inputs &amp; Assumptions'!$X$33*R2605-'Model Inputs &amp; Assumptions'!$X$33^2/2))</f>
        <v>0.0030458312989841</v>
      </c>
      <c r="G2605" s="45" t="n">
        <f aca="false">ROUND(C2605*F2605,0)</f>
        <v>3646</v>
      </c>
      <c r="H2605" s="48" t="n">
        <f aca="false">MAX(0,(C2605*'Model Inputs &amp; Assumptions'!$N$33+E2605*'Model Inputs &amp; Assumptions'!$O$33+G2605*'Model Inputs &amp; Assumptions'!$P$33)*EXP('Model Inputs &amp; Assumptions'!$Q$33*S2605-'Model Inputs &amp; Assumptions'!$Q$33^2/2))</f>
        <v>138.076536189807</v>
      </c>
      <c r="I2605" s="49" t="n">
        <f aca="false">IF('Model Inputs &amp; Assumptions'!$H$33="Fixed",'Model Inputs &amp; Assumptions'!$I$33*'Model Inputs &amp; Assumptions'!$K$33,IF('Model Inputs &amp; Assumptions'!$H$33="CPM",'Model Inputs &amp; Assumptions'!$I$33*'Model Inputs &amp; Assumptions'!$K$33*C2605/1000,IF('Model Inputs &amp; Assumptions'!$H$33="CPC",'Model Inputs &amp; Assumptions'!$I$33*'Model Inputs &amp; Assumptions'!$K$33*G2605,0)))</f>
        <v>25000</v>
      </c>
      <c r="J2605" s="50" t="n">
        <f aca="false">H2605*INDEX('Model Inputs &amp; Assumptions'!$D$40:$D$42,MATCH('Model Inputs &amp; Assumptions'!$L$33,'Model Inputs &amp; Assumptions'!$A$40:$A$42,0))*INDEX('Model Inputs &amp; Assumptions'!$H$40:$H$42,MATCH('Model Inputs &amp; Assumptions'!$L$33,'Model Inputs &amp; Assumptions'!$A$40:$A$42,0))</f>
        <v>745613.295424955</v>
      </c>
      <c r="K2605" s="49" t="n">
        <f aca="false">H2605*INDEX('Model Inputs &amp; Assumptions'!$G$40:$G$42,MATCH('Model Inputs &amp; Assumptions'!$L$33,'Model Inputs &amp; Assumptions'!$A$40:$A$42,0))*INDEX('Model Inputs &amp; Assumptions'!$H$40:$H$42,MATCH('Model Inputs &amp; Assumptions'!$L$33,'Model Inputs &amp; Assumptions'!$A$40:$A$42,0))</f>
        <v>15657.8792039241</v>
      </c>
      <c r="L2605" s="51" t="n">
        <f aca="false">IFERROR(K2605/I2605,0)</f>
        <v>0.626315168156962</v>
      </c>
      <c r="M2605" s="49" t="n">
        <f aca="false">IFERROR(I2605/H2605,0)</f>
        <v>181.059003143255</v>
      </c>
      <c r="N2605" s="52" t="str">
        <f aca="false">'Model Inputs &amp; Assumptions'!$L$33</f>
        <v>PRD-SP01</v>
      </c>
      <c r="P2605" s="53" t="n">
        <v>0.141696</v>
      </c>
      <c r="Q2605" s="53" t="n">
        <v>1.333769</v>
      </c>
      <c r="R2605" s="53" t="n">
        <v>-0.313297</v>
      </c>
      <c r="S2605" s="53" t="n">
        <v>-1.192699</v>
      </c>
    </row>
    <row r="2606" customFormat="false" ht="15" hidden="false" customHeight="false" outlineLevel="0" collapsed="false">
      <c r="A2606" s="43" t="n">
        <v>103</v>
      </c>
      <c r="B2606" s="44" t="str">
        <f aca="false">'Model Inputs &amp; Assumptions'!$B$33</f>
        <v>Trade Republic — Savings Plan Push</v>
      </c>
      <c r="C2606" s="45" t="n">
        <f aca="false">ROUND(MAX(0,'Model Inputs &amp; Assumptions'!$S$33*EXP('Model Inputs &amp; Assumptions'!$T$33*P2606-'Model Inputs &amp; Assumptions'!$T$33^2/2)),0)</f>
        <v>1137164</v>
      </c>
      <c r="D2606" s="46" t="n">
        <f aca="false">MIN(1,'Model Inputs &amp; Assumptions'!$U$33*EXP('Model Inputs &amp; Assumptions'!$V$33*Q2606-'Model Inputs &amp; Assumptions'!$V$33^2/2))</f>
        <v>0</v>
      </c>
      <c r="E2606" s="45" t="n">
        <f aca="false">ROUND(C2606*D2606,0)</f>
        <v>0</v>
      </c>
      <c r="F2606" s="47" t="n">
        <f aca="false">MIN(1,'Model Inputs &amp; Assumptions'!$W$33*EXP('Model Inputs &amp; Assumptions'!$X$33*R2606-'Model Inputs &amp; Assumptions'!$X$33^2/2))</f>
        <v>0.00406473060306676</v>
      </c>
      <c r="G2606" s="45" t="n">
        <f aca="false">ROUND(C2606*F2606,0)</f>
        <v>4622</v>
      </c>
      <c r="H2606" s="48" t="n">
        <f aca="false">MAX(0,(C2606*'Model Inputs &amp; Assumptions'!$N$33+E2606*'Model Inputs &amp; Assumptions'!$O$33+G2606*'Model Inputs &amp; Assumptions'!$P$33)*EXP('Model Inputs &amp; Assumptions'!$Q$33*S2606-'Model Inputs &amp; Assumptions'!$Q$33^2/2))</f>
        <v>345.118341510434</v>
      </c>
      <c r="I2606" s="49" t="n">
        <f aca="false">IF('Model Inputs &amp; Assumptions'!$H$33="Fixed",'Model Inputs &amp; Assumptions'!$I$33*'Model Inputs &amp; Assumptions'!$K$33,IF('Model Inputs &amp; Assumptions'!$H$33="CPM",'Model Inputs &amp; Assumptions'!$I$33*'Model Inputs &amp; Assumptions'!$K$33*C2606/1000,IF('Model Inputs &amp; Assumptions'!$H$33="CPC",'Model Inputs &amp; Assumptions'!$I$33*'Model Inputs &amp; Assumptions'!$K$33*G2606,0)))</f>
        <v>25000</v>
      </c>
      <c r="J2606" s="50" t="n">
        <f aca="false">H2606*INDEX('Model Inputs &amp; Assumptions'!$D$40:$D$42,MATCH('Model Inputs &amp; Assumptions'!$L$33,'Model Inputs &amp; Assumptions'!$A$40:$A$42,0))*INDEX('Model Inputs &amp; Assumptions'!$H$40:$H$42,MATCH('Model Inputs &amp; Assumptions'!$L$33,'Model Inputs &amp; Assumptions'!$A$40:$A$42,0))</f>
        <v>1863639.04415634</v>
      </c>
      <c r="K2606" s="49" t="n">
        <f aca="false">H2606*INDEX('Model Inputs &amp; Assumptions'!$G$40:$G$42,MATCH('Model Inputs &amp; Assumptions'!$L$33,'Model Inputs &amp; Assumptions'!$A$40:$A$42,0))*INDEX('Model Inputs &amp; Assumptions'!$H$40:$H$42,MATCH('Model Inputs &amp; Assumptions'!$L$33,'Model Inputs &amp; Assumptions'!$A$40:$A$42,0))</f>
        <v>39136.4199272832</v>
      </c>
      <c r="L2606" s="51" t="n">
        <f aca="false">IFERROR(K2606/I2606,0)</f>
        <v>1.56545679709133</v>
      </c>
      <c r="M2606" s="49" t="n">
        <f aca="false">IFERROR(I2606/H2606,0)</f>
        <v>72.4389201993316</v>
      </c>
      <c r="N2606" s="52" t="str">
        <f aca="false">'Model Inputs &amp; Assumptions'!$L$33</f>
        <v>PRD-SP01</v>
      </c>
      <c r="P2606" s="53" t="n">
        <v>-0.029281</v>
      </c>
      <c r="Q2606" s="53" t="n">
        <v>-1.370565</v>
      </c>
      <c r="R2606" s="53" t="n">
        <v>0.648615</v>
      </c>
      <c r="S2606" s="53" t="n">
        <v>1.231881</v>
      </c>
    </row>
    <row r="2607" customFormat="false" ht="15" hidden="false" customHeight="false" outlineLevel="0" collapsed="false">
      <c r="A2607" s="43" t="n">
        <v>104</v>
      </c>
      <c r="B2607" s="44" t="str">
        <f aca="false">'Model Inputs &amp; Assumptions'!$B$33</f>
        <v>Trade Republic — Savings Plan Push</v>
      </c>
      <c r="C2607" s="45" t="n">
        <f aca="false">ROUND(MAX(0,'Model Inputs &amp; Assumptions'!$S$33*EXP('Model Inputs &amp; Assumptions'!$T$33*P2607-'Model Inputs &amp; Assumptions'!$T$33^2/2)),0)</f>
        <v>1370531</v>
      </c>
      <c r="D2607" s="46" t="n">
        <f aca="false">MIN(1,'Model Inputs &amp; Assumptions'!$U$33*EXP('Model Inputs &amp; Assumptions'!$V$33*Q2607-'Model Inputs &amp; Assumptions'!$V$33^2/2))</f>
        <v>0</v>
      </c>
      <c r="E2607" s="45" t="n">
        <f aca="false">ROUND(C2607*D2607,0)</f>
        <v>0</v>
      </c>
      <c r="F2607" s="47" t="n">
        <f aca="false">MIN(1,'Model Inputs &amp; Assumptions'!$W$33*EXP('Model Inputs &amp; Assumptions'!$X$33*R2607-'Model Inputs &amp; Assumptions'!$X$33^2/2))</f>
        <v>0.00654882122953717</v>
      </c>
      <c r="G2607" s="45" t="n">
        <f aca="false">ROUND(C2607*F2607,0)</f>
        <v>8975</v>
      </c>
      <c r="H2607" s="48" t="n">
        <f aca="false">MAX(0,(C2607*'Model Inputs &amp; Assumptions'!$N$33+E2607*'Model Inputs &amp; Assumptions'!$O$33+G2607*'Model Inputs &amp; Assumptions'!$P$33)*EXP('Model Inputs &amp; Assumptions'!$Q$33*S2607-'Model Inputs &amp; Assumptions'!$Q$33^2/2))</f>
        <v>453.905977967905</v>
      </c>
      <c r="I2607" s="49" t="n">
        <f aca="false">IF('Model Inputs &amp; Assumptions'!$H$33="Fixed",'Model Inputs &amp; Assumptions'!$I$33*'Model Inputs &amp; Assumptions'!$K$33,IF('Model Inputs &amp; Assumptions'!$H$33="CPM",'Model Inputs &amp; Assumptions'!$I$33*'Model Inputs &amp; Assumptions'!$K$33*C2607/1000,IF('Model Inputs &amp; Assumptions'!$H$33="CPC",'Model Inputs &amp; Assumptions'!$I$33*'Model Inputs &amp; Assumptions'!$K$33*G2607,0)))</f>
        <v>25000</v>
      </c>
      <c r="J2607" s="50" t="n">
        <f aca="false">H2607*INDEX('Model Inputs &amp; Assumptions'!$D$40:$D$42,MATCH('Model Inputs &amp; Assumptions'!$L$33,'Model Inputs &amp; Assumptions'!$A$40:$A$42,0))*INDEX('Model Inputs &amp; Assumptions'!$H$40:$H$42,MATCH('Model Inputs &amp; Assumptions'!$L$33,'Model Inputs &amp; Assumptions'!$A$40:$A$42,0))</f>
        <v>2451092.28102669</v>
      </c>
      <c r="K2607" s="49" t="n">
        <f aca="false">H2607*INDEX('Model Inputs &amp; Assumptions'!$G$40:$G$42,MATCH('Model Inputs &amp; Assumptions'!$L$33,'Model Inputs &amp; Assumptions'!$A$40:$A$42,0))*INDEX('Model Inputs &amp; Assumptions'!$H$40:$H$42,MATCH('Model Inputs &amp; Assumptions'!$L$33,'Model Inputs &amp; Assumptions'!$A$40:$A$42,0))</f>
        <v>51472.9379015605</v>
      </c>
      <c r="L2607" s="51" t="n">
        <f aca="false">IFERROR(K2607/I2607,0)</f>
        <v>2.05891751606242</v>
      </c>
      <c r="M2607" s="49" t="n">
        <f aca="false">IFERROR(I2607/H2607,0)</f>
        <v>55.0774856764889</v>
      </c>
      <c r="N2607" s="52" t="str">
        <f aca="false">'Model Inputs &amp; Assumptions'!$L$33</f>
        <v>PRD-SP01</v>
      </c>
      <c r="P2607" s="53" t="n">
        <v>0.592923</v>
      </c>
      <c r="Q2607" s="53" t="n">
        <v>0.452768</v>
      </c>
      <c r="R2607" s="53" t="n">
        <v>2.238407</v>
      </c>
      <c r="S2607" s="53" t="n">
        <v>-0.159593</v>
      </c>
    </row>
    <row r="2608" customFormat="false" ht="15" hidden="false" customHeight="false" outlineLevel="0" collapsed="false">
      <c r="A2608" s="43" t="n">
        <v>105</v>
      </c>
      <c r="B2608" s="44" t="str">
        <f aca="false">'Model Inputs &amp; Assumptions'!$B$33</f>
        <v>Trade Republic — Savings Plan Push</v>
      </c>
      <c r="C2608" s="45" t="n">
        <f aca="false">ROUND(MAX(0,'Model Inputs &amp; Assumptions'!$S$33*EXP('Model Inputs &amp; Assumptions'!$T$33*P2608-'Model Inputs &amp; Assumptions'!$T$33^2/2)),0)</f>
        <v>806083</v>
      </c>
      <c r="D2608" s="46" t="n">
        <f aca="false">MIN(1,'Model Inputs &amp; Assumptions'!$U$33*EXP('Model Inputs &amp; Assumptions'!$V$33*Q2608-'Model Inputs &amp; Assumptions'!$V$33^2/2))</f>
        <v>0</v>
      </c>
      <c r="E2608" s="45" t="n">
        <f aca="false">ROUND(C2608*D2608,0)</f>
        <v>0</v>
      </c>
      <c r="F2608" s="47" t="n">
        <f aca="false">MIN(1,'Model Inputs &amp; Assumptions'!$W$33*EXP('Model Inputs &amp; Assumptions'!$X$33*R2608-'Model Inputs &amp; Assumptions'!$X$33^2/2))</f>
        <v>0.00493535679173205</v>
      </c>
      <c r="G2608" s="45" t="n">
        <f aca="false">ROUND(C2608*F2608,0)</f>
        <v>3978</v>
      </c>
      <c r="H2608" s="48" t="n">
        <f aca="false">MAX(0,(C2608*'Model Inputs &amp; Assumptions'!$N$33+E2608*'Model Inputs &amp; Assumptions'!$O$33+G2608*'Model Inputs &amp; Assumptions'!$P$33)*EXP('Model Inputs &amp; Assumptions'!$Q$33*S2608-'Model Inputs &amp; Assumptions'!$Q$33^2/2))</f>
        <v>318.96357957776</v>
      </c>
      <c r="I2608" s="49" t="n">
        <f aca="false">IF('Model Inputs &amp; Assumptions'!$H$33="Fixed",'Model Inputs &amp; Assumptions'!$I$33*'Model Inputs &amp; Assumptions'!$K$33,IF('Model Inputs &amp; Assumptions'!$H$33="CPM",'Model Inputs &amp; Assumptions'!$I$33*'Model Inputs &amp; Assumptions'!$K$33*C2608/1000,IF('Model Inputs &amp; Assumptions'!$H$33="CPC",'Model Inputs &amp; Assumptions'!$I$33*'Model Inputs &amp; Assumptions'!$K$33*G2608,0)))</f>
        <v>25000</v>
      </c>
      <c r="J2608" s="50" t="n">
        <f aca="false">H2608*INDEX('Model Inputs &amp; Assumptions'!$D$40:$D$42,MATCH('Model Inputs &amp; Assumptions'!$L$33,'Model Inputs &amp; Assumptions'!$A$40:$A$42,0))*INDEX('Model Inputs &amp; Assumptions'!$H$40:$H$42,MATCH('Model Inputs &amp; Assumptions'!$L$33,'Model Inputs &amp; Assumptions'!$A$40:$A$42,0))</f>
        <v>1722403.3297199</v>
      </c>
      <c r="K2608" s="49" t="n">
        <f aca="false">H2608*INDEX('Model Inputs &amp; Assumptions'!$G$40:$G$42,MATCH('Model Inputs &amp; Assumptions'!$L$33,'Model Inputs &amp; Assumptions'!$A$40:$A$42,0))*INDEX('Model Inputs &amp; Assumptions'!$H$40:$H$42,MATCH('Model Inputs &amp; Assumptions'!$L$33,'Model Inputs &amp; Assumptions'!$A$40:$A$42,0))</f>
        <v>36170.469924118</v>
      </c>
      <c r="L2608" s="51" t="n">
        <f aca="false">IFERROR(K2608/I2608,0)</f>
        <v>1.44681879696472</v>
      </c>
      <c r="M2608" s="49" t="n">
        <f aca="false">IFERROR(I2608/H2608,0)</f>
        <v>78.3788545171668</v>
      </c>
      <c r="N2608" s="52" t="str">
        <f aca="false">'Model Inputs &amp; Assumptions'!$L$33</f>
        <v>PRD-SP01</v>
      </c>
      <c r="P2608" s="53" t="n">
        <v>-1.176301</v>
      </c>
      <c r="Q2608" s="53" t="n">
        <v>0.166247</v>
      </c>
      <c r="R2608" s="53" t="n">
        <v>1.29554</v>
      </c>
      <c r="S2608" s="53" t="n">
        <v>1.486302</v>
      </c>
    </row>
    <row r="2609" customFormat="false" ht="15" hidden="false" customHeight="false" outlineLevel="0" collapsed="false">
      <c r="A2609" s="43" t="n">
        <v>106</v>
      </c>
      <c r="B2609" s="44" t="str">
        <f aca="false">'Model Inputs &amp; Assumptions'!$B$33</f>
        <v>Trade Republic — Savings Plan Push</v>
      </c>
      <c r="C2609" s="45" t="n">
        <f aca="false">ROUND(MAX(0,'Model Inputs &amp; Assumptions'!$S$33*EXP('Model Inputs &amp; Assumptions'!$T$33*P2609-'Model Inputs &amp; Assumptions'!$T$33^2/2)),0)</f>
        <v>1396366</v>
      </c>
      <c r="D2609" s="46" t="n">
        <f aca="false">MIN(1,'Model Inputs &amp; Assumptions'!$U$33*EXP('Model Inputs &amp; Assumptions'!$V$33*Q2609-'Model Inputs &amp; Assumptions'!$V$33^2/2))</f>
        <v>0</v>
      </c>
      <c r="E2609" s="45" t="n">
        <f aca="false">ROUND(C2609*D2609,0)</f>
        <v>0</v>
      </c>
      <c r="F2609" s="47" t="n">
        <f aca="false">MIN(1,'Model Inputs &amp; Assumptions'!$W$33*EXP('Model Inputs &amp; Assumptions'!$X$33*R2609-'Model Inputs &amp; Assumptions'!$X$33^2/2))</f>
        <v>0.00289033111577927</v>
      </c>
      <c r="G2609" s="45" t="n">
        <f aca="false">ROUND(C2609*F2609,0)</f>
        <v>4036</v>
      </c>
      <c r="H2609" s="48" t="n">
        <f aca="false">MAX(0,(C2609*'Model Inputs &amp; Assumptions'!$N$33+E2609*'Model Inputs &amp; Assumptions'!$O$33+G2609*'Model Inputs &amp; Assumptions'!$P$33)*EXP('Model Inputs &amp; Assumptions'!$Q$33*S2609-'Model Inputs &amp; Assumptions'!$Q$33^2/2))</f>
        <v>264.422321523098</v>
      </c>
      <c r="I2609" s="49" t="n">
        <f aca="false">IF('Model Inputs &amp; Assumptions'!$H$33="Fixed",'Model Inputs &amp; Assumptions'!$I$33*'Model Inputs &amp; Assumptions'!$K$33,IF('Model Inputs &amp; Assumptions'!$H$33="CPM",'Model Inputs &amp; Assumptions'!$I$33*'Model Inputs &amp; Assumptions'!$K$33*C2609/1000,IF('Model Inputs &amp; Assumptions'!$H$33="CPC",'Model Inputs &amp; Assumptions'!$I$33*'Model Inputs &amp; Assumptions'!$K$33*G2609,0)))</f>
        <v>25000</v>
      </c>
      <c r="J2609" s="50" t="n">
        <f aca="false">H2609*INDEX('Model Inputs &amp; Assumptions'!$D$40:$D$42,MATCH('Model Inputs &amp; Assumptions'!$L$33,'Model Inputs &amp; Assumptions'!$A$40:$A$42,0))*INDEX('Model Inputs &amp; Assumptions'!$H$40:$H$42,MATCH('Model Inputs &amp; Assumptions'!$L$33,'Model Inputs &amp; Assumptions'!$A$40:$A$42,0))</f>
        <v>1427880.53622473</v>
      </c>
      <c r="K2609" s="49" t="n">
        <f aca="false">H2609*INDEX('Model Inputs &amp; Assumptions'!$G$40:$G$42,MATCH('Model Inputs &amp; Assumptions'!$L$33,'Model Inputs &amp; Assumptions'!$A$40:$A$42,0))*INDEX('Model Inputs &amp; Assumptions'!$H$40:$H$42,MATCH('Model Inputs &amp; Assumptions'!$L$33,'Model Inputs &amp; Assumptions'!$A$40:$A$42,0))</f>
        <v>29985.4912607193</v>
      </c>
      <c r="L2609" s="51" t="n">
        <f aca="false">IFERROR(K2609/I2609,0)</f>
        <v>1.19941965042877</v>
      </c>
      <c r="M2609" s="49" t="n">
        <f aca="false">IFERROR(I2609/H2609,0)</f>
        <v>94.5457246422981</v>
      </c>
      <c r="N2609" s="52" t="str">
        <f aca="false">'Model Inputs &amp; Assumptions'!$L$33</f>
        <v>PRD-SP01</v>
      </c>
      <c r="P2609" s="53" t="n">
        <v>0.655172</v>
      </c>
      <c r="Q2609" s="53" t="n">
        <v>-1.624844</v>
      </c>
      <c r="R2609" s="53" t="n">
        <v>-0.487973</v>
      </c>
      <c r="S2609" s="53" t="n">
        <v>0.764858</v>
      </c>
    </row>
    <row r="2610" customFormat="false" ht="15" hidden="false" customHeight="false" outlineLevel="0" collapsed="false">
      <c r="A2610" s="43" t="n">
        <v>107</v>
      </c>
      <c r="B2610" s="44" t="str">
        <f aca="false">'Model Inputs &amp; Assumptions'!$B$33</f>
        <v>Trade Republic — Savings Plan Push</v>
      </c>
      <c r="C2610" s="45" t="n">
        <f aca="false">ROUND(MAX(0,'Model Inputs &amp; Assumptions'!$S$33*EXP('Model Inputs &amp; Assumptions'!$T$33*P2610-'Model Inputs &amp; Assumptions'!$T$33^2/2)),0)</f>
        <v>1485263</v>
      </c>
      <c r="D2610" s="46" t="n">
        <f aca="false">MIN(1,'Model Inputs &amp; Assumptions'!$U$33*EXP('Model Inputs &amp; Assumptions'!$V$33*Q2610-'Model Inputs &amp; Assumptions'!$V$33^2/2))</f>
        <v>0</v>
      </c>
      <c r="E2610" s="45" t="n">
        <f aca="false">ROUND(C2610*D2610,0)</f>
        <v>0</v>
      </c>
      <c r="F2610" s="47" t="n">
        <f aca="false">MIN(1,'Model Inputs &amp; Assumptions'!$W$33*EXP('Model Inputs &amp; Assumptions'!$X$33*R2610-'Model Inputs &amp; Assumptions'!$X$33^2/2))</f>
        <v>0.00382657584667883</v>
      </c>
      <c r="G2610" s="45" t="n">
        <f aca="false">ROUND(C2610*F2610,0)</f>
        <v>5683</v>
      </c>
      <c r="H2610" s="48" t="n">
        <f aca="false">MAX(0,(C2610*'Model Inputs &amp; Assumptions'!$N$33+E2610*'Model Inputs &amp; Assumptions'!$O$33+G2610*'Model Inputs &amp; Assumptions'!$P$33)*EXP('Model Inputs &amp; Assumptions'!$Q$33*S2610-'Model Inputs &amp; Assumptions'!$Q$33^2/2))</f>
        <v>258.260903428363</v>
      </c>
      <c r="I2610" s="49" t="n">
        <f aca="false">IF('Model Inputs &amp; Assumptions'!$H$33="Fixed",'Model Inputs &amp; Assumptions'!$I$33*'Model Inputs &amp; Assumptions'!$K$33,IF('Model Inputs &amp; Assumptions'!$H$33="CPM",'Model Inputs &amp; Assumptions'!$I$33*'Model Inputs &amp; Assumptions'!$K$33*C2610/1000,IF('Model Inputs &amp; Assumptions'!$H$33="CPC",'Model Inputs &amp; Assumptions'!$I$33*'Model Inputs &amp; Assumptions'!$K$33*G2610,0)))</f>
        <v>25000</v>
      </c>
      <c r="J2610" s="50" t="n">
        <f aca="false">H2610*INDEX('Model Inputs &amp; Assumptions'!$D$40:$D$42,MATCH('Model Inputs &amp; Assumptions'!$L$33,'Model Inputs &amp; Assumptions'!$A$40:$A$42,0))*INDEX('Model Inputs &amp; Assumptions'!$H$40:$H$42,MATCH('Model Inputs &amp; Assumptions'!$L$33,'Model Inputs &amp; Assumptions'!$A$40:$A$42,0))</f>
        <v>1394608.87851316</v>
      </c>
      <c r="K2610" s="49" t="n">
        <f aca="false">H2610*INDEX('Model Inputs &amp; Assumptions'!$G$40:$G$42,MATCH('Model Inputs &amp; Assumptions'!$L$33,'Model Inputs &amp; Assumptions'!$A$40:$A$42,0))*INDEX('Model Inputs &amp; Assumptions'!$H$40:$H$42,MATCH('Model Inputs &amp; Assumptions'!$L$33,'Model Inputs &amp; Assumptions'!$A$40:$A$42,0))</f>
        <v>29286.7864487763</v>
      </c>
      <c r="L2610" s="51" t="n">
        <f aca="false">IFERROR(K2610/I2610,0)</f>
        <v>1.17147145795105</v>
      </c>
      <c r="M2610" s="49" t="n">
        <f aca="false">IFERROR(I2610/H2610,0)</f>
        <v>96.8013341087633</v>
      </c>
      <c r="N2610" s="52" t="str">
        <f aca="false">'Model Inputs &amp; Assumptions'!$L$33</f>
        <v>PRD-SP01</v>
      </c>
      <c r="P2610" s="53" t="n">
        <v>0.8609</v>
      </c>
      <c r="Q2610" s="53" t="n">
        <v>-0.432878</v>
      </c>
      <c r="R2610" s="53" t="n">
        <v>0.447358</v>
      </c>
      <c r="S2610" s="53" t="n">
        <v>-0.541579</v>
      </c>
    </row>
    <row r="2611" customFormat="false" ht="15" hidden="false" customHeight="false" outlineLevel="0" collapsed="false">
      <c r="A2611" s="43" t="n">
        <v>108</v>
      </c>
      <c r="B2611" s="44" t="str">
        <f aca="false">'Model Inputs &amp; Assumptions'!$B$33</f>
        <v>Trade Republic — Savings Plan Push</v>
      </c>
      <c r="C2611" s="45" t="n">
        <f aca="false">ROUND(MAX(0,'Model Inputs &amp; Assumptions'!$S$33*EXP('Model Inputs &amp; Assumptions'!$T$33*P2611-'Model Inputs &amp; Assumptions'!$T$33^2/2)),0)</f>
        <v>1719497</v>
      </c>
      <c r="D2611" s="46" t="n">
        <f aca="false">MIN(1,'Model Inputs &amp; Assumptions'!$U$33*EXP('Model Inputs &amp; Assumptions'!$V$33*Q2611-'Model Inputs &amp; Assumptions'!$V$33^2/2))</f>
        <v>0</v>
      </c>
      <c r="E2611" s="45" t="n">
        <f aca="false">ROUND(C2611*D2611,0)</f>
        <v>0</v>
      </c>
      <c r="F2611" s="47" t="n">
        <f aca="false">MIN(1,'Model Inputs &amp; Assumptions'!$W$33*EXP('Model Inputs &amp; Assumptions'!$X$33*R2611-'Model Inputs &amp; Assumptions'!$X$33^2/2))</f>
        <v>0.00264049095717572</v>
      </c>
      <c r="G2611" s="45" t="n">
        <f aca="false">ROUND(C2611*F2611,0)</f>
        <v>4540</v>
      </c>
      <c r="H2611" s="48" t="n">
        <f aca="false">MAX(0,(C2611*'Model Inputs &amp; Assumptions'!$N$33+E2611*'Model Inputs &amp; Assumptions'!$O$33+G2611*'Model Inputs &amp; Assumptions'!$P$33)*EXP('Model Inputs &amp; Assumptions'!$Q$33*S2611-'Model Inputs &amp; Assumptions'!$Q$33^2/2))</f>
        <v>154.44064955897</v>
      </c>
      <c r="I2611" s="49" t="n">
        <f aca="false">IF('Model Inputs &amp; Assumptions'!$H$33="Fixed",'Model Inputs &amp; Assumptions'!$I$33*'Model Inputs &amp; Assumptions'!$K$33,IF('Model Inputs &amp; Assumptions'!$H$33="CPM",'Model Inputs &amp; Assumptions'!$I$33*'Model Inputs &amp; Assumptions'!$K$33*C2611/1000,IF('Model Inputs &amp; Assumptions'!$H$33="CPC",'Model Inputs &amp; Assumptions'!$I$33*'Model Inputs &amp; Assumptions'!$K$33*G2611,0)))</f>
        <v>25000</v>
      </c>
      <c r="J2611" s="50" t="n">
        <f aca="false">H2611*INDEX('Model Inputs &amp; Assumptions'!$D$40:$D$42,MATCH('Model Inputs &amp; Assumptions'!$L$33,'Model Inputs &amp; Assumptions'!$A$40:$A$42,0))*INDEX('Model Inputs &amp; Assumptions'!$H$40:$H$42,MATCH('Model Inputs &amp; Assumptions'!$L$33,'Model Inputs &amp; Assumptions'!$A$40:$A$42,0))</f>
        <v>833979.507618438</v>
      </c>
      <c r="K2611" s="49" t="n">
        <f aca="false">H2611*INDEX('Model Inputs &amp; Assumptions'!$G$40:$G$42,MATCH('Model Inputs &amp; Assumptions'!$L$33,'Model Inputs &amp; Assumptions'!$A$40:$A$42,0))*INDEX('Model Inputs &amp; Assumptions'!$H$40:$H$42,MATCH('Model Inputs &amp; Assumptions'!$L$33,'Model Inputs &amp; Assumptions'!$A$40:$A$42,0))</f>
        <v>17513.5696599872</v>
      </c>
      <c r="L2611" s="51" t="n">
        <f aca="false">IFERROR(K2611/I2611,0)</f>
        <v>0.700542786399488</v>
      </c>
      <c r="M2611" s="49" t="n">
        <f aca="false">IFERROR(I2611/H2611,0)</f>
        <v>161.874481047519</v>
      </c>
      <c r="N2611" s="52" t="str">
        <f aca="false">'Model Inputs &amp; Assumptions'!$L$33</f>
        <v>PRD-SP01</v>
      </c>
      <c r="P2611" s="53" t="n">
        <v>1.349034</v>
      </c>
      <c r="Q2611" s="53" t="n">
        <v>0.681829</v>
      </c>
      <c r="R2611" s="53" t="n">
        <v>-0.789327</v>
      </c>
      <c r="S2611" s="53" t="n">
        <v>-1.575894</v>
      </c>
    </row>
    <row r="2612" customFormat="false" ht="15" hidden="false" customHeight="false" outlineLevel="0" collapsed="false">
      <c r="A2612" s="43" t="n">
        <v>109</v>
      </c>
      <c r="B2612" s="44" t="str">
        <f aca="false">'Model Inputs &amp; Assumptions'!$B$33</f>
        <v>Trade Republic — Savings Plan Push</v>
      </c>
      <c r="C2612" s="45" t="n">
        <f aca="false">ROUND(MAX(0,'Model Inputs &amp; Assumptions'!$S$33*EXP('Model Inputs &amp; Assumptions'!$T$33*P2612-'Model Inputs &amp; Assumptions'!$T$33^2/2)),0)</f>
        <v>787867</v>
      </c>
      <c r="D2612" s="46" t="n">
        <f aca="false">MIN(1,'Model Inputs &amp; Assumptions'!$U$33*EXP('Model Inputs &amp; Assumptions'!$V$33*Q2612-'Model Inputs &amp; Assumptions'!$V$33^2/2))</f>
        <v>0</v>
      </c>
      <c r="E2612" s="45" t="n">
        <f aca="false">ROUND(C2612*D2612,0)</f>
        <v>0</v>
      </c>
      <c r="F2612" s="47" t="n">
        <f aca="false">MIN(1,'Model Inputs &amp; Assumptions'!$W$33*EXP('Model Inputs &amp; Assumptions'!$X$33*R2612-'Model Inputs &amp; Assumptions'!$X$33^2/2))</f>
        <v>0.0025105312107369</v>
      </c>
      <c r="G2612" s="45" t="n">
        <f aca="false">ROUND(C2612*F2612,0)</f>
        <v>1978</v>
      </c>
      <c r="H2612" s="48" t="n">
        <f aca="false">MAX(0,(C2612*'Model Inputs &amp; Assumptions'!$N$33+E2612*'Model Inputs &amp; Assumptions'!$O$33+G2612*'Model Inputs &amp; Assumptions'!$P$33)*EXP('Model Inputs &amp; Assumptions'!$Q$33*S2612-'Model Inputs &amp; Assumptions'!$Q$33^2/2))</f>
        <v>74.0695990163107</v>
      </c>
      <c r="I2612" s="49" t="n">
        <f aca="false">IF('Model Inputs &amp; Assumptions'!$H$33="Fixed",'Model Inputs &amp; Assumptions'!$I$33*'Model Inputs &amp; Assumptions'!$K$33,IF('Model Inputs &amp; Assumptions'!$H$33="CPM",'Model Inputs &amp; Assumptions'!$I$33*'Model Inputs &amp; Assumptions'!$K$33*C2612/1000,IF('Model Inputs &amp; Assumptions'!$H$33="CPC",'Model Inputs &amp; Assumptions'!$I$33*'Model Inputs &amp; Assumptions'!$K$33*G2612,0)))</f>
        <v>25000</v>
      </c>
      <c r="J2612" s="50" t="n">
        <f aca="false">H2612*INDEX('Model Inputs &amp; Assumptions'!$D$40:$D$42,MATCH('Model Inputs &amp; Assumptions'!$L$33,'Model Inputs &amp; Assumptions'!$A$40:$A$42,0))*INDEX('Model Inputs &amp; Assumptions'!$H$40:$H$42,MATCH('Model Inputs &amp; Assumptions'!$L$33,'Model Inputs &amp; Assumptions'!$A$40:$A$42,0))</f>
        <v>399975.834688078</v>
      </c>
      <c r="K2612" s="49" t="n">
        <f aca="false">H2612*INDEX('Model Inputs &amp; Assumptions'!$G$40:$G$42,MATCH('Model Inputs &amp; Assumptions'!$L$33,'Model Inputs &amp; Assumptions'!$A$40:$A$42,0))*INDEX('Model Inputs &amp; Assumptions'!$H$40:$H$42,MATCH('Model Inputs &amp; Assumptions'!$L$33,'Model Inputs &amp; Assumptions'!$A$40:$A$42,0))</f>
        <v>8399.49252844963</v>
      </c>
      <c r="L2612" s="51" t="n">
        <f aca="false">IFERROR(K2612/I2612,0)</f>
        <v>0.335979701137985</v>
      </c>
      <c r="M2612" s="49" t="n">
        <f aca="false">IFERROR(I2612/H2612,0)</f>
        <v>337.520390713805</v>
      </c>
      <c r="N2612" s="52" t="str">
        <f aca="false">'Model Inputs &amp; Assumptions'!$L$33</f>
        <v>PRD-SP01</v>
      </c>
      <c r="P2612" s="53" t="n">
        <v>-1.252491</v>
      </c>
      <c r="Q2612" s="53" t="n">
        <v>0.085125</v>
      </c>
      <c r="R2612" s="53" t="n">
        <v>-0.957562</v>
      </c>
      <c r="S2612" s="53" t="n">
        <v>-1.232908</v>
      </c>
    </row>
    <row r="2613" customFormat="false" ht="15" hidden="false" customHeight="false" outlineLevel="0" collapsed="false">
      <c r="A2613" s="43" t="n">
        <v>110</v>
      </c>
      <c r="B2613" s="44" t="str">
        <f aca="false">'Model Inputs &amp; Assumptions'!$B$33</f>
        <v>Trade Republic — Savings Plan Push</v>
      </c>
      <c r="C2613" s="45" t="n">
        <f aca="false">ROUND(MAX(0,'Model Inputs &amp; Assumptions'!$S$33*EXP('Model Inputs &amp; Assumptions'!$T$33*P2613-'Model Inputs &amp; Assumptions'!$T$33^2/2)),0)</f>
        <v>1153803</v>
      </c>
      <c r="D2613" s="46" t="n">
        <f aca="false">MIN(1,'Model Inputs &amp; Assumptions'!$U$33*EXP('Model Inputs &amp; Assumptions'!$V$33*Q2613-'Model Inputs &amp; Assumptions'!$V$33^2/2))</f>
        <v>0</v>
      </c>
      <c r="E2613" s="45" t="n">
        <f aca="false">ROUND(C2613*D2613,0)</f>
        <v>0</v>
      </c>
      <c r="F2613" s="47" t="n">
        <f aca="false">MIN(1,'Model Inputs &amp; Assumptions'!$W$33*EXP('Model Inputs &amp; Assumptions'!$X$33*R2613-'Model Inputs &amp; Assumptions'!$X$33^2/2))</f>
        <v>0.00413592816363615</v>
      </c>
      <c r="G2613" s="45" t="n">
        <f aca="false">ROUND(C2613*F2613,0)</f>
        <v>4772</v>
      </c>
      <c r="H2613" s="48" t="n">
        <f aca="false">MAX(0,(C2613*'Model Inputs &amp; Assumptions'!$N$33+E2613*'Model Inputs &amp; Assumptions'!$O$33+G2613*'Model Inputs &amp; Assumptions'!$P$33)*EXP('Model Inputs &amp; Assumptions'!$Q$33*S2613-'Model Inputs &amp; Assumptions'!$Q$33^2/2))</f>
        <v>255.376531317455</v>
      </c>
      <c r="I2613" s="49" t="n">
        <f aca="false">IF('Model Inputs &amp; Assumptions'!$H$33="Fixed",'Model Inputs &amp; Assumptions'!$I$33*'Model Inputs &amp; Assumptions'!$K$33,IF('Model Inputs &amp; Assumptions'!$H$33="CPM",'Model Inputs &amp; Assumptions'!$I$33*'Model Inputs &amp; Assumptions'!$K$33*C2613/1000,IF('Model Inputs &amp; Assumptions'!$H$33="CPC",'Model Inputs &amp; Assumptions'!$I$33*'Model Inputs &amp; Assumptions'!$K$33*G2613,0)))</f>
        <v>25000</v>
      </c>
      <c r="J2613" s="50" t="n">
        <f aca="false">H2613*INDEX('Model Inputs &amp; Assumptions'!$D$40:$D$42,MATCH('Model Inputs &amp; Assumptions'!$L$33,'Model Inputs &amp; Assumptions'!$A$40:$A$42,0))*INDEX('Model Inputs &amp; Assumptions'!$H$40:$H$42,MATCH('Model Inputs &amp; Assumptions'!$L$33,'Model Inputs &amp; Assumptions'!$A$40:$A$42,0))</f>
        <v>1379033.26911426</v>
      </c>
      <c r="K2613" s="49" t="n">
        <f aca="false">H2613*INDEX('Model Inputs &amp; Assumptions'!$G$40:$G$42,MATCH('Model Inputs &amp; Assumptions'!$L$33,'Model Inputs &amp; Assumptions'!$A$40:$A$42,0))*INDEX('Model Inputs &amp; Assumptions'!$H$40:$H$42,MATCH('Model Inputs &amp; Assumptions'!$L$33,'Model Inputs &amp; Assumptions'!$A$40:$A$42,0))</f>
        <v>28959.6986513994</v>
      </c>
      <c r="L2613" s="51" t="n">
        <f aca="false">IFERROR(K2613/I2613,0)</f>
        <v>1.15838794605598</v>
      </c>
      <c r="M2613" s="49" t="n">
        <f aca="false">IFERROR(I2613/H2613,0)</f>
        <v>97.8946650697625</v>
      </c>
      <c r="N2613" s="52" t="str">
        <f aca="false">'Model Inputs &amp; Assumptions'!$L$33</f>
        <v>PRD-SP01</v>
      </c>
      <c r="P2613" s="53" t="n">
        <v>0.019141</v>
      </c>
      <c r="Q2613" s="53" t="n">
        <v>-0.599301</v>
      </c>
      <c r="R2613" s="53" t="n">
        <v>0.706496</v>
      </c>
      <c r="S2613" s="53" t="n">
        <v>0.042287</v>
      </c>
    </row>
    <row r="2614" customFormat="false" ht="15" hidden="false" customHeight="false" outlineLevel="0" collapsed="false">
      <c r="A2614" s="43" t="n">
        <v>111</v>
      </c>
      <c r="B2614" s="44" t="str">
        <f aca="false">'Model Inputs &amp; Assumptions'!$B$33</f>
        <v>Trade Republic — Savings Plan Push</v>
      </c>
      <c r="C2614" s="45" t="n">
        <f aca="false">ROUND(MAX(0,'Model Inputs &amp; Assumptions'!$S$33*EXP('Model Inputs &amp; Assumptions'!$T$33*P2614-'Model Inputs &amp; Assumptions'!$T$33^2/2)),0)</f>
        <v>831957</v>
      </c>
      <c r="D2614" s="46" t="n">
        <f aca="false">MIN(1,'Model Inputs &amp; Assumptions'!$U$33*EXP('Model Inputs &amp; Assumptions'!$V$33*Q2614-'Model Inputs &amp; Assumptions'!$V$33^2/2))</f>
        <v>0</v>
      </c>
      <c r="E2614" s="45" t="n">
        <f aca="false">ROUND(C2614*D2614,0)</f>
        <v>0</v>
      </c>
      <c r="F2614" s="47" t="n">
        <f aca="false">MIN(1,'Model Inputs &amp; Assumptions'!$W$33*EXP('Model Inputs &amp; Assumptions'!$X$33*R2614-'Model Inputs &amp; Assumptions'!$X$33^2/2))</f>
        <v>0.00430504102949599</v>
      </c>
      <c r="G2614" s="45" t="n">
        <f aca="false">ROUND(C2614*F2614,0)</f>
        <v>3582</v>
      </c>
      <c r="H2614" s="48" t="n">
        <f aca="false">MAX(0,(C2614*'Model Inputs &amp; Assumptions'!$N$33+E2614*'Model Inputs &amp; Assumptions'!$O$33+G2614*'Model Inputs &amp; Assumptions'!$P$33)*EXP('Model Inputs &amp; Assumptions'!$Q$33*S2614-'Model Inputs &amp; Assumptions'!$Q$33^2/2))</f>
        <v>153.900450623885</v>
      </c>
      <c r="I2614" s="49" t="n">
        <f aca="false">IF('Model Inputs &amp; Assumptions'!$H$33="Fixed",'Model Inputs &amp; Assumptions'!$I$33*'Model Inputs &amp; Assumptions'!$K$33,IF('Model Inputs &amp; Assumptions'!$H$33="CPM",'Model Inputs &amp; Assumptions'!$I$33*'Model Inputs &amp; Assumptions'!$K$33*C2614/1000,IF('Model Inputs &amp; Assumptions'!$H$33="CPC",'Model Inputs &amp; Assumptions'!$I$33*'Model Inputs &amp; Assumptions'!$K$33*G2614,0)))</f>
        <v>25000</v>
      </c>
      <c r="J2614" s="50" t="n">
        <f aca="false">H2614*INDEX('Model Inputs &amp; Assumptions'!$D$40:$D$42,MATCH('Model Inputs &amp; Assumptions'!$L$33,'Model Inputs &amp; Assumptions'!$A$40:$A$42,0))*INDEX('Model Inputs &amp; Assumptions'!$H$40:$H$42,MATCH('Model Inputs &amp; Assumptions'!$L$33,'Model Inputs &amp; Assumptions'!$A$40:$A$42,0))</f>
        <v>831062.433368981</v>
      </c>
      <c r="K2614" s="49" t="n">
        <f aca="false">H2614*INDEX('Model Inputs &amp; Assumptions'!$G$40:$G$42,MATCH('Model Inputs &amp; Assumptions'!$L$33,'Model Inputs &amp; Assumptions'!$A$40:$A$42,0))*INDEX('Model Inputs &amp; Assumptions'!$H$40:$H$42,MATCH('Model Inputs &amp; Assumptions'!$L$33,'Model Inputs &amp; Assumptions'!$A$40:$A$42,0))</f>
        <v>17452.3111007486</v>
      </c>
      <c r="L2614" s="51" t="n">
        <f aca="false">IFERROR(K2614/I2614,0)</f>
        <v>0.698092444029944</v>
      </c>
      <c r="M2614" s="49" t="n">
        <f aca="false">IFERROR(I2614/H2614,0)</f>
        <v>162.442669262204</v>
      </c>
      <c r="N2614" s="52" t="str">
        <f aca="false">'Model Inputs &amp; Assumptions'!$L$33</f>
        <v>PRD-SP01</v>
      </c>
      <c r="P2614" s="53" t="n">
        <v>-1.070986</v>
      </c>
      <c r="Q2614" s="53" t="n">
        <v>-0.473217</v>
      </c>
      <c r="R2614" s="53" t="n">
        <v>0.840079</v>
      </c>
      <c r="S2614" s="53" t="n">
        <v>-0.741959</v>
      </c>
    </row>
    <row r="2615" customFormat="false" ht="15" hidden="false" customHeight="false" outlineLevel="0" collapsed="false">
      <c r="A2615" s="43" t="n">
        <v>112</v>
      </c>
      <c r="B2615" s="44" t="str">
        <f aca="false">'Model Inputs &amp; Assumptions'!$B$33</f>
        <v>Trade Republic — Savings Plan Push</v>
      </c>
      <c r="C2615" s="45" t="n">
        <f aca="false">ROUND(MAX(0,'Model Inputs &amp; Assumptions'!$S$33*EXP('Model Inputs &amp; Assumptions'!$T$33*P2615-'Model Inputs &amp; Assumptions'!$T$33^2/2)),0)</f>
        <v>1496897</v>
      </c>
      <c r="D2615" s="46" t="n">
        <f aca="false">MIN(1,'Model Inputs &amp; Assumptions'!$U$33*EXP('Model Inputs &amp; Assumptions'!$V$33*Q2615-'Model Inputs &amp; Assumptions'!$V$33^2/2))</f>
        <v>0</v>
      </c>
      <c r="E2615" s="45" t="n">
        <f aca="false">ROUND(C2615*D2615,0)</f>
        <v>0</v>
      </c>
      <c r="F2615" s="47" t="n">
        <f aca="false">MIN(1,'Model Inputs &amp; Assumptions'!$W$33*EXP('Model Inputs &amp; Assumptions'!$X$33*R2615-'Model Inputs &amp; Assumptions'!$X$33^2/2))</f>
        <v>0.00279651267716689</v>
      </c>
      <c r="G2615" s="45" t="n">
        <f aca="false">ROUND(C2615*F2615,0)</f>
        <v>4186</v>
      </c>
      <c r="H2615" s="48" t="n">
        <f aca="false">MAX(0,(C2615*'Model Inputs &amp; Assumptions'!$N$33+E2615*'Model Inputs &amp; Assumptions'!$O$33+G2615*'Model Inputs &amp; Assumptions'!$P$33)*EXP('Model Inputs &amp; Assumptions'!$Q$33*S2615-'Model Inputs &amp; Assumptions'!$Q$33^2/2))</f>
        <v>204.097913994462</v>
      </c>
      <c r="I2615" s="49" t="n">
        <f aca="false">IF('Model Inputs &amp; Assumptions'!$H$33="Fixed",'Model Inputs &amp; Assumptions'!$I$33*'Model Inputs &amp; Assumptions'!$K$33,IF('Model Inputs &amp; Assumptions'!$H$33="CPM",'Model Inputs &amp; Assumptions'!$I$33*'Model Inputs &amp; Assumptions'!$K$33*C2615/1000,IF('Model Inputs &amp; Assumptions'!$H$33="CPC",'Model Inputs &amp; Assumptions'!$I$33*'Model Inputs &amp; Assumptions'!$K$33*G2615,0)))</f>
        <v>25000</v>
      </c>
      <c r="J2615" s="50" t="n">
        <f aca="false">H2615*INDEX('Model Inputs &amp; Assumptions'!$D$40:$D$42,MATCH('Model Inputs &amp; Assumptions'!$L$33,'Model Inputs &amp; Assumptions'!$A$40:$A$42,0))*INDEX('Model Inputs &amp; Assumptions'!$H$40:$H$42,MATCH('Model Inputs &amp; Assumptions'!$L$33,'Model Inputs &amp; Assumptions'!$A$40:$A$42,0))</f>
        <v>1102128.73557009</v>
      </c>
      <c r="K2615" s="49" t="n">
        <f aca="false">H2615*INDEX('Model Inputs &amp; Assumptions'!$G$40:$G$42,MATCH('Model Inputs &amp; Assumptions'!$L$33,'Model Inputs &amp; Assumptions'!$A$40:$A$42,0))*INDEX('Model Inputs &amp; Assumptions'!$H$40:$H$42,MATCH('Model Inputs &amp; Assumptions'!$L$33,'Model Inputs &amp; Assumptions'!$A$40:$A$42,0))</f>
        <v>23144.703446972</v>
      </c>
      <c r="L2615" s="51" t="n">
        <f aca="false">IFERROR(K2615/I2615,0)</f>
        <v>0.92578813787888</v>
      </c>
      <c r="M2615" s="49" t="n">
        <f aca="false">IFERROR(I2615/H2615,0)</f>
        <v>122.490227904428</v>
      </c>
      <c r="N2615" s="52" t="str">
        <f aca="false">'Model Inputs &amp; Assumptions'!$L$33</f>
        <v>PRD-SP01</v>
      </c>
      <c r="P2615" s="53" t="n">
        <v>0.886909</v>
      </c>
      <c r="Q2615" s="53" t="n">
        <v>1.044582</v>
      </c>
      <c r="R2615" s="53" t="n">
        <v>-0.597966</v>
      </c>
      <c r="S2615" s="53" t="n">
        <v>-0.290282</v>
      </c>
    </row>
    <row r="2616" customFormat="false" ht="15" hidden="false" customHeight="false" outlineLevel="0" collapsed="false">
      <c r="A2616" s="43" t="n">
        <v>113</v>
      </c>
      <c r="B2616" s="44" t="str">
        <f aca="false">'Model Inputs &amp; Assumptions'!$B$33</f>
        <v>Trade Republic — Savings Plan Push</v>
      </c>
      <c r="C2616" s="45" t="n">
        <f aca="false">ROUND(MAX(0,'Model Inputs &amp; Assumptions'!$S$33*EXP('Model Inputs &amp; Assumptions'!$T$33*P2616-'Model Inputs &amp; Assumptions'!$T$33^2/2)),0)</f>
        <v>1313603</v>
      </c>
      <c r="D2616" s="46" t="n">
        <f aca="false">MIN(1,'Model Inputs &amp; Assumptions'!$U$33*EXP('Model Inputs &amp; Assumptions'!$V$33*Q2616-'Model Inputs &amp; Assumptions'!$V$33^2/2))</f>
        <v>0</v>
      </c>
      <c r="E2616" s="45" t="n">
        <f aca="false">ROUND(C2616*D2616,0)</f>
        <v>0</v>
      </c>
      <c r="F2616" s="47" t="n">
        <f aca="false">MIN(1,'Model Inputs &amp; Assumptions'!$W$33*EXP('Model Inputs &amp; Assumptions'!$X$33*R2616-'Model Inputs &amp; Assumptions'!$X$33^2/2))</f>
        <v>0.0036650470338213</v>
      </c>
      <c r="G2616" s="45" t="n">
        <f aca="false">ROUND(C2616*F2616,0)</f>
        <v>4814</v>
      </c>
      <c r="H2616" s="48" t="n">
        <f aca="false">MAX(0,(C2616*'Model Inputs &amp; Assumptions'!$N$33+E2616*'Model Inputs &amp; Assumptions'!$O$33+G2616*'Model Inputs &amp; Assumptions'!$P$33)*EXP('Model Inputs &amp; Assumptions'!$Q$33*S2616-'Model Inputs &amp; Assumptions'!$Q$33^2/2))</f>
        <v>465.53772000455</v>
      </c>
      <c r="I2616" s="49" t="n">
        <f aca="false">IF('Model Inputs &amp; Assumptions'!$H$33="Fixed",'Model Inputs &amp; Assumptions'!$I$33*'Model Inputs &amp; Assumptions'!$K$33,IF('Model Inputs &amp; Assumptions'!$H$33="CPM",'Model Inputs &amp; Assumptions'!$I$33*'Model Inputs &amp; Assumptions'!$K$33*C2616/1000,IF('Model Inputs &amp; Assumptions'!$H$33="CPC",'Model Inputs &amp; Assumptions'!$I$33*'Model Inputs &amp; Assumptions'!$K$33*G2616,0)))</f>
        <v>25000</v>
      </c>
      <c r="J2616" s="50" t="n">
        <f aca="false">H2616*INDEX('Model Inputs &amp; Assumptions'!$D$40:$D$42,MATCH('Model Inputs &amp; Assumptions'!$L$33,'Model Inputs &amp; Assumptions'!$A$40:$A$42,0))*INDEX('Model Inputs &amp; Assumptions'!$H$40:$H$42,MATCH('Model Inputs &amp; Assumptions'!$L$33,'Model Inputs &amp; Assumptions'!$A$40:$A$42,0))</f>
        <v>2513903.68802457</v>
      </c>
      <c r="K2616" s="49" t="n">
        <f aca="false">H2616*INDEX('Model Inputs &amp; Assumptions'!$G$40:$G$42,MATCH('Model Inputs &amp; Assumptions'!$L$33,'Model Inputs &amp; Assumptions'!$A$40:$A$42,0))*INDEX('Model Inputs &amp; Assumptions'!$H$40:$H$42,MATCH('Model Inputs &amp; Assumptions'!$L$33,'Model Inputs &amp; Assumptions'!$A$40:$A$42,0))</f>
        <v>52791.977448516</v>
      </c>
      <c r="L2616" s="51" t="n">
        <f aca="false">IFERROR(K2616/I2616,0)</f>
        <v>2.11167909794064</v>
      </c>
      <c r="M2616" s="49" t="n">
        <f aca="false">IFERROR(I2616/H2616,0)</f>
        <v>53.7013413215059</v>
      </c>
      <c r="N2616" s="52" t="str">
        <f aca="false">'Model Inputs &amp; Assumptions'!$L$33</f>
        <v>PRD-SP01</v>
      </c>
      <c r="P2616" s="53" t="n">
        <v>0.451508</v>
      </c>
      <c r="Q2616" s="53" t="n">
        <v>0.842993</v>
      </c>
      <c r="R2616" s="53" t="n">
        <v>0.303594</v>
      </c>
      <c r="S2616" s="53" t="n">
        <v>2.15547</v>
      </c>
    </row>
    <row r="2617" customFormat="false" ht="15" hidden="false" customHeight="false" outlineLevel="0" collapsed="false">
      <c r="A2617" s="43" t="n">
        <v>114</v>
      </c>
      <c r="B2617" s="44" t="str">
        <f aca="false">'Model Inputs &amp; Assumptions'!$B$33</f>
        <v>Trade Republic — Savings Plan Push</v>
      </c>
      <c r="C2617" s="45" t="n">
        <f aca="false">ROUND(MAX(0,'Model Inputs &amp; Assumptions'!$S$33*EXP('Model Inputs &amp; Assumptions'!$T$33*P2617-'Model Inputs &amp; Assumptions'!$T$33^2/2)),0)</f>
        <v>1771813</v>
      </c>
      <c r="D2617" s="46" t="n">
        <f aca="false">MIN(1,'Model Inputs &amp; Assumptions'!$U$33*EXP('Model Inputs &amp; Assumptions'!$V$33*Q2617-'Model Inputs &amp; Assumptions'!$V$33^2/2))</f>
        <v>0</v>
      </c>
      <c r="E2617" s="45" t="n">
        <f aca="false">ROUND(C2617*D2617,0)</f>
        <v>0</v>
      </c>
      <c r="F2617" s="47" t="n">
        <f aca="false">MIN(1,'Model Inputs &amp; Assumptions'!$W$33*EXP('Model Inputs &amp; Assumptions'!$X$33*R2617-'Model Inputs &amp; Assumptions'!$X$33^2/2))</f>
        <v>0.00358915273791796</v>
      </c>
      <c r="G2617" s="45" t="n">
        <f aca="false">ROUND(C2617*F2617,0)</f>
        <v>6359</v>
      </c>
      <c r="H2617" s="48" t="n">
        <f aca="false">MAX(0,(C2617*'Model Inputs &amp; Assumptions'!$N$33+E2617*'Model Inputs &amp; Assumptions'!$O$33+G2617*'Model Inputs &amp; Assumptions'!$P$33)*EXP('Model Inputs &amp; Assumptions'!$Q$33*S2617-'Model Inputs &amp; Assumptions'!$Q$33^2/2))</f>
        <v>233.544500095296</v>
      </c>
      <c r="I2617" s="49" t="n">
        <f aca="false">IF('Model Inputs &amp; Assumptions'!$H$33="Fixed",'Model Inputs &amp; Assumptions'!$I$33*'Model Inputs &amp; Assumptions'!$K$33,IF('Model Inputs &amp; Assumptions'!$H$33="CPM",'Model Inputs &amp; Assumptions'!$I$33*'Model Inputs &amp; Assumptions'!$K$33*C2617/1000,IF('Model Inputs &amp; Assumptions'!$H$33="CPC",'Model Inputs &amp; Assumptions'!$I$33*'Model Inputs &amp; Assumptions'!$K$33*G2617,0)))</f>
        <v>25000</v>
      </c>
      <c r="J2617" s="50" t="n">
        <f aca="false">H2617*INDEX('Model Inputs &amp; Assumptions'!$D$40:$D$42,MATCH('Model Inputs &amp; Assumptions'!$L$33,'Model Inputs &amp; Assumptions'!$A$40:$A$42,0))*INDEX('Model Inputs &amp; Assumptions'!$H$40:$H$42,MATCH('Model Inputs &amp; Assumptions'!$L$33,'Model Inputs &amp; Assumptions'!$A$40:$A$42,0))</f>
        <v>1261140.3005146</v>
      </c>
      <c r="K2617" s="49" t="n">
        <f aca="false">H2617*INDEX('Model Inputs &amp; Assumptions'!$G$40:$G$42,MATCH('Model Inputs &amp; Assumptions'!$L$33,'Model Inputs &amp; Assumptions'!$A$40:$A$42,0))*INDEX('Model Inputs &amp; Assumptions'!$H$40:$H$42,MATCH('Model Inputs &amp; Assumptions'!$L$33,'Model Inputs &amp; Assumptions'!$A$40:$A$42,0))</f>
        <v>26483.9463108066</v>
      </c>
      <c r="L2617" s="51" t="n">
        <f aca="false">IFERROR(K2617/I2617,0)</f>
        <v>1.05935785243226</v>
      </c>
      <c r="M2617" s="49" t="n">
        <f aca="false">IFERROR(I2617/H2617,0)</f>
        <v>107.045980486798</v>
      </c>
      <c r="N2617" s="52" t="str">
        <f aca="false">'Model Inputs &amp; Assumptions'!$L$33</f>
        <v>PRD-SP01</v>
      </c>
      <c r="P2617" s="53" t="n">
        <v>1.448939</v>
      </c>
      <c r="Q2617" s="53" t="n">
        <v>0.431566</v>
      </c>
      <c r="R2617" s="53" t="n">
        <v>0.233844</v>
      </c>
      <c r="S2617" s="53" t="n">
        <v>-1.302256</v>
      </c>
    </row>
    <row r="2618" customFormat="false" ht="15" hidden="false" customHeight="false" outlineLevel="0" collapsed="false">
      <c r="A2618" s="43" t="n">
        <v>115</v>
      </c>
      <c r="B2618" s="44" t="str">
        <f aca="false">'Model Inputs &amp; Assumptions'!$B$33</f>
        <v>Trade Republic — Savings Plan Push</v>
      </c>
      <c r="C2618" s="45" t="n">
        <f aca="false">ROUND(MAX(0,'Model Inputs &amp; Assumptions'!$S$33*EXP('Model Inputs &amp; Assumptions'!$T$33*P2618-'Model Inputs &amp; Assumptions'!$T$33^2/2)),0)</f>
        <v>983680</v>
      </c>
      <c r="D2618" s="46" t="n">
        <f aca="false">MIN(1,'Model Inputs &amp; Assumptions'!$U$33*EXP('Model Inputs &amp; Assumptions'!$V$33*Q2618-'Model Inputs &amp; Assumptions'!$V$33^2/2))</f>
        <v>0</v>
      </c>
      <c r="E2618" s="45" t="n">
        <f aca="false">ROUND(C2618*D2618,0)</f>
        <v>0</v>
      </c>
      <c r="F2618" s="47" t="n">
        <f aca="false">MIN(1,'Model Inputs &amp; Assumptions'!$W$33*EXP('Model Inputs &amp; Assumptions'!$X$33*R2618-'Model Inputs &amp; Assumptions'!$X$33^2/2))</f>
        <v>0.00219058508116197</v>
      </c>
      <c r="G2618" s="45" t="n">
        <f aca="false">ROUND(C2618*F2618,0)</f>
        <v>2155</v>
      </c>
      <c r="H2618" s="48" t="n">
        <f aca="false">MAX(0,(C2618*'Model Inputs &amp; Assumptions'!$N$33+E2618*'Model Inputs &amp; Assumptions'!$O$33+G2618*'Model Inputs &amp; Assumptions'!$P$33)*EXP('Model Inputs &amp; Assumptions'!$Q$33*S2618-'Model Inputs &amp; Assumptions'!$Q$33^2/2))</f>
        <v>79.2505528523686</v>
      </c>
      <c r="I2618" s="49" t="n">
        <f aca="false">IF('Model Inputs &amp; Assumptions'!$H$33="Fixed",'Model Inputs &amp; Assumptions'!$I$33*'Model Inputs &amp; Assumptions'!$K$33,IF('Model Inputs &amp; Assumptions'!$H$33="CPM",'Model Inputs &amp; Assumptions'!$I$33*'Model Inputs &amp; Assumptions'!$K$33*C2618/1000,IF('Model Inputs &amp; Assumptions'!$H$33="CPC",'Model Inputs &amp; Assumptions'!$I$33*'Model Inputs &amp; Assumptions'!$K$33*G2618,0)))</f>
        <v>25000</v>
      </c>
      <c r="J2618" s="50" t="n">
        <f aca="false">H2618*INDEX('Model Inputs &amp; Assumptions'!$D$40:$D$42,MATCH('Model Inputs &amp; Assumptions'!$L$33,'Model Inputs &amp; Assumptions'!$A$40:$A$42,0))*INDEX('Model Inputs &amp; Assumptions'!$H$40:$H$42,MATCH('Model Inputs &amp; Assumptions'!$L$33,'Model Inputs &amp; Assumptions'!$A$40:$A$42,0))</f>
        <v>427952.985402791</v>
      </c>
      <c r="K2618" s="49" t="n">
        <f aca="false">H2618*INDEX('Model Inputs &amp; Assumptions'!$G$40:$G$42,MATCH('Model Inputs &amp; Assumptions'!$L$33,'Model Inputs &amp; Assumptions'!$A$40:$A$42,0))*INDEX('Model Inputs &amp; Assumptions'!$H$40:$H$42,MATCH('Model Inputs &amp; Assumptions'!$L$33,'Model Inputs &amp; Assumptions'!$A$40:$A$42,0))</f>
        <v>8987.0126934586</v>
      </c>
      <c r="L2618" s="51" t="n">
        <f aca="false">IFERROR(K2618/I2618,0)</f>
        <v>0.359480507738344</v>
      </c>
      <c r="M2618" s="49" t="n">
        <f aca="false">IFERROR(I2618/H2618,0)</f>
        <v>315.455212616259</v>
      </c>
      <c r="N2618" s="52" t="str">
        <f aca="false">'Model Inputs &amp; Assumptions'!$L$33</f>
        <v>PRD-SP01</v>
      </c>
      <c r="P2618" s="53" t="n">
        <v>-0.512587</v>
      </c>
      <c r="Q2618" s="53" t="n">
        <v>0.801961</v>
      </c>
      <c r="R2618" s="53" t="n">
        <v>-1.411981</v>
      </c>
      <c r="S2618" s="53" t="n">
        <v>-1.297534</v>
      </c>
    </row>
    <row r="2619" customFormat="false" ht="15" hidden="false" customHeight="false" outlineLevel="0" collapsed="false">
      <c r="A2619" s="43" t="n">
        <v>116</v>
      </c>
      <c r="B2619" s="44" t="str">
        <f aca="false">'Model Inputs &amp; Assumptions'!$B$33</f>
        <v>Trade Republic — Savings Plan Push</v>
      </c>
      <c r="C2619" s="45" t="n">
        <f aca="false">ROUND(MAX(0,'Model Inputs &amp; Assumptions'!$S$33*EXP('Model Inputs &amp; Assumptions'!$T$33*P2619-'Model Inputs &amp; Assumptions'!$T$33^2/2)),0)</f>
        <v>1425444</v>
      </c>
      <c r="D2619" s="46" t="n">
        <f aca="false">MIN(1,'Model Inputs &amp; Assumptions'!$U$33*EXP('Model Inputs &amp; Assumptions'!$V$33*Q2619-'Model Inputs &amp; Assumptions'!$V$33^2/2))</f>
        <v>0</v>
      </c>
      <c r="E2619" s="45" t="n">
        <f aca="false">ROUND(C2619*D2619,0)</f>
        <v>0</v>
      </c>
      <c r="F2619" s="47" t="n">
        <f aca="false">MIN(1,'Model Inputs &amp; Assumptions'!$W$33*EXP('Model Inputs &amp; Assumptions'!$X$33*R2619-'Model Inputs &amp; Assumptions'!$X$33^2/2))</f>
        <v>0.00366601693357852</v>
      </c>
      <c r="G2619" s="45" t="n">
        <f aca="false">ROUND(C2619*F2619,0)</f>
        <v>5226</v>
      </c>
      <c r="H2619" s="48" t="n">
        <f aca="false">MAX(0,(C2619*'Model Inputs &amp; Assumptions'!$N$33+E2619*'Model Inputs &amp; Assumptions'!$O$33+G2619*'Model Inputs &amp; Assumptions'!$P$33)*EXP('Model Inputs &amp; Assumptions'!$Q$33*S2619-'Model Inputs &amp; Assumptions'!$Q$33^2/2))</f>
        <v>181.014321479335</v>
      </c>
      <c r="I2619" s="49" t="n">
        <f aca="false">IF('Model Inputs &amp; Assumptions'!$H$33="Fixed",'Model Inputs &amp; Assumptions'!$I$33*'Model Inputs &amp; Assumptions'!$K$33,IF('Model Inputs &amp; Assumptions'!$H$33="CPM",'Model Inputs &amp; Assumptions'!$I$33*'Model Inputs &amp; Assumptions'!$K$33*C2619/1000,IF('Model Inputs &amp; Assumptions'!$H$33="CPC",'Model Inputs &amp; Assumptions'!$I$33*'Model Inputs &amp; Assumptions'!$K$33*G2619,0)))</f>
        <v>25000</v>
      </c>
      <c r="J2619" s="50" t="n">
        <f aca="false">H2619*INDEX('Model Inputs &amp; Assumptions'!$D$40:$D$42,MATCH('Model Inputs &amp; Assumptions'!$L$33,'Model Inputs &amp; Assumptions'!$A$40:$A$42,0))*INDEX('Model Inputs &amp; Assumptions'!$H$40:$H$42,MATCH('Model Inputs &amp; Assumptions'!$L$33,'Model Inputs &amp; Assumptions'!$A$40:$A$42,0))</f>
        <v>977477.335988408</v>
      </c>
      <c r="K2619" s="49" t="n">
        <f aca="false">H2619*INDEX('Model Inputs &amp; Assumptions'!$G$40:$G$42,MATCH('Model Inputs &amp; Assumptions'!$L$33,'Model Inputs &amp; Assumptions'!$A$40:$A$42,0))*INDEX('Model Inputs &amp; Assumptions'!$H$40:$H$42,MATCH('Model Inputs &amp; Assumptions'!$L$33,'Model Inputs &amp; Assumptions'!$A$40:$A$42,0))</f>
        <v>20527.0240557566</v>
      </c>
      <c r="L2619" s="51" t="n">
        <f aca="false">IFERROR(K2619/I2619,0)</f>
        <v>0.821080962230263</v>
      </c>
      <c r="M2619" s="49" t="n">
        <f aca="false">IFERROR(I2619/H2619,0)</f>
        <v>138.110619069741</v>
      </c>
      <c r="N2619" s="52" t="str">
        <f aca="false">'Model Inputs &amp; Assumptions'!$L$33</f>
        <v>PRD-SP01</v>
      </c>
      <c r="P2619" s="53" t="n">
        <v>0.723872</v>
      </c>
      <c r="Q2619" s="53" t="n">
        <v>-0.129235</v>
      </c>
      <c r="R2619" s="53" t="n">
        <v>0.304476</v>
      </c>
      <c r="S2619" s="53" t="n">
        <v>-1.51144</v>
      </c>
    </row>
    <row r="2620" customFormat="false" ht="15" hidden="false" customHeight="false" outlineLevel="0" collapsed="false">
      <c r="A2620" s="43" t="n">
        <v>117</v>
      </c>
      <c r="B2620" s="44" t="str">
        <f aca="false">'Model Inputs &amp; Assumptions'!$B$33</f>
        <v>Trade Republic — Savings Plan Push</v>
      </c>
      <c r="C2620" s="45" t="n">
        <f aca="false">ROUND(MAX(0,'Model Inputs &amp; Assumptions'!$S$33*EXP('Model Inputs &amp; Assumptions'!$T$33*P2620-'Model Inputs &amp; Assumptions'!$T$33^2/2)),0)</f>
        <v>1469996</v>
      </c>
      <c r="D2620" s="46" t="n">
        <f aca="false">MIN(1,'Model Inputs &amp; Assumptions'!$U$33*EXP('Model Inputs &amp; Assumptions'!$V$33*Q2620-'Model Inputs &amp; Assumptions'!$V$33^2/2))</f>
        <v>0</v>
      </c>
      <c r="E2620" s="45" t="n">
        <f aca="false">ROUND(C2620*D2620,0)</f>
        <v>0</v>
      </c>
      <c r="F2620" s="47" t="n">
        <f aca="false">MIN(1,'Model Inputs &amp; Assumptions'!$W$33*EXP('Model Inputs &amp; Assumptions'!$X$33*R2620-'Model Inputs &amp; Assumptions'!$X$33^2/2))</f>
        <v>0.00354321592625392</v>
      </c>
      <c r="G2620" s="45" t="n">
        <f aca="false">ROUND(C2620*F2620,0)</f>
        <v>5209</v>
      </c>
      <c r="H2620" s="48" t="n">
        <f aca="false">MAX(0,(C2620*'Model Inputs &amp; Assumptions'!$N$33+E2620*'Model Inputs &amp; Assumptions'!$O$33+G2620*'Model Inputs &amp; Assumptions'!$P$33)*EXP('Model Inputs &amp; Assumptions'!$Q$33*S2620-'Model Inputs &amp; Assumptions'!$Q$33^2/2))</f>
        <v>321.68417588595</v>
      </c>
      <c r="I2620" s="49" t="n">
        <f aca="false">IF('Model Inputs &amp; Assumptions'!$H$33="Fixed",'Model Inputs &amp; Assumptions'!$I$33*'Model Inputs &amp; Assumptions'!$K$33,IF('Model Inputs &amp; Assumptions'!$H$33="CPM",'Model Inputs &amp; Assumptions'!$I$33*'Model Inputs &amp; Assumptions'!$K$33*C2620/1000,IF('Model Inputs &amp; Assumptions'!$H$33="CPC",'Model Inputs &amp; Assumptions'!$I$33*'Model Inputs &amp; Assumptions'!$K$33*G2620,0)))</f>
        <v>25000</v>
      </c>
      <c r="J2620" s="50" t="n">
        <f aca="false">H2620*INDEX('Model Inputs &amp; Assumptions'!$D$40:$D$42,MATCH('Model Inputs &amp; Assumptions'!$L$33,'Model Inputs &amp; Assumptions'!$A$40:$A$42,0))*INDEX('Model Inputs &amp; Assumptions'!$H$40:$H$42,MATCH('Model Inputs &amp; Assumptions'!$L$33,'Model Inputs &amp; Assumptions'!$A$40:$A$42,0))</f>
        <v>1737094.54978413</v>
      </c>
      <c r="K2620" s="49" t="n">
        <f aca="false">H2620*INDEX('Model Inputs &amp; Assumptions'!$G$40:$G$42,MATCH('Model Inputs &amp; Assumptions'!$L$33,'Model Inputs &amp; Assumptions'!$A$40:$A$42,0))*INDEX('Model Inputs &amp; Assumptions'!$H$40:$H$42,MATCH('Model Inputs &amp; Assumptions'!$L$33,'Model Inputs &amp; Assumptions'!$A$40:$A$42,0))</f>
        <v>36478.9855454667</v>
      </c>
      <c r="L2620" s="51" t="n">
        <f aca="false">IFERROR(K2620/I2620,0)</f>
        <v>1.45915942181867</v>
      </c>
      <c r="M2620" s="49" t="n">
        <f aca="false">IFERROR(I2620/H2620,0)</f>
        <v>77.7159769551846</v>
      </c>
      <c r="N2620" s="52" t="str">
        <f aca="false">'Model Inputs &amp; Assumptions'!$L$33</f>
        <v>PRD-SP01</v>
      </c>
      <c r="P2620" s="53" t="n">
        <v>0.82646</v>
      </c>
      <c r="Q2620" s="53" t="n">
        <v>-0.328063</v>
      </c>
      <c r="R2620" s="53" t="n">
        <v>0.190906</v>
      </c>
      <c r="S2620" s="53" t="n">
        <v>0.553747</v>
      </c>
    </row>
    <row r="2621" customFormat="false" ht="15" hidden="false" customHeight="false" outlineLevel="0" collapsed="false">
      <c r="A2621" s="43" t="n">
        <v>118</v>
      </c>
      <c r="B2621" s="44" t="str">
        <f aca="false">'Model Inputs &amp; Assumptions'!$B$33</f>
        <v>Trade Republic — Savings Plan Push</v>
      </c>
      <c r="C2621" s="45" t="n">
        <f aca="false">ROUND(MAX(0,'Model Inputs &amp; Assumptions'!$S$33*EXP('Model Inputs &amp; Assumptions'!$T$33*P2621-'Model Inputs &amp; Assumptions'!$T$33^2/2)),0)</f>
        <v>886867</v>
      </c>
      <c r="D2621" s="46" t="n">
        <f aca="false">MIN(1,'Model Inputs &amp; Assumptions'!$U$33*EXP('Model Inputs &amp; Assumptions'!$V$33*Q2621-'Model Inputs &amp; Assumptions'!$V$33^2/2))</f>
        <v>0</v>
      </c>
      <c r="E2621" s="45" t="n">
        <f aca="false">ROUND(C2621*D2621,0)</f>
        <v>0</v>
      </c>
      <c r="F2621" s="47" t="n">
        <f aca="false">MIN(1,'Model Inputs &amp; Assumptions'!$W$33*EXP('Model Inputs &amp; Assumptions'!$X$33*R2621-'Model Inputs &amp; Assumptions'!$X$33^2/2))</f>
        <v>0.0042740880948795</v>
      </c>
      <c r="G2621" s="45" t="n">
        <f aca="false">ROUND(C2621*F2621,0)</f>
        <v>3791</v>
      </c>
      <c r="H2621" s="48" t="n">
        <f aca="false">MAX(0,(C2621*'Model Inputs &amp; Assumptions'!$N$33+E2621*'Model Inputs &amp; Assumptions'!$O$33+G2621*'Model Inputs &amp; Assumptions'!$P$33)*EXP('Model Inputs &amp; Assumptions'!$Q$33*S2621-'Model Inputs &amp; Assumptions'!$Q$33^2/2))</f>
        <v>332.457270401355</v>
      </c>
      <c r="I2621" s="49" t="n">
        <f aca="false">IF('Model Inputs &amp; Assumptions'!$H$33="Fixed",'Model Inputs &amp; Assumptions'!$I$33*'Model Inputs &amp; Assumptions'!$K$33,IF('Model Inputs &amp; Assumptions'!$H$33="CPM",'Model Inputs &amp; Assumptions'!$I$33*'Model Inputs &amp; Assumptions'!$K$33*C2621/1000,IF('Model Inputs &amp; Assumptions'!$H$33="CPC",'Model Inputs &amp; Assumptions'!$I$33*'Model Inputs &amp; Assumptions'!$K$33*G2621,0)))</f>
        <v>25000</v>
      </c>
      <c r="J2621" s="50" t="n">
        <f aca="false">H2621*INDEX('Model Inputs &amp; Assumptions'!$D$40:$D$42,MATCH('Model Inputs &amp; Assumptions'!$L$33,'Model Inputs &amp; Assumptions'!$A$40:$A$42,0))*INDEX('Model Inputs &amp; Assumptions'!$H$40:$H$42,MATCH('Model Inputs &amp; Assumptions'!$L$33,'Model Inputs &amp; Assumptions'!$A$40:$A$42,0))</f>
        <v>1795269.26016732</v>
      </c>
      <c r="K2621" s="49" t="n">
        <f aca="false">H2621*INDEX('Model Inputs &amp; Assumptions'!$G$40:$G$42,MATCH('Model Inputs &amp; Assumptions'!$L$33,'Model Inputs &amp; Assumptions'!$A$40:$A$42,0))*INDEX('Model Inputs &amp; Assumptions'!$H$40:$H$42,MATCH('Model Inputs &amp; Assumptions'!$L$33,'Model Inputs &amp; Assumptions'!$A$40:$A$42,0))</f>
        <v>37700.6544635136</v>
      </c>
      <c r="L2621" s="51" t="n">
        <f aca="false">IFERROR(K2621/I2621,0)</f>
        <v>1.50802617854055</v>
      </c>
      <c r="M2621" s="49" t="n">
        <f aca="false">IFERROR(I2621/H2621,0)</f>
        <v>75.1976335780507</v>
      </c>
      <c r="N2621" s="52" t="str">
        <f aca="false">'Model Inputs &amp; Assumptions'!$L$33</f>
        <v>PRD-SP01</v>
      </c>
      <c r="P2621" s="53" t="n">
        <v>-0.857941</v>
      </c>
      <c r="Q2621" s="53" t="n">
        <v>0.942102</v>
      </c>
      <c r="R2621" s="53" t="n">
        <v>0.816026</v>
      </c>
      <c r="S2621" s="53" t="n">
        <v>1.806244</v>
      </c>
    </row>
    <row r="2622" customFormat="false" ht="15" hidden="false" customHeight="false" outlineLevel="0" collapsed="false">
      <c r="A2622" s="43" t="n">
        <v>119</v>
      </c>
      <c r="B2622" s="44" t="str">
        <f aca="false">'Model Inputs &amp; Assumptions'!$B$33</f>
        <v>Trade Republic — Savings Plan Push</v>
      </c>
      <c r="C2622" s="45" t="n">
        <f aca="false">ROUND(MAX(0,'Model Inputs &amp; Assumptions'!$S$33*EXP('Model Inputs &amp; Assumptions'!$T$33*P2622-'Model Inputs &amp; Assumptions'!$T$33^2/2)),0)</f>
        <v>1067355</v>
      </c>
      <c r="D2622" s="46" t="n">
        <f aca="false">MIN(1,'Model Inputs &amp; Assumptions'!$U$33*EXP('Model Inputs &amp; Assumptions'!$V$33*Q2622-'Model Inputs &amp; Assumptions'!$V$33^2/2))</f>
        <v>0</v>
      </c>
      <c r="E2622" s="45" t="n">
        <f aca="false">ROUND(C2622*D2622,0)</f>
        <v>0</v>
      </c>
      <c r="F2622" s="47" t="n">
        <f aca="false">MIN(1,'Model Inputs &amp; Assumptions'!$W$33*EXP('Model Inputs &amp; Assumptions'!$X$33*R2622-'Model Inputs &amp; Assumptions'!$X$33^2/2))</f>
        <v>0.00217841068751357</v>
      </c>
      <c r="G2622" s="45" t="n">
        <f aca="false">ROUND(C2622*F2622,0)</f>
        <v>2325</v>
      </c>
      <c r="H2622" s="48" t="n">
        <f aca="false">MAX(0,(C2622*'Model Inputs &amp; Assumptions'!$N$33+E2622*'Model Inputs &amp; Assumptions'!$O$33+G2622*'Model Inputs &amp; Assumptions'!$P$33)*EXP('Model Inputs &amp; Assumptions'!$Q$33*S2622-'Model Inputs &amp; Assumptions'!$Q$33^2/2))</f>
        <v>106.563258386054</v>
      </c>
      <c r="I2622" s="49" t="n">
        <f aca="false">IF('Model Inputs &amp; Assumptions'!$H$33="Fixed",'Model Inputs &amp; Assumptions'!$I$33*'Model Inputs &amp; Assumptions'!$K$33,IF('Model Inputs &amp; Assumptions'!$H$33="CPM",'Model Inputs &amp; Assumptions'!$I$33*'Model Inputs &amp; Assumptions'!$K$33*C2622/1000,IF('Model Inputs &amp; Assumptions'!$H$33="CPC",'Model Inputs &amp; Assumptions'!$I$33*'Model Inputs &amp; Assumptions'!$K$33*G2622,0)))</f>
        <v>25000</v>
      </c>
      <c r="J2622" s="50" t="n">
        <f aca="false">H2622*INDEX('Model Inputs &amp; Assumptions'!$D$40:$D$42,MATCH('Model Inputs &amp; Assumptions'!$L$33,'Model Inputs &amp; Assumptions'!$A$40:$A$42,0))*INDEX('Model Inputs &amp; Assumptions'!$H$40:$H$42,MATCH('Model Inputs &amp; Assumptions'!$L$33,'Model Inputs &amp; Assumptions'!$A$40:$A$42,0))</f>
        <v>575441.595284694</v>
      </c>
      <c r="K2622" s="49" t="n">
        <f aca="false">H2622*INDEX('Model Inputs &amp; Assumptions'!$G$40:$G$42,MATCH('Model Inputs &amp; Assumptions'!$L$33,'Model Inputs &amp; Assumptions'!$A$40:$A$42,0))*INDEX('Model Inputs &amp; Assumptions'!$H$40:$H$42,MATCH('Model Inputs &amp; Assumptions'!$L$33,'Model Inputs &amp; Assumptions'!$A$40:$A$42,0))</f>
        <v>12084.2735009786</v>
      </c>
      <c r="L2622" s="51" t="n">
        <f aca="false">IFERROR(K2622/I2622,0)</f>
        <v>0.483370940039143</v>
      </c>
      <c r="M2622" s="49" t="n">
        <f aca="false">IFERROR(I2622/H2622,0)</f>
        <v>234.602435948708</v>
      </c>
      <c r="N2622" s="52" t="str">
        <f aca="false">'Model Inputs &amp; Assumptions'!$L$33</f>
        <v>PRD-SP01</v>
      </c>
      <c r="P2622" s="53" t="n">
        <v>-0.240461</v>
      </c>
      <c r="Q2622" s="53" t="n">
        <v>-1.442092</v>
      </c>
      <c r="R2622" s="53" t="n">
        <v>-1.430558</v>
      </c>
      <c r="S2622" s="53" t="n">
        <v>-0.511123</v>
      </c>
    </row>
    <row r="2623" customFormat="false" ht="15" hidden="false" customHeight="false" outlineLevel="0" collapsed="false">
      <c r="A2623" s="43" t="n">
        <v>120</v>
      </c>
      <c r="B2623" s="44" t="str">
        <f aca="false">'Model Inputs &amp; Assumptions'!$B$33</f>
        <v>Trade Republic — Savings Plan Push</v>
      </c>
      <c r="C2623" s="45" t="n">
        <f aca="false">ROUND(MAX(0,'Model Inputs &amp; Assumptions'!$S$33*EXP('Model Inputs &amp; Assumptions'!$T$33*P2623-'Model Inputs &amp; Assumptions'!$T$33^2/2)),0)</f>
        <v>1067813</v>
      </c>
      <c r="D2623" s="46" t="n">
        <f aca="false">MIN(1,'Model Inputs &amp; Assumptions'!$U$33*EXP('Model Inputs &amp; Assumptions'!$V$33*Q2623-'Model Inputs &amp; Assumptions'!$V$33^2/2))</f>
        <v>0</v>
      </c>
      <c r="E2623" s="45" t="n">
        <f aca="false">ROUND(C2623*D2623,0)</f>
        <v>0</v>
      </c>
      <c r="F2623" s="47" t="n">
        <f aca="false">MIN(1,'Model Inputs &amp; Assumptions'!$W$33*EXP('Model Inputs &amp; Assumptions'!$X$33*R2623-'Model Inputs &amp; Assumptions'!$X$33^2/2))</f>
        <v>0.00404462835432301</v>
      </c>
      <c r="G2623" s="45" t="n">
        <f aca="false">ROUND(C2623*F2623,0)</f>
        <v>4319</v>
      </c>
      <c r="H2623" s="48" t="n">
        <f aca="false">MAX(0,(C2623*'Model Inputs &amp; Assumptions'!$N$33+E2623*'Model Inputs &amp; Assumptions'!$O$33+G2623*'Model Inputs &amp; Assumptions'!$P$33)*EXP('Model Inputs &amp; Assumptions'!$Q$33*S2623-'Model Inputs &amp; Assumptions'!$Q$33^2/2))</f>
        <v>187.708029155331</v>
      </c>
      <c r="I2623" s="49" t="n">
        <f aca="false">IF('Model Inputs &amp; Assumptions'!$H$33="Fixed",'Model Inputs &amp; Assumptions'!$I$33*'Model Inputs &amp; Assumptions'!$K$33,IF('Model Inputs &amp; Assumptions'!$H$33="CPM",'Model Inputs &amp; Assumptions'!$I$33*'Model Inputs &amp; Assumptions'!$K$33*C2623/1000,IF('Model Inputs &amp; Assumptions'!$H$33="CPC",'Model Inputs &amp; Assumptions'!$I$33*'Model Inputs &amp; Assumptions'!$K$33*G2623,0)))</f>
        <v>25000</v>
      </c>
      <c r="J2623" s="50" t="n">
        <f aca="false">H2623*INDEX('Model Inputs &amp; Assumptions'!$D$40:$D$42,MATCH('Model Inputs &amp; Assumptions'!$L$33,'Model Inputs &amp; Assumptions'!$A$40:$A$42,0))*INDEX('Model Inputs &amp; Assumptions'!$H$40:$H$42,MATCH('Model Inputs &amp; Assumptions'!$L$33,'Model Inputs &amp; Assumptions'!$A$40:$A$42,0))</f>
        <v>1013623.35743879</v>
      </c>
      <c r="K2623" s="49" t="n">
        <f aca="false">H2623*INDEX('Model Inputs &amp; Assumptions'!$G$40:$G$42,MATCH('Model Inputs &amp; Assumptions'!$L$33,'Model Inputs &amp; Assumptions'!$A$40:$A$42,0))*INDEX('Model Inputs &amp; Assumptions'!$H$40:$H$42,MATCH('Model Inputs &amp; Assumptions'!$L$33,'Model Inputs &amp; Assumptions'!$A$40:$A$42,0))</f>
        <v>21286.0905062145</v>
      </c>
      <c r="L2623" s="51" t="n">
        <f aca="false">IFERROR(K2623/I2623,0)</f>
        <v>0.85144362024858</v>
      </c>
      <c r="M2623" s="49" t="n">
        <f aca="false">IFERROR(I2623/H2623,0)</f>
        <v>133.185565436373</v>
      </c>
      <c r="N2623" s="52" t="str">
        <f aca="false">'Model Inputs &amp; Assumptions'!$L$33</f>
        <v>PRD-SP01</v>
      </c>
      <c r="P2623" s="53" t="n">
        <v>-0.239031</v>
      </c>
      <c r="Q2623" s="53" t="n">
        <v>-0.229161</v>
      </c>
      <c r="R2623" s="53" t="n">
        <v>0.632089</v>
      </c>
      <c r="S2623" s="53" t="n">
        <v>-0.700962</v>
      </c>
    </row>
    <row r="2624" customFormat="false" ht="15" hidden="false" customHeight="false" outlineLevel="0" collapsed="false">
      <c r="A2624" s="43" t="n">
        <v>121</v>
      </c>
      <c r="B2624" s="44" t="str">
        <f aca="false">'Model Inputs &amp; Assumptions'!$B$33</f>
        <v>Trade Republic — Savings Plan Push</v>
      </c>
      <c r="C2624" s="45" t="n">
        <f aca="false">ROUND(MAX(0,'Model Inputs &amp; Assumptions'!$S$33*EXP('Model Inputs &amp; Assumptions'!$T$33*P2624-'Model Inputs &amp; Assumptions'!$T$33^2/2)),0)</f>
        <v>544576</v>
      </c>
      <c r="D2624" s="46" t="n">
        <f aca="false">MIN(1,'Model Inputs &amp; Assumptions'!$U$33*EXP('Model Inputs &amp; Assumptions'!$V$33*Q2624-'Model Inputs &amp; Assumptions'!$V$33^2/2))</f>
        <v>0</v>
      </c>
      <c r="E2624" s="45" t="n">
        <f aca="false">ROUND(C2624*D2624,0)</f>
        <v>0</v>
      </c>
      <c r="F2624" s="47" t="n">
        <f aca="false">MIN(1,'Model Inputs &amp; Assumptions'!$W$33*EXP('Model Inputs &amp; Assumptions'!$X$33*R2624-'Model Inputs &amp; Assumptions'!$X$33^2/2))</f>
        <v>0.00520654802241355</v>
      </c>
      <c r="G2624" s="45" t="n">
        <f aca="false">ROUND(C2624*F2624,0)</f>
        <v>2835</v>
      </c>
      <c r="H2624" s="48" t="n">
        <f aca="false">MAX(0,(C2624*'Model Inputs &amp; Assumptions'!$N$33+E2624*'Model Inputs &amp; Assumptions'!$O$33+G2624*'Model Inputs &amp; Assumptions'!$P$33)*EXP('Model Inputs &amp; Assumptions'!$Q$33*S2624-'Model Inputs &amp; Assumptions'!$Q$33^2/2))</f>
        <v>179.142081505164</v>
      </c>
      <c r="I2624" s="49" t="n">
        <f aca="false">IF('Model Inputs &amp; Assumptions'!$H$33="Fixed",'Model Inputs &amp; Assumptions'!$I$33*'Model Inputs &amp; Assumptions'!$K$33,IF('Model Inputs &amp; Assumptions'!$H$33="CPM",'Model Inputs &amp; Assumptions'!$I$33*'Model Inputs &amp; Assumptions'!$K$33*C2624/1000,IF('Model Inputs &amp; Assumptions'!$H$33="CPC",'Model Inputs &amp; Assumptions'!$I$33*'Model Inputs &amp; Assumptions'!$K$33*G2624,0)))</f>
        <v>25000</v>
      </c>
      <c r="J2624" s="50" t="n">
        <f aca="false">H2624*INDEX('Model Inputs &amp; Assumptions'!$D$40:$D$42,MATCH('Model Inputs &amp; Assumptions'!$L$33,'Model Inputs &amp; Assumptions'!$A$40:$A$42,0))*INDEX('Model Inputs &amp; Assumptions'!$H$40:$H$42,MATCH('Model Inputs &amp; Assumptions'!$L$33,'Model Inputs &amp; Assumptions'!$A$40:$A$42,0))</f>
        <v>967367.240127883</v>
      </c>
      <c r="K2624" s="49" t="n">
        <f aca="false">H2624*INDEX('Model Inputs &amp; Assumptions'!$G$40:$G$42,MATCH('Model Inputs &amp; Assumptions'!$L$33,'Model Inputs &amp; Assumptions'!$A$40:$A$42,0))*INDEX('Model Inputs &amp; Assumptions'!$H$40:$H$42,MATCH('Model Inputs &amp; Assumptions'!$L$33,'Model Inputs &amp; Assumptions'!$A$40:$A$42,0))</f>
        <v>20314.7120426855</v>
      </c>
      <c r="L2624" s="51" t="n">
        <f aca="false">IFERROR(K2624/I2624,0)</f>
        <v>0.812588481707422</v>
      </c>
      <c r="M2624" s="49" t="n">
        <f aca="false">IFERROR(I2624/H2624,0)</f>
        <v>139.554033256443</v>
      </c>
      <c r="N2624" s="52" t="str">
        <f aca="false">'Model Inputs &amp; Assumptions'!$L$33</f>
        <v>PRD-SP01</v>
      </c>
      <c r="P2624" s="53" t="n">
        <v>-2.483563</v>
      </c>
      <c r="Q2624" s="53" t="n">
        <v>0.368378</v>
      </c>
      <c r="R2624" s="53" t="n">
        <v>1.473847</v>
      </c>
      <c r="S2624" s="53" t="n">
        <v>0.635729</v>
      </c>
    </row>
    <row r="2625" customFormat="false" ht="15" hidden="false" customHeight="false" outlineLevel="0" collapsed="false">
      <c r="A2625" s="43" t="n">
        <v>122</v>
      </c>
      <c r="B2625" s="44" t="str">
        <f aca="false">'Model Inputs &amp; Assumptions'!$B$33</f>
        <v>Trade Republic — Savings Plan Push</v>
      </c>
      <c r="C2625" s="45" t="n">
        <f aca="false">ROUND(MAX(0,'Model Inputs &amp; Assumptions'!$S$33*EXP('Model Inputs &amp; Assumptions'!$T$33*P2625-'Model Inputs &amp; Assumptions'!$T$33^2/2)),0)</f>
        <v>1073379</v>
      </c>
      <c r="D2625" s="46" t="n">
        <f aca="false">MIN(1,'Model Inputs &amp; Assumptions'!$U$33*EXP('Model Inputs &amp; Assumptions'!$V$33*Q2625-'Model Inputs &amp; Assumptions'!$V$33^2/2))</f>
        <v>0</v>
      </c>
      <c r="E2625" s="45" t="n">
        <f aca="false">ROUND(C2625*D2625,0)</f>
        <v>0</v>
      </c>
      <c r="F2625" s="47" t="n">
        <f aca="false">MIN(1,'Model Inputs &amp; Assumptions'!$W$33*EXP('Model Inputs &amp; Assumptions'!$X$33*R2625-'Model Inputs &amp; Assumptions'!$X$33^2/2))</f>
        <v>0.00370112589199419</v>
      </c>
      <c r="G2625" s="45" t="n">
        <f aca="false">ROUND(C2625*F2625,0)</f>
        <v>3973</v>
      </c>
      <c r="H2625" s="48" t="n">
        <f aca="false">MAX(0,(C2625*'Model Inputs &amp; Assumptions'!$N$33+E2625*'Model Inputs &amp; Assumptions'!$O$33+G2625*'Model Inputs &amp; Assumptions'!$P$33)*EXP('Model Inputs &amp; Assumptions'!$Q$33*S2625-'Model Inputs &amp; Assumptions'!$Q$33^2/2))</f>
        <v>203.352714681994</v>
      </c>
      <c r="I2625" s="49" t="n">
        <f aca="false">IF('Model Inputs &amp; Assumptions'!$H$33="Fixed",'Model Inputs &amp; Assumptions'!$I$33*'Model Inputs &amp; Assumptions'!$K$33,IF('Model Inputs &amp; Assumptions'!$H$33="CPM",'Model Inputs &amp; Assumptions'!$I$33*'Model Inputs &amp; Assumptions'!$K$33*C2625/1000,IF('Model Inputs &amp; Assumptions'!$H$33="CPC",'Model Inputs &amp; Assumptions'!$I$33*'Model Inputs &amp; Assumptions'!$K$33*G2625,0)))</f>
        <v>25000</v>
      </c>
      <c r="J2625" s="50" t="n">
        <f aca="false">H2625*INDEX('Model Inputs &amp; Assumptions'!$D$40:$D$42,MATCH('Model Inputs &amp; Assumptions'!$L$33,'Model Inputs &amp; Assumptions'!$A$40:$A$42,0))*INDEX('Model Inputs &amp; Assumptions'!$H$40:$H$42,MATCH('Model Inputs &amp; Assumptions'!$L$33,'Model Inputs &amp; Assumptions'!$A$40:$A$42,0))</f>
        <v>1098104.65928277</v>
      </c>
      <c r="K2625" s="49" t="n">
        <f aca="false">H2625*INDEX('Model Inputs &amp; Assumptions'!$G$40:$G$42,MATCH('Model Inputs &amp; Assumptions'!$L$33,'Model Inputs &amp; Assumptions'!$A$40:$A$42,0))*INDEX('Model Inputs &amp; Assumptions'!$H$40:$H$42,MATCH('Model Inputs &amp; Assumptions'!$L$33,'Model Inputs &amp; Assumptions'!$A$40:$A$42,0))</f>
        <v>23060.1978449381</v>
      </c>
      <c r="L2625" s="51" t="n">
        <f aca="false">IFERROR(K2625/I2625,0)</f>
        <v>0.922407913797525</v>
      </c>
      <c r="M2625" s="49" t="n">
        <f aca="false">IFERROR(I2625/H2625,0)</f>
        <v>122.939101349571</v>
      </c>
      <c r="N2625" s="52" t="str">
        <f aca="false">'Model Inputs &amp; Assumptions'!$L$33</f>
        <v>PRD-SP01</v>
      </c>
      <c r="P2625" s="53" t="n">
        <v>-0.221701</v>
      </c>
      <c r="Q2625" s="53" t="n">
        <v>0.002907</v>
      </c>
      <c r="R2625" s="53" t="n">
        <v>0.336247</v>
      </c>
      <c r="S2625" s="53" t="n">
        <v>-0.116831</v>
      </c>
    </row>
    <row r="2626" customFormat="false" ht="15" hidden="false" customHeight="false" outlineLevel="0" collapsed="false">
      <c r="A2626" s="43" t="n">
        <v>123</v>
      </c>
      <c r="B2626" s="44" t="str">
        <f aca="false">'Model Inputs &amp; Assumptions'!$B$33</f>
        <v>Trade Republic — Savings Plan Push</v>
      </c>
      <c r="C2626" s="45" t="n">
        <f aca="false">ROUND(MAX(0,'Model Inputs &amp; Assumptions'!$S$33*EXP('Model Inputs &amp; Assumptions'!$T$33*P2626-'Model Inputs &amp; Assumptions'!$T$33^2/2)),0)</f>
        <v>1111576</v>
      </c>
      <c r="D2626" s="46" t="n">
        <f aca="false">MIN(1,'Model Inputs &amp; Assumptions'!$U$33*EXP('Model Inputs &amp; Assumptions'!$V$33*Q2626-'Model Inputs &amp; Assumptions'!$V$33^2/2))</f>
        <v>0</v>
      </c>
      <c r="E2626" s="45" t="n">
        <f aca="false">ROUND(C2626*D2626,0)</f>
        <v>0</v>
      </c>
      <c r="F2626" s="47" t="n">
        <f aca="false">MIN(1,'Model Inputs &amp; Assumptions'!$W$33*EXP('Model Inputs &amp; Assumptions'!$X$33*R2626-'Model Inputs &amp; Assumptions'!$X$33^2/2))</f>
        <v>0.00262027157896703</v>
      </c>
      <c r="G2626" s="45" t="n">
        <f aca="false">ROUND(C2626*F2626,0)</f>
        <v>2913</v>
      </c>
      <c r="H2626" s="48" t="n">
        <f aca="false">MAX(0,(C2626*'Model Inputs &amp; Assumptions'!$N$33+E2626*'Model Inputs &amp; Assumptions'!$O$33+G2626*'Model Inputs &amp; Assumptions'!$P$33)*EXP('Model Inputs &amp; Assumptions'!$Q$33*S2626-'Model Inputs &amp; Assumptions'!$Q$33^2/2))</f>
        <v>121.105082994675</v>
      </c>
      <c r="I2626" s="49" t="n">
        <f aca="false">IF('Model Inputs &amp; Assumptions'!$H$33="Fixed",'Model Inputs &amp; Assumptions'!$I$33*'Model Inputs &amp; Assumptions'!$K$33,IF('Model Inputs &amp; Assumptions'!$H$33="CPM",'Model Inputs &amp; Assumptions'!$I$33*'Model Inputs &amp; Assumptions'!$K$33*C2626/1000,IF('Model Inputs &amp; Assumptions'!$H$33="CPC",'Model Inputs &amp; Assumptions'!$I$33*'Model Inputs &amp; Assumptions'!$K$33*G2626,0)))</f>
        <v>25000</v>
      </c>
      <c r="J2626" s="50" t="n">
        <f aca="false">H2626*INDEX('Model Inputs &amp; Assumptions'!$D$40:$D$42,MATCH('Model Inputs &amp; Assumptions'!$L$33,'Model Inputs &amp; Assumptions'!$A$40:$A$42,0))*INDEX('Model Inputs &amp; Assumptions'!$H$40:$H$42,MATCH('Model Inputs &amp; Assumptions'!$L$33,'Model Inputs &amp; Assumptions'!$A$40:$A$42,0))</f>
        <v>653967.448171245</v>
      </c>
      <c r="K2626" s="49" t="n">
        <f aca="false">H2626*INDEX('Model Inputs &amp; Assumptions'!$G$40:$G$42,MATCH('Model Inputs &amp; Assumptions'!$L$33,'Model Inputs &amp; Assumptions'!$A$40:$A$42,0))*INDEX('Model Inputs &amp; Assumptions'!$H$40:$H$42,MATCH('Model Inputs &amp; Assumptions'!$L$33,'Model Inputs &amp; Assumptions'!$A$40:$A$42,0))</f>
        <v>13733.3164115961</v>
      </c>
      <c r="L2626" s="51" t="n">
        <f aca="false">IFERROR(K2626/I2626,0)</f>
        <v>0.549332656463846</v>
      </c>
      <c r="M2626" s="49" t="n">
        <f aca="false">IFERROR(I2626/H2626,0)</f>
        <v>206.432293193666</v>
      </c>
      <c r="N2626" s="52" t="str">
        <f aca="false">'Model Inputs &amp; Assumptions'!$L$33</f>
        <v>PRD-SP01</v>
      </c>
      <c r="P2626" s="53" t="n">
        <v>-0.105141</v>
      </c>
      <c r="Q2626" s="53" t="n">
        <v>-0.370706</v>
      </c>
      <c r="R2626" s="53" t="n">
        <v>-0.81495</v>
      </c>
      <c r="S2626" s="53" t="n">
        <v>-0.859493</v>
      </c>
    </row>
    <row r="2627" customFormat="false" ht="15" hidden="false" customHeight="false" outlineLevel="0" collapsed="false">
      <c r="A2627" s="43" t="n">
        <v>124</v>
      </c>
      <c r="B2627" s="44" t="str">
        <f aca="false">'Model Inputs &amp; Assumptions'!$B$33</f>
        <v>Trade Republic — Savings Plan Push</v>
      </c>
      <c r="C2627" s="45" t="n">
        <f aca="false">ROUND(MAX(0,'Model Inputs &amp; Assumptions'!$S$33*EXP('Model Inputs &amp; Assumptions'!$T$33*P2627-'Model Inputs &amp; Assumptions'!$T$33^2/2)),0)</f>
        <v>736424</v>
      </c>
      <c r="D2627" s="46" t="n">
        <f aca="false">MIN(1,'Model Inputs &amp; Assumptions'!$U$33*EXP('Model Inputs &amp; Assumptions'!$V$33*Q2627-'Model Inputs &amp; Assumptions'!$V$33^2/2))</f>
        <v>0</v>
      </c>
      <c r="E2627" s="45" t="n">
        <f aca="false">ROUND(C2627*D2627,0)</f>
        <v>0</v>
      </c>
      <c r="F2627" s="47" t="n">
        <f aca="false">MIN(1,'Model Inputs &amp; Assumptions'!$W$33*EXP('Model Inputs &amp; Assumptions'!$X$33*R2627-'Model Inputs &amp; Assumptions'!$X$33^2/2))</f>
        <v>0.00294398312394738</v>
      </c>
      <c r="G2627" s="45" t="n">
        <f aca="false">ROUND(C2627*F2627,0)</f>
        <v>2168</v>
      </c>
      <c r="H2627" s="48" t="n">
        <f aca="false">MAX(0,(C2627*'Model Inputs &amp; Assumptions'!$N$33+E2627*'Model Inputs &amp; Assumptions'!$O$33+G2627*'Model Inputs &amp; Assumptions'!$P$33)*EXP('Model Inputs &amp; Assumptions'!$Q$33*S2627-'Model Inputs &amp; Assumptions'!$Q$33^2/2))</f>
        <v>98.4361651758704</v>
      </c>
      <c r="I2627" s="49" t="n">
        <f aca="false">IF('Model Inputs &amp; Assumptions'!$H$33="Fixed",'Model Inputs &amp; Assumptions'!$I$33*'Model Inputs &amp; Assumptions'!$K$33,IF('Model Inputs &amp; Assumptions'!$H$33="CPM",'Model Inputs &amp; Assumptions'!$I$33*'Model Inputs &amp; Assumptions'!$K$33*C2627/1000,IF('Model Inputs &amp; Assumptions'!$H$33="CPC",'Model Inputs &amp; Assumptions'!$I$33*'Model Inputs &amp; Assumptions'!$K$33*G2627,0)))</f>
        <v>25000</v>
      </c>
      <c r="J2627" s="50" t="n">
        <f aca="false">H2627*INDEX('Model Inputs &amp; Assumptions'!$D$40:$D$42,MATCH('Model Inputs &amp; Assumptions'!$L$33,'Model Inputs &amp; Assumptions'!$A$40:$A$42,0))*INDEX('Model Inputs &amp; Assumptions'!$H$40:$H$42,MATCH('Model Inputs &amp; Assumptions'!$L$33,'Model Inputs &amp; Assumptions'!$A$40:$A$42,0))</f>
        <v>531555.2919497</v>
      </c>
      <c r="K2627" s="49" t="n">
        <f aca="false">H2627*INDEX('Model Inputs &amp; Assumptions'!$G$40:$G$42,MATCH('Model Inputs &amp; Assumptions'!$L$33,'Model Inputs &amp; Assumptions'!$A$40:$A$42,0))*INDEX('Model Inputs &amp; Assumptions'!$H$40:$H$42,MATCH('Model Inputs &amp; Assumptions'!$L$33,'Model Inputs &amp; Assumptions'!$A$40:$A$42,0))</f>
        <v>11162.6611309437</v>
      </c>
      <c r="L2627" s="51" t="n">
        <f aca="false">IFERROR(K2627/I2627,0)</f>
        <v>0.446506445237748</v>
      </c>
      <c r="M2627" s="49" t="n">
        <f aca="false">IFERROR(I2627/H2627,0)</f>
        <v>253.971697854482</v>
      </c>
      <c r="N2627" s="52" t="str">
        <f aca="false">'Model Inputs &amp; Assumptions'!$L$33</f>
        <v>PRD-SP01</v>
      </c>
      <c r="P2627" s="53" t="n">
        <v>-1.477571</v>
      </c>
      <c r="Q2627" s="53" t="n">
        <v>0.017698</v>
      </c>
      <c r="R2627" s="53" t="n">
        <v>-0.426665</v>
      </c>
      <c r="S2627" s="53" t="n">
        <v>-0.54475</v>
      </c>
    </row>
    <row r="2628" customFormat="false" ht="15" hidden="false" customHeight="false" outlineLevel="0" collapsed="false">
      <c r="A2628" s="43" t="n">
        <v>125</v>
      </c>
      <c r="B2628" s="44" t="str">
        <f aca="false">'Model Inputs &amp; Assumptions'!$B$33</f>
        <v>Trade Republic — Savings Plan Push</v>
      </c>
      <c r="C2628" s="45" t="n">
        <f aca="false">ROUND(MAX(0,'Model Inputs &amp; Assumptions'!$S$33*EXP('Model Inputs &amp; Assumptions'!$T$33*P2628-'Model Inputs &amp; Assumptions'!$T$33^2/2)),0)</f>
        <v>1220311</v>
      </c>
      <c r="D2628" s="46" t="n">
        <f aca="false">MIN(1,'Model Inputs &amp; Assumptions'!$U$33*EXP('Model Inputs &amp; Assumptions'!$V$33*Q2628-'Model Inputs &amp; Assumptions'!$V$33^2/2))</f>
        <v>0</v>
      </c>
      <c r="E2628" s="45" t="n">
        <f aca="false">ROUND(C2628*D2628,0)</f>
        <v>0</v>
      </c>
      <c r="F2628" s="47" t="n">
        <f aca="false">MIN(1,'Model Inputs &amp; Assumptions'!$W$33*EXP('Model Inputs &amp; Assumptions'!$X$33*R2628-'Model Inputs &amp; Assumptions'!$X$33^2/2))</f>
        <v>0.00446447027778052</v>
      </c>
      <c r="G2628" s="45" t="n">
        <f aca="false">ROUND(C2628*F2628,0)</f>
        <v>5448</v>
      </c>
      <c r="H2628" s="48" t="n">
        <f aca="false">MAX(0,(C2628*'Model Inputs &amp; Assumptions'!$N$33+E2628*'Model Inputs &amp; Assumptions'!$O$33+G2628*'Model Inputs &amp; Assumptions'!$P$33)*EXP('Model Inputs &amp; Assumptions'!$Q$33*S2628-'Model Inputs &amp; Assumptions'!$Q$33^2/2))</f>
        <v>238.006635629655</v>
      </c>
      <c r="I2628" s="49" t="n">
        <f aca="false">IF('Model Inputs &amp; Assumptions'!$H$33="Fixed",'Model Inputs &amp; Assumptions'!$I$33*'Model Inputs &amp; Assumptions'!$K$33,IF('Model Inputs &amp; Assumptions'!$H$33="CPM",'Model Inputs &amp; Assumptions'!$I$33*'Model Inputs &amp; Assumptions'!$K$33*C2628/1000,IF('Model Inputs &amp; Assumptions'!$H$33="CPC",'Model Inputs &amp; Assumptions'!$I$33*'Model Inputs &amp; Assumptions'!$K$33*G2628,0)))</f>
        <v>25000</v>
      </c>
      <c r="J2628" s="50" t="n">
        <f aca="false">H2628*INDEX('Model Inputs &amp; Assumptions'!$D$40:$D$42,MATCH('Model Inputs &amp; Assumptions'!$L$33,'Model Inputs &amp; Assumptions'!$A$40:$A$42,0))*INDEX('Model Inputs &amp; Assumptions'!$H$40:$H$42,MATCH('Model Inputs &amp; Assumptions'!$L$33,'Model Inputs &amp; Assumptions'!$A$40:$A$42,0))</f>
        <v>1285235.83240014</v>
      </c>
      <c r="K2628" s="49" t="n">
        <f aca="false">H2628*INDEX('Model Inputs &amp; Assumptions'!$G$40:$G$42,MATCH('Model Inputs &amp; Assumptions'!$L$33,'Model Inputs &amp; Assumptions'!$A$40:$A$42,0))*INDEX('Model Inputs &amp; Assumptions'!$H$40:$H$42,MATCH('Model Inputs &amp; Assumptions'!$L$33,'Model Inputs &amp; Assumptions'!$A$40:$A$42,0))</f>
        <v>26989.9524804029</v>
      </c>
      <c r="L2628" s="51" t="n">
        <f aca="false">IFERROR(K2628/I2628,0)</f>
        <v>1.07959809921611</v>
      </c>
      <c r="M2628" s="49" t="n">
        <f aca="false">IFERROR(I2628/H2628,0)</f>
        <v>105.03908823324</v>
      </c>
      <c r="N2628" s="52" t="str">
        <f aca="false">'Model Inputs &amp; Assumptions'!$L$33</f>
        <v>PRD-SP01</v>
      </c>
      <c r="P2628" s="53" t="n">
        <v>0.205947</v>
      </c>
      <c r="Q2628" s="53" t="n">
        <v>-1.22933</v>
      </c>
      <c r="R2628" s="53" t="n">
        <v>0.961292</v>
      </c>
      <c r="S2628" s="53" t="n">
        <v>-0.68244</v>
      </c>
    </row>
    <row r="2629" customFormat="false" ht="15" hidden="false" customHeight="false" outlineLevel="0" collapsed="false">
      <c r="A2629" s="43" t="n">
        <v>126</v>
      </c>
      <c r="B2629" s="44" t="str">
        <f aca="false">'Model Inputs &amp; Assumptions'!$B$33</f>
        <v>Trade Republic — Savings Plan Push</v>
      </c>
      <c r="C2629" s="45" t="n">
        <f aca="false">ROUND(MAX(0,'Model Inputs &amp; Assumptions'!$S$33*EXP('Model Inputs &amp; Assumptions'!$T$33*P2629-'Model Inputs &amp; Assumptions'!$T$33^2/2)),0)</f>
        <v>1502933</v>
      </c>
      <c r="D2629" s="46" t="n">
        <f aca="false">MIN(1,'Model Inputs &amp; Assumptions'!$U$33*EXP('Model Inputs &amp; Assumptions'!$V$33*Q2629-'Model Inputs &amp; Assumptions'!$V$33^2/2))</f>
        <v>0</v>
      </c>
      <c r="E2629" s="45" t="n">
        <f aca="false">ROUND(C2629*D2629,0)</f>
        <v>0</v>
      </c>
      <c r="F2629" s="47" t="n">
        <f aca="false">MIN(1,'Model Inputs &amp; Assumptions'!$W$33*EXP('Model Inputs &amp; Assumptions'!$X$33*R2629-'Model Inputs &amp; Assumptions'!$X$33^2/2))</f>
        <v>0.0038283762913885</v>
      </c>
      <c r="G2629" s="45" t="n">
        <f aca="false">ROUND(C2629*F2629,0)</f>
        <v>5754</v>
      </c>
      <c r="H2629" s="48" t="n">
        <f aca="false">MAX(0,(C2629*'Model Inputs &amp; Assumptions'!$N$33+E2629*'Model Inputs &amp; Assumptions'!$O$33+G2629*'Model Inputs &amp; Assumptions'!$P$33)*EXP('Model Inputs &amp; Assumptions'!$Q$33*S2629-'Model Inputs &amp; Assumptions'!$Q$33^2/2))</f>
        <v>602.184580453422</v>
      </c>
      <c r="I2629" s="49" t="n">
        <f aca="false">IF('Model Inputs &amp; Assumptions'!$H$33="Fixed",'Model Inputs &amp; Assumptions'!$I$33*'Model Inputs &amp; Assumptions'!$K$33,IF('Model Inputs &amp; Assumptions'!$H$33="CPM",'Model Inputs &amp; Assumptions'!$I$33*'Model Inputs &amp; Assumptions'!$K$33*C2629/1000,IF('Model Inputs &amp; Assumptions'!$H$33="CPC",'Model Inputs &amp; Assumptions'!$I$33*'Model Inputs &amp; Assumptions'!$K$33*G2629,0)))</f>
        <v>25000</v>
      </c>
      <c r="J2629" s="50" t="n">
        <f aca="false">H2629*INDEX('Model Inputs &amp; Assumptions'!$D$40:$D$42,MATCH('Model Inputs &amp; Assumptions'!$L$33,'Model Inputs &amp; Assumptions'!$A$40:$A$42,0))*INDEX('Model Inputs &amp; Assumptions'!$H$40:$H$42,MATCH('Model Inputs &amp; Assumptions'!$L$33,'Model Inputs &amp; Assumptions'!$A$40:$A$42,0))</f>
        <v>3251796.73444848</v>
      </c>
      <c r="K2629" s="49" t="n">
        <f aca="false">H2629*INDEX('Model Inputs &amp; Assumptions'!$G$40:$G$42,MATCH('Model Inputs &amp; Assumptions'!$L$33,'Model Inputs &amp; Assumptions'!$A$40:$A$42,0))*INDEX('Model Inputs &amp; Assumptions'!$H$40:$H$42,MATCH('Model Inputs &amp; Assumptions'!$L$33,'Model Inputs &amp; Assumptions'!$A$40:$A$42,0))</f>
        <v>68287.7314234181</v>
      </c>
      <c r="L2629" s="51" t="n">
        <f aca="false">IFERROR(K2629/I2629,0)</f>
        <v>2.73150925693672</v>
      </c>
      <c r="M2629" s="49" t="n">
        <f aca="false">IFERROR(I2629/H2629,0)</f>
        <v>41.5155100470622</v>
      </c>
      <c r="N2629" s="52" t="str">
        <f aca="false">'Model Inputs &amp; Assumptions'!$L$33</f>
        <v>PRD-SP01</v>
      </c>
      <c r="P2629" s="53" t="n">
        <v>0.900323</v>
      </c>
      <c r="Q2629" s="53" t="n">
        <v>-0.626737</v>
      </c>
      <c r="R2629" s="53" t="n">
        <v>0.448926</v>
      </c>
      <c r="S2629" s="53" t="n">
        <v>2.437627</v>
      </c>
    </row>
    <row r="2630" customFormat="false" ht="15" hidden="false" customHeight="false" outlineLevel="0" collapsed="false">
      <c r="A2630" s="43" t="n">
        <v>127</v>
      </c>
      <c r="B2630" s="44" t="str">
        <f aca="false">'Model Inputs &amp; Assumptions'!$B$33</f>
        <v>Trade Republic — Savings Plan Push</v>
      </c>
      <c r="C2630" s="45" t="n">
        <f aca="false">ROUND(MAX(0,'Model Inputs &amp; Assumptions'!$S$33*EXP('Model Inputs &amp; Assumptions'!$T$33*P2630-'Model Inputs &amp; Assumptions'!$T$33^2/2)),0)</f>
        <v>1591957</v>
      </c>
      <c r="D2630" s="46" t="n">
        <f aca="false">MIN(1,'Model Inputs &amp; Assumptions'!$U$33*EXP('Model Inputs &amp; Assumptions'!$V$33*Q2630-'Model Inputs &amp; Assumptions'!$V$33^2/2))</f>
        <v>0</v>
      </c>
      <c r="E2630" s="45" t="n">
        <f aca="false">ROUND(C2630*D2630,0)</f>
        <v>0</v>
      </c>
      <c r="F2630" s="47" t="n">
        <f aca="false">MIN(1,'Model Inputs &amp; Assumptions'!$W$33*EXP('Model Inputs &amp; Assumptions'!$X$33*R2630-'Model Inputs &amp; Assumptions'!$X$33^2/2))</f>
        <v>0.00278272835336182</v>
      </c>
      <c r="G2630" s="45" t="n">
        <f aca="false">ROUND(C2630*F2630,0)</f>
        <v>4430</v>
      </c>
      <c r="H2630" s="48" t="n">
        <f aca="false">MAX(0,(C2630*'Model Inputs &amp; Assumptions'!$N$33+E2630*'Model Inputs &amp; Assumptions'!$O$33+G2630*'Model Inputs &amp; Assumptions'!$P$33)*EXP('Model Inputs &amp; Assumptions'!$Q$33*S2630-'Model Inputs &amp; Assumptions'!$Q$33^2/2))</f>
        <v>181.730461630468</v>
      </c>
      <c r="I2630" s="49" t="n">
        <f aca="false">IF('Model Inputs &amp; Assumptions'!$H$33="Fixed",'Model Inputs &amp; Assumptions'!$I$33*'Model Inputs &amp; Assumptions'!$K$33,IF('Model Inputs &amp; Assumptions'!$H$33="CPM",'Model Inputs &amp; Assumptions'!$I$33*'Model Inputs &amp; Assumptions'!$K$33*C2630/1000,IF('Model Inputs &amp; Assumptions'!$H$33="CPC",'Model Inputs &amp; Assumptions'!$I$33*'Model Inputs &amp; Assumptions'!$K$33*G2630,0)))</f>
        <v>25000</v>
      </c>
      <c r="J2630" s="50" t="n">
        <f aca="false">H2630*INDEX('Model Inputs &amp; Assumptions'!$D$40:$D$42,MATCH('Model Inputs &amp; Assumptions'!$L$33,'Model Inputs &amp; Assumptions'!$A$40:$A$42,0))*INDEX('Model Inputs &amp; Assumptions'!$H$40:$H$42,MATCH('Model Inputs &amp; Assumptions'!$L$33,'Model Inputs &amp; Assumptions'!$A$40:$A$42,0))</f>
        <v>981344.492804528</v>
      </c>
      <c r="K2630" s="49" t="n">
        <f aca="false">H2630*INDEX('Model Inputs &amp; Assumptions'!$G$40:$G$42,MATCH('Model Inputs &amp; Assumptions'!$L$33,'Model Inputs &amp; Assumptions'!$A$40:$A$42,0))*INDEX('Model Inputs &amp; Assumptions'!$H$40:$H$42,MATCH('Model Inputs &amp; Assumptions'!$L$33,'Model Inputs &amp; Assumptions'!$A$40:$A$42,0))</f>
        <v>20608.2343488951</v>
      </c>
      <c r="L2630" s="51" t="n">
        <f aca="false">IFERROR(K2630/I2630,0)</f>
        <v>0.824329373955803</v>
      </c>
      <c r="M2630" s="49" t="n">
        <f aca="false">IFERROR(I2630/H2630,0)</f>
        <v>137.566370413096</v>
      </c>
      <c r="N2630" s="52" t="str">
        <f aca="false">'Model Inputs &amp; Assumptions'!$L$33</f>
        <v>PRD-SP01</v>
      </c>
      <c r="P2630" s="53" t="n">
        <v>1.092142</v>
      </c>
      <c r="Q2630" s="53" t="n">
        <v>-0.788906</v>
      </c>
      <c r="R2630" s="53" t="n">
        <v>-0.614437</v>
      </c>
      <c r="S2630" s="53" t="n">
        <v>-0.907172</v>
      </c>
    </row>
    <row r="2631" customFormat="false" ht="15" hidden="false" customHeight="false" outlineLevel="0" collapsed="false">
      <c r="A2631" s="43" t="n">
        <v>128</v>
      </c>
      <c r="B2631" s="44" t="str">
        <f aca="false">'Model Inputs &amp; Assumptions'!$B$33</f>
        <v>Trade Republic — Savings Plan Push</v>
      </c>
      <c r="C2631" s="45" t="n">
        <f aca="false">ROUND(MAX(0,'Model Inputs &amp; Assumptions'!$S$33*EXP('Model Inputs &amp; Assumptions'!$T$33*P2631-'Model Inputs &amp; Assumptions'!$T$33^2/2)),0)</f>
        <v>979872</v>
      </c>
      <c r="D2631" s="46" t="n">
        <f aca="false">MIN(1,'Model Inputs &amp; Assumptions'!$U$33*EXP('Model Inputs &amp; Assumptions'!$V$33*Q2631-'Model Inputs &amp; Assumptions'!$V$33^2/2))</f>
        <v>0</v>
      </c>
      <c r="E2631" s="45" t="n">
        <f aca="false">ROUND(C2631*D2631,0)</f>
        <v>0</v>
      </c>
      <c r="F2631" s="47" t="n">
        <f aca="false">MIN(1,'Model Inputs &amp; Assumptions'!$W$33*EXP('Model Inputs &amp; Assumptions'!$X$33*R2631-'Model Inputs &amp; Assumptions'!$X$33^2/2))</f>
        <v>0.00255151083617584</v>
      </c>
      <c r="G2631" s="45" t="n">
        <f aca="false">ROUND(C2631*F2631,0)</f>
        <v>2500</v>
      </c>
      <c r="H2631" s="48" t="n">
        <f aca="false">MAX(0,(C2631*'Model Inputs &amp; Assumptions'!$N$33+E2631*'Model Inputs &amp; Assumptions'!$O$33+G2631*'Model Inputs &amp; Assumptions'!$P$33)*EXP('Model Inputs &amp; Assumptions'!$Q$33*S2631-'Model Inputs &amp; Assumptions'!$Q$33^2/2))</f>
        <v>125.62805502274</v>
      </c>
      <c r="I2631" s="49" t="n">
        <f aca="false">IF('Model Inputs &amp; Assumptions'!$H$33="Fixed",'Model Inputs &amp; Assumptions'!$I$33*'Model Inputs &amp; Assumptions'!$K$33,IF('Model Inputs &amp; Assumptions'!$H$33="CPM",'Model Inputs &amp; Assumptions'!$I$33*'Model Inputs &amp; Assumptions'!$K$33*C2631/1000,IF('Model Inputs &amp; Assumptions'!$H$33="CPC",'Model Inputs &amp; Assumptions'!$I$33*'Model Inputs &amp; Assumptions'!$K$33*G2631,0)))</f>
        <v>25000</v>
      </c>
      <c r="J2631" s="50" t="n">
        <f aca="false">H2631*INDEX('Model Inputs &amp; Assumptions'!$D$40:$D$42,MATCH('Model Inputs &amp; Assumptions'!$L$33,'Model Inputs &amp; Assumptions'!$A$40:$A$42,0))*INDEX('Model Inputs &amp; Assumptions'!$H$40:$H$42,MATCH('Model Inputs &amp; Assumptions'!$L$33,'Model Inputs &amp; Assumptions'!$A$40:$A$42,0))</f>
        <v>678391.497122798</v>
      </c>
      <c r="K2631" s="49" t="n">
        <f aca="false">H2631*INDEX('Model Inputs &amp; Assumptions'!$G$40:$G$42,MATCH('Model Inputs &amp; Assumptions'!$L$33,'Model Inputs &amp; Assumptions'!$A$40:$A$42,0))*INDEX('Model Inputs &amp; Assumptions'!$H$40:$H$42,MATCH('Model Inputs &amp; Assumptions'!$L$33,'Model Inputs &amp; Assumptions'!$A$40:$A$42,0))</f>
        <v>14246.2214395788</v>
      </c>
      <c r="L2631" s="51" t="n">
        <f aca="false">IFERROR(K2631/I2631,0)</f>
        <v>0.56984885758315</v>
      </c>
      <c r="M2631" s="49" t="n">
        <f aca="false">IFERROR(I2631/H2631,0)</f>
        <v>199.000135721871</v>
      </c>
      <c r="N2631" s="52" t="str">
        <f aca="false">'Model Inputs &amp; Assumptions'!$L$33</f>
        <v>PRD-SP01</v>
      </c>
      <c r="P2631" s="53" t="n">
        <v>-0.525516</v>
      </c>
      <c r="Q2631" s="53" t="n">
        <v>-0.228098</v>
      </c>
      <c r="R2631" s="53" t="n">
        <v>-0.903591</v>
      </c>
      <c r="S2631" s="53" t="n">
        <v>-0.182494</v>
      </c>
    </row>
    <row r="2632" customFormat="false" ht="15" hidden="false" customHeight="false" outlineLevel="0" collapsed="false">
      <c r="A2632" s="43" t="n">
        <v>129</v>
      </c>
      <c r="B2632" s="44" t="str">
        <f aca="false">'Model Inputs &amp; Assumptions'!$B$33</f>
        <v>Trade Republic — Savings Plan Push</v>
      </c>
      <c r="C2632" s="45" t="n">
        <f aca="false">ROUND(MAX(0,'Model Inputs &amp; Assumptions'!$S$33*EXP('Model Inputs &amp; Assumptions'!$T$33*P2632-'Model Inputs &amp; Assumptions'!$T$33^2/2)),0)</f>
        <v>1169396</v>
      </c>
      <c r="D2632" s="46" t="n">
        <f aca="false">MIN(1,'Model Inputs &amp; Assumptions'!$U$33*EXP('Model Inputs &amp; Assumptions'!$V$33*Q2632-'Model Inputs &amp; Assumptions'!$V$33^2/2))</f>
        <v>0</v>
      </c>
      <c r="E2632" s="45" t="n">
        <f aca="false">ROUND(C2632*D2632,0)</f>
        <v>0</v>
      </c>
      <c r="F2632" s="47" t="n">
        <f aca="false">MIN(1,'Model Inputs &amp; Assumptions'!$W$33*EXP('Model Inputs &amp; Assumptions'!$X$33*R2632-'Model Inputs &amp; Assumptions'!$X$33^2/2))</f>
        <v>0.00335574522178373</v>
      </c>
      <c r="G2632" s="45" t="n">
        <f aca="false">ROUND(C2632*F2632,0)</f>
        <v>3924</v>
      </c>
      <c r="H2632" s="48" t="n">
        <f aca="false">MAX(0,(C2632*'Model Inputs &amp; Assumptions'!$N$33+E2632*'Model Inputs &amp; Assumptions'!$O$33+G2632*'Model Inputs &amp; Assumptions'!$P$33)*EXP('Model Inputs &amp; Assumptions'!$Q$33*S2632-'Model Inputs &amp; Assumptions'!$Q$33^2/2))</f>
        <v>146.562788478518</v>
      </c>
      <c r="I2632" s="49" t="n">
        <f aca="false">IF('Model Inputs &amp; Assumptions'!$H$33="Fixed",'Model Inputs &amp; Assumptions'!$I$33*'Model Inputs &amp; Assumptions'!$K$33,IF('Model Inputs &amp; Assumptions'!$H$33="CPM",'Model Inputs &amp; Assumptions'!$I$33*'Model Inputs &amp; Assumptions'!$K$33*C2632/1000,IF('Model Inputs &amp; Assumptions'!$H$33="CPC",'Model Inputs &amp; Assumptions'!$I$33*'Model Inputs &amp; Assumptions'!$K$33*G2632,0)))</f>
        <v>25000</v>
      </c>
      <c r="J2632" s="50" t="n">
        <f aca="false">H2632*INDEX('Model Inputs &amp; Assumptions'!$D$40:$D$42,MATCH('Model Inputs &amp; Assumptions'!$L$33,'Model Inputs &amp; Assumptions'!$A$40:$A$42,0))*INDEX('Model Inputs &amp; Assumptions'!$H$40:$H$42,MATCH('Model Inputs &amp; Assumptions'!$L$33,'Model Inputs &amp; Assumptions'!$A$40:$A$42,0))</f>
        <v>791439.057783998</v>
      </c>
      <c r="K2632" s="49" t="n">
        <f aca="false">H2632*INDEX('Model Inputs &amp; Assumptions'!$G$40:$G$42,MATCH('Model Inputs &amp; Assumptions'!$L$33,'Model Inputs &amp; Assumptions'!$A$40:$A$42,0))*INDEX('Model Inputs &amp; Assumptions'!$H$40:$H$42,MATCH('Model Inputs &amp; Assumptions'!$L$33,'Model Inputs &amp; Assumptions'!$A$40:$A$42,0))</f>
        <v>16620.220213464</v>
      </c>
      <c r="L2632" s="51" t="n">
        <f aca="false">IFERROR(K2632/I2632,0)</f>
        <v>0.664808808538559</v>
      </c>
      <c r="M2632" s="49" t="n">
        <f aca="false">IFERROR(I2632/H2632,0)</f>
        <v>170.575357220801</v>
      </c>
      <c r="N2632" s="52" t="str">
        <f aca="false">'Model Inputs &amp; Assumptions'!$L$33</f>
        <v>PRD-SP01</v>
      </c>
      <c r="P2632" s="53" t="n">
        <v>0.063887</v>
      </c>
      <c r="Q2632" s="53" t="n">
        <v>0.326723</v>
      </c>
      <c r="R2632" s="53" t="n">
        <v>0.009703</v>
      </c>
      <c r="S2632" s="53" t="n">
        <v>-1.24211</v>
      </c>
    </row>
    <row r="2633" customFormat="false" ht="15" hidden="false" customHeight="false" outlineLevel="0" collapsed="false">
      <c r="A2633" s="43" t="n">
        <v>130</v>
      </c>
      <c r="B2633" s="44" t="str">
        <f aca="false">'Model Inputs &amp; Assumptions'!$B$33</f>
        <v>Trade Republic — Savings Plan Push</v>
      </c>
      <c r="C2633" s="45" t="n">
        <f aca="false">ROUND(MAX(0,'Model Inputs &amp; Assumptions'!$S$33*EXP('Model Inputs &amp; Assumptions'!$T$33*P2633-'Model Inputs &amp; Assumptions'!$T$33^2/2)),0)</f>
        <v>2138004</v>
      </c>
      <c r="D2633" s="46" t="n">
        <f aca="false">MIN(1,'Model Inputs &amp; Assumptions'!$U$33*EXP('Model Inputs &amp; Assumptions'!$V$33*Q2633-'Model Inputs &amp; Assumptions'!$V$33^2/2))</f>
        <v>0</v>
      </c>
      <c r="E2633" s="45" t="n">
        <f aca="false">ROUND(C2633*D2633,0)</f>
        <v>0</v>
      </c>
      <c r="F2633" s="47" t="n">
        <f aca="false">MIN(1,'Model Inputs &amp; Assumptions'!$W$33*EXP('Model Inputs &amp; Assumptions'!$X$33*R2633-'Model Inputs &amp; Assumptions'!$X$33^2/2))</f>
        <v>0.0032680538946586</v>
      </c>
      <c r="G2633" s="45" t="n">
        <f aca="false">ROUND(C2633*F2633,0)</f>
        <v>6987</v>
      </c>
      <c r="H2633" s="48" t="n">
        <f aca="false">MAX(0,(C2633*'Model Inputs &amp; Assumptions'!$N$33+E2633*'Model Inputs &amp; Assumptions'!$O$33+G2633*'Model Inputs &amp; Assumptions'!$P$33)*EXP('Model Inputs &amp; Assumptions'!$Q$33*S2633-'Model Inputs &amp; Assumptions'!$Q$33^2/2))</f>
        <v>292.057629706284</v>
      </c>
      <c r="I2633" s="49" t="n">
        <f aca="false">IF('Model Inputs &amp; Assumptions'!$H$33="Fixed",'Model Inputs &amp; Assumptions'!$I$33*'Model Inputs &amp; Assumptions'!$K$33,IF('Model Inputs &amp; Assumptions'!$H$33="CPM",'Model Inputs &amp; Assumptions'!$I$33*'Model Inputs &amp; Assumptions'!$K$33*C2633/1000,IF('Model Inputs &amp; Assumptions'!$H$33="CPC",'Model Inputs &amp; Assumptions'!$I$33*'Model Inputs &amp; Assumptions'!$K$33*G2633,0)))</f>
        <v>25000</v>
      </c>
      <c r="J2633" s="50" t="n">
        <f aca="false">H2633*INDEX('Model Inputs &amp; Assumptions'!$D$40:$D$42,MATCH('Model Inputs &amp; Assumptions'!$L$33,'Model Inputs &amp; Assumptions'!$A$40:$A$42,0))*INDEX('Model Inputs &amp; Assumptions'!$H$40:$H$42,MATCH('Model Inputs &amp; Assumptions'!$L$33,'Model Inputs &amp; Assumptions'!$A$40:$A$42,0))</f>
        <v>1577111.20041393</v>
      </c>
      <c r="K2633" s="49" t="n">
        <f aca="false">H2633*INDEX('Model Inputs &amp; Assumptions'!$G$40:$G$42,MATCH('Model Inputs &amp; Assumptions'!$L$33,'Model Inputs &amp; Assumptions'!$A$40:$A$42,0))*INDEX('Model Inputs &amp; Assumptions'!$H$40:$H$42,MATCH('Model Inputs &amp; Assumptions'!$L$33,'Model Inputs &amp; Assumptions'!$A$40:$A$42,0))</f>
        <v>33119.3352086926</v>
      </c>
      <c r="L2633" s="51" t="n">
        <f aca="false">IFERROR(K2633/I2633,0)</f>
        <v>1.3247734083477</v>
      </c>
      <c r="M2633" s="49" t="n">
        <f aca="false">IFERROR(I2633/H2633,0)</f>
        <v>85.599544258241</v>
      </c>
      <c r="N2633" s="52" t="str">
        <f aca="false">'Model Inputs &amp; Assumptions'!$L$33</f>
        <v>PRD-SP01</v>
      </c>
      <c r="P2633" s="53" t="n">
        <v>2.075171</v>
      </c>
      <c r="Q2633" s="53" t="n">
        <v>-0.412955</v>
      </c>
      <c r="R2633" s="53" t="n">
        <v>-0.078561</v>
      </c>
      <c r="S2633" s="53" t="n">
        <v>-0.840119</v>
      </c>
    </row>
    <row r="2634" customFormat="false" ht="15" hidden="false" customHeight="false" outlineLevel="0" collapsed="false">
      <c r="A2634" s="43" t="n">
        <v>131</v>
      </c>
      <c r="B2634" s="44" t="str">
        <f aca="false">'Model Inputs &amp; Assumptions'!$B$33</f>
        <v>Trade Republic — Savings Plan Push</v>
      </c>
      <c r="C2634" s="45" t="n">
        <f aca="false">ROUND(MAX(0,'Model Inputs &amp; Assumptions'!$S$33*EXP('Model Inputs &amp; Assumptions'!$T$33*P2634-'Model Inputs &amp; Assumptions'!$T$33^2/2)),0)</f>
        <v>1647456</v>
      </c>
      <c r="D2634" s="46" t="n">
        <f aca="false">MIN(1,'Model Inputs &amp; Assumptions'!$U$33*EXP('Model Inputs &amp; Assumptions'!$V$33*Q2634-'Model Inputs &amp; Assumptions'!$V$33^2/2))</f>
        <v>0</v>
      </c>
      <c r="E2634" s="45" t="n">
        <f aca="false">ROUND(C2634*D2634,0)</f>
        <v>0</v>
      </c>
      <c r="F2634" s="47" t="n">
        <f aca="false">MIN(1,'Model Inputs &amp; Assumptions'!$W$33*EXP('Model Inputs &amp; Assumptions'!$X$33*R2634-'Model Inputs &amp; Assumptions'!$X$33^2/2))</f>
        <v>0.00279138550263087</v>
      </c>
      <c r="G2634" s="45" t="n">
        <f aca="false">ROUND(C2634*F2634,0)</f>
        <v>4599</v>
      </c>
      <c r="H2634" s="48" t="n">
        <f aca="false">MAX(0,(C2634*'Model Inputs &amp; Assumptions'!$N$33+E2634*'Model Inputs &amp; Assumptions'!$O$33+G2634*'Model Inputs &amp; Assumptions'!$P$33)*EXP('Model Inputs &amp; Assumptions'!$Q$33*S2634-'Model Inputs &amp; Assumptions'!$Q$33^2/2))</f>
        <v>240.854311425562</v>
      </c>
      <c r="I2634" s="49" t="n">
        <f aca="false">IF('Model Inputs &amp; Assumptions'!$H$33="Fixed",'Model Inputs &amp; Assumptions'!$I$33*'Model Inputs &amp; Assumptions'!$K$33,IF('Model Inputs &amp; Assumptions'!$H$33="CPM",'Model Inputs &amp; Assumptions'!$I$33*'Model Inputs &amp; Assumptions'!$K$33*C2634/1000,IF('Model Inputs &amp; Assumptions'!$H$33="CPC",'Model Inputs &amp; Assumptions'!$I$33*'Model Inputs &amp; Assumptions'!$K$33*G2634,0)))</f>
        <v>25000</v>
      </c>
      <c r="J2634" s="50" t="n">
        <f aca="false">H2634*INDEX('Model Inputs &amp; Assumptions'!$D$40:$D$42,MATCH('Model Inputs &amp; Assumptions'!$L$33,'Model Inputs &amp; Assumptions'!$A$40:$A$42,0))*INDEX('Model Inputs &amp; Assumptions'!$H$40:$H$42,MATCH('Model Inputs &amp; Assumptions'!$L$33,'Model Inputs &amp; Assumptions'!$A$40:$A$42,0))</f>
        <v>1300613.28169804</v>
      </c>
      <c r="K2634" s="49" t="n">
        <f aca="false">H2634*INDEX('Model Inputs &amp; Assumptions'!$G$40:$G$42,MATCH('Model Inputs &amp; Assumptions'!$L$33,'Model Inputs &amp; Assumptions'!$A$40:$A$42,0))*INDEX('Model Inputs &amp; Assumptions'!$H$40:$H$42,MATCH('Model Inputs &amp; Assumptions'!$L$33,'Model Inputs &amp; Assumptions'!$A$40:$A$42,0))</f>
        <v>27312.8789156588</v>
      </c>
      <c r="L2634" s="51" t="n">
        <f aca="false">IFERROR(K2634/I2634,0)</f>
        <v>1.09251515662635</v>
      </c>
      <c r="M2634" s="49" t="n">
        <f aca="false">IFERROR(I2634/H2634,0)</f>
        <v>103.797186988394</v>
      </c>
      <c r="N2634" s="52" t="str">
        <f aca="false">'Model Inputs &amp; Assumptions'!$L$33</f>
        <v>PRD-SP01</v>
      </c>
      <c r="P2634" s="53" t="n">
        <v>1.20637</v>
      </c>
      <c r="Q2634" s="53" t="n">
        <v>-0.19074</v>
      </c>
      <c r="R2634" s="53" t="n">
        <v>-0.604083</v>
      </c>
      <c r="S2634" s="53" t="n">
        <v>-0.034928</v>
      </c>
    </row>
    <row r="2635" customFormat="false" ht="15" hidden="false" customHeight="false" outlineLevel="0" collapsed="false">
      <c r="A2635" s="43" t="n">
        <v>132</v>
      </c>
      <c r="B2635" s="44" t="str">
        <f aca="false">'Model Inputs &amp; Assumptions'!$B$33</f>
        <v>Trade Republic — Savings Plan Push</v>
      </c>
      <c r="C2635" s="45" t="n">
        <f aca="false">ROUND(MAX(0,'Model Inputs &amp; Assumptions'!$S$33*EXP('Model Inputs &amp; Assumptions'!$T$33*P2635-'Model Inputs &amp; Assumptions'!$T$33^2/2)),0)</f>
        <v>754479</v>
      </c>
      <c r="D2635" s="46" t="n">
        <f aca="false">MIN(1,'Model Inputs &amp; Assumptions'!$U$33*EXP('Model Inputs &amp; Assumptions'!$V$33*Q2635-'Model Inputs &amp; Assumptions'!$V$33^2/2))</f>
        <v>0</v>
      </c>
      <c r="E2635" s="45" t="n">
        <f aca="false">ROUND(C2635*D2635,0)</f>
        <v>0</v>
      </c>
      <c r="F2635" s="47" t="n">
        <f aca="false">MIN(1,'Model Inputs &amp; Assumptions'!$W$33*EXP('Model Inputs &amp; Assumptions'!$X$33*R2635-'Model Inputs &amp; Assumptions'!$X$33^2/2))</f>
        <v>0.00390457744408434</v>
      </c>
      <c r="G2635" s="45" t="n">
        <f aca="false">ROUND(C2635*F2635,0)</f>
        <v>2946</v>
      </c>
      <c r="H2635" s="48" t="n">
        <f aca="false">MAX(0,(C2635*'Model Inputs &amp; Assumptions'!$N$33+E2635*'Model Inputs &amp; Assumptions'!$O$33+G2635*'Model Inputs &amp; Assumptions'!$P$33)*EXP('Model Inputs &amp; Assumptions'!$Q$33*S2635-'Model Inputs &amp; Assumptions'!$Q$33^2/2))</f>
        <v>171.314481961737</v>
      </c>
      <c r="I2635" s="49" t="n">
        <f aca="false">IF('Model Inputs &amp; Assumptions'!$H$33="Fixed",'Model Inputs &amp; Assumptions'!$I$33*'Model Inputs &amp; Assumptions'!$K$33,IF('Model Inputs &amp; Assumptions'!$H$33="CPM",'Model Inputs &amp; Assumptions'!$I$33*'Model Inputs &amp; Assumptions'!$K$33*C2635/1000,IF('Model Inputs &amp; Assumptions'!$H$33="CPC",'Model Inputs &amp; Assumptions'!$I$33*'Model Inputs &amp; Assumptions'!$K$33*G2635,0)))</f>
        <v>25000</v>
      </c>
      <c r="J2635" s="50" t="n">
        <f aca="false">H2635*INDEX('Model Inputs &amp; Assumptions'!$D$40:$D$42,MATCH('Model Inputs &amp; Assumptions'!$L$33,'Model Inputs &amp; Assumptions'!$A$40:$A$42,0))*INDEX('Model Inputs &amp; Assumptions'!$H$40:$H$42,MATCH('Model Inputs &amp; Assumptions'!$L$33,'Model Inputs &amp; Assumptions'!$A$40:$A$42,0))</f>
        <v>925098.202593378</v>
      </c>
      <c r="K2635" s="49" t="n">
        <f aca="false">H2635*INDEX('Model Inputs &amp; Assumptions'!$G$40:$G$42,MATCH('Model Inputs &amp; Assumptions'!$L$33,'Model Inputs &amp; Assumptions'!$A$40:$A$42,0))*INDEX('Model Inputs &amp; Assumptions'!$H$40:$H$42,MATCH('Model Inputs &amp; Assumptions'!$L$33,'Model Inputs &amp; Assumptions'!$A$40:$A$42,0))</f>
        <v>19427.0622544609</v>
      </c>
      <c r="L2635" s="51" t="n">
        <f aca="false">IFERROR(K2635/I2635,0)</f>
        <v>0.777082490178437</v>
      </c>
      <c r="M2635" s="49" t="n">
        <f aca="false">IFERROR(I2635/H2635,0)</f>
        <v>145.930453244366</v>
      </c>
      <c r="N2635" s="52" t="str">
        <f aca="false">'Model Inputs &amp; Assumptions'!$L$33</f>
        <v>PRD-SP01</v>
      </c>
      <c r="P2635" s="53" t="n">
        <v>-1.396831</v>
      </c>
      <c r="Q2635" s="53" t="n">
        <v>-0.083614</v>
      </c>
      <c r="R2635" s="53" t="n">
        <v>0.514622</v>
      </c>
      <c r="S2635" s="53" t="n">
        <v>0.338998</v>
      </c>
    </row>
    <row r="2636" customFormat="false" ht="15" hidden="false" customHeight="false" outlineLevel="0" collapsed="false">
      <c r="A2636" s="43" t="n">
        <v>133</v>
      </c>
      <c r="B2636" s="44" t="str">
        <f aca="false">'Model Inputs &amp; Assumptions'!$B$33</f>
        <v>Trade Republic — Savings Plan Push</v>
      </c>
      <c r="C2636" s="45" t="n">
        <f aca="false">ROUND(MAX(0,'Model Inputs &amp; Assumptions'!$S$33*EXP('Model Inputs &amp; Assumptions'!$T$33*P2636-'Model Inputs &amp; Assumptions'!$T$33^2/2)),0)</f>
        <v>1168047</v>
      </c>
      <c r="D2636" s="46" t="n">
        <f aca="false">MIN(1,'Model Inputs &amp; Assumptions'!$U$33*EXP('Model Inputs &amp; Assumptions'!$V$33*Q2636-'Model Inputs &amp; Assumptions'!$V$33^2/2))</f>
        <v>0</v>
      </c>
      <c r="E2636" s="45" t="n">
        <f aca="false">ROUND(C2636*D2636,0)</f>
        <v>0</v>
      </c>
      <c r="F2636" s="47" t="n">
        <f aca="false">MIN(1,'Model Inputs &amp; Assumptions'!$W$33*EXP('Model Inputs &amp; Assumptions'!$X$33*R2636-'Model Inputs &amp; Assumptions'!$X$33^2/2))</f>
        <v>0.00338194121465109</v>
      </c>
      <c r="G2636" s="45" t="n">
        <f aca="false">ROUND(C2636*F2636,0)</f>
        <v>3950</v>
      </c>
      <c r="H2636" s="48" t="n">
        <f aca="false">MAX(0,(C2636*'Model Inputs &amp; Assumptions'!$N$33+E2636*'Model Inputs &amp; Assumptions'!$O$33+G2636*'Model Inputs &amp; Assumptions'!$P$33)*EXP('Model Inputs &amp; Assumptions'!$Q$33*S2636-'Model Inputs &amp; Assumptions'!$Q$33^2/2))</f>
        <v>269.879381539997</v>
      </c>
      <c r="I2636" s="49" t="n">
        <f aca="false">IF('Model Inputs &amp; Assumptions'!$H$33="Fixed",'Model Inputs &amp; Assumptions'!$I$33*'Model Inputs &amp; Assumptions'!$K$33,IF('Model Inputs &amp; Assumptions'!$H$33="CPM",'Model Inputs &amp; Assumptions'!$I$33*'Model Inputs &amp; Assumptions'!$K$33*C2636/1000,IF('Model Inputs &amp; Assumptions'!$H$33="CPC",'Model Inputs &amp; Assumptions'!$I$33*'Model Inputs &amp; Assumptions'!$K$33*G2636,0)))</f>
        <v>25000</v>
      </c>
      <c r="J2636" s="50" t="n">
        <f aca="false">H2636*INDEX('Model Inputs &amp; Assumptions'!$D$40:$D$42,MATCH('Model Inputs &amp; Assumptions'!$L$33,'Model Inputs &amp; Assumptions'!$A$40:$A$42,0))*INDEX('Model Inputs &amp; Assumptions'!$H$40:$H$42,MATCH('Model Inputs &amp; Assumptions'!$L$33,'Model Inputs &amp; Assumptions'!$A$40:$A$42,0))</f>
        <v>1457348.66031598</v>
      </c>
      <c r="K2636" s="49" t="n">
        <f aca="false">H2636*INDEX('Model Inputs &amp; Assumptions'!$G$40:$G$42,MATCH('Model Inputs &amp; Assumptions'!$L$33,'Model Inputs &amp; Assumptions'!$A$40:$A$42,0))*INDEX('Model Inputs &amp; Assumptions'!$H$40:$H$42,MATCH('Model Inputs &amp; Assumptions'!$L$33,'Model Inputs &amp; Assumptions'!$A$40:$A$42,0))</f>
        <v>30604.3218666357</v>
      </c>
      <c r="L2636" s="51" t="n">
        <f aca="false">IFERROR(K2636/I2636,0)</f>
        <v>1.22417287466543</v>
      </c>
      <c r="M2636" s="49" t="n">
        <f aca="false">IFERROR(I2636/H2636,0)</f>
        <v>92.6339754350405</v>
      </c>
      <c r="N2636" s="52" t="str">
        <f aca="false">'Model Inputs &amp; Assumptions'!$L$33</f>
        <v>PRD-SP01</v>
      </c>
      <c r="P2636" s="53" t="n">
        <v>0.060038</v>
      </c>
      <c r="Q2636" s="53" t="n">
        <v>0.815648</v>
      </c>
      <c r="R2636" s="53" t="n">
        <v>0.035623</v>
      </c>
      <c r="S2636" s="53" t="n">
        <v>0.914737</v>
      </c>
    </row>
    <row r="2637" customFormat="false" ht="15" hidden="false" customHeight="false" outlineLevel="0" collapsed="false">
      <c r="A2637" s="43" t="n">
        <v>134</v>
      </c>
      <c r="B2637" s="44" t="str">
        <f aca="false">'Model Inputs &amp; Assumptions'!$B$33</f>
        <v>Trade Republic — Savings Plan Push</v>
      </c>
      <c r="C2637" s="45" t="n">
        <f aca="false">ROUND(MAX(0,'Model Inputs &amp; Assumptions'!$S$33*EXP('Model Inputs &amp; Assumptions'!$T$33*P2637-'Model Inputs &amp; Assumptions'!$T$33^2/2)),0)</f>
        <v>1476569</v>
      </c>
      <c r="D2637" s="46" t="n">
        <f aca="false">MIN(1,'Model Inputs &amp; Assumptions'!$U$33*EXP('Model Inputs &amp; Assumptions'!$V$33*Q2637-'Model Inputs &amp; Assumptions'!$V$33^2/2))</f>
        <v>0</v>
      </c>
      <c r="E2637" s="45" t="n">
        <f aca="false">ROUND(C2637*D2637,0)</f>
        <v>0</v>
      </c>
      <c r="F2637" s="47" t="n">
        <f aca="false">MIN(1,'Model Inputs &amp; Assumptions'!$W$33*EXP('Model Inputs &amp; Assumptions'!$X$33*R2637-'Model Inputs &amp; Assumptions'!$X$33^2/2))</f>
        <v>0.00381836289215128</v>
      </c>
      <c r="G2637" s="45" t="n">
        <f aca="false">ROUND(C2637*F2637,0)</f>
        <v>5638</v>
      </c>
      <c r="H2637" s="48" t="n">
        <f aca="false">MAX(0,(C2637*'Model Inputs &amp; Assumptions'!$N$33+E2637*'Model Inputs &amp; Assumptions'!$O$33+G2637*'Model Inputs &amp; Assumptions'!$P$33)*EXP('Model Inputs &amp; Assumptions'!$Q$33*S2637-'Model Inputs &amp; Assumptions'!$Q$33^2/2))</f>
        <v>256.566594328277</v>
      </c>
      <c r="I2637" s="49" t="n">
        <f aca="false">IF('Model Inputs &amp; Assumptions'!$H$33="Fixed",'Model Inputs &amp; Assumptions'!$I$33*'Model Inputs &amp; Assumptions'!$K$33,IF('Model Inputs &amp; Assumptions'!$H$33="CPM",'Model Inputs &amp; Assumptions'!$I$33*'Model Inputs &amp; Assumptions'!$K$33*C2637/1000,IF('Model Inputs &amp; Assumptions'!$H$33="CPC",'Model Inputs &amp; Assumptions'!$I$33*'Model Inputs &amp; Assumptions'!$K$33*G2637,0)))</f>
        <v>25000</v>
      </c>
      <c r="J2637" s="50" t="n">
        <f aca="false">H2637*INDEX('Model Inputs &amp; Assumptions'!$D$40:$D$42,MATCH('Model Inputs &amp; Assumptions'!$L$33,'Model Inputs &amp; Assumptions'!$A$40:$A$42,0))*INDEX('Model Inputs &amp; Assumptions'!$H$40:$H$42,MATCH('Model Inputs &amp; Assumptions'!$L$33,'Model Inputs &amp; Assumptions'!$A$40:$A$42,0))</f>
        <v>1385459.6093727</v>
      </c>
      <c r="K2637" s="49" t="n">
        <f aca="false">H2637*INDEX('Model Inputs &amp; Assumptions'!$G$40:$G$42,MATCH('Model Inputs &amp; Assumptions'!$L$33,'Model Inputs &amp; Assumptions'!$A$40:$A$42,0))*INDEX('Model Inputs &amp; Assumptions'!$H$40:$H$42,MATCH('Model Inputs &amp; Assumptions'!$L$33,'Model Inputs &amp; Assumptions'!$A$40:$A$42,0))</f>
        <v>29094.6517968266</v>
      </c>
      <c r="L2637" s="51" t="n">
        <f aca="false">IFERROR(K2637/I2637,0)</f>
        <v>1.16378607187307</v>
      </c>
      <c r="M2637" s="49" t="n">
        <f aca="false">IFERROR(I2637/H2637,0)</f>
        <v>97.4405887307857</v>
      </c>
      <c r="N2637" s="52" t="str">
        <f aca="false">'Model Inputs &amp; Assumptions'!$L$33</f>
        <v>PRD-SP01</v>
      </c>
      <c r="P2637" s="53" t="n">
        <v>0.841332</v>
      </c>
      <c r="Q2637" s="53" t="n">
        <v>-0.414885</v>
      </c>
      <c r="R2637" s="53" t="n">
        <v>0.440196</v>
      </c>
      <c r="S2637" s="53" t="n">
        <v>-0.536694</v>
      </c>
    </row>
    <row r="2638" customFormat="false" ht="15" hidden="false" customHeight="false" outlineLevel="0" collapsed="false">
      <c r="A2638" s="43" t="n">
        <v>135</v>
      </c>
      <c r="B2638" s="44" t="str">
        <f aca="false">'Model Inputs &amp; Assumptions'!$B$33</f>
        <v>Trade Republic — Savings Plan Push</v>
      </c>
      <c r="C2638" s="45" t="n">
        <f aca="false">ROUND(MAX(0,'Model Inputs &amp; Assumptions'!$S$33*EXP('Model Inputs &amp; Assumptions'!$T$33*P2638-'Model Inputs &amp; Assumptions'!$T$33^2/2)),0)</f>
        <v>1642850</v>
      </c>
      <c r="D2638" s="46" t="n">
        <f aca="false">MIN(1,'Model Inputs &amp; Assumptions'!$U$33*EXP('Model Inputs &amp; Assumptions'!$V$33*Q2638-'Model Inputs &amp; Assumptions'!$V$33^2/2))</f>
        <v>0</v>
      </c>
      <c r="E2638" s="45" t="n">
        <f aca="false">ROUND(C2638*D2638,0)</f>
        <v>0</v>
      </c>
      <c r="F2638" s="47" t="n">
        <f aca="false">MIN(1,'Model Inputs &amp; Assumptions'!$W$33*EXP('Model Inputs &amp; Assumptions'!$X$33*R2638-'Model Inputs &amp; Assumptions'!$X$33^2/2))</f>
        <v>0.00359388492244399</v>
      </c>
      <c r="G2638" s="45" t="n">
        <f aca="false">ROUND(C2638*F2638,0)</f>
        <v>5904</v>
      </c>
      <c r="H2638" s="48" t="n">
        <f aca="false">MAX(0,(C2638*'Model Inputs &amp; Assumptions'!$N$33+E2638*'Model Inputs &amp; Assumptions'!$O$33+G2638*'Model Inputs &amp; Assumptions'!$P$33)*EXP('Model Inputs &amp; Assumptions'!$Q$33*S2638-'Model Inputs &amp; Assumptions'!$Q$33^2/2))</f>
        <v>247.011158700009</v>
      </c>
      <c r="I2638" s="49" t="n">
        <f aca="false">IF('Model Inputs &amp; Assumptions'!$H$33="Fixed",'Model Inputs &amp; Assumptions'!$I$33*'Model Inputs &amp; Assumptions'!$K$33,IF('Model Inputs &amp; Assumptions'!$H$33="CPM",'Model Inputs &amp; Assumptions'!$I$33*'Model Inputs &amp; Assumptions'!$K$33*C2638/1000,IF('Model Inputs &amp; Assumptions'!$H$33="CPC",'Model Inputs &amp; Assumptions'!$I$33*'Model Inputs &amp; Assumptions'!$K$33*G2638,0)))</f>
        <v>25000</v>
      </c>
      <c r="J2638" s="50" t="n">
        <f aca="false">H2638*INDEX('Model Inputs &amp; Assumptions'!$D$40:$D$42,MATCH('Model Inputs &amp; Assumptions'!$L$33,'Model Inputs &amp; Assumptions'!$A$40:$A$42,0))*INDEX('Model Inputs &amp; Assumptions'!$H$40:$H$42,MATCH('Model Inputs &amp; Assumptions'!$L$33,'Model Inputs &amp; Assumptions'!$A$40:$A$42,0))</f>
        <v>1333860.25698005</v>
      </c>
      <c r="K2638" s="49" t="n">
        <f aca="false">H2638*INDEX('Model Inputs &amp; Assumptions'!$G$40:$G$42,MATCH('Model Inputs &amp; Assumptions'!$L$33,'Model Inputs &amp; Assumptions'!$A$40:$A$42,0))*INDEX('Model Inputs &amp; Assumptions'!$H$40:$H$42,MATCH('Model Inputs &amp; Assumptions'!$L$33,'Model Inputs &amp; Assumptions'!$A$40:$A$42,0))</f>
        <v>28011.065396581</v>
      </c>
      <c r="L2638" s="51" t="n">
        <f aca="false">IFERROR(K2638/I2638,0)</f>
        <v>1.12044261586324</v>
      </c>
      <c r="M2638" s="49" t="n">
        <f aca="false">IFERROR(I2638/H2638,0)</f>
        <v>101.210002542282</v>
      </c>
      <c r="N2638" s="52" t="str">
        <f aca="false">'Model Inputs &amp; Assumptions'!$L$33</f>
        <v>PRD-SP01</v>
      </c>
      <c r="P2638" s="53" t="n">
        <v>1.197037</v>
      </c>
      <c r="Q2638" s="53" t="n">
        <v>0.132812</v>
      </c>
      <c r="R2638" s="53" t="n">
        <v>0.238236</v>
      </c>
      <c r="S2638" s="53" t="n">
        <v>-0.836892</v>
      </c>
    </row>
    <row r="2639" customFormat="false" ht="15" hidden="false" customHeight="false" outlineLevel="0" collapsed="false">
      <c r="A2639" s="43" t="n">
        <v>136</v>
      </c>
      <c r="B2639" s="44" t="str">
        <f aca="false">'Model Inputs &amp; Assumptions'!$B$33</f>
        <v>Trade Republic — Savings Plan Push</v>
      </c>
      <c r="C2639" s="45" t="n">
        <f aca="false">ROUND(MAX(0,'Model Inputs &amp; Assumptions'!$S$33*EXP('Model Inputs &amp; Assumptions'!$T$33*P2639-'Model Inputs &amp; Assumptions'!$T$33^2/2)),0)</f>
        <v>1229044</v>
      </c>
      <c r="D2639" s="46" t="n">
        <f aca="false">MIN(1,'Model Inputs &amp; Assumptions'!$U$33*EXP('Model Inputs &amp; Assumptions'!$V$33*Q2639-'Model Inputs &amp; Assumptions'!$V$33^2/2))</f>
        <v>0</v>
      </c>
      <c r="E2639" s="45" t="n">
        <f aca="false">ROUND(C2639*D2639,0)</f>
        <v>0</v>
      </c>
      <c r="F2639" s="47" t="n">
        <f aca="false">MIN(1,'Model Inputs &amp; Assumptions'!$W$33*EXP('Model Inputs &amp; Assumptions'!$X$33*R2639-'Model Inputs &amp; Assumptions'!$X$33^2/2))</f>
        <v>0.00322454697817001</v>
      </c>
      <c r="G2639" s="45" t="n">
        <f aca="false">ROUND(C2639*F2639,0)</f>
        <v>3963</v>
      </c>
      <c r="H2639" s="48" t="n">
        <f aca="false">MAX(0,(C2639*'Model Inputs &amp; Assumptions'!$N$33+E2639*'Model Inputs &amp; Assumptions'!$O$33+G2639*'Model Inputs &amp; Assumptions'!$P$33)*EXP('Model Inputs &amp; Assumptions'!$Q$33*S2639-'Model Inputs &amp; Assumptions'!$Q$33^2/2))</f>
        <v>280.202304805188</v>
      </c>
      <c r="I2639" s="49" t="n">
        <f aca="false">IF('Model Inputs &amp; Assumptions'!$H$33="Fixed",'Model Inputs &amp; Assumptions'!$I$33*'Model Inputs &amp; Assumptions'!$K$33,IF('Model Inputs &amp; Assumptions'!$H$33="CPM",'Model Inputs &amp; Assumptions'!$I$33*'Model Inputs &amp; Assumptions'!$K$33*C2639/1000,IF('Model Inputs &amp; Assumptions'!$H$33="CPC",'Model Inputs &amp; Assumptions'!$I$33*'Model Inputs &amp; Assumptions'!$K$33*G2639,0)))</f>
        <v>25000</v>
      </c>
      <c r="J2639" s="50" t="n">
        <f aca="false">H2639*INDEX('Model Inputs &amp; Assumptions'!$D$40:$D$42,MATCH('Model Inputs &amp; Assumptions'!$L$33,'Model Inputs &amp; Assumptions'!$A$40:$A$42,0))*INDEX('Model Inputs &amp; Assumptions'!$H$40:$H$42,MATCH('Model Inputs &amp; Assumptions'!$L$33,'Model Inputs &amp; Assumptions'!$A$40:$A$42,0))</f>
        <v>1513092.44594802</v>
      </c>
      <c r="K2639" s="49" t="n">
        <f aca="false">H2639*INDEX('Model Inputs &amp; Assumptions'!$G$40:$G$42,MATCH('Model Inputs &amp; Assumptions'!$L$33,'Model Inputs &amp; Assumptions'!$A$40:$A$42,0))*INDEX('Model Inputs &amp; Assumptions'!$H$40:$H$42,MATCH('Model Inputs &amp; Assumptions'!$L$33,'Model Inputs &amp; Assumptions'!$A$40:$A$42,0))</f>
        <v>31774.9413649083</v>
      </c>
      <c r="L2639" s="51" t="n">
        <f aca="false">IFERROR(K2639/I2639,0)</f>
        <v>1.27099765459633</v>
      </c>
      <c r="M2639" s="49" t="n">
        <f aca="false">IFERROR(I2639/H2639,0)</f>
        <v>89.2212504011391</v>
      </c>
      <c r="N2639" s="52" t="str">
        <f aca="false">'Model Inputs &amp; Assumptions'!$L$33</f>
        <v>PRD-SP01</v>
      </c>
      <c r="P2639" s="53" t="n">
        <v>0.229717</v>
      </c>
      <c r="Q2639" s="53" t="n">
        <v>0.095189</v>
      </c>
      <c r="R2639" s="53" t="n">
        <v>-0.123235</v>
      </c>
      <c r="S2639" s="53" t="n">
        <v>1.037062</v>
      </c>
    </row>
    <row r="2640" customFormat="false" ht="15" hidden="false" customHeight="false" outlineLevel="0" collapsed="false">
      <c r="A2640" s="43" t="n">
        <v>137</v>
      </c>
      <c r="B2640" s="44" t="str">
        <f aca="false">'Model Inputs &amp; Assumptions'!$B$33</f>
        <v>Trade Republic — Savings Plan Push</v>
      </c>
      <c r="C2640" s="45" t="n">
        <f aca="false">ROUND(MAX(0,'Model Inputs &amp; Assumptions'!$S$33*EXP('Model Inputs &amp; Assumptions'!$T$33*P2640-'Model Inputs &amp; Assumptions'!$T$33^2/2)),0)</f>
        <v>697763</v>
      </c>
      <c r="D2640" s="46" t="n">
        <f aca="false">MIN(1,'Model Inputs &amp; Assumptions'!$U$33*EXP('Model Inputs &amp; Assumptions'!$V$33*Q2640-'Model Inputs &amp; Assumptions'!$V$33^2/2))</f>
        <v>0</v>
      </c>
      <c r="E2640" s="45" t="n">
        <f aca="false">ROUND(C2640*D2640,0)</f>
        <v>0</v>
      </c>
      <c r="F2640" s="47" t="n">
        <f aca="false">MIN(1,'Model Inputs &amp; Assumptions'!$W$33*EXP('Model Inputs &amp; Assumptions'!$X$33*R2640-'Model Inputs &amp; Assumptions'!$X$33^2/2))</f>
        <v>0.00259837764738651</v>
      </c>
      <c r="G2640" s="45" t="n">
        <f aca="false">ROUND(C2640*F2640,0)</f>
        <v>1813</v>
      </c>
      <c r="H2640" s="48" t="n">
        <f aca="false">MAX(0,(C2640*'Model Inputs &amp; Assumptions'!$N$33+E2640*'Model Inputs &amp; Assumptions'!$O$33+G2640*'Model Inputs &amp; Assumptions'!$P$33)*EXP('Model Inputs &amp; Assumptions'!$Q$33*S2640-'Model Inputs &amp; Assumptions'!$Q$33^2/2))</f>
        <v>98.1964591333552</v>
      </c>
      <c r="I2640" s="49" t="n">
        <f aca="false">IF('Model Inputs &amp; Assumptions'!$H$33="Fixed",'Model Inputs &amp; Assumptions'!$I$33*'Model Inputs &amp; Assumptions'!$K$33,IF('Model Inputs &amp; Assumptions'!$H$33="CPM",'Model Inputs &amp; Assumptions'!$I$33*'Model Inputs &amp; Assumptions'!$K$33*C2640/1000,IF('Model Inputs &amp; Assumptions'!$H$33="CPC",'Model Inputs &amp; Assumptions'!$I$33*'Model Inputs &amp; Assumptions'!$K$33*G2640,0)))</f>
        <v>25000</v>
      </c>
      <c r="J2640" s="50" t="n">
        <f aca="false">H2640*INDEX('Model Inputs &amp; Assumptions'!$D$40:$D$42,MATCH('Model Inputs &amp; Assumptions'!$L$33,'Model Inputs &amp; Assumptions'!$A$40:$A$42,0))*INDEX('Model Inputs &amp; Assumptions'!$H$40:$H$42,MATCH('Model Inputs &amp; Assumptions'!$L$33,'Model Inputs &amp; Assumptions'!$A$40:$A$42,0))</f>
        <v>530260.879320118</v>
      </c>
      <c r="K2640" s="49" t="n">
        <f aca="false">H2640*INDEX('Model Inputs &amp; Assumptions'!$G$40:$G$42,MATCH('Model Inputs &amp; Assumptions'!$L$33,'Model Inputs &amp; Assumptions'!$A$40:$A$42,0))*INDEX('Model Inputs &amp; Assumptions'!$H$40:$H$42,MATCH('Model Inputs &amp; Assumptions'!$L$33,'Model Inputs &amp; Assumptions'!$A$40:$A$42,0))</f>
        <v>11135.4784657225</v>
      </c>
      <c r="L2640" s="51" t="n">
        <f aca="false">IFERROR(K2640/I2640,0)</f>
        <v>0.445419138628899</v>
      </c>
      <c r="M2640" s="49" t="n">
        <f aca="false">IFERROR(I2640/H2640,0)</f>
        <v>254.591664716229</v>
      </c>
      <c r="N2640" s="52" t="str">
        <f aca="false">'Model Inputs &amp; Assumptions'!$L$33</f>
        <v>PRD-SP01</v>
      </c>
      <c r="P2640" s="53" t="n">
        <v>-1.657324</v>
      </c>
      <c r="Q2640" s="53" t="n">
        <v>0.568017</v>
      </c>
      <c r="R2640" s="53" t="n">
        <v>-0.842919</v>
      </c>
      <c r="S2640" s="53" t="n">
        <v>0.085193</v>
      </c>
    </row>
    <row r="2641" customFormat="false" ht="15" hidden="false" customHeight="false" outlineLevel="0" collapsed="false">
      <c r="A2641" s="43" t="n">
        <v>138</v>
      </c>
      <c r="B2641" s="44" t="str">
        <f aca="false">'Model Inputs &amp; Assumptions'!$B$33</f>
        <v>Trade Republic — Savings Plan Push</v>
      </c>
      <c r="C2641" s="45" t="n">
        <f aca="false">ROUND(MAX(0,'Model Inputs &amp; Assumptions'!$S$33*EXP('Model Inputs &amp; Assumptions'!$T$33*P2641-'Model Inputs &amp; Assumptions'!$T$33^2/2)),0)</f>
        <v>1029352</v>
      </c>
      <c r="D2641" s="46" t="n">
        <f aca="false">MIN(1,'Model Inputs &amp; Assumptions'!$U$33*EXP('Model Inputs &amp; Assumptions'!$V$33*Q2641-'Model Inputs &amp; Assumptions'!$V$33^2/2))</f>
        <v>0</v>
      </c>
      <c r="E2641" s="45" t="n">
        <f aca="false">ROUND(C2641*D2641,0)</f>
        <v>0</v>
      </c>
      <c r="F2641" s="47" t="n">
        <f aca="false">MIN(1,'Model Inputs &amp; Assumptions'!$W$33*EXP('Model Inputs &amp; Assumptions'!$X$33*R2641-'Model Inputs &amp; Assumptions'!$X$33^2/2))</f>
        <v>0.00224493298169143</v>
      </c>
      <c r="G2641" s="45" t="n">
        <f aca="false">ROUND(C2641*F2641,0)</f>
        <v>2311</v>
      </c>
      <c r="H2641" s="48" t="n">
        <f aca="false">MAX(0,(C2641*'Model Inputs &amp; Assumptions'!$N$33+E2641*'Model Inputs &amp; Assumptions'!$O$33+G2641*'Model Inputs &amp; Assumptions'!$P$33)*EXP('Model Inputs &amp; Assumptions'!$Q$33*S2641-'Model Inputs &amp; Assumptions'!$Q$33^2/2))</f>
        <v>100.669508307114</v>
      </c>
      <c r="I2641" s="49" t="n">
        <f aca="false">IF('Model Inputs &amp; Assumptions'!$H$33="Fixed",'Model Inputs &amp; Assumptions'!$I$33*'Model Inputs &amp; Assumptions'!$K$33,IF('Model Inputs &amp; Assumptions'!$H$33="CPM",'Model Inputs &amp; Assumptions'!$I$33*'Model Inputs &amp; Assumptions'!$K$33*C2641/1000,IF('Model Inputs &amp; Assumptions'!$H$33="CPC",'Model Inputs &amp; Assumptions'!$I$33*'Model Inputs &amp; Assumptions'!$K$33*G2641,0)))</f>
        <v>25000</v>
      </c>
      <c r="J2641" s="50" t="n">
        <f aca="false">H2641*INDEX('Model Inputs &amp; Assumptions'!$D$40:$D$42,MATCH('Model Inputs &amp; Assumptions'!$L$33,'Model Inputs &amp; Assumptions'!$A$40:$A$42,0))*INDEX('Model Inputs &amp; Assumptions'!$H$40:$H$42,MATCH('Model Inputs &amp; Assumptions'!$L$33,'Model Inputs &amp; Assumptions'!$A$40:$A$42,0))</f>
        <v>543615.344858415</v>
      </c>
      <c r="K2641" s="49" t="n">
        <f aca="false">H2641*INDEX('Model Inputs &amp; Assumptions'!$G$40:$G$42,MATCH('Model Inputs &amp; Assumptions'!$L$33,'Model Inputs &amp; Assumptions'!$A$40:$A$42,0))*INDEX('Model Inputs &amp; Assumptions'!$H$40:$H$42,MATCH('Model Inputs &amp; Assumptions'!$L$33,'Model Inputs &amp; Assumptions'!$A$40:$A$42,0))</f>
        <v>11415.9222420267</v>
      </c>
      <c r="L2641" s="51" t="n">
        <f aca="false">IFERROR(K2641/I2641,0)</f>
        <v>0.456636889681069</v>
      </c>
      <c r="M2641" s="49" t="n">
        <f aca="false">IFERROR(I2641/H2641,0)</f>
        <v>248.337360740177</v>
      </c>
      <c r="N2641" s="52" t="str">
        <f aca="false">'Model Inputs &amp; Assumptions'!$L$33</f>
        <v>PRD-SP01</v>
      </c>
      <c r="P2641" s="53" t="n">
        <v>-0.361308</v>
      </c>
      <c r="Q2641" s="53" t="n">
        <v>-1.400467</v>
      </c>
      <c r="R2641" s="53" t="n">
        <v>-1.330291</v>
      </c>
      <c r="S2641" s="53" t="n">
        <v>-0.692752</v>
      </c>
    </row>
    <row r="2642" customFormat="false" ht="15" hidden="false" customHeight="false" outlineLevel="0" collapsed="false">
      <c r="A2642" s="43" t="n">
        <v>139</v>
      </c>
      <c r="B2642" s="44" t="str">
        <f aca="false">'Model Inputs &amp; Assumptions'!$B$33</f>
        <v>Trade Republic — Savings Plan Push</v>
      </c>
      <c r="C2642" s="45" t="n">
        <f aca="false">ROUND(MAX(0,'Model Inputs &amp; Assumptions'!$S$33*EXP('Model Inputs &amp; Assumptions'!$T$33*P2642-'Model Inputs &amp; Assumptions'!$T$33^2/2)),0)</f>
        <v>847933</v>
      </c>
      <c r="D2642" s="46" t="n">
        <f aca="false">MIN(1,'Model Inputs &amp; Assumptions'!$U$33*EXP('Model Inputs &amp; Assumptions'!$V$33*Q2642-'Model Inputs &amp; Assumptions'!$V$33^2/2))</f>
        <v>0</v>
      </c>
      <c r="E2642" s="45" t="n">
        <f aca="false">ROUND(C2642*D2642,0)</f>
        <v>0</v>
      </c>
      <c r="F2642" s="47" t="n">
        <f aca="false">MIN(1,'Model Inputs &amp; Assumptions'!$W$33*EXP('Model Inputs &amp; Assumptions'!$X$33*R2642-'Model Inputs &amp; Assumptions'!$X$33^2/2))</f>
        <v>0.00422827017989285</v>
      </c>
      <c r="G2642" s="45" t="n">
        <f aca="false">ROUND(C2642*F2642,0)</f>
        <v>3585</v>
      </c>
      <c r="H2642" s="48" t="n">
        <f aca="false">MAX(0,(C2642*'Model Inputs &amp; Assumptions'!$N$33+E2642*'Model Inputs &amp; Assumptions'!$O$33+G2642*'Model Inputs &amp; Assumptions'!$P$33)*EXP('Model Inputs &amp; Assumptions'!$Q$33*S2642-'Model Inputs &amp; Assumptions'!$Q$33^2/2))</f>
        <v>180.490224657468</v>
      </c>
      <c r="I2642" s="49" t="n">
        <f aca="false">IF('Model Inputs &amp; Assumptions'!$H$33="Fixed",'Model Inputs &amp; Assumptions'!$I$33*'Model Inputs &amp; Assumptions'!$K$33,IF('Model Inputs &amp; Assumptions'!$H$33="CPM",'Model Inputs &amp; Assumptions'!$I$33*'Model Inputs &amp; Assumptions'!$K$33*C2642/1000,IF('Model Inputs &amp; Assumptions'!$H$33="CPC",'Model Inputs &amp; Assumptions'!$I$33*'Model Inputs &amp; Assumptions'!$K$33*G2642,0)))</f>
        <v>25000</v>
      </c>
      <c r="J2642" s="50" t="n">
        <f aca="false">H2642*INDEX('Model Inputs &amp; Assumptions'!$D$40:$D$42,MATCH('Model Inputs &amp; Assumptions'!$L$33,'Model Inputs &amp; Assumptions'!$A$40:$A$42,0))*INDEX('Model Inputs &amp; Assumptions'!$H$40:$H$42,MATCH('Model Inputs &amp; Assumptions'!$L$33,'Model Inputs &amp; Assumptions'!$A$40:$A$42,0))</f>
        <v>974647.213150329</v>
      </c>
      <c r="K2642" s="49" t="n">
        <f aca="false">H2642*INDEX('Model Inputs &amp; Assumptions'!$G$40:$G$42,MATCH('Model Inputs &amp; Assumptions'!$L$33,'Model Inputs &amp; Assumptions'!$A$40:$A$42,0))*INDEX('Model Inputs &amp; Assumptions'!$H$40:$H$42,MATCH('Model Inputs &amp; Assumptions'!$L$33,'Model Inputs &amp; Assumptions'!$A$40:$A$42,0))</f>
        <v>20467.5914761569</v>
      </c>
      <c r="L2642" s="51" t="n">
        <f aca="false">IFERROR(K2642/I2642,0)</f>
        <v>0.818703659046276</v>
      </c>
      <c r="M2642" s="49" t="n">
        <f aca="false">IFERROR(I2642/H2642,0)</f>
        <v>138.511656503529</v>
      </c>
      <c r="N2642" s="52" t="str">
        <f aca="false">'Model Inputs &amp; Assumptions'!$L$33</f>
        <v>PRD-SP01</v>
      </c>
      <c r="P2642" s="53" t="n">
        <v>-1.007584</v>
      </c>
      <c r="Q2642" s="53" t="n">
        <v>-0.439411</v>
      </c>
      <c r="R2642" s="53" t="n">
        <v>0.7801</v>
      </c>
      <c r="S2642" s="53" t="n">
        <v>-0.175768</v>
      </c>
    </row>
    <row r="2643" customFormat="false" ht="15" hidden="false" customHeight="false" outlineLevel="0" collapsed="false">
      <c r="A2643" s="43" t="n">
        <v>140</v>
      </c>
      <c r="B2643" s="44" t="str">
        <f aca="false">'Model Inputs &amp; Assumptions'!$B$33</f>
        <v>Trade Republic — Savings Plan Push</v>
      </c>
      <c r="C2643" s="45" t="n">
        <f aca="false">ROUND(MAX(0,'Model Inputs &amp; Assumptions'!$S$33*EXP('Model Inputs &amp; Assumptions'!$T$33*P2643-'Model Inputs &amp; Assumptions'!$T$33^2/2)),0)</f>
        <v>1976988</v>
      </c>
      <c r="D2643" s="46" t="n">
        <f aca="false">MIN(1,'Model Inputs &amp; Assumptions'!$U$33*EXP('Model Inputs &amp; Assumptions'!$V$33*Q2643-'Model Inputs &amp; Assumptions'!$V$33^2/2))</f>
        <v>0</v>
      </c>
      <c r="E2643" s="45" t="n">
        <f aca="false">ROUND(C2643*D2643,0)</f>
        <v>0</v>
      </c>
      <c r="F2643" s="47" t="n">
        <f aca="false">MIN(1,'Model Inputs &amp; Assumptions'!$W$33*EXP('Model Inputs &amp; Assumptions'!$X$33*R2643-'Model Inputs &amp; Assumptions'!$X$33^2/2))</f>
        <v>0.00278717647841486</v>
      </c>
      <c r="G2643" s="45" t="n">
        <f aca="false">ROUND(C2643*F2643,0)</f>
        <v>5510</v>
      </c>
      <c r="H2643" s="48" t="n">
        <f aca="false">MAX(0,(C2643*'Model Inputs &amp; Assumptions'!$N$33+E2643*'Model Inputs &amp; Assumptions'!$O$33+G2643*'Model Inputs &amp; Assumptions'!$P$33)*EXP('Model Inputs &amp; Assumptions'!$Q$33*S2643-'Model Inputs &amp; Assumptions'!$Q$33^2/2))</f>
        <v>369.508361143937</v>
      </c>
      <c r="I2643" s="49" t="n">
        <f aca="false">IF('Model Inputs &amp; Assumptions'!$H$33="Fixed",'Model Inputs &amp; Assumptions'!$I$33*'Model Inputs &amp; Assumptions'!$K$33,IF('Model Inputs &amp; Assumptions'!$H$33="CPM",'Model Inputs &amp; Assumptions'!$I$33*'Model Inputs &amp; Assumptions'!$K$33*C2643/1000,IF('Model Inputs &amp; Assumptions'!$H$33="CPC",'Model Inputs &amp; Assumptions'!$I$33*'Model Inputs &amp; Assumptions'!$K$33*G2643,0)))</f>
        <v>25000</v>
      </c>
      <c r="J2643" s="50" t="n">
        <f aca="false">H2643*INDEX('Model Inputs &amp; Assumptions'!$D$40:$D$42,MATCH('Model Inputs &amp; Assumptions'!$L$33,'Model Inputs &amp; Assumptions'!$A$40:$A$42,0))*INDEX('Model Inputs &amp; Assumptions'!$H$40:$H$42,MATCH('Model Inputs &amp; Assumptions'!$L$33,'Model Inputs &amp; Assumptions'!$A$40:$A$42,0))</f>
        <v>1995345.15017726</v>
      </c>
      <c r="K2643" s="49" t="n">
        <f aca="false">H2643*INDEX('Model Inputs &amp; Assumptions'!$G$40:$G$42,MATCH('Model Inputs &amp; Assumptions'!$L$33,'Model Inputs &amp; Assumptions'!$A$40:$A$42,0))*INDEX('Model Inputs &amp; Assumptions'!$H$40:$H$42,MATCH('Model Inputs &amp; Assumptions'!$L$33,'Model Inputs &amp; Assumptions'!$A$40:$A$42,0))</f>
        <v>41902.2481537225</v>
      </c>
      <c r="L2643" s="51" t="n">
        <f aca="false">IFERROR(K2643/I2643,0)</f>
        <v>1.6760899261489</v>
      </c>
      <c r="M2643" s="49" t="n">
        <f aca="false">IFERROR(I2643/H2643,0)</f>
        <v>67.6574676757087</v>
      </c>
      <c r="N2643" s="52" t="str">
        <f aca="false">'Model Inputs &amp; Assumptions'!$L$33</f>
        <v>PRD-SP01</v>
      </c>
      <c r="P2643" s="53" t="n">
        <v>1.814176</v>
      </c>
      <c r="Q2643" s="53" t="n">
        <v>1.288044</v>
      </c>
      <c r="R2643" s="53" t="n">
        <v>-0.609113</v>
      </c>
      <c r="S2643" s="53" t="n">
        <v>0.848127</v>
      </c>
    </row>
    <row r="2644" customFormat="false" ht="15" hidden="false" customHeight="false" outlineLevel="0" collapsed="false">
      <c r="A2644" s="43" t="n">
        <v>141</v>
      </c>
      <c r="B2644" s="44" t="str">
        <f aca="false">'Model Inputs &amp; Assumptions'!$B$33</f>
        <v>Trade Republic — Savings Plan Push</v>
      </c>
      <c r="C2644" s="45" t="n">
        <f aca="false">ROUND(MAX(0,'Model Inputs &amp; Assumptions'!$S$33*EXP('Model Inputs &amp; Assumptions'!$T$33*P2644-'Model Inputs &amp; Assumptions'!$T$33^2/2)),0)</f>
        <v>1384194</v>
      </c>
      <c r="D2644" s="46" t="n">
        <f aca="false">MIN(1,'Model Inputs &amp; Assumptions'!$U$33*EXP('Model Inputs &amp; Assumptions'!$V$33*Q2644-'Model Inputs &amp; Assumptions'!$V$33^2/2))</f>
        <v>0</v>
      </c>
      <c r="E2644" s="45" t="n">
        <f aca="false">ROUND(C2644*D2644,0)</f>
        <v>0</v>
      </c>
      <c r="F2644" s="47" t="n">
        <f aca="false">MIN(1,'Model Inputs &amp; Assumptions'!$W$33*EXP('Model Inputs &amp; Assumptions'!$X$33*R2644-'Model Inputs &amp; Assumptions'!$X$33^2/2))</f>
        <v>0.00358467411839342</v>
      </c>
      <c r="G2644" s="45" t="n">
        <f aca="false">ROUND(C2644*F2644,0)</f>
        <v>4962</v>
      </c>
      <c r="H2644" s="48" t="n">
        <f aca="false">MAX(0,(C2644*'Model Inputs &amp; Assumptions'!$N$33+E2644*'Model Inputs &amp; Assumptions'!$O$33+G2644*'Model Inputs &amp; Assumptions'!$P$33)*EXP('Model Inputs &amp; Assumptions'!$Q$33*S2644-'Model Inputs &amp; Assumptions'!$Q$33^2/2))</f>
        <v>220.656075634292</v>
      </c>
      <c r="I2644" s="49" t="n">
        <f aca="false">IF('Model Inputs &amp; Assumptions'!$H$33="Fixed",'Model Inputs &amp; Assumptions'!$I$33*'Model Inputs &amp; Assumptions'!$K$33,IF('Model Inputs &amp; Assumptions'!$H$33="CPM",'Model Inputs &amp; Assumptions'!$I$33*'Model Inputs &amp; Assumptions'!$K$33*C2644/1000,IF('Model Inputs &amp; Assumptions'!$H$33="CPC",'Model Inputs &amp; Assumptions'!$I$33*'Model Inputs &amp; Assumptions'!$K$33*G2644,0)))</f>
        <v>25000</v>
      </c>
      <c r="J2644" s="50" t="n">
        <f aca="false">H2644*INDEX('Model Inputs &amp; Assumptions'!$D$40:$D$42,MATCH('Model Inputs &amp; Assumptions'!$L$33,'Model Inputs &amp; Assumptions'!$A$40:$A$42,0))*INDEX('Model Inputs &amp; Assumptions'!$H$40:$H$42,MATCH('Model Inputs &amp; Assumptions'!$L$33,'Model Inputs &amp; Assumptions'!$A$40:$A$42,0))</f>
        <v>1191542.80842518</v>
      </c>
      <c r="K2644" s="49" t="n">
        <f aca="false">H2644*INDEX('Model Inputs &amp; Assumptions'!$G$40:$G$42,MATCH('Model Inputs &amp; Assumptions'!$L$33,'Model Inputs &amp; Assumptions'!$A$40:$A$42,0))*INDEX('Model Inputs &amp; Assumptions'!$H$40:$H$42,MATCH('Model Inputs &amp; Assumptions'!$L$33,'Model Inputs &amp; Assumptions'!$A$40:$A$42,0))</f>
        <v>25022.3989769287</v>
      </c>
      <c r="L2644" s="51" t="n">
        <f aca="false">IFERROR(K2644/I2644,0)</f>
        <v>1.00089595907715</v>
      </c>
      <c r="M2644" s="49" t="n">
        <f aca="false">IFERROR(I2644/H2644,0)</f>
        <v>113.298489190183</v>
      </c>
      <c r="N2644" s="52" t="str">
        <f aca="false">'Model Inputs &amp; Assumptions'!$L$33</f>
        <v>PRD-SP01</v>
      </c>
      <c r="P2644" s="53" t="n">
        <v>0.625988</v>
      </c>
      <c r="Q2644" s="53" t="n">
        <v>-0.409642</v>
      </c>
      <c r="R2644" s="53" t="n">
        <v>0.229682</v>
      </c>
      <c r="S2644" s="53" t="n">
        <v>-0.61906</v>
      </c>
    </row>
    <row r="2645" customFormat="false" ht="15" hidden="false" customHeight="false" outlineLevel="0" collapsed="false">
      <c r="A2645" s="43" t="n">
        <v>142</v>
      </c>
      <c r="B2645" s="44" t="str">
        <f aca="false">'Model Inputs &amp; Assumptions'!$B$33</f>
        <v>Trade Republic — Savings Plan Push</v>
      </c>
      <c r="C2645" s="45" t="n">
        <f aca="false">ROUND(MAX(0,'Model Inputs &amp; Assumptions'!$S$33*EXP('Model Inputs &amp; Assumptions'!$T$33*P2645-'Model Inputs &amp; Assumptions'!$T$33^2/2)),0)</f>
        <v>1039041</v>
      </c>
      <c r="D2645" s="46" t="n">
        <f aca="false">MIN(1,'Model Inputs &amp; Assumptions'!$U$33*EXP('Model Inputs &amp; Assumptions'!$V$33*Q2645-'Model Inputs &amp; Assumptions'!$V$33^2/2))</f>
        <v>0</v>
      </c>
      <c r="E2645" s="45" t="n">
        <f aca="false">ROUND(C2645*D2645,0)</f>
        <v>0</v>
      </c>
      <c r="F2645" s="47" t="n">
        <f aca="false">MIN(1,'Model Inputs &amp; Assumptions'!$W$33*EXP('Model Inputs &amp; Assumptions'!$X$33*R2645-'Model Inputs &amp; Assumptions'!$X$33^2/2))</f>
        <v>0.00339771711212069</v>
      </c>
      <c r="G2645" s="45" t="n">
        <f aca="false">ROUND(C2645*F2645,0)</f>
        <v>3530</v>
      </c>
      <c r="H2645" s="48" t="n">
        <f aca="false">MAX(0,(C2645*'Model Inputs &amp; Assumptions'!$N$33+E2645*'Model Inputs &amp; Assumptions'!$O$33+G2645*'Model Inputs &amp; Assumptions'!$P$33)*EXP('Model Inputs &amp; Assumptions'!$Q$33*S2645-'Model Inputs &amp; Assumptions'!$Q$33^2/2))</f>
        <v>154.432714431127</v>
      </c>
      <c r="I2645" s="49" t="n">
        <f aca="false">IF('Model Inputs &amp; Assumptions'!$H$33="Fixed",'Model Inputs &amp; Assumptions'!$I$33*'Model Inputs &amp; Assumptions'!$K$33,IF('Model Inputs &amp; Assumptions'!$H$33="CPM",'Model Inputs &amp; Assumptions'!$I$33*'Model Inputs &amp; Assumptions'!$K$33*C2645/1000,IF('Model Inputs &amp; Assumptions'!$H$33="CPC",'Model Inputs &amp; Assumptions'!$I$33*'Model Inputs &amp; Assumptions'!$K$33*G2645,0)))</f>
        <v>25000</v>
      </c>
      <c r="J2645" s="50" t="n">
        <f aca="false">H2645*INDEX('Model Inputs &amp; Assumptions'!$D$40:$D$42,MATCH('Model Inputs &amp; Assumptions'!$L$33,'Model Inputs &amp; Assumptions'!$A$40:$A$42,0))*INDEX('Model Inputs &amp; Assumptions'!$H$40:$H$42,MATCH('Model Inputs &amp; Assumptions'!$L$33,'Model Inputs &amp; Assumptions'!$A$40:$A$42,0))</f>
        <v>833936.657928086</v>
      </c>
      <c r="K2645" s="49" t="n">
        <f aca="false">H2645*INDEX('Model Inputs &amp; Assumptions'!$G$40:$G$42,MATCH('Model Inputs &amp; Assumptions'!$L$33,'Model Inputs &amp; Assumptions'!$A$40:$A$42,0))*INDEX('Model Inputs &amp; Assumptions'!$H$40:$H$42,MATCH('Model Inputs &amp; Assumptions'!$L$33,'Model Inputs &amp; Assumptions'!$A$40:$A$42,0))</f>
        <v>17512.6698164898</v>
      </c>
      <c r="L2645" s="51" t="n">
        <f aca="false">IFERROR(K2645/I2645,0)</f>
        <v>0.700506792659593</v>
      </c>
      <c r="M2645" s="49" t="n">
        <f aca="false">IFERROR(I2645/H2645,0)</f>
        <v>161.8827985514</v>
      </c>
      <c r="N2645" s="52" t="str">
        <f aca="false">'Model Inputs &amp; Assumptions'!$L$33</f>
        <v>PRD-SP01</v>
      </c>
      <c r="P2645" s="53" t="n">
        <v>-0.330077</v>
      </c>
      <c r="Q2645" s="53" t="n">
        <v>-1.150587</v>
      </c>
      <c r="R2645" s="53" t="n">
        <v>0.051136</v>
      </c>
      <c r="S2645" s="53" t="n">
        <v>-0.677402</v>
      </c>
    </row>
    <row r="2646" customFormat="false" ht="15" hidden="false" customHeight="false" outlineLevel="0" collapsed="false">
      <c r="A2646" s="43" t="n">
        <v>143</v>
      </c>
      <c r="B2646" s="44" t="str">
        <f aca="false">'Model Inputs &amp; Assumptions'!$B$33</f>
        <v>Trade Republic — Savings Plan Push</v>
      </c>
      <c r="C2646" s="45" t="n">
        <f aca="false">ROUND(MAX(0,'Model Inputs &amp; Assumptions'!$S$33*EXP('Model Inputs &amp; Assumptions'!$T$33*P2646-'Model Inputs &amp; Assumptions'!$T$33^2/2)),0)</f>
        <v>1738620</v>
      </c>
      <c r="D2646" s="46" t="n">
        <f aca="false">MIN(1,'Model Inputs &amp; Assumptions'!$U$33*EXP('Model Inputs &amp; Assumptions'!$V$33*Q2646-'Model Inputs &amp; Assumptions'!$V$33^2/2))</f>
        <v>0</v>
      </c>
      <c r="E2646" s="45" t="n">
        <f aca="false">ROUND(C2646*D2646,0)</f>
        <v>0</v>
      </c>
      <c r="F2646" s="47" t="n">
        <f aca="false">MIN(1,'Model Inputs &amp; Assumptions'!$W$33*EXP('Model Inputs &amp; Assumptions'!$X$33*R2646-'Model Inputs &amp; Assumptions'!$X$33^2/2))</f>
        <v>0.0039565722955229</v>
      </c>
      <c r="G2646" s="45" t="n">
        <f aca="false">ROUND(C2646*F2646,0)</f>
        <v>6879</v>
      </c>
      <c r="H2646" s="48" t="n">
        <f aca="false">MAX(0,(C2646*'Model Inputs &amp; Assumptions'!$N$33+E2646*'Model Inputs &amp; Assumptions'!$O$33+G2646*'Model Inputs &amp; Assumptions'!$P$33)*EXP('Model Inputs &amp; Assumptions'!$Q$33*S2646-'Model Inputs &amp; Assumptions'!$Q$33^2/2))</f>
        <v>393.990232261574</v>
      </c>
      <c r="I2646" s="49" t="n">
        <f aca="false">IF('Model Inputs &amp; Assumptions'!$H$33="Fixed",'Model Inputs &amp; Assumptions'!$I$33*'Model Inputs &amp; Assumptions'!$K$33,IF('Model Inputs &amp; Assumptions'!$H$33="CPM",'Model Inputs &amp; Assumptions'!$I$33*'Model Inputs &amp; Assumptions'!$K$33*C2646/1000,IF('Model Inputs &amp; Assumptions'!$H$33="CPC",'Model Inputs &amp; Assumptions'!$I$33*'Model Inputs &amp; Assumptions'!$K$33*G2646,0)))</f>
        <v>25000</v>
      </c>
      <c r="J2646" s="50" t="n">
        <f aca="false">H2646*INDEX('Model Inputs &amp; Assumptions'!$D$40:$D$42,MATCH('Model Inputs &amp; Assumptions'!$L$33,'Model Inputs &amp; Assumptions'!$A$40:$A$42,0))*INDEX('Model Inputs &amp; Assumptions'!$H$40:$H$42,MATCH('Model Inputs &amp; Assumptions'!$L$33,'Model Inputs &amp; Assumptions'!$A$40:$A$42,0))</f>
        <v>2127547.2542125</v>
      </c>
      <c r="K2646" s="49" t="n">
        <f aca="false">H2646*INDEX('Model Inputs &amp; Assumptions'!$G$40:$G$42,MATCH('Model Inputs &amp; Assumptions'!$L$33,'Model Inputs &amp; Assumptions'!$A$40:$A$42,0))*INDEX('Model Inputs &amp; Assumptions'!$H$40:$H$42,MATCH('Model Inputs &amp; Assumptions'!$L$33,'Model Inputs &amp; Assumptions'!$A$40:$A$42,0))</f>
        <v>44678.4923384625</v>
      </c>
      <c r="L2646" s="51" t="n">
        <f aca="false">IFERROR(K2646/I2646,0)</f>
        <v>1.7871396935385</v>
      </c>
      <c r="M2646" s="49" t="n">
        <f aca="false">IFERROR(I2646/H2646,0)</f>
        <v>63.4533497353362</v>
      </c>
      <c r="N2646" s="52" t="str">
        <f aca="false">'Model Inputs &amp; Assumptions'!$L$33</f>
        <v>PRD-SP01</v>
      </c>
      <c r="P2646" s="53" t="n">
        <v>1.3859</v>
      </c>
      <c r="Q2646" s="53" t="n">
        <v>0.463997</v>
      </c>
      <c r="R2646" s="53" t="n">
        <v>0.558717</v>
      </c>
      <c r="S2646" s="53" t="n">
        <v>0.284713</v>
      </c>
    </row>
    <row r="2647" customFormat="false" ht="15" hidden="false" customHeight="false" outlineLevel="0" collapsed="false">
      <c r="A2647" s="43" t="n">
        <v>144</v>
      </c>
      <c r="B2647" s="44" t="str">
        <f aca="false">'Model Inputs &amp; Assumptions'!$B$33</f>
        <v>Trade Republic — Savings Plan Push</v>
      </c>
      <c r="C2647" s="45" t="n">
        <f aca="false">ROUND(MAX(0,'Model Inputs &amp; Assumptions'!$S$33*EXP('Model Inputs &amp; Assumptions'!$T$33*P2647-'Model Inputs &amp; Assumptions'!$T$33^2/2)),0)</f>
        <v>1473037</v>
      </c>
      <c r="D2647" s="46" t="n">
        <f aca="false">MIN(1,'Model Inputs &amp; Assumptions'!$U$33*EXP('Model Inputs &amp; Assumptions'!$V$33*Q2647-'Model Inputs &amp; Assumptions'!$V$33^2/2))</f>
        <v>0</v>
      </c>
      <c r="E2647" s="45" t="n">
        <f aca="false">ROUND(C2647*D2647,0)</f>
        <v>0</v>
      </c>
      <c r="F2647" s="47" t="n">
        <f aca="false">MIN(1,'Model Inputs &amp; Assumptions'!$W$33*EXP('Model Inputs &amp; Assumptions'!$X$33*R2647-'Model Inputs &amp; Assumptions'!$X$33^2/2))</f>
        <v>0.00410728640555645</v>
      </c>
      <c r="G2647" s="45" t="n">
        <f aca="false">ROUND(C2647*F2647,0)</f>
        <v>6050</v>
      </c>
      <c r="H2647" s="48" t="n">
        <f aca="false">MAX(0,(C2647*'Model Inputs &amp; Assumptions'!$N$33+E2647*'Model Inputs &amp; Assumptions'!$O$33+G2647*'Model Inputs &amp; Assumptions'!$P$33)*EXP('Model Inputs &amp; Assumptions'!$Q$33*S2647-'Model Inputs &amp; Assumptions'!$Q$33^2/2))</f>
        <v>370.760290775165</v>
      </c>
      <c r="I2647" s="49" t="n">
        <f aca="false">IF('Model Inputs &amp; Assumptions'!$H$33="Fixed",'Model Inputs &amp; Assumptions'!$I$33*'Model Inputs &amp; Assumptions'!$K$33,IF('Model Inputs &amp; Assumptions'!$H$33="CPM",'Model Inputs &amp; Assumptions'!$I$33*'Model Inputs &amp; Assumptions'!$K$33*C2647/1000,IF('Model Inputs &amp; Assumptions'!$H$33="CPC",'Model Inputs &amp; Assumptions'!$I$33*'Model Inputs &amp; Assumptions'!$K$33*G2647,0)))</f>
        <v>25000</v>
      </c>
      <c r="J2647" s="50" t="n">
        <f aca="false">H2647*INDEX('Model Inputs &amp; Assumptions'!$D$40:$D$42,MATCH('Model Inputs &amp; Assumptions'!$L$33,'Model Inputs &amp; Assumptions'!$A$40:$A$42,0))*INDEX('Model Inputs &amp; Assumptions'!$H$40:$H$42,MATCH('Model Inputs &amp; Assumptions'!$L$33,'Model Inputs &amp; Assumptions'!$A$40:$A$42,0))</f>
        <v>2002105.57018589</v>
      </c>
      <c r="K2647" s="49" t="n">
        <f aca="false">H2647*INDEX('Model Inputs &amp; Assumptions'!$G$40:$G$42,MATCH('Model Inputs &amp; Assumptions'!$L$33,'Model Inputs &amp; Assumptions'!$A$40:$A$42,0))*INDEX('Model Inputs &amp; Assumptions'!$H$40:$H$42,MATCH('Model Inputs &amp; Assumptions'!$L$33,'Model Inputs &amp; Assumptions'!$A$40:$A$42,0))</f>
        <v>42044.2169739038</v>
      </c>
      <c r="L2647" s="51" t="n">
        <f aca="false">IFERROR(K2647/I2647,0)</f>
        <v>1.68176867895615</v>
      </c>
      <c r="M2647" s="49" t="n">
        <f aca="false">IFERROR(I2647/H2647,0)</f>
        <v>67.4290117416063</v>
      </c>
      <c r="N2647" s="52" t="str">
        <f aca="false">'Model Inputs &amp; Assumptions'!$L$33</f>
        <v>PRD-SP01</v>
      </c>
      <c r="P2647" s="53" t="n">
        <v>0.833348</v>
      </c>
      <c r="Q2647" s="53" t="n">
        <v>-1.660629</v>
      </c>
      <c r="R2647" s="53" t="n">
        <v>0.683332</v>
      </c>
      <c r="S2647" s="53" t="n">
        <v>0.526301</v>
      </c>
    </row>
    <row r="2648" customFormat="false" ht="15" hidden="false" customHeight="false" outlineLevel="0" collapsed="false">
      <c r="A2648" s="43" t="n">
        <v>145</v>
      </c>
      <c r="B2648" s="44" t="str">
        <f aca="false">'Model Inputs &amp; Assumptions'!$B$33</f>
        <v>Trade Republic — Savings Plan Push</v>
      </c>
      <c r="C2648" s="45" t="n">
        <f aca="false">ROUND(MAX(0,'Model Inputs &amp; Assumptions'!$S$33*EXP('Model Inputs &amp; Assumptions'!$T$33*P2648-'Model Inputs &amp; Assumptions'!$T$33^2/2)),0)</f>
        <v>1100204</v>
      </c>
      <c r="D2648" s="46" t="n">
        <f aca="false">MIN(1,'Model Inputs &amp; Assumptions'!$U$33*EXP('Model Inputs &amp; Assumptions'!$V$33*Q2648-'Model Inputs &amp; Assumptions'!$V$33^2/2))</f>
        <v>0</v>
      </c>
      <c r="E2648" s="45" t="n">
        <f aca="false">ROUND(C2648*D2648,0)</f>
        <v>0</v>
      </c>
      <c r="F2648" s="47" t="n">
        <f aca="false">MIN(1,'Model Inputs &amp; Assumptions'!$W$33*EXP('Model Inputs &amp; Assumptions'!$X$33*R2648-'Model Inputs &amp; Assumptions'!$X$33^2/2))</f>
        <v>0.00295792902129519</v>
      </c>
      <c r="G2648" s="45" t="n">
        <f aca="false">ROUND(C2648*F2648,0)</f>
        <v>3254</v>
      </c>
      <c r="H2648" s="48" t="n">
        <f aca="false">MAX(0,(C2648*'Model Inputs &amp; Assumptions'!$N$33+E2648*'Model Inputs &amp; Assumptions'!$O$33+G2648*'Model Inputs &amp; Assumptions'!$P$33)*EXP('Model Inputs &amp; Assumptions'!$Q$33*S2648-'Model Inputs &amp; Assumptions'!$Q$33^2/2))</f>
        <v>162.791752835931</v>
      </c>
      <c r="I2648" s="49" t="n">
        <f aca="false">IF('Model Inputs &amp; Assumptions'!$H$33="Fixed",'Model Inputs &amp; Assumptions'!$I$33*'Model Inputs &amp; Assumptions'!$K$33,IF('Model Inputs &amp; Assumptions'!$H$33="CPM",'Model Inputs &amp; Assumptions'!$I$33*'Model Inputs &amp; Assumptions'!$K$33*C2648/1000,IF('Model Inputs &amp; Assumptions'!$H$33="CPC",'Model Inputs &amp; Assumptions'!$I$33*'Model Inputs &amp; Assumptions'!$K$33*G2648,0)))</f>
        <v>25000</v>
      </c>
      <c r="J2648" s="50" t="n">
        <f aca="false">H2648*INDEX('Model Inputs &amp; Assumptions'!$D$40:$D$42,MATCH('Model Inputs &amp; Assumptions'!$L$33,'Model Inputs &amp; Assumptions'!$A$40:$A$42,0))*INDEX('Model Inputs &amp; Assumptions'!$H$40:$H$42,MATCH('Model Inputs &amp; Assumptions'!$L$33,'Model Inputs &amp; Assumptions'!$A$40:$A$42,0))</f>
        <v>879075.465314029</v>
      </c>
      <c r="K2648" s="49" t="n">
        <f aca="false">H2648*INDEX('Model Inputs &amp; Assumptions'!$G$40:$G$42,MATCH('Model Inputs &amp; Assumptions'!$L$33,'Model Inputs &amp; Assumptions'!$A$40:$A$42,0))*INDEX('Model Inputs &amp; Assumptions'!$H$40:$H$42,MATCH('Model Inputs &amp; Assumptions'!$L$33,'Model Inputs &amp; Assumptions'!$A$40:$A$42,0))</f>
        <v>18460.5847715946</v>
      </c>
      <c r="L2648" s="51" t="n">
        <f aca="false">IFERROR(K2648/I2648,0)</f>
        <v>0.738423390863784</v>
      </c>
      <c r="M2648" s="49" t="n">
        <f aca="false">IFERROR(I2648/H2648,0)</f>
        <v>153.570433172964</v>
      </c>
      <c r="N2648" s="52" t="str">
        <f aca="false">'Model Inputs &amp; Assumptions'!$L$33</f>
        <v>PRD-SP01</v>
      </c>
      <c r="P2648" s="53" t="n">
        <v>-0.139421</v>
      </c>
      <c r="Q2648" s="53" t="n">
        <v>1.636582</v>
      </c>
      <c r="R2648" s="53" t="n">
        <v>-0.410912</v>
      </c>
      <c r="S2648" s="53" t="n">
        <v>-0.19838</v>
      </c>
    </row>
    <row r="2649" customFormat="false" ht="15" hidden="false" customHeight="false" outlineLevel="0" collapsed="false">
      <c r="A2649" s="43" t="n">
        <v>146</v>
      </c>
      <c r="B2649" s="44" t="str">
        <f aca="false">'Model Inputs &amp; Assumptions'!$B$33</f>
        <v>Trade Republic — Savings Plan Push</v>
      </c>
      <c r="C2649" s="45" t="n">
        <f aca="false">ROUND(MAX(0,'Model Inputs &amp; Assumptions'!$S$33*EXP('Model Inputs &amp; Assumptions'!$T$33*P2649-'Model Inputs &amp; Assumptions'!$T$33^2/2)),0)</f>
        <v>815693</v>
      </c>
      <c r="D2649" s="46" t="n">
        <f aca="false">MIN(1,'Model Inputs &amp; Assumptions'!$U$33*EXP('Model Inputs &amp; Assumptions'!$V$33*Q2649-'Model Inputs &amp; Assumptions'!$V$33^2/2))</f>
        <v>0</v>
      </c>
      <c r="E2649" s="45" t="n">
        <f aca="false">ROUND(C2649*D2649,0)</f>
        <v>0</v>
      </c>
      <c r="F2649" s="47" t="n">
        <f aca="false">MIN(1,'Model Inputs &amp; Assumptions'!$W$33*EXP('Model Inputs &amp; Assumptions'!$X$33*R2649-'Model Inputs &amp; Assumptions'!$X$33^2/2))</f>
        <v>0.00601063841579464</v>
      </c>
      <c r="G2649" s="45" t="n">
        <f aca="false">ROUND(C2649*F2649,0)</f>
        <v>4903</v>
      </c>
      <c r="H2649" s="48" t="n">
        <f aca="false">MAX(0,(C2649*'Model Inputs &amp; Assumptions'!$N$33+E2649*'Model Inputs &amp; Assumptions'!$O$33+G2649*'Model Inputs &amp; Assumptions'!$P$33)*EXP('Model Inputs &amp; Assumptions'!$Q$33*S2649-'Model Inputs &amp; Assumptions'!$Q$33^2/2))</f>
        <v>248.64845905628</v>
      </c>
      <c r="I2649" s="49" t="n">
        <f aca="false">IF('Model Inputs &amp; Assumptions'!$H$33="Fixed",'Model Inputs &amp; Assumptions'!$I$33*'Model Inputs &amp; Assumptions'!$K$33,IF('Model Inputs &amp; Assumptions'!$H$33="CPM",'Model Inputs &amp; Assumptions'!$I$33*'Model Inputs &amp; Assumptions'!$K$33*C2649/1000,IF('Model Inputs &amp; Assumptions'!$H$33="CPC",'Model Inputs &amp; Assumptions'!$I$33*'Model Inputs &amp; Assumptions'!$K$33*G2649,0)))</f>
        <v>25000</v>
      </c>
      <c r="J2649" s="50" t="n">
        <f aca="false">H2649*INDEX('Model Inputs &amp; Assumptions'!$D$40:$D$42,MATCH('Model Inputs &amp; Assumptions'!$L$33,'Model Inputs &amp; Assumptions'!$A$40:$A$42,0))*INDEX('Model Inputs &amp; Assumptions'!$H$40:$H$42,MATCH('Model Inputs &amp; Assumptions'!$L$33,'Model Inputs &amp; Assumptions'!$A$40:$A$42,0))</f>
        <v>1342701.67890391</v>
      </c>
      <c r="K2649" s="49" t="n">
        <f aca="false">H2649*INDEX('Model Inputs &amp; Assumptions'!$G$40:$G$42,MATCH('Model Inputs &amp; Assumptions'!$L$33,'Model Inputs &amp; Assumptions'!$A$40:$A$42,0))*INDEX('Model Inputs &amp; Assumptions'!$H$40:$H$42,MATCH('Model Inputs &amp; Assumptions'!$L$33,'Model Inputs &amp; Assumptions'!$A$40:$A$42,0))</f>
        <v>28196.7352569821</v>
      </c>
      <c r="L2649" s="51" t="n">
        <f aca="false">IFERROR(K2649/I2649,0)</f>
        <v>1.12786941027928</v>
      </c>
      <c r="M2649" s="49" t="n">
        <f aca="false">IFERROR(I2649/H2649,0)</f>
        <v>100.54355492443</v>
      </c>
      <c r="N2649" s="52" t="str">
        <f aca="false">'Model Inputs &amp; Assumptions'!$L$33</f>
        <v>PRD-SP01</v>
      </c>
      <c r="P2649" s="53" t="n">
        <v>-1.136794</v>
      </c>
      <c r="Q2649" s="53" t="n">
        <v>1.505305</v>
      </c>
      <c r="R2649" s="53" t="n">
        <v>1.95256</v>
      </c>
      <c r="S2649" s="53" t="n">
        <v>-0.149787</v>
      </c>
    </row>
    <row r="2650" customFormat="false" ht="15" hidden="false" customHeight="false" outlineLevel="0" collapsed="false">
      <c r="A2650" s="43" t="n">
        <v>147</v>
      </c>
      <c r="B2650" s="44" t="str">
        <f aca="false">'Model Inputs &amp; Assumptions'!$B$33</f>
        <v>Trade Republic — Savings Plan Push</v>
      </c>
      <c r="C2650" s="45" t="n">
        <f aca="false">ROUND(MAX(0,'Model Inputs &amp; Assumptions'!$S$33*EXP('Model Inputs &amp; Assumptions'!$T$33*P2650-'Model Inputs &amp; Assumptions'!$T$33^2/2)),0)</f>
        <v>1305059</v>
      </c>
      <c r="D2650" s="46" t="n">
        <f aca="false">MIN(1,'Model Inputs &amp; Assumptions'!$U$33*EXP('Model Inputs &amp; Assumptions'!$V$33*Q2650-'Model Inputs &amp; Assumptions'!$V$33^2/2))</f>
        <v>0</v>
      </c>
      <c r="E2650" s="45" t="n">
        <f aca="false">ROUND(C2650*D2650,0)</f>
        <v>0</v>
      </c>
      <c r="F2650" s="47" t="n">
        <f aca="false">MIN(1,'Model Inputs &amp; Assumptions'!$W$33*EXP('Model Inputs &amp; Assumptions'!$X$33*R2650-'Model Inputs &amp; Assumptions'!$X$33^2/2))</f>
        <v>0.00257773593346144</v>
      </c>
      <c r="G2650" s="45" t="n">
        <f aca="false">ROUND(C2650*F2650,0)</f>
        <v>3364</v>
      </c>
      <c r="H2650" s="48" t="n">
        <f aca="false">MAX(0,(C2650*'Model Inputs &amp; Assumptions'!$N$33+E2650*'Model Inputs &amp; Assumptions'!$O$33+G2650*'Model Inputs &amp; Assumptions'!$P$33)*EXP('Model Inputs &amp; Assumptions'!$Q$33*S2650-'Model Inputs &amp; Assumptions'!$Q$33^2/2))</f>
        <v>143.230331943272</v>
      </c>
      <c r="I2650" s="49" t="n">
        <f aca="false">IF('Model Inputs &amp; Assumptions'!$H$33="Fixed",'Model Inputs &amp; Assumptions'!$I$33*'Model Inputs &amp; Assumptions'!$K$33,IF('Model Inputs &amp; Assumptions'!$H$33="CPM",'Model Inputs &amp; Assumptions'!$I$33*'Model Inputs &amp; Assumptions'!$K$33*C2650/1000,IF('Model Inputs &amp; Assumptions'!$H$33="CPC",'Model Inputs &amp; Assumptions'!$I$33*'Model Inputs &amp; Assumptions'!$K$33*G2650,0)))</f>
        <v>25000</v>
      </c>
      <c r="J2650" s="50" t="n">
        <f aca="false">H2650*INDEX('Model Inputs &amp; Assumptions'!$D$40:$D$42,MATCH('Model Inputs &amp; Assumptions'!$L$33,'Model Inputs &amp; Assumptions'!$A$40:$A$42,0))*INDEX('Model Inputs &amp; Assumptions'!$H$40:$H$42,MATCH('Model Inputs &amp; Assumptions'!$L$33,'Model Inputs &amp; Assumptions'!$A$40:$A$42,0))</f>
        <v>773443.792493666</v>
      </c>
      <c r="K2650" s="49" t="n">
        <f aca="false">H2650*INDEX('Model Inputs &amp; Assumptions'!$G$40:$G$42,MATCH('Model Inputs &amp; Assumptions'!$L$33,'Model Inputs &amp; Assumptions'!$A$40:$A$42,0))*INDEX('Model Inputs &amp; Assumptions'!$H$40:$H$42,MATCH('Model Inputs &amp; Assumptions'!$L$33,'Model Inputs &amp; Assumptions'!$A$40:$A$42,0))</f>
        <v>16242.319642367</v>
      </c>
      <c r="L2650" s="51" t="n">
        <f aca="false">IFERROR(K2650/I2650,0)</f>
        <v>0.64969278569468</v>
      </c>
      <c r="M2650" s="49" t="n">
        <f aca="false">IFERROR(I2650/H2650,0)</f>
        <v>174.544034498933</v>
      </c>
      <c r="N2650" s="52" t="str">
        <f aca="false">'Model Inputs &amp; Assumptions'!$L$33</f>
        <v>PRD-SP01</v>
      </c>
      <c r="P2650" s="53" t="n">
        <v>0.429756</v>
      </c>
      <c r="Q2650" s="53" t="n">
        <v>0.115176</v>
      </c>
      <c r="R2650" s="53" t="n">
        <v>-0.869505</v>
      </c>
      <c r="S2650" s="53" t="n">
        <v>-0.774321</v>
      </c>
    </row>
    <row r="2651" customFormat="false" ht="15" hidden="false" customHeight="false" outlineLevel="0" collapsed="false">
      <c r="A2651" s="43" t="n">
        <v>148</v>
      </c>
      <c r="B2651" s="44" t="str">
        <f aca="false">'Model Inputs &amp; Assumptions'!$B$33</f>
        <v>Trade Republic — Savings Plan Push</v>
      </c>
      <c r="C2651" s="45" t="n">
        <f aca="false">ROUND(MAX(0,'Model Inputs &amp; Assumptions'!$S$33*EXP('Model Inputs &amp; Assumptions'!$T$33*P2651-'Model Inputs &amp; Assumptions'!$T$33^2/2)),0)</f>
        <v>771932</v>
      </c>
      <c r="D2651" s="46" t="n">
        <f aca="false">MIN(1,'Model Inputs &amp; Assumptions'!$U$33*EXP('Model Inputs &amp; Assumptions'!$V$33*Q2651-'Model Inputs &amp; Assumptions'!$V$33^2/2))</f>
        <v>0</v>
      </c>
      <c r="E2651" s="45" t="n">
        <f aca="false">ROUND(C2651*D2651,0)</f>
        <v>0</v>
      </c>
      <c r="F2651" s="47" t="n">
        <f aca="false">MIN(1,'Model Inputs &amp; Assumptions'!$W$33*EXP('Model Inputs &amp; Assumptions'!$X$33*R2651-'Model Inputs &amp; Assumptions'!$X$33^2/2))</f>
        <v>0.00271482167137902</v>
      </c>
      <c r="G2651" s="45" t="n">
        <f aca="false">ROUND(C2651*F2651,0)</f>
        <v>2096</v>
      </c>
      <c r="H2651" s="48" t="n">
        <f aca="false">MAX(0,(C2651*'Model Inputs &amp; Assumptions'!$N$33+E2651*'Model Inputs &amp; Assumptions'!$O$33+G2651*'Model Inputs &amp; Assumptions'!$P$33)*EXP('Model Inputs &amp; Assumptions'!$Q$33*S2651-'Model Inputs &amp; Assumptions'!$Q$33^2/2))</f>
        <v>133.678100073685</v>
      </c>
      <c r="I2651" s="49" t="n">
        <f aca="false">IF('Model Inputs &amp; Assumptions'!$H$33="Fixed",'Model Inputs &amp; Assumptions'!$I$33*'Model Inputs &amp; Assumptions'!$K$33,IF('Model Inputs &amp; Assumptions'!$H$33="CPM",'Model Inputs &amp; Assumptions'!$I$33*'Model Inputs &amp; Assumptions'!$K$33*C2651/1000,IF('Model Inputs &amp; Assumptions'!$H$33="CPC",'Model Inputs &amp; Assumptions'!$I$33*'Model Inputs &amp; Assumptions'!$K$33*G2651,0)))</f>
        <v>25000</v>
      </c>
      <c r="J2651" s="50" t="n">
        <f aca="false">H2651*INDEX('Model Inputs &amp; Assumptions'!$D$40:$D$42,MATCH('Model Inputs &amp; Assumptions'!$L$33,'Model Inputs &amp; Assumptions'!$A$40:$A$42,0))*INDEX('Model Inputs &amp; Assumptions'!$H$40:$H$42,MATCH('Model Inputs &amp; Assumptions'!$L$33,'Model Inputs &amp; Assumptions'!$A$40:$A$42,0))</f>
        <v>721861.740397901</v>
      </c>
      <c r="K2651" s="49" t="n">
        <f aca="false">H2651*INDEX('Model Inputs &amp; Assumptions'!$G$40:$G$42,MATCH('Model Inputs &amp; Assumptions'!$L$33,'Model Inputs &amp; Assumptions'!$A$40:$A$42,0))*INDEX('Model Inputs &amp; Assumptions'!$H$40:$H$42,MATCH('Model Inputs &amp; Assumptions'!$L$33,'Model Inputs &amp; Assumptions'!$A$40:$A$42,0))</f>
        <v>15159.0965483559</v>
      </c>
      <c r="L2651" s="51" t="n">
        <f aca="false">IFERROR(K2651/I2651,0)</f>
        <v>0.606363861934237</v>
      </c>
      <c r="M2651" s="49" t="n">
        <f aca="false">IFERROR(I2651/H2651,0)</f>
        <v>187.016422182988</v>
      </c>
      <c r="N2651" s="52" t="str">
        <f aca="false">'Model Inputs &amp; Assumptions'!$L$33</f>
        <v>PRD-SP01</v>
      </c>
      <c r="P2651" s="53" t="n">
        <v>-1.3206</v>
      </c>
      <c r="Q2651" s="53" t="n">
        <v>-0.32766</v>
      </c>
      <c r="R2651" s="53" t="n">
        <v>-0.696789</v>
      </c>
      <c r="S2651" s="53" t="n">
        <v>0.668824</v>
      </c>
    </row>
    <row r="2652" customFormat="false" ht="15" hidden="false" customHeight="false" outlineLevel="0" collapsed="false">
      <c r="A2652" s="43" t="n">
        <v>149</v>
      </c>
      <c r="B2652" s="44" t="str">
        <f aca="false">'Model Inputs &amp; Assumptions'!$B$33</f>
        <v>Trade Republic — Savings Plan Push</v>
      </c>
      <c r="C2652" s="45" t="n">
        <f aca="false">ROUND(MAX(0,'Model Inputs &amp; Assumptions'!$S$33*EXP('Model Inputs &amp; Assumptions'!$T$33*P2652-'Model Inputs &amp; Assumptions'!$T$33^2/2)),0)</f>
        <v>965902</v>
      </c>
      <c r="D2652" s="46" t="n">
        <f aca="false">MIN(1,'Model Inputs &amp; Assumptions'!$U$33*EXP('Model Inputs &amp; Assumptions'!$V$33*Q2652-'Model Inputs &amp; Assumptions'!$V$33^2/2))</f>
        <v>0</v>
      </c>
      <c r="E2652" s="45" t="n">
        <f aca="false">ROUND(C2652*D2652,0)</f>
        <v>0</v>
      </c>
      <c r="F2652" s="47" t="n">
        <f aca="false">MIN(1,'Model Inputs &amp; Assumptions'!$W$33*EXP('Model Inputs &amp; Assumptions'!$X$33*R2652-'Model Inputs &amp; Assumptions'!$X$33^2/2))</f>
        <v>0.0039976827009956</v>
      </c>
      <c r="G2652" s="45" t="n">
        <f aca="false">ROUND(C2652*F2652,0)</f>
        <v>3861</v>
      </c>
      <c r="H2652" s="48" t="n">
        <f aca="false">MAX(0,(C2652*'Model Inputs &amp; Assumptions'!$N$33+E2652*'Model Inputs &amp; Assumptions'!$O$33+G2652*'Model Inputs &amp; Assumptions'!$P$33)*EXP('Model Inputs &amp; Assumptions'!$Q$33*S2652-'Model Inputs &amp; Assumptions'!$Q$33^2/2))</f>
        <v>262.008734899015</v>
      </c>
      <c r="I2652" s="49" t="n">
        <f aca="false">IF('Model Inputs &amp; Assumptions'!$H$33="Fixed",'Model Inputs &amp; Assumptions'!$I$33*'Model Inputs &amp; Assumptions'!$K$33,IF('Model Inputs &amp; Assumptions'!$H$33="CPM",'Model Inputs &amp; Assumptions'!$I$33*'Model Inputs &amp; Assumptions'!$K$33*C2652/1000,IF('Model Inputs &amp; Assumptions'!$H$33="CPC",'Model Inputs &amp; Assumptions'!$I$33*'Model Inputs &amp; Assumptions'!$K$33*G2652,0)))</f>
        <v>25000</v>
      </c>
      <c r="J2652" s="50" t="n">
        <f aca="false">H2652*INDEX('Model Inputs &amp; Assumptions'!$D$40:$D$42,MATCH('Model Inputs &amp; Assumptions'!$L$33,'Model Inputs &amp; Assumptions'!$A$40:$A$42,0))*INDEX('Model Inputs &amp; Assumptions'!$H$40:$H$42,MATCH('Model Inputs &amp; Assumptions'!$L$33,'Model Inputs &amp; Assumptions'!$A$40:$A$42,0))</f>
        <v>1414847.16845468</v>
      </c>
      <c r="K2652" s="49" t="n">
        <f aca="false">H2652*INDEX('Model Inputs &amp; Assumptions'!$G$40:$G$42,MATCH('Model Inputs &amp; Assumptions'!$L$33,'Model Inputs &amp; Assumptions'!$A$40:$A$42,0))*INDEX('Model Inputs &amp; Assumptions'!$H$40:$H$42,MATCH('Model Inputs &amp; Assumptions'!$L$33,'Model Inputs &amp; Assumptions'!$A$40:$A$42,0))</f>
        <v>29711.7905375482</v>
      </c>
      <c r="L2652" s="51" t="n">
        <f aca="false">IFERROR(K2652/I2652,0)</f>
        <v>1.18847162150193</v>
      </c>
      <c r="M2652" s="49" t="n">
        <f aca="false">IFERROR(I2652/H2652,0)</f>
        <v>95.4166662025054</v>
      </c>
      <c r="N2652" s="52" t="str">
        <f aca="false">'Model Inputs &amp; Assumptions'!$L$33</f>
        <v>PRD-SP01</v>
      </c>
      <c r="P2652" s="53" t="n">
        <v>-0.573381</v>
      </c>
      <c r="Q2652" s="53" t="n">
        <v>0.179072</v>
      </c>
      <c r="R2652" s="53" t="n">
        <v>0.593173</v>
      </c>
      <c r="S2652" s="53" t="n">
        <v>0.890423</v>
      </c>
    </row>
    <row r="2653" customFormat="false" ht="15" hidden="false" customHeight="false" outlineLevel="0" collapsed="false">
      <c r="A2653" s="43" t="n">
        <v>150</v>
      </c>
      <c r="B2653" s="44" t="str">
        <f aca="false">'Model Inputs &amp; Assumptions'!$B$33</f>
        <v>Trade Republic — Savings Plan Push</v>
      </c>
      <c r="C2653" s="45" t="n">
        <f aca="false">ROUND(MAX(0,'Model Inputs &amp; Assumptions'!$S$33*EXP('Model Inputs &amp; Assumptions'!$T$33*P2653-'Model Inputs &amp; Assumptions'!$T$33^2/2)),0)</f>
        <v>911921</v>
      </c>
      <c r="D2653" s="46" t="n">
        <f aca="false">MIN(1,'Model Inputs &amp; Assumptions'!$U$33*EXP('Model Inputs &amp; Assumptions'!$V$33*Q2653-'Model Inputs &amp; Assumptions'!$V$33^2/2))</f>
        <v>0</v>
      </c>
      <c r="E2653" s="45" t="n">
        <f aca="false">ROUND(C2653*D2653,0)</f>
        <v>0</v>
      </c>
      <c r="F2653" s="47" t="n">
        <f aca="false">MIN(1,'Model Inputs &amp; Assumptions'!$W$33*EXP('Model Inputs &amp; Assumptions'!$X$33*R2653-'Model Inputs &amp; Assumptions'!$X$33^2/2))</f>
        <v>0.00412794278762136</v>
      </c>
      <c r="G2653" s="45" t="n">
        <f aca="false">ROUND(C2653*F2653,0)</f>
        <v>3764</v>
      </c>
      <c r="H2653" s="48" t="n">
        <f aca="false">MAX(0,(C2653*'Model Inputs &amp; Assumptions'!$N$33+E2653*'Model Inputs &amp; Assumptions'!$O$33+G2653*'Model Inputs &amp; Assumptions'!$P$33)*EXP('Model Inputs &amp; Assumptions'!$Q$33*S2653-'Model Inputs &amp; Assumptions'!$Q$33^2/2))</f>
        <v>185.054986817435</v>
      </c>
      <c r="I2653" s="49" t="n">
        <f aca="false">IF('Model Inputs &amp; Assumptions'!$H$33="Fixed",'Model Inputs &amp; Assumptions'!$I$33*'Model Inputs &amp; Assumptions'!$K$33,IF('Model Inputs &amp; Assumptions'!$H$33="CPM",'Model Inputs &amp; Assumptions'!$I$33*'Model Inputs &amp; Assumptions'!$K$33*C2653/1000,IF('Model Inputs &amp; Assumptions'!$H$33="CPC",'Model Inputs &amp; Assumptions'!$I$33*'Model Inputs &amp; Assumptions'!$K$33*G2653,0)))</f>
        <v>25000</v>
      </c>
      <c r="J2653" s="50" t="n">
        <f aca="false">H2653*INDEX('Model Inputs &amp; Assumptions'!$D$40:$D$42,MATCH('Model Inputs &amp; Assumptions'!$L$33,'Model Inputs &amp; Assumptions'!$A$40:$A$42,0))*INDEX('Model Inputs &amp; Assumptions'!$H$40:$H$42,MATCH('Model Inputs &amp; Assumptions'!$L$33,'Model Inputs &amp; Assumptions'!$A$40:$A$42,0))</f>
        <v>999296.928814148</v>
      </c>
      <c r="K2653" s="49" t="n">
        <f aca="false">H2653*INDEX('Model Inputs &amp; Assumptions'!$G$40:$G$42,MATCH('Model Inputs &amp; Assumptions'!$L$33,'Model Inputs &amp; Assumptions'!$A$40:$A$42,0))*INDEX('Model Inputs &amp; Assumptions'!$H$40:$H$42,MATCH('Model Inputs &amp; Assumptions'!$L$33,'Model Inputs &amp; Assumptions'!$A$40:$A$42,0))</f>
        <v>20985.2355050971</v>
      </c>
      <c r="L2653" s="51" t="n">
        <f aca="false">IFERROR(K2653/I2653,0)</f>
        <v>0.839409420203884</v>
      </c>
      <c r="M2653" s="49" t="n">
        <f aca="false">IFERROR(I2653/H2653,0)</f>
        <v>135.094981388768</v>
      </c>
      <c r="N2653" s="52" t="str">
        <f aca="false">'Model Inputs &amp; Assumptions'!$L$33</f>
        <v>PRD-SP01</v>
      </c>
      <c r="P2653" s="53" t="n">
        <v>-0.765077</v>
      </c>
      <c r="Q2653" s="53" t="n">
        <v>0.062411</v>
      </c>
      <c r="R2653" s="53" t="n">
        <v>0.700054</v>
      </c>
      <c r="S2653" s="53" t="n">
        <v>-0.26058</v>
      </c>
    </row>
    <row r="2654" customFormat="false" ht="15" hidden="false" customHeight="false" outlineLevel="0" collapsed="false">
      <c r="A2654" s="43" t="n">
        <v>151</v>
      </c>
      <c r="B2654" s="44" t="str">
        <f aca="false">'Model Inputs &amp; Assumptions'!$B$33</f>
        <v>Trade Republic — Savings Plan Push</v>
      </c>
      <c r="C2654" s="45" t="n">
        <f aca="false">ROUND(MAX(0,'Model Inputs &amp; Assumptions'!$S$33*EXP('Model Inputs &amp; Assumptions'!$T$33*P2654-'Model Inputs &amp; Assumptions'!$T$33^2/2)),0)</f>
        <v>1235768</v>
      </c>
      <c r="D2654" s="46" t="n">
        <f aca="false">MIN(1,'Model Inputs &amp; Assumptions'!$U$33*EXP('Model Inputs &amp; Assumptions'!$V$33*Q2654-'Model Inputs &amp; Assumptions'!$V$33^2/2))</f>
        <v>0</v>
      </c>
      <c r="E2654" s="45" t="n">
        <f aca="false">ROUND(C2654*D2654,0)</f>
        <v>0</v>
      </c>
      <c r="F2654" s="47" t="n">
        <f aca="false">MIN(1,'Model Inputs &amp; Assumptions'!$W$33*EXP('Model Inputs &amp; Assumptions'!$X$33*R2654-'Model Inputs &amp; Assumptions'!$X$33^2/2))</f>
        <v>0.00287947811741152</v>
      </c>
      <c r="G2654" s="45" t="n">
        <f aca="false">ROUND(C2654*F2654,0)</f>
        <v>3558</v>
      </c>
      <c r="H2654" s="48" t="n">
        <f aca="false">MAX(0,(C2654*'Model Inputs &amp; Assumptions'!$N$33+E2654*'Model Inputs &amp; Assumptions'!$O$33+G2654*'Model Inputs &amp; Assumptions'!$P$33)*EXP('Model Inputs &amp; Assumptions'!$Q$33*S2654-'Model Inputs &amp; Assumptions'!$Q$33^2/2))</f>
        <v>222.377692641791</v>
      </c>
      <c r="I2654" s="49" t="n">
        <f aca="false">IF('Model Inputs &amp; Assumptions'!$H$33="Fixed",'Model Inputs &amp; Assumptions'!$I$33*'Model Inputs &amp; Assumptions'!$K$33,IF('Model Inputs &amp; Assumptions'!$H$33="CPM",'Model Inputs &amp; Assumptions'!$I$33*'Model Inputs &amp; Assumptions'!$K$33*C2654/1000,IF('Model Inputs &amp; Assumptions'!$H$33="CPC",'Model Inputs &amp; Assumptions'!$I$33*'Model Inputs &amp; Assumptions'!$K$33*G2654,0)))</f>
        <v>25000</v>
      </c>
      <c r="J2654" s="50" t="n">
        <f aca="false">H2654*INDEX('Model Inputs &amp; Assumptions'!$D$40:$D$42,MATCH('Model Inputs &amp; Assumptions'!$L$33,'Model Inputs &amp; Assumptions'!$A$40:$A$42,0))*INDEX('Model Inputs &amp; Assumptions'!$H$40:$H$42,MATCH('Model Inputs &amp; Assumptions'!$L$33,'Model Inputs &amp; Assumptions'!$A$40:$A$42,0))</f>
        <v>1200839.54026567</v>
      </c>
      <c r="K2654" s="49" t="n">
        <f aca="false">H2654*INDEX('Model Inputs &amp; Assumptions'!$G$40:$G$42,MATCH('Model Inputs &amp; Assumptions'!$L$33,'Model Inputs &amp; Assumptions'!$A$40:$A$42,0))*INDEX('Model Inputs &amp; Assumptions'!$H$40:$H$42,MATCH('Model Inputs &amp; Assumptions'!$L$33,'Model Inputs &amp; Assumptions'!$A$40:$A$42,0))</f>
        <v>25217.6303455791</v>
      </c>
      <c r="L2654" s="51" t="n">
        <f aca="false">IFERROR(K2654/I2654,0)</f>
        <v>1.00870521382317</v>
      </c>
      <c r="M2654" s="49" t="n">
        <f aca="false">IFERROR(I2654/H2654,0)</f>
        <v>112.421348126272</v>
      </c>
      <c r="N2654" s="52" t="str">
        <f aca="false">'Model Inputs &amp; Assumptions'!$L$33</f>
        <v>PRD-SP01</v>
      </c>
      <c r="P2654" s="53" t="n">
        <v>0.247903</v>
      </c>
      <c r="Q2654" s="53" t="n">
        <v>-0.585873</v>
      </c>
      <c r="R2654" s="53" t="n">
        <v>-0.500513</v>
      </c>
      <c r="S2654" s="53" t="n">
        <v>0.596591</v>
      </c>
    </row>
    <row r="2655" customFormat="false" ht="15" hidden="false" customHeight="false" outlineLevel="0" collapsed="false">
      <c r="A2655" s="43" t="n">
        <v>152</v>
      </c>
      <c r="B2655" s="44" t="str">
        <f aca="false">'Model Inputs &amp; Assumptions'!$B$33</f>
        <v>Trade Republic — Savings Plan Push</v>
      </c>
      <c r="C2655" s="45" t="n">
        <f aca="false">ROUND(MAX(0,'Model Inputs &amp; Assumptions'!$S$33*EXP('Model Inputs &amp; Assumptions'!$T$33*P2655-'Model Inputs &amp; Assumptions'!$T$33^2/2)),0)</f>
        <v>1045034</v>
      </c>
      <c r="D2655" s="46" t="n">
        <f aca="false">MIN(1,'Model Inputs &amp; Assumptions'!$U$33*EXP('Model Inputs &amp; Assumptions'!$V$33*Q2655-'Model Inputs &amp; Assumptions'!$V$33^2/2))</f>
        <v>0</v>
      </c>
      <c r="E2655" s="45" t="n">
        <f aca="false">ROUND(C2655*D2655,0)</f>
        <v>0</v>
      </c>
      <c r="F2655" s="47" t="n">
        <f aca="false">MIN(1,'Model Inputs &amp; Assumptions'!$W$33*EXP('Model Inputs &amp; Assumptions'!$X$33*R2655-'Model Inputs &amp; Assumptions'!$X$33^2/2))</f>
        <v>0.00260083973659465</v>
      </c>
      <c r="G2655" s="45" t="n">
        <f aca="false">ROUND(C2655*F2655,0)</f>
        <v>2718</v>
      </c>
      <c r="H2655" s="48" t="n">
        <f aca="false">MAX(0,(C2655*'Model Inputs &amp; Assumptions'!$N$33+E2655*'Model Inputs &amp; Assumptions'!$O$33+G2655*'Model Inputs &amp; Assumptions'!$P$33)*EXP('Model Inputs &amp; Assumptions'!$Q$33*S2655-'Model Inputs &amp; Assumptions'!$Q$33^2/2))</f>
        <v>155.855899774154</v>
      </c>
      <c r="I2655" s="49" t="n">
        <f aca="false">IF('Model Inputs &amp; Assumptions'!$H$33="Fixed",'Model Inputs &amp; Assumptions'!$I$33*'Model Inputs &amp; Assumptions'!$K$33,IF('Model Inputs &amp; Assumptions'!$H$33="CPM",'Model Inputs &amp; Assumptions'!$I$33*'Model Inputs &amp; Assumptions'!$K$33*C2655/1000,IF('Model Inputs &amp; Assumptions'!$H$33="CPC",'Model Inputs &amp; Assumptions'!$I$33*'Model Inputs &amp; Assumptions'!$K$33*G2655,0)))</f>
        <v>25000</v>
      </c>
      <c r="J2655" s="50" t="n">
        <f aca="false">H2655*INDEX('Model Inputs &amp; Assumptions'!$D$40:$D$42,MATCH('Model Inputs &amp; Assumptions'!$L$33,'Model Inputs &amp; Assumptions'!$A$40:$A$42,0))*INDEX('Model Inputs &amp; Assumptions'!$H$40:$H$42,MATCH('Model Inputs &amp; Assumptions'!$L$33,'Model Inputs &amp; Assumptions'!$A$40:$A$42,0))</f>
        <v>841621.858780433</v>
      </c>
      <c r="K2655" s="49" t="n">
        <f aca="false">H2655*INDEX('Model Inputs &amp; Assumptions'!$G$40:$G$42,MATCH('Model Inputs &amp; Assumptions'!$L$33,'Model Inputs &amp; Assumptions'!$A$40:$A$42,0))*INDEX('Model Inputs &amp; Assumptions'!$H$40:$H$42,MATCH('Model Inputs &amp; Assumptions'!$L$33,'Model Inputs &amp; Assumptions'!$A$40:$A$42,0))</f>
        <v>17674.0590343891</v>
      </c>
      <c r="L2655" s="51" t="n">
        <f aca="false">IFERROR(K2655/I2655,0)</f>
        <v>0.706962361375564</v>
      </c>
      <c r="M2655" s="49" t="n">
        <f aca="false">IFERROR(I2655/H2655,0)</f>
        <v>160.404579077383</v>
      </c>
      <c r="N2655" s="52" t="str">
        <f aca="false">'Model Inputs &amp; Assumptions'!$L$33</f>
        <v>PRD-SP01</v>
      </c>
      <c r="P2655" s="53" t="n">
        <v>-0.310907</v>
      </c>
      <c r="Q2655" s="53" t="n">
        <v>-0.670922</v>
      </c>
      <c r="R2655" s="53" t="n">
        <v>-0.839762</v>
      </c>
      <c r="S2655" s="53" t="n">
        <v>0.288937</v>
      </c>
    </row>
    <row r="2656" customFormat="false" ht="15" hidden="false" customHeight="false" outlineLevel="0" collapsed="false">
      <c r="A2656" s="43" t="n">
        <v>153</v>
      </c>
      <c r="B2656" s="44" t="str">
        <f aca="false">'Model Inputs &amp; Assumptions'!$B$33</f>
        <v>Trade Republic — Savings Plan Push</v>
      </c>
      <c r="C2656" s="45" t="n">
        <f aca="false">ROUND(MAX(0,'Model Inputs &amp; Assumptions'!$S$33*EXP('Model Inputs &amp; Assumptions'!$T$33*P2656-'Model Inputs &amp; Assumptions'!$T$33^2/2)),0)</f>
        <v>1190413</v>
      </c>
      <c r="D2656" s="46" t="n">
        <f aca="false">MIN(1,'Model Inputs &amp; Assumptions'!$U$33*EXP('Model Inputs &amp; Assumptions'!$V$33*Q2656-'Model Inputs &amp; Assumptions'!$V$33^2/2))</f>
        <v>0</v>
      </c>
      <c r="E2656" s="45" t="n">
        <f aca="false">ROUND(C2656*D2656,0)</f>
        <v>0</v>
      </c>
      <c r="F2656" s="47" t="n">
        <f aca="false">MIN(1,'Model Inputs &amp; Assumptions'!$W$33*EXP('Model Inputs &amp; Assumptions'!$X$33*R2656-'Model Inputs &amp; Assumptions'!$X$33^2/2))</f>
        <v>0.00420611983575683</v>
      </c>
      <c r="G2656" s="45" t="n">
        <f aca="false">ROUND(C2656*F2656,0)</f>
        <v>5007</v>
      </c>
      <c r="H2656" s="48" t="n">
        <f aca="false">MAX(0,(C2656*'Model Inputs &amp; Assumptions'!$N$33+E2656*'Model Inputs &amp; Assumptions'!$O$33+G2656*'Model Inputs &amp; Assumptions'!$P$33)*EXP('Model Inputs &amp; Assumptions'!$Q$33*S2656-'Model Inputs &amp; Assumptions'!$Q$33^2/2))</f>
        <v>425.736307690388</v>
      </c>
      <c r="I2656" s="49" t="n">
        <f aca="false">IF('Model Inputs &amp; Assumptions'!$H$33="Fixed",'Model Inputs &amp; Assumptions'!$I$33*'Model Inputs &amp; Assumptions'!$K$33,IF('Model Inputs &amp; Assumptions'!$H$33="CPM",'Model Inputs &amp; Assumptions'!$I$33*'Model Inputs &amp; Assumptions'!$K$33*C2656/1000,IF('Model Inputs &amp; Assumptions'!$H$33="CPC",'Model Inputs &amp; Assumptions'!$I$33*'Model Inputs &amp; Assumptions'!$K$33*G2656,0)))</f>
        <v>25000</v>
      </c>
      <c r="J2656" s="50" t="n">
        <f aca="false">H2656*INDEX('Model Inputs &amp; Assumptions'!$D$40:$D$42,MATCH('Model Inputs &amp; Assumptions'!$L$33,'Model Inputs &amp; Assumptions'!$A$40:$A$42,0))*INDEX('Model Inputs &amp; Assumptions'!$H$40:$H$42,MATCH('Model Inputs &amp; Assumptions'!$L$33,'Model Inputs &amp; Assumptions'!$A$40:$A$42,0))</f>
        <v>2298976.06152809</v>
      </c>
      <c r="K2656" s="49" t="n">
        <f aca="false">H2656*INDEX('Model Inputs &amp; Assumptions'!$G$40:$G$42,MATCH('Model Inputs &amp; Assumptions'!$L$33,'Model Inputs &amp; Assumptions'!$A$40:$A$42,0))*INDEX('Model Inputs &amp; Assumptions'!$H$40:$H$42,MATCH('Model Inputs &amp; Assumptions'!$L$33,'Model Inputs &amp; Assumptions'!$A$40:$A$42,0))</f>
        <v>48278.49729209</v>
      </c>
      <c r="L2656" s="51" t="n">
        <f aca="false">IFERROR(K2656/I2656,0)</f>
        <v>1.9311398916836</v>
      </c>
      <c r="M2656" s="49" t="n">
        <f aca="false">IFERROR(I2656/H2656,0)</f>
        <v>58.721794567216</v>
      </c>
      <c r="N2656" s="52" t="str">
        <f aca="false">'Model Inputs &amp; Assumptions'!$L$33</f>
        <v>PRD-SP01</v>
      </c>
      <c r="P2656" s="53" t="n">
        <v>0.123262</v>
      </c>
      <c r="Q2656" s="53" t="n">
        <v>0.327259</v>
      </c>
      <c r="R2656" s="53" t="n">
        <v>0.762592</v>
      </c>
      <c r="S2656" s="53" t="n">
        <v>1.695893</v>
      </c>
    </row>
    <row r="2657" customFormat="false" ht="15" hidden="false" customHeight="false" outlineLevel="0" collapsed="false">
      <c r="A2657" s="43" t="n">
        <v>154</v>
      </c>
      <c r="B2657" s="44" t="str">
        <f aca="false">'Model Inputs &amp; Assumptions'!$B$33</f>
        <v>Trade Republic — Savings Plan Push</v>
      </c>
      <c r="C2657" s="45" t="n">
        <f aca="false">ROUND(MAX(0,'Model Inputs &amp; Assumptions'!$S$33*EXP('Model Inputs &amp; Assumptions'!$T$33*P2657-'Model Inputs &amp; Assumptions'!$T$33^2/2)),0)</f>
        <v>1013981</v>
      </c>
      <c r="D2657" s="46" t="n">
        <f aca="false">MIN(1,'Model Inputs &amp; Assumptions'!$U$33*EXP('Model Inputs &amp; Assumptions'!$V$33*Q2657-'Model Inputs &amp; Assumptions'!$V$33^2/2))</f>
        <v>0</v>
      </c>
      <c r="E2657" s="45" t="n">
        <f aca="false">ROUND(C2657*D2657,0)</f>
        <v>0</v>
      </c>
      <c r="F2657" s="47" t="n">
        <f aca="false">MIN(1,'Model Inputs &amp; Assumptions'!$W$33*EXP('Model Inputs &amp; Assumptions'!$X$33*R2657-'Model Inputs &amp; Assumptions'!$X$33^2/2))</f>
        <v>0.00627348466681781</v>
      </c>
      <c r="G2657" s="45" t="n">
        <f aca="false">ROUND(C2657*F2657,0)</f>
        <v>6361</v>
      </c>
      <c r="H2657" s="48" t="n">
        <f aca="false">MAX(0,(C2657*'Model Inputs &amp; Assumptions'!$N$33+E2657*'Model Inputs &amp; Assumptions'!$O$33+G2657*'Model Inputs &amp; Assumptions'!$P$33)*EXP('Model Inputs &amp; Assumptions'!$Q$33*S2657-'Model Inputs &amp; Assumptions'!$Q$33^2/2))</f>
        <v>395.664877065466</v>
      </c>
      <c r="I2657" s="49" t="n">
        <f aca="false">IF('Model Inputs &amp; Assumptions'!$H$33="Fixed",'Model Inputs &amp; Assumptions'!$I$33*'Model Inputs &amp; Assumptions'!$K$33,IF('Model Inputs &amp; Assumptions'!$H$33="CPM",'Model Inputs &amp; Assumptions'!$I$33*'Model Inputs &amp; Assumptions'!$K$33*C2657/1000,IF('Model Inputs &amp; Assumptions'!$H$33="CPC",'Model Inputs &amp; Assumptions'!$I$33*'Model Inputs &amp; Assumptions'!$K$33*G2657,0)))</f>
        <v>25000</v>
      </c>
      <c r="J2657" s="50" t="n">
        <f aca="false">H2657*INDEX('Model Inputs &amp; Assumptions'!$D$40:$D$42,MATCH('Model Inputs &amp; Assumptions'!$L$33,'Model Inputs &amp; Assumptions'!$A$40:$A$42,0))*INDEX('Model Inputs &amp; Assumptions'!$H$40:$H$42,MATCH('Model Inputs &amp; Assumptions'!$L$33,'Model Inputs &amp; Assumptions'!$A$40:$A$42,0))</f>
        <v>2136590.33615352</v>
      </c>
      <c r="K2657" s="49" t="n">
        <f aca="false">H2657*INDEX('Model Inputs &amp; Assumptions'!$G$40:$G$42,MATCH('Model Inputs &amp; Assumptions'!$L$33,'Model Inputs &amp; Assumptions'!$A$40:$A$42,0))*INDEX('Model Inputs &amp; Assumptions'!$H$40:$H$42,MATCH('Model Inputs &amp; Assumptions'!$L$33,'Model Inputs &amp; Assumptions'!$A$40:$A$42,0))</f>
        <v>44868.3970592239</v>
      </c>
      <c r="L2657" s="51" t="n">
        <f aca="false">IFERROR(K2657/I2657,0)</f>
        <v>1.79473588236895</v>
      </c>
      <c r="M2657" s="49" t="n">
        <f aca="false">IFERROR(I2657/H2657,0)</f>
        <v>63.1847845212289</v>
      </c>
      <c r="N2657" s="52" t="str">
        <f aca="false">'Model Inputs &amp; Assumptions'!$L$33</f>
        <v>PRD-SP01</v>
      </c>
      <c r="P2657" s="53" t="n">
        <v>-0.411459</v>
      </c>
      <c r="Q2657" s="53" t="n">
        <v>-0.928284</v>
      </c>
      <c r="R2657" s="53" t="n">
        <v>2.09523</v>
      </c>
      <c r="S2657" s="53" t="n">
        <v>0.57946</v>
      </c>
    </row>
    <row r="2658" customFormat="false" ht="15" hidden="false" customHeight="false" outlineLevel="0" collapsed="false">
      <c r="A2658" s="43" t="n">
        <v>155</v>
      </c>
      <c r="B2658" s="44" t="str">
        <f aca="false">'Model Inputs &amp; Assumptions'!$B$33</f>
        <v>Trade Republic — Savings Plan Push</v>
      </c>
      <c r="C2658" s="45" t="n">
        <f aca="false">ROUND(MAX(0,'Model Inputs &amp; Assumptions'!$S$33*EXP('Model Inputs &amp; Assumptions'!$T$33*P2658-'Model Inputs &amp; Assumptions'!$T$33^2/2)),0)</f>
        <v>1947463</v>
      </c>
      <c r="D2658" s="46" t="n">
        <f aca="false">MIN(1,'Model Inputs &amp; Assumptions'!$U$33*EXP('Model Inputs &amp; Assumptions'!$V$33*Q2658-'Model Inputs &amp; Assumptions'!$V$33^2/2))</f>
        <v>0</v>
      </c>
      <c r="E2658" s="45" t="n">
        <f aca="false">ROUND(C2658*D2658,0)</f>
        <v>0</v>
      </c>
      <c r="F2658" s="47" t="n">
        <f aca="false">MIN(1,'Model Inputs &amp; Assumptions'!$W$33*EXP('Model Inputs &amp; Assumptions'!$X$33*R2658-'Model Inputs &amp; Assumptions'!$X$33^2/2))</f>
        <v>0.00440795855020496</v>
      </c>
      <c r="G2658" s="45" t="n">
        <f aca="false">ROUND(C2658*F2658,0)</f>
        <v>8584</v>
      </c>
      <c r="H2658" s="48" t="n">
        <f aca="false">MAX(0,(C2658*'Model Inputs &amp; Assumptions'!$N$33+E2658*'Model Inputs &amp; Assumptions'!$O$33+G2658*'Model Inputs &amp; Assumptions'!$P$33)*EXP('Model Inputs &amp; Assumptions'!$Q$33*S2658-'Model Inputs &amp; Assumptions'!$Q$33^2/2))</f>
        <v>228.279498901378</v>
      </c>
      <c r="I2658" s="49" t="n">
        <f aca="false">IF('Model Inputs &amp; Assumptions'!$H$33="Fixed",'Model Inputs &amp; Assumptions'!$I$33*'Model Inputs &amp; Assumptions'!$K$33,IF('Model Inputs &amp; Assumptions'!$H$33="CPM",'Model Inputs &amp; Assumptions'!$I$33*'Model Inputs &amp; Assumptions'!$K$33*C2658/1000,IF('Model Inputs &amp; Assumptions'!$H$33="CPC",'Model Inputs &amp; Assumptions'!$I$33*'Model Inputs &amp; Assumptions'!$K$33*G2658,0)))</f>
        <v>25000</v>
      </c>
      <c r="J2658" s="50" t="n">
        <f aca="false">H2658*INDEX('Model Inputs &amp; Assumptions'!$D$40:$D$42,MATCH('Model Inputs &amp; Assumptions'!$L$33,'Model Inputs &amp; Assumptions'!$A$40:$A$42,0))*INDEX('Model Inputs &amp; Assumptions'!$H$40:$H$42,MATCH('Model Inputs &amp; Assumptions'!$L$33,'Model Inputs &amp; Assumptions'!$A$40:$A$42,0))</f>
        <v>1232709.29406744</v>
      </c>
      <c r="K2658" s="49" t="n">
        <f aca="false">H2658*INDEX('Model Inputs &amp; Assumptions'!$G$40:$G$42,MATCH('Model Inputs &amp; Assumptions'!$L$33,'Model Inputs &amp; Assumptions'!$A$40:$A$42,0))*INDEX('Model Inputs &amp; Assumptions'!$H$40:$H$42,MATCH('Model Inputs &amp; Assumptions'!$L$33,'Model Inputs &amp; Assumptions'!$A$40:$A$42,0))</f>
        <v>25886.8951754163</v>
      </c>
      <c r="L2658" s="51" t="n">
        <f aca="false">IFERROR(K2658/I2658,0)</f>
        <v>1.03547580701665</v>
      </c>
      <c r="M2658" s="49" t="n">
        <f aca="false">IFERROR(I2658/H2658,0)</f>
        <v>109.51487155139</v>
      </c>
      <c r="N2658" s="52" t="str">
        <f aca="false">'Model Inputs &amp; Assumptions'!$L$33</f>
        <v>PRD-SP01</v>
      </c>
      <c r="P2658" s="53" t="n">
        <v>1.764019</v>
      </c>
      <c r="Q2658" s="53" t="n">
        <v>-0.777178</v>
      </c>
      <c r="R2658" s="53" t="n">
        <v>0.918829</v>
      </c>
      <c r="S2658" s="53" t="n">
        <v>-2.455223</v>
      </c>
    </row>
    <row r="2659" customFormat="false" ht="15" hidden="false" customHeight="false" outlineLevel="0" collapsed="false">
      <c r="A2659" s="43" t="n">
        <v>156</v>
      </c>
      <c r="B2659" s="44" t="str">
        <f aca="false">'Model Inputs &amp; Assumptions'!$B$33</f>
        <v>Trade Republic — Savings Plan Push</v>
      </c>
      <c r="C2659" s="45" t="n">
        <f aca="false">ROUND(MAX(0,'Model Inputs &amp; Assumptions'!$S$33*EXP('Model Inputs &amp; Assumptions'!$T$33*P2659-'Model Inputs &amp; Assumptions'!$T$33^2/2)),0)</f>
        <v>815713</v>
      </c>
      <c r="D2659" s="46" t="n">
        <f aca="false">MIN(1,'Model Inputs &amp; Assumptions'!$U$33*EXP('Model Inputs &amp; Assumptions'!$V$33*Q2659-'Model Inputs &amp; Assumptions'!$V$33^2/2))</f>
        <v>0</v>
      </c>
      <c r="E2659" s="45" t="n">
        <f aca="false">ROUND(C2659*D2659,0)</f>
        <v>0</v>
      </c>
      <c r="F2659" s="47" t="n">
        <f aca="false">MIN(1,'Model Inputs &amp; Assumptions'!$W$33*EXP('Model Inputs &amp; Assumptions'!$X$33*R2659-'Model Inputs &amp; Assumptions'!$X$33^2/2))</f>
        <v>0.0038576009260193</v>
      </c>
      <c r="G2659" s="45" t="n">
        <f aca="false">ROUND(C2659*F2659,0)</f>
        <v>3147</v>
      </c>
      <c r="H2659" s="48" t="n">
        <f aca="false">MAX(0,(C2659*'Model Inputs &amp; Assumptions'!$N$33+E2659*'Model Inputs &amp; Assumptions'!$O$33+G2659*'Model Inputs &amp; Assumptions'!$P$33)*EXP('Model Inputs &amp; Assumptions'!$Q$33*S2659-'Model Inputs &amp; Assumptions'!$Q$33^2/2))</f>
        <v>162.606609206606</v>
      </c>
      <c r="I2659" s="49" t="n">
        <f aca="false">IF('Model Inputs &amp; Assumptions'!$H$33="Fixed",'Model Inputs &amp; Assumptions'!$I$33*'Model Inputs &amp; Assumptions'!$K$33,IF('Model Inputs &amp; Assumptions'!$H$33="CPM",'Model Inputs &amp; Assumptions'!$I$33*'Model Inputs &amp; Assumptions'!$K$33*C2659/1000,IF('Model Inputs &amp; Assumptions'!$H$33="CPC",'Model Inputs &amp; Assumptions'!$I$33*'Model Inputs &amp; Assumptions'!$K$33*G2659,0)))</f>
        <v>25000</v>
      </c>
      <c r="J2659" s="50" t="n">
        <f aca="false">H2659*INDEX('Model Inputs &amp; Assumptions'!$D$40:$D$42,MATCH('Model Inputs &amp; Assumptions'!$L$33,'Model Inputs &amp; Assumptions'!$A$40:$A$42,0))*INDEX('Model Inputs &amp; Assumptions'!$H$40:$H$42,MATCH('Model Inputs &amp; Assumptions'!$L$33,'Model Inputs &amp; Assumptions'!$A$40:$A$42,0))</f>
        <v>878075.689715674</v>
      </c>
      <c r="K2659" s="49" t="n">
        <f aca="false">H2659*INDEX('Model Inputs &amp; Assumptions'!$G$40:$G$42,MATCH('Model Inputs &amp; Assumptions'!$L$33,'Model Inputs &amp; Assumptions'!$A$40:$A$42,0))*INDEX('Model Inputs &amp; Assumptions'!$H$40:$H$42,MATCH('Model Inputs &amp; Assumptions'!$L$33,'Model Inputs &amp; Assumptions'!$A$40:$A$42,0))</f>
        <v>18439.5894840291</v>
      </c>
      <c r="L2659" s="51" t="n">
        <f aca="false">IFERROR(K2659/I2659,0)</f>
        <v>0.737583579361166</v>
      </c>
      <c r="M2659" s="49" t="n">
        <f aca="false">IFERROR(I2659/H2659,0)</f>
        <v>153.745288226478</v>
      </c>
      <c r="N2659" s="52" t="str">
        <f aca="false">'Model Inputs &amp; Assumptions'!$L$33</f>
        <v>PRD-SP01</v>
      </c>
      <c r="P2659" s="53" t="n">
        <v>-1.136715</v>
      </c>
      <c r="Q2659" s="53" t="n">
        <v>0.896659</v>
      </c>
      <c r="R2659" s="53" t="n">
        <v>0.474275</v>
      </c>
      <c r="S2659" s="53" t="n">
        <v>-0.083032</v>
      </c>
    </row>
    <row r="2660" customFormat="false" ht="15" hidden="false" customHeight="false" outlineLevel="0" collapsed="false">
      <c r="A2660" s="43" t="n">
        <v>157</v>
      </c>
      <c r="B2660" s="44" t="str">
        <f aca="false">'Model Inputs &amp; Assumptions'!$B$33</f>
        <v>Trade Republic — Savings Plan Push</v>
      </c>
      <c r="C2660" s="45" t="n">
        <f aca="false">ROUND(MAX(0,'Model Inputs &amp; Assumptions'!$S$33*EXP('Model Inputs &amp; Assumptions'!$T$33*P2660-'Model Inputs &amp; Assumptions'!$T$33^2/2)),0)</f>
        <v>2320069</v>
      </c>
      <c r="D2660" s="46" t="n">
        <f aca="false">MIN(1,'Model Inputs &amp; Assumptions'!$U$33*EXP('Model Inputs &amp; Assumptions'!$V$33*Q2660-'Model Inputs &amp; Assumptions'!$V$33^2/2))</f>
        <v>0</v>
      </c>
      <c r="E2660" s="45" t="n">
        <f aca="false">ROUND(C2660*D2660,0)</f>
        <v>0</v>
      </c>
      <c r="F2660" s="47" t="n">
        <f aca="false">MIN(1,'Model Inputs &amp; Assumptions'!$W$33*EXP('Model Inputs &amp; Assumptions'!$X$33*R2660-'Model Inputs &amp; Assumptions'!$X$33^2/2))</f>
        <v>0.00223981834925346</v>
      </c>
      <c r="G2660" s="45" t="n">
        <f aca="false">ROUND(C2660*F2660,0)</f>
        <v>5197</v>
      </c>
      <c r="H2660" s="48" t="n">
        <f aca="false">MAX(0,(C2660*'Model Inputs &amp; Assumptions'!$N$33+E2660*'Model Inputs &amp; Assumptions'!$O$33+G2660*'Model Inputs &amp; Assumptions'!$P$33)*EXP('Model Inputs &amp; Assumptions'!$Q$33*S2660-'Model Inputs &amp; Assumptions'!$Q$33^2/2))</f>
        <v>189.352758264682</v>
      </c>
      <c r="I2660" s="49" t="n">
        <f aca="false">IF('Model Inputs &amp; Assumptions'!$H$33="Fixed",'Model Inputs &amp; Assumptions'!$I$33*'Model Inputs &amp; Assumptions'!$K$33,IF('Model Inputs &amp; Assumptions'!$H$33="CPM",'Model Inputs &amp; Assumptions'!$I$33*'Model Inputs &amp; Assumptions'!$K$33*C2660/1000,IF('Model Inputs &amp; Assumptions'!$H$33="CPC",'Model Inputs &amp; Assumptions'!$I$33*'Model Inputs &amp; Assumptions'!$K$33*G2660,0)))</f>
        <v>25000</v>
      </c>
      <c r="J2660" s="50" t="n">
        <f aca="false">H2660*INDEX('Model Inputs &amp; Assumptions'!$D$40:$D$42,MATCH('Model Inputs &amp; Assumptions'!$L$33,'Model Inputs &amp; Assumptions'!$A$40:$A$42,0))*INDEX('Model Inputs &amp; Assumptions'!$H$40:$H$42,MATCH('Model Inputs &amp; Assumptions'!$L$33,'Model Inputs &amp; Assumptions'!$A$40:$A$42,0))</f>
        <v>1022504.89462928</v>
      </c>
      <c r="K2660" s="49" t="n">
        <f aca="false">H2660*INDEX('Model Inputs &amp; Assumptions'!$G$40:$G$42,MATCH('Model Inputs &amp; Assumptions'!$L$33,'Model Inputs &amp; Assumptions'!$A$40:$A$42,0))*INDEX('Model Inputs &amp; Assumptions'!$H$40:$H$42,MATCH('Model Inputs &amp; Assumptions'!$L$33,'Model Inputs &amp; Assumptions'!$A$40:$A$42,0))</f>
        <v>21472.602787215</v>
      </c>
      <c r="L2660" s="51" t="n">
        <f aca="false">IFERROR(K2660/I2660,0)</f>
        <v>0.858904111488598</v>
      </c>
      <c r="M2660" s="49" t="n">
        <f aca="false">IFERROR(I2660/H2660,0)</f>
        <v>132.028707841976</v>
      </c>
      <c r="N2660" s="52" t="str">
        <f aca="false">'Model Inputs &amp; Assumptions'!$L$33</f>
        <v>PRD-SP01</v>
      </c>
      <c r="P2660" s="53" t="n">
        <v>2.347584</v>
      </c>
      <c r="Q2660" s="53" t="n">
        <v>0.150979</v>
      </c>
      <c r="R2660" s="53" t="n">
        <v>-1.337894</v>
      </c>
      <c r="S2660" s="53" t="n">
        <v>-1.330725</v>
      </c>
    </row>
    <row r="2661" customFormat="false" ht="15" hidden="false" customHeight="false" outlineLevel="0" collapsed="false">
      <c r="A2661" s="43" t="n">
        <v>158</v>
      </c>
      <c r="B2661" s="44" t="str">
        <f aca="false">'Model Inputs &amp; Assumptions'!$B$33</f>
        <v>Trade Republic — Savings Plan Push</v>
      </c>
      <c r="C2661" s="45" t="n">
        <f aca="false">ROUND(MAX(0,'Model Inputs &amp; Assumptions'!$S$33*EXP('Model Inputs &amp; Assumptions'!$T$33*P2661-'Model Inputs &amp; Assumptions'!$T$33^2/2)),0)</f>
        <v>872355</v>
      </c>
      <c r="D2661" s="46" t="n">
        <f aca="false">MIN(1,'Model Inputs &amp; Assumptions'!$U$33*EXP('Model Inputs &amp; Assumptions'!$V$33*Q2661-'Model Inputs &amp; Assumptions'!$V$33^2/2))</f>
        <v>0</v>
      </c>
      <c r="E2661" s="45" t="n">
        <f aca="false">ROUND(C2661*D2661,0)</f>
        <v>0</v>
      </c>
      <c r="F2661" s="47" t="n">
        <f aca="false">MIN(1,'Model Inputs &amp; Assumptions'!$W$33*EXP('Model Inputs &amp; Assumptions'!$X$33*R2661-'Model Inputs &amp; Assumptions'!$X$33^2/2))</f>
        <v>0.00255150471255718</v>
      </c>
      <c r="G2661" s="45" t="n">
        <f aca="false">ROUND(C2661*F2661,0)</f>
        <v>2226</v>
      </c>
      <c r="H2661" s="48" t="n">
        <f aca="false">MAX(0,(C2661*'Model Inputs &amp; Assumptions'!$N$33+E2661*'Model Inputs &amp; Assumptions'!$O$33+G2661*'Model Inputs &amp; Assumptions'!$P$33)*EXP('Model Inputs &amp; Assumptions'!$Q$33*S2661-'Model Inputs &amp; Assumptions'!$Q$33^2/2))</f>
        <v>63.4761648083627</v>
      </c>
      <c r="I2661" s="49" t="n">
        <f aca="false">IF('Model Inputs &amp; Assumptions'!$H$33="Fixed",'Model Inputs &amp; Assumptions'!$I$33*'Model Inputs &amp; Assumptions'!$K$33,IF('Model Inputs &amp; Assumptions'!$H$33="CPM",'Model Inputs &amp; Assumptions'!$I$33*'Model Inputs &amp; Assumptions'!$K$33*C2661/1000,IF('Model Inputs &amp; Assumptions'!$H$33="CPC",'Model Inputs &amp; Assumptions'!$I$33*'Model Inputs &amp; Assumptions'!$K$33*G2661,0)))</f>
        <v>25000</v>
      </c>
      <c r="J2661" s="50" t="n">
        <f aca="false">H2661*INDEX('Model Inputs &amp; Assumptions'!$D$40:$D$42,MATCH('Model Inputs &amp; Assumptions'!$L$33,'Model Inputs &amp; Assumptions'!$A$40:$A$42,0))*INDEX('Model Inputs &amp; Assumptions'!$H$40:$H$42,MATCH('Model Inputs &amp; Assumptions'!$L$33,'Model Inputs &amp; Assumptions'!$A$40:$A$42,0))</f>
        <v>342771.289965159</v>
      </c>
      <c r="K2661" s="49" t="n">
        <f aca="false">H2661*INDEX('Model Inputs &amp; Assumptions'!$G$40:$G$42,MATCH('Model Inputs &amp; Assumptions'!$L$33,'Model Inputs &amp; Assumptions'!$A$40:$A$42,0))*INDEX('Model Inputs &amp; Assumptions'!$H$40:$H$42,MATCH('Model Inputs &amp; Assumptions'!$L$33,'Model Inputs &amp; Assumptions'!$A$40:$A$42,0))</f>
        <v>7198.19708926833</v>
      </c>
      <c r="L2661" s="51" t="n">
        <f aca="false">IFERROR(K2661/I2661,0)</f>
        <v>0.287927883570733</v>
      </c>
      <c r="M2661" s="49" t="n">
        <f aca="false">IFERROR(I2661/H2661,0)</f>
        <v>393.848621375852</v>
      </c>
      <c r="N2661" s="52" t="str">
        <f aca="false">'Model Inputs &amp; Assumptions'!$L$33</f>
        <v>PRD-SP01</v>
      </c>
      <c r="P2661" s="53" t="n">
        <v>-0.912933</v>
      </c>
      <c r="Q2661" s="53" t="n">
        <v>0.765826</v>
      </c>
      <c r="R2661" s="53" t="n">
        <v>-0.903599</v>
      </c>
      <c r="S2661" s="53" t="n">
        <v>-2.205982</v>
      </c>
    </row>
    <row r="2662" customFormat="false" ht="15" hidden="false" customHeight="false" outlineLevel="0" collapsed="false">
      <c r="A2662" s="43" t="n">
        <v>159</v>
      </c>
      <c r="B2662" s="44" t="str">
        <f aca="false">'Model Inputs &amp; Assumptions'!$B$33</f>
        <v>Trade Republic — Savings Plan Push</v>
      </c>
      <c r="C2662" s="45" t="n">
        <f aca="false">ROUND(MAX(0,'Model Inputs &amp; Assumptions'!$S$33*EXP('Model Inputs &amp; Assumptions'!$T$33*P2662-'Model Inputs &amp; Assumptions'!$T$33^2/2)),0)</f>
        <v>617917</v>
      </c>
      <c r="D2662" s="46" t="n">
        <f aca="false">MIN(1,'Model Inputs &amp; Assumptions'!$U$33*EXP('Model Inputs &amp; Assumptions'!$V$33*Q2662-'Model Inputs &amp; Assumptions'!$V$33^2/2))</f>
        <v>0</v>
      </c>
      <c r="E2662" s="45" t="n">
        <f aca="false">ROUND(C2662*D2662,0)</f>
        <v>0</v>
      </c>
      <c r="F2662" s="47" t="n">
        <f aca="false">MIN(1,'Model Inputs &amp; Assumptions'!$W$33*EXP('Model Inputs &amp; Assumptions'!$X$33*R2662-'Model Inputs &amp; Assumptions'!$X$33^2/2))</f>
        <v>0.00323567922895135</v>
      </c>
      <c r="G2662" s="45" t="n">
        <f aca="false">ROUND(C2662*F2662,0)</f>
        <v>1999</v>
      </c>
      <c r="H2662" s="48" t="n">
        <f aca="false">MAX(0,(C2662*'Model Inputs &amp; Assumptions'!$N$33+E2662*'Model Inputs &amp; Assumptions'!$O$33+G2662*'Model Inputs &amp; Assumptions'!$P$33)*EXP('Model Inputs &amp; Assumptions'!$Q$33*S2662-'Model Inputs &amp; Assumptions'!$Q$33^2/2))</f>
        <v>138.077422542085</v>
      </c>
      <c r="I2662" s="49" t="n">
        <f aca="false">IF('Model Inputs &amp; Assumptions'!$H$33="Fixed",'Model Inputs &amp; Assumptions'!$I$33*'Model Inputs &amp; Assumptions'!$K$33,IF('Model Inputs &amp; Assumptions'!$H$33="CPM",'Model Inputs &amp; Assumptions'!$I$33*'Model Inputs &amp; Assumptions'!$K$33*C2662/1000,IF('Model Inputs &amp; Assumptions'!$H$33="CPC",'Model Inputs &amp; Assumptions'!$I$33*'Model Inputs &amp; Assumptions'!$K$33*G2662,0)))</f>
        <v>25000</v>
      </c>
      <c r="J2662" s="50" t="n">
        <f aca="false">H2662*INDEX('Model Inputs &amp; Assumptions'!$D$40:$D$42,MATCH('Model Inputs &amp; Assumptions'!$L$33,'Model Inputs &amp; Assumptions'!$A$40:$A$42,0))*INDEX('Model Inputs &amp; Assumptions'!$H$40:$H$42,MATCH('Model Inputs &amp; Assumptions'!$L$33,'Model Inputs &amp; Assumptions'!$A$40:$A$42,0))</f>
        <v>745618.081727256</v>
      </c>
      <c r="K2662" s="49" t="n">
        <f aca="false">H2662*INDEX('Model Inputs &amp; Assumptions'!$G$40:$G$42,MATCH('Model Inputs &amp; Assumptions'!$L$33,'Model Inputs &amp; Assumptions'!$A$40:$A$42,0))*INDEX('Model Inputs &amp; Assumptions'!$H$40:$H$42,MATCH('Model Inputs &amp; Assumptions'!$L$33,'Model Inputs &amp; Assumptions'!$A$40:$A$42,0))</f>
        <v>15657.9797162724</v>
      </c>
      <c r="L2662" s="51" t="n">
        <f aca="false">IFERROR(K2662/I2662,0)</f>
        <v>0.626319188650895</v>
      </c>
      <c r="M2662" s="49" t="n">
        <f aca="false">IFERROR(I2662/H2662,0)</f>
        <v>181.057840881845</v>
      </c>
      <c r="N2662" s="52" t="str">
        <f aca="false">'Model Inputs &amp; Assumptions'!$L$33</f>
        <v>PRD-SP01</v>
      </c>
      <c r="P2662" s="53" t="n">
        <v>-2.062408</v>
      </c>
      <c r="Q2662" s="53" t="n">
        <v>-0.612904</v>
      </c>
      <c r="R2662" s="53" t="n">
        <v>-0.111747</v>
      </c>
      <c r="S2662" s="53" t="n">
        <v>0.953694</v>
      </c>
    </row>
    <row r="2663" customFormat="false" ht="15" hidden="false" customHeight="false" outlineLevel="0" collapsed="false">
      <c r="A2663" s="43" t="n">
        <v>160</v>
      </c>
      <c r="B2663" s="44" t="str">
        <f aca="false">'Model Inputs &amp; Assumptions'!$B$33</f>
        <v>Trade Republic — Savings Plan Push</v>
      </c>
      <c r="C2663" s="45" t="n">
        <f aca="false">ROUND(MAX(0,'Model Inputs &amp; Assumptions'!$S$33*EXP('Model Inputs &amp; Assumptions'!$T$33*P2663-'Model Inputs &amp; Assumptions'!$T$33^2/2)),0)</f>
        <v>2132166</v>
      </c>
      <c r="D2663" s="46" t="n">
        <f aca="false">MIN(1,'Model Inputs &amp; Assumptions'!$U$33*EXP('Model Inputs &amp; Assumptions'!$V$33*Q2663-'Model Inputs &amp; Assumptions'!$V$33^2/2))</f>
        <v>0</v>
      </c>
      <c r="E2663" s="45" t="n">
        <f aca="false">ROUND(C2663*D2663,0)</f>
        <v>0</v>
      </c>
      <c r="F2663" s="47" t="n">
        <f aca="false">MIN(1,'Model Inputs &amp; Assumptions'!$W$33*EXP('Model Inputs &amp; Assumptions'!$X$33*R2663-'Model Inputs &amp; Assumptions'!$X$33^2/2))</f>
        <v>0.00327024585956908</v>
      </c>
      <c r="G2663" s="45" t="n">
        <f aca="false">ROUND(C2663*F2663,0)</f>
        <v>6973</v>
      </c>
      <c r="H2663" s="48" t="n">
        <f aca="false">MAX(0,(C2663*'Model Inputs &amp; Assumptions'!$N$33+E2663*'Model Inputs &amp; Assumptions'!$O$33+G2663*'Model Inputs &amp; Assumptions'!$P$33)*EXP('Model Inputs &amp; Assumptions'!$Q$33*S2663-'Model Inputs &amp; Assumptions'!$Q$33^2/2))</f>
        <v>366.711271942343</v>
      </c>
      <c r="I2663" s="49" t="n">
        <f aca="false">IF('Model Inputs &amp; Assumptions'!$H$33="Fixed",'Model Inputs &amp; Assumptions'!$I$33*'Model Inputs &amp; Assumptions'!$K$33,IF('Model Inputs &amp; Assumptions'!$H$33="CPM",'Model Inputs &amp; Assumptions'!$I$33*'Model Inputs &amp; Assumptions'!$K$33*C2663/1000,IF('Model Inputs &amp; Assumptions'!$H$33="CPC",'Model Inputs &amp; Assumptions'!$I$33*'Model Inputs &amp; Assumptions'!$K$33*G2663,0)))</f>
        <v>25000</v>
      </c>
      <c r="J2663" s="50" t="n">
        <f aca="false">H2663*INDEX('Model Inputs &amp; Assumptions'!$D$40:$D$42,MATCH('Model Inputs &amp; Assumptions'!$L$33,'Model Inputs &amp; Assumptions'!$A$40:$A$42,0))*INDEX('Model Inputs &amp; Assumptions'!$H$40:$H$42,MATCH('Model Inputs &amp; Assumptions'!$L$33,'Model Inputs &amp; Assumptions'!$A$40:$A$42,0))</f>
        <v>1980240.86848865</v>
      </c>
      <c r="K2663" s="49" t="n">
        <f aca="false">H2663*INDEX('Model Inputs &amp; Assumptions'!$G$40:$G$42,MATCH('Model Inputs &amp; Assumptions'!$L$33,'Model Inputs &amp; Assumptions'!$A$40:$A$42,0))*INDEX('Model Inputs &amp; Assumptions'!$H$40:$H$42,MATCH('Model Inputs &amp; Assumptions'!$L$33,'Model Inputs &amp; Assumptions'!$A$40:$A$42,0))</f>
        <v>41585.0582382617</v>
      </c>
      <c r="L2663" s="51" t="n">
        <f aca="false">IFERROR(K2663/I2663,0)</f>
        <v>1.66340232953047</v>
      </c>
      <c r="M2663" s="49" t="n">
        <f aca="false">IFERROR(I2663/H2663,0)</f>
        <v>68.1735248212678</v>
      </c>
      <c r="N2663" s="52" t="str">
        <f aca="false">'Model Inputs &amp; Assumptions'!$L$33</f>
        <v>PRD-SP01</v>
      </c>
      <c r="P2663" s="53" t="n">
        <v>2.066056</v>
      </c>
      <c r="Q2663" s="53" t="n">
        <v>0.821447</v>
      </c>
      <c r="R2663" s="53" t="n">
        <v>-0.076326</v>
      </c>
      <c r="S2663" s="53" t="n">
        <v>-0.020014</v>
      </c>
    </row>
    <row r="2664" customFormat="false" ht="15" hidden="false" customHeight="false" outlineLevel="0" collapsed="false">
      <c r="A2664" s="43" t="n">
        <v>161</v>
      </c>
      <c r="B2664" s="44" t="str">
        <f aca="false">'Model Inputs &amp; Assumptions'!$B$33</f>
        <v>Trade Republic — Savings Plan Push</v>
      </c>
      <c r="C2664" s="45" t="n">
        <f aca="false">ROUND(MAX(0,'Model Inputs &amp; Assumptions'!$S$33*EXP('Model Inputs &amp; Assumptions'!$T$33*P2664-'Model Inputs &amp; Assumptions'!$T$33^2/2)),0)</f>
        <v>1663126</v>
      </c>
      <c r="D2664" s="46" t="n">
        <f aca="false">MIN(1,'Model Inputs &amp; Assumptions'!$U$33*EXP('Model Inputs &amp; Assumptions'!$V$33*Q2664-'Model Inputs &amp; Assumptions'!$V$33^2/2))</f>
        <v>0</v>
      </c>
      <c r="E2664" s="45" t="n">
        <f aca="false">ROUND(C2664*D2664,0)</f>
        <v>0</v>
      </c>
      <c r="F2664" s="47" t="n">
        <f aca="false">MIN(1,'Model Inputs &amp; Assumptions'!$W$33*EXP('Model Inputs &amp; Assumptions'!$X$33*R2664-'Model Inputs &amp; Assumptions'!$X$33^2/2))</f>
        <v>0.00439924998524331</v>
      </c>
      <c r="G2664" s="45" t="n">
        <f aca="false">ROUND(C2664*F2664,0)</f>
        <v>7317</v>
      </c>
      <c r="H2664" s="48" t="n">
        <f aca="false">MAX(0,(C2664*'Model Inputs &amp; Assumptions'!$N$33+E2664*'Model Inputs &amp; Assumptions'!$O$33+G2664*'Model Inputs &amp; Assumptions'!$P$33)*EXP('Model Inputs &amp; Assumptions'!$Q$33*S2664-'Model Inputs &amp; Assumptions'!$Q$33^2/2))</f>
        <v>363.032743666332</v>
      </c>
      <c r="I2664" s="49" t="n">
        <f aca="false">IF('Model Inputs &amp; Assumptions'!$H$33="Fixed",'Model Inputs &amp; Assumptions'!$I$33*'Model Inputs &amp; Assumptions'!$K$33,IF('Model Inputs &amp; Assumptions'!$H$33="CPM",'Model Inputs &amp; Assumptions'!$I$33*'Model Inputs &amp; Assumptions'!$K$33*C2664/1000,IF('Model Inputs &amp; Assumptions'!$H$33="CPC",'Model Inputs &amp; Assumptions'!$I$33*'Model Inputs &amp; Assumptions'!$K$33*G2664,0)))</f>
        <v>25000</v>
      </c>
      <c r="J2664" s="50" t="n">
        <f aca="false">H2664*INDEX('Model Inputs &amp; Assumptions'!$D$40:$D$42,MATCH('Model Inputs &amp; Assumptions'!$L$33,'Model Inputs &amp; Assumptions'!$A$40:$A$42,0))*INDEX('Model Inputs &amp; Assumptions'!$H$40:$H$42,MATCH('Model Inputs &amp; Assumptions'!$L$33,'Model Inputs &amp; Assumptions'!$A$40:$A$42,0))</f>
        <v>1960376.81579819</v>
      </c>
      <c r="K2664" s="49" t="n">
        <f aca="false">H2664*INDEX('Model Inputs &amp; Assumptions'!$G$40:$G$42,MATCH('Model Inputs &amp; Assumptions'!$L$33,'Model Inputs &amp; Assumptions'!$A$40:$A$42,0))*INDEX('Model Inputs &amp; Assumptions'!$H$40:$H$42,MATCH('Model Inputs &amp; Assumptions'!$L$33,'Model Inputs &amp; Assumptions'!$A$40:$A$42,0))</f>
        <v>41167.913131762</v>
      </c>
      <c r="L2664" s="51" t="n">
        <f aca="false">IFERROR(K2664/I2664,0)</f>
        <v>1.64671652527048</v>
      </c>
      <c r="M2664" s="49" t="n">
        <f aca="false">IFERROR(I2664/H2664,0)</f>
        <v>68.8643116527743</v>
      </c>
      <c r="N2664" s="52" t="str">
        <f aca="false">'Model Inputs &amp; Assumptions'!$L$33</f>
        <v>PRD-SP01</v>
      </c>
      <c r="P2664" s="53" t="n">
        <v>1.237924</v>
      </c>
      <c r="Q2664" s="53" t="n">
        <v>-0.031519</v>
      </c>
      <c r="R2664" s="53" t="n">
        <v>0.912237</v>
      </c>
      <c r="S2664" s="53" t="n">
        <v>-0.228002</v>
      </c>
    </row>
    <row r="2665" customFormat="false" ht="15" hidden="false" customHeight="false" outlineLevel="0" collapsed="false">
      <c r="A2665" s="43" t="n">
        <v>162</v>
      </c>
      <c r="B2665" s="44" t="str">
        <f aca="false">'Model Inputs &amp; Assumptions'!$B$33</f>
        <v>Trade Republic — Savings Plan Push</v>
      </c>
      <c r="C2665" s="45" t="n">
        <f aca="false">ROUND(MAX(0,'Model Inputs &amp; Assumptions'!$S$33*EXP('Model Inputs &amp; Assumptions'!$T$33*P2665-'Model Inputs &amp; Assumptions'!$T$33^2/2)),0)</f>
        <v>1066962</v>
      </c>
      <c r="D2665" s="46" t="n">
        <f aca="false">MIN(1,'Model Inputs &amp; Assumptions'!$U$33*EXP('Model Inputs &amp; Assumptions'!$V$33*Q2665-'Model Inputs &amp; Assumptions'!$V$33^2/2))</f>
        <v>0</v>
      </c>
      <c r="E2665" s="45" t="n">
        <f aca="false">ROUND(C2665*D2665,0)</f>
        <v>0</v>
      </c>
      <c r="F2665" s="47" t="n">
        <f aca="false">MIN(1,'Model Inputs &amp; Assumptions'!$W$33*EXP('Model Inputs &amp; Assumptions'!$X$33*R2665-'Model Inputs &amp; Assumptions'!$X$33^2/2))</f>
        <v>0.0032623685103492</v>
      </c>
      <c r="G2665" s="45" t="n">
        <f aca="false">ROUND(C2665*F2665,0)</f>
        <v>3481</v>
      </c>
      <c r="H2665" s="48" t="n">
        <f aca="false">MAX(0,(C2665*'Model Inputs &amp; Assumptions'!$N$33+E2665*'Model Inputs &amp; Assumptions'!$O$33+G2665*'Model Inputs &amp; Assumptions'!$P$33)*EXP('Model Inputs &amp; Assumptions'!$Q$33*S2665-'Model Inputs &amp; Assumptions'!$Q$33^2/2))</f>
        <v>148.966974549873</v>
      </c>
      <c r="I2665" s="49" t="n">
        <f aca="false">IF('Model Inputs &amp; Assumptions'!$H$33="Fixed",'Model Inputs &amp; Assumptions'!$I$33*'Model Inputs &amp; Assumptions'!$K$33,IF('Model Inputs &amp; Assumptions'!$H$33="CPM",'Model Inputs &amp; Assumptions'!$I$33*'Model Inputs &amp; Assumptions'!$K$33*C2665/1000,IF('Model Inputs &amp; Assumptions'!$H$33="CPC",'Model Inputs &amp; Assumptions'!$I$33*'Model Inputs &amp; Assumptions'!$K$33*G2665,0)))</f>
        <v>25000</v>
      </c>
      <c r="J2665" s="50" t="n">
        <f aca="false">H2665*INDEX('Model Inputs &amp; Assumptions'!$D$40:$D$42,MATCH('Model Inputs &amp; Assumptions'!$L$33,'Model Inputs &amp; Assumptions'!$A$40:$A$42,0))*INDEX('Model Inputs &amp; Assumptions'!$H$40:$H$42,MATCH('Model Inputs &amp; Assumptions'!$L$33,'Model Inputs &amp; Assumptions'!$A$40:$A$42,0))</f>
        <v>804421.662569313</v>
      </c>
      <c r="K2665" s="49" t="n">
        <f aca="false">H2665*INDEX('Model Inputs &amp; Assumptions'!$G$40:$G$42,MATCH('Model Inputs &amp; Assumptions'!$L$33,'Model Inputs &amp; Assumptions'!$A$40:$A$42,0))*INDEX('Model Inputs &amp; Assumptions'!$H$40:$H$42,MATCH('Model Inputs &amp; Assumptions'!$L$33,'Model Inputs &amp; Assumptions'!$A$40:$A$42,0))</f>
        <v>16892.8549139556</v>
      </c>
      <c r="L2665" s="51" t="n">
        <f aca="false">IFERROR(K2665/I2665,0)</f>
        <v>0.675714196558223</v>
      </c>
      <c r="M2665" s="49" t="n">
        <f aca="false">IFERROR(I2665/H2665,0)</f>
        <v>167.822432291059</v>
      </c>
      <c r="N2665" s="52" t="str">
        <f aca="false">'Model Inputs &amp; Assumptions'!$L$33</f>
        <v>PRD-SP01</v>
      </c>
      <c r="P2665" s="53" t="n">
        <v>-0.241686</v>
      </c>
      <c r="Q2665" s="53" t="n">
        <v>0.455409</v>
      </c>
      <c r="R2665" s="53" t="n">
        <v>-0.084365</v>
      </c>
      <c r="S2665" s="53" t="n">
        <v>-0.756172</v>
      </c>
    </row>
    <row r="2666" customFormat="false" ht="15" hidden="false" customHeight="false" outlineLevel="0" collapsed="false">
      <c r="A2666" s="43" t="n">
        <v>163</v>
      </c>
      <c r="B2666" s="44" t="str">
        <f aca="false">'Model Inputs &amp; Assumptions'!$B$33</f>
        <v>Trade Republic — Savings Plan Push</v>
      </c>
      <c r="C2666" s="45" t="n">
        <f aca="false">ROUND(MAX(0,'Model Inputs &amp; Assumptions'!$S$33*EXP('Model Inputs &amp; Assumptions'!$T$33*P2666-'Model Inputs &amp; Assumptions'!$T$33^2/2)),0)</f>
        <v>1031660</v>
      </c>
      <c r="D2666" s="46" t="n">
        <f aca="false">MIN(1,'Model Inputs &amp; Assumptions'!$U$33*EXP('Model Inputs &amp; Assumptions'!$V$33*Q2666-'Model Inputs &amp; Assumptions'!$V$33^2/2))</f>
        <v>0</v>
      </c>
      <c r="E2666" s="45" t="n">
        <f aca="false">ROUND(C2666*D2666,0)</f>
        <v>0</v>
      </c>
      <c r="F2666" s="47" t="n">
        <f aca="false">MIN(1,'Model Inputs &amp; Assumptions'!$W$33*EXP('Model Inputs &amp; Assumptions'!$X$33*R2666-'Model Inputs &amp; Assumptions'!$X$33^2/2))</f>
        <v>0.00739022860236128</v>
      </c>
      <c r="G2666" s="45" t="n">
        <f aca="false">ROUND(C2666*F2666,0)</f>
        <v>7624</v>
      </c>
      <c r="H2666" s="48" t="n">
        <f aca="false">MAX(0,(C2666*'Model Inputs &amp; Assumptions'!$N$33+E2666*'Model Inputs &amp; Assumptions'!$O$33+G2666*'Model Inputs &amp; Assumptions'!$P$33)*EXP('Model Inputs &amp; Assumptions'!$Q$33*S2666-'Model Inputs &amp; Assumptions'!$Q$33^2/2))</f>
        <v>345.186272488841</v>
      </c>
      <c r="I2666" s="49" t="n">
        <f aca="false">IF('Model Inputs &amp; Assumptions'!$H$33="Fixed",'Model Inputs &amp; Assumptions'!$I$33*'Model Inputs &amp; Assumptions'!$K$33,IF('Model Inputs &amp; Assumptions'!$H$33="CPM",'Model Inputs &amp; Assumptions'!$I$33*'Model Inputs &amp; Assumptions'!$K$33*C2666/1000,IF('Model Inputs &amp; Assumptions'!$H$33="CPC",'Model Inputs &amp; Assumptions'!$I$33*'Model Inputs &amp; Assumptions'!$K$33*G2666,0)))</f>
        <v>25000</v>
      </c>
      <c r="J2666" s="50" t="n">
        <f aca="false">H2666*INDEX('Model Inputs &amp; Assumptions'!$D$40:$D$42,MATCH('Model Inputs &amp; Assumptions'!$L$33,'Model Inputs &amp; Assumptions'!$A$40:$A$42,0))*INDEX('Model Inputs &amp; Assumptions'!$H$40:$H$42,MATCH('Model Inputs &amp; Assumptions'!$L$33,'Model Inputs &amp; Assumptions'!$A$40:$A$42,0))</f>
        <v>1864005.87143974</v>
      </c>
      <c r="K2666" s="49" t="n">
        <f aca="false">H2666*INDEX('Model Inputs &amp; Assumptions'!$G$40:$G$42,MATCH('Model Inputs &amp; Assumptions'!$L$33,'Model Inputs &amp; Assumptions'!$A$40:$A$42,0))*INDEX('Model Inputs &amp; Assumptions'!$H$40:$H$42,MATCH('Model Inputs &amp; Assumptions'!$L$33,'Model Inputs &amp; Assumptions'!$A$40:$A$42,0))</f>
        <v>39144.1233002346</v>
      </c>
      <c r="L2666" s="51" t="n">
        <f aca="false">IFERROR(K2666/I2666,0)</f>
        <v>1.56576493200938</v>
      </c>
      <c r="M2666" s="49" t="n">
        <f aca="false">IFERROR(I2666/H2666,0)</f>
        <v>72.424664572396</v>
      </c>
      <c r="N2666" s="52" t="str">
        <f aca="false">'Model Inputs &amp; Assumptions'!$L$33</f>
        <v>PRD-SP01</v>
      </c>
      <c r="P2666" s="53" t="n">
        <v>-0.353842</v>
      </c>
      <c r="Q2666" s="53" t="n">
        <v>-1.161789</v>
      </c>
      <c r="R2666" s="53" t="n">
        <v>2.641319</v>
      </c>
      <c r="S2666" s="53" t="n">
        <v>-0.554822</v>
      </c>
    </row>
    <row r="2667" customFormat="false" ht="15" hidden="false" customHeight="false" outlineLevel="0" collapsed="false">
      <c r="A2667" s="43" t="n">
        <v>164</v>
      </c>
      <c r="B2667" s="44" t="str">
        <f aca="false">'Model Inputs &amp; Assumptions'!$B$33</f>
        <v>Trade Republic — Savings Plan Push</v>
      </c>
      <c r="C2667" s="45" t="n">
        <f aca="false">ROUND(MAX(0,'Model Inputs &amp; Assumptions'!$S$33*EXP('Model Inputs &amp; Assumptions'!$T$33*P2667-'Model Inputs &amp; Assumptions'!$T$33^2/2)),0)</f>
        <v>937209</v>
      </c>
      <c r="D2667" s="46" t="n">
        <f aca="false">MIN(1,'Model Inputs &amp; Assumptions'!$U$33*EXP('Model Inputs &amp; Assumptions'!$V$33*Q2667-'Model Inputs &amp; Assumptions'!$V$33^2/2))</f>
        <v>0</v>
      </c>
      <c r="E2667" s="45" t="n">
        <f aca="false">ROUND(C2667*D2667,0)</f>
        <v>0</v>
      </c>
      <c r="F2667" s="47" t="n">
        <f aca="false">MIN(1,'Model Inputs &amp; Assumptions'!$W$33*EXP('Model Inputs &amp; Assumptions'!$X$33*R2667-'Model Inputs &amp; Assumptions'!$X$33^2/2))</f>
        <v>0.00319838203697686</v>
      </c>
      <c r="G2667" s="45" t="n">
        <f aca="false">ROUND(C2667*F2667,0)</f>
        <v>2998</v>
      </c>
      <c r="H2667" s="48" t="n">
        <f aca="false">MAX(0,(C2667*'Model Inputs &amp; Assumptions'!$N$33+E2667*'Model Inputs &amp; Assumptions'!$O$33+G2667*'Model Inputs &amp; Assumptions'!$P$33)*EXP('Model Inputs &amp; Assumptions'!$Q$33*S2667-'Model Inputs &amp; Assumptions'!$Q$33^2/2))</f>
        <v>214.723541004537</v>
      </c>
      <c r="I2667" s="49" t="n">
        <f aca="false">IF('Model Inputs &amp; Assumptions'!$H$33="Fixed",'Model Inputs &amp; Assumptions'!$I$33*'Model Inputs &amp; Assumptions'!$K$33,IF('Model Inputs &amp; Assumptions'!$H$33="CPM",'Model Inputs &amp; Assumptions'!$I$33*'Model Inputs &amp; Assumptions'!$K$33*C2667/1000,IF('Model Inputs &amp; Assumptions'!$H$33="CPC",'Model Inputs &amp; Assumptions'!$I$33*'Model Inputs &amp; Assumptions'!$K$33*G2667,0)))</f>
        <v>25000</v>
      </c>
      <c r="J2667" s="50" t="n">
        <f aca="false">H2667*INDEX('Model Inputs &amp; Assumptions'!$D$40:$D$42,MATCH('Model Inputs &amp; Assumptions'!$L$33,'Model Inputs &amp; Assumptions'!$A$40:$A$42,0))*INDEX('Model Inputs &amp; Assumptions'!$H$40:$H$42,MATCH('Model Inputs &amp; Assumptions'!$L$33,'Model Inputs &amp; Assumptions'!$A$40:$A$42,0))</f>
        <v>1159507.1214245</v>
      </c>
      <c r="K2667" s="49" t="n">
        <f aca="false">H2667*INDEX('Model Inputs &amp; Assumptions'!$G$40:$G$42,MATCH('Model Inputs &amp; Assumptions'!$L$33,'Model Inputs &amp; Assumptions'!$A$40:$A$42,0))*INDEX('Model Inputs &amp; Assumptions'!$H$40:$H$42,MATCH('Model Inputs &amp; Assumptions'!$L$33,'Model Inputs &amp; Assumptions'!$A$40:$A$42,0))</f>
        <v>24349.6495499145</v>
      </c>
      <c r="L2667" s="51" t="n">
        <f aca="false">IFERROR(K2667/I2667,0)</f>
        <v>0.973985981996578</v>
      </c>
      <c r="M2667" s="49" t="n">
        <f aca="false">IFERROR(I2667/H2667,0)</f>
        <v>116.42878038916</v>
      </c>
      <c r="N2667" s="52" t="str">
        <f aca="false">'Model Inputs &amp; Assumptions'!$L$33</f>
        <v>PRD-SP01</v>
      </c>
      <c r="P2667" s="53" t="n">
        <v>-0.673902</v>
      </c>
      <c r="Q2667" s="53" t="n">
        <v>-1.895953</v>
      </c>
      <c r="R2667" s="53" t="n">
        <v>-0.150393</v>
      </c>
      <c r="S2667" s="53" t="n">
        <v>1.083117</v>
      </c>
    </row>
    <row r="2668" customFormat="false" ht="15" hidden="false" customHeight="false" outlineLevel="0" collapsed="false">
      <c r="A2668" s="43" t="n">
        <v>165</v>
      </c>
      <c r="B2668" s="44" t="str">
        <f aca="false">'Model Inputs &amp; Assumptions'!$B$33</f>
        <v>Trade Republic — Savings Plan Push</v>
      </c>
      <c r="C2668" s="45" t="n">
        <f aca="false">ROUND(MAX(0,'Model Inputs &amp; Assumptions'!$S$33*EXP('Model Inputs &amp; Assumptions'!$T$33*P2668-'Model Inputs &amp; Assumptions'!$T$33^2/2)),0)</f>
        <v>1690390</v>
      </c>
      <c r="D2668" s="46" t="n">
        <f aca="false">MIN(1,'Model Inputs &amp; Assumptions'!$U$33*EXP('Model Inputs &amp; Assumptions'!$V$33*Q2668-'Model Inputs &amp; Assumptions'!$V$33^2/2))</f>
        <v>0</v>
      </c>
      <c r="E2668" s="45" t="n">
        <f aca="false">ROUND(C2668*D2668,0)</f>
        <v>0</v>
      </c>
      <c r="F2668" s="47" t="n">
        <f aca="false">MIN(1,'Model Inputs &amp; Assumptions'!$W$33*EXP('Model Inputs &amp; Assumptions'!$X$33*R2668-'Model Inputs &amp; Assumptions'!$X$33^2/2))</f>
        <v>0.00301220138470793</v>
      </c>
      <c r="G2668" s="45" t="n">
        <f aca="false">ROUND(C2668*F2668,0)</f>
        <v>5092</v>
      </c>
      <c r="H2668" s="48" t="n">
        <f aca="false">MAX(0,(C2668*'Model Inputs &amp; Assumptions'!$N$33+E2668*'Model Inputs &amp; Assumptions'!$O$33+G2668*'Model Inputs &amp; Assumptions'!$P$33)*EXP('Model Inputs &amp; Assumptions'!$Q$33*S2668-'Model Inputs &amp; Assumptions'!$Q$33^2/2))</f>
        <v>410.624785115377</v>
      </c>
      <c r="I2668" s="49" t="n">
        <f aca="false">IF('Model Inputs &amp; Assumptions'!$H$33="Fixed",'Model Inputs &amp; Assumptions'!$I$33*'Model Inputs &amp; Assumptions'!$K$33,IF('Model Inputs &amp; Assumptions'!$H$33="CPM",'Model Inputs &amp; Assumptions'!$I$33*'Model Inputs &amp; Assumptions'!$K$33*C2668/1000,IF('Model Inputs &amp; Assumptions'!$H$33="CPC",'Model Inputs &amp; Assumptions'!$I$33*'Model Inputs &amp; Assumptions'!$K$33*G2668,0)))</f>
        <v>25000</v>
      </c>
      <c r="J2668" s="50" t="n">
        <f aca="false">H2668*INDEX('Model Inputs &amp; Assumptions'!$D$40:$D$42,MATCH('Model Inputs &amp; Assumptions'!$L$33,'Model Inputs &amp; Assumptions'!$A$40:$A$42,0))*INDEX('Model Inputs &amp; Assumptions'!$H$40:$H$42,MATCH('Model Inputs &amp; Assumptions'!$L$33,'Model Inputs &amp; Assumptions'!$A$40:$A$42,0))</f>
        <v>2217373.83962303</v>
      </c>
      <c r="K2668" s="49" t="n">
        <f aca="false">H2668*INDEX('Model Inputs &amp; Assumptions'!$G$40:$G$42,MATCH('Model Inputs &amp; Assumptions'!$L$33,'Model Inputs &amp; Assumptions'!$A$40:$A$42,0))*INDEX('Model Inputs &amp; Assumptions'!$H$40:$H$42,MATCH('Model Inputs &amp; Assumptions'!$L$33,'Model Inputs &amp; Assumptions'!$A$40:$A$42,0))</f>
        <v>46564.8506320837</v>
      </c>
      <c r="L2668" s="51" t="n">
        <f aca="false">IFERROR(K2668/I2668,0)</f>
        <v>1.86259402528335</v>
      </c>
      <c r="M2668" s="49" t="n">
        <f aca="false">IFERROR(I2668/H2668,0)</f>
        <v>60.8828324694905</v>
      </c>
      <c r="N2668" s="52" t="str">
        <f aca="false">'Model Inputs &amp; Assumptions'!$L$33</f>
        <v>PRD-SP01</v>
      </c>
      <c r="P2668" s="53" t="n">
        <v>1.292125</v>
      </c>
      <c r="Q2668" s="53" t="n">
        <v>-0.762178</v>
      </c>
      <c r="R2668" s="53" t="n">
        <v>-0.350306</v>
      </c>
      <c r="S2668" s="53" t="n">
        <v>1.5067</v>
      </c>
    </row>
    <row r="2669" customFormat="false" ht="15" hidden="false" customHeight="false" outlineLevel="0" collapsed="false">
      <c r="A2669" s="43" t="n">
        <v>166</v>
      </c>
      <c r="B2669" s="44" t="str">
        <f aca="false">'Model Inputs &amp; Assumptions'!$B$33</f>
        <v>Trade Republic — Savings Plan Push</v>
      </c>
      <c r="C2669" s="45" t="n">
        <f aca="false">ROUND(MAX(0,'Model Inputs &amp; Assumptions'!$S$33*EXP('Model Inputs &amp; Assumptions'!$T$33*P2669-'Model Inputs &amp; Assumptions'!$T$33^2/2)),0)</f>
        <v>1764698</v>
      </c>
      <c r="D2669" s="46" t="n">
        <f aca="false">MIN(1,'Model Inputs &amp; Assumptions'!$U$33*EXP('Model Inputs &amp; Assumptions'!$V$33*Q2669-'Model Inputs &amp; Assumptions'!$V$33^2/2))</f>
        <v>0</v>
      </c>
      <c r="E2669" s="45" t="n">
        <f aca="false">ROUND(C2669*D2669,0)</f>
        <v>0</v>
      </c>
      <c r="F2669" s="47" t="n">
        <f aca="false">MIN(1,'Model Inputs &amp; Assumptions'!$W$33*EXP('Model Inputs &amp; Assumptions'!$X$33*R2669-'Model Inputs &amp; Assumptions'!$X$33^2/2))</f>
        <v>0.00473512804492572</v>
      </c>
      <c r="G2669" s="45" t="n">
        <f aca="false">ROUND(C2669*F2669,0)</f>
        <v>8356</v>
      </c>
      <c r="H2669" s="48" t="n">
        <f aca="false">MAX(0,(C2669*'Model Inputs &amp; Assumptions'!$N$33+E2669*'Model Inputs &amp; Assumptions'!$O$33+G2669*'Model Inputs &amp; Assumptions'!$P$33)*EXP('Model Inputs &amp; Assumptions'!$Q$33*S2669-'Model Inputs &amp; Assumptions'!$Q$33^2/2))</f>
        <v>459.600589645205</v>
      </c>
      <c r="I2669" s="49" t="n">
        <f aca="false">IF('Model Inputs &amp; Assumptions'!$H$33="Fixed",'Model Inputs &amp; Assumptions'!$I$33*'Model Inputs &amp; Assumptions'!$K$33,IF('Model Inputs &amp; Assumptions'!$H$33="CPM",'Model Inputs &amp; Assumptions'!$I$33*'Model Inputs &amp; Assumptions'!$K$33*C2669/1000,IF('Model Inputs &amp; Assumptions'!$H$33="CPC",'Model Inputs &amp; Assumptions'!$I$33*'Model Inputs &amp; Assumptions'!$K$33*G2669,0)))</f>
        <v>25000</v>
      </c>
      <c r="J2669" s="50" t="n">
        <f aca="false">H2669*INDEX('Model Inputs &amp; Assumptions'!$D$40:$D$42,MATCH('Model Inputs &amp; Assumptions'!$L$33,'Model Inputs &amp; Assumptions'!$A$40:$A$42,0))*INDEX('Model Inputs &amp; Assumptions'!$H$40:$H$42,MATCH('Model Inputs &amp; Assumptions'!$L$33,'Model Inputs &amp; Assumptions'!$A$40:$A$42,0))</f>
        <v>2481843.18408411</v>
      </c>
      <c r="K2669" s="49" t="n">
        <f aca="false">H2669*INDEX('Model Inputs &amp; Assumptions'!$G$40:$G$42,MATCH('Model Inputs &amp; Assumptions'!$L$33,'Model Inputs &amp; Assumptions'!$A$40:$A$42,0))*INDEX('Model Inputs &amp; Assumptions'!$H$40:$H$42,MATCH('Model Inputs &amp; Assumptions'!$L$33,'Model Inputs &amp; Assumptions'!$A$40:$A$42,0))</f>
        <v>52118.7068657662</v>
      </c>
      <c r="L2669" s="51" t="n">
        <f aca="false">IFERROR(K2669/I2669,0)</f>
        <v>2.08474827463065</v>
      </c>
      <c r="M2669" s="49" t="n">
        <f aca="false">IFERROR(I2669/H2669,0)</f>
        <v>54.3950564103913</v>
      </c>
      <c r="N2669" s="52" t="str">
        <f aca="false">'Model Inputs &amp; Assumptions'!$L$33</f>
        <v>PRD-SP01</v>
      </c>
      <c r="P2669" s="53" t="n">
        <v>1.435526</v>
      </c>
      <c r="Q2669" s="53" t="n">
        <v>0.709492</v>
      </c>
      <c r="R2669" s="53" t="n">
        <v>1.157486</v>
      </c>
      <c r="S2669" s="53" t="n">
        <v>0.14016</v>
      </c>
    </row>
    <row r="2670" customFormat="false" ht="15" hidden="false" customHeight="false" outlineLevel="0" collapsed="false">
      <c r="A2670" s="43" t="n">
        <v>167</v>
      </c>
      <c r="B2670" s="44" t="str">
        <f aca="false">'Model Inputs &amp; Assumptions'!$B$33</f>
        <v>Trade Republic — Savings Plan Push</v>
      </c>
      <c r="C2670" s="45" t="n">
        <f aca="false">ROUND(MAX(0,'Model Inputs &amp; Assumptions'!$S$33*EXP('Model Inputs &amp; Assumptions'!$T$33*P2670-'Model Inputs &amp; Assumptions'!$T$33^2/2)),0)</f>
        <v>1621090</v>
      </c>
      <c r="D2670" s="46" t="n">
        <f aca="false">MIN(1,'Model Inputs &amp; Assumptions'!$U$33*EXP('Model Inputs &amp; Assumptions'!$V$33*Q2670-'Model Inputs &amp; Assumptions'!$V$33^2/2))</f>
        <v>0</v>
      </c>
      <c r="E2670" s="45" t="n">
        <f aca="false">ROUND(C2670*D2670,0)</f>
        <v>0</v>
      </c>
      <c r="F2670" s="47" t="n">
        <f aca="false">MIN(1,'Model Inputs &amp; Assumptions'!$W$33*EXP('Model Inputs &amp; Assumptions'!$X$33*R2670-'Model Inputs &amp; Assumptions'!$X$33^2/2))</f>
        <v>0.00223157534431729</v>
      </c>
      <c r="G2670" s="45" t="n">
        <f aca="false">ROUND(C2670*F2670,0)</f>
        <v>3618</v>
      </c>
      <c r="H2670" s="48" t="n">
        <f aca="false">MAX(0,(C2670*'Model Inputs &amp; Assumptions'!$N$33+E2670*'Model Inputs &amp; Assumptions'!$O$33+G2670*'Model Inputs &amp; Assumptions'!$P$33)*EXP('Model Inputs &amp; Assumptions'!$Q$33*S2670-'Model Inputs &amp; Assumptions'!$Q$33^2/2))</f>
        <v>320.407688734696</v>
      </c>
      <c r="I2670" s="49" t="n">
        <f aca="false">IF('Model Inputs &amp; Assumptions'!$H$33="Fixed",'Model Inputs &amp; Assumptions'!$I$33*'Model Inputs &amp; Assumptions'!$K$33,IF('Model Inputs &amp; Assumptions'!$H$33="CPM",'Model Inputs &amp; Assumptions'!$I$33*'Model Inputs &amp; Assumptions'!$K$33*C2670/1000,IF('Model Inputs &amp; Assumptions'!$H$33="CPC",'Model Inputs &amp; Assumptions'!$I$33*'Model Inputs &amp; Assumptions'!$K$33*G2670,0)))</f>
        <v>25000</v>
      </c>
      <c r="J2670" s="50" t="n">
        <f aca="false">H2670*INDEX('Model Inputs &amp; Assumptions'!$D$40:$D$42,MATCH('Model Inputs &amp; Assumptions'!$L$33,'Model Inputs &amp; Assumptions'!$A$40:$A$42,0))*INDEX('Model Inputs &amp; Assumptions'!$H$40:$H$42,MATCH('Model Inputs &amp; Assumptions'!$L$33,'Model Inputs &amp; Assumptions'!$A$40:$A$42,0))</f>
        <v>1730201.51916736</v>
      </c>
      <c r="K2670" s="49" t="n">
        <f aca="false">H2670*INDEX('Model Inputs &amp; Assumptions'!$G$40:$G$42,MATCH('Model Inputs &amp; Assumptions'!$L$33,'Model Inputs &amp; Assumptions'!$A$40:$A$42,0))*INDEX('Model Inputs &amp; Assumptions'!$H$40:$H$42,MATCH('Model Inputs &amp; Assumptions'!$L$33,'Model Inputs &amp; Assumptions'!$A$40:$A$42,0))</f>
        <v>36334.2319025145</v>
      </c>
      <c r="L2670" s="51" t="n">
        <f aca="false">IFERROR(K2670/I2670,0)</f>
        <v>1.45336927610058</v>
      </c>
      <c r="M2670" s="49" t="n">
        <f aca="false">IFERROR(I2670/H2670,0)</f>
        <v>78.0255932644004</v>
      </c>
      <c r="N2670" s="52" t="str">
        <f aca="false">'Model Inputs &amp; Assumptions'!$L$33</f>
        <v>PRD-SP01</v>
      </c>
      <c r="P2670" s="53" t="n">
        <v>1.15259</v>
      </c>
      <c r="Q2670" s="53" t="n">
        <v>-0.304204</v>
      </c>
      <c r="R2670" s="53" t="n">
        <v>-1.350184</v>
      </c>
      <c r="S2670" s="53" t="n">
        <v>1.841213</v>
      </c>
    </row>
    <row r="2671" customFormat="false" ht="15" hidden="false" customHeight="false" outlineLevel="0" collapsed="false">
      <c r="A2671" s="43" t="n">
        <v>168</v>
      </c>
      <c r="B2671" s="44" t="str">
        <f aca="false">'Model Inputs &amp; Assumptions'!$B$33</f>
        <v>Trade Republic — Savings Plan Push</v>
      </c>
      <c r="C2671" s="45" t="n">
        <f aca="false">ROUND(MAX(0,'Model Inputs &amp; Assumptions'!$S$33*EXP('Model Inputs &amp; Assumptions'!$T$33*P2671-'Model Inputs &amp; Assumptions'!$T$33^2/2)),0)</f>
        <v>3027589</v>
      </c>
      <c r="D2671" s="46" t="n">
        <f aca="false">MIN(1,'Model Inputs &amp; Assumptions'!$U$33*EXP('Model Inputs &amp; Assumptions'!$V$33*Q2671-'Model Inputs &amp; Assumptions'!$V$33^2/2))</f>
        <v>0</v>
      </c>
      <c r="E2671" s="45" t="n">
        <f aca="false">ROUND(C2671*D2671,0)</f>
        <v>0</v>
      </c>
      <c r="F2671" s="47" t="n">
        <f aca="false">MIN(1,'Model Inputs &amp; Assumptions'!$W$33*EXP('Model Inputs &amp; Assumptions'!$X$33*R2671-'Model Inputs &amp; Assumptions'!$X$33^2/2))</f>
        <v>0.00329634496570421</v>
      </c>
      <c r="G2671" s="45" t="n">
        <f aca="false">ROUND(C2671*F2671,0)</f>
        <v>9980</v>
      </c>
      <c r="H2671" s="48" t="n">
        <f aca="false">MAX(0,(C2671*'Model Inputs &amp; Assumptions'!$N$33+E2671*'Model Inputs &amp; Assumptions'!$O$33+G2671*'Model Inputs &amp; Assumptions'!$P$33)*EXP('Model Inputs &amp; Assumptions'!$Q$33*S2671-'Model Inputs &amp; Assumptions'!$Q$33^2/2))</f>
        <v>822.7612616589</v>
      </c>
      <c r="I2671" s="49" t="n">
        <f aca="false">IF('Model Inputs &amp; Assumptions'!$H$33="Fixed",'Model Inputs &amp; Assumptions'!$I$33*'Model Inputs &amp; Assumptions'!$K$33,IF('Model Inputs &amp; Assumptions'!$H$33="CPM",'Model Inputs &amp; Assumptions'!$I$33*'Model Inputs &amp; Assumptions'!$K$33*C2671/1000,IF('Model Inputs &amp; Assumptions'!$H$33="CPC",'Model Inputs &amp; Assumptions'!$I$33*'Model Inputs &amp; Assumptions'!$K$33*G2671,0)))</f>
        <v>25000</v>
      </c>
      <c r="J2671" s="50" t="n">
        <f aca="false">H2671*INDEX('Model Inputs &amp; Assumptions'!$D$40:$D$42,MATCH('Model Inputs &amp; Assumptions'!$L$33,'Model Inputs &amp; Assumptions'!$A$40:$A$42,0))*INDEX('Model Inputs &amp; Assumptions'!$H$40:$H$42,MATCH('Model Inputs &amp; Assumptions'!$L$33,'Model Inputs &amp; Assumptions'!$A$40:$A$42,0))</f>
        <v>4442910.81295806</v>
      </c>
      <c r="K2671" s="49" t="n">
        <f aca="false">H2671*INDEX('Model Inputs &amp; Assumptions'!$G$40:$G$42,MATCH('Model Inputs &amp; Assumptions'!$L$33,'Model Inputs &amp; Assumptions'!$A$40:$A$42,0))*INDEX('Model Inputs &amp; Assumptions'!$H$40:$H$42,MATCH('Model Inputs &amp; Assumptions'!$L$33,'Model Inputs &amp; Assumptions'!$A$40:$A$42,0))</f>
        <v>93301.1270721193</v>
      </c>
      <c r="L2671" s="51" t="n">
        <f aca="false">IFERROR(K2671/I2671,0)</f>
        <v>3.73204508288477</v>
      </c>
      <c r="M2671" s="49" t="n">
        <f aca="false">IFERROR(I2671/H2671,0)</f>
        <v>30.3854850307287</v>
      </c>
      <c r="N2671" s="52" t="str">
        <f aca="false">'Model Inputs &amp; Assumptions'!$L$33</f>
        <v>PRD-SP01</v>
      </c>
      <c r="P2671" s="53" t="n">
        <v>3.234817</v>
      </c>
      <c r="Q2671" s="53" t="n">
        <v>-1.479436</v>
      </c>
      <c r="R2671" s="53" t="n">
        <v>-0.049829</v>
      </c>
      <c r="S2671" s="53" t="n">
        <v>1.585535</v>
      </c>
    </row>
    <row r="2672" customFormat="false" ht="15" hidden="false" customHeight="false" outlineLevel="0" collapsed="false">
      <c r="A2672" s="43" t="n">
        <v>169</v>
      </c>
      <c r="B2672" s="44" t="str">
        <f aca="false">'Model Inputs &amp; Assumptions'!$B$33</f>
        <v>Trade Republic — Savings Plan Push</v>
      </c>
      <c r="C2672" s="45" t="n">
        <f aca="false">ROUND(MAX(0,'Model Inputs &amp; Assumptions'!$S$33*EXP('Model Inputs &amp; Assumptions'!$T$33*P2672-'Model Inputs &amp; Assumptions'!$T$33^2/2)),0)</f>
        <v>1008944</v>
      </c>
      <c r="D2672" s="46" t="n">
        <f aca="false">MIN(1,'Model Inputs &amp; Assumptions'!$U$33*EXP('Model Inputs &amp; Assumptions'!$V$33*Q2672-'Model Inputs &amp; Assumptions'!$V$33^2/2))</f>
        <v>0</v>
      </c>
      <c r="E2672" s="45" t="n">
        <f aca="false">ROUND(C2672*D2672,0)</f>
        <v>0</v>
      </c>
      <c r="F2672" s="47" t="n">
        <f aca="false">MIN(1,'Model Inputs &amp; Assumptions'!$W$33*EXP('Model Inputs &amp; Assumptions'!$X$33*R2672-'Model Inputs &amp; Assumptions'!$X$33^2/2))</f>
        <v>0.00318484992465175</v>
      </c>
      <c r="G2672" s="45" t="n">
        <f aca="false">ROUND(C2672*F2672,0)</f>
        <v>3213</v>
      </c>
      <c r="H2672" s="48" t="n">
        <f aca="false">MAX(0,(C2672*'Model Inputs &amp; Assumptions'!$N$33+E2672*'Model Inputs &amp; Assumptions'!$O$33+G2672*'Model Inputs &amp; Assumptions'!$P$33)*EXP('Model Inputs &amp; Assumptions'!$Q$33*S2672-'Model Inputs &amp; Assumptions'!$Q$33^2/2))</f>
        <v>162.236356935761</v>
      </c>
      <c r="I2672" s="49" t="n">
        <f aca="false">IF('Model Inputs &amp; Assumptions'!$H$33="Fixed",'Model Inputs &amp; Assumptions'!$I$33*'Model Inputs &amp; Assumptions'!$K$33,IF('Model Inputs &amp; Assumptions'!$H$33="CPM",'Model Inputs &amp; Assumptions'!$I$33*'Model Inputs &amp; Assumptions'!$K$33*C2672/1000,IF('Model Inputs &amp; Assumptions'!$H$33="CPC",'Model Inputs &amp; Assumptions'!$I$33*'Model Inputs &amp; Assumptions'!$K$33*G2672,0)))</f>
        <v>25000</v>
      </c>
      <c r="J2672" s="50" t="n">
        <f aca="false">H2672*INDEX('Model Inputs &amp; Assumptions'!$D$40:$D$42,MATCH('Model Inputs &amp; Assumptions'!$L$33,'Model Inputs &amp; Assumptions'!$A$40:$A$42,0))*INDEX('Model Inputs &amp; Assumptions'!$H$40:$H$42,MATCH('Model Inputs &amp; Assumptions'!$L$33,'Model Inputs &amp; Assumptions'!$A$40:$A$42,0))</f>
        <v>876076.327453107</v>
      </c>
      <c r="K2672" s="49" t="n">
        <f aca="false">H2672*INDEX('Model Inputs &amp; Assumptions'!$G$40:$G$42,MATCH('Model Inputs &amp; Assumptions'!$L$33,'Model Inputs &amp; Assumptions'!$A$40:$A$42,0))*INDEX('Model Inputs &amp; Assumptions'!$H$40:$H$42,MATCH('Model Inputs &amp; Assumptions'!$L$33,'Model Inputs &amp; Assumptions'!$A$40:$A$42,0))</f>
        <v>18397.6028765152</v>
      </c>
      <c r="L2672" s="51" t="n">
        <f aca="false">IFERROR(K2672/I2672,0)</f>
        <v>0.73590411506061</v>
      </c>
      <c r="M2672" s="49" t="n">
        <f aca="false">IFERROR(I2672/H2672,0)</f>
        <v>154.096162365746</v>
      </c>
      <c r="N2672" s="52" t="str">
        <f aca="false">'Model Inputs &amp; Assumptions'!$L$33</f>
        <v>PRD-SP01</v>
      </c>
      <c r="P2672" s="53" t="n">
        <v>-0.428057</v>
      </c>
      <c r="Q2672" s="53" t="n">
        <v>-0.920398</v>
      </c>
      <c r="R2672" s="53" t="n">
        <v>-0.164526</v>
      </c>
      <c r="S2672" s="53" t="n">
        <v>-0.1653</v>
      </c>
    </row>
    <row r="2673" customFormat="false" ht="15" hidden="false" customHeight="false" outlineLevel="0" collapsed="false">
      <c r="A2673" s="43" t="n">
        <v>170</v>
      </c>
      <c r="B2673" s="44" t="str">
        <f aca="false">'Model Inputs &amp; Assumptions'!$B$33</f>
        <v>Trade Republic — Savings Plan Push</v>
      </c>
      <c r="C2673" s="45" t="n">
        <f aca="false">ROUND(MAX(0,'Model Inputs &amp; Assumptions'!$S$33*EXP('Model Inputs &amp; Assumptions'!$T$33*P2673-'Model Inputs &amp; Assumptions'!$T$33^2/2)),0)</f>
        <v>1450952</v>
      </c>
      <c r="D2673" s="46" t="n">
        <f aca="false">MIN(1,'Model Inputs &amp; Assumptions'!$U$33*EXP('Model Inputs &amp; Assumptions'!$V$33*Q2673-'Model Inputs &amp; Assumptions'!$V$33^2/2))</f>
        <v>0</v>
      </c>
      <c r="E2673" s="45" t="n">
        <f aca="false">ROUND(C2673*D2673,0)</f>
        <v>0</v>
      </c>
      <c r="F2673" s="47" t="n">
        <f aca="false">MIN(1,'Model Inputs &amp; Assumptions'!$W$33*EXP('Model Inputs &amp; Assumptions'!$X$33*R2673-'Model Inputs &amp; Assumptions'!$X$33^2/2))</f>
        <v>0.00355918671703939</v>
      </c>
      <c r="G2673" s="45" t="n">
        <f aca="false">ROUND(C2673*F2673,0)</f>
        <v>5164</v>
      </c>
      <c r="H2673" s="48" t="n">
        <f aca="false">MAX(0,(C2673*'Model Inputs &amp; Assumptions'!$N$33+E2673*'Model Inputs &amp; Assumptions'!$O$33+G2673*'Model Inputs &amp; Assumptions'!$P$33)*EXP('Model Inputs &amp; Assumptions'!$Q$33*S2673-'Model Inputs &amp; Assumptions'!$Q$33^2/2))</f>
        <v>273.246833367879</v>
      </c>
      <c r="I2673" s="49" t="n">
        <f aca="false">IF('Model Inputs &amp; Assumptions'!$H$33="Fixed",'Model Inputs &amp; Assumptions'!$I$33*'Model Inputs &amp; Assumptions'!$K$33,IF('Model Inputs &amp; Assumptions'!$H$33="CPM",'Model Inputs &amp; Assumptions'!$I$33*'Model Inputs &amp; Assumptions'!$K$33*C2673/1000,IF('Model Inputs &amp; Assumptions'!$H$33="CPC",'Model Inputs &amp; Assumptions'!$I$33*'Model Inputs &amp; Assumptions'!$K$33*G2673,0)))</f>
        <v>25000</v>
      </c>
      <c r="J2673" s="50" t="n">
        <f aca="false">H2673*INDEX('Model Inputs &amp; Assumptions'!$D$40:$D$42,MATCH('Model Inputs &amp; Assumptions'!$L$33,'Model Inputs &amp; Assumptions'!$A$40:$A$42,0))*INDEX('Model Inputs &amp; Assumptions'!$H$40:$H$42,MATCH('Model Inputs &amp; Assumptions'!$L$33,'Model Inputs &amp; Assumptions'!$A$40:$A$42,0))</f>
        <v>1475532.90018654</v>
      </c>
      <c r="K2673" s="49" t="n">
        <f aca="false">H2673*INDEX('Model Inputs &amp; Assumptions'!$G$40:$G$42,MATCH('Model Inputs &amp; Assumptions'!$L$33,'Model Inputs &amp; Assumptions'!$A$40:$A$42,0))*INDEX('Model Inputs &amp; Assumptions'!$H$40:$H$42,MATCH('Model Inputs &amp; Assumptions'!$L$33,'Model Inputs &amp; Assumptions'!$A$40:$A$42,0))</f>
        <v>30986.1909039174</v>
      </c>
      <c r="L2673" s="51" t="n">
        <f aca="false">IFERROR(K2673/I2673,0)</f>
        <v>1.2394476361567</v>
      </c>
      <c r="M2673" s="49" t="n">
        <f aca="false">IFERROR(I2673/H2673,0)</f>
        <v>91.4923686099663</v>
      </c>
      <c r="N2673" s="52" t="str">
        <f aca="false">'Model Inputs &amp; Assumptions'!$L$33</f>
        <v>PRD-SP01</v>
      </c>
      <c r="P2673" s="53" t="n">
        <v>0.782995</v>
      </c>
      <c r="Q2673" s="53" t="n">
        <v>-9.6E-005</v>
      </c>
      <c r="R2673" s="53" t="n">
        <v>0.205897</v>
      </c>
      <c r="S2673" s="53" t="n">
        <v>0.001896</v>
      </c>
    </row>
    <row r="2674" customFormat="false" ht="15" hidden="false" customHeight="false" outlineLevel="0" collapsed="false">
      <c r="A2674" s="43" t="n">
        <v>171</v>
      </c>
      <c r="B2674" s="44" t="str">
        <f aca="false">'Model Inputs &amp; Assumptions'!$B$33</f>
        <v>Trade Republic — Savings Plan Push</v>
      </c>
      <c r="C2674" s="45" t="n">
        <f aca="false">ROUND(MAX(0,'Model Inputs &amp; Assumptions'!$S$33*EXP('Model Inputs &amp; Assumptions'!$T$33*P2674-'Model Inputs &amp; Assumptions'!$T$33^2/2)),0)</f>
        <v>595602</v>
      </c>
      <c r="D2674" s="46" t="n">
        <f aca="false">MIN(1,'Model Inputs &amp; Assumptions'!$U$33*EXP('Model Inputs &amp; Assumptions'!$V$33*Q2674-'Model Inputs &amp; Assumptions'!$V$33^2/2))</f>
        <v>0</v>
      </c>
      <c r="E2674" s="45" t="n">
        <f aca="false">ROUND(C2674*D2674,0)</f>
        <v>0</v>
      </c>
      <c r="F2674" s="47" t="n">
        <f aca="false">MIN(1,'Model Inputs &amp; Assumptions'!$W$33*EXP('Model Inputs &amp; Assumptions'!$X$33*R2674-'Model Inputs &amp; Assumptions'!$X$33^2/2))</f>
        <v>0.0020447725657042</v>
      </c>
      <c r="G2674" s="45" t="n">
        <f aca="false">ROUND(C2674*F2674,0)</f>
        <v>1218</v>
      </c>
      <c r="H2674" s="48" t="n">
        <f aca="false">MAX(0,(C2674*'Model Inputs &amp; Assumptions'!$N$33+E2674*'Model Inputs &amp; Assumptions'!$O$33+G2674*'Model Inputs &amp; Assumptions'!$P$33)*EXP('Model Inputs &amp; Assumptions'!$Q$33*S2674-'Model Inputs &amp; Assumptions'!$Q$33^2/2))</f>
        <v>48.2933115826549</v>
      </c>
      <c r="I2674" s="49" t="n">
        <f aca="false">IF('Model Inputs &amp; Assumptions'!$H$33="Fixed",'Model Inputs &amp; Assumptions'!$I$33*'Model Inputs &amp; Assumptions'!$K$33,IF('Model Inputs &amp; Assumptions'!$H$33="CPM",'Model Inputs &amp; Assumptions'!$I$33*'Model Inputs &amp; Assumptions'!$K$33*C2674/1000,IF('Model Inputs &amp; Assumptions'!$H$33="CPC",'Model Inputs &amp; Assumptions'!$I$33*'Model Inputs &amp; Assumptions'!$K$33*G2674,0)))</f>
        <v>25000</v>
      </c>
      <c r="J2674" s="50" t="n">
        <f aca="false">H2674*INDEX('Model Inputs &amp; Assumptions'!$D$40:$D$42,MATCH('Model Inputs &amp; Assumptions'!$L$33,'Model Inputs &amp; Assumptions'!$A$40:$A$42,0))*INDEX('Model Inputs &amp; Assumptions'!$H$40:$H$42,MATCH('Model Inputs &amp; Assumptions'!$L$33,'Model Inputs &amp; Assumptions'!$A$40:$A$42,0))</f>
        <v>260783.882546336</v>
      </c>
      <c r="K2674" s="49" t="n">
        <f aca="false">H2674*INDEX('Model Inputs &amp; Assumptions'!$G$40:$G$42,MATCH('Model Inputs &amp; Assumptions'!$L$33,'Model Inputs &amp; Assumptions'!$A$40:$A$42,0))*INDEX('Model Inputs &amp; Assumptions'!$H$40:$H$42,MATCH('Model Inputs &amp; Assumptions'!$L$33,'Model Inputs &amp; Assumptions'!$A$40:$A$42,0))</f>
        <v>5476.46153347306</v>
      </c>
      <c r="L2674" s="51" t="n">
        <f aca="false">IFERROR(K2674/I2674,0)</f>
        <v>0.219058461338923</v>
      </c>
      <c r="M2674" s="49" t="n">
        <f aca="false">IFERROR(I2674/H2674,0)</f>
        <v>517.67002884472</v>
      </c>
      <c r="N2674" s="52" t="str">
        <f aca="false">'Model Inputs &amp; Assumptions'!$L$33</f>
        <v>PRD-SP01</v>
      </c>
      <c r="P2674" s="53" t="n">
        <v>-2.185012</v>
      </c>
      <c r="Q2674" s="53" t="n">
        <v>-1.491864</v>
      </c>
      <c r="R2674" s="53" t="n">
        <v>-1.641588</v>
      </c>
      <c r="S2674" s="53" t="n">
        <v>-1.028751</v>
      </c>
    </row>
    <row r="2675" customFormat="false" ht="15" hidden="false" customHeight="false" outlineLevel="0" collapsed="false">
      <c r="A2675" s="43" t="n">
        <v>172</v>
      </c>
      <c r="B2675" s="44" t="str">
        <f aca="false">'Model Inputs &amp; Assumptions'!$B$33</f>
        <v>Trade Republic — Savings Plan Push</v>
      </c>
      <c r="C2675" s="45" t="n">
        <f aca="false">ROUND(MAX(0,'Model Inputs &amp; Assumptions'!$S$33*EXP('Model Inputs &amp; Assumptions'!$T$33*P2675-'Model Inputs &amp; Assumptions'!$T$33^2/2)),0)</f>
        <v>1310679</v>
      </c>
      <c r="D2675" s="46" t="n">
        <f aca="false">MIN(1,'Model Inputs &amp; Assumptions'!$U$33*EXP('Model Inputs &amp; Assumptions'!$V$33*Q2675-'Model Inputs &amp; Assumptions'!$V$33^2/2))</f>
        <v>0</v>
      </c>
      <c r="E2675" s="45" t="n">
        <f aca="false">ROUND(C2675*D2675,0)</f>
        <v>0</v>
      </c>
      <c r="F2675" s="47" t="n">
        <f aca="false">MIN(1,'Model Inputs &amp; Assumptions'!$W$33*EXP('Model Inputs &amp; Assumptions'!$X$33*R2675-'Model Inputs &amp; Assumptions'!$X$33^2/2))</f>
        <v>0.00389238145092749</v>
      </c>
      <c r="G2675" s="45" t="n">
        <f aca="false">ROUND(C2675*F2675,0)</f>
        <v>5102</v>
      </c>
      <c r="H2675" s="48" t="n">
        <f aca="false">MAX(0,(C2675*'Model Inputs &amp; Assumptions'!$N$33+E2675*'Model Inputs &amp; Assumptions'!$O$33+G2675*'Model Inputs &amp; Assumptions'!$P$33)*EXP('Model Inputs &amp; Assumptions'!$Q$33*S2675-'Model Inputs &amp; Assumptions'!$Q$33^2/2))</f>
        <v>257.363933011059</v>
      </c>
      <c r="I2675" s="49" t="n">
        <f aca="false">IF('Model Inputs &amp; Assumptions'!$H$33="Fixed",'Model Inputs &amp; Assumptions'!$I$33*'Model Inputs &amp; Assumptions'!$K$33,IF('Model Inputs &amp; Assumptions'!$H$33="CPM",'Model Inputs &amp; Assumptions'!$I$33*'Model Inputs &amp; Assumptions'!$K$33*C2675/1000,IF('Model Inputs &amp; Assumptions'!$H$33="CPC",'Model Inputs &amp; Assumptions'!$I$33*'Model Inputs &amp; Assumptions'!$K$33*G2675,0)))</f>
        <v>25000</v>
      </c>
      <c r="J2675" s="50" t="n">
        <f aca="false">H2675*INDEX('Model Inputs &amp; Assumptions'!$D$40:$D$42,MATCH('Model Inputs &amp; Assumptions'!$L$33,'Model Inputs &amp; Assumptions'!$A$40:$A$42,0))*INDEX('Model Inputs &amp; Assumptions'!$H$40:$H$42,MATCH('Model Inputs &amp; Assumptions'!$L$33,'Model Inputs &amp; Assumptions'!$A$40:$A$42,0))</f>
        <v>1389765.23825972</v>
      </c>
      <c r="K2675" s="49" t="n">
        <f aca="false">H2675*INDEX('Model Inputs &amp; Assumptions'!$G$40:$G$42,MATCH('Model Inputs &amp; Assumptions'!$L$33,'Model Inputs &amp; Assumptions'!$A$40:$A$42,0))*INDEX('Model Inputs &amp; Assumptions'!$H$40:$H$42,MATCH('Model Inputs &amp; Assumptions'!$L$33,'Model Inputs &amp; Assumptions'!$A$40:$A$42,0))</f>
        <v>29185.0700034541</v>
      </c>
      <c r="L2675" s="51" t="n">
        <f aca="false">IFERROR(K2675/I2675,0)</f>
        <v>1.16740280013816</v>
      </c>
      <c r="M2675" s="49" t="n">
        <f aca="false">IFERROR(I2675/H2675,0)</f>
        <v>97.1387082389891</v>
      </c>
      <c r="N2675" s="52" t="str">
        <f aca="false">'Model Inputs &amp; Assumptions'!$L$33</f>
        <v>PRD-SP01</v>
      </c>
      <c r="P2675" s="53" t="n">
        <v>0.44408</v>
      </c>
      <c r="Q2675" s="53" t="n">
        <v>1.380009</v>
      </c>
      <c r="R2675" s="53" t="n">
        <v>0.504194</v>
      </c>
      <c r="S2675" s="53" t="n">
        <v>-0.168838</v>
      </c>
    </row>
    <row r="2676" customFormat="false" ht="15" hidden="false" customHeight="false" outlineLevel="0" collapsed="false">
      <c r="A2676" s="43" t="n">
        <v>173</v>
      </c>
      <c r="B2676" s="44" t="str">
        <f aca="false">'Model Inputs &amp; Assumptions'!$B$33</f>
        <v>Trade Republic — Savings Plan Push</v>
      </c>
      <c r="C2676" s="45" t="n">
        <f aca="false">ROUND(MAX(0,'Model Inputs &amp; Assumptions'!$S$33*EXP('Model Inputs &amp; Assumptions'!$T$33*P2676-'Model Inputs &amp; Assumptions'!$T$33^2/2)),0)</f>
        <v>935617</v>
      </c>
      <c r="D2676" s="46" t="n">
        <f aca="false">MIN(1,'Model Inputs &amp; Assumptions'!$U$33*EXP('Model Inputs &amp; Assumptions'!$V$33*Q2676-'Model Inputs &amp; Assumptions'!$V$33^2/2))</f>
        <v>0</v>
      </c>
      <c r="E2676" s="45" t="n">
        <f aca="false">ROUND(C2676*D2676,0)</f>
        <v>0</v>
      </c>
      <c r="F2676" s="47" t="n">
        <f aca="false">MIN(1,'Model Inputs &amp; Assumptions'!$W$33*EXP('Model Inputs &amp; Assumptions'!$X$33*R2676-'Model Inputs &amp; Assumptions'!$X$33^2/2))</f>
        <v>0.00356985996129933</v>
      </c>
      <c r="G2676" s="45" t="n">
        <f aca="false">ROUND(C2676*F2676,0)</f>
        <v>3340</v>
      </c>
      <c r="H2676" s="48" t="n">
        <f aca="false">MAX(0,(C2676*'Model Inputs &amp; Assumptions'!$N$33+E2676*'Model Inputs &amp; Assumptions'!$O$33+G2676*'Model Inputs &amp; Assumptions'!$P$33)*EXP('Model Inputs &amp; Assumptions'!$Q$33*S2676-'Model Inputs &amp; Assumptions'!$Q$33^2/2))</f>
        <v>208.342840040397</v>
      </c>
      <c r="I2676" s="49" t="n">
        <f aca="false">IF('Model Inputs &amp; Assumptions'!$H$33="Fixed",'Model Inputs &amp; Assumptions'!$I$33*'Model Inputs &amp; Assumptions'!$K$33,IF('Model Inputs &amp; Assumptions'!$H$33="CPM",'Model Inputs &amp; Assumptions'!$I$33*'Model Inputs &amp; Assumptions'!$K$33*C2676/1000,IF('Model Inputs &amp; Assumptions'!$H$33="CPC",'Model Inputs &amp; Assumptions'!$I$33*'Model Inputs &amp; Assumptions'!$K$33*G2676,0)))</f>
        <v>25000</v>
      </c>
      <c r="J2676" s="50" t="n">
        <f aca="false">H2676*INDEX('Model Inputs &amp; Assumptions'!$D$40:$D$42,MATCH('Model Inputs &amp; Assumptions'!$L$33,'Model Inputs &amp; Assumptions'!$A$40:$A$42,0))*INDEX('Model Inputs &amp; Assumptions'!$H$40:$H$42,MATCH('Model Inputs &amp; Assumptions'!$L$33,'Model Inputs &amp; Assumptions'!$A$40:$A$42,0))</f>
        <v>1125051.33621814</v>
      </c>
      <c r="K2676" s="49" t="n">
        <f aca="false">H2676*INDEX('Model Inputs &amp; Assumptions'!$G$40:$G$42,MATCH('Model Inputs &amp; Assumptions'!$L$33,'Model Inputs &amp; Assumptions'!$A$40:$A$42,0))*INDEX('Model Inputs &amp; Assumptions'!$H$40:$H$42,MATCH('Model Inputs &amp; Assumptions'!$L$33,'Model Inputs &amp; Assumptions'!$A$40:$A$42,0))</f>
        <v>23626.078060581</v>
      </c>
      <c r="L2676" s="51" t="n">
        <f aca="false">IFERROR(K2676/I2676,0)</f>
        <v>0.94504312242324</v>
      </c>
      <c r="M2676" s="49" t="n">
        <f aca="false">IFERROR(I2676/H2676,0)</f>
        <v>119.994524386596</v>
      </c>
      <c r="N2676" s="52" t="str">
        <f aca="false">'Model Inputs &amp; Assumptions'!$L$33</f>
        <v>PRD-SP01</v>
      </c>
      <c r="P2676" s="53" t="n">
        <v>-0.679567</v>
      </c>
      <c r="Q2676" s="53" t="n">
        <v>-2.671655</v>
      </c>
      <c r="R2676" s="53" t="n">
        <v>0.215878</v>
      </c>
      <c r="S2676" s="53" t="n">
        <v>0.589575</v>
      </c>
    </row>
    <row r="2677" customFormat="false" ht="15" hidden="false" customHeight="false" outlineLevel="0" collapsed="false">
      <c r="A2677" s="43" t="n">
        <v>174</v>
      </c>
      <c r="B2677" s="44" t="str">
        <f aca="false">'Model Inputs &amp; Assumptions'!$B$33</f>
        <v>Trade Republic — Savings Plan Push</v>
      </c>
      <c r="C2677" s="45" t="n">
        <f aca="false">ROUND(MAX(0,'Model Inputs &amp; Assumptions'!$S$33*EXP('Model Inputs &amp; Assumptions'!$T$33*P2677-'Model Inputs &amp; Assumptions'!$T$33^2/2)),0)</f>
        <v>1776314</v>
      </c>
      <c r="D2677" s="46" t="n">
        <f aca="false">MIN(1,'Model Inputs &amp; Assumptions'!$U$33*EXP('Model Inputs &amp; Assumptions'!$V$33*Q2677-'Model Inputs &amp; Assumptions'!$V$33^2/2))</f>
        <v>0</v>
      </c>
      <c r="E2677" s="45" t="n">
        <f aca="false">ROUND(C2677*D2677,0)</f>
        <v>0</v>
      </c>
      <c r="F2677" s="47" t="n">
        <f aca="false">MIN(1,'Model Inputs &amp; Assumptions'!$W$33*EXP('Model Inputs &amp; Assumptions'!$X$33*R2677-'Model Inputs &amp; Assumptions'!$X$33^2/2))</f>
        <v>0.0046119763224612</v>
      </c>
      <c r="G2677" s="45" t="n">
        <f aca="false">ROUND(C2677*F2677,0)</f>
        <v>8192</v>
      </c>
      <c r="H2677" s="48" t="n">
        <f aca="false">MAX(0,(C2677*'Model Inputs &amp; Assumptions'!$N$33+E2677*'Model Inputs &amp; Assumptions'!$O$33+G2677*'Model Inputs &amp; Assumptions'!$P$33)*EXP('Model Inputs &amp; Assumptions'!$Q$33*S2677-'Model Inputs &amp; Assumptions'!$Q$33^2/2))</f>
        <v>385.560397363683</v>
      </c>
      <c r="I2677" s="49" t="n">
        <f aca="false">IF('Model Inputs &amp; Assumptions'!$H$33="Fixed",'Model Inputs &amp; Assumptions'!$I$33*'Model Inputs &amp; Assumptions'!$K$33,IF('Model Inputs &amp; Assumptions'!$H$33="CPM",'Model Inputs &amp; Assumptions'!$I$33*'Model Inputs &amp; Assumptions'!$K$33*C2677/1000,IF('Model Inputs &amp; Assumptions'!$H$33="CPC",'Model Inputs &amp; Assumptions'!$I$33*'Model Inputs &amp; Assumptions'!$K$33*G2677,0)))</f>
        <v>25000</v>
      </c>
      <c r="J2677" s="50" t="n">
        <f aca="false">H2677*INDEX('Model Inputs &amp; Assumptions'!$D$40:$D$42,MATCH('Model Inputs &amp; Assumptions'!$L$33,'Model Inputs &amp; Assumptions'!$A$40:$A$42,0))*INDEX('Model Inputs &amp; Assumptions'!$H$40:$H$42,MATCH('Model Inputs &amp; Assumptions'!$L$33,'Model Inputs &amp; Assumptions'!$A$40:$A$42,0))</f>
        <v>2082026.14576389</v>
      </c>
      <c r="K2677" s="49" t="n">
        <f aca="false">H2677*INDEX('Model Inputs &amp; Assumptions'!$G$40:$G$42,MATCH('Model Inputs &amp; Assumptions'!$L$33,'Model Inputs &amp; Assumptions'!$A$40:$A$42,0))*INDEX('Model Inputs &amp; Assumptions'!$H$40:$H$42,MATCH('Model Inputs &amp; Assumptions'!$L$33,'Model Inputs &amp; Assumptions'!$A$40:$A$42,0))</f>
        <v>43722.5490610416</v>
      </c>
      <c r="L2677" s="51" t="n">
        <f aca="false">IFERROR(K2677/I2677,0)</f>
        <v>1.74890196244167</v>
      </c>
      <c r="M2677" s="49" t="n">
        <f aca="false">IFERROR(I2677/H2677,0)</f>
        <v>64.8406842895189</v>
      </c>
      <c r="N2677" s="52" t="str">
        <f aca="false">'Model Inputs &amp; Assumptions'!$L$33</f>
        <v>PRD-SP01</v>
      </c>
      <c r="P2677" s="53" t="n">
        <v>1.457396</v>
      </c>
      <c r="Q2677" s="53" t="n">
        <v>0.857765</v>
      </c>
      <c r="R2677" s="53" t="n">
        <v>1.069645</v>
      </c>
      <c r="S2677" s="53" t="n">
        <v>-0.416405</v>
      </c>
    </row>
    <row r="2678" customFormat="false" ht="15" hidden="false" customHeight="false" outlineLevel="0" collapsed="false">
      <c r="A2678" s="43" t="n">
        <v>175</v>
      </c>
      <c r="B2678" s="44" t="str">
        <f aca="false">'Model Inputs &amp; Assumptions'!$B$33</f>
        <v>Trade Republic — Savings Plan Push</v>
      </c>
      <c r="C2678" s="45" t="n">
        <f aca="false">ROUND(MAX(0,'Model Inputs &amp; Assumptions'!$S$33*EXP('Model Inputs &amp; Assumptions'!$T$33*P2678-'Model Inputs &amp; Assumptions'!$T$33^2/2)),0)</f>
        <v>673827</v>
      </c>
      <c r="D2678" s="46" t="n">
        <f aca="false">MIN(1,'Model Inputs &amp; Assumptions'!$U$33*EXP('Model Inputs &amp; Assumptions'!$V$33*Q2678-'Model Inputs &amp; Assumptions'!$V$33^2/2))</f>
        <v>0</v>
      </c>
      <c r="E2678" s="45" t="n">
        <f aca="false">ROUND(C2678*D2678,0)</f>
        <v>0</v>
      </c>
      <c r="F2678" s="47" t="n">
        <f aca="false">MIN(1,'Model Inputs &amp; Assumptions'!$W$33*EXP('Model Inputs &amp; Assumptions'!$X$33*R2678-'Model Inputs &amp; Assumptions'!$X$33^2/2))</f>
        <v>0.00354688718131491</v>
      </c>
      <c r="G2678" s="45" t="n">
        <f aca="false">ROUND(C2678*F2678,0)</f>
        <v>2390</v>
      </c>
      <c r="H2678" s="48" t="n">
        <f aca="false">MAX(0,(C2678*'Model Inputs &amp; Assumptions'!$N$33+E2678*'Model Inputs &amp; Assumptions'!$O$33+G2678*'Model Inputs &amp; Assumptions'!$P$33)*EXP('Model Inputs &amp; Assumptions'!$Q$33*S2678-'Model Inputs &amp; Assumptions'!$Q$33^2/2))</f>
        <v>129.210548296273</v>
      </c>
      <c r="I2678" s="49" t="n">
        <f aca="false">IF('Model Inputs &amp; Assumptions'!$H$33="Fixed",'Model Inputs &amp; Assumptions'!$I$33*'Model Inputs &amp; Assumptions'!$K$33,IF('Model Inputs &amp; Assumptions'!$H$33="CPM",'Model Inputs &amp; Assumptions'!$I$33*'Model Inputs &amp; Assumptions'!$K$33*C2678/1000,IF('Model Inputs &amp; Assumptions'!$H$33="CPC",'Model Inputs &amp; Assumptions'!$I$33*'Model Inputs &amp; Assumptions'!$K$33*G2678,0)))</f>
        <v>25000</v>
      </c>
      <c r="J2678" s="50" t="n">
        <f aca="false">H2678*INDEX('Model Inputs &amp; Assumptions'!$D$40:$D$42,MATCH('Model Inputs &amp; Assumptions'!$L$33,'Model Inputs &amp; Assumptions'!$A$40:$A$42,0))*INDEX('Model Inputs &amp; Assumptions'!$H$40:$H$42,MATCH('Model Inputs &amp; Assumptions'!$L$33,'Model Inputs &amp; Assumptions'!$A$40:$A$42,0))</f>
        <v>697736.960799876</v>
      </c>
      <c r="K2678" s="49" t="n">
        <f aca="false">H2678*INDEX('Model Inputs &amp; Assumptions'!$G$40:$G$42,MATCH('Model Inputs &amp; Assumptions'!$L$33,'Model Inputs &amp; Assumptions'!$A$40:$A$42,0))*INDEX('Model Inputs &amp; Assumptions'!$H$40:$H$42,MATCH('Model Inputs &amp; Assumptions'!$L$33,'Model Inputs &amp; Assumptions'!$A$40:$A$42,0))</f>
        <v>14652.4761767974</v>
      </c>
      <c r="L2678" s="51" t="n">
        <f aca="false">IFERROR(K2678/I2678,0)</f>
        <v>0.586099047071896</v>
      </c>
      <c r="M2678" s="49" t="n">
        <f aca="false">IFERROR(I2678/H2678,0)</f>
        <v>193.482655476984</v>
      </c>
      <c r="N2678" s="52" t="str">
        <f aca="false">'Model Inputs &amp; Assumptions'!$L$33</f>
        <v>PRD-SP01</v>
      </c>
      <c r="P2678" s="53" t="n">
        <v>-1.773677</v>
      </c>
      <c r="Q2678" s="53" t="n">
        <v>-0.709382</v>
      </c>
      <c r="R2678" s="53" t="n">
        <v>0.194358</v>
      </c>
      <c r="S2678" s="53" t="n">
        <v>0.078631</v>
      </c>
    </row>
    <row r="2679" customFormat="false" ht="15" hidden="false" customHeight="false" outlineLevel="0" collapsed="false">
      <c r="A2679" s="43" t="n">
        <v>176</v>
      </c>
      <c r="B2679" s="44" t="str">
        <f aca="false">'Model Inputs &amp; Assumptions'!$B$33</f>
        <v>Trade Republic — Savings Plan Push</v>
      </c>
      <c r="C2679" s="45" t="n">
        <f aca="false">ROUND(MAX(0,'Model Inputs &amp; Assumptions'!$S$33*EXP('Model Inputs &amp; Assumptions'!$T$33*P2679-'Model Inputs &amp; Assumptions'!$T$33^2/2)),0)</f>
        <v>881645</v>
      </c>
      <c r="D2679" s="46" t="n">
        <f aca="false">MIN(1,'Model Inputs &amp; Assumptions'!$U$33*EXP('Model Inputs &amp; Assumptions'!$V$33*Q2679-'Model Inputs &amp; Assumptions'!$V$33^2/2))</f>
        <v>0</v>
      </c>
      <c r="E2679" s="45" t="n">
        <f aca="false">ROUND(C2679*D2679,0)</f>
        <v>0</v>
      </c>
      <c r="F2679" s="47" t="n">
        <f aca="false">MIN(1,'Model Inputs &amp; Assumptions'!$W$33*EXP('Model Inputs &amp; Assumptions'!$X$33*R2679-'Model Inputs &amp; Assumptions'!$X$33^2/2))</f>
        <v>0.00251636894726609</v>
      </c>
      <c r="G2679" s="45" t="n">
        <f aca="false">ROUND(C2679*F2679,0)</f>
        <v>2219</v>
      </c>
      <c r="H2679" s="48" t="n">
        <f aca="false">MAX(0,(C2679*'Model Inputs &amp; Assumptions'!$N$33+E2679*'Model Inputs &amp; Assumptions'!$O$33+G2679*'Model Inputs &amp; Assumptions'!$P$33)*EXP('Model Inputs &amp; Assumptions'!$Q$33*S2679-'Model Inputs &amp; Assumptions'!$Q$33^2/2))</f>
        <v>116.668057734511</v>
      </c>
      <c r="I2679" s="49" t="n">
        <f aca="false">IF('Model Inputs &amp; Assumptions'!$H$33="Fixed",'Model Inputs &amp; Assumptions'!$I$33*'Model Inputs &amp; Assumptions'!$K$33,IF('Model Inputs &amp; Assumptions'!$H$33="CPM",'Model Inputs &amp; Assumptions'!$I$33*'Model Inputs &amp; Assumptions'!$K$33*C2679/1000,IF('Model Inputs &amp; Assumptions'!$H$33="CPC",'Model Inputs &amp; Assumptions'!$I$33*'Model Inputs &amp; Assumptions'!$K$33*G2679,0)))</f>
        <v>25000</v>
      </c>
      <c r="J2679" s="50" t="n">
        <f aca="false">H2679*INDEX('Model Inputs &amp; Assumptions'!$D$40:$D$42,MATCH('Model Inputs &amp; Assumptions'!$L$33,'Model Inputs &amp; Assumptions'!$A$40:$A$42,0))*INDEX('Model Inputs &amp; Assumptions'!$H$40:$H$42,MATCH('Model Inputs &amp; Assumptions'!$L$33,'Model Inputs &amp; Assumptions'!$A$40:$A$42,0))</f>
        <v>630007.511766357</v>
      </c>
      <c r="K2679" s="49" t="n">
        <f aca="false">H2679*INDEX('Model Inputs &amp; Assumptions'!$G$40:$G$42,MATCH('Model Inputs &amp; Assumptions'!$L$33,'Model Inputs &amp; Assumptions'!$A$40:$A$42,0))*INDEX('Model Inputs &amp; Assumptions'!$H$40:$H$42,MATCH('Model Inputs &amp; Assumptions'!$L$33,'Model Inputs &amp; Assumptions'!$A$40:$A$42,0))</f>
        <v>13230.1577470935</v>
      </c>
      <c r="L2679" s="51" t="n">
        <f aca="false">IFERROR(K2679/I2679,0)</f>
        <v>0.52920630988374</v>
      </c>
      <c r="M2679" s="49" t="n">
        <f aca="false">IFERROR(I2679/H2679,0)</f>
        <v>214.283159293608</v>
      </c>
      <c r="N2679" s="52" t="str">
        <f aca="false">'Model Inputs &amp; Assumptions'!$L$33</f>
        <v>PRD-SP01</v>
      </c>
      <c r="P2679" s="53" t="n">
        <v>-0.877625</v>
      </c>
      <c r="Q2679" s="53" t="n">
        <v>0.245454</v>
      </c>
      <c r="R2679" s="53" t="n">
        <v>-0.94982</v>
      </c>
      <c r="S2679" s="53" t="n">
        <v>-0.020918</v>
      </c>
    </row>
    <row r="2680" customFormat="false" ht="15" hidden="false" customHeight="false" outlineLevel="0" collapsed="false">
      <c r="A2680" s="43" t="n">
        <v>177</v>
      </c>
      <c r="B2680" s="44" t="str">
        <f aca="false">'Model Inputs &amp; Assumptions'!$B$33</f>
        <v>Trade Republic — Savings Plan Push</v>
      </c>
      <c r="C2680" s="45" t="n">
        <f aca="false">ROUND(MAX(0,'Model Inputs &amp; Assumptions'!$S$33*EXP('Model Inputs &amp; Assumptions'!$T$33*P2680-'Model Inputs &amp; Assumptions'!$T$33^2/2)),0)</f>
        <v>947607</v>
      </c>
      <c r="D2680" s="46" t="n">
        <f aca="false">MIN(1,'Model Inputs &amp; Assumptions'!$U$33*EXP('Model Inputs &amp; Assumptions'!$V$33*Q2680-'Model Inputs &amp; Assumptions'!$V$33^2/2))</f>
        <v>0</v>
      </c>
      <c r="E2680" s="45" t="n">
        <f aca="false">ROUND(C2680*D2680,0)</f>
        <v>0</v>
      </c>
      <c r="F2680" s="47" t="n">
        <f aca="false">MIN(1,'Model Inputs &amp; Assumptions'!$W$33*EXP('Model Inputs &amp; Assumptions'!$X$33*R2680-'Model Inputs &amp; Assumptions'!$X$33^2/2))</f>
        <v>0.00401409761412548</v>
      </c>
      <c r="G2680" s="45" t="n">
        <f aca="false">ROUND(C2680*F2680,0)</f>
        <v>3804</v>
      </c>
      <c r="H2680" s="48" t="n">
        <f aca="false">MAX(0,(C2680*'Model Inputs &amp; Assumptions'!$N$33+E2680*'Model Inputs &amp; Assumptions'!$O$33+G2680*'Model Inputs &amp; Assumptions'!$P$33)*EXP('Model Inputs &amp; Assumptions'!$Q$33*S2680-'Model Inputs &amp; Assumptions'!$Q$33^2/2))</f>
        <v>155.923778722755</v>
      </c>
      <c r="I2680" s="49" t="n">
        <f aca="false">IF('Model Inputs &amp; Assumptions'!$H$33="Fixed",'Model Inputs &amp; Assumptions'!$I$33*'Model Inputs &amp; Assumptions'!$K$33,IF('Model Inputs &amp; Assumptions'!$H$33="CPM",'Model Inputs &amp; Assumptions'!$I$33*'Model Inputs &amp; Assumptions'!$K$33*C2680/1000,IF('Model Inputs &amp; Assumptions'!$H$33="CPC",'Model Inputs &amp; Assumptions'!$I$33*'Model Inputs &amp; Assumptions'!$K$33*G2680,0)))</f>
        <v>25000</v>
      </c>
      <c r="J2680" s="50" t="n">
        <f aca="false">H2680*INDEX('Model Inputs &amp; Assumptions'!$D$40:$D$42,MATCH('Model Inputs &amp; Assumptions'!$L$33,'Model Inputs &amp; Assumptions'!$A$40:$A$42,0))*INDEX('Model Inputs &amp; Assumptions'!$H$40:$H$42,MATCH('Model Inputs &amp; Assumptions'!$L$33,'Model Inputs &amp; Assumptions'!$A$40:$A$42,0))</f>
        <v>841988.405102877</v>
      </c>
      <c r="K2680" s="49" t="n">
        <f aca="false">H2680*INDEX('Model Inputs &amp; Assumptions'!$G$40:$G$42,MATCH('Model Inputs &amp; Assumptions'!$L$33,'Model Inputs &amp; Assumptions'!$A$40:$A$42,0))*INDEX('Model Inputs &amp; Assumptions'!$H$40:$H$42,MATCH('Model Inputs &amp; Assumptions'!$L$33,'Model Inputs &amp; Assumptions'!$A$40:$A$42,0))</f>
        <v>17681.7565071604</v>
      </c>
      <c r="L2680" s="51" t="n">
        <f aca="false">IFERROR(K2680/I2680,0)</f>
        <v>0.707270260286416</v>
      </c>
      <c r="M2680" s="49" t="n">
        <f aca="false">IFERROR(I2680/H2680,0)</f>
        <v>160.334749483285</v>
      </c>
      <c r="N2680" s="52" t="str">
        <f aca="false">'Model Inputs &amp; Assumptions'!$L$33</f>
        <v>PRD-SP01</v>
      </c>
      <c r="P2680" s="53" t="n">
        <v>-0.637122</v>
      </c>
      <c r="Q2680" s="53" t="n">
        <v>-1.328158</v>
      </c>
      <c r="R2680" s="53" t="n">
        <v>0.606832</v>
      </c>
      <c r="S2680" s="53" t="n">
        <v>-0.910068</v>
      </c>
    </row>
    <row r="2681" customFormat="false" ht="15" hidden="false" customHeight="false" outlineLevel="0" collapsed="false">
      <c r="A2681" s="43" t="n">
        <v>178</v>
      </c>
      <c r="B2681" s="44" t="str">
        <f aca="false">'Model Inputs &amp; Assumptions'!$B$33</f>
        <v>Trade Republic — Savings Plan Push</v>
      </c>
      <c r="C2681" s="45" t="n">
        <f aca="false">ROUND(MAX(0,'Model Inputs &amp; Assumptions'!$S$33*EXP('Model Inputs &amp; Assumptions'!$T$33*P2681-'Model Inputs &amp; Assumptions'!$T$33^2/2)),0)</f>
        <v>1448228</v>
      </c>
      <c r="D2681" s="46" t="n">
        <f aca="false">MIN(1,'Model Inputs &amp; Assumptions'!$U$33*EXP('Model Inputs &amp; Assumptions'!$V$33*Q2681-'Model Inputs &amp; Assumptions'!$V$33^2/2))</f>
        <v>0</v>
      </c>
      <c r="E2681" s="45" t="n">
        <f aca="false">ROUND(C2681*D2681,0)</f>
        <v>0</v>
      </c>
      <c r="F2681" s="47" t="n">
        <f aca="false">MIN(1,'Model Inputs &amp; Assumptions'!$W$33*EXP('Model Inputs &amp; Assumptions'!$X$33*R2681-'Model Inputs &amp; Assumptions'!$X$33^2/2))</f>
        <v>0.0024762062932478</v>
      </c>
      <c r="G2681" s="45" t="n">
        <f aca="false">ROUND(C2681*F2681,0)</f>
        <v>3586</v>
      </c>
      <c r="H2681" s="48" t="n">
        <f aca="false">MAX(0,(C2681*'Model Inputs &amp; Assumptions'!$N$33+E2681*'Model Inputs &amp; Assumptions'!$O$33+G2681*'Model Inputs &amp; Assumptions'!$P$33)*EXP('Model Inputs &amp; Assumptions'!$Q$33*S2681-'Model Inputs &amp; Assumptions'!$Q$33^2/2))</f>
        <v>274.008508935609</v>
      </c>
      <c r="I2681" s="49" t="n">
        <f aca="false">IF('Model Inputs &amp; Assumptions'!$H$33="Fixed",'Model Inputs &amp; Assumptions'!$I$33*'Model Inputs &amp; Assumptions'!$K$33,IF('Model Inputs &amp; Assumptions'!$H$33="CPM",'Model Inputs &amp; Assumptions'!$I$33*'Model Inputs &amp; Assumptions'!$K$33*C2681/1000,IF('Model Inputs &amp; Assumptions'!$H$33="CPC",'Model Inputs &amp; Assumptions'!$I$33*'Model Inputs &amp; Assumptions'!$K$33*G2681,0)))</f>
        <v>25000</v>
      </c>
      <c r="J2681" s="50" t="n">
        <f aca="false">H2681*INDEX('Model Inputs &amp; Assumptions'!$D$40:$D$42,MATCH('Model Inputs &amp; Assumptions'!$L$33,'Model Inputs &amp; Assumptions'!$A$40:$A$42,0))*INDEX('Model Inputs &amp; Assumptions'!$H$40:$H$42,MATCH('Model Inputs &amp; Assumptions'!$L$33,'Model Inputs &amp; Assumptions'!$A$40:$A$42,0))</f>
        <v>1479645.94825229</v>
      </c>
      <c r="K2681" s="49" t="n">
        <f aca="false">H2681*INDEX('Model Inputs &amp; Assumptions'!$G$40:$G$42,MATCH('Model Inputs &amp; Assumptions'!$L$33,'Model Inputs &amp; Assumptions'!$A$40:$A$42,0))*INDEX('Model Inputs &amp; Assumptions'!$H$40:$H$42,MATCH('Model Inputs &amp; Assumptions'!$L$33,'Model Inputs &amp; Assumptions'!$A$40:$A$42,0))</f>
        <v>31072.5649132981</v>
      </c>
      <c r="L2681" s="51" t="n">
        <f aca="false">IFERROR(K2681/I2681,0)</f>
        <v>1.24290259653192</v>
      </c>
      <c r="M2681" s="49" t="n">
        <f aca="false">IFERROR(I2681/H2681,0)</f>
        <v>91.2380425597472</v>
      </c>
      <c r="N2681" s="52" t="str">
        <f aca="false">'Model Inputs &amp; Assumptions'!$L$33</f>
        <v>PRD-SP01</v>
      </c>
      <c r="P2681" s="53" t="n">
        <v>0.77673</v>
      </c>
      <c r="Q2681" s="53" t="n">
        <v>1.281194</v>
      </c>
      <c r="R2681" s="53" t="n">
        <v>-1.003451</v>
      </c>
      <c r="S2681" s="53" t="n">
        <v>1.314245</v>
      </c>
    </row>
    <row r="2682" customFormat="false" ht="15" hidden="false" customHeight="false" outlineLevel="0" collapsed="false">
      <c r="A2682" s="43" t="n">
        <v>179</v>
      </c>
      <c r="B2682" s="44" t="str">
        <f aca="false">'Model Inputs &amp; Assumptions'!$B$33</f>
        <v>Trade Republic — Savings Plan Push</v>
      </c>
      <c r="C2682" s="45" t="n">
        <f aca="false">ROUND(MAX(0,'Model Inputs &amp; Assumptions'!$S$33*EXP('Model Inputs &amp; Assumptions'!$T$33*P2682-'Model Inputs &amp; Assumptions'!$T$33^2/2)),0)</f>
        <v>966297</v>
      </c>
      <c r="D2682" s="46" t="n">
        <f aca="false">MIN(1,'Model Inputs &amp; Assumptions'!$U$33*EXP('Model Inputs &amp; Assumptions'!$V$33*Q2682-'Model Inputs &amp; Assumptions'!$V$33^2/2))</f>
        <v>0</v>
      </c>
      <c r="E2682" s="45" t="n">
        <f aca="false">ROUND(C2682*D2682,0)</f>
        <v>0</v>
      </c>
      <c r="F2682" s="47" t="n">
        <f aca="false">MIN(1,'Model Inputs &amp; Assumptions'!$W$33*EXP('Model Inputs &amp; Assumptions'!$X$33*R2682-'Model Inputs &amp; Assumptions'!$X$33^2/2))</f>
        <v>0.00233618152249703</v>
      </c>
      <c r="G2682" s="45" t="n">
        <f aca="false">ROUND(C2682*F2682,0)</f>
        <v>2257</v>
      </c>
      <c r="H2682" s="48" t="n">
        <f aca="false">MAX(0,(C2682*'Model Inputs &amp; Assumptions'!$N$33+E2682*'Model Inputs &amp; Assumptions'!$O$33+G2682*'Model Inputs &amp; Assumptions'!$P$33)*EXP('Model Inputs &amp; Assumptions'!$Q$33*S2682-'Model Inputs &amp; Assumptions'!$Q$33^2/2))</f>
        <v>176.433317961057</v>
      </c>
      <c r="I2682" s="49" t="n">
        <f aca="false">IF('Model Inputs &amp; Assumptions'!$H$33="Fixed",'Model Inputs &amp; Assumptions'!$I$33*'Model Inputs &amp; Assumptions'!$K$33,IF('Model Inputs &amp; Assumptions'!$H$33="CPM",'Model Inputs &amp; Assumptions'!$I$33*'Model Inputs &amp; Assumptions'!$K$33*C2682/1000,IF('Model Inputs &amp; Assumptions'!$H$33="CPC",'Model Inputs &amp; Assumptions'!$I$33*'Model Inputs &amp; Assumptions'!$K$33*G2682,0)))</f>
        <v>25000</v>
      </c>
      <c r="J2682" s="50" t="n">
        <f aca="false">H2682*INDEX('Model Inputs &amp; Assumptions'!$D$40:$D$42,MATCH('Model Inputs &amp; Assumptions'!$L$33,'Model Inputs &amp; Assumptions'!$A$40:$A$42,0))*INDEX('Model Inputs &amp; Assumptions'!$H$40:$H$42,MATCH('Model Inputs &amp; Assumptions'!$L$33,'Model Inputs &amp; Assumptions'!$A$40:$A$42,0))</f>
        <v>952739.916989709</v>
      </c>
      <c r="K2682" s="49" t="n">
        <f aca="false">H2682*INDEX('Model Inputs &amp; Assumptions'!$G$40:$G$42,MATCH('Model Inputs &amp; Assumptions'!$L$33,'Model Inputs &amp; Assumptions'!$A$40:$A$42,0))*INDEX('Model Inputs &amp; Assumptions'!$H$40:$H$42,MATCH('Model Inputs &amp; Assumptions'!$L$33,'Model Inputs &amp; Assumptions'!$A$40:$A$42,0))</f>
        <v>20007.5382567839</v>
      </c>
      <c r="L2682" s="51" t="n">
        <f aca="false">IFERROR(K2682/I2682,0)</f>
        <v>0.800301530271355</v>
      </c>
      <c r="M2682" s="49" t="n">
        <f aca="false">IFERROR(I2682/H2682,0)</f>
        <v>141.696592734928</v>
      </c>
      <c r="N2682" s="52" t="str">
        <f aca="false">'Model Inputs &amp; Assumptions'!$L$33</f>
        <v>PRD-SP01</v>
      </c>
      <c r="P2682" s="53" t="n">
        <v>-0.572017</v>
      </c>
      <c r="Q2682" s="53" t="n">
        <v>-0.043729</v>
      </c>
      <c r="R2682" s="53" t="n">
        <v>-1.197484</v>
      </c>
      <c r="S2682" s="53" t="n">
        <v>1.395619</v>
      </c>
    </row>
    <row r="2683" customFormat="false" ht="15" hidden="false" customHeight="false" outlineLevel="0" collapsed="false">
      <c r="A2683" s="43" t="n">
        <v>180</v>
      </c>
      <c r="B2683" s="44" t="str">
        <f aca="false">'Model Inputs &amp; Assumptions'!$B$33</f>
        <v>Trade Republic — Savings Plan Push</v>
      </c>
      <c r="C2683" s="45" t="n">
        <f aca="false">ROUND(MAX(0,'Model Inputs &amp; Assumptions'!$S$33*EXP('Model Inputs &amp; Assumptions'!$T$33*P2683-'Model Inputs &amp; Assumptions'!$T$33^2/2)),0)</f>
        <v>1095559</v>
      </c>
      <c r="D2683" s="46" t="n">
        <f aca="false">MIN(1,'Model Inputs &amp; Assumptions'!$U$33*EXP('Model Inputs &amp; Assumptions'!$V$33*Q2683-'Model Inputs &amp; Assumptions'!$V$33^2/2))</f>
        <v>0</v>
      </c>
      <c r="E2683" s="45" t="n">
        <f aca="false">ROUND(C2683*D2683,0)</f>
        <v>0</v>
      </c>
      <c r="F2683" s="47" t="n">
        <f aca="false">MIN(1,'Model Inputs &amp; Assumptions'!$W$33*EXP('Model Inputs &amp; Assumptions'!$X$33*R2683-'Model Inputs &amp; Assumptions'!$X$33^2/2))</f>
        <v>0.00268104426164195</v>
      </c>
      <c r="G2683" s="45" t="n">
        <f aca="false">ROUND(C2683*F2683,0)</f>
        <v>2937</v>
      </c>
      <c r="H2683" s="48" t="n">
        <f aca="false">MAX(0,(C2683*'Model Inputs &amp; Assumptions'!$N$33+E2683*'Model Inputs &amp; Assumptions'!$O$33+G2683*'Model Inputs &amp; Assumptions'!$P$33)*EXP('Model Inputs &amp; Assumptions'!$Q$33*S2683-'Model Inputs &amp; Assumptions'!$Q$33^2/2))</f>
        <v>179.684338688103</v>
      </c>
      <c r="I2683" s="49" t="n">
        <f aca="false">IF('Model Inputs &amp; Assumptions'!$H$33="Fixed",'Model Inputs &amp; Assumptions'!$I$33*'Model Inputs &amp; Assumptions'!$K$33,IF('Model Inputs &amp; Assumptions'!$H$33="CPM",'Model Inputs &amp; Assumptions'!$I$33*'Model Inputs &amp; Assumptions'!$K$33*C2683/1000,IF('Model Inputs &amp; Assumptions'!$H$33="CPC",'Model Inputs &amp; Assumptions'!$I$33*'Model Inputs &amp; Assumptions'!$K$33*G2683,0)))</f>
        <v>25000</v>
      </c>
      <c r="J2683" s="50" t="n">
        <f aca="false">H2683*INDEX('Model Inputs &amp; Assumptions'!$D$40:$D$42,MATCH('Model Inputs &amp; Assumptions'!$L$33,'Model Inputs &amp; Assumptions'!$A$40:$A$42,0))*INDEX('Model Inputs &amp; Assumptions'!$H$40:$H$42,MATCH('Model Inputs &amp; Assumptions'!$L$33,'Model Inputs &amp; Assumptions'!$A$40:$A$42,0))</f>
        <v>970295.428915755</v>
      </c>
      <c r="K2683" s="49" t="n">
        <f aca="false">H2683*INDEX('Model Inputs &amp; Assumptions'!$G$40:$G$42,MATCH('Model Inputs &amp; Assumptions'!$L$33,'Model Inputs &amp; Assumptions'!$A$40:$A$42,0))*INDEX('Model Inputs &amp; Assumptions'!$H$40:$H$42,MATCH('Model Inputs &amp; Assumptions'!$L$33,'Model Inputs &amp; Assumptions'!$A$40:$A$42,0))</f>
        <v>20376.2040072308</v>
      </c>
      <c r="L2683" s="51" t="n">
        <f aca="false">IFERROR(K2683/I2683,0)</f>
        <v>0.815048160289234</v>
      </c>
      <c r="M2683" s="49" t="n">
        <f aca="false">IFERROR(I2683/H2683,0)</f>
        <v>139.132882601389</v>
      </c>
      <c r="N2683" s="52" t="str">
        <f aca="false">'Model Inputs &amp; Assumptions'!$L$33</f>
        <v>PRD-SP01</v>
      </c>
      <c r="P2683" s="53" t="n">
        <v>-0.153523</v>
      </c>
      <c r="Q2683" s="53" t="n">
        <v>0.352718</v>
      </c>
      <c r="R2683" s="53" t="n">
        <v>-0.738522</v>
      </c>
      <c r="S2683" s="53" t="n">
        <v>0.520285</v>
      </c>
    </row>
    <row r="2684" customFormat="false" ht="15" hidden="false" customHeight="false" outlineLevel="0" collapsed="false">
      <c r="A2684" s="43" t="n">
        <v>181</v>
      </c>
      <c r="B2684" s="44" t="str">
        <f aca="false">'Model Inputs &amp; Assumptions'!$B$33</f>
        <v>Trade Republic — Savings Plan Push</v>
      </c>
      <c r="C2684" s="45" t="n">
        <f aca="false">ROUND(MAX(0,'Model Inputs &amp; Assumptions'!$S$33*EXP('Model Inputs &amp; Assumptions'!$T$33*P2684-'Model Inputs &amp; Assumptions'!$T$33^2/2)),0)</f>
        <v>1664966</v>
      </c>
      <c r="D2684" s="46" t="n">
        <f aca="false">MIN(1,'Model Inputs &amp; Assumptions'!$U$33*EXP('Model Inputs &amp; Assumptions'!$V$33*Q2684-'Model Inputs &amp; Assumptions'!$V$33^2/2))</f>
        <v>0</v>
      </c>
      <c r="E2684" s="45" t="n">
        <f aca="false">ROUND(C2684*D2684,0)</f>
        <v>0</v>
      </c>
      <c r="F2684" s="47" t="n">
        <f aca="false">MIN(1,'Model Inputs &amp; Assumptions'!$W$33*EXP('Model Inputs &amp; Assumptions'!$X$33*R2684-'Model Inputs &amp; Assumptions'!$X$33^2/2))</f>
        <v>0.00386104768832893</v>
      </c>
      <c r="G2684" s="45" t="n">
        <f aca="false">ROUND(C2684*F2684,0)</f>
        <v>6429</v>
      </c>
      <c r="H2684" s="48" t="n">
        <f aca="false">MAX(0,(C2684*'Model Inputs &amp; Assumptions'!$N$33+E2684*'Model Inputs &amp; Assumptions'!$O$33+G2684*'Model Inputs &amp; Assumptions'!$P$33)*EXP('Model Inputs &amp; Assumptions'!$Q$33*S2684-'Model Inputs &amp; Assumptions'!$Q$33^2/2))</f>
        <v>317.486783403911</v>
      </c>
      <c r="I2684" s="49" t="n">
        <f aca="false">IF('Model Inputs &amp; Assumptions'!$H$33="Fixed",'Model Inputs &amp; Assumptions'!$I$33*'Model Inputs &amp; Assumptions'!$K$33,IF('Model Inputs &amp; Assumptions'!$H$33="CPM",'Model Inputs &amp; Assumptions'!$I$33*'Model Inputs &amp; Assumptions'!$K$33*C2684/1000,IF('Model Inputs &amp; Assumptions'!$H$33="CPC",'Model Inputs &amp; Assumptions'!$I$33*'Model Inputs &amp; Assumptions'!$K$33*G2684,0)))</f>
        <v>25000</v>
      </c>
      <c r="J2684" s="50" t="n">
        <f aca="false">H2684*INDEX('Model Inputs &amp; Assumptions'!$D$40:$D$42,MATCH('Model Inputs &amp; Assumptions'!$L$33,'Model Inputs &amp; Assumptions'!$A$40:$A$42,0))*INDEX('Model Inputs &amp; Assumptions'!$H$40:$H$42,MATCH('Model Inputs &amp; Assumptions'!$L$33,'Model Inputs &amp; Assumptions'!$A$40:$A$42,0))</f>
        <v>1714428.63038112</v>
      </c>
      <c r="K2684" s="49" t="n">
        <f aca="false">H2684*INDEX('Model Inputs &amp; Assumptions'!$G$40:$G$42,MATCH('Model Inputs &amp; Assumptions'!$L$33,'Model Inputs &amp; Assumptions'!$A$40:$A$42,0))*INDEX('Model Inputs &amp; Assumptions'!$H$40:$H$42,MATCH('Model Inputs &amp; Assumptions'!$L$33,'Model Inputs &amp; Assumptions'!$A$40:$A$42,0))</f>
        <v>36003.0012380035</v>
      </c>
      <c r="L2684" s="51" t="n">
        <f aca="false">IFERROR(K2684/I2684,0)</f>
        <v>1.44012004952014</v>
      </c>
      <c r="M2684" s="49" t="n">
        <f aca="false">IFERROR(I2684/H2684,0)</f>
        <v>78.7434353391481</v>
      </c>
      <c r="N2684" s="52" t="str">
        <f aca="false">'Model Inputs &amp; Assumptions'!$L$33</f>
        <v>PRD-SP01</v>
      </c>
      <c r="P2684" s="53" t="n">
        <v>1.241611</v>
      </c>
      <c r="Q2684" s="53" t="n">
        <v>-0.895413</v>
      </c>
      <c r="R2684" s="53" t="n">
        <v>0.477252</v>
      </c>
      <c r="S2684" s="53" t="n">
        <v>-0.2447</v>
      </c>
    </row>
    <row r="2685" customFormat="false" ht="15" hidden="false" customHeight="false" outlineLevel="0" collapsed="false">
      <c r="A2685" s="43" t="n">
        <v>182</v>
      </c>
      <c r="B2685" s="44" t="str">
        <f aca="false">'Model Inputs &amp; Assumptions'!$B$33</f>
        <v>Trade Republic — Savings Plan Push</v>
      </c>
      <c r="C2685" s="45" t="n">
        <f aca="false">ROUND(MAX(0,'Model Inputs &amp; Assumptions'!$S$33*EXP('Model Inputs &amp; Assumptions'!$T$33*P2685-'Model Inputs &amp; Assumptions'!$T$33^2/2)),0)</f>
        <v>1060120</v>
      </c>
      <c r="D2685" s="46" t="n">
        <f aca="false">MIN(1,'Model Inputs &amp; Assumptions'!$U$33*EXP('Model Inputs &amp; Assumptions'!$V$33*Q2685-'Model Inputs &amp; Assumptions'!$V$33^2/2))</f>
        <v>0</v>
      </c>
      <c r="E2685" s="45" t="n">
        <f aca="false">ROUND(C2685*D2685,0)</f>
        <v>0</v>
      </c>
      <c r="F2685" s="47" t="n">
        <f aca="false">MIN(1,'Model Inputs &amp; Assumptions'!$W$33*EXP('Model Inputs &amp; Assumptions'!$X$33*R2685-'Model Inputs &amp; Assumptions'!$X$33^2/2))</f>
        <v>0.00236866775522237</v>
      </c>
      <c r="G2685" s="45" t="n">
        <f aca="false">ROUND(C2685*F2685,0)</f>
        <v>2511</v>
      </c>
      <c r="H2685" s="48" t="n">
        <f aca="false">MAX(0,(C2685*'Model Inputs &amp; Assumptions'!$N$33+E2685*'Model Inputs &amp; Assumptions'!$O$33+G2685*'Model Inputs &amp; Assumptions'!$P$33)*EXP('Model Inputs &amp; Assumptions'!$Q$33*S2685-'Model Inputs &amp; Assumptions'!$Q$33^2/2))</f>
        <v>175.065856398278</v>
      </c>
      <c r="I2685" s="49" t="n">
        <f aca="false">IF('Model Inputs &amp; Assumptions'!$H$33="Fixed",'Model Inputs &amp; Assumptions'!$I$33*'Model Inputs &amp; Assumptions'!$K$33,IF('Model Inputs &amp; Assumptions'!$H$33="CPM",'Model Inputs &amp; Assumptions'!$I$33*'Model Inputs &amp; Assumptions'!$K$33*C2685/1000,IF('Model Inputs &amp; Assumptions'!$H$33="CPC",'Model Inputs &amp; Assumptions'!$I$33*'Model Inputs &amp; Assumptions'!$K$33*G2685,0)))</f>
        <v>25000</v>
      </c>
      <c r="J2685" s="50" t="n">
        <f aca="false">H2685*INDEX('Model Inputs &amp; Assumptions'!$D$40:$D$42,MATCH('Model Inputs &amp; Assumptions'!$L$33,'Model Inputs &amp; Assumptions'!$A$40:$A$42,0))*INDEX('Model Inputs &amp; Assumptions'!$H$40:$H$42,MATCH('Model Inputs &amp; Assumptions'!$L$33,'Model Inputs &amp; Assumptions'!$A$40:$A$42,0))</f>
        <v>945355.6245507</v>
      </c>
      <c r="K2685" s="49" t="n">
        <f aca="false">H2685*INDEX('Model Inputs &amp; Assumptions'!$G$40:$G$42,MATCH('Model Inputs &amp; Assumptions'!$L$33,'Model Inputs &amp; Assumptions'!$A$40:$A$42,0))*INDEX('Model Inputs &amp; Assumptions'!$H$40:$H$42,MATCH('Model Inputs &amp; Assumptions'!$L$33,'Model Inputs &amp; Assumptions'!$A$40:$A$42,0))</f>
        <v>19852.4681155647</v>
      </c>
      <c r="L2685" s="51" t="n">
        <f aca="false">IFERROR(K2685/I2685,0)</f>
        <v>0.794098724622588</v>
      </c>
      <c r="M2685" s="49" t="n">
        <f aca="false">IFERROR(I2685/H2685,0)</f>
        <v>142.803402755616</v>
      </c>
      <c r="N2685" s="52" t="str">
        <f aca="false">'Model Inputs &amp; Assumptions'!$L$33</f>
        <v>PRD-SP01</v>
      </c>
      <c r="P2685" s="53" t="n">
        <v>-0.26313</v>
      </c>
      <c r="Q2685" s="53" t="n">
        <v>0.60727</v>
      </c>
      <c r="R2685" s="53" t="n">
        <v>-1.151451</v>
      </c>
      <c r="S2685" s="53" t="n">
        <v>0.986957</v>
      </c>
    </row>
    <row r="2686" customFormat="false" ht="15" hidden="false" customHeight="false" outlineLevel="0" collapsed="false">
      <c r="A2686" s="43" t="n">
        <v>183</v>
      </c>
      <c r="B2686" s="44" t="str">
        <f aca="false">'Model Inputs &amp; Assumptions'!$B$33</f>
        <v>Trade Republic — Savings Plan Push</v>
      </c>
      <c r="C2686" s="45" t="n">
        <f aca="false">ROUND(MAX(0,'Model Inputs &amp; Assumptions'!$S$33*EXP('Model Inputs &amp; Assumptions'!$T$33*P2686-'Model Inputs &amp; Assumptions'!$T$33^2/2)),0)</f>
        <v>1039740</v>
      </c>
      <c r="D2686" s="46" t="n">
        <f aca="false">MIN(1,'Model Inputs &amp; Assumptions'!$U$33*EXP('Model Inputs &amp; Assumptions'!$V$33*Q2686-'Model Inputs &amp; Assumptions'!$V$33^2/2))</f>
        <v>0</v>
      </c>
      <c r="E2686" s="45" t="n">
        <f aca="false">ROUND(C2686*D2686,0)</f>
        <v>0</v>
      </c>
      <c r="F2686" s="47" t="n">
        <f aca="false">MIN(1,'Model Inputs &amp; Assumptions'!$W$33*EXP('Model Inputs &amp; Assumptions'!$X$33*R2686-'Model Inputs &amp; Assumptions'!$X$33^2/2))</f>
        <v>0.00358072741562759</v>
      </c>
      <c r="G2686" s="45" t="n">
        <f aca="false">ROUND(C2686*F2686,0)</f>
        <v>3723</v>
      </c>
      <c r="H2686" s="48" t="n">
        <f aca="false">MAX(0,(C2686*'Model Inputs &amp; Assumptions'!$N$33+E2686*'Model Inputs &amp; Assumptions'!$O$33+G2686*'Model Inputs &amp; Assumptions'!$P$33)*EXP('Model Inputs &amp; Assumptions'!$Q$33*S2686-'Model Inputs &amp; Assumptions'!$Q$33^2/2))</f>
        <v>323.487288699647</v>
      </c>
      <c r="I2686" s="49" t="n">
        <f aca="false">IF('Model Inputs &amp; Assumptions'!$H$33="Fixed",'Model Inputs &amp; Assumptions'!$I$33*'Model Inputs &amp; Assumptions'!$K$33,IF('Model Inputs &amp; Assumptions'!$H$33="CPM",'Model Inputs &amp; Assumptions'!$I$33*'Model Inputs &amp; Assumptions'!$K$33*C2686/1000,IF('Model Inputs &amp; Assumptions'!$H$33="CPC",'Model Inputs &amp; Assumptions'!$I$33*'Model Inputs &amp; Assumptions'!$K$33*G2686,0)))</f>
        <v>25000</v>
      </c>
      <c r="J2686" s="50" t="n">
        <f aca="false">H2686*INDEX('Model Inputs &amp; Assumptions'!$D$40:$D$42,MATCH('Model Inputs &amp; Assumptions'!$L$33,'Model Inputs &amp; Assumptions'!$A$40:$A$42,0))*INDEX('Model Inputs &amp; Assumptions'!$H$40:$H$42,MATCH('Model Inputs &amp; Assumptions'!$L$33,'Model Inputs &amp; Assumptions'!$A$40:$A$42,0))</f>
        <v>1746831.3589781</v>
      </c>
      <c r="K2686" s="49" t="n">
        <f aca="false">H2686*INDEX('Model Inputs &amp; Assumptions'!$G$40:$G$42,MATCH('Model Inputs &amp; Assumptions'!$L$33,'Model Inputs &amp; Assumptions'!$A$40:$A$42,0))*INDEX('Model Inputs &amp; Assumptions'!$H$40:$H$42,MATCH('Model Inputs &amp; Assumptions'!$L$33,'Model Inputs &amp; Assumptions'!$A$40:$A$42,0))</f>
        <v>36683.45853854</v>
      </c>
      <c r="L2686" s="51" t="n">
        <f aca="false">IFERROR(K2686/I2686,0)</f>
        <v>1.4673383415416</v>
      </c>
      <c r="M2686" s="49" t="n">
        <f aca="false">IFERROR(I2686/H2686,0)</f>
        <v>77.2827893809827</v>
      </c>
      <c r="N2686" s="52" t="str">
        <f aca="false">'Model Inputs &amp; Assumptions'!$L$33</f>
        <v>PRD-SP01</v>
      </c>
      <c r="P2686" s="53" t="n">
        <v>-0.327836</v>
      </c>
      <c r="Q2686" s="53" t="n">
        <v>0.291077</v>
      </c>
      <c r="R2686" s="53" t="n">
        <v>0.22601</v>
      </c>
      <c r="S2686" s="53" t="n">
        <v>1.773203</v>
      </c>
    </row>
    <row r="2687" customFormat="false" ht="15" hidden="false" customHeight="false" outlineLevel="0" collapsed="false">
      <c r="A2687" s="43" t="n">
        <v>184</v>
      </c>
      <c r="B2687" s="44" t="str">
        <f aca="false">'Model Inputs &amp; Assumptions'!$B$33</f>
        <v>Trade Republic — Savings Plan Push</v>
      </c>
      <c r="C2687" s="45" t="n">
        <f aca="false">ROUND(MAX(0,'Model Inputs &amp; Assumptions'!$S$33*EXP('Model Inputs &amp; Assumptions'!$T$33*P2687-'Model Inputs &amp; Assumptions'!$T$33^2/2)),0)</f>
        <v>1397960</v>
      </c>
      <c r="D2687" s="46" t="n">
        <f aca="false">MIN(1,'Model Inputs &amp; Assumptions'!$U$33*EXP('Model Inputs &amp; Assumptions'!$V$33*Q2687-'Model Inputs &amp; Assumptions'!$V$33^2/2))</f>
        <v>0</v>
      </c>
      <c r="E2687" s="45" t="n">
        <f aca="false">ROUND(C2687*D2687,0)</f>
        <v>0</v>
      </c>
      <c r="F2687" s="47" t="n">
        <f aca="false">MIN(1,'Model Inputs &amp; Assumptions'!$W$33*EXP('Model Inputs &amp; Assumptions'!$X$33*R2687-'Model Inputs &amp; Assumptions'!$X$33^2/2))</f>
        <v>0.00445141876293079</v>
      </c>
      <c r="G2687" s="45" t="n">
        <f aca="false">ROUND(C2687*F2687,0)</f>
        <v>6223</v>
      </c>
      <c r="H2687" s="48" t="n">
        <f aca="false">MAX(0,(C2687*'Model Inputs &amp; Assumptions'!$N$33+E2687*'Model Inputs &amp; Assumptions'!$O$33+G2687*'Model Inputs &amp; Assumptions'!$P$33)*EXP('Model Inputs &amp; Assumptions'!$Q$33*S2687-'Model Inputs &amp; Assumptions'!$Q$33^2/2))</f>
        <v>367.598037145497</v>
      </c>
      <c r="I2687" s="49" t="n">
        <f aca="false">IF('Model Inputs &amp; Assumptions'!$H$33="Fixed",'Model Inputs &amp; Assumptions'!$I$33*'Model Inputs &amp; Assumptions'!$K$33,IF('Model Inputs &amp; Assumptions'!$H$33="CPM",'Model Inputs &amp; Assumptions'!$I$33*'Model Inputs &amp; Assumptions'!$K$33*C2687/1000,IF('Model Inputs &amp; Assumptions'!$H$33="CPC",'Model Inputs &amp; Assumptions'!$I$33*'Model Inputs &amp; Assumptions'!$K$33*G2687,0)))</f>
        <v>25000</v>
      </c>
      <c r="J2687" s="50" t="n">
        <f aca="false">H2687*INDEX('Model Inputs &amp; Assumptions'!$D$40:$D$42,MATCH('Model Inputs &amp; Assumptions'!$L$33,'Model Inputs &amp; Assumptions'!$A$40:$A$42,0))*INDEX('Model Inputs &amp; Assumptions'!$H$40:$H$42,MATCH('Model Inputs &amp; Assumptions'!$L$33,'Model Inputs &amp; Assumptions'!$A$40:$A$42,0))</f>
        <v>1985029.40058568</v>
      </c>
      <c r="K2687" s="49" t="n">
        <f aca="false">H2687*INDEX('Model Inputs &amp; Assumptions'!$G$40:$G$42,MATCH('Model Inputs &amp; Assumptions'!$L$33,'Model Inputs &amp; Assumptions'!$A$40:$A$42,0))*INDEX('Model Inputs &amp; Assumptions'!$H$40:$H$42,MATCH('Model Inputs &amp; Assumptions'!$L$33,'Model Inputs &amp; Assumptions'!$A$40:$A$42,0))</f>
        <v>41685.6174122993</v>
      </c>
      <c r="L2687" s="51" t="n">
        <f aca="false">IFERROR(K2687/I2687,0)</f>
        <v>1.66742469649197</v>
      </c>
      <c r="M2687" s="49" t="n">
        <f aca="false">IFERROR(I2687/H2687,0)</f>
        <v>68.0090682587212</v>
      </c>
      <c r="N2687" s="52" t="str">
        <f aca="false">'Model Inputs &amp; Assumptions'!$L$33</f>
        <v>PRD-SP01</v>
      </c>
      <c r="P2687" s="53" t="n">
        <v>0.658974</v>
      </c>
      <c r="Q2687" s="53" t="n">
        <v>0.244728</v>
      </c>
      <c r="R2687" s="53" t="n">
        <v>0.951533</v>
      </c>
      <c r="S2687" s="53" t="n">
        <v>0.395017</v>
      </c>
    </row>
    <row r="2688" customFormat="false" ht="15" hidden="false" customHeight="false" outlineLevel="0" collapsed="false">
      <c r="A2688" s="43" t="n">
        <v>185</v>
      </c>
      <c r="B2688" s="44" t="str">
        <f aca="false">'Model Inputs &amp; Assumptions'!$B$33</f>
        <v>Trade Republic — Savings Plan Push</v>
      </c>
      <c r="C2688" s="45" t="n">
        <f aca="false">ROUND(MAX(0,'Model Inputs &amp; Assumptions'!$S$33*EXP('Model Inputs &amp; Assumptions'!$T$33*P2688-'Model Inputs &amp; Assumptions'!$T$33^2/2)),0)</f>
        <v>885801</v>
      </c>
      <c r="D2688" s="46" t="n">
        <f aca="false">MIN(1,'Model Inputs &amp; Assumptions'!$U$33*EXP('Model Inputs &amp; Assumptions'!$V$33*Q2688-'Model Inputs &amp; Assumptions'!$V$33^2/2))</f>
        <v>0</v>
      </c>
      <c r="E2688" s="45" t="n">
        <f aca="false">ROUND(C2688*D2688,0)</f>
        <v>0</v>
      </c>
      <c r="F2688" s="47" t="n">
        <f aca="false">MIN(1,'Model Inputs &amp; Assumptions'!$W$33*EXP('Model Inputs &amp; Assumptions'!$X$33*R2688-'Model Inputs &amp; Assumptions'!$X$33^2/2))</f>
        <v>0.0022146320415374</v>
      </c>
      <c r="G2688" s="45" t="n">
        <f aca="false">ROUND(C2688*F2688,0)</f>
        <v>1962</v>
      </c>
      <c r="H2688" s="48" t="n">
        <f aca="false">MAX(0,(C2688*'Model Inputs &amp; Assumptions'!$N$33+E2688*'Model Inputs &amp; Assumptions'!$O$33+G2688*'Model Inputs &amp; Assumptions'!$P$33)*EXP('Model Inputs &amp; Assumptions'!$Q$33*S2688-'Model Inputs &amp; Assumptions'!$Q$33^2/2))</f>
        <v>95.4263080704698</v>
      </c>
      <c r="I2688" s="49" t="n">
        <f aca="false">IF('Model Inputs &amp; Assumptions'!$H$33="Fixed",'Model Inputs &amp; Assumptions'!$I$33*'Model Inputs &amp; Assumptions'!$K$33,IF('Model Inputs &amp; Assumptions'!$H$33="CPM",'Model Inputs &amp; Assumptions'!$I$33*'Model Inputs &amp; Assumptions'!$K$33*C2688/1000,IF('Model Inputs &amp; Assumptions'!$H$33="CPC",'Model Inputs &amp; Assumptions'!$I$33*'Model Inputs &amp; Assumptions'!$K$33*G2688,0)))</f>
        <v>25000</v>
      </c>
      <c r="J2688" s="50" t="n">
        <f aca="false">H2688*INDEX('Model Inputs &amp; Assumptions'!$D$40:$D$42,MATCH('Model Inputs &amp; Assumptions'!$L$33,'Model Inputs &amp; Assumptions'!$A$40:$A$42,0))*INDEX('Model Inputs &amp; Assumptions'!$H$40:$H$42,MATCH('Model Inputs &amp; Assumptions'!$L$33,'Model Inputs &amp; Assumptions'!$A$40:$A$42,0))</f>
        <v>515302.063580537</v>
      </c>
      <c r="K2688" s="49" t="n">
        <f aca="false">H2688*INDEX('Model Inputs &amp; Assumptions'!$G$40:$G$42,MATCH('Model Inputs &amp; Assumptions'!$L$33,'Model Inputs &amp; Assumptions'!$A$40:$A$42,0))*INDEX('Model Inputs &amp; Assumptions'!$H$40:$H$42,MATCH('Model Inputs &amp; Assumptions'!$L$33,'Model Inputs &amp; Assumptions'!$A$40:$A$42,0))</f>
        <v>10821.3433351913</v>
      </c>
      <c r="L2688" s="51" t="n">
        <f aca="false">IFERROR(K2688/I2688,0)</f>
        <v>0.432853733407651</v>
      </c>
      <c r="M2688" s="49" t="n">
        <f aca="false">IFERROR(I2688/H2688,0)</f>
        <v>261.982261553472</v>
      </c>
      <c r="N2688" s="52" t="str">
        <f aca="false">'Model Inputs &amp; Assumptions'!$L$33</f>
        <v>PRD-SP01</v>
      </c>
      <c r="P2688" s="53" t="n">
        <v>-0.861947</v>
      </c>
      <c r="Q2688" s="53" t="n">
        <v>-0.62981</v>
      </c>
      <c r="R2688" s="53" t="n">
        <v>-1.375589</v>
      </c>
      <c r="S2688" s="53" t="n">
        <v>-0.299083</v>
      </c>
    </row>
    <row r="2689" customFormat="false" ht="15" hidden="false" customHeight="false" outlineLevel="0" collapsed="false">
      <c r="A2689" s="43" t="n">
        <v>186</v>
      </c>
      <c r="B2689" s="44" t="str">
        <f aca="false">'Model Inputs &amp; Assumptions'!$B$33</f>
        <v>Trade Republic — Savings Plan Push</v>
      </c>
      <c r="C2689" s="45" t="n">
        <f aca="false">ROUND(MAX(0,'Model Inputs &amp; Assumptions'!$S$33*EXP('Model Inputs &amp; Assumptions'!$T$33*P2689-'Model Inputs &amp; Assumptions'!$T$33^2/2)),0)</f>
        <v>1963231</v>
      </c>
      <c r="D2689" s="46" t="n">
        <f aca="false">MIN(1,'Model Inputs &amp; Assumptions'!$U$33*EXP('Model Inputs &amp; Assumptions'!$V$33*Q2689-'Model Inputs &amp; Assumptions'!$V$33^2/2))</f>
        <v>0</v>
      </c>
      <c r="E2689" s="45" t="n">
        <f aca="false">ROUND(C2689*D2689,0)</f>
        <v>0</v>
      </c>
      <c r="F2689" s="47" t="n">
        <f aca="false">MIN(1,'Model Inputs &amp; Assumptions'!$W$33*EXP('Model Inputs &amp; Assumptions'!$X$33*R2689-'Model Inputs &amp; Assumptions'!$X$33^2/2))</f>
        <v>0.00262708947134308</v>
      </c>
      <c r="G2689" s="45" t="n">
        <f aca="false">ROUND(C2689*F2689,0)</f>
        <v>5158</v>
      </c>
      <c r="H2689" s="48" t="n">
        <f aca="false">MAX(0,(C2689*'Model Inputs &amp; Assumptions'!$N$33+E2689*'Model Inputs &amp; Assumptions'!$O$33+G2689*'Model Inputs &amp; Assumptions'!$P$33)*EXP('Model Inputs &amp; Assumptions'!$Q$33*S2689-'Model Inputs &amp; Assumptions'!$Q$33^2/2))</f>
        <v>317.460211602249</v>
      </c>
      <c r="I2689" s="49" t="n">
        <f aca="false">IF('Model Inputs &amp; Assumptions'!$H$33="Fixed",'Model Inputs &amp; Assumptions'!$I$33*'Model Inputs &amp; Assumptions'!$K$33,IF('Model Inputs &amp; Assumptions'!$H$33="CPM",'Model Inputs &amp; Assumptions'!$I$33*'Model Inputs &amp; Assumptions'!$K$33*C2689/1000,IF('Model Inputs &amp; Assumptions'!$H$33="CPC",'Model Inputs &amp; Assumptions'!$I$33*'Model Inputs &amp; Assumptions'!$K$33*G2689,0)))</f>
        <v>25000</v>
      </c>
      <c r="J2689" s="50" t="n">
        <f aca="false">H2689*INDEX('Model Inputs &amp; Assumptions'!$D$40:$D$42,MATCH('Model Inputs &amp; Assumptions'!$L$33,'Model Inputs &amp; Assumptions'!$A$40:$A$42,0))*INDEX('Model Inputs &amp; Assumptions'!$H$40:$H$42,MATCH('Model Inputs &amp; Assumptions'!$L$33,'Model Inputs &amp; Assumptions'!$A$40:$A$42,0))</f>
        <v>1714285.14265214</v>
      </c>
      <c r="K2689" s="49" t="n">
        <f aca="false">H2689*INDEX('Model Inputs &amp; Assumptions'!$G$40:$G$42,MATCH('Model Inputs &amp; Assumptions'!$L$33,'Model Inputs &amp; Assumptions'!$A$40:$A$42,0))*INDEX('Model Inputs &amp; Assumptions'!$H$40:$H$42,MATCH('Model Inputs &amp; Assumptions'!$L$33,'Model Inputs &amp; Assumptions'!$A$40:$A$42,0))</f>
        <v>35999.987995695</v>
      </c>
      <c r="L2689" s="51" t="n">
        <f aca="false">IFERROR(K2689/I2689,0)</f>
        <v>1.4399995198278</v>
      </c>
      <c r="M2689" s="49" t="n">
        <f aca="false">IFERROR(I2689/H2689,0)</f>
        <v>78.7500262594259</v>
      </c>
      <c r="N2689" s="52" t="str">
        <f aca="false">'Model Inputs &amp; Assumptions'!$L$33</f>
        <v>PRD-SP01</v>
      </c>
      <c r="P2689" s="53" t="n">
        <v>1.7909</v>
      </c>
      <c r="Q2689" s="53" t="n">
        <v>1.143459</v>
      </c>
      <c r="R2689" s="53" t="n">
        <v>-0.806288</v>
      </c>
      <c r="S2689" s="53" t="n">
        <v>0.54168</v>
      </c>
    </row>
    <row r="2690" customFormat="false" ht="15" hidden="false" customHeight="false" outlineLevel="0" collapsed="false">
      <c r="A2690" s="43" t="n">
        <v>187</v>
      </c>
      <c r="B2690" s="44" t="str">
        <f aca="false">'Model Inputs &amp; Assumptions'!$B$33</f>
        <v>Trade Republic — Savings Plan Push</v>
      </c>
      <c r="C2690" s="45" t="n">
        <f aca="false">ROUND(MAX(0,'Model Inputs &amp; Assumptions'!$S$33*EXP('Model Inputs &amp; Assumptions'!$T$33*P2690-'Model Inputs &amp; Assumptions'!$T$33^2/2)),0)</f>
        <v>989764</v>
      </c>
      <c r="D2690" s="46" t="n">
        <f aca="false">MIN(1,'Model Inputs &amp; Assumptions'!$U$33*EXP('Model Inputs &amp; Assumptions'!$V$33*Q2690-'Model Inputs &amp; Assumptions'!$V$33^2/2))</f>
        <v>0</v>
      </c>
      <c r="E2690" s="45" t="n">
        <f aca="false">ROUND(C2690*D2690,0)</f>
        <v>0</v>
      </c>
      <c r="F2690" s="47" t="n">
        <f aca="false">MIN(1,'Model Inputs &amp; Assumptions'!$W$33*EXP('Model Inputs &amp; Assumptions'!$X$33*R2690-'Model Inputs &amp; Assumptions'!$X$33^2/2))</f>
        <v>0.00458761218921039</v>
      </c>
      <c r="G2690" s="45" t="n">
        <f aca="false">ROUND(C2690*F2690,0)</f>
        <v>4541</v>
      </c>
      <c r="H2690" s="48" t="n">
        <f aca="false">MAX(0,(C2690*'Model Inputs &amp; Assumptions'!$N$33+E2690*'Model Inputs &amp; Assumptions'!$O$33+G2690*'Model Inputs &amp; Assumptions'!$P$33)*EXP('Model Inputs &amp; Assumptions'!$Q$33*S2690-'Model Inputs &amp; Assumptions'!$Q$33^2/2))</f>
        <v>302.867845635337</v>
      </c>
      <c r="I2690" s="49" t="n">
        <f aca="false">IF('Model Inputs &amp; Assumptions'!$H$33="Fixed",'Model Inputs &amp; Assumptions'!$I$33*'Model Inputs &amp; Assumptions'!$K$33,IF('Model Inputs &amp; Assumptions'!$H$33="CPM",'Model Inputs &amp; Assumptions'!$I$33*'Model Inputs &amp; Assumptions'!$K$33*C2690/1000,IF('Model Inputs &amp; Assumptions'!$H$33="CPC",'Model Inputs &amp; Assumptions'!$I$33*'Model Inputs &amp; Assumptions'!$K$33*G2690,0)))</f>
        <v>25000</v>
      </c>
      <c r="J2690" s="50" t="n">
        <f aca="false">H2690*INDEX('Model Inputs &amp; Assumptions'!$D$40:$D$42,MATCH('Model Inputs &amp; Assumptions'!$L$33,'Model Inputs &amp; Assumptions'!$A$40:$A$42,0))*INDEX('Model Inputs &amp; Assumptions'!$H$40:$H$42,MATCH('Model Inputs &amp; Assumptions'!$L$33,'Model Inputs &amp; Assumptions'!$A$40:$A$42,0))</f>
        <v>1635486.36643082</v>
      </c>
      <c r="K2690" s="49" t="n">
        <f aca="false">H2690*INDEX('Model Inputs &amp; Assumptions'!$G$40:$G$42,MATCH('Model Inputs &amp; Assumptions'!$L$33,'Model Inputs &amp; Assumptions'!$A$40:$A$42,0))*INDEX('Model Inputs &amp; Assumptions'!$H$40:$H$42,MATCH('Model Inputs &amp; Assumptions'!$L$33,'Model Inputs &amp; Assumptions'!$A$40:$A$42,0))</f>
        <v>34345.2136950472</v>
      </c>
      <c r="L2690" s="51" t="n">
        <f aca="false">IFERROR(K2690/I2690,0)</f>
        <v>1.37380854780189</v>
      </c>
      <c r="M2690" s="49" t="n">
        <f aca="false">IFERROR(I2690/H2690,0)</f>
        <v>82.544252750095</v>
      </c>
      <c r="N2690" s="52" t="str">
        <f aca="false">'Model Inputs &amp; Assumptions'!$L$33</f>
        <v>PRD-SP01</v>
      </c>
      <c r="P2690" s="53" t="n">
        <v>-0.492033</v>
      </c>
      <c r="Q2690" s="53" t="n">
        <v>-1.400855</v>
      </c>
      <c r="R2690" s="53" t="n">
        <v>1.051989</v>
      </c>
      <c r="S2690" s="53" t="n">
        <v>0.828629</v>
      </c>
    </row>
    <row r="2691" customFormat="false" ht="15" hidden="false" customHeight="false" outlineLevel="0" collapsed="false">
      <c r="A2691" s="43" t="n">
        <v>188</v>
      </c>
      <c r="B2691" s="44" t="str">
        <f aca="false">'Model Inputs &amp; Assumptions'!$B$33</f>
        <v>Trade Republic — Savings Plan Push</v>
      </c>
      <c r="C2691" s="45" t="n">
        <f aca="false">ROUND(MAX(0,'Model Inputs &amp; Assumptions'!$S$33*EXP('Model Inputs &amp; Assumptions'!$T$33*P2691-'Model Inputs &amp; Assumptions'!$T$33^2/2)),0)</f>
        <v>958448</v>
      </c>
      <c r="D2691" s="46" t="n">
        <f aca="false">MIN(1,'Model Inputs &amp; Assumptions'!$U$33*EXP('Model Inputs &amp; Assumptions'!$V$33*Q2691-'Model Inputs &amp; Assumptions'!$V$33^2/2))</f>
        <v>0</v>
      </c>
      <c r="E2691" s="45" t="n">
        <f aca="false">ROUND(C2691*D2691,0)</f>
        <v>0</v>
      </c>
      <c r="F2691" s="47" t="n">
        <f aca="false">MIN(1,'Model Inputs &amp; Assumptions'!$W$33*EXP('Model Inputs &amp; Assumptions'!$X$33*R2691-'Model Inputs &amp; Assumptions'!$X$33^2/2))</f>
        <v>0.00380160204430804</v>
      </c>
      <c r="G2691" s="45" t="n">
        <f aca="false">ROUND(C2691*F2691,0)</f>
        <v>3644</v>
      </c>
      <c r="H2691" s="48" t="n">
        <f aca="false">MAX(0,(C2691*'Model Inputs &amp; Assumptions'!$N$33+E2691*'Model Inputs &amp; Assumptions'!$O$33+G2691*'Model Inputs &amp; Assumptions'!$P$33)*EXP('Model Inputs &amp; Assumptions'!$Q$33*S2691-'Model Inputs &amp; Assumptions'!$Q$33^2/2))</f>
        <v>205.12673438432</v>
      </c>
      <c r="I2691" s="49" t="n">
        <f aca="false">IF('Model Inputs &amp; Assumptions'!$H$33="Fixed",'Model Inputs &amp; Assumptions'!$I$33*'Model Inputs &amp; Assumptions'!$K$33,IF('Model Inputs &amp; Assumptions'!$H$33="CPM",'Model Inputs &amp; Assumptions'!$I$33*'Model Inputs &amp; Assumptions'!$K$33*C2691/1000,IF('Model Inputs &amp; Assumptions'!$H$33="CPC",'Model Inputs &amp; Assumptions'!$I$33*'Model Inputs &amp; Assumptions'!$K$33*G2691,0)))</f>
        <v>25000</v>
      </c>
      <c r="J2691" s="50" t="n">
        <f aca="false">H2691*INDEX('Model Inputs &amp; Assumptions'!$D$40:$D$42,MATCH('Model Inputs &amp; Assumptions'!$L$33,'Model Inputs &amp; Assumptions'!$A$40:$A$42,0))*INDEX('Model Inputs &amp; Assumptions'!$H$40:$H$42,MATCH('Model Inputs &amp; Assumptions'!$L$33,'Model Inputs &amp; Assumptions'!$A$40:$A$42,0))</f>
        <v>1107684.36567533</v>
      </c>
      <c r="K2691" s="49" t="n">
        <f aca="false">H2691*INDEX('Model Inputs &amp; Assumptions'!$G$40:$G$42,MATCH('Model Inputs &amp; Assumptions'!$L$33,'Model Inputs &amp; Assumptions'!$A$40:$A$42,0))*INDEX('Model Inputs &amp; Assumptions'!$H$40:$H$42,MATCH('Model Inputs &amp; Assumptions'!$L$33,'Model Inputs &amp; Assumptions'!$A$40:$A$42,0))</f>
        <v>23261.3716791819</v>
      </c>
      <c r="L2691" s="51" t="n">
        <f aca="false">IFERROR(K2691/I2691,0)</f>
        <v>0.930454867167275</v>
      </c>
      <c r="M2691" s="49" t="n">
        <f aca="false">IFERROR(I2691/H2691,0)</f>
        <v>121.875873834956</v>
      </c>
      <c r="N2691" s="52" t="str">
        <f aca="false">'Model Inputs &amp; Assumptions'!$L$33</f>
        <v>PRD-SP01</v>
      </c>
      <c r="P2691" s="53" t="n">
        <v>-0.599205</v>
      </c>
      <c r="Q2691" s="53" t="n">
        <v>0.340018</v>
      </c>
      <c r="R2691" s="53" t="n">
        <v>0.425532</v>
      </c>
      <c r="S2691" s="53" t="n">
        <v>0.222903</v>
      </c>
    </row>
    <row r="2692" customFormat="false" ht="15" hidden="false" customHeight="false" outlineLevel="0" collapsed="false">
      <c r="A2692" s="43" t="n">
        <v>189</v>
      </c>
      <c r="B2692" s="44" t="str">
        <f aca="false">'Model Inputs &amp; Assumptions'!$B$33</f>
        <v>Trade Republic — Savings Plan Push</v>
      </c>
      <c r="C2692" s="45" t="n">
        <f aca="false">ROUND(MAX(0,'Model Inputs &amp; Assumptions'!$S$33*EXP('Model Inputs &amp; Assumptions'!$T$33*P2692-'Model Inputs &amp; Assumptions'!$T$33^2/2)),0)</f>
        <v>982372</v>
      </c>
      <c r="D2692" s="46" t="n">
        <f aca="false">MIN(1,'Model Inputs &amp; Assumptions'!$U$33*EXP('Model Inputs &amp; Assumptions'!$V$33*Q2692-'Model Inputs &amp; Assumptions'!$V$33^2/2))</f>
        <v>0</v>
      </c>
      <c r="E2692" s="45" t="n">
        <f aca="false">ROUND(C2692*D2692,0)</f>
        <v>0</v>
      </c>
      <c r="F2692" s="47" t="n">
        <f aca="false">MIN(1,'Model Inputs &amp; Assumptions'!$W$33*EXP('Model Inputs &amp; Assumptions'!$X$33*R2692-'Model Inputs &amp; Assumptions'!$X$33^2/2))</f>
        <v>0.00327736736828815</v>
      </c>
      <c r="G2692" s="45" t="n">
        <f aca="false">ROUND(C2692*F2692,0)</f>
        <v>3220</v>
      </c>
      <c r="H2692" s="48" t="n">
        <f aca="false">MAX(0,(C2692*'Model Inputs &amp; Assumptions'!$N$33+E2692*'Model Inputs &amp; Assumptions'!$O$33+G2692*'Model Inputs &amp; Assumptions'!$P$33)*EXP('Model Inputs &amp; Assumptions'!$Q$33*S2692-'Model Inputs &amp; Assumptions'!$Q$33^2/2))</f>
        <v>179.164938335705</v>
      </c>
      <c r="I2692" s="49" t="n">
        <f aca="false">IF('Model Inputs &amp; Assumptions'!$H$33="Fixed",'Model Inputs &amp; Assumptions'!$I$33*'Model Inputs &amp; Assumptions'!$K$33,IF('Model Inputs &amp; Assumptions'!$H$33="CPM",'Model Inputs &amp; Assumptions'!$I$33*'Model Inputs &amp; Assumptions'!$K$33*C2692/1000,IF('Model Inputs &amp; Assumptions'!$H$33="CPC",'Model Inputs &amp; Assumptions'!$I$33*'Model Inputs &amp; Assumptions'!$K$33*G2692,0)))</f>
        <v>25000</v>
      </c>
      <c r="J2692" s="50" t="n">
        <f aca="false">H2692*INDEX('Model Inputs &amp; Assumptions'!$D$40:$D$42,MATCH('Model Inputs &amp; Assumptions'!$L$33,'Model Inputs &amp; Assumptions'!$A$40:$A$42,0))*INDEX('Model Inputs &amp; Assumptions'!$H$40:$H$42,MATCH('Model Inputs &amp; Assumptions'!$L$33,'Model Inputs &amp; Assumptions'!$A$40:$A$42,0))</f>
        <v>967490.667012805</v>
      </c>
      <c r="K2692" s="49" t="n">
        <f aca="false">H2692*INDEX('Model Inputs &amp; Assumptions'!$G$40:$G$42,MATCH('Model Inputs &amp; Assumptions'!$L$33,'Model Inputs &amp; Assumptions'!$A$40:$A$42,0))*INDEX('Model Inputs &amp; Assumptions'!$H$40:$H$42,MATCH('Model Inputs &amp; Assumptions'!$L$33,'Model Inputs &amp; Assumptions'!$A$40:$A$42,0))</f>
        <v>20317.3040072689</v>
      </c>
      <c r="L2692" s="51" t="n">
        <f aca="false">IFERROR(K2692/I2692,0)</f>
        <v>0.812692160290756</v>
      </c>
      <c r="M2692" s="49" t="n">
        <f aca="false">IFERROR(I2692/H2692,0)</f>
        <v>139.536229756946</v>
      </c>
      <c r="N2692" s="52" t="str">
        <f aca="false">'Model Inputs &amp; Assumptions'!$L$33</f>
        <v>PRD-SP01</v>
      </c>
      <c r="P2692" s="53" t="n">
        <v>-0.517024</v>
      </c>
      <c r="Q2692" s="53" t="n">
        <v>-1.158916</v>
      </c>
      <c r="R2692" s="53" t="n">
        <v>-0.069075</v>
      </c>
      <c r="S2692" s="53" t="n">
        <v>0.181401</v>
      </c>
    </row>
    <row r="2693" customFormat="false" ht="15" hidden="false" customHeight="false" outlineLevel="0" collapsed="false">
      <c r="A2693" s="43" t="n">
        <v>190</v>
      </c>
      <c r="B2693" s="44" t="str">
        <f aca="false">'Model Inputs &amp; Assumptions'!$B$33</f>
        <v>Trade Republic — Savings Plan Push</v>
      </c>
      <c r="C2693" s="45" t="n">
        <f aca="false">ROUND(MAX(0,'Model Inputs &amp; Assumptions'!$S$33*EXP('Model Inputs &amp; Assumptions'!$T$33*P2693-'Model Inputs &amp; Assumptions'!$T$33^2/2)),0)</f>
        <v>743558</v>
      </c>
      <c r="D2693" s="46" t="n">
        <f aca="false">MIN(1,'Model Inputs &amp; Assumptions'!$U$33*EXP('Model Inputs &amp; Assumptions'!$V$33*Q2693-'Model Inputs &amp; Assumptions'!$V$33^2/2))</f>
        <v>0</v>
      </c>
      <c r="E2693" s="45" t="n">
        <f aca="false">ROUND(C2693*D2693,0)</f>
        <v>0</v>
      </c>
      <c r="F2693" s="47" t="n">
        <f aca="false">MIN(1,'Model Inputs &amp; Assumptions'!$W$33*EXP('Model Inputs &amp; Assumptions'!$X$33*R2693-'Model Inputs &amp; Assumptions'!$X$33^2/2))</f>
        <v>0.00295522464065646</v>
      </c>
      <c r="G2693" s="45" t="n">
        <f aca="false">ROUND(C2693*F2693,0)</f>
        <v>2197</v>
      </c>
      <c r="H2693" s="48" t="n">
        <f aca="false">MAX(0,(C2693*'Model Inputs &amp; Assumptions'!$N$33+E2693*'Model Inputs &amp; Assumptions'!$O$33+G2693*'Model Inputs &amp; Assumptions'!$P$33)*EXP('Model Inputs &amp; Assumptions'!$Q$33*S2693-'Model Inputs &amp; Assumptions'!$Q$33^2/2))</f>
        <v>156.411303518363</v>
      </c>
      <c r="I2693" s="49" t="n">
        <f aca="false">IF('Model Inputs &amp; Assumptions'!$H$33="Fixed",'Model Inputs &amp; Assumptions'!$I$33*'Model Inputs &amp; Assumptions'!$K$33,IF('Model Inputs &amp; Assumptions'!$H$33="CPM",'Model Inputs &amp; Assumptions'!$I$33*'Model Inputs &amp; Assumptions'!$K$33*C2693/1000,IF('Model Inputs &amp; Assumptions'!$H$33="CPC",'Model Inputs &amp; Assumptions'!$I$33*'Model Inputs &amp; Assumptions'!$K$33*G2693,0)))</f>
        <v>25000</v>
      </c>
      <c r="J2693" s="50" t="n">
        <f aca="false">H2693*INDEX('Model Inputs &amp; Assumptions'!$D$40:$D$42,MATCH('Model Inputs &amp; Assumptions'!$L$33,'Model Inputs &amp; Assumptions'!$A$40:$A$42,0))*INDEX('Model Inputs &amp; Assumptions'!$H$40:$H$42,MATCH('Model Inputs &amp; Assumptions'!$L$33,'Model Inputs &amp; Assumptions'!$A$40:$A$42,0))</f>
        <v>844621.038999158</v>
      </c>
      <c r="K2693" s="49" t="n">
        <f aca="false">H2693*INDEX('Model Inputs &amp; Assumptions'!$G$40:$G$42,MATCH('Model Inputs &amp; Assumptions'!$L$33,'Model Inputs &amp; Assumptions'!$A$40:$A$42,0))*INDEX('Model Inputs &amp; Assumptions'!$H$40:$H$42,MATCH('Model Inputs &amp; Assumptions'!$L$33,'Model Inputs &amp; Assumptions'!$A$40:$A$42,0))</f>
        <v>17737.0418189823</v>
      </c>
      <c r="L2693" s="51" t="n">
        <f aca="false">IFERROR(K2693/I2693,0)</f>
        <v>0.709481672759293</v>
      </c>
      <c r="M2693" s="49" t="n">
        <f aca="false">IFERROR(I2693/H2693,0)</f>
        <v>159.834995538318</v>
      </c>
      <c r="N2693" s="52" t="str">
        <f aca="false">'Model Inputs &amp; Assumptions'!$L$33</f>
        <v>PRD-SP01</v>
      </c>
      <c r="P2693" s="53" t="n">
        <v>-1.445432</v>
      </c>
      <c r="Q2693" s="53" t="n">
        <v>-1.430258</v>
      </c>
      <c r="R2693" s="53" t="n">
        <v>-0.413961</v>
      </c>
      <c r="S2693" s="53" t="n">
        <v>1.061654</v>
      </c>
    </row>
    <row r="2694" customFormat="false" ht="15" hidden="false" customHeight="false" outlineLevel="0" collapsed="false">
      <c r="A2694" s="43" t="n">
        <v>191</v>
      </c>
      <c r="B2694" s="44" t="str">
        <f aca="false">'Model Inputs &amp; Assumptions'!$B$33</f>
        <v>Trade Republic — Savings Plan Push</v>
      </c>
      <c r="C2694" s="45" t="n">
        <f aca="false">ROUND(MAX(0,'Model Inputs &amp; Assumptions'!$S$33*EXP('Model Inputs &amp; Assumptions'!$T$33*P2694-'Model Inputs &amp; Assumptions'!$T$33^2/2)),0)</f>
        <v>1580150</v>
      </c>
      <c r="D2694" s="46" t="n">
        <f aca="false">MIN(1,'Model Inputs &amp; Assumptions'!$U$33*EXP('Model Inputs &amp; Assumptions'!$V$33*Q2694-'Model Inputs &amp; Assumptions'!$V$33^2/2))</f>
        <v>0</v>
      </c>
      <c r="E2694" s="45" t="n">
        <f aca="false">ROUND(C2694*D2694,0)</f>
        <v>0</v>
      </c>
      <c r="F2694" s="47" t="n">
        <f aca="false">MIN(1,'Model Inputs &amp; Assumptions'!$W$33*EXP('Model Inputs &amp; Assumptions'!$X$33*R2694-'Model Inputs &amp; Assumptions'!$X$33^2/2))</f>
        <v>0.00355758330877971</v>
      </c>
      <c r="G2694" s="45" t="n">
        <f aca="false">ROUND(C2694*F2694,0)</f>
        <v>5622</v>
      </c>
      <c r="H2694" s="48" t="n">
        <f aca="false">MAX(0,(C2694*'Model Inputs &amp; Assumptions'!$N$33+E2694*'Model Inputs &amp; Assumptions'!$O$33+G2694*'Model Inputs &amp; Assumptions'!$P$33)*EXP('Model Inputs &amp; Assumptions'!$Q$33*S2694-'Model Inputs &amp; Assumptions'!$Q$33^2/2))</f>
        <v>288.457943161028</v>
      </c>
      <c r="I2694" s="49" t="n">
        <f aca="false">IF('Model Inputs &amp; Assumptions'!$H$33="Fixed",'Model Inputs &amp; Assumptions'!$I$33*'Model Inputs &amp; Assumptions'!$K$33,IF('Model Inputs &amp; Assumptions'!$H$33="CPM",'Model Inputs &amp; Assumptions'!$I$33*'Model Inputs &amp; Assumptions'!$K$33*C2694/1000,IF('Model Inputs &amp; Assumptions'!$H$33="CPC",'Model Inputs &amp; Assumptions'!$I$33*'Model Inputs &amp; Assumptions'!$K$33*G2694,0)))</f>
        <v>25000</v>
      </c>
      <c r="J2694" s="50" t="n">
        <f aca="false">H2694*INDEX('Model Inputs &amp; Assumptions'!$D$40:$D$42,MATCH('Model Inputs &amp; Assumptions'!$L$33,'Model Inputs &amp; Assumptions'!$A$40:$A$42,0))*INDEX('Model Inputs &amp; Assumptions'!$H$40:$H$42,MATCH('Model Inputs &amp; Assumptions'!$L$33,'Model Inputs &amp; Assumptions'!$A$40:$A$42,0))</f>
        <v>1557672.89306955</v>
      </c>
      <c r="K2694" s="49" t="n">
        <f aca="false">H2694*INDEX('Model Inputs &amp; Assumptions'!$G$40:$G$42,MATCH('Model Inputs &amp; Assumptions'!$L$33,'Model Inputs &amp; Assumptions'!$A$40:$A$42,0))*INDEX('Model Inputs &amp; Assumptions'!$H$40:$H$42,MATCH('Model Inputs &amp; Assumptions'!$L$33,'Model Inputs &amp; Assumptions'!$A$40:$A$42,0))</f>
        <v>32711.1307544606</v>
      </c>
      <c r="L2694" s="51" t="n">
        <f aca="false">IFERROR(K2694/I2694,0)</f>
        <v>1.30844523017842</v>
      </c>
      <c r="M2694" s="49" t="n">
        <f aca="false">IFERROR(I2694/H2694,0)</f>
        <v>86.6677468681945</v>
      </c>
      <c r="N2694" s="52" t="str">
        <f aca="false">'Model Inputs &amp; Assumptions'!$L$33</f>
        <v>PRD-SP01</v>
      </c>
      <c r="P2694" s="53" t="n">
        <v>1.067328</v>
      </c>
      <c r="Q2694" s="53" t="n">
        <v>0.93074</v>
      </c>
      <c r="R2694" s="53" t="n">
        <v>0.204395</v>
      </c>
      <c r="S2694" s="53" t="n">
        <v>-0.108112</v>
      </c>
    </row>
    <row r="2695" customFormat="false" ht="15" hidden="false" customHeight="false" outlineLevel="0" collapsed="false">
      <c r="A2695" s="43" t="n">
        <v>192</v>
      </c>
      <c r="B2695" s="44" t="str">
        <f aca="false">'Model Inputs &amp; Assumptions'!$B$33</f>
        <v>Trade Republic — Savings Plan Push</v>
      </c>
      <c r="C2695" s="45" t="n">
        <f aca="false">ROUND(MAX(0,'Model Inputs &amp; Assumptions'!$S$33*EXP('Model Inputs &amp; Assumptions'!$T$33*P2695-'Model Inputs &amp; Assumptions'!$T$33^2/2)),0)</f>
        <v>1069564</v>
      </c>
      <c r="D2695" s="46" t="n">
        <f aca="false">MIN(1,'Model Inputs &amp; Assumptions'!$U$33*EXP('Model Inputs &amp; Assumptions'!$V$33*Q2695-'Model Inputs &amp; Assumptions'!$V$33^2/2))</f>
        <v>0</v>
      </c>
      <c r="E2695" s="45" t="n">
        <f aca="false">ROUND(C2695*D2695,0)</f>
        <v>0</v>
      </c>
      <c r="F2695" s="47" t="n">
        <f aca="false">MIN(1,'Model Inputs &amp; Assumptions'!$W$33*EXP('Model Inputs &amp; Assumptions'!$X$33*R2695-'Model Inputs &amp; Assumptions'!$X$33^2/2))</f>
        <v>0.00511059363394841</v>
      </c>
      <c r="G2695" s="45" t="n">
        <f aca="false">ROUND(C2695*F2695,0)</f>
        <v>5466</v>
      </c>
      <c r="H2695" s="48" t="n">
        <f aca="false">MAX(0,(C2695*'Model Inputs &amp; Assumptions'!$N$33+E2695*'Model Inputs &amp; Assumptions'!$O$33+G2695*'Model Inputs &amp; Assumptions'!$P$33)*EXP('Model Inputs &amp; Assumptions'!$Q$33*S2695-'Model Inputs &amp; Assumptions'!$Q$33^2/2))</f>
        <v>319.121016443877</v>
      </c>
      <c r="I2695" s="49" t="n">
        <f aca="false">IF('Model Inputs &amp; Assumptions'!$H$33="Fixed",'Model Inputs &amp; Assumptions'!$I$33*'Model Inputs &amp; Assumptions'!$K$33,IF('Model Inputs &amp; Assumptions'!$H$33="CPM",'Model Inputs &amp; Assumptions'!$I$33*'Model Inputs &amp; Assumptions'!$K$33*C2695/1000,IF('Model Inputs &amp; Assumptions'!$H$33="CPC",'Model Inputs &amp; Assumptions'!$I$33*'Model Inputs &amp; Assumptions'!$K$33*G2695,0)))</f>
        <v>25000</v>
      </c>
      <c r="J2695" s="50" t="n">
        <f aca="false">H2695*INDEX('Model Inputs &amp; Assumptions'!$D$40:$D$42,MATCH('Model Inputs &amp; Assumptions'!$L$33,'Model Inputs &amp; Assumptions'!$A$40:$A$42,0))*INDEX('Model Inputs &amp; Assumptions'!$H$40:$H$42,MATCH('Model Inputs &amp; Assumptions'!$L$33,'Model Inputs &amp; Assumptions'!$A$40:$A$42,0))</f>
        <v>1723253.48879694</v>
      </c>
      <c r="K2695" s="49" t="n">
        <f aca="false">H2695*INDEX('Model Inputs &amp; Assumptions'!$G$40:$G$42,MATCH('Model Inputs &amp; Assumptions'!$L$33,'Model Inputs &amp; Assumptions'!$A$40:$A$42,0))*INDEX('Model Inputs &amp; Assumptions'!$H$40:$H$42,MATCH('Model Inputs &amp; Assumptions'!$L$33,'Model Inputs &amp; Assumptions'!$A$40:$A$42,0))</f>
        <v>36188.3232647357</v>
      </c>
      <c r="L2695" s="51" t="n">
        <f aca="false">IFERROR(K2695/I2695,0)</f>
        <v>1.44753293058943</v>
      </c>
      <c r="M2695" s="49" t="n">
        <f aca="false">IFERROR(I2695/H2695,0)</f>
        <v>78.3401866745955</v>
      </c>
      <c r="N2695" s="52" t="str">
        <f aca="false">'Model Inputs &amp; Assumptions'!$L$33</f>
        <v>PRD-SP01</v>
      </c>
      <c r="P2695" s="53" t="n">
        <v>-0.233567</v>
      </c>
      <c r="Q2695" s="53" t="n">
        <v>-0.834181</v>
      </c>
      <c r="R2695" s="53" t="n">
        <v>1.411842</v>
      </c>
      <c r="S2695" s="53" t="n">
        <v>0.353179</v>
      </c>
    </row>
    <row r="2696" customFormat="false" ht="15" hidden="false" customHeight="false" outlineLevel="0" collapsed="false">
      <c r="A2696" s="43" t="n">
        <v>193</v>
      </c>
      <c r="B2696" s="44" t="str">
        <f aca="false">'Model Inputs &amp; Assumptions'!$B$33</f>
        <v>Trade Republic — Savings Plan Push</v>
      </c>
      <c r="C2696" s="45" t="n">
        <f aca="false">ROUND(MAX(0,'Model Inputs &amp; Assumptions'!$S$33*EXP('Model Inputs &amp; Assumptions'!$T$33*P2696-'Model Inputs &amp; Assumptions'!$T$33^2/2)),0)</f>
        <v>1129269</v>
      </c>
      <c r="D2696" s="46" t="n">
        <f aca="false">MIN(1,'Model Inputs &amp; Assumptions'!$U$33*EXP('Model Inputs &amp; Assumptions'!$V$33*Q2696-'Model Inputs &amp; Assumptions'!$V$33^2/2))</f>
        <v>0</v>
      </c>
      <c r="E2696" s="45" t="n">
        <f aca="false">ROUND(C2696*D2696,0)</f>
        <v>0</v>
      </c>
      <c r="F2696" s="47" t="n">
        <f aca="false">MIN(1,'Model Inputs &amp; Assumptions'!$W$33*EXP('Model Inputs &amp; Assumptions'!$X$33*R2696-'Model Inputs &amp; Assumptions'!$X$33^2/2))</f>
        <v>0.00338220095771038</v>
      </c>
      <c r="G2696" s="45" t="n">
        <f aca="false">ROUND(C2696*F2696,0)</f>
        <v>3819</v>
      </c>
      <c r="H2696" s="48" t="n">
        <f aca="false">MAX(0,(C2696*'Model Inputs &amp; Assumptions'!$N$33+E2696*'Model Inputs &amp; Assumptions'!$O$33+G2696*'Model Inputs &amp; Assumptions'!$P$33)*EXP('Model Inputs &amp; Assumptions'!$Q$33*S2696-'Model Inputs &amp; Assumptions'!$Q$33^2/2))</f>
        <v>137.66814372544</v>
      </c>
      <c r="I2696" s="49" t="n">
        <f aca="false">IF('Model Inputs &amp; Assumptions'!$H$33="Fixed",'Model Inputs &amp; Assumptions'!$I$33*'Model Inputs &amp; Assumptions'!$K$33,IF('Model Inputs &amp; Assumptions'!$H$33="CPM",'Model Inputs &amp; Assumptions'!$I$33*'Model Inputs &amp; Assumptions'!$K$33*C2696/1000,IF('Model Inputs &amp; Assumptions'!$H$33="CPC",'Model Inputs &amp; Assumptions'!$I$33*'Model Inputs &amp; Assumptions'!$K$33*G2696,0)))</f>
        <v>25000</v>
      </c>
      <c r="J2696" s="50" t="n">
        <f aca="false">H2696*INDEX('Model Inputs &amp; Assumptions'!$D$40:$D$42,MATCH('Model Inputs &amp; Assumptions'!$L$33,'Model Inputs &amp; Assumptions'!$A$40:$A$42,0))*INDEX('Model Inputs &amp; Assumptions'!$H$40:$H$42,MATCH('Model Inputs &amp; Assumptions'!$L$33,'Model Inputs &amp; Assumptions'!$A$40:$A$42,0))</f>
        <v>743407.976117376</v>
      </c>
      <c r="K2696" s="49" t="n">
        <f aca="false">H2696*INDEX('Model Inputs &amp; Assumptions'!$G$40:$G$42,MATCH('Model Inputs &amp; Assumptions'!$L$33,'Model Inputs &amp; Assumptions'!$A$40:$A$42,0))*INDEX('Model Inputs &amp; Assumptions'!$H$40:$H$42,MATCH('Model Inputs &amp; Assumptions'!$L$33,'Model Inputs &amp; Assumptions'!$A$40:$A$42,0))</f>
        <v>15611.5674984649</v>
      </c>
      <c r="L2696" s="51" t="n">
        <f aca="false">IFERROR(K2696/I2696,0)</f>
        <v>0.624462699938596</v>
      </c>
      <c r="M2696" s="49" t="n">
        <f aca="false">IFERROR(I2696/H2696,0)</f>
        <v>181.596114565611</v>
      </c>
      <c r="N2696" s="52" t="str">
        <f aca="false">'Model Inputs &amp; Assumptions'!$L$33</f>
        <v>PRD-SP01</v>
      </c>
      <c r="P2696" s="53" t="n">
        <v>-0.052503</v>
      </c>
      <c r="Q2696" s="53" t="n">
        <v>0.002313</v>
      </c>
      <c r="R2696" s="53" t="n">
        <v>0.035879</v>
      </c>
      <c r="S2696" s="53" t="n">
        <v>-1.368842</v>
      </c>
    </row>
    <row r="2697" customFormat="false" ht="15" hidden="false" customHeight="false" outlineLevel="0" collapsed="false">
      <c r="A2697" s="43" t="n">
        <v>194</v>
      </c>
      <c r="B2697" s="44" t="str">
        <f aca="false">'Model Inputs &amp; Assumptions'!$B$33</f>
        <v>Trade Republic — Savings Plan Push</v>
      </c>
      <c r="C2697" s="45" t="n">
        <f aca="false">ROUND(MAX(0,'Model Inputs &amp; Assumptions'!$S$33*EXP('Model Inputs &amp; Assumptions'!$T$33*P2697-'Model Inputs &amp; Assumptions'!$T$33^2/2)),0)</f>
        <v>1157910</v>
      </c>
      <c r="D2697" s="46" t="n">
        <f aca="false">MIN(1,'Model Inputs &amp; Assumptions'!$U$33*EXP('Model Inputs &amp; Assumptions'!$V$33*Q2697-'Model Inputs &amp; Assumptions'!$V$33^2/2))</f>
        <v>0</v>
      </c>
      <c r="E2697" s="45" t="n">
        <f aca="false">ROUND(C2697*D2697,0)</f>
        <v>0</v>
      </c>
      <c r="F2697" s="47" t="n">
        <f aca="false">MIN(1,'Model Inputs &amp; Assumptions'!$W$33*EXP('Model Inputs &amp; Assumptions'!$X$33*R2697-'Model Inputs &amp; Assumptions'!$X$33^2/2))</f>
        <v>0.00471944575774138</v>
      </c>
      <c r="G2697" s="45" t="n">
        <f aca="false">ROUND(C2697*F2697,0)</f>
        <v>5465</v>
      </c>
      <c r="H2697" s="48" t="n">
        <f aca="false">MAX(0,(C2697*'Model Inputs &amp; Assumptions'!$N$33+E2697*'Model Inputs &amp; Assumptions'!$O$33+G2697*'Model Inputs &amp; Assumptions'!$P$33)*EXP('Model Inputs &amp; Assumptions'!$Q$33*S2697-'Model Inputs &amp; Assumptions'!$Q$33^2/2))</f>
        <v>353.829920409959</v>
      </c>
      <c r="I2697" s="49" t="n">
        <f aca="false">IF('Model Inputs &amp; Assumptions'!$H$33="Fixed",'Model Inputs &amp; Assumptions'!$I$33*'Model Inputs &amp; Assumptions'!$K$33,IF('Model Inputs &amp; Assumptions'!$H$33="CPM",'Model Inputs &amp; Assumptions'!$I$33*'Model Inputs &amp; Assumptions'!$K$33*C2697/1000,IF('Model Inputs &amp; Assumptions'!$H$33="CPC",'Model Inputs &amp; Assumptions'!$I$33*'Model Inputs &amp; Assumptions'!$K$33*G2697,0)))</f>
        <v>25000</v>
      </c>
      <c r="J2697" s="50" t="n">
        <f aca="false">H2697*INDEX('Model Inputs &amp; Assumptions'!$D$40:$D$42,MATCH('Model Inputs &amp; Assumptions'!$L$33,'Model Inputs &amp; Assumptions'!$A$40:$A$42,0))*INDEX('Model Inputs &amp; Assumptions'!$H$40:$H$42,MATCH('Model Inputs &amp; Assumptions'!$L$33,'Model Inputs &amp; Assumptions'!$A$40:$A$42,0))</f>
        <v>1910681.57021378</v>
      </c>
      <c r="K2697" s="49" t="n">
        <f aca="false">H2697*INDEX('Model Inputs &amp; Assumptions'!$G$40:$G$42,MATCH('Model Inputs &amp; Assumptions'!$L$33,'Model Inputs &amp; Assumptions'!$A$40:$A$42,0))*INDEX('Model Inputs &amp; Assumptions'!$H$40:$H$42,MATCH('Model Inputs &amp; Assumptions'!$L$33,'Model Inputs &amp; Assumptions'!$A$40:$A$42,0))</f>
        <v>40124.3129744893</v>
      </c>
      <c r="L2697" s="51" t="n">
        <f aca="false">IFERROR(K2697/I2697,0)</f>
        <v>1.60497251897957</v>
      </c>
      <c r="M2697" s="49" t="n">
        <f aca="false">IFERROR(I2697/H2697,0)</f>
        <v>70.6554153787622</v>
      </c>
      <c r="N2697" s="52" t="str">
        <f aca="false">'Model Inputs &amp; Assumptions'!$L$33</f>
        <v>PRD-SP01</v>
      </c>
      <c r="P2697" s="53" t="n">
        <v>0.030985</v>
      </c>
      <c r="Q2697" s="53" t="n">
        <v>1.17498</v>
      </c>
      <c r="R2697" s="53" t="n">
        <v>1.146428</v>
      </c>
      <c r="S2697" s="53" t="n">
        <v>0.722568</v>
      </c>
    </row>
    <row r="2698" customFormat="false" ht="15" hidden="false" customHeight="false" outlineLevel="0" collapsed="false">
      <c r="A2698" s="43" t="n">
        <v>195</v>
      </c>
      <c r="B2698" s="44" t="str">
        <f aca="false">'Model Inputs &amp; Assumptions'!$B$33</f>
        <v>Trade Republic — Savings Plan Push</v>
      </c>
      <c r="C2698" s="45" t="n">
        <f aca="false">ROUND(MAX(0,'Model Inputs &amp; Assumptions'!$S$33*EXP('Model Inputs &amp; Assumptions'!$T$33*P2698-'Model Inputs &amp; Assumptions'!$T$33^2/2)),0)</f>
        <v>1691323</v>
      </c>
      <c r="D2698" s="46" t="n">
        <f aca="false">MIN(1,'Model Inputs &amp; Assumptions'!$U$33*EXP('Model Inputs &amp; Assumptions'!$V$33*Q2698-'Model Inputs &amp; Assumptions'!$V$33^2/2))</f>
        <v>0</v>
      </c>
      <c r="E2698" s="45" t="n">
        <f aca="false">ROUND(C2698*D2698,0)</f>
        <v>0</v>
      </c>
      <c r="F2698" s="47" t="n">
        <f aca="false">MIN(1,'Model Inputs &amp; Assumptions'!$W$33*EXP('Model Inputs &amp; Assumptions'!$X$33*R2698-'Model Inputs &amp; Assumptions'!$X$33^2/2))</f>
        <v>0.00298551860417273</v>
      </c>
      <c r="G2698" s="45" t="n">
        <f aca="false">ROUND(C2698*F2698,0)</f>
        <v>5049</v>
      </c>
      <c r="H2698" s="48" t="n">
        <f aca="false">MAX(0,(C2698*'Model Inputs &amp; Assumptions'!$N$33+E2698*'Model Inputs &amp; Assumptions'!$O$33+G2698*'Model Inputs &amp; Assumptions'!$P$33)*EXP('Model Inputs &amp; Assumptions'!$Q$33*S2698-'Model Inputs &amp; Assumptions'!$Q$33^2/2))</f>
        <v>188.19244240824</v>
      </c>
      <c r="I2698" s="49" t="n">
        <f aca="false">IF('Model Inputs &amp; Assumptions'!$H$33="Fixed",'Model Inputs &amp; Assumptions'!$I$33*'Model Inputs &amp; Assumptions'!$K$33,IF('Model Inputs &amp; Assumptions'!$H$33="CPM",'Model Inputs &amp; Assumptions'!$I$33*'Model Inputs &amp; Assumptions'!$K$33*C2698/1000,IF('Model Inputs &amp; Assumptions'!$H$33="CPC",'Model Inputs &amp; Assumptions'!$I$33*'Model Inputs &amp; Assumptions'!$K$33*G2698,0)))</f>
        <v>25000</v>
      </c>
      <c r="J2698" s="50" t="n">
        <f aca="false">H2698*INDEX('Model Inputs &amp; Assumptions'!$D$40:$D$42,MATCH('Model Inputs &amp; Assumptions'!$L$33,'Model Inputs &amp; Assumptions'!$A$40:$A$42,0))*INDEX('Model Inputs &amp; Assumptions'!$H$40:$H$42,MATCH('Model Inputs &amp; Assumptions'!$L$33,'Model Inputs &amp; Assumptions'!$A$40:$A$42,0))</f>
        <v>1016239.1890045</v>
      </c>
      <c r="K2698" s="49" t="n">
        <f aca="false">H2698*INDEX('Model Inputs &amp; Assumptions'!$G$40:$G$42,MATCH('Model Inputs &amp; Assumptions'!$L$33,'Model Inputs &amp; Assumptions'!$A$40:$A$42,0))*INDEX('Model Inputs &amp; Assumptions'!$H$40:$H$42,MATCH('Model Inputs &amp; Assumptions'!$L$33,'Model Inputs &amp; Assumptions'!$A$40:$A$42,0))</f>
        <v>21341.0229690944</v>
      </c>
      <c r="L2698" s="51" t="n">
        <f aca="false">IFERROR(K2698/I2698,0)</f>
        <v>0.853640918763777</v>
      </c>
      <c r="M2698" s="49" t="n">
        <f aca="false">IFERROR(I2698/H2698,0)</f>
        <v>132.842741611102</v>
      </c>
      <c r="N2698" s="52" t="str">
        <f aca="false">'Model Inputs &amp; Assumptions'!$L$33</f>
        <v>PRD-SP01</v>
      </c>
      <c r="P2698" s="53" t="n">
        <v>1.293966</v>
      </c>
      <c r="Q2698" s="53" t="n">
        <v>-0.399719</v>
      </c>
      <c r="R2698" s="53" t="n">
        <v>-0.379965</v>
      </c>
      <c r="S2698" s="53" t="n">
        <v>-1.249494</v>
      </c>
    </row>
    <row r="2699" customFormat="false" ht="15" hidden="false" customHeight="false" outlineLevel="0" collapsed="false">
      <c r="A2699" s="43" t="n">
        <v>196</v>
      </c>
      <c r="B2699" s="44" t="str">
        <f aca="false">'Model Inputs &amp; Assumptions'!$B$33</f>
        <v>Trade Republic — Savings Plan Push</v>
      </c>
      <c r="C2699" s="45" t="n">
        <f aca="false">ROUND(MAX(0,'Model Inputs &amp; Assumptions'!$S$33*EXP('Model Inputs &amp; Assumptions'!$T$33*P2699-'Model Inputs &amp; Assumptions'!$T$33^2/2)),0)</f>
        <v>1411800</v>
      </c>
      <c r="D2699" s="46" t="n">
        <f aca="false">MIN(1,'Model Inputs &amp; Assumptions'!$U$33*EXP('Model Inputs &amp; Assumptions'!$V$33*Q2699-'Model Inputs &amp; Assumptions'!$V$33^2/2))</f>
        <v>0</v>
      </c>
      <c r="E2699" s="45" t="n">
        <f aca="false">ROUND(C2699*D2699,0)</f>
        <v>0</v>
      </c>
      <c r="F2699" s="47" t="n">
        <f aca="false">MIN(1,'Model Inputs &amp; Assumptions'!$W$33*EXP('Model Inputs &amp; Assumptions'!$X$33*R2699-'Model Inputs &amp; Assumptions'!$X$33^2/2))</f>
        <v>0.0042641355190316</v>
      </c>
      <c r="G2699" s="45" t="n">
        <f aca="false">ROUND(C2699*F2699,0)</f>
        <v>6020</v>
      </c>
      <c r="H2699" s="48" t="n">
        <f aca="false">MAX(0,(C2699*'Model Inputs &amp; Assumptions'!$N$33+E2699*'Model Inputs &amp; Assumptions'!$O$33+G2699*'Model Inputs &amp; Assumptions'!$P$33)*EXP('Model Inputs &amp; Assumptions'!$Q$33*S2699-'Model Inputs &amp; Assumptions'!$Q$33^2/2))</f>
        <v>350.811332445596</v>
      </c>
      <c r="I2699" s="49" t="n">
        <f aca="false">IF('Model Inputs &amp; Assumptions'!$H$33="Fixed",'Model Inputs &amp; Assumptions'!$I$33*'Model Inputs &amp; Assumptions'!$K$33,IF('Model Inputs &amp; Assumptions'!$H$33="CPM",'Model Inputs &amp; Assumptions'!$I$33*'Model Inputs &amp; Assumptions'!$K$33*C2699/1000,IF('Model Inputs &amp; Assumptions'!$H$33="CPC",'Model Inputs &amp; Assumptions'!$I$33*'Model Inputs &amp; Assumptions'!$K$33*G2699,0)))</f>
        <v>25000</v>
      </c>
      <c r="J2699" s="50" t="n">
        <f aca="false">H2699*INDEX('Model Inputs &amp; Assumptions'!$D$40:$D$42,MATCH('Model Inputs &amp; Assumptions'!$L$33,'Model Inputs &amp; Assumptions'!$A$40:$A$42,0))*INDEX('Model Inputs &amp; Assumptions'!$H$40:$H$42,MATCH('Model Inputs &amp; Assumptions'!$L$33,'Model Inputs &amp; Assumptions'!$A$40:$A$42,0))</f>
        <v>1894381.19520622</v>
      </c>
      <c r="K2699" s="49" t="n">
        <f aca="false">H2699*INDEX('Model Inputs &amp; Assumptions'!$G$40:$G$42,MATCH('Model Inputs &amp; Assumptions'!$L$33,'Model Inputs &amp; Assumptions'!$A$40:$A$42,0))*INDEX('Model Inputs &amp; Assumptions'!$H$40:$H$42,MATCH('Model Inputs &amp; Assumptions'!$L$33,'Model Inputs &amp; Assumptions'!$A$40:$A$42,0))</f>
        <v>39782.0050993305</v>
      </c>
      <c r="L2699" s="51" t="n">
        <f aca="false">IFERROR(K2699/I2699,0)</f>
        <v>1.59128020397322</v>
      </c>
      <c r="M2699" s="49" t="n">
        <f aca="false">IFERROR(I2699/H2699,0)</f>
        <v>71.2633763160346</v>
      </c>
      <c r="N2699" s="52" t="str">
        <f aca="false">'Model Inputs &amp; Assumptions'!$L$33</f>
        <v>PRD-SP01</v>
      </c>
      <c r="P2699" s="53" t="n">
        <v>0.691813</v>
      </c>
      <c r="Q2699" s="53" t="n">
        <v>0.76026</v>
      </c>
      <c r="R2699" s="53" t="n">
        <v>0.808255</v>
      </c>
      <c r="S2699" s="53" t="n">
        <v>0.346529</v>
      </c>
    </row>
    <row r="2700" customFormat="false" ht="15" hidden="false" customHeight="false" outlineLevel="0" collapsed="false">
      <c r="A2700" s="43" t="n">
        <v>197</v>
      </c>
      <c r="B2700" s="44" t="str">
        <f aca="false">'Model Inputs &amp; Assumptions'!$B$33</f>
        <v>Trade Republic — Savings Plan Push</v>
      </c>
      <c r="C2700" s="45" t="n">
        <f aca="false">ROUND(MAX(0,'Model Inputs &amp; Assumptions'!$S$33*EXP('Model Inputs &amp; Assumptions'!$T$33*P2700-'Model Inputs &amp; Assumptions'!$T$33^2/2)),0)</f>
        <v>550756</v>
      </c>
      <c r="D2700" s="46" t="n">
        <f aca="false">MIN(1,'Model Inputs &amp; Assumptions'!$U$33*EXP('Model Inputs &amp; Assumptions'!$V$33*Q2700-'Model Inputs &amp; Assumptions'!$V$33^2/2))</f>
        <v>0</v>
      </c>
      <c r="E2700" s="45" t="n">
        <f aca="false">ROUND(C2700*D2700,0)</f>
        <v>0</v>
      </c>
      <c r="F2700" s="47" t="n">
        <f aca="false">MIN(1,'Model Inputs &amp; Assumptions'!$W$33*EXP('Model Inputs &amp; Assumptions'!$X$33*R2700-'Model Inputs &amp; Assumptions'!$X$33^2/2))</f>
        <v>0.00458106712859112</v>
      </c>
      <c r="G2700" s="45" t="n">
        <f aca="false">ROUND(C2700*F2700,0)</f>
        <v>2523</v>
      </c>
      <c r="H2700" s="48" t="n">
        <f aca="false">MAX(0,(C2700*'Model Inputs &amp; Assumptions'!$N$33+E2700*'Model Inputs &amp; Assumptions'!$O$33+G2700*'Model Inputs &amp; Assumptions'!$P$33)*EXP('Model Inputs &amp; Assumptions'!$Q$33*S2700-'Model Inputs &amp; Assumptions'!$Q$33^2/2))</f>
        <v>97.1407516696824</v>
      </c>
      <c r="I2700" s="49" t="n">
        <f aca="false">IF('Model Inputs &amp; Assumptions'!$H$33="Fixed",'Model Inputs &amp; Assumptions'!$I$33*'Model Inputs &amp; Assumptions'!$K$33,IF('Model Inputs &amp; Assumptions'!$H$33="CPM",'Model Inputs &amp; Assumptions'!$I$33*'Model Inputs &amp; Assumptions'!$K$33*C2700/1000,IF('Model Inputs &amp; Assumptions'!$H$33="CPC",'Model Inputs &amp; Assumptions'!$I$33*'Model Inputs &amp; Assumptions'!$K$33*G2700,0)))</f>
        <v>25000</v>
      </c>
      <c r="J2700" s="50" t="n">
        <f aca="false">H2700*INDEX('Model Inputs &amp; Assumptions'!$D$40:$D$42,MATCH('Model Inputs &amp; Assumptions'!$L$33,'Model Inputs &amp; Assumptions'!$A$40:$A$42,0))*INDEX('Model Inputs &amp; Assumptions'!$H$40:$H$42,MATCH('Model Inputs &amp; Assumptions'!$L$33,'Model Inputs &amp; Assumptions'!$A$40:$A$42,0))</f>
        <v>524560.059016285</v>
      </c>
      <c r="K2700" s="49" t="n">
        <f aca="false">H2700*INDEX('Model Inputs &amp; Assumptions'!$G$40:$G$42,MATCH('Model Inputs &amp; Assumptions'!$L$33,'Model Inputs &amp; Assumptions'!$A$40:$A$42,0))*INDEX('Model Inputs &amp; Assumptions'!$H$40:$H$42,MATCH('Model Inputs &amp; Assumptions'!$L$33,'Model Inputs &amp; Assumptions'!$A$40:$A$42,0))</f>
        <v>11015.761239342</v>
      </c>
      <c r="L2700" s="51" t="n">
        <f aca="false">IFERROR(K2700/I2700,0)</f>
        <v>0.44063044957368</v>
      </c>
      <c r="M2700" s="49" t="n">
        <f aca="false">IFERROR(I2700/H2700,0)</f>
        <v>257.358519162072</v>
      </c>
      <c r="N2700" s="52" t="str">
        <f aca="false">'Model Inputs &amp; Assumptions'!$L$33</f>
        <v>PRD-SP01</v>
      </c>
      <c r="P2700" s="53" t="n">
        <v>-2.445947</v>
      </c>
      <c r="Q2700" s="53" t="n">
        <v>-0.930648</v>
      </c>
      <c r="R2700" s="53" t="n">
        <v>1.04723</v>
      </c>
      <c r="S2700" s="53" t="n">
        <v>-1.133646</v>
      </c>
    </row>
    <row r="2701" customFormat="false" ht="15" hidden="false" customHeight="false" outlineLevel="0" collapsed="false">
      <c r="A2701" s="43" t="n">
        <v>198</v>
      </c>
      <c r="B2701" s="44" t="str">
        <f aca="false">'Model Inputs &amp; Assumptions'!$B$33</f>
        <v>Trade Republic — Savings Plan Push</v>
      </c>
      <c r="C2701" s="45" t="n">
        <f aca="false">ROUND(MAX(0,'Model Inputs &amp; Assumptions'!$S$33*EXP('Model Inputs &amp; Assumptions'!$T$33*P2701-'Model Inputs &amp; Assumptions'!$T$33^2/2)),0)</f>
        <v>1020792</v>
      </c>
      <c r="D2701" s="46" t="n">
        <f aca="false">MIN(1,'Model Inputs &amp; Assumptions'!$U$33*EXP('Model Inputs &amp; Assumptions'!$V$33*Q2701-'Model Inputs &amp; Assumptions'!$V$33^2/2))</f>
        <v>0</v>
      </c>
      <c r="E2701" s="45" t="n">
        <f aca="false">ROUND(C2701*D2701,0)</f>
        <v>0</v>
      </c>
      <c r="F2701" s="47" t="n">
        <f aca="false">MIN(1,'Model Inputs &amp; Assumptions'!$W$33*EXP('Model Inputs &amp; Assumptions'!$X$33*R2701-'Model Inputs &amp; Assumptions'!$X$33^2/2))</f>
        <v>0.00383465806239292</v>
      </c>
      <c r="G2701" s="45" t="n">
        <f aca="false">ROUND(C2701*F2701,0)</f>
        <v>3914</v>
      </c>
      <c r="H2701" s="48" t="n">
        <f aca="false">MAX(0,(C2701*'Model Inputs &amp; Assumptions'!$N$33+E2701*'Model Inputs &amp; Assumptions'!$O$33+G2701*'Model Inputs &amp; Assumptions'!$P$33)*EXP('Model Inputs &amp; Assumptions'!$Q$33*S2701-'Model Inputs &amp; Assumptions'!$Q$33^2/2))</f>
        <v>203.273624262315</v>
      </c>
      <c r="I2701" s="49" t="n">
        <f aca="false">IF('Model Inputs &amp; Assumptions'!$H$33="Fixed",'Model Inputs &amp; Assumptions'!$I$33*'Model Inputs &amp; Assumptions'!$K$33,IF('Model Inputs &amp; Assumptions'!$H$33="CPM",'Model Inputs &amp; Assumptions'!$I$33*'Model Inputs &amp; Assumptions'!$K$33*C2701/1000,IF('Model Inputs &amp; Assumptions'!$H$33="CPC",'Model Inputs &amp; Assumptions'!$I$33*'Model Inputs &amp; Assumptions'!$K$33*G2701,0)))</f>
        <v>25000</v>
      </c>
      <c r="J2701" s="50" t="n">
        <f aca="false">H2701*INDEX('Model Inputs &amp; Assumptions'!$D$40:$D$42,MATCH('Model Inputs &amp; Assumptions'!$L$33,'Model Inputs &amp; Assumptions'!$A$40:$A$42,0))*INDEX('Model Inputs &amp; Assumptions'!$H$40:$H$42,MATCH('Model Inputs &amp; Assumptions'!$L$33,'Model Inputs &amp; Assumptions'!$A$40:$A$42,0))</f>
        <v>1097677.5710165</v>
      </c>
      <c r="K2701" s="49" t="n">
        <f aca="false">H2701*INDEX('Model Inputs &amp; Assumptions'!$G$40:$G$42,MATCH('Model Inputs &amp; Assumptions'!$L$33,'Model Inputs &amp; Assumptions'!$A$40:$A$42,0))*INDEX('Model Inputs &amp; Assumptions'!$H$40:$H$42,MATCH('Model Inputs &amp; Assumptions'!$L$33,'Model Inputs &amp; Assumptions'!$A$40:$A$42,0))</f>
        <v>23051.2289913465</v>
      </c>
      <c r="L2701" s="51" t="n">
        <f aca="false">IFERROR(K2701/I2701,0)</f>
        <v>0.922049159653859</v>
      </c>
      <c r="M2701" s="49" t="n">
        <f aca="false">IFERROR(I2701/H2701,0)</f>
        <v>122.986934929338</v>
      </c>
      <c r="N2701" s="52" t="str">
        <f aca="false">'Model Inputs &amp; Assumptions'!$L$33</f>
        <v>PRD-SP01</v>
      </c>
      <c r="P2701" s="53" t="n">
        <v>-0.389144</v>
      </c>
      <c r="Q2701" s="53" t="n">
        <v>-0.510857</v>
      </c>
      <c r="R2701" s="53" t="n">
        <v>0.454391</v>
      </c>
      <c r="S2701" s="53" t="n">
        <v>-0.064786</v>
      </c>
    </row>
    <row r="2702" customFormat="false" ht="15" hidden="false" customHeight="false" outlineLevel="0" collapsed="false">
      <c r="A2702" s="43" t="n">
        <v>199</v>
      </c>
      <c r="B2702" s="44" t="str">
        <f aca="false">'Model Inputs &amp; Assumptions'!$B$33</f>
        <v>Trade Republic — Savings Plan Push</v>
      </c>
      <c r="C2702" s="45" t="n">
        <f aca="false">ROUND(MAX(0,'Model Inputs &amp; Assumptions'!$S$33*EXP('Model Inputs &amp; Assumptions'!$T$33*P2702-'Model Inputs &amp; Assumptions'!$T$33^2/2)),0)</f>
        <v>876564</v>
      </c>
      <c r="D2702" s="46" t="n">
        <f aca="false">MIN(1,'Model Inputs &amp; Assumptions'!$U$33*EXP('Model Inputs &amp; Assumptions'!$V$33*Q2702-'Model Inputs &amp; Assumptions'!$V$33^2/2))</f>
        <v>0</v>
      </c>
      <c r="E2702" s="45" t="n">
        <f aca="false">ROUND(C2702*D2702,0)</f>
        <v>0</v>
      </c>
      <c r="F2702" s="47" t="n">
        <f aca="false">MIN(1,'Model Inputs &amp; Assumptions'!$W$33*EXP('Model Inputs &amp; Assumptions'!$X$33*R2702-'Model Inputs &amp; Assumptions'!$X$33^2/2))</f>
        <v>0.00871398467034571</v>
      </c>
      <c r="G2702" s="45" t="n">
        <f aca="false">ROUND(C2702*F2702,0)</f>
        <v>7638</v>
      </c>
      <c r="H2702" s="48" t="n">
        <f aca="false">MAX(0,(C2702*'Model Inputs &amp; Assumptions'!$N$33+E2702*'Model Inputs &amp; Assumptions'!$O$33+G2702*'Model Inputs &amp; Assumptions'!$P$33)*EXP('Model Inputs &amp; Assumptions'!$Q$33*S2702-'Model Inputs &amp; Assumptions'!$Q$33^2/2))</f>
        <v>473.089436456657</v>
      </c>
      <c r="I2702" s="49" t="n">
        <f aca="false">IF('Model Inputs &amp; Assumptions'!$H$33="Fixed",'Model Inputs &amp; Assumptions'!$I$33*'Model Inputs &amp; Assumptions'!$K$33,IF('Model Inputs &amp; Assumptions'!$H$33="CPM",'Model Inputs &amp; Assumptions'!$I$33*'Model Inputs &amp; Assumptions'!$K$33*C2702/1000,IF('Model Inputs &amp; Assumptions'!$H$33="CPC",'Model Inputs &amp; Assumptions'!$I$33*'Model Inputs &amp; Assumptions'!$K$33*G2702,0)))</f>
        <v>25000</v>
      </c>
      <c r="J2702" s="50" t="n">
        <f aca="false">H2702*INDEX('Model Inputs &amp; Assumptions'!$D$40:$D$42,MATCH('Model Inputs &amp; Assumptions'!$L$33,'Model Inputs &amp; Assumptions'!$A$40:$A$42,0))*INDEX('Model Inputs &amp; Assumptions'!$H$40:$H$42,MATCH('Model Inputs &amp; Assumptions'!$L$33,'Model Inputs &amp; Assumptions'!$A$40:$A$42,0))</f>
        <v>2554682.95686595</v>
      </c>
      <c r="K2702" s="49" t="n">
        <f aca="false">H2702*INDEX('Model Inputs &amp; Assumptions'!$G$40:$G$42,MATCH('Model Inputs &amp; Assumptions'!$L$33,'Model Inputs &amp; Assumptions'!$A$40:$A$42,0))*INDEX('Model Inputs &amp; Assumptions'!$H$40:$H$42,MATCH('Model Inputs &amp; Assumptions'!$L$33,'Model Inputs &amp; Assumptions'!$A$40:$A$42,0))</f>
        <v>53648.3420941849</v>
      </c>
      <c r="L2702" s="51" t="n">
        <f aca="false">IFERROR(K2702/I2702,0)</f>
        <v>2.14593368376739</v>
      </c>
      <c r="M2702" s="49" t="n">
        <f aca="false">IFERROR(I2702/H2702,0)</f>
        <v>52.8441306727221</v>
      </c>
      <c r="N2702" s="52" t="str">
        <f aca="false">'Model Inputs &amp; Assumptions'!$L$33</f>
        <v>PRD-SP01</v>
      </c>
      <c r="P2702" s="53" t="n">
        <v>-0.896891</v>
      </c>
      <c r="Q2702" s="53" t="n">
        <v>-0.361212</v>
      </c>
      <c r="R2702" s="53" t="n">
        <v>3.190554</v>
      </c>
      <c r="S2702" s="53" t="n">
        <v>0.564341</v>
      </c>
    </row>
    <row r="2703" customFormat="false" ht="15" hidden="false" customHeight="false" outlineLevel="0" collapsed="false">
      <c r="A2703" s="43" t="n">
        <v>200</v>
      </c>
      <c r="B2703" s="44" t="str">
        <f aca="false">'Model Inputs &amp; Assumptions'!$B$33</f>
        <v>Trade Republic — Savings Plan Push</v>
      </c>
      <c r="C2703" s="45" t="n">
        <f aca="false">ROUND(MAX(0,'Model Inputs &amp; Assumptions'!$S$33*EXP('Model Inputs &amp; Assumptions'!$T$33*P2703-'Model Inputs &amp; Assumptions'!$T$33^2/2)),0)</f>
        <v>1460947</v>
      </c>
      <c r="D2703" s="46" t="n">
        <f aca="false">MIN(1,'Model Inputs &amp; Assumptions'!$U$33*EXP('Model Inputs &amp; Assumptions'!$V$33*Q2703-'Model Inputs &amp; Assumptions'!$V$33^2/2))</f>
        <v>0</v>
      </c>
      <c r="E2703" s="45" t="n">
        <f aca="false">ROUND(C2703*D2703,0)</f>
        <v>0</v>
      </c>
      <c r="F2703" s="47" t="n">
        <f aca="false">MIN(1,'Model Inputs &amp; Assumptions'!$W$33*EXP('Model Inputs &amp; Assumptions'!$X$33*R2703-'Model Inputs &amp; Assumptions'!$X$33^2/2))</f>
        <v>0.0026108610430881</v>
      </c>
      <c r="G2703" s="45" t="n">
        <f aca="false">ROUND(C2703*F2703,0)</f>
        <v>3814</v>
      </c>
      <c r="H2703" s="48" t="n">
        <f aca="false">MAX(0,(C2703*'Model Inputs &amp; Assumptions'!$N$33+E2703*'Model Inputs &amp; Assumptions'!$O$33+G2703*'Model Inputs &amp; Assumptions'!$P$33)*EXP('Model Inputs &amp; Assumptions'!$Q$33*S2703-'Model Inputs &amp; Assumptions'!$Q$33^2/2))</f>
        <v>188.924701782862</v>
      </c>
      <c r="I2703" s="49" t="n">
        <f aca="false">IF('Model Inputs &amp; Assumptions'!$H$33="Fixed",'Model Inputs &amp; Assumptions'!$I$33*'Model Inputs &amp; Assumptions'!$K$33,IF('Model Inputs &amp; Assumptions'!$H$33="CPM",'Model Inputs &amp; Assumptions'!$I$33*'Model Inputs &amp; Assumptions'!$K$33*C2703/1000,IF('Model Inputs &amp; Assumptions'!$H$33="CPC",'Model Inputs &amp; Assumptions'!$I$33*'Model Inputs &amp; Assumptions'!$K$33*G2703,0)))</f>
        <v>25000</v>
      </c>
      <c r="J2703" s="50" t="n">
        <f aca="false">H2703*INDEX('Model Inputs &amp; Assumptions'!$D$40:$D$42,MATCH('Model Inputs &amp; Assumptions'!$L$33,'Model Inputs &amp; Assumptions'!$A$40:$A$42,0))*INDEX('Model Inputs &amp; Assumptions'!$H$40:$H$42,MATCH('Model Inputs &amp; Assumptions'!$L$33,'Model Inputs &amp; Assumptions'!$A$40:$A$42,0))</f>
        <v>1020193.38962746</v>
      </c>
      <c r="K2703" s="49" t="n">
        <f aca="false">H2703*INDEX('Model Inputs &amp; Assumptions'!$G$40:$G$42,MATCH('Model Inputs &amp; Assumptions'!$L$33,'Model Inputs &amp; Assumptions'!$A$40:$A$42,0))*INDEX('Model Inputs &amp; Assumptions'!$H$40:$H$42,MATCH('Model Inputs &amp; Assumptions'!$L$33,'Model Inputs &amp; Assumptions'!$A$40:$A$42,0))</f>
        <v>21424.0611821766</v>
      </c>
      <c r="L2703" s="51" t="n">
        <f aca="false">IFERROR(K2703/I2703,0)</f>
        <v>0.856962447287064</v>
      </c>
      <c r="M2703" s="49" t="n">
        <f aca="false">IFERROR(I2703/H2703,0)</f>
        <v>132.327852123506</v>
      </c>
      <c r="N2703" s="52" t="str">
        <f aca="false">'Model Inputs &amp; Assumptions'!$L$33</f>
        <v>PRD-SP01</v>
      </c>
      <c r="P2703" s="53" t="n">
        <v>0.805878</v>
      </c>
      <c r="Q2703" s="53" t="n">
        <v>0.21381</v>
      </c>
      <c r="R2703" s="53" t="n">
        <v>-0.826943</v>
      </c>
      <c r="S2703" s="53" t="n">
        <v>-0.233797</v>
      </c>
    </row>
    <row r="2704" customFormat="false" ht="15" hidden="false" customHeight="false" outlineLevel="0" collapsed="false">
      <c r="A2704" s="43" t="n">
        <v>201</v>
      </c>
      <c r="B2704" s="44" t="str">
        <f aca="false">'Model Inputs &amp; Assumptions'!$B$33</f>
        <v>Trade Republic — Savings Plan Push</v>
      </c>
      <c r="C2704" s="45" t="n">
        <f aca="false">ROUND(MAX(0,'Model Inputs &amp; Assumptions'!$S$33*EXP('Model Inputs &amp; Assumptions'!$T$33*P2704-'Model Inputs &amp; Assumptions'!$T$33^2/2)),0)</f>
        <v>1484381</v>
      </c>
      <c r="D2704" s="46" t="n">
        <f aca="false">MIN(1,'Model Inputs &amp; Assumptions'!$U$33*EXP('Model Inputs &amp; Assumptions'!$V$33*Q2704-'Model Inputs &amp; Assumptions'!$V$33^2/2))</f>
        <v>0</v>
      </c>
      <c r="E2704" s="45" t="n">
        <f aca="false">ROUND(C2704*D2704,0)</f>
        <v>0</v>
      </c>
      <c r="F2704" s="47" t="n">
        <f aca="false">MIN(1,'Model Inputs &amp; Assumptions'!$W$33*EXP('Model Inputs &amp; Assumptions'!$X$33*R2704-'Model Inputs &amp; Assumptions'!$X$33^2/2))</f>
        <v>0.00384652317361107</v>
      </c>
      <c r="G2704" s="45" t="n">
        <f aca="false">ROUND(C2704*F2704,0)</f>
        <v>5710</v>
      </c>
      <c r="H2704" s="48" t="n">
        <f aca="false">MAX(0,(C2704*'Model Inputs &amp; Assumptions'!$N$33+E2704*'Model Inputs &amp; Assumptions'!$O$33+G2704*'Model Inputs &amp; Assumptions'!$P$33)*EXP('Model Inputs &amp; Assumptions'!$Q$33*S2704-'Model Inputs &amp; Assumptions'!$Q$33^2/2))</f>
        <v>270.897339723413</v>
      </c>
      <c r="I2704" s="49" t="n">
        <f aca="false">IF('Model Inputs &amp; Assumptions'!$H$33="Fixed",'Model Inputs &amp; Assumptions'!$I$33*'Model Inputs &amp; Assumptions'!$K$33,IF('Model Inputs &amp; Assumptions'!$H$33="CPM",'Model Inputs &amp; Assumptions'!$I$33*'Model Inputs &amp; Assumptions'!$K$33*C2704/1000,IF('Model Inputs &amp; Assumptions'!$H$33="CPC",'Model Inputs &amp; Assumptions'!$I$33*'Model Inputs &amp; Assumptions'!$K$33*G2704,0)))</f>
        <v>25000</v>
      </c>
      <c r="J2704" s="50" t="n">
        <f aca="false">H2704*INDEX('Model Inputs &amp; Assumptions'!$D$40:$D$42,MATCH('Model Inputs &amp; Assumptions'!$L$33,'Model Inputs &amp; Assumptions'!$A$40:$A$42,0))*INDEX('Model Inputs &amp; Assumptions'!$H$40:$H$42,MATCH('Model Inputs &amp; Assumptions'!$L$33,'Model Inputs &amp; Assumptions'!$A$40:$A$42,0))</f>
        <v>1462845.63450643</v>
      </c>
      <c r="K2704" s="49" t="n">
        <f aca="false">H2704*INDEX('Model Inputs &amp; Assumptions'!$G$40:$G$42,MATCH('Model Inputs &amp; Assumptions'!$L$33,'Model Inputs &amp; Assumptions'!$A$40:$A$42,0))*INDEX('Model Inputs &amp; Assumptions'!$H$40:$H$42,MATCH('Model Inputs &amp; Assumptions'!$L$33,'Model Inputs &amp; Assumptions'!$A$40:$A$42,0))</f>
        <v>30719.758324635</v>
      </c>
      <c r="L2704" s="51" t="n">
        <f aca="false">IFERROR(K2704/I2704,0)</f>
        <v>1.2287903329854</v>
      </c>
      <c r="M2704" s="49" t="n">
        <f aca="false">IFERROR(I2704/H2704,0)</f>
        <v>92.2858822664155</v>
      </c>
      <c r="N2704" s="52" t="str">
        <f aca="false">'Model Inputs &amp; Assumptions'!$L$33</f>
        <v>PRD-SP01</v>
      </c>
      <c r="P2704" s="53" t="n">
        <v>0.858921</v>
      </c>
      <c r="Q2704" s="53" t="n">
        <v>0.130946</v>
      </c>
      <c r="R2704" s="53" t="n">
        <v>0.464689</v>
      </c>
      <c r="S2704" s="53" t="n">
        <v>-0.387901</v>
      </c>
    </row>
    <row r="2705" customFormat="false" ht="15" hidden="false" customHeight="false" outlineLevel="0" collapsed="false">
      <c r="A2705" s="43" t="n">
        <v>202</v>
      </c>
      <c r="B2705" s="44" t="str">
        <f aca="false">'Model Inputs &amp; Assumptions'!$B$33</f>
        <v>Trade Republic — Savings Plan Push</v>
      </c>
      <c r="C2705" s="45" t="n">
        <f aca="false">ROUND(MAX(0,'Model Inputs &amp; Assumptions'!$S$33*EXP('Model Inputs &amp; Assumptions'!$T$33*P2705-'Model Inputs &amp; Assumptions'!$T$33^2/2)),0)</f>
        <v>1458536</v>
      </c>
      <c r="D2705" s="46" t="n">
        <f aca="false">MIN(1,'Model Inputs &amp; Assumptions'!$U$33*EXP('Model Inputs &amp; Assumptions'!$V$33*Q2705-'Model Inputs &amp; Assumptions'!$V$33^2/2))</f>
        <v>0</v>
      </c>
      <c r="E2705" s="45" t="n">
        <f aca="false">ROUND(C2705*D2705,0)</f>
        <v>0</v>
      </c>
      <c r="F2705" s="47" t="n">
        <f aca="false">MIN(1,'Model Inputs &amp; Assumptions'!$W$33*EXP('Model Inputs &amp; Assumptions'!$X$33*R2705-'Model Inputs &amp; Assumptions'!$X$33^2/2))</f>
        <v>0.00342275769080344</v>
      </c>
      <c r="G2705" s="45" t="n">
        <f aca="false">ROUND(C2705*F2705,0)</f>
        <v>4992</v>
      </c>
      <c r="H2705" s="48" t="n">
        <f aca="false">MAX(0,(C2705*'Model Inputs &amp; Assumptions'!$N$33+E2705*'Model Inputs &amp; Assumptions'!$O$33+G2705*'Model Inputs &amp; Assumptions'!$P$33)*EXP('Model Inputs &amp; Assumptions'!$Q$33*S2705-'Model Inputs &amp; Assumptions'!$Q$33^2/2))</f>
        <v>198.440013665918</v>
      </c>
      <c r="I2705" s="49" t="n">
        <f aca="false">IF('Model Inputs &amp; Assumptions'!$H$33="Fixed",'Model Inputs &amp; Assumptions'!$I$33*'Model Inputs &amp; Assumptions'!$K$33,IF('Model Inputs &amp; Assumptions'!$H$33="CPM",'Model Inputs &amp; Assumptions'!$I$33*'Model Inputs &amp; Assumptions'!$K$33*C2705/1000,IF('Model Inputs &amp; Assumptions'!$H$33="CPC",'Model Inputs &amp; Assumptions'!$I$33*'Model Inputs &amp; Assumptions'!$K$33*G2705,0)))</f>
        <v>25000</v>
      </c>
      <c r="J2705" s="50" t="n">
        <f aca="false">H2705*INDEX('Model Inputs &amp; Assumptions'!$D$40:$D$42,MATCH('Model Inputs &amp; Assumptions'!$L$33,'Model Inputs &amp; Assumptions'!$A$40:$A$42,0))*INDEX('Model Inputs &amp; Assumptions'!$H$40:$H$42,MATCH('Model Inputs &amp; Assumptions'!$L$33,'Model Inputs &amp; Assumptions'!$A$40:$A$42,0))</f>
        <v>1071576.07379596</v>
      </c>
      <c r="K2705" s="49" t="n">
        <f aca="false">H2705*INDEX('Model Inputs &amp; Assumptions'!$G$40:$G$42,MATCH('Model Inputs &amp; Assumptions'!$L$33,'Model Inputs &amp; Assumptions'!$A$40:$A$42,0))*INDEX('Model Inputs &amp; Assumptions'!$H$40:$H$42,MATCH('Model Inputs &amp; Assumptions'!$L$33,'Model Inputs &amp; Assumptions'!$A$40:$A$42,0))</f>
        <v>22503.0975497151</v>
      </c>
      <c r="L2705" s="51" t="n">
        <f aca="false">IFERROR(K2705/I2705,0)</f>
        <v>0.900123901988605</v>
      </c>
      <c r="M2705" s="49" t="n">
        <f aca="false">IFERROR(I2705/H2705,0)</f>
        <v>125.982656109309</v>
      </c>
      <c r="N2705" s="52" t="str">
        <f aca="false">'Model Inputs &amp; Assumptions'!$L$33</f>
        <v>PRD-SP01</v>
      </c>
      <c r="P2705" s="53" t="n">
        <v>0.800371</v>
      </c>
      <c r="Q2705" s="53" t="n">
        <v>-0.153999</v>
      </c>
      <c r="R2705" s="53" t="n">
        <v>0.075612</v>
      </c>
      <c r="S2705" s="53" t="n">
        <v>-1.019582</v>
      </c>
    </row>
    <row r="2706" customFormat="false" ht="15" hidden="false" customHeight="false" outlineLevel="0" collapsed="false">
      <c r="A2706" s="43" t="n">
        <v>203</v>
      </c>
      <c r="B2706" s="44" t="str">
        <f aca="false">'Model Inputs &amp; Assumptions'!$B$33</f>
        <v>Trade Republic — Savings Plan Push</v>
      </c>
      <c r="C2706" s="45" t="n">
        <f aca="false">ROUND(MAX(0,'Model Inputs &amp; Assumptions'!$S$33*EXP('Model Inputs &amp; Assumptions'!$T$33*P2706-'Model Inputs &amp; Assumptions'!$T$33^2/2)),0)</f>
        <v>1089827</v>
      </c>
      <c r="D2706" s="46" t="n">
        <f aca="false">MIN(1,'Model Inputs &amp; Assumptions'!$U$33*EXP('Model Inputs &amp; Assumptions'!$V$33*Q2706-'Model Inputs &amp; Assumptions'!$V$33^2/2))</f>
        <v>0</v>
      </c>
      <c r="E2706" s="45" t="n">
        <f aca="false">ROUND(C2706*D2706,0)</f>
        <v>0</v>
      </c>
      <c r="F2706" s="47" t="n">
        <f aca="false">MIN(1,'Model Inputs &amp; Assumptions'!$W$33*EXP('Model Inputs &amp; Assumptions'!$X$33*R2706-'Model Inputs &amp; Assumptions'!$X$33^2/2))</f>
        <v>0.00410502596663309</v>
      </c>
      <c r="G2706" s="45" t="n">
        <f aca="false">ROUND(C2706*F2706,0)</f>
        <v>4474</v>
      </c>
      <c r="H2706" s="48" t="n">
        <f aca="false">MAX(0,(C2706*'Model Inputs &amp; Assumptions'!$N$33+E2706*'Model Inputs &amp; Assumptions'!$O$33+G2706*'Model Inputs &amp; Assumptions'!$P$33)*EXP('Model Inputs &amp; Assumptions'!$Q$33*S2706-'Model Inputs &amp; Assumptions'!$Q$33^2/2))</f>
        <v>183.828461497437</v>
      </c>
      <c r="I2706" s="49" t="n">
        <f aca="false">IF('Model Inputs &amp; Assumptions'!$H$33="Fixed",'Model Inputs &amp; Assumptions'!$I$33*'Model Inputs &amp; Assumptions'!$K$33,IF('Model Inputs &amp; Assumptions'!$H$33="CPM",'Model Inputs &amp; Assumptions'!$I$33*'Model Inputs &amp; Assumptions'!$K$33*C2706/1000,IF('Model Inputs &amp; Assumptions'!$H$33="CPC",'Model Inputs &amp; Assumptions'!$I$33*'Model Inputs &amp; Assumptions'!$K$33*G2706,0)))</f>
        <v>25000</v>
      </c>
      <c r="J2706" s="50" t="n">
        <f aca="false">H2706*INDEX('Model Inputs &amp; Assumptions'!$D$40:$D$42,MATCH('Model Inputs &amp; Assumptions'!$L$33,'Model Inputs &amp; Assumptions'!$A$40:$A$42,0))*INDEX('Model Inputs &amp; Assumptions'!$H$40:$H$42,MATCH('Model Inputs &amp; Assumptions'!$L$33,'Model Inputs &amp; Assumptions'!$A$40:$A$42,0))</f>
        <v>992673.692086158</v>
      </c>
      <c r="K2706" s="49" t="n">
        <f aca="false">H2706*INDEX('Model Inputs &amp; Assumptions'!$G$40:$G$42,MATCH('Model Inputs &amp; Assumptions'!$L$33,'Model Inputs &amp; Assumptions'!$A$40:$A$42,0))*INDEX('Model Inputs &amp; Assumptions'!$H$40:$H$42,MATCH('Model Inputs &amp; Assumptions'!$L$33,'Model Inputs &amp; Assumptions'!$A$40:$A$42,0))</f>
        <v>20846.1475338093</v>
      </c>
      <c r="L2706" s="51" t="n">
        <f aca="false">IFERROR(K2706/I2706,0)</f>
        <v>0.833845901352373</v>
      </c>
      <c r="M2706" s="49" t="n">
        <f aca="false">IFERROR(I2706/H2706,0)</f>
        <v>135.996351143637</v>
      </c>
      <c r="N2706" s="52" t="str">
        <f aca="false">'Model Inputs &amp; Assumptions'!$L$33</f>
        <v>PRD-SP01</v>
      </c>
      <c r="P2706" s="53" t="n">
        <v>-0.17101</v>
      </c>
      <c r="Q2706" s="53" t="n">
        <v>-1.226395</v>
      </c>
      <c r="R2706" s="53" t="n">
        <v>0.681497</v>
      </c>
      <c r="S2706" s="53" t="n">
        <v>-0.901475</v>
      </c>
    </row>
    <row r="2707" customFormat="false" ht="15" hidden="false" customHeight="false" outlineLevel="0" collapsed="false">
      <c r="A2707" s="43" t="n">
        <v>204</v>
      </c>
      <c r="B2707" s="44" t="str">
        <f aca="false">'Model Inputs &amp; Assumptions'!$B$33</f>
        <v>Trade Republic — Savings Plan Push</v>
      </c>
      <c r="C2707" s="45" t="n">
        <f aca="false">ROUND(MAX(0,'Model Inputs &amp; Assumptions'!$S$33*EXP('Model Inputs &amp; Assumptions'!$T$33*P2707-'Model Inputs &amp; Assumptions'!$T$33^2/2)),0)</f>
        <v>929944</v>
      </c>
      <c r="D2707" s="46" t="n">
        <f aca="false">MIN(1,'Model Inputs &amp; Assumptions'!$U$33*EXP('Model Inputs &amp; Assumptions'!$V$33*Q2707-'Model Inputs &amp; Assumptions'!$V$33^2/2))</f>
        <v>0</v>
      </c>
      <c r="E2707" s="45" t="n">
        <f aca="false">ROUND(C2707*D2707,0)</f>
        <v>0</v>
      </c>
      <c r="F2707" s="47" t="n">
        <f aca="false">MIN(1,'Model Inputs &amp; Assumptions'!$W$33*EXP('Model Inputs &amp; Assumptions'!$X$33*R2707-'Model Inputs &amp; Assumptions'!$X$33^2/2))</f>
        <v>0.00415266654346338</v>
      </c>
      <c r="G2707" s="45" t="n">
        <f aca="false">ROUND(C2707*F2707,0)</f>
        <v>3862</v>
      </c>
      <c r="H2707" s="48" t="n">
        <f aca="false">MAX(0,(C2707*'Model Inputs &amp; Assumptions'!$N$33+E2707*'Model Inputs &amp; Assumptions'!$O$33+G2707*'Model Inputs &amp; Assumptions'!$P$33)*EXP('Model Inputs &amp; Assumptions'!$Q$33*S2707-'Model Inputs &amp; Assumptions'!$Q$33^2/2))</f>
        <v>213.302743857974</v>
      </c>
      <c r="I2707" s="49" t="n">
        <f aca="false">IF('Model Inputs &amp; Assumptions'!$H$33="Fixed",'Model Inputs &amp; Assumptions'!$I$33*'Model Inputs &amp; Assumptions'!$K$33,IF('Model Inputs &amp; Assumptions'!$H$33="CPM",'Model Inputs &amp; Assumptions'!$I$33*'Model Inputs &amp; Assumptions'!$K$33*C2707/1000,IF('Model Inputs &amp; Assumptions'!$H$33="CPC",'Model Inputs &amp; Assumptions'!$I$33*'Model Inputs &amp; Assumptions'!$K$33*G2707,0)))</f>
        <v>25000</v>
      </c>
      <c r="J2707" s="50" t="n">
        <f aca="false">H2707*INDEX('Model Inputs &amp; Assumptions'!$D$40:$D$42,MATCH('Model Inputs &amp; Assumptions'!$L$33,'Model Inputs &amp; Assumptions'!$A$40:$A$42,0))*INDEX('Model Inputs &amp; Assumptions'!$H$40:$H$42,MATCH('Model Inputs &amp; Assumptions'!$L$33,'Model Inputs &amp; Assumptions'!$A$40:$A$42,0))</f>
        <v>1151834.81683306</v>
      </c>
      <c r="K2707" s="49" t="n">
        <f aca="false">H2707*INDEX('Model Inputs &amp; Assumptions'!$G$40:$G$42,MATCH('Model Inputs &amp; Assumptions'!$L$33,'Model Inputs &amp; Assumptions'!$A$40:$A$42,0))*INDEX('Model Inputs &amp; Assumptions'!$H$40:$H$42,MATCH('Model Inputs &amp; Assumptions'!$L$33,'Model Inputs &amp; Assumptions'!$A$40:$A$42,0))</f>
        <v>24188.5311534942</v>
      </c>
      <c r="L2707" s="51" t="n">
        <f aca="false">IFERROR(K2707/I2707,0)</f>
        <v>0.967541246139768</v>
      </c>
      <c r="M2707" s="49" t="n">
        <f aca="false">IFERROR(I2707/H2707,0)</f>
        <v>117.204305710414</v>
      </c>
      <c r="N2707" s="52" t="str">
        <f aca="false">'Model Inputs &amp; Assumptions'!$L$33</f>
        <v>PRD-SP01</v>
      </c>
      <c r="P2707" s="53" t="n">
        <v>-0.69984</v>
      </c>
      <c r="Q2707" s="53" t="n">
        <v>1.61064</v>
      </c>
      <c r="R2707" s="53" t="n">
        <v>0.719959</v>
      </c>
      <c r="S2707" s="53" t="n">
        <v>0.154979</v>
      </c>
    </row>
    <row r="2708" customFormat="false" ht="15" hidden="false" customHeight="false" outlineLevel="0" collapsed="false">
      <c r="A2708" s="43" t="n">
        <v>205</v>
      </c>
      <c r="B2708" s="44" t="str">
        <f aca="false">'Model Inputs &amp; Assumptions'!$B$33</f>
        <v>Trade Republic — Savings Plan Push</v>
      </c>
      <c r="C2708" s="45" t="n">
        <f aca="false">ROUND(MAX(0,'Model Inputs &amp; Assumptions'!$S$33*EXP('Model Inputs &amp; Assumptions'!$T$33*P2708-'Model Inputs &amp; Assumptions'!$T$33^2/2)),0)</f>
        <v>1537535</v>
      </c>
      <c r="D2708" s="46" t="n">
        <f aca="false">MIN(1,'Model Inputs &amp; Assumptions'!$U$33*EXP('Model Inputs &amp; Assumptions'!$V$33*Q2708-'Model Inputs &amp; Assumptions'!$V$33^2/2))</f>
        <v>0</v>
      </c>
      <c r="E2708" s="45" t="n">
        <f aca="false">ROUND(C2708*D2708,0)</f>
        <v>0</v>
      </c>
      <c r="F2708" s="47" t="n">
        <f aca="false">MIN(1,'Model Inputs &amp; Assumptions'!$W$33*EXP('Model Inputs &amp; Assumptions'!$X$33*R2708-'Model Inputs &amp; Assumptions'!$X$33^2/2))</f>
        <v>0.00730596303262688</v>
      </c>
      <c r="G2708" s="45" t="n">
        <f aca="false">ROUND(C2708*F2708,0)</f>
        <v>11233</v>
      </c>
      <c r="H2708" s="48" t="n">
        <f aca="false">MAX(0,(C2708*'Model Inputs &amp; Assumptions'!$N$33+E2708*'Model Inputs &amp; Assumptions'!$O$33+G2708*'Model Inputs &amp; Assumptions'!$P$33)*EXP('Model Inputs &amp; Assumptions'!$Q$33*S2708-'Model Inputs &amp; Assumptions'!$Q$33^2/2))</f>
        <v>251.164137555008</v>
      </c>
      <c r="I2708" s="49" t="n">
        <f aca="false">IF('Model Inputs &amp; Assumptions'!$H$33="Fixed",'Model Inputs &amp; Assumptions'!$I$33*'Model Inputs &amp; Assumptions'!$K$33,IF('Model Inputs &amp; Assumptions'!$H$33="CPM",'Model Inputs &amp; Assumptions'!$I$33*'Model Inputs &amp; Assumptions'!$K$33*C2708/1000,IF('Model Inputs &amp; Assumptions'!$H$33="CPC",'Model Inputs &amp; Assumptions'!$I$33*'Model Inputs &amp; Assumptions'!$K$33*G2708,0)))</f>
        <v>25000</v>
      </c>
      <c r="J2708" s="50" t="n">
        <f aca="false">H2708*INDEX('Model Inputs &amp; Assumptions'!$D$40:$D$42,MATCH('Model Inputs &amp; Assumptions'!$L$33,'Model Inputs &amp; Assumptions'!$A$40:$A$42,0))*INDEX('Model Inputs &amp; Assumptions'!$H$40:$H$42,MATCH('Model Inputs &amp; Assumptions'!$L$33,'Model Inputs &amp; Assumptions'!$A$40:$A$42,0))</f>
        <v>1356286.34279704</v>
      </c>
      <c r="K2708" s="49" t="n">
        <f aca="false">H2708*INDEX('Model Inputs &amp; Assumptions'!$G$40:$G$42,MATCH('Model Inputs &amp; Assumptions'!$L$33,'Model Inputs &amp; Assumptions'!$A$40:$A$42,0))*INDEX('Model Inputs &amp; Assumptions'!$H$40:$H$42,MATCH('Model Inputs &amp; Assumptions'!$L$33,'Model Inputs &amp; Assumptions'!$A$40:$A$42,0))</f>
        <v>28482.0131987379</v>
      </c>
      <c r="L2708" s="51" t="n">
        <f aca="false">IFERROR(K2708/I2708,0)</f>
        <v>1.13928052794952</v>
      </c>
      <c r="M2708" s="49" t="n">
        <f aca="false">IFERROR(I2708/H2708,0)</f>
        <v>99.5365032737792</v>
      </c>
      <c r="N2708" s="52" t="str">
        <f aca="false">'Model Inputs &amp; Assumptions'!$L$33</f>
        <v>PRD-SP01</v>
      </c>
      <c r="P2708" s="53" t="n">
        <v>0.976196</v>
      </c>
      <c r="Q2708" s="53" t="n">
        <v>1.414816</v>
      </c>
      <c r="R2708" s="53" t="n">
        <v>2.603093</v>
      </c>
      <c r="S2708" s="53" t="n">
        <v>-3.07458</v>
      </c>
    </row>
    <row r="2709" customFormat="false" ht="15" hidden="false" customHeight="false" outlineLevel="0" collapsed="false">
      <c r="A2709" s="43" t="n">
        <v>206</v>
      </c>
      <c r="B2709" s="44" t="str">
        <f aca="false">'Model Inputs &amp; Assumptions'!$B$33</f>
        <v>Trade Republic — Savings Plan Push</v>
      </c>
      <c r="C2709" s="45" t="n">
        <f aca="false">ROUND(MAX(0,'Model Inputs &amp; Assumptions'!$S$33*EXP('Model Inputs &amp; Assumptions'!$T$33*P2709-'Model Inputs &amp; Assumptions'!$T$33^2/2)),0)</f>
        <v>1308505</v>
      </c>
      <c r="D2709" s="46" t="n">
        <f aca="false">MIN(1,'Model Inputs &amp; Assumptions'!$U$33*EXP('Model Inputs &amp; Assumptions'!$V$33*Q2709-'Model Inputs &amp; Assumptions'!$V$33^2/2))</f>
        <v>0</v>
      </c>
      <c r="E2709" s="45" t="n">
        <f aca="false">ROUND(C2709*D2709,0)</f>
        <v>0</v>
      </c>
      <c r="F2709" s="47" t="n">
        <f aca="false">MIN(1,'Model Inputs &amp; Assumptions'!$W$33*EXP('Model Inputs &amp; Assumptions'!$X$33*R2709-'Model Inputs &amp; Assumptions'!$X$33^2/2))</f>
        <v>0.00621267878013603</v>
      </c>
      <c r="G2709" s="45" t="n">
        <f aca="false">ROUND(C2709*F2709,0)</f>
        <v>8129</v>
      </c>
      <c r="H2709" s="48" t="n">
        <f aca="false">MAX(0,(C2709*'Model Inputs &amp; Assumptions'!$N$33+E2709*'Model Inputs &amp; Assumptions'!$O$33+G2709*'Model Inputs &amp; Assumptions'!$P$33)*EXP('Model Inputs &amp; Assumptions'!$Q$33*S2709-'Model Inputs &amp; Assumptions'!$Q$33^2/2))</f>
        <v>349.573395129326</v>
      </c>
      <c r="I2709" s="49" t="n">
        <f aca="false">IF('Model Inputs &amp; Assumptions'!$H$33="Fixed",'Model Inputs &amp; Assumptions'!$I$33*'Model Inputs &amp; Assumptions'!$K$33,IF('Model Inputs &amp; Assumptions'!$H$33="CPM",'Model Inputs &amp; Assumptions'!$I$33*'Model Inputs &amp; Assumptions'!$K$33*C2709/1000,IF('Model Inputs &amp; Assumptions'!$H$33="CPC",'Model Inputs &amp; Assumptions'!$I$33*'Model Inputs &amp; Assumptions'!$K$33*G2709,0)))</f>
        <v>25000</v>
      </c>
      <c r="J2709" s="50" t="n">
        <f aca="false">H2709*INDEX('Model Inputs &amp; Assumptions'!$D$40:$D$42,MATCH('Model Inputs &amp; Assumptions'!$L$33,'Model Inputs &amp; Assumptions'!$A$40:$A$42,0))*INDEX('Model Inputs &amp; Assumptions'!$H$40:$H$42,MATCH('Model Inputs &amp; Assumptions'!$L$33,'Model Inputs &amp; Assumptions'!$A$40:$A$42,0))</f>
        <v>1887696.33369836</v>
      </c>
      <c r="K2709" s="49" t="n">
        <f aca="false">H2709*INDEX('Model Inputs &amp; Assumptions'!$G$40:$G$42,MATCH('Model Inputs &amp; Assumptions'!$L$33,'Model Inputs &amp; Assumptions'!$A$40:$A$42,0))*INDEX('Model Inputs &amp; Assumptions'!$H$40:$H$42,MATCH('Model Inputs &amp; Assumptions'!$L$33,'Model Inputs &amp; Assumptions'!$A$40:$A$42,0))</f>
        <v>39641.6230076656</v>
      </c>
      <c r="L2709" s="51" t="n">
        <f aca="false">IFERROR(K2709/I2709,0)</f>
        <v>1.58566492030662</v>
      </c>
      <c r="M2709" s="49" t="n">
        <f aca="false">IFERROR(I2709/H2709,0)</f>
        <v>71.5157398941963</v>
      </c>
      <c r="N2709" s="52" t="str">
        <f aca="false">'Model Inputs &amp; Assumptions'!$L$33</f>
        <v>PRD-SP01</v>
      </c>
      <c r="P2709" s="53" t="n">
        <v>0.438545</v>
      </c>
      <c r="Q2709" s="53" t="n">
        <v>0.706073</v>
      </c>
      <c r="R2709" s="53" t="n">
        <v>2.062764</v>
      </c>
      <c r="S2709" s="53" t="n">
        <v>-0.738777</v>
      </c>
    </row>
    <row r="2710" customFormat="false" ht="15" hidden="false" customHeight="false" outlineLevel="0" collapsed="false">
      <c r="A2710" s="43" t="n">
        <v>207</v>
      </c>
      <c r="B2710" s="44" t="str">
        <f aca="false">'Model Inputs &amp; Assumptions'!$B$33</f>
        <v>Trade Republic — Savings Plan Push</v>
      </c>
      <c r="C2710" s="45" t="n">
        <f aca="false">ROUND(MAX(0,'Model Inputs &amp; Assumptions'!$S$33*EXP('Model Inputs &amp; Assumptions'!$T$33*P2710-'Model Inputs &amp; Assumptions'!$T$33^2/2)),0)</f>
        <v>1277910</v>
      </c>
      <c r="D2710" s="46" t="n">
        <f aca="false">MIN(1,'Model Inputs &amp; Assumptions'!$U$33*EXP('Model Inputs &amp; Assumptions'!$V$33*Q2710-'Model Inputs &amp; Assumptions'!$V$33^2/2))</f>
        <v>0</v>
      </c>
      <c r="E2710" s="45" t="n">
        <f aca="false">ROUND(C2710*D2710,0)</f>
        <v>0</v>
      </c>
      <c r="F2710" s="47" t="n">
        <f aca="false">MIN(1,'Model Inputs &amp; Assumptions'!$W$33*EXP('Model Inputs &amp; Assumptions'!$X$33*R2710-'Model Inputs &amp; Assumptions'!$X$33^2/2))</f>
        <v>0.00256925344529545</v>
      </c>
      <c r="G2710" s="45" t="n">
        <f aca="false">ROUND(C2710*F2710,0)</f>
        <v>3283</v>
      </c>
      <c r="H2710" s="48" t="n">
        <f aca="false">MAX(0,(C2710*'Model Inputs &amp; Assumptions'!$N$33+E2710*'Model Inputs &amp; Assumptions'!$O$33+G2710*'Model Inputs &amp; Assumptions'!$P$33)*EXP('Model Inputs &amp; Assumptions'!$Q$33*S2710-'Model Inputs &amp; Assumptions'!$Q$33^2/2))</f>
        <v>204.656192969187</v>
      </c>
      <c r="I2710" s="49" t="n">
        <f aca="false">IF('Model Inputs &amp; Assumptions'!$H$33="Fixed",'Model Inputs &amp; Assumptions'!$I$33*'Model Inputs &amp; Assumptions'!$K$33,IF('Model Inputs &amp; Assumptions'!$H$33="CPM",'Model Inputs &amp; Assumptions'!$I$33*'Model Inputs &amp; Assumptions'!$K$33*C2710/1000,IF('Model Inputs &amp; Assumptions'!$H$33="CPC",'Model Inputs &amp; Assumptions'!$I$33*'Model Inputs &amp; Assumptions'!$K$33*G2710,0)))</f>
        <v>25000</v>
      </c>
      <c r="J2710" s="50" t="n">
        <f aca="false">H2710*INDEX('Model Inputs &amp; Assumptions'!$D$40:$D$42,MATCH('Model Inputs &amp; Assumptions'!$L$33,'Model Inputs &amp; Assumptions'!$A$40:$A$42,0))*INDEX('Model Inputs &amp; Assumptions'!$H$40:$H$42,MATCH('Model Inputs &amp; Assumptions'!$L$33,'Model Inputs &amp; Assumptions'!$A$40:$A$42,0))</f>
        <v>1105143.44203361</v>
      </c>
      <c r="K2710" s="49" t="n">
        <f aca="false">H2710*INDEX('Model Inputs &amp; Assumptions'!$G$40:$G$42,MATCH('Model Inputs &amp; Assumptions'!$L$33,'Model Inputs &amp; Assumptions'!$A$40:$A$42,0))*INDEX('Model Inputs &amp; Assumptions'!$H$40:$H$42,MATCH('Model Inputs &amp; Assumptions'!$L$33,'Model Inputs &amp; Assumptions'!$A$40:$A$42,0))</f>
        <v>23208.0122827059</v>
      </c>
      <c r="L2710" s="51" t="n">
        <f aca="false">IFERROR(K2710/I2710,0)</f>
        <v>0.928320491308234</v>
      </c>
      <c r="M2710" s="49" t="n">
        <f aca="false">IFERROR(I2710/H2710,0)</f>
        <v>122.156088400237</v>
      </c>
      <c r="N2710" s="52" t="str">
        <f aca="false">'Model Inputs &amp; Assumptions'!$L$33</f>
        <v>PRD-SP01</v>
      </c>
      <c r="P2710" s="53" t="n">
        <v>0.359681</v>
      </c>
      <c r="Q2710" s="53" t="n">
        <v>-0.718162</v>
      </c>
      <c r="R2710" s="53" t="n">
        <v>-0.880492</v>
      </c>
      <c r="S2710" s="53" t="n">
        <v>0.587288</v>
      </c>
    </row>
    <row r="2711" customFormat="false" ht="15" hidden="false" customHeight="false" outlineLevel="0" collapsed="false">
      <c r="A2711" s="43" t="n">
        <v>208</v>
      </c>
      <c r="B2711" s="44" t="str">
        <f aca="false">'Model Inputs &amp; Assumptions'!$B$33</f>
        <v>Trade Republic — Savings Plan Push</v>
      </c>
      <c r="C2711" s="45" t="n">
        <f aca="false">ROUND(MAX(0,'Model Inputs &amp; Assumptions'!$S$33*EXP('Model Inputs &amp; Assumptions'!$T$33*P2711-'Model Inputs &amp; Assumptions'!$T$33^2/2)),0)</f>
        <v>1215525</v>
      </c>
      <c r="D2711" s="46" t="n">
        <f aca="false">MIN(1,'Model Inputs &amp; Assumptions'!$U$33*EXP('Model Inputs &amp; Assumptions'!$V$33*Q2711-'Model Inputs &amp; Assumptions'!$V$33^2/2))</f>
        <v>0</v>
      </c>
      <c r="E2711" s="45" t="n">
        <f aca="false">ROUND(C2711*D2711,0)</f>
        <v>0</v>
      </c>
      <c r="F2711" s="47" t="n">
        <f aca="false">MIN(1,'Model Inputs &amp; Assumptions'!$W$33*EXP('Model Inputs &amp; Assumptions'!$X$33*R2711-'Model Inputs &amp; Assumptions'!$X$33^2/2))</f>
        <v>0.00367163133405485</v>
      </c>
      <c r="G2711" s="45" t="n">
        <f aca="false">ROUND(C2711*F2711,0)</f>
        <v>4463</v>
      </c>
      <c r="H2711" s="48" t="n">
        <f aca="false">MAX(0,(C2711*'Model Inputs &amp; Assumptions'!$N$33+E2711*'Model Inputs &amp; Assumptions'!$O$33+G2711*'Model Inputs &amp; Assumptions'!$P$33)*EXP('Model Inputs &amp; Assumptions'!$Q$33*S2711-'Model Inputs &amp; Assumptions'!$Q$33^2/2))</f>
        <v>214.222220732378</v>
      </c>
      <c r="I2711" s="49" t="n">
        <f aca="false">IF('Model Inputs &amp; Assumptions'!$H$33="Fixed",'Model Inputs &amp; Assumptions'!$I$33*'Model Inputs &amp; Assumptions'!$K$33,IF('Model Inputs &amp; Assumptions'!$H$33="CPM",'Model Inputs &amp; Assumptions'!$I$33*'Model Inputs &amp; Assumptions'!$K$33*C2711/1000,IF('Model Inputs &amp; Assumptions'!$H$33="CPC",'Model Inputs &amp; Assumptions'!$I$33*'Model Inputs &amp; Assumptions'!$K$33*G2711,0)))</f>
        <v>25000</v>
      </c>
      <c r="J2711" s="50" t="n">
        <f aca="false">H2711*INDEX('Model Inputs &amp; Assumptions'!$D$40:$D$42,MATCH('Model Inputs &amp; Assumptions'!$L$33,'Model Inputs &amp; Assumptions'!$A$40:$A$42,0))*INDEX('Model Inputs &amp; Assumptions'!$H$40:$H$42,MATCH('Model Inputs &amp; Assumptions'!$L$33,'Model Inputs &amp; Assumptions'!$A$40:$A$42,0))</f>
        <v>1156799.99195484</v>
      </c>
      <c r="K2711" s="49" t="n">
        <f aca="false">H2711*INDEX('Model Inputs &amp; Assumptions'!$G$40:$G$42,MATCH('Model Inputs &amp; Assumptions'!$L$33,'Model Inputs &amp; Assumptions'!$A$40:$A$42,0))*INDEX('Model Inputs &amp; Assumptions'!$H$40:$H$42,MATCH('Model Inputs &amp; Assumptions'!$L$33,'Model Inputs &amp; Assumptions'!$A$40:$A$42,0))</f>
        <v>24292.7998310516</v>
      </c>
      <c r="L2711" s="51" t="n">
        <f aca="false">IFERROR(K2711/I2711,0)</f>
        <v>0.971711993242066</v>
      </c>
      <c r="M2711" s="49" t="n">
        <f aca="false">IFERROR(I2711/H2711,0)</f>
        <v>116.701245624896</v>
      </c>
      <c r="N2711" s="52" t="str">
        <f aca="false">'Model Inputs &amp; Assumptions'!$L$33</f>
        <v>PRD-SP01</v>
      </c>
      <c r="P2711" s="53" t="n">
        <v>0.192849</v>
      </c>
      <c r="Q2711" s="53" t="n">
        <v>0.210224</v>
      </c>
      <c r="R2711" s="53" t="n">
        <v>0.309577</v>
      </c>
      <c r="S2711" s="53" t="n">
        <v>-0.346216</v>
      </c>
    </row>
    <row r="2712" customFormat="false" ht="15" hidden="false" customHeight="false" outlineLevel="0" collapsed="false">
      <c r="A2712" s="43" t="n">
        <v>209</v>
      </c>
      <c r="B2712" s="44" t="str">
        <f aca="false">'Model Inputs &amp; Assumptions'!$B$33</f>
        <v>Trade Republic — Savings Plan Push</v>
      </c>
      <c r="C2712" s="45" t="n">
        <f aca="false">ROUND(MAX(0,'Model Inputs &amp; Assumptions'!$S$33*EXP('Model Inputs &amp; Assumptions'!$T$33*P2712-'Model Inputs &amp; Assumptions'!$T$33^2/2)),0)</f>
        <v>1109288</v>
      </c>
      <c r="D2712" s="46" t="n">
        <f aca="false">MIN(1,'Model Inputs &amp; Assumptions'!$U$33*EXP('Model Inputs &amp; Assumptions'!$V$33*Q2712-'Model Inputs &amp; Assumptions'!$V$33^2/2))</f>
        <v>0</v>
      </c>
      <c r="E2712" s="45" t="n">
        <f aca="false">ROUND(C2712*D2712,0)</f>
        <v>0</v>
      </c>
      <c r="F2712" s="47" t="n">
        <f aca="false">MIN(1,'Model Inputs &amp; Assumptions'!$W$33*EXP('Model Inputs &amp; Assumptions'!$X$33*R2712-'Model Inputs &amp; Assumptions'!$X$33^2/2))</f>
        <v>0.00247827900205017</v>
      </c>
      <c r="G2712" s="45" t="n">
        <f aca="false">ROUND(C2712*F2712,0)</f>
        <v>2749</v>
      </c>
      <c r="H2712" s="48" t="n">
        <f aca="false">MAX(0,(C2712*'Model Inputs &amp; Assumptions'!$N$33+E2712*'Model Inputs &amp; Assumptions'!$O$33+G2712*'Model Inputs &amp; Assumptions'!$P$33)*EXP('Model Inputs &amp; Assumptions'!$Q$33*S2712-'Model Inputs &amp; Assumptions'!$Q$33^2/2))</f>
        <v>76.6434044821222</v>
      </c>
      <c r="I2712" s="49" t="n">
        <f aca="false">IF('Model Inputs &amp; Assumptions'!$H$33="Fixed",'Model Inputs &amp; Assumptions'!$I$33*'Model Inputs &amp; Assumptions'!$K$33,IF('Model Inputs &amp; Assumptions'!$H$33="CPM",'Model Inputs &amp; Assumptions'!$I$33*'Model Inputs &amp; Assumptions'!$K$33*C2712/1000,IF('Model Inputs &amp; Assumptions'!$H$33="CPC",'Model Inputs &amp; Assumptions'!$I$33*'Model Inputs &amp; Assumptions'!$K$33*G2712,0)))</f>
        <v>25000</v>
      </c>
      <c r="J2712" s="50" t="n">
        <f aca="false">H2712*INDEX('Model Inputs &amp; Assumptions'!$D$40:$D$42,MATCH('Model Inputs &amp; Assumptions'!$L$33,'Model Inputs &amp; Assumptions'!$A$40:$A$42,0))*INDEX('Model Inputs &amp; Assumptions'!$H$40:$H$42,MATCH('Model Inputs &amp; Assumptions'!$L$33,'Model Inputs &amp; Assumptions'!$A$40:$A$42,0))</f>
        <v>413874.38420346</v>
      </c>
      <c r="K2712" s="49" t="n">
        <f aca="false">H2712*INDEX('Model Inputs &amp; Assumptions'!$G$40:$G$42,MATCH('Model Inputs &amp; Assumptions'!$L$33,'Model Inputs &amp; Assumptions'!$A$40:$A$42,0))*INDEX('Model Inputs &amp; Assumptions'!$H$40:$H$42,MATCH('Model Inputs &amp; Assumptions'!$L$33,'Model Inputs &amp; Assumptions'!$A$40:$A$42,0))</f>
        <v>8691.36206827266</v>
      </c>
      <c r="L2712" s="51" t="n">
        <f aca="false">IFERROR(K2712/I2712,0)</f>
        <v>0.347654482730906</v>
      </c>
      <c r="M2712" s="49" t="n">
        <f aca="false">IFERROR(I2712/H2712,0)</f>
        <v>326.185927790192</v>
      </c>
      <c r="N2712" s="52" t="str">
        <f aca="false">'Model Inputs &amp; Assumptions'!$L$33</f>
        <v>PRD-SP01</v>
      </c>
      <c r="P2712" s="53" t="n">
        <v>-0.11201</v>
      </c>
      <c r="Q2712" s="53" t="n">
        <v>0.476254</v>
      </c>
      <c r="R2712" s="53" t="n">
        <v>-1.000662</v>
      </c>
      <c r="S2712" s="53" t="n">
        <v>-2.286453</v>
      </c>
    </row>
    <row r="2713" customFormat="false" ht="15" hidden="false" customHeight="false" outlineLevel="0" collapsed="false">
      <c r="A2713" s="43" t="n">
        <v>210</v>
      </c>
      <c r="B2713" s="44" t="str">
        <f aca="false">'Model Inputs &amp; Assumptions'!$B$33</f>
        <v>Trade Republic — Savings Plan Push</v>
      </c>
      <c r="C2713" s="45" t="n">
        <f aca="false">ROUND(MAX(0,'Model Inputs &amp; Assumptions'!$S$33*EXP('Model Inputs &amp; Assumptions'!$T$33*P2713-'Model Inputs &amp; Assumptions'!$T$33^2/2)),0)</f>
        <v>635499</v>
      </c>
      <c r="D2713" s="46" t="n">
        <f aca="false">MIN(1,'Model Inputs &amp; Assumptions'!$U$33*EXP('Model Inputs &amp; Assumptions'!$V$33*Q2713-'Model Inputs &amp; Assumptions'!$V$33^2/2))</f>
        <v>0</v>
      </c>
      <c r="E2713" s="45" t="n">
        <f aca="false">ROUND(C2713*D2713,0)</f>
        <v>0</v>
      </c>
      <c r="F2713" s="47" t="n">
        <f aca="false">MIN(1,'Model Inputs &amp; Assumptions'!$W$33*EXP('Model Inputs &amp; Assumptions'!$X$33*R2713-'Model Inputs &amp; Assumptions'!$X$33^2/2))</f>
        <v>0.00344082809771498</v>
      </c>
      <c r="G2713" s="45" t="n">
        <f aca="false">ROUND(C2713*F2713,0)</f>
        <v>2187</v>
      </c>
      <c r="H2713" s="48" t="n">
        <f aca="false">MAX(0,(C2713*'Model Inputs &amp; Assumptions'!$N$33+E2713*'Model Inputs &amp; Assumptions'!$O$33+G2713*'Model Inputs &amp; Assumptions'!$P$33)*EXP('Model Inputs &amp; Assumptions'!$Q$33*S2713-'Model Inputs &amp; Assumptions'!$Q$33^2/2))</f>
        <v>132.824019036552</v>
      </c>
      <c r="I2713" s="49" t="n">
        <f aca="false">IF('Model Inputs &amp; Assumptions'!$H$33="Fixed",'Model Inputs &amp; Assumptions'!$I$33*'Model Inputs &amp; Assumptions'!$K$33,IF('Model Inputs &amp; Assumptions'!$H$33="CPM",'Model Inputs &amp; Assumptions'!$I$33*'Model Inputs &amp; Assumptions'!$K$33*C2713/1000,IF('Model Inputs &amp; Assumptions'!$H$33="CPC",'Model Inputs &amp; Assumptions'!$I$33*'Model Inputs &amp; Assumptions'!$K$33*G2713,0)))</f>
        <v>25000</v>
      </c>
      <c r="J2713" s="50" t="n">
        <f aca="false">H2713*INDEX('Model Inputs &amp; Assumptions'!$D$40:$D$42,MATCH('Model Inputs &amp; Assumptions'!$L$33,'Model Inputs &amp; Assumptions'!$A$40:$A$42,0))*INDEX('Model Inputs &amp; Assumptions'!$H$40:$H$42,MATCH('Model Inputs &amp; Assumptions'!$L$33,'Model Inputs &amp; Assumptions'!$A$40:$A$42,0))</f>
        <v>717249.70279738</v>
      </c>
      <c r="K2713" s="49" t="n">
        <f aca="false">H2713*INDEX('Model Inputs &amp; Assumptions'!$G$40:$G$42,MATCH('Model Inputs &amp; Assumptions'!$L$33,'Model Inputs &amp; Assumptions'!$A$40:$A$42,0))*INDEX('Model Inputs &amp; Assumptions'!$H$40:$H$42,MATCH('Model Inputs &amp; Assumptions'!$L$33,'Model Inputs &amp; Assumptions'!$A$40:$A$42,0))</f>
        <v>15062.243758745</v>
      </c>
      <c r="L2713" s="51" t="n">
        <f aca="false">IFERROR(K2713/I2713,0)</f>
        <v>0.602489750349799</v>
      </c>
      <c r="M2713" s="49" t="n">
        <f aca="false">IFERROR(I2713/H2713,0)</f>
        <v>188.218969591037</v>
      </c>
      <c r="N2713" s="52" t="str">
        <f aca="false">'Model Inputs &amp; Assumptions'!$L$33</f>
        <v>PRD-SP01</v>
      </c>
      <c r="P2713" s="53" t="n">
        <v>-1.968889</v>
      </c>
      <c r="Q2713" s="53" t="n">
        <v>1.52331</v>
      </c>
      <c r="R2713" s="53" t="n">
        <v>0.093164</v>
      </c>
      <c r="S2713" s="53" t="n">
        <v>0.494147</v>
      </c>
    </row>
    <row r="2714" customFormat="false" ht="15" hidden="false" customHeight="false" outlineLevel="0" collapsed="false">
      <c r="A2714" s="43" t="n">
        <v>211</v>
      </c>
      <c r="B2714" s="44" t="str">
        <f aca="false">'Model Inputs &amp; Assumptions'!$B$33</f>
        <v>Trade Republic — Savings Plan Push</v>
      </c>
      <c r="C2714" s="45" t="n">
        <f aca="false">ROUND(MAX(0,'Model Inputs &amp; Assumptions'!$S$33*EXP('Model Inputs &amp; Assumptions'!$T$33*P2714-'Model Inputs &amp; Assumptions'!$T$33^2/2)),0)</f>
        <v>525489</v>
      </c>
      <c r="D2714" s="46" t="n">
        <f aca="false">MIN(1,'Model Inputs &amp; Assumptions'!$U$33*EXP('Model Inputs &amp; Assumptions'!$V$33*Q2714-'Model Inputs &amp; Assumptions'!$V$33^2/2))</f>
        <v>0</v>
      </c>
      <c r="E2714" s="45" t="n">
        <f aca="false">ROUND(C2714*D2714,0)</f>
        <v>0</v>
      </c>
      <c r="F2714" s="47" t="n">
        <f aca="false">MIN(1,'Model Inputs &amp; Assumptions'!$W$33*EXP('Model Inputs &amp; Assumptions'!$X$33*R2714-'Model Inputs &amp; Assumptions'!$X$33^2/2))</f>
        <v>0.0037195822682384</v>
      </c>
      <c r="G2714" s="45" t="n">
        <f aca="false">ROUND(C2714*F2714,0)</f>
        <v>1955</v>
      </c>
      <c r="H2714" s="48" t="n">
        <f aca="false">MAX(0,(C2714*'Model Inputs &amp; Assumptions'!$N$33+E2714*'Model Inputs &amp; Assumptions'!$O$33+G2714*'Model Inputs &amp; Assumptions'!$P$33)*EXP('Model Inputs &amp; Assumptions'!$Q$33*S2714-'Model Inputs &amp; Assumptions'!$Q$33^2/2))</f>
        <v>157.896219510013</v>
      </c>
      <c r="I2714" s="49" t="n">
        <f aca="false">IF('Model Inputs &amp; Assumptions'!$H$33="Fixed",'Model Inputs &amp; Assumptions'!$I$33*'Model Inputs &amp; Assumptions'!$K$33,IF('Model Inputs &amp; Assumptions'!$H$33="CPM",'Model Inputs &amp; Assumptions'!$I$33*'Model Inputs &amp; Assumptions'!$K$33*C2714/1000,IF('Model Inputs &amp; Assumptions'!$H$33="CPC",'Model Inputs &amp; Assumptions'!$I$33*'Model Inputs &amp; Assumptions'!$K$33*G2714,0)))</f>
        <v>25000</v>
      </c>
      <c r="J2714" s="50" t="n">
        <f aca="false">H2714*INDEX('Model Inputs &amp; Assumptions'!$D$40:$D$42,MATCH('Model Inputs &amp; Assumptions'!$L$33,'Model Inputs &amp; Assumptions'!$A$40:$A$42,0))*INDEX('Model Inputs &amp; Assumptions'!$H$40:$H$42,MATCH('Model Inputs &amp; Assumptions'!$L$33,'Model Inputs &amp; Assumptions'!$A$40:$A$42,0))</f>
        <v>852639.58535407</v>
      </c>
      <c r="K2714" s="49" t="n">
        <f aca="false">H2714*INDEX('Model Inputs &amp; Assumptions'!$G$40:$G$42,MATCH('Model Inputs &amp; Assumptions'!$L$33,'Model Inputs &amp; Assumptions'!$A$40:$A$42,0))*INDEX('Model Inputs &amp; Assumptions'!$H$40:$H$42,MATCH('Model Inputs &amp; Assumptions'!$L$33,'Model Inputs &amp; Assumptions'!$A$40:$A$42,0))</f>
        <v>17905.4312924355</v>
      </c>
      <c r="L2714" s="51" t="n">
        <f aca="false">IFERROR(K2714/I2714,0)</f>
        <v>0.716217251697418</v>
      </c>
      <c r="M2714" s="49" t="n">
        <f aca="false">IFERROR(I2714/H2714,0)</f>
        <v>158.331846560865</v>
      </c>
      <c r="N2714" s="52" t="str">
        <f aca="false">'Model Inputs &amp; Assumptions'!$L$33</f>
        <v>PRD-SP01</v>
      </c>
      <c r="P2714" s="53" t="n">
        <v>-2.602493</v>
      </c>
      <c r="Q2714" s="53" t="n">
        <v>-0.602684</v>
      </c>
      <c r="R2714" s="53" t="n">
        <v>0.352828</v>
      </c>
      <c r="S2714" s="53" t="n">
        <v>1.512195</v>
      </c>
    </row>
    <row r="2715" customFormat="false" ht="15" hidden="false" customHeight="false" outlineLevel="0" collapsed="false">
      <c r="A2715" s="43" t="n">
        <v>212</v>
      </c>
      <c r="B2715" s="44" t="str">
        <f aca="false">'Model Inputs &amp; Assumptions'!$B$33</f>
        <v>Trade Republic — Savings Plan Push</v>
      </c>
      <c r="C2715" s="45" t="n">
        <f aca="false">ROUND(MAX(0,'Model Inputs &amp; Assumptions'!$S$33*EXP('Model Inputs &amp; Assumptions'!$T$33*P2715-'Model Inputs &amp; Assumptions'!$T$33^2/2)),0)</f>
        <v>2420519</v>
      </c>
      <c r="D2715" s="46" t="n">
        <f aca="false">MIN(1,'Model Inputs &amp; Assumptions'!$U$33*EXP('Model Inputs &amp; Assumptions'!$V$33*Q2715-'Model Inputs &amp; Assumptions'!$V$33^2/2))</f>
        <v>0</v>
      </c>
      <c r="E2715" s="45" t="n">
        <f aca="false">ROUND(C2715*D2715,0)</f>
        <v>0</v>
      </c>
      <c r="F2715" s="47" t="n">
        <f aca="false">MIN(1,'Model Inputs &amp; Assumptions'!$W$33*EXP('Model Inputs &amp; Assumptions'!$X$33*R2715-'Model Inputs &amp; Assumptions'!$X$33^2/2))</f>
        <v>0.00336323251152166</v>
      </c>
      <c r="G2715" s="45" t="n">
        <f aca="false">ROUND(C2715*F2715,0)</f>
        <v>8141</v>
      </c>
      <c r="H2715" s="48" t="n">
        <f aca="false">MAX(0,(C2715*'Model Inputs &amp; Assumptions'!$N$33+E2715*'Model Inputs &amp; Assumptions'!$O$33+G2715*'Model Inputs &amp; Assumptions'!$P$33)*EXP('Model Inputs &amp; Assumptions'!$Q$33*S2715-'Model Inputs &amp; Assumptions'!$Q$33^2/2))</f>
        <v>419.814592685402</v>
      </c>
      <c r="I2715" s="49" t="n">
        <f aca="false">IF('Model Inputs &amp; Assumptions'!$H$33="Fixed",'Model Inputs &amp; Assumptions'!$I$33*'Model Inputs &amp; Assumptions'!$K$33,IF('Model Inputs &amp; Assumptions'!$H$33="CPM",'Model Inputs &amp; Assumptions'!$I$33*'Model Inputs &amp; Assumptions'!$K$33*C2715/1000,IF('Model Inputs &amp; Assumptions'!$H$33="CPC",'Model Inputs &amp; Assumptions'!$I$33*'Model Inputs &amp; Assumptions'!$K$33*G2715,0)))</f>
        <v>25000</v>
      </c>
      <c r="J2715" s="50" t="n">
        <f aca="false">H2715*INDEX('Model Inputs &amp; Assumptions'!$D$40:$D$42,MATCH('Model Inputs &amp; Assumptions'!$L$33,'Model Inputs &amp; Assumptions'!$A$40:$A$42,0))*INDEX('Model Inputs &amp; Assumptions'!$H$40:$H$42,MATCH('Model Inputs &amp; Assumptions'!$L$33,'Model Inputs &amp; Assumptions'!$A$40:$A$42,0))</f>
        <v>2266998.80050117</v>
      </c>
      <c r="K2715" s="49" t="n">
        <f aca="false">H2715*INDEX('Model Inputs &amp; Assumptions'!$G$40:$G$42,MATCH('Model Inputs &amp; Assumptions'!$L$33,'Model Inputs &amp; Assumptions'!$A$40:$A$42,0))*INDEX('Model Inputs &amp; Assumptions'!$H$40:$H$42,MATCH('Model Inputs &amp; Assumptions'!$L$33,'Model Inputs &amp; Assumptions'!$A$40:$A$42,0))</f>
        <v>47606.9748105246</v>
      </c>
      <c r="L2715" s="51" t="n">
        <f aca="false">IFERROR(K2715/I2715,0)</f>
        <v>1.90427899242098</v>
      </c>
      <c r="M2715" s="49" t="n">
        <f aca="false">IFERROR(I2715/H2715,0)</f>
        <v>59.550097675462</v>
      </c>
      <c r="N2715" s="52" t="str">
        <f aca="false">'Model Inputs &amp; Assumptions'!$L$33</f>
        <v>PRD-SP01</v>
      </c>
      <c r="P2715" s="53" t="n">
        <v>2.488868</v>
      </c>
      <c r="Q2715" s="53" t="n">
        <v>-0.41043</v>
      </c>
      <c r="R2715" s="53" t="n">
        <v>0.017132</v>
      </c>
      <c r="S2715" s="53" t="n">
        <v>-0.090118</v>
      </c>
    </row>
    <row r="2716" customFormat="false" ht="15" hidden="false" customHeight="false" outlineLevel="0" collapsed="false">
      <c r="A2716" s="43" t="n">
        <v>213</v>
      </c>
      <c r="B2716" s="44" t="str">
        <f aca="false">'Model Inputs &amp; Assumptions'!$B$33</f>
        <v>Trade Republic — Savings Plan Push</v>
      </c>
      <c r="C2716" s="45" t="n">
        <f aca="false">ROUND(MAX(0,'Model Inputs &amp; Assumptions'!$S$33*EXP('Model Inputs &amp; Assumptions'!$T$33*P2716-'Model Inputs &amp; Assumptions'!$T$33^2/2)),0)</f>
        <v>1366530</v>
      </c>
      <c r="D2716" s="46" t="n">
        <f aca="false">MIN(1,'Model Inputs &amp; Assumptions'!$U$33*EXP('Model Inputs &amp; Assumptions'!$V$33*Q2716-'Model Inputs &amp; Assumptions'!$V$33^2/2))</f>
        <v>0</v>
      </c>
      <c r="E2716" s="45" t="n">
        <f aca="false">ROUND(C2716*D2716,0)</f>
        <v>0</v>
      </c>
      <c r="F2716" s="47" t="n">
        <f aca="false">MIN(1,'Model Inputs &amp; Assumptions'!$W$33*EXP('Model Inputs &amp; Assumptions'!$X$33*R2716-'Model Inputs &amp; Assumptions'!$X$33^2/2))</f>
        <v>0.00298280510598487</v>
      </c>
      <c r="G2716" s="45" t="n">
        <f aca="false">ROUND(C2716*F2716,0)</f>
        <v>4076</v>
      </c>
      <c r="H2716" s="48" t="n">
        <f aca="false">MAX(0,(C2716*'Model Inputs &amp; Assumptions'!$N$33+E2716*'Model Inputs &amp; Assumptions'!$O$33+G2716*'Model Inputs &amp; Assumptions'!$P$33)*EXP('Model Inputs &amp; Assumptions'!$Q$33*S2716-'Model Inputs &amp; Assumptions'!$Q$33^2/2))</f>
        <v>169.988281206188</v>
      </c>
      <c r="I2716" s="49" t="n">
        <f aca="false">IF('Model Inputs &amp; Assumptions'!$H$33="Fixed",'Model Inputs &amp; Assumptions'!$I$33*'Model Inputs &amp; Assumptions'!$K$33,IF('Model Inputs &amp; Assumptions'!$H$33="CPM",'Model Inputs &amp; Assumptions'!$I$33*'Model Inputs &amp; Assumptions'!$K$33*C2716/1000,IF('Model Inputs &amp; Assumptions'!$H$33="CPC",'Model Inputs &amp; Assumptions'!$I$33*'Model Inputs &amp; Assumptions'!$K$33*G2716,0)))</f>
        <v>25000</v>
      </c>
      <c r="J2716" s="50" t="n">
        <f aca="false">H2716*INDEX('Model Inputs &amp; Assumptions'!$D$40:$D$42,MATCH('Model Inputs &amp; Assumptions'!$L$33,'Model Inputs &amp; Assumptions'!$A$40:$A$42,0))*INDEX('Model Inputs &amp; Assumptions'!$H$40:$H$42,MATCH('Model Inputs &amp; Assumptions'!$L$33,'Model Inputs &amp; Assumptions'!$A$40:$A$42,0))</f>
        <v>917936.718513413</v>
      </c>
      <c r="K2716" s="49" t="n">
        <f aca="false">H2716*INDEX('Model Inputs &amp; Assumptions'!$G$40:$G$42,MATCH('Model Inputs &amp; Assumptions'!$L$33,'Model Inputs &amp; Assumptions'!$A$40:$A$42,0))*INDEX('Model Inputs &amp; Assumptions'!$H$40:$H$42,MATCH('Model Inputs &amp; Assumptions'!$L$33,'Model Inputs &amp; Assumptions'!$A$40:$A$42,0))</f>
        <v>19276.6710887817</v>
      </c>
      <c r="L2716" s="51" t="n">
        <f aca="false">IFERROR(K2716/I2716,0)</f>
        <v>0.771066843551267</v>
      </c>
      <c r="M2716" s="49" t="n">
        <f aca="false">IFERROR(I2716/H2716,0)</f>
        <v>147.06896159316</v>
      </c>
      <c r="N2716" s="52" t="str">
        <f aca="false">'Model Inputs &amp; Assumptions'!$L$33</f>
        <v>PRD-SP01</v>
      </c>
      <c r="P2716" s="53" t="n">
        <v>0.583177</v>
      </c>
      <c r="Q2716" s="53" t="n">
        <v>0.004092</v>
      </c>
      <c r="R2716" s="53" t="n">
        <v>-0.382996</v>
      </c>
      <c r="S2716" s="53" t="n">
        <v>-0.848285</v>
      </c>
    </row>
    <row r="2717" customFormat="false" ht="15" hidden="false" customHeight="false" outlineLevel="0" collapsed="false">
      <c r="A2717" s="43" t="n">
        <v>214</v>
      </c>
      <c r="B2717" s="44" t="str">
        <f aca="false">'Model Inputs &amp; Assumptions'!$B$33</f>
        <v>Trade Republic — Savings Plan Push</v>
      </c>
      <c r="C2717" s="45" t="n">
        <f aca="false">ROUND(MAX(0,'Model Inputs &amp; Assumptions'!$S$33*EXP('Model Inputs &amp; Assumptions'!$T$33*P2717-'Model Inputs &amp; Assumptions'!$T$33^2/2)),0)</f>
        <v>917451</v>
      </c>
      <c r="D2717" s="46" t="n">
        <f aca="false">MIN(1,'Model Inputs &amp; Assumptions'!$U$33*EXP('Model Inputs &amp; Assumptions'!$V$33*Q2717-'Model Inputs &amp; Assumptions'!$V$33^2/2))</f>
        <v>0</v>
      </c>
      <c r="E2717" s="45" t="n">
        <f aca="false">ROUND(C2717*D2717,0)</f>
        <v>0</v>
      </c>
      <c r="F2717" s="47" t="n">
        <f aca="false">MIN(1,'Model Inputs &amp; Assumptions'!$W$33*EXP('Model Inputs &amp; Assumptions'!$X$33*R2717-'Model Inputs &amp; Assumptions'!$X$33^2/2))</f>
        <v>0.00443241759850387</v>
      </c>
      <c r="G2717" s="45" t="n">
        <f aca="false">ROUND(C2717*F2717,0)</f>
        <v>4067</v>
      </c>
      <c r="H2717" s="48" t="n">
        <f aca="false">MAX(0,(C2717*'Model Inputs &amp; Assumptions'!$N$33+E2717*'Model Inputs &amp; Assumptions'!$O$33+G2717*'Model Inputs &amp; Assumptions'!$P$33)*EXP('Model Inputs &amp; Assumptions'!$Q$33*S2717-'Model Inputs &amp; Assumptions'!$Q$33^2/2))</f>
        <v>210.237325104339</v>
      </c>
      <c r="I2717" s="49" t="n">
        <f aca="false">IF('Model Inputs &amp; Assumptions'!$H$33="Fixed",'Model Inputs &amp; Assumptions'!$I$33*'Model Inputs &amp; Assumptions'!$K$33,IF('Model Inputs &amp; Assumptions'!$H$33="CPM",'Model Inputs &amp; Assumptions'!$I$33*'Model Inputs &amp; Assumptions'!$K$33*C2717/1000,IF('Model Inputs &amp; Assumptions'!$H$33="CPC",'Model Inputs &amp; Assumptions'!$I$33*'Model Inputs &amp; Assumptions'!$K$33*G2717,0)))</f>
        <v>25000</v>
      </c>
      <c r="J2717" s="50" t="n">
        <f aca="false">H2717*INDEX('Model Inputs &amp; Assumptions'!$D$40:$D$42,MATCH('Model Inputs &amp; Assumptions'!$L$33,'Model Inputs &amp; Assumptions'!$A$40:$A$42,0))*INDEX('Model Inputs &amp; Assumptions'!$H$40:$H$42,MATCH('Model Inputs &amp; Assumptions'!$L$33,'Model Inputs &amp; Assumptions'!$A$40:$A$42,0))</f>
        <v>1135281.55556343</v>
      </c>
      <c r="K2717" s="49" t="n">
        <f aca="false">H2717*INDEX('Model Inputs &amp; Assumptions'!$G$40:$G$42,MATCH('Model Inputs &amp; Assumptions'!$L$33,'Model Inputs &amp; Assumptions'!$A$40:$A$42,0))*INDEX('Model Inputs &amp; Assumptions'!$H$40:$H$42,MATCH('Model Inputs &amp; Assumptions'!$L$33,'Model Inputs &amp; Assumptions'!$A$40:$A$42,0))</f>
        <v>23840.912666832</v>
      </c>
      <c r="L2717" s="51" t="n">
        <f aca="false">IFERROR(K2717/I2717,0)</f>
        <v>0.953636506673281</v>
      </c>
      <c r="M2717" s="49" t="n">
        <f aca="false">IFERROR(I2717/H2717,0)</f>
        <v>118.913232879046</v>
      </c>
      <c r="N2717" s="52" t="str">
        <f aca="false">'Model Inputs &amp; Assumptions'!$L$33</f>
        <v>PRD-SP01</v>
      </c>
      <c r="P2717" s="53" t="n">
        <v>-0.744927</v>
      </c>
      <c r="Q2717" s="53" t="n">
        <v>-1.951118</v>
      </c>
      <c r="R2717" s="53" t="n">
        <v>0.937274</v>
      </c>
      <c r="S2717" s="53" t="n">
        <v>-0.081435</v>
      </c>
    </row>
    <row r="2718" customFormat="false" ht="15" hidden="false" customHeight="false" outlineLevel="0" collapsed="false">
      <c r="A2718" s="43" t="n">
        <v>215</v>
      </c>
      <c r="B2718" s="44" t="str">
        <f aca="false">'Model Inputs &amp; Assumptions'!$B$33</f>
        <v>Trade Republic — Savings Plan Push</v>
      </c>
      <c r="C2718" s="45" t="n">
        <f aca="false">ROUND(MAX(0,'Model Inputs &amp; Assumptions'!$S$33*EXP('Model Inputs &amp; Assumptions'!$T$33*P2718-'Model Inputs &amp; Assumptions'!$T$33^2/2)),0)</f>
        <v>738675</v>
      </c>
      <c r="D2718" s="46" t="n">
        <f aca="false">MIN(1,'Model Inputs &amp; Assumptions'!$U$33*EXP('Model Inputs &amp; Assumptions'!$V$33*Q2718-'Model Inputs &amp; Assumptions'!$V$33^2/2))</f>
        <v>0</v>
      </c>
      <c r="E2718" s="45" t="n">
        <f aca="false">ROUND(C2718*D2718,0)</f>
        <v>0</v>
      </c>
      <c r="F2718" s="47" t="n">
        <f aca="false">MIN(1,'Model Inputs &amp; Assumptions'!$W$33*EXP('Model Inputs &amp; Assumptions'!$X$33*R2718-'Model Inputs &amp; Assumptions'!$X$33^2/2))</f>
        <v>0.00262347445864849</v>
      </c>
      <c r="G2718" s="45" t="n">
        <f aca="false">ROUND(C2718*F2718,0)</f>
        <v>1938</v>
      </c>
      <c r="H2718" s="48" t="n">
        <f aca="false">MAX(0,(C2718*'Model Inputs &amp; Assumptions'!$N$33+E2718*'Model Inputs &amp; Assumptions'!$O$33+G2718*'Model Inputs &amp; Assumptions'!$P$33)*EXP('Model Inputs &amp; Assumptions'!$Q$33*S2718-'Model Inputs &amp; Assumptions'!$Q$33^2/2))</f>
        <v>68.2112112180714</v>
      </c>
      <c r="I2718" s="49" t="n">
        <f aca="false">IF('Model Inputs &amp; Assumptions'!$H$33="Fixed",'Model Inputs &amp; Assumptions'!$I$33*'Model Inputs &amp; Assumptions'!$K$33,IF('Model Inputs &amp; Assumptions'!$H$33="CPM",'Model Inputs &amp; Assumptions'!$I$33*'Model Inputs &amp; Assumptions'!$K$33*C2718/1000,IF('Model Inputs &amp; Assumptions'!$H$33="CPC",'Model Inputs &amp; Assumptions'!$I$33*'Model Inputs &amp; Assumptions'!$K$33*G2718,0)))</f>
        <v>25000</v>
      </c>
      <c r="J2718" s="50" t="n">
        <f aca="false">H2718*INDEX('Model Inputs &amp; Assumptions'!$D$40:$D$42,MATCH('Model Inputs &amp; Assumptions'!$L$33,'Model Inputs &amp; Assumptions'!$A$40:$A$42,0))*INDEX('Model Inputs &amp; Assumptions'!$H$40:$H$42,MATCH('Model Inputs &amp; Assumptions'!$L$33,'Model Inputs &amp; Assumptions'!$A$40:$A$42,0))</f>
        <v>368340.540577586</v>
      </c>
      <c r="K2718" s="49" t="n">
        <f aca="false">H2718*INDEX('Model Inputs &amp; Assumptions'!$G$40:$G$42,MATCH('Model Inputs &amp; Assumptions'!$L$33,'Model Inputs &amp; Assumptions'!$A$40:$A$42,0))*INDEX('Model Inputs &amp; Assumptions'!$H$40:$H$42,MATCH('Model Inputs &amp; Assumptions'!$L$33,'Model Inputs &amp; Assumptions'!$A$40:$A$42,0))</f>
        <v>7735.1513521293</v>
      </c>
      <c r="L2718" s="51" t="n">
        <f aca="false">IFERROR(K2718/I2718,0)</f>
        <v>0.309406054085172</v>
      </c>
      <c r="M2718" s="49" t="n">
        <f aca="false">IFERROR(I2718/H2718,0)</f>
        <v>366.508665563421</v>
      </c>
      <c r="N2718" s="52" t="str">
        <f aca="false">'Model Inputs &amp; Assumptions'!$L$33</f>
        <v>PRD-SP01</v>
      </c>
      <c r="P2718" s="53" t="n">
        <v>-1.467394</v>
      </c>
      <c r="Q2718" s="53" t="n">
        <v>2.409998</v>
      </c>
      <c r="R2718" s="53" t="n">
        <v>-0.810878</v>
      </c>
      <c r="S2718" s="53" t="n">
        <v>-1.454217</v>
      </c>
    </row>
    <row r="2719" customFormat="false" ht="15" hidden="false" customHeight="false" outlineLevel="0" collapsed="false">
      <c r="A2719" s="43" t="n">
        <v>216</v>
      </c>
      <c r="B2719" s="44" t="str">
        <f aca="false">'Model Inputs &amp; Assumptions'!$B$33</f>
        <v>Trade Republic — Savings Plan Push</v>
      </c>
      <c r="C2719" s="45" t="n">
        <f aca="false">ROUND(MAX(0,'Model Inputs &amp; Assumptions'!$S$33*EXP('Model Inputs &amp; Assumptions'!$T$33*P2719-'Model Inputs &amp; Assumptions'!$T$33^2/2)),0)</f>
        <v>1191654</v>
      </c>
      <c r="D2719" s="46" t="n">
        <f aca="false">MIN(1,'Model Inputs &amp; Assumptions'!$U$33*EXP('Model Inputs &amp; Assumptions'!$V$33*Q2719-'Model Inputs &amp; Assumptions'!$V$33^2/2))</f>
        <v>0</v>
      </c>
      <c r="E2719" s="45" t="n">
        <f aca="false">ROUND(C2719*D2719,0)</f>
        <v>0</v>
      </c>
      <c r="F2719" s="47" t="n">
        <f aca="false">MIN(1,'Model Inputs &amp; Assumptions'!$W$33*EXP('Model Inputs &amp; Assumptions'!$X$33*R2719-'Model Inputs &amp; Assumptions'!$X$33^2/2))</f>
        <v>0.00203422125198021</v>
      </c>
      <c r="G2719" s="45" t="n">
        <f aca="false">ROUND(C2719*F2719,0)</f>
        <v>2424</v>
      </c>
      <c r="H2719" s="48" t="n">
        <f aca="false">MAX(0,(C2719*'Model Inputs &amp; Assumptions'!$N$33+E2719*'Model Inputs &amp; Assumptions'!$O$33+G2719*'Model Inputs &amp; Assumptions'!$P$33)*EXP('Model Inputs &amp; Assumptions'!$Q$33*S2719-'Model Inputs &amp; Assumptions'!$Q$33^2/2))</f>
        <v>95.8092785320275</v>
      </c>
      <c r="I2719" s="49" t="n">
        <f aca="false">IF('Model Inputs &amp; Assumptions'!$H$33="Fixed",'Model Inputs &amp; Assumptions'!$I$33*'Model Inputs &amp; Assumptions'!$K$33,IF('Model Inputs &amp; Assumptions'!$H$33="CPM",'Model Inputs &amp; Assumptions'!$I$33*'Model Inputs &amp; Assumptions'!$K$33*C2719/1000,IF('Model Inputs &amp; Assumptions'!$H$33="CPC",'Model Inputs &amp; Assumptions'!$I$33*'Model Inputs &amp; Assumptions'!$K$33*G2719,0)))</f>
        <v>25000</v>
      </c>
      <c r="J2719" s="50" t="n">
        <f aca="false">H2719*INDEX('Model Inputs &amp; Assumptions'!$D$40:$D$42,MATCH('Model Inputs &amp; Assumptions'!$L$33,'Model Inputs &amp; Assumptions'!$A$40:$A$42,0))*INDEX('Model Inputs &amp; Assumptions'!$H$40:$H$42,MATCH('Model Inputs &amp; Assumptions'!$L$33,'Model Inputs &amp; Assumptions'!$A$40:$A$42,0))</f>
        <v>517370.104072948</v>
      </c>
      <c r="K2719" s="49" t="n">
        <f aca="false">H2719*INDEX('Model Inputs &amp; Assumptions'!$G$40:$G$42,MATCH('Model Inputs &amp; Assumptions'!$L$33,'Model Inputs &amp; Assumptions'!$A$40:$A$42,0))*INDEX('Model Inputs &amp; Assumptions'!$H$40:$H$42,MATCH('Model Inputs &amp; Assumptions'!$L$33,'Model Inputs &amp; Assumptions'!$A$40:$A$42,0))</f>
        <v>10864.7721855319</v>
      </c>
      <c r="L2719" s="51" t="n">
        <f aca="false">IFERROR(K2719/I2719,0)</f>
        <v>0.434590887421277</v>
      </c>
      <c r="M2719" s="49" t="n">
        <f aca="false">IFERROR(I2719/H2719,0)</f>
        <v>260.93506164586</v>
      </c>
      <c r="N2719" s="52" t="str">
        <f aca="false">'Model Inputs &amp; Assumptions'!$L$33</f>
        <v>PRD-SP01</v>
      </c>
      <c r="P2719" s="53" t="n">
        <v>0.126735</v>
      </c>
      <c r="Q2719" s="53" t="n">
        <v>0.301653</v>
      </c>
      <c r="R2719" s="53" t="n">
        <v>-1.658833</v>
      </c>
      <c r="S2719" s="53" t="n">
        <v>-1.039974</v>
      </c>
    </row>
    <row r="2720" customFormat="false" ht="15" hidden="false" customHeight="false" outlineLevel="0" collapsed="false">
      <c r="A2720" s="43" t="n">
        <v>217</v>
      </c>
      <c r="B2720" s="44" t="str">
        <f aca="false">'Model Inputs &amp; Assumptions'!$B$33</f>
        <v>Trade Republic — Savings Plan Push</v>
      </c>
      <c r="C2720" s="45" t="n">
        <f aca="false">ROUND(MAX(0,'Model Inputs &amp; Assumptions'!$S$33*EXP('Model Inputs &amp; Assumptions'!$T$33*P2720-'Model Inputs &amp; Assumptions'!$T$33^2/2)),0)</f>
        <v>946568</v>
      </c>
      <c r="D2720" s="46" t="n">
        <f aca="false">MIN(1,'Model Inputs &amp; Assumptions'!$U$33*EXP('Model Inputs &amp; Assumptions'!$V$33*Q2720-'Model Inputs &amp; Assumptions'!$V$33^2/2))</f>
        <v>0</v>
      </c>
      <c r="E2720" s="45" t="n">
        <f aca="false">ROUND(C2720*D2720,0)</f>
        <v>0</v>
      </c>
      <c r="F2720" s="47" t="n">
        <f aca="false">MIN(1,'Model Inputs &amp; Assumptions'!$W$33*EXP('Model Inputs &amp; Assumptions'!$X$33*R2720-'Model Inputs &amp; Assumptions'!$X$33^2/2))</f>
        <v>0.00178276827786125</v>
      </c>
      <c r="G2720" s="45" t="n">
        <f aca="false">ROUND(C2720*F2720,0)</f>
        <v>1688</v>
      </c>
      <c r="H2720" s="48" t="n">
        <f aca="false">MAX(0,(C2720*'Model Inputs &amp; Assumptions'!$N$33+E2720*'Model Inputs &amp; Assumptions'!$O$33+G2720*'Model Inputs &amp; Assumptions'!$P$33)*EXP('Model Inputs &amp; Assumptions'!$Q$33*S2720-'Model Inputs &amp; Assumptions'!$Q$33^2/2))</f>
        <v>83.497029920201</v>
      </c>
      <c r="I2720" s="49" t="n">
        <f aca="false">IF('Model Inputs &amp; Assumptions'!$H$33="Fixed",'Model Inputs &amp; Assumptions'!$I$33*'Model Inputs &amp; Assumptions'!$K$33,IF('Model Inputs &amp; Assumptions'!$H$33="CPM",'Model Inputs &amp; Assumptions'!$I$33*'Model Inputs &amp; Assumptions'!$K$33*C2720/1000,IF('Model Inputs &amp; Assumptions'!$H$33="CPC",'Model Inputs &amp; Assumptions'!$I$33*'Model Inputs &amp; Assumptions'!$K$33*G2720,0)))</f>
        <v>25000</v>
      </c>
      <c r="J2720" s="50" t="n">
        <f aca="false">H2720*INDEX('Model Inputs &amp; Assumptions'!$D$40:$D$42,MATCH('Model Inputs &amp; Assumptions'!$L$33,'Model Inputs &amp; Assumptions'!$A$40:$A$42,0))*INDEX('Model Inputs &amp; Assumptions'!$H$40:$H$42,MATCH('Model Inputs &amp; Assumptions'!$L$33,'Model Inputs &amp; Assumptions'!$A$40:$A$42,0))</f>
        <v>450883.961569085</v>
      </c>
      <c r="K2720" s="49" t="n">
        <f aca="false">H2720*INDEX('Model Inputs &amp; Assumptions'!$G$40:$G$42,MATCH('Model Inputs &amp; Assumptions'!$L$33,'Model Inputs &amp; Assumptions'!$A$40:$A$42,0))*INDEX('Model Inputs &amp; Assumptions'!$H$40:$H$42,MATCH('Model Inputs &amp; Assumptions'!$L$33,'Model Inputs &amp; Assumptions'!$A$40:$A$42,0))</f>
        <v>9468.56319295079</v>
      </c>
      <c r="L2720" s="51" t="n">
        <f aca="false">IFERROR(K2720/I2720,0)</f>
        <v>0.378742527718031</v>
      </c>
      <c r="M2720" s="49" t="n">
        <f aca="false">IFERROR(I2720/H2720,0)</f>
        <v>299.411847629703</v>
      </c>
      <c r="N2720" s="52" t="str">
        <f aca="false">'Model Inputs &amp; Assumptions'!$L$33</f>
        <v>PRD-SP01</v>
      </c>
      <c r="P2720" s="53" t="n">
        <v>-0.640779</v>
      </c>
      <c r="Q2720" s="53" t="n">
        <v>1.138164</v>
      </c>
      <c r="R2720" s="53" t="n">
        <v>-2.098652</v>
      </c>
      <c r="S2720" s="53" t="n">
        <v>-0.238809</v>
      </c>
    </row>
    <row r="2721" customFormat="false" ht="15" hidden="false" customHeight="false" outlineLevel="0" collapsed="false">
      <c r="A2721" s="43" t="n">
        <v>218</v>
      </c>
      <c r="B2721" s="44" t="str">
        <f aca="false">'Model Inputs &amp; Assumptions'!$B$33</f>
        <v>Trade Republic — Savings Plan Push</v>
      </c>
      <c r="C2721" s="45" t="n">
        <f aca="false">ROUND(MAX(0,'Model Inputs &amp; Assumptions'!$S$33*EXP('Model Inputs &amp; Assumptions'!$T$33*P2721-'Model Inputs &amp; Assumptions'!$T$33^2/2)),0)</f>
        <v>706696</v>
      </c>
      <c r="D2721" s="46" t="n">
        <f aca="false">MIN(1,'Model Inputs &amp; Assumptions'!$U$33*EXP('Model Inputs &amp; Assumptions'!$V$33*Q2721-'Model Inputs &amp; Assumptions'!$V$33^2/2))</f>
        <v>0</v>
      </c>
      <c r="E2721" s="45" t="n">
        <f aca="false">ROUND(C2721*D2721,0)</f>
        <v>0</v>
      </c>
      <c r="F2721" s="47" t="n">
        <f aca="false">MIN(1,'Model Inputs &amp; Assumptions'!$W$33*EXP('Model Inputs &amp; Assumptions'!$X$33*R2721-'Model Inputs &amp; Assumptions'!$X$33^2/2))</f>
        <v>0.00244982175413421</v>
      </c>
      <c r="G2721" s="45" t="n">
        <f aca="false">ROUND(C2721*F2721,0)</f>
        <v>1731</v>
      </c>
      <c r="H2721" s="48" t="n">
        <f aca="false">MAX(0,(C2721*'Model Inputs &amp; Assumptions'!$N$33+E2721*'Model Inputs &amp; Assumptions'!$O$33+G2721*'Model Inputs &amp; Assumptions'!$P$33)*EXP('Model Inputs &amp; Assumptions'!$Q$33*S2721-'Model Inputs &amp; Assumptions'!$Q$33^2/2))</f>
        <v>147.592122689012</v>
      </c>
      <c r="I2721" s="49" t="n">
        <f aca="false">IF('Model Inputs &amp; Assumptions'!$H$33="Fixed",'Model Inputs &amp; Assumptions'!$I$33*'Model Inputs &amp; Assumptions'!$K$33,IF('Model Inputs &amp; Assumptions'!$H$33="CPM",'Model Inputs &amp; Assumptions'!$I$33*'Model Inputs &amp; Assumptions'!$K$33*C2721/1000,IF('Model Inputs &amp; Assumptions'!$H$33="CPC",'Model Inputs &amp; Assumptions'!$I$33*'Model Inputs &amp; Assumptions'!$K$33*G2721,0)))</f>
        <v>25000</v>
      </c>
      <c r="J2721" s="50" t="n">
        <f aca="false">H2721*INDEX('Model Inputs &amp; Assumptions'!$D$40:$D$42,MATCH('Model Inputs &amp; Assumptions'!$L$33,'Model Inputs &amp; Assumptions'!$A$40:$A$42,0))*INDEX('Model Inputs &amp; Assumptions'!$H$40:$H$42,MATCH('Model Inputs &amp; Assumptions'!$L$33,'Model Inputs &amp; Assumptions'!$A$40:$A$42,0))</f>
        <v>796997.462520665</v>
      </c>
      <c r="K2721" s="49" t="n">
        <f aca="false">H2721*INDEX('Model Inputs &amp; Assumptions'!$G$40:$G$42,MATCH('Model Inputs &amp; Assumptions'!$L$33,'Model Inputs &amp; Assumptions'!$A$40:$A$42,0))*INDEX('Model Inputs &amp; Assumptions'!$H$40:$H$42,MATCH('Model Inputs &amp; Assumptions'!$L$33,'Model Inputs &amp; Assumptions'!$A$40:$A$42,0))</f>
        <v>16736.946712934</v>
      </c>
      <c r="L2721" s="51" t="n">
        <f aca="false">IFERROR(K2721/I2721,0)</f>
        <v>0.669477868517359</v>
      </c>
      <c r="M2721" s="49" t="n">
        <f aca="false">IFERROR(I2721/H2721,0)</f>
        <v>169.385733767627</v>
      </c>
      <c r="N2721" s="52" t="str">
        <f aca="false">'Model Inputs &amp; Assumptions'!$L$33</f>
        <v>PRD-SP01</v>
      </c>
      <c r="P2721" s="53" t="n">
        <v>-1.614921</v>
      </c>
      <c r="Q2721" s="53" t="n">
        <v>0.859811</v>
      </c>
      <c r="R2721" s="53" t="n">
        <v>-1.039159</v>
      </c>
      <c r="S2721" s="53" t="n">
        <v>1.705786</v>
      </c>
    </row>
    <row r="2722" customFormat="false" ht="15" hidden="false" customHeight="false" outlineLevel="0" collapsed="false">
      <c r="A2722" s="43" t="n">
        <v>219</v>
      </c>
      <c r="B2722" s="44" t="str">
        <f aca="false">'Model Inputs &amp; Assumptions'!$B$33</f>
        <v>Trade Republic — Savings Plan Push</v>
      </c>
      <c r="C2722" s="45" t="n">
        <f aca="false">ROUND(MAX(0,'Model Inputs &amp; Assumptions'!$S$33*EXP('Model Inputs &amp; Assumptions'!$T$33*P2722-'Model Inputs &amp; Assumptions'!$T$33^2/2)),0)</f>
        <v>1397974</v>
      </c>
      <c r="D2722" s="46" t="n">
        <f aca="false">MIN(1,'Model Inputs &amp; Assumptions'!$U$33*EXP('Model Inputs &amp; Assumptions'!$V$33*Q2722-'Model Inputs &amp; Assumptions'!$V$33^2/2))</f>
        <v>0</v>
      </c>
      <c r="E2722" s="45" t="n">
        <f aca="false">ROUND(C2722*D2722,0)</f>
        <v>0</v>
      </c>
      <c r="F2722" s="47" t="n">
        <f aca="false">MIN(1,'Model Inputs &amp; Assumptions'!$W$33*EXP('Model Inputs &amp; Assumptions'!$X$33*R2722-'Model Inputs &amp; Assumptions'!$X$33^2/2))</f>
        <v>0.00555639528792071</v>
      </c>
      <c r="G2722" s="45" t="n">
        <f aca="false">ROUND(C2722*F2722,0)</f>
        <v>7768</v>
      </c>
      <c r="H2722" s="48" t="n">
        <f aca="false">MAX(0,(C2722*'Model Inputs &amp; Assumptions'!$N$33+E2722*'Model Inputs &amp; Assumptions'!$O$33+G2722*'Model Inputs &amp; Assumptions'!$P$33)*EXP('Model Inputs &amp; Assumptions'!$Q$33*S2722-'Model Inputs &amp; Assumptions'!$Q$33^2/2))</f>
        <v>546.447630651933</v>
      </c>
      <c r="I2722" s="49" t="n">
        <f aca="false">IF('Model Inputs &amp; Assumptions'!$H$33="Fixed",'Model Inputs &amp; Assumptions'!$I$33*'Model Inputs &amp; Assumptions'!$K$33,IF('Model Inputs &amp; Assumptions'!$H$33="CPM",'Model Inputs &amp; Assumptions'!$I$33*'Model Inputs &amp; Assumptions'!$K$33*C2722/1000,IF('Model Inputs &amp; Assumptions'!$H$33="CPC",'Model Inputs &amp; Assumptions'!$I$33*'Model Inputs &amp; Assumptions'!$K$33*G2722,0)))</f>
        <v>25000</v>
      </c>
      <c r="J2722" s="50" t="n">
        <f aca="false">H2722*INDEX('Model Inputs &amp; Assumptions'!$D$40:$D$42,MATCH('Model Inputs &amp; Assumptions'!$L$33,'Model Inputs &amp; Assumptions'!$A$40:$A$42,0))*INDEX('Model Inputs &amp; Assumptions'!$H$40:$H$42,MATCH('Model Inputs &amp; Assumptions'!$L$33,'Model Inputs &amp; Assumptions'!$A$40:$A$42,0))</f>
        <v>2950817.20552044</v>
      </c>
      <c r="K2722" s="49" t="n">
        <f aca="false">H2722*INDEX('Model Inputs &amp; Assumptions'!$G$40:$G$42,MATCH('Model Inputs &amp; Assumptions'!$L$33,'Model Inputs &amp; Assumptions'!$A$40:$A$42,0))*INDEX('Model Inputs &amp; Assumptions'!$H$40:$H$42,MATCH('Model Inputs &amp; Assumptions'!$L$33,'Model Inputs &amp; Assumptions'!$A$40:$A$42,0))</f>
        <v>61967.1613159292</v>
      </c>
      <c r="L2722" s="51" t="n">
        <f aca="false">IFERROR(K2722/I2722,0)</f>
        <v>2.47868645263717</v>
      </c>
      <c r="M2722" s="49" t="n">
        <f aca="false">IFERROR(I2722/H2722,0)</f>
        <v>45.7500382427755</v>
      </c>
      <c r="N2722" s="52" t="str">
        <f aca="false">'Model Inputs &amp; Assumptions'!$L$33</f>
        <v>PRD-SP01</v>
      </c>
      <c r="P2722" s="53" t="n">
        <v>0.659008</v>
      </c>
      <c r="Q2722" s="53" t="n">
        <v>-1.240428</v>
      </c>
      <c r="R2722" s="53" t="n">
        <v>1.690622</v>
      </c>
      <c r="S2722" s="53" t="n">
        <v>1.018902</v>
      </c>
    </row>
    <row r="2723" customFormat="false" ht="15" hidden="false" customHeight="false" outlineLevel="0" collapsed="false">
      <c r="A2723" s="43" t="n">
        <v>220</v>
      </c>
      <c r="B2723" s="44" t="str">
        <f aca="false">'Model Inputs &amp; Assumptions'!$B$33</f>
        <v>Trade Republic — Savings Plan Push</v>
      </c>
      <c r="C2723" s="45" t="n">
        <f aca="false">ROUND(MAX(0,'Model Inputs &amp; Assumptions'!$S$33*EXP('Model Inputs &amp; Assumptions'!$T$33*P2723-'Model Inputs &amp; Assumptions'!$T$33^2/2)),0)</f>
        <v>1496268</v>
      </c>
      <c r="D2723" s="46" t="n">
        <f aca="false">MIN(1,'Model Inputs &amp; Assumptions'!$U$33*EXP('Model Inputs &amp; Assumptions'!$V$33*Q2723-'Model Inputs &amp; Assumptions'!$V$33^2/2))</f>
        <v>0</v>
      </c>
      <c r="E2723" s="45" t="n">
        <f aca="false">ROUND(C2723*D2723,0)</f>
        <v>0</v>
      </c>
      <c r="F2723" s="47" t="n">
        <f aca="false">MIN(1,'Model Inputs &amp; Assumptions'!$W$33*EXP('Model Inputs &amp; Assumptions'!$X$33*R2723-'Model Inputs &amp; Assumptions'!$X$33^2/2))</f>
        <v>0.00319435844664777</v>
      </c>
      <c r="G2723" s="45" t="n">
        <f aca="false">ROUND(C2723*F2723,0)</f>
        <v>4780</v>
      </c>
      <c r="H2723" s="48" t="n">
        <f aca="false">MAX(0,(C2723*'Model Inputs &amp; Assumptions'!$N$33+E2723*'Model Inputs &amp; Assumptions'!$O$33+G2723*'Model Inputs &amp; Assumptions'!$P$33)*EXP('Model Inputs &amp; Assumptions'!$Q$33*S2723-'Model Inputs &amp; Assumptions'!$Q$33^2/2))</f>
        <v>228.749805009055</v>
      </c>
      <c r="I2723" s="49" t="n">
        <f aca="false">IF('Model Inputs &amp; Assumptions'!$H$33="Fixed",'Model Inputs &amp; Assumptions'!$I$33*'Model Inputs &amp; Assumptions'!$K$33,IF('Model Inputs &amp; Assumptions'!$H$33="CPM",'Model Inputs &amp; Assumptions'!$I$33*'Model Inputs &amp; Assumptions'!$K$33*C2723/1000,IF('Model Inputs &amp; Assumptions'!$H$33="CPC",'Model Inputs &amp; Assumptions'!$I$33*'Model Inputs &amp; Assumptions'!$K$33*G2723,0)))</f>
        <v>25000</v>
      </c>
      <c r="J2723" s="50" t="n">
        <f aca="false">H2723*INDEX('Model Inputs &amp; Assumptions'!$D$40:$D$42,MATCH('Model Inputs &amp; Assumptions'!$L$33,'Model Inputs &amp; Assumptions'!$A$40:$A$42,0))*INDEX('Model Inputs &amp; Assumptions'!$H$40:$H$42,MATCH('Model Inputs &amp; Assumptions'!$L$33,'Model Inputs &amp; Assumptions'!$A$40:$A$42,0))</f>
        <v>1235248.9470489</v>
      </c>
      <c r="K2723" s="49" t="n">
        <f aca="false">H2723*INDEX('Model Inputs &amp; Assumptions'!$G$40:$G$42,MATCH('Model Inputs &amp; Assumptions'!$L$33,'Model Inputs &amp; Assumptions'!$A$40:$A$42,0))*INDEX('Model Inputs &amp; Assumptions'!$H$40:$H$42,MATCH('Model Inputs &amp; Assumptions'!$L$33,'Model Inputs &amp; Assumptions'!$A$40:$A$42,0))</f>
        <v>25940.2278880268</v>
      </c>
      <c r="L2723" s="51" t="n">
        <f aca="false">IFERROR(K2723/I2723,0)</f>
        <v>1.03760911552107</v>
      </c>
      <c r="M2723" s="49" t="n">
        <f aca="false">IFERROR(I2723/H2723,0)</f>
        <v>109.289710647012</v>
      </c>
      <c r="N2723" s="52" t="str">
        <f aca="false">'Model Inputs &amp; Assumptions'!$L$33</f>
        <v>PRD-SP01</v>
      </c>
      <c r="P2723" s="53" t="n">
        <v>0.885509</v>
      </c>
      <c r="Q2723" s="53" t="n">
        <v>0.682239</v>
      </c>
      <c r="R2723" s="53" t="n">
        <v>-0.154589</v>
      </c>
      <c r="S2723" s="53" t="n">
        <v>-0.356946</v>
      </c>
    </row>
    <row r="2724" customFormat="false" ht="15" hidden="false" customHeight="false" outlineLevel="0" collapsed="false">
      <c r="A2724" s="43" t="n">
        <v>221</v>
      </c>
      <c r="B2724" s="44" t="str">
        <f aca="false">'Model Inputs &amp; Assumptions'!$B$33</f>
        <v>Trade Republic — Savings Plan Push</v>
      </c>
      <c r="C2724" s="45" t="n">
        <f aca="false">ROUND(MAX(0,'Model Inputs &amp; Assumptions'!$S$33*EXP('Model Inputs &amp; Assumptions'!$T$33*P2724-'Model Inputs &amp; Assumptions'!$T$33^2/2)),0)</f>
        <v>740906</v>
      </c>
      <c r="D2724" s="46" t="n">
        <f aca="false">MIN(1,'Model Inputs &amp; Assumptions'!$U$33*EXP('Model Inputs &amp; Assumptions'!$V$33*Q2724-'Model Inputs &amp; Assumptions'!$V$33^2/2))</f>
        <v>0</v>
      </c>
      <c r="E2724" s="45" t="n">
        <f aca="false">ROUND(C2724*D2724,0)</f>
        <v>0</v>
      </c>
      <c r="F2724" s="47" t="n">
        <f aca="false">MIN(1,'Model Inputs &amp; Assumptions'!$W$33*EXP('Model Inputs &amp; Assumptions'!$X$33*R2724-'Model Inputs &amp; Assumptions'!$X$33^2/2))</f>
        <v>0.00225155563015458</v>
      </c>
      <c r="G2724" s="45" t="n">
        <f aca="false">ROUND(C2724*F2724,0)</f>
        <v>1668</v>
      </c>
      <c r="H2724" s="48" t="n">
        <f aca="false">MAX(0,(C2724*'Model Inputs &amp; Assumptions'!$N$33+E2724*'Model Inputs &amp; Assumptions'!$O$33+G2724*'Model Inputs &amp; Assumptions'!$P$33)*EXP('Model Inputs &amp; Assumptions'!$Q$33*S2724-'Model Inputs &amp; Assumptions'!$Q$33^2/2))</f>
        <v>96.839128163008</v>
      </c>
      <c r="I2724" s="49" t="n">
        <f aca="false">IF('Model Inputs &amp; Assumptions'!$H$33="Fixed",'Model Inputs &amp; Assumptions'!$I$33*'Model Inputs &amp; Assumptions'!$K$33,IF('Model Inputs &amp; Assumptions'!$H$33="CPM",'Model Inputs &amp; Assumptions'!$I$33*'Model Inputs &amp; Assumptions'!$K$33*C2724/1000,IF('Model Inputs &amp; Assumptions'!$H$33="CPC",'Model Inputs &amp; Assumptions'!$I$33*'Model Inputs &amp; Assumptions'!$K$33*G2724,0)))</f>
        <v>25000</v>
      </c>
      <c r="J2724" s="50" t="n">
        <f aca="false">H2724*INDEX('Model Inputs &amp; Assumptions'!$D$40:$D$42,MATCH('Model Inputs &amp; Assumptions'!$L$33,'Model Inputs &amp; Assumptions'!$A$40:$A$42,0))*INDEX('Model Inputs &amp; Assumptions'!$H$40:$H$42,MATCH('Model Inputs &amp; Assumptions'!$L$33,'Model Inputs &amp; Assumptions'!$A$40:$A$42,0))</f>
        <v>522931.292080243</v>
      </c>
      <c r="K2724" s="49" t="n">
        <f aca="false">H2724*INDEX('Model Inputs &amp; Assumptions'!$G$40:$G$42,MATCH('Model Inputs &amp; Assumptions'!$L$33,'Model Inputs &amp; Assumptions'!$A$40:$A$42,0))*INDEX('Model Inputs &amp; Assumptions'!$H$40:$H$42,MATCH('Model Inputs &amp; Assumptions'!$L$33,'Model Inputs &amp; Assumptions'!$A$40:$A$42,0))</f>
        <v>10981.5571336851</v>
      </c>
      <c r="L2724" s="51" t="n">
        <f aca="false">IFERROR(K2724/I2724,0)</f>
        <v>0.439262285347404</v>
      </c>
      <c r="M2724" s="49" t="n">
        <f aca="false">IFERROR(I2724/H2724,0)</f>
        <v>258.160110218236</v>
      </c>
      <c r="N2724" s="52" t="str">
        <f aca="false">'Model Inputs &amp; Assumptions'!$L$33</f>
        <v>PRD-SP01</v>
      </c>
      <c r="P2724" s="53" t="n">
        <v>-1.457343</v>
      </c>
      <c r="Q2724" s="53" t="n">
        <v>0.52248</v>
      </c>
      <c r="R2724" s="53" t="n">
        <v>-1.320472</v>
      </c>
      <c r="S2724" s="53" t="n">
        <v>0.333188</v>
      </c>
    </row>
    <row r="2725" customFormat="false" ht="15" hidden="false" customHeight="false" outlineLevel="0" collapsed="false">
      <c r="A2725" s="43" t="n">
        <v>222</v>
      </c>
      <c r="B2725" s="44" t="str">
        <f aca="false">'Model Inputs &amp; Assumptions'!$B$33</f>
        <v>Trade Republic — Savings Plan Push</v>
      </c>
      <c r="C2725" s="45" t="n">
        <f aca="false">ROUND(MAX(0,'Model Inputs &amp; Assumptions'!$S$33*EXP('Model Inputs &amp; Assumptions'!$T$33*P2725-'Model Inputs &amp; Assumptions'!$T$33^2/2)),0)</f>
        <v>1056349</v>
      </c>
      <c r="D2725" s="46" t="n">
        <f aca="false">MIN(1,'Model Inputs &amp; Assumptions'!$U$33*EXP('Model Inputs &amp; Assumptions'!$V$33*Q2725-'Model Inputs &amp; Assumptions'!$V$33^2/2))</f>
        <v>0</v>
      </c>
      <c r="E2725" s="45" t="n">
        <f aca="false">ROUND(C2725*D2725,0)</f>
        <v>0</v>
      </c>
      <c r="F2725" s="47" t="n">
        <f aca="false">MIN(1,'Model Inputs &amp; Assumptions'!$W$33*EXP('Model Inputs &amp; Assumptions'!$X$33*R2725-'Model Inputs &amp; Assumptions'!$X$33^2/2))</f>
        <v>0.00431900420894013</v>
      </c>
      <c r="G2725" s="45" t="n">
        <f aca="false">ROUND(C2725*F2725,0)</f>
        <v>4562</v>
      </c>
      <c r="H2725" s="48" t="n">
        <f aca="false">MAX(0,(C2725*'Model Inputs &amp; Assumptions'!$N$33+E2725*'Model Inputs &amp; Assumptions'!$O$33+G2725*'Model Inputs &amp; Assumptions'!$P$33)*EXP('Model Inputs &amp; Assumptions'!$Q$33*S2725-'Model Inputs &amp; Assumptions'!$Q$33^2/2))</f>
        <v>184.860385850923</v>
      </c>
      <c r="I2725" s="49" t="n">
        <f aca="false">IF('Model Inputs &amp; Assumptions'!$H$33="Fixed",'Model Inputs &amp; Assumptions'!$I$33*'Model Inputs &amp; Assumptions'!$K$33,IF('Model Inputs &amp; Assumptions'!$H$33="CPM",'Model Inputs &amp; Assumptions'!$I$33*'Model Inputs &amp; Assumptions'!$K$33*C2725/1000,IF('Model Inputs &amp; Assumptions'!$H$33="CPC",'Model Inputs &amp; Assumptions'!$I$33*'Model Inputs &amp; Assumptions'!$K$33*G2725,0)))</f>
        <v>25000</v>
      </c>
      <c r="J2725" s="50" t="n">
        <f aca="false">H2725*INDEX('Model Inputs &amp; Assumptions'!$D$40:$D$42,MATCH('Model Inputs &amp; Assumptions'!$L$33,'Model Inputs &amp; Assumptions'!$A$40:$A$42,0))*INDEX('Model Inputs &amp; Assumptions'!$H$40:$H$42,MATCH('Model Inputs &amp; Assumptions'!$L$33,'Model Inputs &amp; Assumptions'!$A$40:$A$42,0))</f>
        <v>998246.083594985</v>
      </c>
      <c r="K2725" s="49" t="n">
        <f aca="false">H2725*INDEX('Model Inputs &amp; Assumptions'!$G$40:$G$42,MATCH('Model Inputs &amp; Assumptions'!$L$33,'Model Inputs &amp; Assumptions'!$A$40:$A$42,0))*INDEX('Model Inputs &amp; Assumptions'!$H$40:$H$42,MATCH('Model Inputs &amp; Assumptions'!$L$33,'Model Inputs &amp; Assumptions'!$A$40:$A$42,0))</f>
        <v>20963.1677554947</v>
      </c>
      <c r="L2725" s="51" t="n">
        <f aca="false">IFERROR(K2725/I2725,0)</f>
        <v>0.838526710219787</v>
      </c>
      <c r="M2725" s="49" t="n">
        <f aca="false">IFERROR(I2725/H2725,0)</f>
        <v>135.237194734413</v>
      </c>
      <c r="N2725" s="52" t="str">
        <f aca="false">'Model Inputs &amp; Assumptions'!$L$33</f>
        <v>PRD-SP01</v>
      </c>
      <c r="P2725" s="53" t="n">
        <v>-0.27501</v>
      </c>
      <c r="Q2725" s="53" t="n">
        <v>0.708547</v>
      </c>
      <c r="R2725" s="53" t="n">
        <v>0.850873</v>
      </c>
      <c r="S2725" s="53" t="n">
        <v>-0.951048</v>
      </c>
    </row>
    <row r="2726" customFormat="false" ht="15" hidden="false" customHeight="false" outlineLevel="0" collapsed="false">
      <c r="A2726" s="43" t="n">
        <v>223</v>
      </c>
      <c r="B2726" s="44" t="str">
        <f aca="false">'Model Inputs &amp; Assumptions'!$B$33</f>
        <v>Trade Republic — Savings Plan Push</v>
      </c>
      <c r="C2726" s="45" t="n">
        <f aca="false">ROUND(MAX(0,'Model Inputs &amp; Assumptions'!$S$33*EXP('Model Inputs &amp; Assumptions'!$T$33*P2726-'Model Inputs &amp; Assumptions'!$T$33^2/2)),0)</f>
        <v>1771489</v>
      </c>
      <c r="D2726" s="46" t="n">
        <f aca="false">MIN(1,'Model Inputs &amp; Assumptions'!$U$33*EXP('Model Inputs &amp; Assumptions'!$V$33*Q2726-'Model Inputs &amp; Assumptions'!$V$33^2/2))</f>
        <v>0</v>
      </c>
      <c r="E2726" s="45" t="n">
        <f aca="false">ROUND(C2726*D2726,0)</f>
        <v>0</v>
      </c>
      <c r="F2726" s="47" t="n">
        <f aca="false">MIN(1,'Model Inputs &amp; Assumptions'!$W$33*EXP('Model Inputs &amp; Assumptions'!$X$33*R2726-'Model Inputs &amp; Assumptions'!$X$33^2/2))</f>
        <v>0.00456205038589478</v>
      </c>
      <c r="G2726" s="45" t="n">
        <f aca="false">ROUND(C2726*F2726,0)</f>
        <v>8082</v>
      </c>
      <c r="H2726" s="48" t="n">
        <f aca="false">MAX(0,(C2726*'Model Inputs &amp; Assumptions'!$N$33+E2726*'Model Inputs &amp; Assumptions'!$O$33+G2726*'Model Inputs &amp; Assumptions'!$P$33)*EXP('Model Inputs &amp; Assumptions'!$Q$33*S2726-'Model Inputs &amp; Assumptions'!$Q$33^2/2))</f>
        <v>571.094463907896</v>
      </c>
      <c r="I2726" s="49" t="n">
        <f aca="false">IF('Model Inputs &amp; Assumptions'!$H$33="Fixed",'Model Inputs &amp; Assumptions'!$I$33*'Model Inputs &amp; Assumptions'!$K$33,IF('Model Inputs &amp; Assumptions'!$H$33="CPM",'Model Inputs &amp; Assumptions'!$I$33*'Model Inputs &amp; Assumptions'!$K$33*C2726/1000,IF('Model Inputs &amp; Assumptions'!$H$33="CPC",'Model Inputs &amp; Assumptions'!$I$33*'Model Inputs &amp; Assumptions'!$K$33*G2726,0)))</f>
        <v>25000</v>
      </c>
      <c r="J2726" s="50" t="n">
        <f aca="false">H2726*INDEX('Model Inputs &amp; Assumptions'!$D$40:$D$42,MATCH('Model Inputs &amp; Assumptions'!$L$33,'Model Inputs &amp; Assumptions'!$A$40:$A$42,0))*INDEX('Model Inputs &amp; Assumptions'!$H$40:$H$42,MATCH('Model Inputs &amp; Assumptions'!$L$33,'Model Inputs &amp; Assumptions'!$A$40:$A$42,0))</f>
        <v>3083910.10510264</v>
      </c>
      <c r="K2726" s="49" t="n">
        <f aca="false">H2726*INDEX('Model Inputs &amp; Assumptions'!$G$40:$G$42,MATCH('Model Inputs &amp; Assumptions'!$L$33,'Model Inputs &amp; Assumptions'!$A$40:$A$42,0))*INDEX('Model Inputs &amp; Assumptions'!$H$40:$H$42,MATCH('Model Inputs &amp; Assumptions'!$L$33,'Model Inputs &amp; Assumptions'!$A$40:$A$42,0))</f>
        <v>64762.1122071554</v>
      </c>
      <c r="L2726" s="51" t="n">
        <f aca="false">IFERROR(K2726/I2726,0)</f>
        <v>2.59048448828622</v>
      </c>
      <c r="M2726" s="49" t="n">
        <f aca="false">IFERROR(I2726/H2726,0)</f>
        <v>43.7755950721874</v>
      </c>
      <c r="N2726" s="52" t="str">
        <f aca="false">'Model Inputs &amp; Assumptions'!$L$33</f>
        <v>PRD-SP01</v>
      </c>
      <c r="P2726" s="53" t="n">
        <v>1.448329</v>
      </c>
      <c r="Q2726" s="53" t="n">
        <v>-0.265739</v>
      </c>
      <c r="R2726" s="53" t="n">
        <v>1.033364</v>
      </c>
      <c r="S2726" s="53" t="n">
        <v>1.034936</v>
      </c>
    </row>
    <row r="2727" customFormat="false" ht="15" hidden="false" customHeight="false" outlineLevel="0" collapsed="false">
      <c r="A2727" s="43" t="n">
        <v>224</v>
      </c>
      <c r="B2727" s="44" t="str">
        <f aca="false">'Model Inputs &amp; Assumptions'!$B$33</f>
        <v>Trade Republic — Savings Plan Push</v>
      </c>
      <c r="C2727" s="45" t="n">
        <f aca="false">ROUND(MAX(0,'Model Inputs &amp; Assumptions'!$S$33*EXP('Model Inputs &amp; Assumptions'!$T$33*P2727-'Model Inputs &amp; Assumptions'!$T$33^2/2)),0)</f>
        <v>1992763</v>
      </c>
      <c r="D2727" s="46" t="n">
        <f aca="false">MIN(1,'Model Inputs &amp; Assumptions'!$U$33*EXP('Model Inputs &amp; Assumptions'!$V$33*Q2727-'Model Inputs &amp; Assumptions'!$V$33^2/2))</f>
        <v>0</v>
      </c>
      <c r="E2727" s="45" t="n">
        <f aca="false">ROUND(C2727*D2727,0)</f>
        <v>0</v>
      </c>
      <c r="F2727" s="47" t="n">
        <f aca="false">MIN(1,'Model Inputs &amp; Assumptions'!$W$33*EXP('Model Inputs &amp; Assumptions'!$X$33*R2727-'Model Inputs &amp; Assumptions'!$X$33^2/2))</f>
        <v>0.00303776536707072</v>
      </c>
      <c r="G2727" s="45" t="n">
        <f aca="false">ROUND(C2727*F2727,0)</f>
        <v>6054</v>
      </c>
      <c r="H2727" s="48" t="n">
        <f aca="false">MAX(0,(C2727*'Model Inputs &amp; Assumptions'!$N$33+E2727*'Model Inputs &amp; Assumptions'!$O$33+G2727*'Model Inputs &amp; Assumptions'!$P$33)*EXP('Model Inputs &amp; Assumptions'!$Q$33*S2727-'Model Inputs &amp; Assumptions'!$Q$33^2/2))</f>
        <v>403.587515776573</v>
      </c>
      <c r="I2727" s="49" t="n">
        <f aca="false">IF('Model Inputs &amp; Assumptions'!$H$33="Fixed",'Model Inputs &amp; Assumptions'!$I$33*'Model Inputs &amp; Assumptions'!$K$33,IF('Model Inputs &amp; Assumptions'!$H$33="CPM",'Model Inputs &amp; Assumptions'!$I$33*'Model Inputs &amp; Assumptions'!$K$33*C2727/1000,IF('Model Inputs &amp; Assumptions'!$H$33="CPC",'Model Inputs &amp; Assumptions'!$I$33*'Model Inputs &amp; Assumptions'!$K$33*G2727,0)))</f>
        <v>25000</v>
      </c>
      <c r="J2727" s="50" t="n">
        <f aca="false">H2727*INDEX('Model Inputs &amp; Assumptions'!$D$40:$D$42,MATCH('Model Inputs &amp; Assumptions'!$L$33,'Model Inputs &amp; Assumptions'!$A$40:$A$42,0))*INDEX('Model Inputs &amp; Assumptions'!$H$40:$H$42,MATCH('Model Inputs &amp; Assumptions'!$L$33,'Model Inputs &amp; Assumptions'!$A$40:$A$42,0))</f>
        <v>2179372.58519349</v>
      </c>
      <c r="K2727" s="49" t="n">
        <f aca="false">H2727*INDEX('Model Inputs &amp; Assumptions'!$G$40:$G$42,MATCH('Model Inputs &amp; Assumptions'!$L$33,'Model Inputs &amp; Assumptions'!$A$40:$A$42,0))*INDEX('Model Inputs &amp; Assumptions'!$H$40:$H$42,MATCH('Model Inputs &amp; Assumptions'!$L$33,'Model Inputs &amp; Assumptions'!$A$40:$A$42,0))</f>
        <v>45766.8242890634</v>
      </c>
      <c r="L2727" s="51" t="n">
        <f aca="false">IFERROR(K2727/I2727,0)</f>
        <v>1.83067297156253</v>
      </c>
      <c r="M2727" s="49" t="n">
        <f aca="false">IFERROR(I2727/H2727,0)</f>
        <v>61.9444334195909</v>
      </c>
      <c r="N2727" s="52" t="str">
        <f aca="false">'Model Inputs &amp; Assumptions'!$L$33</f>
        <v>PRD-SP01</v>
      </c>
      <c r="P2727" s="53" t="n">
        <v>1.840669</v>
      </c>
      <c r="Q2727" s="53" t="n">
        <v>0.350025</v>
      </c>
      <c r="R2727" s="53" t="n">
        <v>-0.322136</v>
      </c>
      <c r="S2727" s="53" t="n">
        <v>0.826932</v>
      </c>
    </row>
    <row r="2728" customFormat="false" ht="15" hidden="false" customHeight="false" outlineLevel="0" collapsed="false">
      <c r="A2728" s="43" t="n">
        <v>225</v>
      </c>
      <c r="B2728" s="44" t="str">
        <f aca="false">'Model Inputs &amp; Assumptions'!$B$33</f>
        <v>Trade Republic — Savings Plan Push</v>
      </c>
      <c r="C2728" s="45" t="n">
        <f aca="false">ROUND(MAX(0,'Model Inputs &amp; Assumptions'!$S$33*EXP('Model Inputs &amp; Assumptions'!$T$33*P2728-'Model Inputs &amp; Assumptions'!$T$33^2/2)),0)</f>
        <v>1218677</v>
      </c>
      <c r="D2728" s="46" t="n">
        <f aca="false">MIN(1,'Model Inputs &amp; Assumptions'!$U$33*EXP('Model Inputs &amp; Assumptions'!$V$33*Q2728-'Model Inputs &amp; Assumptions'!$V$33^2/2))</f>
        <v>0</v>
      </c>
      <c r="E2728" s="45" t="n">
        <f aca="false">ROUND(C2728*D2728,0)</f>
        <v>0</v>
      </c>
      <c r="F2728" s="47" t="n">
        <f aca="false">MIN(1,'Model Inputs &amp; Assumptions'!$W$33*EXP('Model Inputs &amp; Assumptions'!$X$33*R2728-'Model Inputs &amp; Assumptions'!$X$33^2/2))</f>
        <v>0.00564454543149842</v>
      </c>
      <c r="G2728" s="45" t="n">
        <f aca="false">ROUND(C2728*F2728,0)</f>
        <v>6879</v>
      </c>
      <c r="H2728" s="48" t="n">
        <f aca="false">MAX(0,(C2728*'Model Inputs &amp; Assumptions'!$N$33+E2728*'Model Inputs &amp; Assumptions'!$O$33+G2728*'Model Inputs &amp; Assumptions'!$P$33)*EXP('Model Inputs &amp; Assumptions'!$Q$33*S2728-'Model Inputs &amp; Assumptions'!$Q$33^2/2))</f>
        <v>438.329099857064</v>
      </c>
      <c r="I2728" s="49" t="n">
        <f aca="false">IF('Model Inputs &amp; Assumptions'!$H$33="Fixed",'Model Inputs &amp; Assumptions'!$I$33*'Model Inputs &amp; Assumptions'!$K$33,IF('Model Inputs &amp; Assumptions'!$H$33="CPM",'Model Inputs &amp; Assumptions'!$I$33*'Model Inputs &amp; Assumptions'!$K$33*C2728/1000,IF('Model Inputs &amp; Assumptions'!$H$33="CPC",'Model Inputs &amp; Assumptions'!$I$33*'Model Inputs &amp; Assumptions'!$K$33*G2728,0)))</f>
        <v>25000</v>
      </c>
      <c r="J2728" s="50" t="n">
        <f aca="false">H2728*INDEX('Model Inputs &amp; Assumptions'!$D$40:$D$42,MATCH('Model Inputs &amp; Assumptions'!$L$33,'Model Inputs &amp; Assumptions'!$A$40:$A$42,0))*INDEX('Model Inputs &amp; Assumptions'!$H$40:$H$42,MATCH('Model Inputs &amp; Assumptions'!$L$33,'Model Inputs &amp; Assumptions'!$A$40:$A$42,0))</f>
        <v>2366977.13922814</v>
      </c>
      <c r="K2728" s="49" t="n">
        <f aca="false">H2728*INDEX('Model Inputs &amp; Assumptions'!$G$40:$G$42,MATCH('Model Inputs &amp; Assumptions'!$L$33,'Model Inputs &amp; Assumptions'!$A$40:$A$42,0))*INDEX('Model Inputs &amp; Assumptions'!$H$40:$H$42,MATCH('Model Inputs &amp; Assumptions'!$L$33,'Model Inputs &amp; Assumptions'!$A$40:$A$42,0))</f>
        <v>49706.519923791</v>
      </c>
      <c r="L2728" s="51" t="n">
        <f aca="false">IFERROR(K2728/I2728,0)</f>
        <v>1.98826079695164</v>
      </c>
      <c r="M2728" s="49" t="n">
        <f aca="false">IFERROR(I2728/H2728,0)</f>
        <v>57.0347713810293</v>
      </c>
      <c r="N2728" s="52" t="str">
        <f aca="false">'Model Inputs &amp; Assumptions'!$L$33</f>
        <v>PRD-SP01</v>
      </c>
      <c r="P2728" s="53" t="n">
        <v>0.20148</v>
      </c>
      <c r="Q2728" s="53" t="n">
        <v>-1.114345</v>
      </c>
      <c r="R2728" s="53" t="n">
        <v>1.743089</v>
      </c>
      <c r="S2728" s="53" t="n">
        <v>0.665584</v>
      </c>
    </row>
    <row r="2729" customFormat="false" ht="15" hidden="false" customHeight="false" outlineLevel="0" collapsed="false">
      <c r="A2729" s="43" t="n">
        <v>226</v>
      </c>
      <c r="B2729" s="44" t="str">
        <f aca="false">'Model Inputs &amp; Assumptions'!$B$33</f>
        <v>Trade Republic — Savings Plan Push</v>
      </c>
      <c r="C2729" s="45" t="n">
        <f aca="false">ROUND(MAX(0,'Model Inputs &amp; Assumptions'!$S$33*EXP('Model Inputs &amp; Assumptions'!$T$33*P2729-'Model Inputs &amp; Assumptions'!$T$33^2/2)),0)</f>
        <v>1184902</v>
      </c>
      <c r="D2729" s="46" t="n">
        <f aca="false">MIN(1,'Model Inputs &amp; Assumptions'!$U$33*EXP('Model Inputs &amp; Assumptions'!$V$33*Q2729-'Model Inputs &amp; Assumptions'!$V$33^2/2))</f>
        <v>0</v>
      </c>
      <c r="E2729" s="45" t="n">
        <f aca="false">ROUND(C2729*D2729,0)</f>
        <v>0</v>
      </c>
      <c r="F2729" s="47" t="n">
        <f aca="false">MIN(1,'Model Inputs &amp; Assumptions'!$W$33*EXP('Model Inputs &amp; Assumptions'!$X$33*R2729-'Model Inputs &amp; Assumptions'!$X$33^2/2))</f>
        <v>0.00318243545015335</v>
      </c>
      <c r="G2729" s="45" t="n">
        <f aca="false">ROUND(C2729*F2729,0)</f>
        <v>3771</v>
      </c>
      <c r="H2729" s="48" t="n">
        <f aca="false">MAX(0,(C2729*'Model Inputs &amp; Assumptions'!$N$33+E2729*'Model Inputs &amp; Assumptions'!$O$33+G2729*'Model Inputs &amp; Assumptions'!$P$33)*EXP('Model Inputs &amp; Assumptions'!$Q$33*S2729-'Model Inputs &amp; Assumptions'!$Q$33^2/2))</f>
        <v>235.273249740223</v>
      </c>
      <c r="I2729" s="49" t="n">
        <f aca="false">IF('Model Inputs &amp; Assumptions'!$H$33="Fixed",'Model Inputs &amp; Assumptions'!$I$33*'Model Inputs &amp; Assumptions'!$K$33,IF('Model Inputs &amp; Assumptions'!$H$33="CPM",'Model Inputs &amp; Assumptions'!$I$33*'Model Inputs &amp; Assumptions'!$K$33*C2729/1000,IF('Model Inputs &amp; Assumptions'!$H$33="CPC",'Model Inputs &amp; Assumptions'!$I$33*'Model Inputs &amp; Assumptions'!$K$33*G2729,0)))</f>
        <v>25000</v>
      </c>
      <c r="J2729" s="50" t="n">
        <f aca="false">H2729*INDEX('Model Inputs &amp; Assumptions'!$D$40:$D$42,MATCH('Model Inputs &amp; Assumptions'!$L$33,'Model Inputs &amp; Assumptions'!$A$40:$A$42,0))*INDEX('Model Inputs &amp; Assumptions'!$H$40:$H$42,MATCH('Model Inputs &amp; Assumptions'!$L$33,'Model Inputs &amp; Assumptions'!$A$40:$A$42,0))</f>
        <v>1270475.5485972</v>
      </c>
      <c r="K2729" s="49" t="n">
        <f aca="false">H2729*INDEX('Model Inputs &amp; Assumptions'!$G$40:$G$42,MATCH('Model Inputs &amp; Assumptions'!$L$33,'Model Inputs &amp; Assumptions'!$A$40:$A$42,0))*INDEX('Model Inputs &amp; Assumptions'!$H$40:$H$42,MATCH('Model Inputs &amp; Assumptions'!$L$33,'Model Inputs &amp; Assumptions'!$A$40:$A$42,0))</f>
        <v>26679.9865205412</v>
      </c>
      <c r="L2729" s="51" t="n">
        <f aca="false">IFERROR(K2729/I2729,0)</f>
        <v>1.06719946082165</v>
      </c>
      <c r="M2729" s="49" t="n">
        <f aca="false">IFERROR(I2729/H2729,0)</f>
        <v>106.259423999982</v>
      </c>
      <c r="N2729" s="52" t="str">
        <f aca="false">'Model Inputs &amp; Assumptions'!$L$33</f>
        <v>PRD-SP01</v>
      </c>
      <c r="P2729" s="53" t="n">
        <v>0.107796</v>
      </c>
      <c r="Q2729" s="53" t="n">
        <v>-0.018851</v>
      </c>
      <c r="R2729" s="53" t="n">
        <v>-0.167054</v>
      </c>
      <c r="S2729" s="53" t="n">
        <v>0.590265</v>
      </c>
    </row>
    <row r="2730" customFormat="false" ht="15" hidden="false" customHeight="false" outlineLevel="0" collapsed="false">
      <c r="A2730" s="43" t="n">
        <v>227</v>
      </c>
      <c r="B2730" s="44" t="str">
        <f aca="false">'Model Inputs &amp; Assumptions'!$B$33</f>
        <v>Trade Republic — Savings Plan Push</v>
      </c>
      <c r="C2730" s="45" t="n">
        <f aca="false">ROUND(MAX(0,'Model Inputs &amp; Assumptions'!$S$33*EXP('Model Inputs &amp; Assumptions'!$T$33*P2730-'Model Inputs &amp; Assumptions'!$T$33^2/2)),0)</f>
        <v>908944</v>
      </c>
      <c r="D2730" s="46" t="n">
        <f aca="false">MIN(1,'Model Inputs &amp; Assumptions'!$U$33*EXP('Model Inputs &amp; Assumptions'!$V$33*Q2730-'Model Inputs &amp; Assumptions'!$V$33^2/2))</f>
        <v>0</v>
      </c>
      <c r="E2730" s="45" t="n">
        <f aca="false">ROUND(C2730*D2730,0)</f>
        <v>0</v>
      </c>
      <c r="F2730" s="47" t="n">
        <f aca="false">MIN(1,'Model Inputs &amp; Assumptions'!$W$33*EXP('Model Inputs &amp; Assumptions'!$X$33*R2730-'Model Inputs &amp; Assumptions'!$X$33^2/2))</f>
        <v>0.002736543064348</v>
      </c>
      <c r="G2730" s="45" t="n">
        <f aca="false">ROUND(C2730*F2730,0)</f>
        <v>2487</v>
      </c>
      <c r="H2730" s="48" t="n">
        <f aca="false">MAX(0,(C2730*'Model Inputs &amp; Assumptions'!$N$33+E2730*'Model Inputs &amp; Assumptions'!$O$33+G2730*'Model Inputs &amp; Assumptions'!$P$33)*EXP('Model Inputs &amp; Assumptions'!$Q$33*S2730-'Model Inputs &amp; Assumptions'!$Q$33^2/2))</f>
        <v>138.820774637515</v>
      </c>
      <c r="I2730" s="49" t="n">
        <f aca="false">IF('Model Inputs &amp; Assumptions'!$H$33="Fixed",'Model Inputs &amp; Assumptions'!$I$33*'Model Inputs &amp; Assumptions'!$K$33,IF('Model Inputs &amp; Assumptions'!$H$33="CPM",'Model Inputs &amp; Assumptions'!$I$33*'Model Inputs &amp; Assumptions'!$K$33*C2730/1000,IF('Model Inputs &amp; Assumptions'!$H$33="CPC",'Model Inputs &amp; Assumptions'!$I$33*'Model Inputs &amp; Assumptions'!$K$33*G2730,0)))</f>
        <v>25000</v>
      </c>
      <c r="J2730" s="50" t="n">
        <f aca="false">H2730*INDEX('Model Inputs &amp; Assumptions'!$D$40:$D$42,MATCH('Model Inputs &amp; Assumptions'!$L$33,'Model Inputs &amp; Assumptions'!$A$40:$A$42,0))*INDEX('Model Inputs &amp; Assumptions'!$H$40:$H$42,MATCH('Model Inputs &amp; Assumptions'!$L$33,'Model Inputs &amp; Assumptions'!$A$40:$A$42,0))</f>
        <v>749632.183042584</v>
      </c>
      <c r="K2730" s="49" t="n">
        <f aca="false">H2730*INDEX('Model Inputs &amp; Assumptions'!$G$40:$G$42,MATCH('Model Inputs &amp; Assumptions'!$L$33,'Model Inputs &amp; Assumptions'!$A$40:$A$42,0))*INDEX('Model Inputs &amp; Assumptions'!$H$40:$H$42,MATCH('Model Inputs &amp; Assumptions'!$L$33,'Model Inputs &amp; Assumptions'!$A$40:$A$42,0))</f>
        <v>15742.2758438943</v>
      </c>
      <c r="L2730" s="51" t="n">
        <f aca="false">IFERROR(K2730/I2730,0)</f>
        <v>0.62969103375577</v>
      </c>
      <c r="M2730" s="49" t="n">
        <f aca="false">IFERROR(I2730/H2730,0)</f>
        <v>180.088319383603</v>
      </c>
      <c r="N2730" s="52" t="str">
        <f aca="false">'Model Inputs &amp; Assumptions'!$L$33</f>
        <v>PRD-SP01</v>
      </c>
      <c r="P2730" s="53" t="n">
        <v>-0.775977</v>
      </c>
      <c r="Q2730" s="53" t="n">
        <v>-0.719586</v>
      </c>
      <c r="R2730" s="53" t="n">
        <v>-0.670225</v>
      </c>
      <c r="S2730" s="53" t="n">
        <v>0.192762</v>
      </c>
    </row>
    <row r="2731" customFormat="false" ht="15" hidden="false" customHeight="false" outlineLevel="0" collapsed="false">
      <c r="A2731" s="43" t="n">
        <v>228</v>
      </c>
      <c r="B2731" s="44" t="str">
        <f aca="false">'Model Inputs &amp; Assumptions'!$B$33</f>
        <v>Trade Republic — Savings Plan Push</v>
      </c>
      <c r="C2731" s="45" t="n">
        <f aca="false">ROUND(MAX(0,'Model Inputs &amp; Assumptions'!$S$33*EXP('Model Inputs &amp; Assumptions'!$T$33*P2731-'Model Inputs &amp; Assumptions'!$T$33^2/2)),0)</f>
        <v>1158625</v>
      </c>
      <c r="D2731" s="46" t="n">
        <f aca="false">MIN(1,'Model Inputs &amp; Assumptions'!$U$33*EXP('Model Inputs &amp; Assumptions'!$V$33*Q2731-'Model Inputs &amp; Assumptions'!$V$33^2/2))</f>
        <v>0</v>
      </c>
      <c r="E2731" s="45" t="n">
        <f aca="false">ROUND(C2731*D2731,0)</f>
        <v>0</v>
      </c>
      <c r="F2731" s="47" t="n">
        <f aca="false">MIN(1,'Model Inputs &amp; Assumptions'!$W$33*EXP('Model Inputs &amp; Assumptions'!$X$33*R2731-'Model Inputs &amp; Assumptions'!$X$33^2/2))</f>
        <v>0.00430443793549548</v>
      </c>
      <c r="G2731" s="45" t="n">
        <f aca="false">ROUND(C2731*F2731,0)</f>
        <v>4987</v>
      </c>
      <c r="H2731" s="48" t="n">
        <f aca="false">MAX(0,(C2731*'Model Inputs &amp; Assumptions'!$N$33+E2731*'Model Inputs &amp; Assumptions'!$O$33+G2731*'Model Inputs &amp; Assumptions'!$P$33)*EXP('Model Inputs &amp; Assumptions'!$Q$33*S2731-'Model Inputs &amp; Assumptions'!$Q$33^2/2))</f>
        <v>157.429779089643</v>
      </c>
      <c r="I2731" s="49" t="n">
        <f aca="false">IF('Model Inputs &amp; Assumptions'!$H$33="Fixed",'Model Inputs &amp; Assumptions'!$I$33*'Model Inputs &amp; Assumptions'!$K$33,IF('Model Inputs &amp; Assumptions'!$H$33="CPM",'Model Inputs &amp; Assumptions'!$I$33*'Model Inputs &amp; Assumptions'!$K$33*C2731/1000,IF('Model Inputs &amp; Assumptions'!$H$33="CPC",'Model Inputs &amp; Assumptions'!$I$33*'Model Inputs &amp; Assumptions'!$K$33*G2731,0)))</f>
        <v>25000</v>
      </c>
      <c r="J2731" s="50" t="n">
        <f aca="false">H2731*INDEX('Model Inputs &amp; Assumptions'!$D$40:$D$42,MATCH('Model Inputs &amp; Assumptions'!$L$33,'Model Inputs &amp; Assumptions'!$A$40:$A$42,0))*INDEX('Model Inputs &amp; Assumptions'!$H$40:$H$42,MATCH('Model Inputs &amp; Assumptions'!$L$33,'Model Inputs &amp; Assumptions'!$A$40:$A$42,0))</f>
        <v>850120.807084074</v>
      </c>
      <c r="K2731" s="49" t="n">
        <f aca="false">H2731*INDEX('Model Inputs &amp; Assumptions'!$G$40:$G$42,MATCH('Model Inputs &amp; Assumptions'!$L$33,'Model Inputs &amp; Assumptions'!$A$40:$A$42,0))*INDEX('Model Inputs &amp; Assumptions'!$H$40:$H$42,MATCH('Model Inputs &amp; Assumptions'!$L$33,'Model Inputs &amp; Assumptions'!$A$40:$A$42,0))</f>
        <v>17852.5369487656</v>
      </c>
      <c r="L2731" s="51" t="n">
        <f aca="false">IFERROR(K2731/I2731,0)</f>
        <v>0.714101477950622</v>
      </c>
      <c r="M2731" s="49" t="n">
        <f aca="false">IFERROR(I2731/H2731,0)</f>
        <v>158.800959669546</v>
      </c>
      <c r="N2731" s="52" t="str">
        <f aca="false">'Model Inputs &amp; Assumptions'!$L$33</f>
        <v>PRD-SP01</v>
      </c>
      <c r="P2731" s="53" t="n">
        <v>0.033041</v>
      </c>
      <c r="Q2731" s="53" t="n">
        <v>1.523634</v>
      </c>
      <c r="R2731" s="53" t="n">
        <v>0.839612</v>
      </c>
      <c r="S2731" s="53" t="n">
        <v>-1.842815</v>
      </c>
    </row>
    <row r="2732" customFormat="false" ht="15" hidden="false" customHeight="false" outlineLevel="0" collapsed="false">
      <c r="A2732" s="43" t="n">
        <v>229</v>
      </c>
      <c r="B2732" s="44" t="str">
        <f aca="false">'Model Inputs &amp; Assumptions'!$B$33</f>
        <v>Trade Republic — Savings Plan Push</v>
      </c>
      <c r="C2732" s="45" t="n">
        <f aca="false">ROUND(MAX(0,'Model Inputs &amp; Assumptions'!$S$33*EXP('Model Inputs &amp; Assumptions'!$T$33*P2732-'Model Inputs &amp; Assumptions'!$T$33^2/2)),0)</f>
        <v>1291280</v>
      </c>
      <c r="D2732" s="46" t="n">
        <f aca="false">MIN(1,'Model Inputs &amp; Assumptions'!$U$33*EXP('Model Inputs &amp; Assumptions'!$V$33*Q2732-'Model Inputs &amp; Assumptions'!$V$33^2/2))</f>
        <v>0</v>
      </c>
      <c r="E2732" s="45" t="n">
        <f aca="false">ROUND(C2732*D2732,0)</f>
        <v>0</v>
      </c>
      <c r="F2732" s="47" t="n">
        <f aca="false">MIN(1,'Model Inputs &amp; Assumptions'!$W$33*EXP('Model Inputs &amp; Assumptions'!$X$33*R2732-'Model Inputs &amp; Assumptions'!$X$33^2/2))</f>
        <v>0.00277518266011049</v>
      </c>
      <c r="G2732" s="45" t="n">
        <f aca="false">ROUND(C2732*F2732,0)</f>
        <v>3584</v>
      </c>
      <c r="H2732" s="48" t="n">
        <f aca="false">MAX(0,(C2732*'Model Inputs &amp; Assumptions'!$N$33+E2732*'Model Inputs &amp; Assumptions'!$O$33+G2732*'Model Inputs &amp; Assumptions'!$P$33)*EXP('Model Inputs &amp; Assumptions'!$Q$33*S2732-'Model Inputs &amp; Assumptions'!$Q$33^2/2))</f>
        <v>204.22551324201</v>
      </c>
      <c r="I2732" s="49" t="n">
        <f aca="false">IF('Model Inputs &amp; Assumptions'!$H$33="Fixed",'Model Inputs &amp; Assumptions'!$I$33*'Model Inputs &amp; Assumptions'!$K$33,IF('Model Inputs &amp; Assumptions'!$H$33="CPM",'Model Inputs &amp; Assumptions'!$I$33*'Model Inputs &amp; Assumptions'!$K$33*C2732/1000,IF('Model Inputs &amp; Assumptions'!$H$33="CPC",'Model Inputs &amp; Assumptions'!$I$33*'Model Inputs &amp; Assumptions'!$K$33*G2732,0)))</f>
        <v>25000</v>
      </c>
      <c r="J2732" s="50" t="n">
        <f aca="false">H2732*INDEX('Model Inputs &amp; Assumptions'!$D$40:$D$42,MATCH('Model Inputs &amp; Assumptions'!$L$33,'Model Inputs &amp; Assumptions'!$A$40:$A$42,0))*INDEX('Model Inputs &amp; Assumptions'!$H$40:$H$42,MATCH('Model Inputs &amp; Assumptions'!$L$33,'Model Inputs &amp; Assumptions'!$A$40:$A$42,0))</f>
        <v>1102817.77150685</v>
      </c>
      <c r="K2732" s="49" t="n">
        <f aca="false">H2732*INDEX('Model Inputs &amp; Assumptions'!$G$40:$G$42,MATCH('Model Inputs &amp; Assumptions'!$L$33,'Model Inputs &amp; Assumptions'!$A$40:$A$42,0))*INDEX('Model Inputs &amp; Assumptions'!$H$40:$H$42,MATCH('Model Inputs &amp; Assumptions'!$L$33,'Model Inputs &amp; Assumptions'!$A$40:$A$42,0))</f>
        <v>23159.1732016439</v>
      </c>
      <c r="L2732" s="51" t="n">
        <f aca="false">IFERROR(K2732/I2732,0)</f>
        <v>0.926366928065755</v>
      </c>
      <c r="M2732" s="49" t="n">
        <f aca="false">IFERROR(I2732/H2732,0)</f>
        <v>122.413696521721</v>
      </c>
      <c r="N2732" s="52" t="str">
        <f aca="false">'Model Inputs &amp; Assumptions'!$L$33</f>
        <v>PRD-SP01</v>
      </c>
      <c r="P2732" s="53" t="n">
        <v>0.394374</v>
      </c>
      <c r="Q2732" s="53" t="n">
        <v>-2.033322</v>
      </c>
      <c r="R2732" s="53" t="n">
        <v>-0.623488</v>
      </c>
      <c r="S2732" s="53" t="n">
        <v>0.266472</v>
      </c>
    </row>
    <row r="2733" customFormat="false" ht="15" hidden="false" customHeight="false" outlineLevel="0" collapsed="false">
      <c r="A2733" s="43" t="n">
        <v>230</v>
      </c>
      <c r="B2733" s="44" t="str">
        <f aca="false">'Model Inputs &amp; Assumptions'!$B$33</f>
        <v>Trade Republic — Savings Plan Push</v>
      </c>
      <c r="C2733" s="45" t="n">
        <f aca="false">ROUND(MAX(0,'Model Inputs &amp; Assumptions'!$S$33*EXP('Model Inputs &amp; Assumptions'!$T$33*P2733-'Model Inputs &amp; Assumptions'!$T$33^2/2)),0)</f>
        <v>1242349</v>
      </c>
      <c r="D2733" s="46" t="n">
        <f aca="false">MIN(1,'Model Inputs &amp; Assumptions'!$U$33*EXP('Model Inputs &amp; Assumptions'!$V$33*Q2733-'Model Inputs &amp; Assumptions'!$V$33^2/2))</f>
        <v>0</v>
      </c>
      <c r="E2733" s="45" t="n">
        <f aca="false">ROUND(C2733*D2733,0)</f>
        <v>0</v>
      </c>
      <c r="F2733" s="47" t="n">
        <f aca="false">MIN(1,'Model Inputs &amp; Assumptions'!$W$33*EXP('Model Inputs &amp; Assumptions'!$X$33*R2733-'Model Inputs &amp; Assumptions'!$X$33^2/2))</f>
        <v>0.00266863196513373</v>
      </c>
      <c r="G2733" s="45" t="n">
        <f aca="false">ROUND(C2733*F2733,0)</f>
        <v>3315</v>
      </c>
      <c r="H2733" s="48" t="n">
        <f aca="false">MAX(0,(C2733*'Model Inputs &amp; Assumptions'!$N$33+E2733*'Model Inputs &amp; Assumptions'!$O$33+G2733*'Model Inputs &amp; Assumptions'!$P$33)*EXP('Model Inputs &amp; Assumptions'!$Q$33*S2733-'Model Inputs &amp; Assumptions'!$Q$33^2/2))</f>
        <v>175.626153646178</v>
      </c>
      <c r="I2733" s="49" t="n">
        <f aca="false">IF('Model Inputs &amp; Assumptions'!$H$33="Fixed",'Model Inputs &amp; Assumptions'!$I$33*'Model Inputs &amp; Assumptions'!$K$33,IF('Model Inputs &amp; Assumptions'!$H$33="CPM",'Model Inputs &amp; Assumptions'!$I$33*'Model Inputs &amp; Assumptions'!$K$33*C2733/1000,IF('Model Inputs &amp; Assumptions'!$H$33="CPC",'Model Inputs &amp; Assumptions'!$I$33*'Model Inputs &amp; Assumptions'!$K$33*G2733,0)))</f>
        <v>25000</v>
      </c>
      <c r="J2733" s="50" t="n">
        <f aca="false">H2733*INDEX('Model Inputs &amp; Assumptions'!$D$40:$D$42,MATCH('Model Inputs &amp; Assumptions'!$L$33,'Model Inputs &amp; Assumptions'!$A$40:$A$42,0))*INDEX('Model Inputs &amp; Assumptions'!$H$40:$H$42,MATCH('Model Inputs &amp; Assumptions'!$L$33,'Model Inputs &amp; Assumptions'!$A$40:$A$42,0))</f>
        <v>948381.229689362</v>
      </c>
      <c r="K2733" s="49" t="n">
        <f aca="false">H2733*INDEX('Model Inputs &amp; Assumptions'!$G$40:$G$42,MATCH('Model Inputs &amp; Assumptions'!$L$33,'Model Inputs &amp; Assumptions'!$A$40:$A$42,0))*INDEX('Model Inputs &amp; Assumptions'!$H$40:$H$42,MATCH('Model Inputs &amp; Assumptions'!$L$33,'Model Inputs &amp; Assumptions'!$A$40:$A$42,0))</f>
        <v>19916.0058234766</v>
      </c>
      <c r="L2733" s="51" t="n">
        <f aca="false">IFERROR(K2733/I2733,0)</f>
        <v>0.796640232939064</v>
      </c>
      <c r="M2733" s="49" t="n">
        <f aca="false">IFERROR(I2733/H2733,0)</f>
        <v>142.347819393493</v>
      </c>
      <c r="N2733" s="52" t="str">
        <f aca="false">'Model Inputs &amp; Assumptions'!$L$33</f>
        <v>PRD-SP01</v>
      </c>
      <c r="P2733" s="53" t="n">
        <v>0.265607</v>
      </c>
      <c r="Q2733" s="53" t="n">
        <v>1.443427</v>
      </c>
      <c r="R2733" s="53" t="n">
        <v>-0.75399</v>
      </c>
      <c r="S2733" s="53" t="n">
        <v>0.00631</v>
      </c>
    </row>
    <row r="2734" customFormat="false" ht="15" hidden="false" customHeight="false" outlineLevel="0" collapsed="false">
      <c r="A2734" s="43" t="n">
        <v>231</v>
      </c>
      <c r="B2734" s="44" t="str">
        <f aca="false">'Model Inputs &amp; Assumptions'!$B$33</f>
        <v>Trade Republic — Savings Plan Push</v>
      </c>
      <c r="C2734" s="45" t="n">
        <f aca="false">ROUND(MAX(0,'Model Inputs &amp; Assumptions'!$S$33*EXP('Model Inputs &amp; Assumptions'!$T$33*P2734-'Model Inputs &amp; Assumptions'!$T$33^2/2)),0)</f>
        <v>1879700</v>
      </c>
      <c r="D2734" s="46" t="n">
        <f aca="false">MIN(1,'Model Inputs &amp; Assumptions'!$U$33*EXP('Model Inputs &amp; Assumptions'!$V$33*Q2734-'Model Inputs &amp; Assumptions'!$V$33^2/2))</f>
        <v>0</v>
      </c>
      <c r="E2734" s="45" t="n">
        <f aca="false">ROUND(C2734*D2734,0)</f>
        <v>0</v>
      </c>
      <c r="F2734" s="47" t="n">
        <f aca="false">MIN(1,'Model Inputs &amp; Assumptions'!$W$33*EXP('Model Inputs &amp; Assumptions'!$X$33*R2734-'Model Inputs &amp; Assumptions'!$X$33^2/2))</f>
        <v>0.00227260572239945</v>
      </c>
      <c r="G2734" s="45" t="n">
        <f aca="false">ROUND(C2734*F2734,0)</f>
        <v>4272</v>
      </c>
      <c r="H2734" s="48" t="n">
        <f aca="false">MAX(0,(C2734*'Model Inputs &amp; Assumptions'!$N$33+E2734*'Model Inputs &amp; Assumptions'!$O$33+G2734*'Model Inputs &amp; Assumptions'!$P$33)*EXP('Model Inputs &amp; Assumptions'!$Q$33*S2734-'Model Inputs &amp; Assumptions'!$Q$33^2/2))</f>
        <v>194.717511036939</v>
      </c>
      <c r="I2734" s="49" t="n">
        <f aca="false">IF('Model Inputs &amp; Assumptions'!$H$33="Fixed",'Model Inputs &amp; Assumptions'!$I$33*'Model Inputs &amp; Assumptions'!$K$33,IF('Model Inputs &amp; Assumptions'!$H$33="CPM",'Model Inputs &amp; Assumptions'!$I$33*'Model Inputs &amp; Assumptions'!$K$33*C2734/1000,IF('Model Inputs &amp; Assumptions'!$H$33="CPC",'Model Inputs &amp; Assumptions'!$I$33*'Model Inputs &amp; Assumptions'!$K$33*G2734,0)))</f>
        <v>25000</v>
      </c>
      <c r="J2734" s="50" t="n">
        <f aca="false">H2734*INDEX('Model Inputs &amp; Assumptions'!$D$40:$D$42,MATCH('Model Inputs &amp; Assumptions'!$L$33,'Model Inputs &amp; Assumptions'!$A$40:$A$42,0))*INDEX('Model Inputs &amp; Assumptions'!$H$40:$H$42,MATCH('Model Inputs &amp; Assumptions'!$L$33,'Model Inputs &amp; Assumptions'!$A$40:$A$42,0))</f>
        <v>1051474.55959947</v>
      </c>
      <c r="K2734" s="49" t="n">
        <f aca="false">H2734*INDEX('Model Inputs &amp; Assumptions'!$G$40:$G$42,MATCH('Model Inputs &amp; Assumptions'!$L$33,'Model Inputs &amp; Assumptions'!$A$40:$A$42,0))*INDEX('Model Inputs &amp; Assumptions'!$H$40:$H$42,MATCH('Model Inputs &amp; Assumptions'!$L$33,'Model Inputs &amp; Assumptions'!$A$40:$A$42,0))</f>
        <v>22080.9657515889</v>
      </c>
      <c r="L2734" s="51" t="n">
        <f aca="false">IFERROR(K2734/I2734,0)</f>
        <v>0.883238630063555</v>
      </c>
      <c r="M2734" s="49" t="n">
        <f aca="false">IFERROR(I2734/H2734,0)</f>
        <v>128.391123463248</v>
      </c>
      <c r="N2734" s="52" t="str">
        <f aca="false">'Model Inputs &amp; Assumptions'!$L$33</f>
        <v>PRD-SP01</v>
      </c>
      <c r="P2734" s="53" t="n">
        <v>1.645968</v>
      </c>
      <c r="Q2734" s="53" t="n">
        <v>1.274065</v>
      </c>
      <c r="R2734" s="53" t="n">
        <v>-1.289453</v>
      </c>
      <c r="S2734" s="53" t="n">
        <v>-0.530948</v>
      </c>
    </row>
    <row r="2735" customFormat="false" ht="15" hidden="false" customHeight="false" outlineLevel="0" collapsed="false">
      <c r="A2735" s="43" t="n">
        <v>232</v>
      </c>
      <c r="B2735" s="44" t="str">
        <f aca="false">'Model Inputs &amp; Assumptions'!$B$33</f>
        <v>Trade Republic — Savings Plan Push</v>
      </c>
      <c r="C2735" s="45" t="n">
        <f aca="false">ROUND(MAX(0,'Model Inputs &amp; Assumptions'!$S$33*EXP('Model Inputs &amp; Assumptions'!$T$33*P2735-'Model Inputs &amp; Assumptions'!$T$33^2/2)),0)</f>
        <v>1416786</v>
      </c>
      <c r="D2735" s="46" t="n">
        <f aca="false">MIN(1,'Model Inputs &amp; Assumptions'!$U$33*EXP('Model Inputs &amp; Assumptions'!$V$33*Q2735-'Model Inputs &amp; Assumptions'!$V$33^2/2))</f>
        <v>0</v>
      </c>
      <c r="E2735" s="45" t="n">
        <f aca="false">ROUND(C2735*D2735,0)</f>
        <v>0</v>
      </c>
      <c r="F2735" s="47" t="n">
        <f aca="false">MIN(1,'Model Inputs &amp; Assumptions'!$W$33*EXP('Model Inputs &amp; Assumptions'!$X$33*R2735-'Model Inputs &amp; Assumptions'!$X$33^2/2))</f>
        <v>0.00297929760136678</v>
      </c>
      <c r="G2735" s="45" t="n">
        <f aca="false">ROUND(C2735*F2735,0)</f>
        <v>4221</v>
      </c>
      <c r="H2735" s="48" t="n">
        <f aca="false">MAX(0,(C2735*'Model Inputs &amp; Assumptions'!$N$33+E2735*'Model Inputs &amp; Assumptions'!$O$33+G2735*'Model Inputs &amp; Assumptions'!$P$33)*EXP('Model Inputs &amp; Assumptions'!$Q$33*S2735-'Model Inputs &amp; Assumptions'!$Q$33^2/2))</f>
        <v>317.87606433964</v>
      </c>
      <c r="I2735" s="49" t="n">
        <f aca="false">IF('Model Inputs &amp; Assumptions'!$H$33="Fixed",'Model Inputs &amp; Assumptions'!$I$33*'Model Inputs &amp; Assumptions'!$K$33,IF('Model Inputs &amp; Assumptions'!$H$33="CPM",'Model Inputs &amp; Assumptions'!$I$33*'Model Inputs &amp; Assumptions'!$K$33*C2735/1000,IF('Model Inputs &amp; Assumptions'!$H$33="CPC",'Model Inputs &amp; Assumptions'!$I$33*'Model Inputs &amp; Assumptions'!$K$33*G2735,0)))</f>
        <v>25000</v>
      </c>
      <c r="J2735" s="50" t="n">
        <f aca="false">H2735*INDEX('Model Inputs &amp; Assumptions'!$D$40:$D$42,MATCH('Model Inputs &amp; Assumptions'!$L$33,'Model Inputs &amp; Assumptions'!$A$40:$A$42,0))*INDEX('Model Inputs &amp; Assumptions'!$H$40:$H$42,MATCH('Model Inputs &amp; Assumptions'!$L$33,'Model Inputs &amp; Assumptions'!$A$40:$A$42,0))</f>
        <v>1716530.74743406</v>
      </c>
      <c r="K2735" s="49" t="n">
        <f aca="false">H2735*INDEX('Model Inputs &amp; Assumptions'!$G$40:$G$42,MATCH('Model Inputs &amp; Assumptions'!$L$33,'Model Inputs &amp; Assumptions'!$A$40:$A$42,0))*INDEX('Model Inputs &amp; Assumptions'!$H$40:$H$42,MATCH('Model Inputs &amp; Assumptions'!$L$33,'Model Inputs &amp; Assumptions'!$A$40:$A$42,0))</f>
        <v>36047.1456961152</v>
      </c>
      <c r="L2735" s="51" t="n">
        <f aca="false">IFERROR(K2735/I2735,0)</f>
        <v>1.44188582784461</v>
      </c>
      <c r="M2735" s="49" t="n">
        <f aca="false">IFERROR(I2735/H2735,0)</f>
        <v>78.6470036740115</v>
      </c>
      <c r="N2735" s="52" t="str">
        <f aca="false">'Model Inputs &amp; Assumptions'!$L$33</f>
        <v>PRD-SP01</v>
      </c>
      <c r="P2735" s="53" t="n">
        <v>0.703565</v>
      </c>
      <c r="Q2735" s="53" t="n">
        <v>0.860409</v>
      </c>
      <c r="R2735" s="53" t="n">
        <v>-0.386918</v>
      </c>
      <c r="S2735" s="53" t="n">
        <v>1.262344</v>
      </c>
    </row>
    <row r="2736" customFormat="false" ht="15" hidden="false" customHeight="false" outlineLevel="0" collapsed="false">
      <c r="A2736" s="43" t="n">
        <v>233</v>
      </c>
      <c r="B2736" s="44" t="str">
        <f aca="false">'Model Inputs &amp; Assumptions'!$B$33</f>
        <v>Trade Republic — Savings Plan Push</v>
      </c>
      <c r="C2736" s="45" t="n">
        <f aca="false">ROUND(MAX(0,'Model Inputs &amp; Assumptions'!$S$33*EXP('Model Inputs &amp; Assumptions'!$T$33*P2736-'Model Inputs &amp; Assumptions'!$T$33^2/2)),0)</f>
        <v>614106</v>
      </c>
      <c r="D2736" s="46" t="n">
        <f aca="false">MIN(1,'Model Inputs &amp; Assumptions'!$U$33*EXP('Model Inputs &amp; Assumptions'!$V$33*Q2736-'Model Inputs &amp; Assumptions'!$V$33^2/2))</f>
        <v>0</v>
      </c>
      <c r="E2736" s="45" t="n">
        <f aca="false">ROUND(C2736*D2736,0)</f>
        <v>0</v>
      </c>
      <c r="F2736" s="47" t="n">
        <f aca="false">MIN(1,'Model Inputs &amp; Assumptions'!$W$33*EXP('Model Inputs &amp; Assumptions'!$X$33*R2736-'Model Inputs &amp; Assumptions'!$X$33^2/2))</f>
        <v>0.00328879839471684</v>
      </c>
      <c r="G2736" s="45" t="n">
        <f aca="false">ROUND(C2736*F2736,0)</f>
        <v>2020</v>
      </c>
      <c r="H2736" s="48" t="n">
        <f aca="false">MAX(0,(C2736*'Model Inputs &amp; Assumptions'!$N$33+E2736*'Model Inputs &amp; Assumptions'!$O$33+G2736*'Model Inputs &amp; Assumptions'!$P$33)*EXP('Model Inputs &amp; Assumptions'!$Q$33*S2736-'Model Inputs &amp; Assumptions'!$Q$33^2/2))</f>
        <v>140.823568079641</v>
      </c>
      <c r="I2736" s="49" t="n">
        <f aca="false">IF('Model Inputs &amp; Assumptions'!$H$33="Fixed",'Model Inputs &amp; Assumptions'!$I$33*'Model Inputs &amp; Assumptions'!$K$33,IF('Model Inputs &amp; Assumptions'!$H$33="CPM",'Model Inputs &amp; Assumptions'!$I$33*'Model Inputs &amp; Assumptions'!$K$33*C2736/1000,IF('Model Inputs &amp; Assumptions'!$H$33="CPC",'Model Inputs &amp; Assumptions'!$I$33*'Model Inputs &amp; Assumptions'!$K$33*G2736,0)))</f>
        <v>25000</v>
      </c>
      <c r="J2736" s="50" t="n">
        <f aca="false">H2736*INDEX('Model Inputs &amp; Assumptions'!$D$40:$D$42,MATCH('Model Inputs &amp; Assumptions'!$L$33,'Model Inputs &amp; Assumptions'!$A$40:$A$42,0))*INDEX('Model Inputs &amp; Assumptions'!$H$40:$H$42,MATCH('Model Inputs &amp; Assumptions'!$L$33,'Model Inputs &amp; Assumptions'!$A$40:$A$42,0))</f>
        <v>760447.267630064</v>
      </c>
      <c r="K2736" s="49" t="n">
        <f aca="false">H2736*INDEX('Model Inputs &amp; Assumptions'!$G$40:$G$42,MATCH('Model Inputs &amp; Assumptions'!$L$33,'Model Inputs &amp; Assumptions'!$A$40:$A$42,0))*INDEX('Model Inputs &amp; Assumptions'!$H$40:$H$42,MATCH('Model Inputs &amp; Assumptions'!$L$33,'Model Inputs &amp; Assumptions'!$A$40:$A$42,0))</f>
        <v>15969.3926202313</v>
      </c>
      <c r="L2736" s="51" t="n">
        <f aca="false">IFERROR(K2736/I2736,0)</f>
        <v>0.638775704809253</v>
      </c>
      <c r="M2736" s="49" t="n">
        <f aca="false">IFERROR(I2736/H2736,0)</f>
        <v>177.527102465274</v>
      </c>
      <c r="N2736" s="52" t="str">
        <f aca="false">'Model Inputs &amp; Assumptions'!$L$33</f>
        <v>PRD-SP01</v>
      </c>
      <c r="P2736" s="53" t="n">
        <v>-2.08303</v>
      </c>
      <c r="Q2736" s="53" t="n">
        <v>-0.294773</v>
      </c>
      <c r="R2736" s="53" t="n">
        <v>-0.057469</v>
      </c>
      <c r="S2736" s="53" t="n">
        <v>0.986704</v>
      </c>
    </row>
    <row r="2737" customFormat="false" ht="15" hidden="false" customHeight="false" outlineLevel="0" collapsed="false">
      <c r="A2737" s="43" t="n">
        <v>234</v>
      </c>
      <c r="B2737" s="44" t="str">
        <f aca="false">'Model Inputs &amp; Assumptions'!$B$33</f>
        <v>Trade Republic — Savings Plan Push</v>
      </c>
      <c r="C2737" s="45" t="n">
        <f aca="false">ROUND(MAX(0,'Model Inputs &amp; Assumptions'!$S$33*EXP('Model Inputs &amp; Assumptions'!$T$33*P2737-'Model Inputs &amp; Assumptions'!$T$33^2/2)),0)</f>
        <v>1048166</v>
      </c>
      <c r="D2737" s="46" t="n">
        <f aca="false">MIN(1,'Model Inputs &amp; Assumptions'!$U$33*EXP('Model Inputs &amp; Assumptions'!$V$33*Q2737-'Model Inputs &amp; Assumptions'!$V$33^2/2))</f>
        <v>0</v>
      </c>
      <c r="E2737" s="45" t="n">
        <f aca="false">ROUND(C2737*D2737,0)</f>
        <v>0</v>
      </c>
      <c r="F2737" s="47" t="n">
        <f aca="false">MIN(1,'Model Inputs &amp; Assumptions'!$W$33*EXP('Model Inputs &amp; Assumptions'!$X$33*R2737-'Model Inputs &amp; Assumptions'!$X$33^2/2))</f>
        <v>0.00315410749000818</v>
      </c>
      <c r="G2737" s="45" t="n">
        <f aca="false">ROUND(C2737*F2737,0)</f>
        <v>3306</v>
      </c>
      <c r="H2737" s="48" t="n">
        <f aca="false">MAX(0,(C2737*'Model Inputs &amp; Assumptions'!$N$33+E2737*'Model Inputs &amp; Assumptions'!$O$33+G2737*'Model Inputs &amp; Assumptions'!$P$33)*EXP('Model Inputs &amp; Assumptions'!$Q$33*S2737-'Model Inputs &amp; Assumptions'!$Q$33^2/2))</f>
        <v>203.762973687009</v>
      </c>
      <c r="I2737" s="49" t="n">
        <f aca="false">IF('Model Inputs &amp; Assumptions'!$H$33="Fixed",'Model Inputs &amp; Assumptions'!$I$33*'Model Inputs &amp; Assumptions'!$K$33,IF('Model Inputs &amp; Assumptions'!$H$33="CPM",'Model Inputs &amp; Assumptions'!$I$33*'Model Inputs &amp; Assumptions'!$K$33*C2737/1000,IF('Model Inputs &amp; Assumptions'!$H$33="CPC",'Model Inputs &amp; Assumptions'!$I$33*'Model Inputs &amp; Assumptions'!$K$33*G2737,0)))</f>
        <v>25000</v>
      </c>
      <c r="J2737" s="50" t="n">
        <f aca="false">H2737*INDEX('Model Inputs &amp; Assumptions'!$D$40:$D$42,MATCH('Model Inputs &amp; Assumptions'!$L$33,'Model Inputs &amp; Assumptions'!$A$40:$A$42,0))*INDEX('Model Inputs &amp; Assumptions'!$H$40:$H$42,MATCH('Model Inputs &amp; Assumptions'!$L$33,'Model Inputs &amp; Assumptions'!$A$40:$A$42,0))</f>
        <v>1100320.05790985</v>
      </c>
      <c r="K2737" s="49" t="n">
        <f aca="false">H2737*INDEX('Model Inputs &amp; Assumptions'!$G$40:$G$42,MATCH('Model Inputs &amp; Assumptions'!$L$33,'Model Inputs &amp; Assumptions'!$A$40:$A$42,0))*INDEX('Model Inputs &amp; Assumptions'!$H$40:$H$42,MATCH('Model Inputs &amp; Assumptions'!$L$33,'Model Inputs &amp; Assumptions'!$A$40:$A$42,0))</f>
        <v>23106.7212161068</v>
      </c>
      <c r="L2737" s="51" t="n">
        <f aca="false">IFERROR(K2737/I2737,0)</f>
        <v>0.924268848644274</v>
      </c>
      <c r="M2737" s="49" t="n">
        <f aca="false">IFERROR(I2737/H2737,0)</f>
        <v>122.691574173831</v>
      </c>
      <c r="N2737" s="52" t="str">
        <f aca="false">'Model Inputs &amp; Assumptions'!$L$33</f>
        <v>PRD-SP01</v>
      </c>
      <c r="P2737" s="53" t="n">
        <v>-0.300933</v>
      </c>
      <c r="Q2737" s="53" t="n">
        <v>-1.641273</v>
      </c>
      <c r="R2737" s="53" t="n">
        <v>-0.196858</v>
      </c>
      <c r="S2737" s="53" t="n">
        <v>0.546733</v>
      </c>
    </row>
    <row r="2738" customFormat="false" ht="15" hidden="false" customHeight="false" outlineLevel="0" collapsed="false">
      <c r="A2738" s="43" t="n">
        <v>235</v>
      </c>
      <c r="B2738" s="44" t="str">
        <f aca="false">'Model Inputs &amp; Assumptions'!$B$33</f>
        <v>Trade Republic — Savings Plan Push</v>
      </c>
      <c r="C2738" s="45" t="n">
        <f aca="false">ROUND(MAX(0,'Model Inputs &amp; Assumptions'!$S$33*EXP('Model Inputs &amp; Assumptions'!$T$33*P2738-'Model Inputs &amp; Assumptions'!$T$33^2/2)),0)</f>
        <v>1281454</v>
      </c>
      <c r="D2738" s="46" t="n">
        <f aca="false">MIN(1,'Model Inputs &amp; Assumptions'!$U$33*EXP('Model Inputs &amp; Assumptions'!$V$33*Q2738-'Model Inputs &amp; Assumptions'!$V$33^2/2))</f>
        <v>0</v>
      </c>
      <c r="E2738" s="45" t="n">
        <f aca="false">ROUND(C2738*D2738,0)</f>
        <v>0</v>
      </c>
      <c r="F2738" s="47" t="n">
        <f aca="false">MIN(1,'Model Inputs &amp; Assumptions'!$W$33*EXP('Model Inputs &amp; Assumptions'!$X$33*R2738-'Model Inputs &amp; Assumptions'!$X$33^2/2))</f>
        <v>0.00240212741707924</v>
      </c>
      <c r="G2738" s="45" t="n">
        <f aca="false">ROUND(C2738*F2738,0)</f>
        <v>3078</v>
      </c>
      <c r="H2738" s="48" t="n">
        <f aca="false">MAX(0,(C2738*'Model Inputs &amp; Assumptions'!$N$33+E2738*'Model Inputs &amp; Assumptions'!$O$33+G2738*'Model Inputs &amp; Assumptions'!$P$33)*EXP('Model Inputs &amp; Assumptions'!$Q$33*S2738-'Model Inputs &amp; Assumptions'!$Q$33^2/2))</f>
        <v>159.236433464755</v>
      </c>
      <c r="I2738" s="49" t="n">
        <f aca="false">IF('Model Inputs &amp; Assumptions'!$H$33="Fixed",'Model Inputs &amp; Assumptions'!$I$33*'Model Inputs &amp; Assumptions'!$K$33,IF('Model Inputs &amp; Assumptions'!$H$33="CPM",'Model Inputs &amp; Assumptions'!$I$33*'Model Inputs &amp; Assumptions'!$K$33*C2738/1000,IF('Model Inputs &amp; Assumptions'!$H$33="CPC",'Model Inputs &amp; Assumptions'!$I$33*'Model Inputs &amp; Assumptions'!$K$33*G2738,0)))</f>
        <v>25000</v>
      </c>
      <c r="J2738" s="50" t="n">
        <f aca="false">H2738*INDEX('Model Inputs &amp; Assumptions'!$D$40:$D$42,MATCH('Model Inputs &amp; Assumptions'!$L$33,'Model Inputs &amp; Assumptions'!$A$40:$A$42,0))*INDEX('Model Inputs &amp; Assumptions'!$H$40:$H$42,MATCH('Model Inputs &amp; Assumptions'!$L$33,'Model Inputs &amp; Assumptions'!$A$40:$A$42,0))</f>
        <v>859876.740709675</v>
      </c>
      <c r="K2738" s="49" t="n">
        <f aca="false">H2738*INDEX('Model Inputs &amp; Assumptions'!$G$40:$G$42,MATCH('Model Inputs &amp; Assumptions'!$L$33,'Model Inputs &amp; Assumptions'!$A$40:$A$42,0))*INDEX('Model Inputs &amp; Assumptions'!$H$40:$H$42,MATCH('Model Inputs &amp; Assumptions'!$L$33,'Model Inputs &amp; Assumptions'!$A$40:$A$42,0))</f>
        <v>18057.4115549032</v>
      </c>
      <c r="L2738" s="51" t="n">
        <f aca="false">IFERROR(K2738/I2738,0)</f>
        <v>0.722296462196127</v>
      </c>
      <c r="M2738" s="49" t="n">
        <f aca="false">IFERROR(I2738/H2738,0)</f>
        <v>156.999246064711</v>
      </c>
      <c r="N2738" s="52" t="str">
        <f aca="false">'Model Inputs &amp; Assumptions'!$L$33</f>
        <v>PRD-SP01</v>
      </c>
      <c r="P2738" s="53" t="n">
        <v>0.368913</v>
      </c>
      <c r="Q2738" s="53" t="n">
        <v>0.374521</v>
      </c>
      <c r="R2738" s="53" t="n">
        <v>-1.104694</v>
      </c>
      <c r="S2738" s="53" t="n">
        <v>-0.078654</v>
      </c>
    </row>
    <row r="2739" customFormat="false" ht="15" hidden="false" customHeight="false" outlineLevel="0" collapsed="false">
      <c r="A2739" s="43" t="n">
        <v>236</v>
      </c>
      <c r="B2739" s="44" t="str">
        <f aca="false">'Model Inputs &amp; Assumptions'!$B$33</f>
        <v>Trade Republic — Savings Plan Push</v>
      </c>
      <c r="C2739" s="45" t="n">
        <f aca="false">ROUND(MAX(0,'Model Inputs &amp; Assumptions'!$S$33*EXP('Model Inputs &amp; Assumptions'!$T$33*P2739-'Model Inputs &amp; Assumptions'!$T$33^2/2)),0)</f>
        <v>1099689</v>
      </c>
      <c r="D2739" s="46" t="n">
        <f aca="false">MIN(1,'Model Inputs &amp; Assumptions'!$U$33*EXP('Model Inputs &amp; Assumptions'!$V$33*Q2739-'Model Inputs &amp; Assumptions'!$V$33^2/2))</f>
        <v>0</v>
      </c>
      <c r="E2739" s="45" t="n">
        <f aca="false">ROUND(C2739*D2739,0)</f>
        <v>0</v>
      </c>
      <c r="F2739" s="47" t="n">
        <f aca="false">MIN(1,'Model Inputs &amp; Assumptions'!$W$33*EXP('Model Inputs &amp; Assumptions'!$X$33*R2739-'Model Inputs &amp; Assumptions'!$X$33^2/2))</f>
        <v>0.00441897588269617</v>
      </c>
      <c r="G2739" s="45" t="n">
        <f aca="false">ROUND(C2739*F2739,0)</f>
        <v>4859</v>
      </c>
      <c r="H2739" s="48" t="n">
        <f aca="false">MAX(0,(C2739*'Model Inputs &amp; Assumptions'!$N$33+E2739*'Model Inputs &amp; Assumptions'!$O$33+G2739*'Model Inputs &amp; Assumptions'!$P$33)*EXP('Model Inputs &amp; Assumptions'!$Q$33*S2739-'Model Inputs &amp; Assumptions'!$Q$33^2/2))</f>
        <v>223.90642984016</v>
      </c>
      <c r="I2739" s="49" t="n">
        <f aca="false">IF('Model Inputs &amp; Assumptions'!$H$33="Fixed",'Model Inputs &amp; Assumptions'!$I$33*'Model Inputs &amp; Assumptions'!$K$33,IF('Model Inputs &amp; Assumptions'!$H$33="CPM",'Model Inputs &amp; Assumptions'!$I$33*'Model Inputs &amp; Assumptions'!$K$33*C2739/1000,IF('Model Inputs &amp; Assumptions'!$H$33="CPC",'Model Inputs &amp; Assumptions'!$I$33*'Model Inputs &amp; Assumptions'!$K$33*G2739,0)))</f>
        <v>25000</v>
      </c>
      <c r="J2739" s="50" t="n">
        <f aca="false">H2739*INDEX('Model Inputs &amp; Assumptions'!$D$40:$D$42,MATCH('Model Inputs &amp; Assumptions'!$L$33,'Model Inputs &amp; Assumptions'!$A$40:$A$42,0))*INDEX('Model Inputs &amp; Assumptions'!$H$40:$H$42,MATCH('Model Inputs &amp; Assumptions'!$L$33,'Model Inputs &amp; Assumptions'!$A$40:$A$42,0))</f>
        <v>1209094.72113686</v>
      </c>
      <c r="K2739" s="49" t="n">
        <f aca="false">H2739*INDEX('Model Inputs &amp; Assumptions'!$G$40:$G$42,MATCH('Model Inputs &amp; Assumptions'!$L$33,'Model Inputs &amp; Assumptions'!$A$40:$A$42,0))*INDEX('Model Inputs &amp; Assumptions'!$H$40:$H$42,MATCH('Model Inputs &amp; Assumptions'!$L$33,'Model Inputs &amp; Assumptions'!$A$40:$A$42,0))</f>
        <v>25390.9891438741</v>
      </c>
      <c r="L2739" s="51" t="n">
        <f aca="false">IFERROR(K2739/I2739,0)</f>
        <v>1.01563956575496</v>
      </c>
      <c r="M2739" s="49" t="n">
        <f aca="false">IFERROR(I2739/H2739,0)</f>
        <v>111.653783314069</v>
      </c>
      <c r="N2739" s="52" t="str">
        <f aca="false">'Model Inputs &amp; Assumptions'!$L$33</f>
        <v>PRD-SP01</v>
      </c>
      <c r="P2739" s="53" t="n">
        <v>-0.14098</v>
      </c>
      <c r="Q2739" s="53" t="n">
        <v>-0.479234</v>
      </c>
      <c r="R2739" s="53" t="n">
        <v>0.92715</v>
      </c>
      <c r="S2739" s="53" t="n">
        <v>-0.49192</v>
      </c>
    </row>
    <row r="2740" customFormat="false" ht="15" hidden="false" customHeight="false" outlineLevel="0" collapsed="false">
      <c r="A2740" s="43" t="n">
        <v>237</v>
      </c>
      <c r="B2740" s="44" t="str">
        <f aca="false">'Model Inputs &amp; Assumptions'!$B$33</f>
        <v>Trade Republic — Savings Plan Push</v>
      </c>
      <c r="C2740" s="45" t="n">
        <f aca="false">ROUND(MAX(0,'Model Inputs &amp; Assumptions'!$S$33*EXP('Model Inputs &amp; Assumptions'!$T$33*P2740-'Model Inputs &amp; Assumptions'!$T$33^2/2)),0)</f>
        <v>1675179</v>
      </c>
      <c r="D2740" s="46" t="n">
        <f aca="false">MIN(1,'Model Inputs &amp; Assumptions'!$U$33*EXP('Model Inputs &amp; Assumptions'!$V$33*Q2740-'Model Inputs &amp; Assumptions'!$V$33^2/2))</f>
        <v>0</v>
      </c>
      <c r="E2740" s="45" t="n">
        <f aca="false">ROUND(C2740*D2740,0)</f>
        <v>0</v>
      </c>
      <c r="F2740" s="47" t="n">
        <f aca="false">MIN(1,'Model Inputs &amp; Assumptions'!$W$33*EXP('Model Inputs &amp; Assumptions'!$X$33*R2740-'Model Inputs &amp; Assumptions'!$X$33^2/2))</f>
        <v>0.00265906928443014</v>
      </c>
      <c r="G2740" s="45" t="n">
        <f aca="false">ROUND(C2740*F2740,0)</f>
        <v>4454</v>
      </c>
      <c r="H2740" s="48" t="n">
        <f aca="false">MAX(0,(C2740*'Model Inputs &amp; Assumptions'!$N$33+E2740*'Model Inputs &amp; Assumptions'!$O$33+G2740*'Model Inputs &amp; Assumptions'!$P$33)*EXP('Model Inputs &amp; Assumptions'!$Q$33*S2740-'Model Inputs &amp; Assumptions'!$Q$33^2/2))</f>
        <v>338.967080185462</v>
      </c>
      <c r="I2740" s="49" t="n">
        <f aca="false">IF('Model Inputs &amp; Assumptions'!$H$33="Fixed",'Model Inputs &amp; Assumptions'!$I$33*'Model Inputs &amp; Assumptions'!$K$33,IF('Model Inputs &amp; Assumptions'!$H$33="CPM",'Model Inputs &amp; Assumptions'!$I$33*'Model Inputs &amp; Assumptions'!$K$33*C2740/1000,IF('Model Inputs &amp; Assumptions'!$H$33="CPC",'Model Inputs &amp; Assumptions'!$I$33*'Model Inputs &amp; Assumptions'!$K$33*G2740,0)))</f>
        <v>25000</v>
      </c>
      <c r="J2740" s="50" t="n">
        <f aca="false">H2740*INDEX('Model Inputs &amp; Assumptions'!$D$40:$D$42,MATCH('Model Inputs &amp; Assumptions'!$L$33,'Model Inputs &amp; Assumptions'!$A$40:$A$42,0))*INDEX('Model Inputs &amp; Assumptions'!$H$40:$H$42,MATCH('Model Inputs &amp; Assumptions'!$L$33,'Model Inputs &amp; Assumptions'!$A$40:$A$42,0))</f>
        <v>1830422.23300149</v>
      </c>
      <c r="K2740" s="49" t="n">
        <f aca="false">H2740*INDEX('Model Inputs &amp; Assumptions'!$G$40:$G$42,MATCH('Model Inputs &amp; Assumptions'!$L$33,'Model Inputs &amp; Assumptions'!$A$40:$A$42,0))*INDEX('Model Inputs &amp; Assumptions'!$H$40:$H$42,MATCH('Model Inputs &amp; Assumptions'!$L$33,'Model Inputs &amp; Assumptions'!$A$40:$A$42,0))</f>
        <v>38438.8668930313</v>
      </c>
      <c r="L2740" s="51" t="n">
        <f aca="false">IFERROR(K2740/I2740,0)</f>
        <v>1.53755467572125</v>
      </c>
      <c r="M2740" s="49" t="n">
        <f aca="false">IFERROR(I2740/H2740,0)</f>
        <v>73.7534747808594</v>
      </c>
      <c r="N2740" s="52" t="str">
        <f aca="false">'Model Inputs &amp; Assumptions'!$L$33</f>
        <v>PRD-SP01</v>
      </c>
      <c r="P2740" s="53" t="n">
        <v>1.261994</v>
      </c>
      <c r="Q2740" s="53" t="n">
        <v>0.09941</v>
      </c>
      <c r="R2740" s="53" t="n">
        <v>-0.765956</v>
      </c>
      <c r="S2740" s="53" t="n">
        <v>1.299883</v>
      </c>
    </row>
    <row r="2741" customFormat="false" ht="15" hidden="false" customHeight="false" outlineLevel="0" collapsed="false">
      <c r="A2741" s="43" t="n">
        <v>238</v>
      </c>
      <c r="B2741" s="44" t="str">
        <f aca="false">'Model Inputs &amp; Assumptions'!$B$33</f>
        <v>Trade Republic — Savings Plan Push</v>
      </c>
      <c r="C2741" s="45" t="n">
        <f aca="false">ROUND(MAX(0,'Model Inputs &amp; Assumptions'!$S$33*EXP('Model Inputs &amp; Assumptions'!$T$33*P2741-'Model Inputs &amp; Assumptions'!$T$33^2/2)),0)</f>
        <v>1018915</v>
      </c>
      <c r="D2741" s="46" t="n">
        <f aca="false">MIN(1,'Model Inputs &amp; Assumptions'!$U$33*EXP('Model Inputs &amp; Assumptions'!$V$33*Q2741-'Model Inputs &amp; Assumptions'!$V$33^2/2))</f>
        <v>0</v>
      </c>
      <c r="E2741" s="45" t="n">
        <f aca="false">ROUND(C2741*D2741,0)</f>
        <v>0</v>
      </c>
      <c r="F2741" s="47" t="n">
        <f aca="false">MIN(1,'Model Inputs &amp; Assumptions'!$W$33*EXP('Model Inputs &amp; Assumptions'!$X$33*R2741-'Model Inputs &amp; Assumptions'!$X$33^2/2))</f>
        <v>0.0024198117998692</v>
      </c>
      <c r="G2741" s="45" t="n">
        <f aca="false">ROUND(C2741*F2741,0)</f>
        <v>2466</v>
      </c>
      <c r="H2741" s="48" t="n">
        <f aca="false">MAX(0,(C2741*'Model Inputs &amp; Assumptions'!$N$33+E2741*'Model Inputs &amp; Assumptions'!$O$33+G2741*'Model Inputs &amp; Assumptions'!$P$33)*EXP('Model Inputs &amp; Assumptions'!$Q$33*S2741-'Model Inputs &amp; Assumptions'!$Q$33^2/2))</f>
        <v>117.716066641367</v>
      </c>
      <c r="I2741" s="49" t="n">
        <f aca="false">IF('Model Inputs &amp; Assumptions'!$H$33="Fixed",'Model Inputs &amp; Assumptions'!$I$33*'Model Inputs &amp; Assumptions'!$K$33,IF('Model Inputs &amp; Assumptions'!$H$33="CPM",'Model Inputs &amp; Assumptions'!$I$33*'Model Inputs &amp; Assumptions'!$K$33*C2741/1000,IF('Model Inputs &amp; Assumptions'!$H$33="CPC",'Model Inputs &amp; Assumptions'!$I$33*'Model Inputs &amp; Assumptions'!$K$33*G2741,0)))</f>
        <v>25000</v>
      </c>
      <c r="J2741" s="50" t="n">
        <f aca="false">H2741*INDEX('Model Inputs &amp; Assumptions'!$D$40:$D$42,MATCH('Model Inputs &amp; Assumptions'!$L$33,'Model Inputs &amp; Assumptions'!$A$40:$A$42,0))*INDEX('Model Inputs &amp; Assumptions'!$H$40:$H$42,MATCH('Model Inputs &amp; Assumptions'!$L$33,'Model Inputs &amp; Assumptions'!$A$40:$A$42,0))</f>
        <v>635666.75986338</v>
      </c>
      <c r="K2741" s="49" t="n">
        <f aca="false">H2741*INDEX('Model Inputs &amp; Assumptions'!$G$40:$G$42,MATCH('Model Inputs &amp; Assumptions'!$L$33,'Model Inputs &amp; Assumptions'!$A$40:$A$42,0))*INDEX('Model Inputs &amp; Assumptions'!$H$40:$H$42,MATCH('Model Inputs &amp; Assumptions'!$L$33,'Model Inputs &amp; Assumptions'!$A$40:$A$42,0))</f>
        <v>13349.001957131</v>
      </c>
      <c r="L2741" s="51" t="n">
        <f aca="false">IFERROR(K2741/I2741,0)</f>
        <v>0.533960078285239</v>
      </c>
      <c r="M2741" s="49" t="n">
        <f aca="false">IFERROR(I2741/H2741,0)</f>
        <v>212.375427698964</v>
      </c>
      <c r="N2741" s="52" t="str">
        <f aca="false">'Model Inputs &amp; Assumptions'!$L$33</f>
        <v>PRD-SP01</v>
      </c>
      <c r="P2741" s="53" t="n">
        <v>-0.395277</v>
      </c>
      <c r="Q2741" s="53" t="n">
        <v>-0.003046</v>
      </c>
      <c r="R2741" s="53" t="n">
        <v>-1.080244</v>
      </c>
      <c r="S2741" s="53" t="n">
        <v>-0.365911</v>
      </c>
    </row>
    <row r="2742" customFormat="false" ht="15" hidden="false" customHeight="false" outlineLevel="0" collapsed="false">
      <c r="A2742" s="43" t="n">
        <v>239</v>
      </c>
      <c r="B2742" s="44" t="str">
        <f aca="false">'Model Inputs &amp; Assumptions'!$B$33</f>
        <v>Trade Republic — Savings Plan Push</v>
      </c>
      <c r="C2742" s="45" t="n">
        <f aca="false">ROUND(MAX(0,'Model Inputs &amp; Assumptions'!$S$33*EXP('Model Inputs &amp; Assumptions'!$T$33*P2742-'Model Inputs &amp; Assumptions'!$T$33^2/2)),0)</f>
        <v>501647</v>
      </c>
      <c r="D2742" s="46" t="n">
        <f aca="false">MIN(1,'Model Inputs &amp; Assumptions'!$U$33*EXP('Model Inputs &amp; Assumptions'!$V$33*Q2742-'Model Inputs &amp; Assumptions'!$V$33^2/2))</f>
        <v>0</v>
      </c>
      <c r="E2742" s="45" t="n">
        <f aca="false">ROUND(C2742*D2742,0)</f>
        <v>0</v>
      </c>
      <c r="F2742" s="47" t="n">
        <f aca="false">MIN(1,'Model Inputs &amp; Assumptions'!$W$33*EXP('Model Inputs &amp; Assumptions'!$X$33*R2742-'Model Inputs &amp; Assumptions'!$X$33^2/2))</f>
        <v>0.00211584417185864</v>
      </c>
      <c r="G2742" s="45" t="n">
        <f aca="false">ROUND(C2742*F2742,0)</f>
        <v>1061</v>
      </c>
      <c r="H2742" s="48" t="n">
        <f aca="false">MAX(0,(C2742*'Model Inputs &amp; Assumptions'!$N$33+E2742*'Model Inputs &amp; Assumptions'!$O$33+G2742*'Model Inputs &amp; Assumptions'!$P$33)*EXP('Model Inputs &amp; Assumptions'!$Q$33*S2742-'Model Inputs &amp; Assumptions'!$Q$33^2/2))</f>
        <v>35.8413811840049</v>
      </c>
      <c r="I2742" s="49" t="n">
        <f aca="false">IF('Model Inputs &amp; Assumptions'!$H$33="Fixed",'Model Inputs &amp; Assumptions'!$I$33*'Model Inputs &amp; Assumptions'!$K$33,IF('Model Inputs &amp; Assumptions'!$H$33="CPM",'Model Inputs &amp; Assumptions'!$I$33*'Model Inputs &amp; Assumptions'!$K$33*C2742/1000,IF('Model Inputs &amp; Assumptions'!$H$33="CPC",'Model Inputs &amp; Assumptions'!$I$33*'Model Inputs &amp; Assumptions'!$K$33*G2742,0)))</f>
        <v>25000</v>
      </c>
      <c r="J2742" s="50" t="n">
        <f aca="false">H2742*INDEX('Model Inputs &amp; Assumptions'!$D$40:$D$42,MATCH('Model Inputs &amp; Assumptions'!$L$33,'Model Inputs &amp; Assumptions'!$A$40:$A$42,0))*INDEX('Model Inputs &amp; Assumptions'!$H$40:$H$42,MATCH('Model Inputs &amp; Assumptions'!$L$33,'Model Inputs &amp; Assumptions'!$A$40:$A$42,0))</f>
        <v>193543.458393627</v>
      </c>
      <c r="K2742" s="49" t="n">
        <f aca="false">H2742*INDEX('Model Inputs &amp; Assumptions'!$G$40:$G$42,MATCH('Model Inputs &amp; Assumptions'!$L$33,'Model Inputs &amp; Assumptions'!$A$40:$A$42,0))*INDEX('Model Inputs &amp; Assumptions'!$H$40:$H$42,MATCH('Model Inputs &amp; Assumptions'!$L$33,'Model Inputs &amp; Assumptions'!$A$40:$A$42,0))</f>
        <v>4064.41262626616</v>
      </c>
      <c r="L2742" s="51" t="n">
        <f aca="false">IFERROR(K2742/I2742,0)</f>
        <v>0.162576505050646</v>
      </c>
      <c r="M2742" s="49" t="n">
        <f aca="false">IFERROR(I2742/H2742,0)</f>
        <v>697.517762266284</v>
      </c>
      <c r="N2742" s="52" t="str">
        <f aca="false">'Model Inputs &amp; Assumptions'!$L$33</f>
        <v>PRD-SP01</v>
      </c>
      <c r="P2742" s="53" t="n">
        <v>-2.75727</v>
      </c>
      <c r="Q2742" s="53" t="n">
        <v>-1.918133</v>
      </c>
      <c r="R2742" s="53" t="n">
        <v>-1.527697</v>
      </c>
      <c r="S2742" s="53" t="n">
        <v>-1.600864</v>
      </c>
    </row>
    <row r="2743" customFormat="false" ht="15" hidden="false" customHeight="false" outlineLevel="0" collapsed="false">
      <c r="A2743" s="43" t="n">
        <v>240</v>
      </c>
      <c r="B2743" s="44" t="str">
        <f aca="false">'Model Inputs &amp; Assumptions'!$B$33</f>
        <v>Trade Republic — Savings Plan Push</v>
      </c>
      <c r="C2743" s="45" t="n">
        <f aca="false">ROUND(MAX(0,'Model Inputs &amp; Assumptions'!$S$33*EXP('Model Inputs &amp; Assumptions'!$T$33*P2743-'Model Inputs &amp; Assumptions'!$T$33^2/2)),0)</f>
        <v>1336180</v>
      </c>
      <c r="D2743" s="46" t="n">
        <f aca="false">MIN(1,'Model Inputs &amp; Assumptions'!$U$33*EXP('Model Inputs &amp; Assumptions'!$V$33*Q2743-'Model Inputs &amp; Assumptions'!$V$33^2/2))</f>
        <v>0</v>
      </c>
      <c r="E2743" s="45" t="n">
        <f aca="false">ROUND(C2743*D2743,0)</f>
        <v>0</v>
      </c>
      <c r="F2743" s="47" t="n">
        <f aca="false">MIN(1,'Model Inputs &amp; Assumptions'!$W$33*EXP('Model Inputs &amp; Assumptions'!$X$33*R2743-'Model Inputs &amp; Assumptions'!$X$33^2/2))</f>
        <v>0.00481031114191963</v>
      </c>
      <c r="G2743" s="45" t="n">
        <f aca="false">ROUND(C2743*F2743,0)</f>
        <v>6427</v>
      </c>
      <c r="H2743" s="48" t="n">
        <f aca="false">MAX(0,(C2743*'Model Inputs &amp; Assumptions'!$N$33+E2743*'Model Inputs &amp; Assumptions'!$O$33+G2743*'Model Inputs &amp; Assumptions'!$P$33)*EXP('Model Inputs &amp; Assumptions'!$Q$33*S2743-'Model Inputs &amp; Assumptions'!$Q$33^2/2))</f>
        <v>263.932094332273</v>
      </c>
      <c r="I2743" s="49" t="n">
        <f aca="false">IF('Model Inputs &amp; Assumptions'!$H$33="Fixed",'Model Inputs &amp; Assumptions'!$I$33*'Model Inputs &amp; Assumptions'!$K$33,IF('Model Inputs &amp; Assumptions'!$H$33="CPM",'Model Inputs &amp; Assumptions'!$I$33*'Model Inputs &amp; Assumptions'!$K$33*C2743/1000,IF('Model Inputs &amp; Assumptions'!$H$33="CPC",'Model Inputs &amp; Assumptions'!$I$33*'Model Inputs &amp; Assumptions'!$K$33*G2743,0)))</f>
        <v>25000</v>
      </c>
      <c r="J2743" s="50" t="n">
        <f aca="false">H2743*INDEX('Model Inputs &amp; Assumptions'!$D$40:$D$42,MATCH('Model Inputs &amp; Assumptions'!$L$33,'Model Inputs &amp; Assumptions'!$A$40:$A$42,0))*INDEX('Model Inputs &amp; Assumptions'!$H$40:$H$42,MATCH('Model Inputs &amp; Assumptions'!$L$33,'Model Inputs &amp; Assumptions'!$A$40:$A$42,0))</f>
        <v>1425233.30939427</v>
      </c>
      <c r="K2743" s="49" t="n">
        <f aca="false">H2743*INDEX('Model Inputs &amp; Assumptions'!$G$40:$G$42,MATCH('Model Inputs &amp; Assumptions'!$L$33,'Model Inputs &amp; Assumptions'!$A$40:$A$42,0))*INDEX('Model Inputs &amp; Assumptions'!$H$40:$H$42,MATCH('Model Inputs &amp; Assumptions'!$L$33,'Model Inputs &amp; Assumptions'!$A$40:$A$42,0))</f>
        <v>29929.8994972798</v>
      </c>
      <c r="L2743" s="51" t="n">
        <f aca="false">IFERROR(K2743/I2743,0)</f>
        <v>1.19719597989119</v>
      </c>
      <c r="M2743" s="49" t="n">
        <f aca="false">IFERROR(I2743/H2743,0)</f>
        <v>94.7213337705215</v>
      </c>
      <c r="N2743" s="52" t="str">
        <f aca="false">'Model Inputs &amp; Assumptions'!$L$33</f>
        <v>PRD-SP01</v>
      </c>
      <c r="P2743" s="53" t="n">
        <v>0.50831</v>
      </c>
      <c r="Q2743" s="53" t="n">
        <v>1.671237</v>
      </c>
      <c r="R2743" s="53" t="n">
        <v>1.209996</v>
      </c>
      <c r="S2743" s="53" t="n">
        <v>-0.90339</v>
      </c>
    </row>
    <row r="2744" customFormat="false" ht="15" hidden="false" customHeight="false" outlineLevel="0" collapsed="false">
      <c r="A2744" s="43" t="n">
        <v>241</v>
      </c>
      <c r="B2744" s="44" t="str">
        <f aca="false">'Model Inputs &amp; Assumptions'!$B$33</f>
        <v>Trade Republic — Savings Plan Push</v>
      </c>
      <c r="C2744" s="45" t="n">
        <f aca="false">ROUND(MAX(0,'Model Inputs &amp; Assumptions'!$S$33*EXP('Model Inputs &amp; Assumptions'!$T$33*P2744-'Model Inputs &amp; Assumptions'!$T$33^2/2)),0)</f>
        <v>881931</v>
      </c>
      <c r="D2744" s="46" t="n">
        <f aca="false">MIN(1,'Model Inputs &amp; Assumptions'!$U$33*EXP('Model Inputs &amp; Assumptions'!$V$33*Q2744-'Model Inputs &amp; Assumptions'!$V$33^2/2))</f>
        <v>0</v>
      </c>
      <c r="E2744" s="45" t="n">
        <f aca="false">ROUND(C2744*D2744,0)</f>
        <v>0</v>
      </c>
      <c r="F2744" s="47" t="n">
        <f aca="false">MIN(1,'Model Inputs &amp; Assumptions'!$W$33*EXP('Model Inputs &amp; Assumptions'!$X$33*R2744-'Model Inputs &amp; Assumptions'!$X$33^2/2))</f>
        <v>0.00530690163380711</v>
      </c>
      <c r="G2744" s="45" t="n">
        <f aca="false">ROUND(C2744*F2744,0)</f>
        <v>4680</v>
      </c>
      <c r="H2744" s="48" t="n">
        <f aca="false">MAX(0,(C2744*'Model Inputs &amp; Assumptions'!$N$33+E2744*'Model Inputs &amp; Assumptions'!$O$33+G2744*'Model Inputs &amp; Assumptions'!$P$33)*EXP('Model Inputs &amp; Assumptions'!$Q$33*S2744-'Model Inputs &amp; Assumptions'!$Q$33^2/2))</f>
        <v>339.135663676191</v>
      </c>
      <c r="I2744" s="49" t="n">
        <f aca="false">IF('Model Inputs &amp; Assumptions'!$H$33="Fixed",'Model Inputs &amp; Assumptions'!$I$33*'Model Inputs &amp; Assumptions'!$K$33,IF('Model Inputs &amp; Assumptions'!$H$33="CPM",'Model Inputs &amp; Assumptions'!$I$33*'Model Inputs &amp; Assumptions'!$K$33*C2744/1000,IF('Model Inputs &amp; Assumptions'!$H$33="CPC",'Model Inputs &amp; Assumptions'!$I$33*'Model Inputs &amp; Assumptions'!$K$33*G2744,0)))</f>
        <v>25000</v>
      </c>
      <c r="J2744" s="50" t="n">
        <f aca="false">H2744*INDEX('Model Inputs &amp; Assumptions'!$D$40:$D$42,MATCH('Model Inputs &amp; Assumptions'!$L$33,'Model Inputs &amp; Assumptions'!$A$40:$A$42,0))*INDEX('Model Inputs &amp; Assumptions'!$H$40:$H$42,MATCH('Model Inputs &amp; Assumptions'!$L$33,'Model Inputs &amp; Assumptions'!$A$40:$A$42,0))</f>
        <v>1831332.58385143</v>
      </c>
      <c r="K2744" s="49" t="n">
        <f aca="false">H2744*INDEX('Model Inputs &amp; Assumptions'!$G$40:$G$42,MATCH('Model Inputs &amp; Assumptions'!$L$33,'Model Inputs &amp; Assumptions'!$A$40:$A$42,0))*INDEX('Model Inputs &amp; Assumptions'!$H$40:$H$42,MATCH('Model Inputs &amp; Assumptions'!$L$33,'Model Inputs &amp; Assumptions'!$A$40:$A$42,0))</f>
        <v>38457.98426088</v>
      </c>
      <c r="L2744" s="51" t="n">
        <f aca="false">IFERROR(K2744/I2744,0)</f>
        <v>1.5383193704352</v>
      </c>
      <c r="M2744" s="49" t="n">
        <f aca="false">IFERROR(I2744/H2744,0)</f>
        <v>73.7168121128959</v>
      </c>
      <c r="N2744" s="52" t="str">
        <f aca="false">'Model Inputs &amp; Assumptions'!$L$33</f>
        <v>PRD-SP01</v>
      </c>
      <c r="P2744" s="53" t="n">
        <v>-0.876543</v>
      </c>
      <c r="Q2744" s="53" t="n">
        <v>-0.967268</v>
      </c>
      <c r="R2744" s="53" t="n">
        <v>1.537484</v>
      </c>
      <c r="S2744" s="53" t="n">
        <v>1.124889</v>
      </c>
    </row>
    <row r="2745" customFormat="false" ht="15" hidden="false" customHeight="false" outlineLevel="0" collapsed="false">
      <c r="A2745" s="43" t="n">
        <v>242</v>
      </c>
      <c r="B2745" s="44" t="str">
        <f aca="false">'Model Inputs &amp; Assumptions'!$B$33</f>
        <v>Trade Republic — Savings Plan Push</v>
      </c>
      <c r="C2745" s="45" t="n">
        <f aca="false">ROUND(MAX(0,'Model Inputs &amp; Assumptions'!$S$33*EXP('Model Inputs &amp; Assumptions'!$T$33*P2745-'Model Inputs &amp; Assumptions'!$T$33^2/2)),0)</f>
        <v>1539413</v>
      </c>
      <c r="D2745" s="46" t="n">
        <f aca="false">MIN(1,'Model Inputs &amp; Assumptions'!$U$33*EXP('Model Inputs &amp; Assumptions'!$V$33*Q2745-'Model Inputs &amp; Assumptions'!$V$33^2/2))</f>
        <v>0</v>
      </c>
      <c r="E2745" s="45" t="n">
        <f aca="false">ROUND(C2745*D2745,0)</f>
        <v>0</v>
      </c>
      <c r="F2745" s="47" t="n">
        <f aca="false">MIN(1,'Model Inputs &amp; Assumptions'!$W$33*EXP('Model Inputs &amp; Assumptions'!$X$33*R2745-'Model Inputs &amp; Assumptions'!$X$33^2/2))</f>
        <v>0.00284865475909865</v>
      </c>
      <c r="G2745" s="45" t="n">
        <f aca="false">ROUND(C2745*F2745,0)</f>
        <v>4385</v>
      </c>
      <c r="H2745" s="48" t="n">
        <f aca="false">MAX(0,(C2745*'Model Inputs &amp; Assumptions'!$N$33+E2745*'Model Inputs &amp; Assumptions'!$O$33+G2745*'Model Inputs &amp; Assumptions'!$P$33)*EXP('Model Inputs &amp; Assumptions'!$Q$33*S2745-'Model Inputs &amp; Assumptions'!$Q$33^2/2))</f>
        <v>287.676012717633</v>
      </c>
      <c r="I2745" s="49" t="n">
        <f aca="false">IF('Model Inputs &amp; Assumptions'!$H$33="Fixed",'Model Inputs &amp; Assumptions'!$I$33*'Model Inputs &amp; Assumptions'!$K$33,IF('Model Inputs &amp; Assumptions'!$H$33="CPM",'Model Inputs &amp; Assumptions'!$I$33*'Model Inputs &amp; Assumptions'!$K$33*C2745/1000,IF('Model Inputs &amp; Assumptions'!$H$33="CPC",'Model Inputs &amp; Assumptions'!$I$33*'Model Inputs &amp; Assumptions'!$K$33*G2745,0)))</f>
        <v>25000</v>
      </c>
      <c r="J2745" s="50" t="n">
        <f aca="false">H2745*INDEX('Model Inputs &amp; Assumptions'!$D$40:$D$42,MATCH('Model Inputs &amp; Assumptions'!$L$33,'Model Inputs &amp; Assumptions'!$A$40:$A$42,0))*INDEX('Model Inputs &amp; Assumptions'!$H$40:$H$42,MATCH('Model Inputs &amp; Assumptions'!$L$33,'Model Inputs &amp; Assumptions'!$A$40:$A$42,0))</f>
        <v>1553450.46867522</v>
      </c>
      <c r="K2745" s="49" t="n">
        <f aca="false">H2745*INDEX('Model Inputs &amp; Assumptions'!$G$40:$G$42,MATCH('Model Inputs &amp; Assumptions'!$L$33,'Model Inputs &amp; Assumptions'!$A$40:$A$42,0))*INDEX('Model Inputs &amp; Assumptions'!$H$40:$H$42,MATCH('Model Inputs &amp; Assumptions'!$L$33,'Model Inputs &amp; Assumptions'!$A$40:$A$42,0))</f>
        <v>32622.4598421796</v>
      </c>
      <c r="L2745" s="51" t="n">
        <f aca="false">IFERROR(K2745/I2745,0)</f>
        <v>1.30489839368718</v>
      </c>
      <c r="M2745" s="49" t="n">
        <f aca="false">IFERROR(I2745/H2745,0)</f>
        <v>86.9033179507345</v>
      </c>
      <c r="N2745" s="52" t="str">
        <f aca="false">'Model Inputs &amp; Assumptions'!$L$33</f>
        <v>PRD-SP01</v>
      </c>
      <c r="P2745" s="53" t="n">
        <v>0.980266</v>
      </c>
      <c r="Q2745" s="53" t="n">
        <v>-0.254082</v>
      </c>
      <c r="R2745" s="53" t="n">
        <v>-0.536387</v>
      </c>
      <c r="S2745" s="53" t="n">
        <v>0.769686</v>
      </c>
    </row>
    <row r="2746" customFormat="false" ht="15" hidden="false" customHeight="false" outlineLevel="0" collapsed="false">
      <c r="A2746" s="43" t="n">
        <v>243</v>
      </c>
      <c r="B2746" s="44" t="str">
        <f aca="false">'Model Inputs &amp; Assumptions'!$B$33</f>
        <v>Trade Republic — Savings Plan Push</v>
      </c>
      <c r="C2746" s="45" t="n">
        <f aca="false">ROUND(MAX(0,'Model Inputs &amp; Assumptions'!$S$33*EXP('Model Inputs &amp; Assumptions'!$T$33*P2746-'Model Inputs &amp; Assumptions'!$T$33^2/2)),0)</f>
        <v>1138451</v>
      </c>
      <c r="D2746" s="46" t="n">
        <f aca="false">MIN(1,'Model Inputs &amp; Assumptions'!$U$33*EXP('Model Inputs &amp; Assumptions'!$V$33*Q2746-'Model Inputs &amp; Assumptions'!$V$33^2/2))</f>
        <v>0</v>
      </c>
      <c r="E2746" s="45" t="n">
        <f aca="false">ROUND(C2746*D2746,0)</f>
        <v>0</v>
      </c>
      <c r="F2746" s="47" t="n">
        <f aca="false">MIN(1,'Model Inputs &amp; Assumptions'!$W$33*EXP('Model Inputs &amp; Assumptions'!$X$33*R2746-'Model Inputs &amp; Assumptions'!$X$33^2/2))</f>
        <v>0.00275449788059138</v>
      </c>
      <c r="G2746" s="45" t="n">
        <f aca="false">ROUND(C2746*F2746,0)</f>
        <v>3136</v>
      </c>
      <c r="H2746" s="48" t="n">
        <f aca="false">MAX(0,(C2746*'Model Inputs &amp; Assumptions'!$N$33+E2746*'Model Inputs &amp; Assumptions'!$O$33+G2746*'Model Inputs &amp; Assumptions'!$P$33)*EXP('Model Inputs &amp; Assumptions'!$Q$33*S2746-'Model Inputs &amp; Assumptions'!$Q$33^2/2))</f>
        <v>214.540962546886</v>
      </c>
      <c r="I2746" s="49" t="n">
        <f aca="false">IF('Model Inputs &amp; Assumptions'!$H$33="Fixed",'Model Inputs &amp; Assumptions'!$I$33*'Model Inputs &amp; Assumptions'!$K$33,IF('Model Inputs &amp; Assumptions'!$H$33="CPM",'Model Inputs &amp; Assumptions'!$I$33*'Model Inputs &amp; Assumptions'!$K$33*C2746/1000,IF('Model Inputs &amp; Assumptions'!$H$33="CPC",'Model Inputs &amp; Assumptions'!$I$33*'Model Inputs &amp; Assumptions'!$K$33*G2746,0)))</f>
        <v>25000</v>
      </c>
      <c r="J2746" s="50" t="n">
        <f aca="false">H2746*INDEX('Model Inputs &amp; Assumptions'!$D$40:$D$42,MATCH('Model Inputs &amp; Assumptions'!$L$33,'Model Inputs &amp; Assumptions'!$A$40:$A$42,0))*INDEX('Model Inputs &amp; Assumptions'!$H$40:$H$42,MATCH('Model Inputs &amp; Assumptions'!$L$33,'Model Inputs &amp; Assumptions'!$A$40:$A$42,0))</f>
        <v>1158521.19775318</v>
      </c>
      <c r="K2746" s="49" t="n">
        <f aca="false">H2746*INDEX('Model Inputs &amp; Assumptions'!$G$40:$G$42,MATCH('Model Inputs &amp; Assumptions'!$L$33,'Model Inputs &amp; Assumptions'!$A$40:$A$42,0))*INDEX('Model Inputs &amp; Assumptions'!$H$40:$H$42,MATCH('Model Inputs &amp; Assumptions'!$L$33,'Model Inputs &amp; Assumptions'!$A$40:$A$42,0))</f>
        <v>24328.9451528168</v>
      </c>
      <c r="L2746" s="51" t="n">
        <f aca="false">IFERROR(K2746/I2746,0)</f>
        <v>0.973157806112674</v>
      </c>
      <c r="M2746" s="49" t="n">
        <f aca="false">IFERROR(I2746/H2746,0)</f>
        <v>116.52786350549</v>
      </c>
      <c r="N2746" s="52" t="str">
        <f aca="false">'Model Inputs &amp; Assumptions'!$L$33</f>
        <v>PRD-SP01</v>
      </c>
      <c r="P2746" s="53" t="n">
        <v>-0.025511</v>
      </c>
      <c r="Q2746" s="53" t="n">
        <v>-2.062602</v>
      </c>
      <c r="R2746" s="53" t="n">
        <v>-0.648426</v>
      </c>
      <c r="S2746" s="53" t="n">
        <v>0.919355</v>
      </c>
    </row>
    <row r="2747" customFormat="false" ht="15" hidden="false" customHeight="false" outlineLevel="0" collapsed="false">
      <c r="A2747" s="43" t="n">
        <v>244</v>
      </c>
      <c r="B2747" s="44" t="str">
        <f aca="false">'Model Inputs &amp; Assumptions'!$B$33</f>
        <v>Trade Republic — Savings Plan Push</v>
      </c>
      <c r="C2747" s="45" t="n">
        <f aca="false">ROUND(MAX(0,'Model Inputs &amp; Assumptions'!$S$33*EXP('Model Inputs &amp; Assumptions'!$T$33*P2747-'Model Inputs &amp; Assumptions'!$T$33^2/2)),0)</f>
        <v>1678443</v>
      </c>
      <c r="D2747" s="46" t="n">
        <f aca="false">MIN(1,'Model Inputs &amp; Assumptions'!$U$33*EXP('Model Inputs &amp; Assumptions'!$V$33*Q2747-'Model Inputs &amp; Assumptions'!$V$33^2/2))</f>
        <v>0</v>
      </c>
      <c r="E2747" s="45" t="n">
        <f aca="false">ROUND(C2747*D2747,0)</f>
        <v>0</v>
      </c>
      <c r="F2747" s="47" t="n">
        <f aca="false">MIN(1,'Model Inputs &amp; Assumptions'!$W$33*EXP('Model Inputs &amp; Assumptions'!$X$33*R2747-'Model Inputs &amp; Assumptions'!$X$33^2/2))</f>
        <v>0.00255620738175362</v>
      </c>
      <c r="G2747" s="45" t="n">
        <f aca="false">ROUND(C2747*F2747,0)</f>
        <v>4290</v>
      </c>
      <c r="H2747" s="48" t="n">
        <f aca="false">MAX(0,(C2747*'Model Inputs &amp; Assumptions'!$N$33+E2747*'Model Inputs &amp; Assumptions'!$O$33+G2747*'Model Inputs &amp; Assumptions'!$P$33)*EXP('Model Inputs &amp; Assumptions'!$Q$33*S2747-'Model Inputs &amp; Assumptions'!$Q$33^2/2))</f>
        <v>150.434750423144</v>
      </c>
      <c r="I2747" s="49" t="n">
        <f aca="false">IF('Model Inputs &amp; Assumptions'!$H$33="Fixed",'Model Inputs &amp; Assumptions'!$I$33*'Model Inputs &amp; Assumptions'!$K$33,IF('Model Inputs &amp; Assumptions'!$H$33="CPM",'Model Inputs &amp; Assumptions'!$I$33*'Model Inputs &amp; Assumptions'!$K$33*C2747/1000,IF('Model Inputs &amp; Assumptions'!$H$33="CPC",'Model Inputs &amp; Assumptions'!$I$33*'Model Inputs &amp; Assumptions'!$K$33*G2747,0)))</f>
        <v>25000</v>
      </c>
      <c r="J2747" s="50" t="n">
        <f aca="false">H2747*INDEX('Model Inputs &amp; Assumptions'!$D$40:$D$42,MATCH('Model Inputs &amp; Assumptions'!$L$33,'Model Inputs &amp; Assumptions'!$A$40:$A$42,0))*INDEX('Model Inputs &amp; Assumptions'!$H$40:$H$42,MATCH('Model Inputs &amp; Assumptions'!$L$33,'Model Inputs &amp; Assumptions'!$A$40:$A$42,0))</f>
        <v>812347.652284976</v>
      </c>
      <c r="K2747" s="49" t="n">
        <f aca="false">H2747*INDEX('Model Inputs &amp; Assumptions'!$G$40:$G$42,MATCH('Model Inputs &amp; Assumptions'!$L$33,'Model Inputs &amp; Assumptions'!$A$40:$A$42,0))*INDEX('Model Inputs &amp; Assumptions'!$H$40:$H$42,MATCH('Model Inputs &amp; Assumptions'!$L$33,'Model Inputs &amp; Assumptions'!$A$40:$A$42,0))</f>
        <v>17059.3006979845</v>
      </c>
      <c r="L2747" s="51" t="n">
        <f aca="false">IFERROR(K2747/I2747,0)</f>
        <v>0.68237202791938</v>
      </c>
      <c r="M2747" s="49" t="n">
        <f aca="false">IFERROR(I2747/H2747,0)</f>
        <v>166.185006653581</v>
      </c>
      <c r="N2747" s="52" t="str">
        <f aca="false">'Model Inputs &amp; Assumptions'!$L$33</f>
        <v>PRD-SP01</v>
      </c>
      <c r="P2747" s="53" t="n">
        <v>1.268483</v>
      </c>
      <c r="Q2747" s="53" t="n">
        <v>-0.467631</v>
      </c>
      <c r="R2747" s="53" t="n">
        <v>-0.897461</v>
      </c>
      <c r="S2747" s="53" t="n">
        <v>-1.467466</v>
      </c>
    </row>
    <row r="2748" customFormat="false" ht="15" hidden="false" customHeight="false" outlineLevel="0" collapsed="false">
      <c r="A2748" s="43" t="n">
        <v>245</v>
      </c>
      <c r="B2748" s="44" t="str">
        <f aca="false">'Model Inputs &amp; Assumptions'!$B$33</f>
        <v>Trade Republic — Savings Plan Push</v>
      </c>
      <c r="C2748" s="45" t="n">
        <f aca="false">ROUND(MAX(0,'Model Inputs &amp; Assumptions'!$S$33*EXP('Model Inputs &amp; Assumptions'!$T$33*P2748-'Model Inputs &amp; Assumptions'!$T$33^2/2)),0)</f>
        <v>1404771</v>
      </c>
      <c r="D2748" s="46" t="n">
        <f aca="false">MIN(1,'Model Inputs &amp; Assumptions'!$U$33*EXP('Model Inputs &amp; Assumptions'!$V$33*Q2748-'Model Inputs &amp; Assumptions'!$V$33^2/2))</f>
        <v>0</v>
      </c>
      <c r="E2748" s="45" t="n">
        <f aca="false">ROUND(C2748*D2748,0)</f>
        <v>0</v>
      </c>
      <c r="F2748" s="47" t="n">
        <f aca="false">MIN(1,'Model Inputs &amp; Assumptions'!$W$33*EXP('Model Inputs &amp; Assumptions'!$X$33*R2748-'Model Inputs &amp; Assumptions'!$X$33^2/2))</f>
        <v>0.00345904060384934</v>
      </c>
      <c r="G2748" s="45" t="n">
        <f aca="false">ROUND(C2748*F2748,0)</f>
        <v>4859</v>
      </c>
      <c r="H2748" s="48" t="n">
        <f aca="false">MAX(0,(C2748*'Model Inputs &amp; Assumptions'!$N$33+E2748*'Model Inputs &amp; Assumptions'!$O$33+G2748*'Model Inputs &amp; Assumptions'!$P$33)*EXP('Model Inputs &amp; Assumptions'!$Q$33*S2748-'Model Inputs &amp; Assumptions'!$Q$33^2/2))</f>
        <v>313.291617049465</v>
      </c>
      <c r="I2748" s="49" t="n">
        <f aca="false">IF('Model Inputs &amp; Assumptions'!$H$33="Fixed",'Model Inputs &amp; Assumptions'!$I$33*'Model Inputs &amp; Assumptions'!$K$33,IF('Model Inputs &amp; Assumptions'!$H$33="CPM",'Model Inputs &amp; Assumptions'!$I$33*'Model Inputs &amp; Assumptions'!$K$33*C2748/1000,IF('Model Inputs &amp; Assumptions'!$H$33="CPC",'Model Inputs &amp; Assumptions'!$I$33*'Model Inputs &amp; Assumptions'!$K$33*G2748,0)))</f>
        <v>25000</v>
      </c>
      <c r="J2748" s="50" t="n">
        <f aca="false">H2748*INDEX('Model Inputs &amp; Assumptions'!$D$40:$D$42,MATCH('Model Inputs &amp; Assumptions'!$L$33,'Model Inputs &amp; Assumptions'!$A$40:$A$42,0))*INDEX('Model Inputs &amp; Assumptions'!$H$40:$H$42,MATCH('Model Inputs &amp; Assumptions'!$L$33,'Model Inputs &amp; Assumptions'!$A$40:$A$42,0))</f>
        <v>1691774.73206711</v>
      </c>
      <c r="K2748" s="49" t="n">
        <f aca="false">H2748*INDEX('Model Inputs &amp; Assumptions'!$G$40:$G$42,MATCH('Model Inputs &amp; Assumptions'!$L$33,'Model Inputs &amp; Assumptions'!$A$40:$A$42,0))*INDEX('Model Inputs &amp; Assumptions'!$H$40:$H$42,MATCH('Model Inputs &amp; Assumptions'!$L$33,'Model Inputs &amp; Assumptions'!$A$40:$A$42,0))</f>
        <v>35527.2693734093</v>
      </c>
      <c r="L2748" s="51" t="n">
        <f aca="false">IFERROR(K2748/I2748,0)</f>
        <v>1.42109077493637</v>
      </c>
      <c r="M2748" s="49" t="n">
        <f aca="false">IFERROR(I2748/H2748,0)</f>
        <v>79.7978580960652</v>
      </c>
      <c r="N2748" s="52" t="str">
        <f aca="false">'Model Inputs &amp; Assumptions'!$L$33</f>
        <v>PRD-SP01</v>
      </c>
      <c r="P2748" s="53" t="n">
        <v>0.675175</v>
      </c>
      <c r="Q2748" s="53" t="n">
        <v>0.111284</v>
      </c>
      <c r="R2748" s="53" t="n">
        <v>0.110761</v>
      </c>
      <c r="S2748" s="53" t="n">
        <v>0.707745</v>
      </c>
    </row>
    <row r="2749" customFormat="false" ht="15" hidden="false" customHeight="false" outlineLevel="0" collapsed="false">
      <c r="A2749" s="43" t="n">
        <v>246</v>
      </c>
      <c r="B2749" s="44" t="str">
        <f aca="false">'Model Inputs &amp; Assumptions'!$B$33</f>
        <v>Trade Republic — Savings Plan Push</v>
      </c>
      <c r="C2749" s="45" t="n">
        <f aca="false">ROUND(MAX(0,'Model Inputs &amp; Assumptions'!$S$33*EXP('Model Inputs &amp; Assumptions'!$T$33*P2749-'Model Inputs &amp; Assumptions'!$T$33^2/2)),0)</f>
        <v>855340</v>
      </c>
      <c r="D2749" s="46" t="n">
        <f aca="false">MIN(1,'Model Inputs &amp; Assumptions'!$U$33*EXP('Model Inputs &amp; Assumptions'!$V$33*Q2749-'Model Inputs &amp; Assumptions'!$V$33^2/2))</f>
        <v>0</v>
      </c>
      <c r="E2749" s="45" t="n">
        <f aca="false">ROUND(C2749*D2749,0)</f>
        <v>0</v>
      </c>
      <c r="F2749" s="47" t="n">
        <f aca="false">MIN(1,'Model Inputs &amp; Assumptions'!$W$33*EXP('Model Inputs &amp; Assumptions'!$X$33*R2749-'Model Inputs &amp; Assumptions'!$X$33^2/2))</f>
        <v>0.00207832726051763</v>
      </c>
      <c r="G2749" s="45" t="n">
        <f aca="false">ROUND(C2749*F2749,0)</f>
        <v>1778</v>
      </c>
      <c r="H2749" s="48" t="n">
        <f aca="false">MAX(0,(C2749*'Model Inputs &amp; Assumptions'!$N$33+E2749*'Model Inputs &amp; Assumptions'!$O$33+G2749*'Model Inputs &amp; Assumptions'!$P$33)*EXP('Model Inputs &amp; Assumptions'!$Q$33*S2749-'Model Inputs &amp; Assumptions'!$Q$33^2/2))</f>
        <v>52.4722869351406</v>
      </c>
      <c r="I2749" s="49" t="n">
        <f aca="false">IF('Model Inputs &amp; Assumptions'!$H$33="Fixed",'Model Inputs &amp; Assumptions'!$I$33*'Model Inputs &amp; Assumptions'!$K$33,IF('Model Inputs &amp; Assumptions'!$H$33="CPM",'Model Inputs &amp; Assumptions'!$I$33*'Model Inputs &amp; Assumptions'!$K$33*C2749/1000,IF('Model Inputs &amp; Assumptions'!$H$33="CPC",'Model Inputs &amp; Assumptions'!$I$33*'Model Inputs &amp; Assumptions'!$K$33*G2749,0)))</f>
        <v>25000</v>
      </c>
      <c r="J2749" s="50" t="n">
        <f aca="false">H2749*INDEX('Model Inputs &amp; Assumptions'!$D$40:$D$42,MATCH('Model Inputs &amp; Assumptions'!$L$33,'Model Inputs &amp; Assumptions'!$A$40:$A$42,0))*INDEX('Model Inputs &amp; Assumptions'!$H$40:$H$42,MATCH('Model Inputs &amp; Assumptions'!$L$33,'Model Inputs &amp; Assumptions'!$A$40:$A$42,0))</f>
        <v>283350.349449759</v>
      </c>
      <c r="K2749" s="49" t="n">
        <f aca="false">H2749*INDEX('Model Inputs &amp; Assumptions'!$G$40:$G$42,MATCH('Model Inputs &amp; Assumptions'!$L$33,'Model Inputs &amp; Assumptions'!$A$40:$A$42,0))*INDEX('Model Inputs &amp; Assumptions'!$H$40:$H$42,MATCH('Model Inputs &amp; Assumptions'!$L$33,'Model Inputs &amp; Assumptions'!$A$40:$A$42,0))</f>
        <v>5950.35733844494</v>
      </c>
      <c r="L2749" s="51" t="n">
        <f aca="false">IFERROR(K2749/I2749,0)</f>
        <v>0.238014293537798</v>
      </c>
      <c r="M2749" s="49" t="n">
        <f aca="false">IFERROR(I2749/H2749,0)</f>
        <v>476.441974616082</v>
      </c>
      <c r="N2749" s="52" t="str">
        <f aca="false">'Model Inputs &amp; Assumptions'!$L$33</f>
        <v>PRD-SP01</v>
      </c>
      <c r="P2749" s="53" t="n">
        <v>-0.978592</v>
      </c>
      <c r="Q2749" s="53" t="n">
        <v>-0.074835</v>
      </c>
      <c r="R2749" s="53" t="n">
        <v>-1.587332</v>
      </c>
      <c r="S2749" s="53" t="n">
        <v>-2.083347</v>
      </c>
    </row>
    <row r="2750" customFormat="false" ht="15" hidden="false" customHeight="false" outlineLevel="0" collapsed="false">
      <c r="A2750" s="43" t="n">
        <v>247</v>
      </c>
      <c r="B2750" s="44" t="str">
        <f aca="false">'Model Inputs &amp; Assumptions'!$B$33</f>
        <v>Trade Republic — Savings Plan Push</v>
      </c>
      <c r="C2750" s="45" t="n">
        <f aca="false">ROUND(MAX(0,'Model Inputs &amp; Assumptions'!$S$33*EXP('Model Inputs &amp; Assumptions'!$T$33*P2750-'Model Inputs &amp; Assumptions'!$T$33^2/2)),0)</f>
        <v>753246</v>
      </c>
      <c r="D2750" s="46" t="n">
        <f aca="false">MIN(1,'Model Inputs &amp; Assumptions'!$U$33*EXP('Model Inputs &amp; Assumptions'!$V$33*Q2750-'Model Inputs &amp; Assumptions'!$V$33^2/2))</f>
        <v>0</v>
      </c>
      <c r="E2750" s="45" t="n">
        <f aca="false">ROUND(C2750*D2750,0)</f>
        <v>0</v>
      </c>
      <c r="F2750" s="47" t="n">
        <f aca="false">MIN(1,'Model Inputs &amp; Assumptions'!$W$33*EXP('Model Inputs &amp; Assumptions'!$X$33*R2750-'Model Inputs &amp; Assumptions'!$X$33^2/2))</f>
        <v>0.00333422733376219</v>
      </c>
      <c r="G2750" s="45" t="n">
        <f aca="false">ROUND(C2750*F2750,0)</f>
        <v>2511</v>
      </c>
      <c r="H2750" s="48" t="n">
        <f aca="false">MAX(0,(C2750*'Model Inputs &amp; Assumptions'!$N$33+E2750*'Model Inputs &amp; Assumptions'!$O$33+G2750*'Model Inputs &amp; Assumptions'!$P$33)*EXP('Model Inputs &amp; Assumptions'!$Q$33*S2750-'Model Inputs &amp; Assumptions'!$Q$33^2/2))</f>
        <v>153.294518017992</v>
      </c>
      <c r="I2750" s="49" t="n">
        <f aca="false">IF('Model Inputs &amp; Assumptions'!$H$33="Fixed",'Model Inputs &amp; Assumptions'!$I$33*'Model Inputs &amp; Assumptions'!$K$33,IF('Model Inputs &amp; Assumptions'!$H$33="CPM",'Model Inputs &amp; Assumptions'!$I$33*'Model Inputs &amp; Assumptions'!$K$33*C2750/1000,IF('Model Inputs &amp; Assumptions'!$H$33="CPC",'Model Inputs &amp; Assumptions'!$I$33*'Model Inputs &amp; Assumptions'!$K$33*G2750,0)))</f>
        <v>25000</v>
      </c>
      <c r="J2750" s="50" t="n">
        <f aca="false">H2750*INDEX('Model Inputs &amp; Assumptions'!$D$40:$D$42,MATCH('Model Inputs &amp; Assumptions'!$L$33,'Model Inputs &amp; Assumptions'!$A$40:$A$42,0))*INDEX('Model Inputs &amp; Assumptions'!$H$40:$H$42,MATCH('Model Inputs &amp; Assumptions'!$L$33,'Model Inputs &amp; Assumptions'!$A$40:$A$42,0))</f>
        <v>827790.397297156</v>
      </c>
      <c r="K2750" s="49" t="n">
        <f aca="false">H2750*INDEX('Model Inputs &amp; Assumptions'!$G$40:$G$42,MATCH('Model Inputs &amp; Assumptions'!$L$33,'Model Inputs &amp; Assumptions'!$A$40:$A$42,0))*INDEX('Model Inputs &amp; Assumptions'!$H$40:$H$42,MATCH('Model Inputs &amp; Assumptions'!$L$33,'Model Inputs &amp; Assumptions'!$A$40:$A$42,0))</f>
        <v>17383.5983432403</v>
      </c>
      <c r="L2750" s="51" t="n">
        <f aca="false">IFERROR(K2750/I2750,0)</f>
        <v>0.695343933729611</v>
      </c>
      <c r="M2750" s="49" t="n">
        <f aca="false">IFERROR(I2750/H2750,0)</f>
        <v>163.084762085659</v>
      </c>
      <c r="N2750" s="52" t="str">
        <f aca="false">'Model Inputs &amp; Assumptions'!$L$33</f>
        <v>PRD-SP01</v>
      </c>
      <c r="P2750" s="53" t="n">
        <v>-1.402284</v>
      </c>
      <c r="Q2750" s="53" t="n">
        <v>-0.020092</v>
      </c>
      <c r="R2750" s="53" t="n">
        <v>-0.01174</v>
      </c>
      <c r="S2750" s="53" t="n">
        <v>0.512667</v>
      </c>
    </row>
    <row r="2751" customFormat="false" ht="15" hidden="false" customHeight="false" outlineLevel="0" collapsed="false">
      <c r="A2751" s="43" t="n">
        <v>248</v>
      </c>
      <c r="B2751" s="44" t="str">
        <f aca="false">'Model Inputs &amp; Assumptions'!$B$33</f>
        <v>Trade Republic — Savings Plan Push</v>
      </c>
      <c r="C2751" s="45" t="n">
        <f aca="false">ROUND(MAX(0,'Model Inputs &amp; Assumptions'!$S$33*EXP('Model Inputs &amp; Assumptions'!$T$33*P2751-'Model Inputs &amp; Assumptions'!$T$33^2/2)),0)</f>
        <v>2441626</v>
      </c>
      <c r="D2751" s="46" t="n">
        <f aca="false">MIN(1,'Model Inputs &amp; Assumptions'!$U$33*EXP('Model Inputs &amp; Assumptions'!$V$33*Q2751-'Model Inputs &amp; Assumptions'!$V$33^2/2))</f>
        <v>0</v>
      </c>
      <c r="E2751" s="45" t="n">
        <f aca="false">ROUND(C2751*D2751,0)</f>
        <v>0</v>
      </c>
      <c r="F2751" s="47" t="n">
        <f aca="false">MIN(1,'Model Inputs &amp; Assumptions'!$W$33*EXP('Model Inputs &amp; Assumptions'!$X$33*R2751-'Model Inputs &amp; Assumptions'!$X$33^2/2))</f>
        <v>0.00255675267894202</v>
      </c>
      <c r="G2751" s="45" t="n">
        <f aca="false">ROUND(C2751*F2751,0)</f>
        <v>6243</v>
      </c>
      <c r="H2751" s="48" t="n">
        <f aca="false">MAX(0,(C2751*'Model Inputs &amp; Assumptions'!$N$33+E2751*'Model Inputs &amp; Assumptions'!$O$33+G2751*'Model Inputs &amp; Assumptions'!$P$33)*EXP('Model Inputs &amp; Assumptions'!$Q$33*S2751-'Model Inputs &amp; Assumptions'!$Q$33^2/2))</f>
        <v>434.518473858301</v>
      </c>
      <c r="I2751" s="49" t="n">
        <f aca="false">IF('Model Inputs &amp; Assumptions'!$H$33="Fixed",'Model Inputs &amp; Assumptions'!$I$33*'Model Inputs &amp; Assumptions'!$K$33,IF('Model Inputs &amp; Assumptions'!$H$33="CPM",'Model Inputs &amp; Assumptions'!$I$33*'Model Inputs &amp; Assumptions'!$K$33*C2751/1000,IF('Model Inputs &amp; Assumptions'!$H$33="CPC",'Model Inputs &amp; Assumptions'!$I$33*'Model Inputs &amp; Assumptions'!$K$33*G2751,0)))</f>
        <v>25000</v>
      </c>
      <c r="J2751" s="50" t="n">
        <f aca="false">H2751*INDEX('Model Inputs &amp; Assumptions'!$D$40:$D$42,MATCH('Model Inputs &amp; Assumptions'!$L$33,'Model Inputs &amp; Assumptions'!$A$40:$A$42,0))*INDEX('Model Inputs &amp; Assumptions'!$H$40:$H$42,MATCH('Model Inputs &amp; Assumptions'!$L$33,'Model Inputs &amp; Assumptions'!$A$40:$A$42,0))</f>
        <v>2346399.75883483</v>
      </c>
      <c r="K2751" s="49" t="n">
        <f aca="false">H2751*INDEX('Model Inputs &amp; Assumptions'!$G$40:$G$42,MATCH('Model Inputs &amp; Assumptions'!$L$33,'Model Inputs &amp; Assumptions'!$A$40:$A$42,0))*INDEX('Model Inputs &amp; Assumptions'!$H$40:$H$42,MATCH('Model Inputs &amp; Assumptions'!$L$33,'Model Inputs &amp; Assumptions'!$A$40:$A$42,0))</f>
        <v>49274.3949355314</v>
      </c>
      <c r="L2751" s="51" t="n">
        <f aca="false">IFERROR(K2751/I2751,0)</f>
        <v>1.97097579742126</v>
      </c>
      <c r="M2751" s="49" t="n">
        <f aca="false">IFERROR(I2751/H2751,0)</f>
        <v>57.5349530665815</v>
      </c>
      <c r="N2751" s="52" t="str">
        <f aca="false">'Model Inputs &amp; Assumptions'!$L$33</f>
        <v>PRD-SP01</v>
      </c>
      <c r="P2751" s="53" t="n">
        <v>2.517809</v>
      </c>
      <c r="Q2751" s="53" t="n">
        <v>0.661301</v>
      </c>
      <c r="R2751" s="53" t="n">
        <v>-0.89675</v>
      </c>
      <c r="S2751" s="53" t="n">
        <v>0.980873</v>
      </c>
    </row>
    <row r="2752" customFormat="false" ht="15" hidden="false" customHeight="false" outlineLevel="0" collapsed="false">
      <c r="A2752" s="43" t="n">
        <v>249</v>
      </c>
      <c r="B2752" s="44" t="str">
        <f aca="false">'Model Inputs &amp; Assumptions'!$B$33</f>
        <v>Trade Republic — Savings Plan Push</v>
      </c>
      <c r="C2752" s="45" t="n">
        <f aca="false">ROUND(MAX(0,'Model Inputs &amp; Assumptions'!$S$33*EXP('Model Inputs &amp; Assumptions'!$T$33*P2752-'Model Inputs &amp; Assumptions'!$T$33^2/2)),0)</f>
        <v>825726</v>
      </c>
      <c r="D2752" s="46" t="n">
        <f aca="false">MIN(1,'Model Inputs &amp; Assumptions'!$U$33*EXP('Model Inputs &amp; Assumptions'!$V$33*Q2752-'Model Inputs &amp; Assumptions'!$V$33^2/2))</f>
        <v>0</v>
      </c>
      <c r="E2752" s="45" t="n">
        <f aca="false">ROUND(C2752*D2752,0)</f>
        <v>0</v>
      </c>
      <c r="F2752" s="47" t="n">
        <f aca="false">MIN(1,'Model Inputs &amp; Assumptions'!$W$33*EXP('Model Inputs &amp; Assumptions'!$X$33*R2752-'Model Inputs &amp; Assumptions'!$X$33^2/2))</f>
        <v>0.00389088356159432</v>
      </c>
      <c r="G2752" s="45" t="n">
        <f aca="false">ROUND(C2752*F2752,0)</f>
        <v>3213</v>
      </c>
      <c r="H2752" s="48" t="n">
        <f aca="false">MAX(0,(C2752*'Model Inputs &amp; Assumptions'!$N$33+E2752*'Model Inputs &amp; Assumptions'!$O$33+G2752*'Model Inputs &amp; Assumptions'!$P$33)*EXP('Model Inputs &amp; Assumptions'!$Q$33*S2752-'Model Inputs &amp; Assumptions'!$Q$33^2/2))</f>
        <v>215.541137665693</v>
      </c>
      <c r="I2752" s="49" t="n">
        <f aca="false">IF('Model Inputs &amp; Assumptions'!$H$33="Fixed",'Model Inputs &amp; Assumptions'!$I$33*'Model Inputs &amp; Assumptions'!$K$33,IF('Model Inputs &amp; Assumptions'!$H$33="CPM",'Model Inputs &amp; Assumptions'!$I$33*'Model Inputs &amp; Assumptions'!$K$33*C2752/1000,IF('Model Inputs &amp; Assumptions'!$H$33="CPC",'Model Inputs &amp; Assumptions'!$I$33*'Model Inputs &amp; Assumptions'!$K$33*G2752,0)))</f>
        <v>25000</v>
      </c>
      <c r="J2752" s="50" t="n">
        <f aca="false">H2752*INDEX('Model Inputs &amp; Assumptions'!$D$40:$D$42,MATCH('Model Inputs &amp; Assumptions'!$L$33,'Model Inputs &amp; Assumptions'!$A$40:$A$42,0))*INDEX('Model Inputs &amp; Assumptions'!$H$40:$H$42,MATCH('Model Inputs &amp; Assumptions'!$L$33,'Model Inputs &amp; Assumptions'!$A$40:$A$42,0))</f>
        <v>1163922.14339474</v>
      </c>
      <c r="K2752" s="49" t="n">
        <f aca="false">H2752*INDEX('Model Inputs &amp; Assumptions'!$G$40:$G$42,MATCH('Model Inputs &amp; Assumptions'!$L$33,'Model Inputs &amp; Assumptions'!$A$40:$A$42,0))*INDEX('Model Inputs &amp; Assumptions'!$H$40:$H$42,MATCH('Model Inputs &amp; Assumptions'!$L$33,'Model Inputs &amp; Assumptions'!$A$40:$A$42,0))</f>
        <v>24442.3650112896</v>
      </c>
      <c r="L2752" s="51" t="n">
        <f aca="false">IFERROR(K2752/I2752,0)</f>
        <v>0.977694600451583</v>
      </c>
      <c r="M2752" s="49" t="n">
        <f aca="false">IFERROR(I2752/H2752,0)</f>
        <v>115.987139488775</v>
      </c>
      <c r="N2752" s="52" t="str">
        <f aca="false">'Model Inputs &amp; Assumptions'!$L$33</f>
        <v>PRD-SP01</v>
      </c>
      <c r="P2752" s="53" t="n">
        <v>-1.096045</v>
      </c>
      <c r="Q2752" s="53" t="n">
        <v>-0.385025</v>
      </c>
      <c r="R2752" s="53" t="n">
        <v>0.502911</v>
      </c>
      <c r="S2752" s="53" t="n">
        <v>0.849334</v>
      </c>
    </row>
    <row r="2753" customFormat="false" ht="15" hidden="false" customHeight="false" outlineLevel="0" collapsed="false">
      <c r="A2753" s="43" t="n">
        <v>250</v>
      </c>
      <c r="B2753" s="44" t="str">
        <f aca="false">'Model Inputs &amp; Assumptions'!$B$33</f>
        <v>Trade Republic — Savings Plan Push</v>
      </c>
      <c r="C2753" s="45" t="n">
        <f aca="false">ROUND(MAX(0,'Model Inputs &amp; Assumptions'!$S$33*EXP('Model Inputs &amp; Assumptions'!$T$33*P2753-'Model Inputs &amp; Assumptions'!$T$33^2/2)),0)</f>
        <v>1314039</v>
      </c>
      <c r="D2753" s="46" t="n">
        <f aca="false">MIN(1,'Model Inputs &amp; Assumptions'!$U$33*EXP('Model Inputs &amp; Assumptions'!$V$33*Q2753-'Model Inputs &amp; Assumptions'!$V$33^2/2))</f>
        <v>0</v>
      </c>
      <c r="E2753" s="45" t="n">
        <f aca="false">ROUND(C2753*D2753,0)</f>
        <v>0</v>
      </c>
      <c r="F2753" s="47" t="n">
        <f aca="false">MIN(1,'Model Inputs &amp; Assumptions'!$W$33*EXP('Model Inputs &amp; Assumptions'!$X$33*R2753-'Model Inputs &amp; Assumptions'!$X$33^2/2))</f>
        <v>0.00204937233556542</v>
      </c>
      <c r="G2753" s="45" t="n">
        <f aca="false">ROUND(C2753*F2753,0)</f>
        <v>2693</v>
      </c>
      <c r="H2753" s="48" t="n">
        <f aca="false">MAX(0,(C2753*'Model Inputs &amp; Assumptions'!$N$33+E2753*'Model Inputs &amp; Assumptions'!$O$33+G2753*'Model Inputs &amp; Assumptions'!$P$33)*EXP('Model Inputs &amp; Assumptions'!$Q$33*S2753-'Model Inputs &amp; Assumptions'!$Q$33^2/2))</f>
        <v>165.554551871196</v>
      </c>
      <c r="I2753" s="49" t="n">
        <f aca="false">IF('Model Inputs &amp; Assumptions'!$H$33="Fixed",'Model Inputs &amp; Assumptions'!$I$33*'Model Inputs &amp; Assumptions'!$K$33,IF('Model Inputs &amp; Assumptions'!$H$33="CPM",'Model Inputs &amp; Assumptions'!$I$33*'Model Inputs &amp; Assumptions'!$K$33*C2753/1000,IF('Model Inputs &amp; Assumptions'!$H$33="CPC",'Model Inputs &amp; Assumptions'!$I$33*'Model Inputs &amp; Assumptions'!$K$33*G2753,0)))</f>
        <v>25000</v>
      </c>
      <c r="J2753" s="50" t="n">
        <f aca="false">H2753*INDEX('Model Inputs &amp; Assumptions'!$D$40:$D$42,MATCH('Model Inputs &amp; Assumptions'!$L$33,'Model Inputs &amp; Assumptions'!$A$40:$A$42,0))*INDEX('Model Inputs &amp; Assumptions'!$H$40:$H$42,MATCH('Model Inputs &amp; Assumptions'!$L$33,'Model Inputs &amp; Assumptions'!$A$40:$A$42,0))</f>
        <v>893994.58010446</v>
      </c>
      <c r="K2753" s="49" t="n">
        <f aca="false">H2753*INDEX('Model Inputs &amp; Assumptions'!$G$40:$G$42,MATCH('Model Inputs &amp; Assumptions'!$L$33,'Model Inputs &amp; Assumptions'!$A$40:$A$42,0))*INDEX('Model Inputs &amp; Assumptions'!$H$40:$H$42,MATCH('Model Inputs &amp; Assumptions'!$L$33,'Model Inputs &amp; Assumptions'!$A$40:$A$42,0))</f>
        <v>18773.8861821937</v>
      </c>
      <c r="L2753" s="51" t="n">
        <f aca="false">IFERROR(K2753/I2753,0)</f>
        <v>0.750955447287746</v>
      </c>
      <c r="M2753" s="49" t="n">
        <f aca="false">IFERROR(I2753/H2753,0)</f>
        <v>151.007626896604</v>
      </c>
      <c r="N2753" s="52" t="str">
        <f aca="false">'Model Inputs &amp; Assumptions'!$L$33</f>
        <v>PRD-SP01</v>
      </c>
      <c r="P2753" s="53" t="n">
        <v>0.452613</v>
      </c>
      <c r="Q2753" s="53" t="n">
        <v>-1.585265</v>
      </c>
      <c r="R2753" s="53" t="n">
        <v>-1.634098</v>
      </c>
      <c r="S2753" s="53" t="n">
        <v>0.537542</v>
      </c>
    </row>
    <row r="2754" customFormat="false" ht="15" hidden="false" customHeight="false" outlineLevel="0" collapsed="false">
      <c r="A2754" s="43" t="n">
        <v>251</v>
      </c>
      <c r="B2754" s="44" t="str">
        <f aca="false">'Model Inputs &amp; Assumptions'!$B$33</f>
        <v>Trade Republic — Savings Plan Push</v>
      </c>
      <c r="C2754" s="45" t="n">
        <f aca="false">ROUND(MAX(0,'Model Inputs &amp; Assumptions'!$S$33*EXP('Model Inputs &amp; Assumptions'!$T$33*P2754-'Model Inputs &amp; Assumptions'!$T$33^2/2)),0)</f>
        <v>1433132</v>
      </c>
      <c r="D2754" s="46" t="n">
        <f aca="false">MIN(1,'Model Inputs &amp; Assumptions'!$U$33*EXP('Model Inputs &amp; Assumptions'!$V$33*Q2754-'Model Inputs &amp; Assumptions'!$V$33^2/2))</f>
        <v>0</v>
      </c>
      <c r="E2754" s="45" t="n">
        <f aca="false">ROUND(C2754*D2754,0)</f>
        <v>0</v>
      </c>
      <c r="F2754" s="47" t="n">
        <f aca="false">MIN(1,'Model Inputs &amp; Assumptions'!$W$33*EXP('Model Inputs &amp; Assumptions'!$X$33*R2754-'Model Inputs &amp; Assumptions'!$X$33^2/2))</f>
        <v>0.00300147240069089</v>
      </c>
      <c r="G2754" s="45" t="n">
        <f aca="false">ROUND(C2754*F2754,0)</f>
        <v>4302</v>
      </c>
      <c r="H2754" s="48" t="n">
        <f aca="false">MAX(0,(C2754*'Model Inputs &amp; Assumptions'!$N$33+E2754*'Model Inputs &amp; Assumptions'!$O$33+G2754*'Model Inputs &amp; Assumptions'!$P$33)*EXP('Model Inputs &amp; Assumptions'!$Q$33*S2754-'Model Inputs &amp; Assumptions'!$Q$33^2/2))</f>
        <v>182.095125128876</v>
      </c>
      <c r="I2754" s="49" t="n">
        <f aca="false">IF('Model Inputs &amp; Assumptions'!$H$33="Fixed",'Model Inputs &amp; Assumptions'!$I$33*'Model Inputs &amp; Assumptions'!$K$33,IF('Model Inputs &amp; Assumptions'!$H$33="CPM",'Model Inputs &amp; Assumptions'!$I$33*'Model Inputs &amp; Assumptions'!$K$33*C2754/1000,IF('Model Inputs &amp; Assumptions'!$H$33="CPC",'Model Inputs &amp; Assumptions'!$I$33*'Model Inputs &amp; Assumptions'!$K$33*G2754,0)))</f>
        <v>25000</v>
      </c>
      <c r="J2754" s="50" t="n">
        <f aca="false">H2754*INDEX('Model Inputs &amp; Assumptions'!$D$40:$D$42,MATCH('Model Inputs &amp; Assumptions'!$L$33,'Model Inputs &amp; Assumptions'!$A$40:$A$42,0))*INDEX('Model Inputs &amp; Assumptions'!$H$40:$H$42,MATCH('Model Inputs &amp; Assumptions'!$L$33,'Model Inputs &amp; Assumptions'!$A$40:$A$42,0))</f>
        <v>983313.675695929</v>
      </c>
      <c r="K2754" s="49" t="n">
        <f aca="false">H2754*INDEX('Model Inputs &amp; Assumptions'!$G$40:$G$42,MATCH('Model Inputs &amp; Assumptions'!$L$33,'Model Inputs &amp; Assumptions'!$A$40:$A$42,0))*INDEX('Model Inputs &amp; Assumptions'!$H$40:$H$42,MATCH('Model Inputs &amp; Assumptions'!$L$33,'Model Inputs &amp; Assumptions'!$A$40:$A$42,0))</f>
        <v>20649.5871896145</v>
      </c>
      <c r="L2754" s="51" t="n">
        <f aca="false">IFERROR(K2754/I2754,0)</f>
        <v>0.825983487584581</v>
      </c>
      <c r="M2754" s="49" t="n">
        <f aca="false">IFERROR(I2754/H2754,0)</f>
        <v>137.290880150177</v>
      </c>
      <c r="N2754" s="52" t="str">
        <f aca="false">'Model Inputs &amp; Assumptions'!$L$33</f>
        <v>PRD-SP01</v>
      </c>
      <c r="P2754" s="53" t="n">
        <v>0.741803</v>
      </c>
      <c r="Q2754" s="53" t="n">
        <v>-1.285643</v>
      </c>
      <c r="R2754" s="53" t="n">
        <v>-0.3622</v>
      </c>
      <c r="S2754" s="53" t="n">
        <v>-0.7953</v>
      </c>
    </row>
    <row r="2755" customFormat="false" ht="15" hidden="false" customHeight="false" outlineLevel="0" collapsed="false">
      <c r="A2755" s="43" t="n">
        <v>252</v>
      </c>
      <c r="B2755" s="44" t="str">
        <f aca="false">'Model Inputs &amp; Assumptions'!$B$33</f>
        <v>Trade Republic — Savings Plan Push</v>
      </c>
      <c r="C2755" s="45" t="n">
        <f aca="false">ROUND(MAX(0,'Model Inputs &amp; Assumptions'!$S$33*EXP('Model Inputs &amp; Assumptions'!$T$33*P2755-'Model Inputs &amp; Assumptions'!$T$33^2/2)),0)</f>
        <v>879728</v>
      </c>
      <c r="D2755" s="46" t="n">
        <f aca="false">MIN(1,'Model Inputs &amp; Assumptions'!$U$33*EXP('Model Inputs &amp; Assumptions'!$V$33*Q2755-'Model Inputs &amp; Assumptions'!$V$33^2/2))</f>
        <v>0</v>
      </c>
      <c r="E2755" s="45" t="n">
        <f aca="false">ROUND(C2755*D2755,0)</f>
        <v>0</v>
      </c>
      <c r="F2755" s="47" t="n">
        <f aca="false">MIN(1,'Model Inputs &amp; Assumptions'!$W$33*EXP('Model Inputs &amp; Assumptions'!$X$33*R2755-'Model Inputs &amp; Assumptions'!$X$33^2/2))</f>
        <v>0.00456816808786757</v>
      </c>
      <c r="G2755" s="45" t="n">
        <f aca="false">ROUND(C2755*F2755,0)</f>
        <v>4019</v>
      </c>
      <c r="H2755" s="48" t="n">
        <f aca="false">MAX(0,(C2755*'Model Inputs &amp; Assumptions'!$N$33+E2755*'Model Inputs &amp; Assumptions'!$O$33+G2755*'Model Inputs &amp; Assumptions'!$P$33)*EXP('Model Inputs &amp; Assumptions'!$Q$33*S2755-'Model Inputs &amp; Assumptions'!$Q$33^2/2))</f>
        <v>217.316396650477</v>
      </c>
      <c r="I2755" s="49" t="n">
        <f aca="false">IF('Model Inputs &amp; Assumptions'!$H$33="Fixed",'Model Inputs &amp; Assumptions'!$I$33*'Model Inputs &amp; Assumptions'!$K$33,IF('Model Inputs &amp; Assumptions'!$H$33="CPM",'Model Inputs &amp; Assumptions'!$I$33*'Model Inputs &amp; Assumptions'!$K$33*C2755/1000,IF('Model Inputs &amp; Assumptions'!$H$33="CPC",'Model Inputs &amp; Assumptions'!$I$33*'Model Inputs &amp; Assumptions'!$K$33*G2755,0)))</f>
        <v>25000</v>
      </c>
      <c r="J2755" s="50" t="n">
        <f aca="false">H2755*INDEX('Model Inputs &amp; Assumptions'!$D$40:$D$42,MATCH('Model Inputs &amp; Assumptions'!$L$33,'Model Inputs &amp; Assumptions'!$A$40:$A$42,0))*INDEX('Model Inputs &amp; Assumptions'!$H$40:$H$42,MATCH('Model Inputs &amp; Assumptions'!$L$33,'Model Inputs &amp; Assumptions'!$A$40:$A$42,0))</f>
        <v>1173508.54191258</v>
      </c>
      <c r="K2755" s="49" t="n">
        <f aca="false">H2755*INDEX('Model Inputs &amp; Assumptions'!$G$40:$G$42,MATCH('Model Inputs &amp; Assumptions'!$L$33,'Model Inputs &amp; Assumptions'!$A$40:$A$42,0))*INDEX('Model Inputs &amp; Assumptions'!$H$40:$H$42,MATCH('Model Inputs &amp; Assumptions'!$L$33,'Model Inputs &amp; Assumptions'!$A$40:$A$42,0))</f>
        <v>24643.6793801641</v>
      </c>
      <c r="L2755" s="51" t="n">
        <f aca="false">IFERROR(K2755/I2755,0)</f>
        <v>0.985747175206563</v>
      </c>
      <c r="M2755" s="49" t="n">
        <f aca="false">IFERROR(I2755/H2755,0)</f>
        <v>115.039639830809</v>
      </c>
      <c r="N2755" s="52" t="str">
        <f aca="false">'Model Inputs &amp; Assumptions'!$L$33</f>
        <v>PRD-SP01</v>
      </c>
      <c r="P2755" s="53" t="n">
        <v>-0.884881</v>
      </c>
      <c r="Q2755" s="53" t="n">
        <v>-0.931871</v>
      </c>
      <c r="R2755" s="53" t="n">
        <v>1.037831</v>
      </c>
      <c r="S2755" s="53" t="n">
        <v>0.079243</v>
      </c>
    </row>
    <row r="2756" customFormat="false" ht="15" hidden="false" customHeight="false" outlineLevel="0" collapsed="false">
      <c r="A2756" s="43" t="n">
        <v>253</v>
      </c>
      <c r="B2756" s="44" t="str">
        <f aca="false">'Model Inputs &amp; Assumptions'!$B$33</f>
        <v>Trade Republic — Savings Plan Push</v>
      </c>
      <c r="C2756" s="45" t="n">
        <f aca="false">ROUND(MAX(0,'Model Inputs &amp; Assumptions'!$S$33*EXP('Model Inputs &amp; Assumptions'!$T$33*P2756-'Model Inputs &amp; Assumptions'!$T$33^2/2)),0)</f>
        <v>1457197</v>
      </c>
      <c r="D2756" s="46" t="n">
        <f aca="false">MIN(1,'Model Inputs &amp; Assumptions'!$U$33*EXP('Model Inputs &amp; Assumptions'!$V$33*Q2756-'Model Inputs &amp; Assumptions'!$V$33^2/2))</f>
        <v>0</v>
      </c>
      <c r="E2756" s="45" t="n">
        <f aca="false">ROUND(C2756*D2756,0)</f>
        <v>0</v>
      </c>
      <c r="F2756" s="47" t="n">
        <f aca="false">MIN(1,'Model Inputs &amp; Assumptions'!$W$33*EXP('Model Inputs &amp; Assumptions'!$X$33*R2756-'Model Inputs &amp; Assumptions'!$X$33^2/2))</f>
        <v>0.00250791685045592</v>
      </c>
      <c r="G2756" s="45" t="n">
        <f aca="false">ROUND(C2756*F2756,0)</f>
        <v>3655</v>
      </c>
      <c r="H2756" s="48" t="n">
        <f aca="false">MAX(0,(C2756*'Model Inputs &amp; Assumptions'!$N$33+E2756*'Model Inputs &amp; Assumptions'!$O$33+G2756*'Model Inputs &amp; Assumptions'!$P$33)*EXP('Model Inputs &amp; Assumptions'!$Q$33*S2756-'Model Inputs &amp; Assumptions'!$Q$33^2/2))</f>
        <v>246.524632731229</v>
      </c>
      <c r="I2756" s="49" t="n">
        <f aca="false">IF('Model Inputs &amp; Assumptions'!$H$33="Fixed",'Model Inputs &amp; Assumptions'!$I$33*'Model Inputs &amp; Assumptions'!$K$33,IF('Model Inputs &amp; Assumptions'!$H$33="CPM",'Model Inputs &amp; Assumptions'!$I$33*'Model Inputs &amp; Assumptions'!$K$33*C2756/1000,IF('Model Inputs &amp; Assumptions'!$H$33="CPC",'Model Inputs &amp; Assumptions'!$I$33*'Model Inputs &amp; Assumptions'!$K$33*G2756,0)))</f>
        <v>25000</v>
      </c>
      <c r="J2756" s="50" t="n">
        <f aca="false">H2756*INDEX('Model Inputs &amp; Assumptions'!$D$40:$D$42,MATCH('Model Inputs &amp; Assumptions'!$L$33,'Model Inputs &amp; Assumptions'!$A$40:$A$42,0))*INDEX('Model Inputs &amp; Assumptions'!$H$40:$H$42,MATCH('Model Inputs &amp; Assumptions'!$L$33,'Model Inputs &amp; Assumptions'!$A$40:$A$42,0))</f>
        <v>1331233.01674863</v>
      </c>
      <c r="K2756" s="49" t="n">
        <f aca="false">H2756*INDEX('Model Inputs &amp; Assumptions'!$G$40:$G$42,MATCH('Model Inputs &amp; Assumptions'!$L$33,'Model Inputs &amp; Assumptions'!$A$40:$A$42,0))*INDEX('Model Inputs &amp; Assumptions'!$H$40:$H$42,MATCH('Model Inputs &amp; Assumptions'!$L$33,'Model Inputs &amp; Assumptions'!$A$40:$A$42,0))</f>
        <v>27955.8933517213</v>
      </c>
      <c r="L2756" s="51" t="n">
        <f aca="false">IFERROR(K2756/I2756,0)</f>
        <v>1.11823573406885</v>
      </c>
      <c r="M2756" s="49" t="n">
        <f aca="false">IFERROR(I2756/H2756,0)</f>
        <v>101.409744426051</v>
      </c>
      <c r="N2756" s="52" t="str">
        <f aca="false">'Model Inputs &amp; Assumptions'!$L$33</f>
        <v>PRD-SP01</v>
      </c>
      <c r="P2756" s="53" t="n">
        <v>0.797311</v>
      </c>
      <c r="Q2756" s="53" t="n">
        <v>-1.301468</v>
      </c>
      <c r="R2756" s="53" t="n">
        <v>-0.961035</v>
      </c>
      <c r="S2756" s="53" t="n">
        <v>0.868688</v>
      </c>
    </row>
    <row r="2757" customFormat="false" ht="15" hidden="false" customHeight="false" outlineLevel="0" collapsed="false">
      <c r="A2757" s="43" t="n">
        <v>254</v>
      </c>
      <c r="B2757" s="44" t="str">
        <f aca="false">'Model Inputs &amp; Assumptions'!$B$33</f>
        <v>Trade Republic — Savings Plan Push</v>
      </c>
      <c r="C2757" s="45" t="n">
        <f aca="false">ROUND(MAX(0,'Model Inputs &amp; Assumptions'!$S$33*EXP('Model Inputs &amp; Assumptions'!$T$33*P2757-'Model Inputs &amp; Assumptions'!$T$33^2/2)),0)</f>
        <v>1485923</v>
      </c>
      <c r="D2757" s="46" t="n">
        <f aca="false">MIN(1,'Model Inputs &amp; Assumptions'!$U$33*EXP('Model Inputs &amp; Assumptions'!$V$33*Q2757-'Model Inputs &amp; Assumptions'!$V$33^2/2))</f>
        <v>0</v>
      </c>
      <c r="E2757" s="45" t="n">
        <f aca="false">ROUND(C2757*D2757,0)</f>
        <v>0</v>
      </c>
      <c r="F2757" s="47" t="n">
        <f aca="false">MIN(1,'Model Inputs &amp; Assumptions'!$W$33*EXP('Model Inputs &amp; Assumptions'!$X$33*R2757-'Model Inputs &amp; Assumptions'!$X$33^2/2))</f>
        <v>0.00326806958135494</v>
      </c>
      <c r="G2757" s="45" t="n">
        <f aca="false">ROUND(C2757*F2757,0)</f>
        <v>4856</v>
      </c>
      <c r="H2757" s="48" t="n">
        <f aca="false">MAX(0,(C2757*'Model Inputs &amp; Assumptions'!$N$33+E2757*'Model Inputs &amp; Assumptions'!$O$33+G2757*'Model Inputs &amp; Assumptions'!$P$33)*EXP('Model Inputs &amp; Assumptions'!$Q$33*S2757-'Model Inputs &amp; Assumptions'!$Q$33^2/2))</f>
        <v>279.498129143528</v>
      </c>
      <c r="I2757" s="49" t="n">
        <f aca="false">IF('Model Inputs &amp; Assumptions'!$H$33="Fixed",'Model Inputs &amp; Assumptions'!$I$33*'Model Inputs &amp; Assumptions'!$K$33,IF('Model Inputs &amp; Assumptions'!$H$33="CPM",'Model Inputs &amp; Assumptions'!$I$33*'Model Inputs &amp; Assumptions'!$K$33*C2757/1000,IF('Model Inputs &amp; Assumptions'!$H$33="CPC",'Model Inputs &amp; Assumptions'!$I$33*'Model Inputs &amp; Assumptions'!$K$33*G2757,0)))</f>
        <v>25000</v>
      </c>
      <c r="J2757" s="50" t="n">
        <f aca="false">H2757*INDEX('Model Inputs &amp; Assumptions'!$D$40:$D$42,MATCH('Model Inputs &amp; Assumptions'!$L$33,'Model Inputs &amp; Assumptions'!$A$40:$A$42,0))*INDEX('Model Inputs &amp; Assumptions'!$H$40:$H$42,MATCH('Model Inputs &amp; Assumptions'!$L$33,'Model Inputs &amp; Assumptions'!$A$40:$A$42,0))</f>
        <v>1509289.89737505</v>
      </c>
      <c r="K2757" s="49" t="n">
        <f aca="false">H2757*INDEX('Model Inputs &amp; Assumptions'!$G$40:$G$42,MATCH('Model Inputs &amp; Assumptions'!$L$33,'Model Inputs &amp; Assumptions'!$A$40:$A$42,0))*INDEX('Model Inputs &amp; Assumptions'!$H$40:$H$42,MATCH('Model Inputs &amp; Assumptions'!$L$33,'Model Inputs &amp; Assumptions'!$A$40:$A$42,0))</f>
        <v>31695.0878448761</v>
      </c>
      <c r="L2757" s="51" t="n">
        <f aca="false">IFERROR(K2757/I2757,0)</f>
        <v>1.26780351379504</v>
      </c>
      <c r="M2757" s="49" t="n">
        <f aca="false">IFERROR(I2757/H2757,0)</f>
        <v>89.4460369971277</v>
      </c>
      <c r="N2757" s="52" t="str">
        <f aca="false">'Model Inputs &amp; Assumptions'!$L$33</f>
        <v>PRD-SP01</v>
      </c>
      <c r="P2757" s="53" t="n">
        <v>0.862383</v>
      </c>
      <c r="Q2757" s="53" t="n">
        <v>-0.988923</v>
      </c>
      <c r="R2757" s="53" t="n">
        <v>-0.078545</v>
      </c>
      <c r="S2757" s="53" t="n">
        <v>0.302312</v>
      </c>
    </row>
    <row r="2758" customFormat="false" ht="15" hidden="false" customHeight="false" outlineLevel="0" collapsed="false">
      <c r="A2758" s="43" t="n">
        <v>255</v>
      </c>
      <c r="B2758" s="44" t="str">
        <f aca="false">'Model Inputs &amp; Assumptions'!$B$33</f>
        <v>Trade Republic — Savings Plan Push</v>
      </c>
      <c r="C2758" s="45" t="n">
        <f aca="false">ROUND(MAX(0,'Model Inputs &amp; Assumptions'!$S$33*EXP('Model Inputs &amp; Assumptions'!$T$33*P2758-'Model Inputs &amp; Assumptions'!$T$33^2/2)),0)</f>
        <v>1525020</v>
      </c>
      <c r="D2758" s="46" t="n">
        <f aca="false">MIN(1,'Model Inputs &amp; Assumptions'!$U$33*EXP('Model Inputs &amp; Assumptions'!$V$33*Q2758-'Model Inputs &amp; Assumptions'!$V$33^2/2))</f>
        <v>0</v>
      </c>
      <c r="E2758" s="45" t="n">
        <f aca="false">ROUND(C2758*D2758,0)</f>
        <v>0</v>
      </c>
      <c r="F2758" s="47" t="n">
        <f aca="false">MIN(1,'Model Inputs &amp; Assumptions'!$W$33*EXP('Model Inputs &amp; Assumptions'!$X$33*R2758-'Model Inputs &amp; Assumptions'!$X$33^2/2))</f>
        <v>0.00318819959917301</v>
      </c>
      <c r="G2758" s="45" t="n">
        <f aca="false">ROUND(C2758*F2758,0)</f>
        <v>4862</v>
      </c>
      <c r="H2758" s="48" t="n">
        <f aca="false">MAX(0,(C2758*'Model Inputs &amp; Assumptions'!$N$33+E2758*'Model Inputs &amp; Assumptions'!$O$33+G2758*'Model Inputs &amp; Assumptions'!$P$33)*EXP('Model Inputs &amp; Assumptions'!$Q$33*S2758-'Model Inputs &amp; Assumptions'!$Q$33^2/2))</f>
        <v>322.372768181388</v>
      </c>
      <c r="I2758" s="49" t="n">
        <f aca="false">IF('Model Inputs &amp; Assumptions'!$H$33="Fixed",'Model Inputs &amp; Assumptions'!$I$33*'Model Inputs &amp; Assumptions'!$K$33,IF('Model Inputs &amp; Assumptions'!$H$33="CPM",'Model Inputs &amp; Assumptions'!$I$33*'Model Inputs &amp; Assumptions'!$K$33*C2758/1000,IF('Model Inputs &amp; Assumptions'!$H$33="CPC",'Model Inputs &amp; Assumptions'!$I$33*'Model Inputs &amp; Assumptions'!$K$33*G2758,0)))</f>
        <v>25000</v>
      </c>
      <c r="J2758" s="50" t="n">
        <f aca="false">H2758*INDEX('Model Inputs &amp; Assumptions'!$D$40:$D$42,MATCH('Model Inputs &amp; Assumptions'!$L$33,'Model Inputs &amp; Assumptions'!$A$40:$A$42,0))*INDEX('Model Inputs &amp; Assumptions'!$H$40:$H$42,MATCH('Model Inputs &amp; Assumptions'!$L$33,'Model Inputs &amp; Assumptions'!$A$40:$A$42,0))</f>
        <v>1740812.9481795</v>
      </c>
      <c r="K2758" s="49" t="n">
        <f aca="false">H2758*INDEX('Model Inputs &amp; Assumptions'!$G$40:$G$42,MATCH('Model Inputs &amp; Assumptions'!$L$33,'Model Inputs &amp; Assumptions'!$A$40:$A$42,0))*INDEX('Model Inputs &amp; Assumptions'!$H$40:$H$42,MATCH('Model Inputs &amp; Assumptions'!$L$33,'Model Inputs &amp; Assumptions'!$A$40:$A$42,0))</f>
        <v>36557.0719117694</v>
      </c>
      <c r="L2758" s="51" t="n">
        <f aca="false">IFERROR(K2758/I2758,0)</f>
        <v>1.46228287647078</v>
      </c>
      <c r="M2758" s="49" t="n">
        <f aca="false">IFERROR(I2758/H2758,0)</f>
        <v>77.5499746490167</v>
      </c>
      <c r="N2758" s="52" t="str">
        <f aca="false">'Model Inputs &amp; Assumptions'!$L$33</f>
        <v>PRD-SP01</v>
      </c>
      <c r="P2758" s="53" t="n">
        <v>0.948954</v>
      </c>
      <c r="Q2758" s="53" t="n">
        <v>0.246475</v>
      </c>
      <c r="R2758" s="53" t="n">
        <v>-0.161022</v>
      </c>
      <c r="S2758" s="53" t="n">
        <v>0.807591</v>
      </c>
    </row>
    <row r="2759" customFormat="false" ht="15" hidden="false" customHeight="false" outlineLevel="0" collapsed="false">
      <c r="A2759" s="43" t="n">
        <v>256</v>
      </c>
      <c r="B2759" s="44" t="str">
        <f aca="false">'Model Inputs &amp; Assumptions'!$B$33</f>
        <v>Trade Republic — Savings Plan Push</v>
      </c>
      <c r="C2759" s="45" t="n">
        <f aca="false">ROUND(MAX(0,'Model Inputs &amp; Assumptions'!$S$33*EXP('Model Inputs &amp; Assumptions'!$T$33*P2759-'Model Inputs &amp; Assumptions'!$T$33^2/2)),0)</f>
        <v>973761</v>
      </c>
      <c r="D2759" s="46" t="n">
        <f aca="false">MIN(1,'Model Inputs &amp; Assumptions'!$U$33*EXP('Model Inputs &amp; Assumptions'!$V$33*Q2759-'Model Inputs &amp; Assumptions'!$V$33^2/2))</f>
        <v>0</v>
      </c>
      <c r="E2759" s="45" t="n">
        <f aca="false">ROUND(C2759*D2759,0)</f>
        <v>0</v>
      </c>
      <c r="F2759" s="47" t="n">
        <f aca="false">MIN(1,'Model Inputs &amp; Assumptions'!$W$33*EXP('Model Inputs &amp; Assumptions'!$X$33*R2759-'Model Inputs &amp; Assumptions'!$X$33^2/2))</f>
        <v>0.0047120835074923</v>
      </c>
      <c r="G2759" s="45" t="n">
        <f aca="false">ROUND(C2759*F2759,0)</f>
        <v>4588</v>
      </c>
      <c r="H2759" s="48" t="n">
        <f aca="false">MAX(0,(C2759*'Model Inputs &amp; Assumptions'!$N$33+E2759*'Model Inputs &amp; Assumptions'!$O$33+G2759*'Model Inputs &amp; Assumptions'!$P$33)*EXP('Model Inputs &amp; Assumptions'!$Q$33*S2759-'Model Inputs &amp; Assumptions'!$Q$33^2/2))</f>
        <v>186.530272416655</v>
      </c>
      <c r="I2759" s="49" t="n">
        <f aca="false">IF('Model Inputs &amp; Assumptions'!$H$33="Fixed",'Model Inputs &amp; Assumptions'!$I$33*'Model Inputs &amp; Assumptions'!$K$33,IF('Model Inputs &amp; Assumptions'!$H$33="CPM",'Model Inputs &amp; Assumptions'!$I$33*'Model Inputs &amp; Assumptions'!$K$33*C2759/1000,IF('Model Inputs &amp; Assumptions'!$H$33="CPC",'Model Inputs &amp; Assumptions'!$I$33*'Model Inputs &amp; Assumptions'!$K$33*G2759,0)))</f>
        <v>25000</v>
      </c>
      <c r="J2759" s="50" t="n">
        <f aca="false">H2759*INDEX('Model Inputs &amp; Assumptions'!$D$40:$D$42,MATCH('Model Inputs &amp; Assumptions'!$L$33,'Model Inputs &amp; Assumptions'!$A$40:$A$42,0))*INDEX('Model Inputs &amp; Assumptions'!$H$40:$H$42,MATCH('Model Inputs &amp; Assumptions'!$L$33,'Model Inputs &amp; Assumptions'!$A$40:$A$42,0))</f>
        <v>1007263.47104994</v>
      </c>
      <c r="K2759" s="49" t="n">
        <f aca="false">H2759*INDEX('Model Inputs &amp; Assumptions'!$G$40:$G$42,MATCH('Model Inputs &amp; Assumptions'!$L$33,'Model Inputs &amp; Assumptions'!$A$40:$A$42,0))*INDEX('Model Inputs &amp; Assumptions'!$H$40:$H$42,MATCH('Model Inputs &amp; Assumptions'!$L$33,'Model Inputs &amp; Assumptions'!$A$40:$A$42,0))</f>
        <v>21152.5328920487</v>
      </c>
      <c r="L2759" s="51" t="n">
        <f aca="false">IFERROR(K2759/I2759,0)</f>
        <v>0.846101315681946</v>
      </c>
      <c r="M2759" s="49" t="n">
        <f aca="false">IFERROR(I2759/H2759,0)</f>
        <v>134.026502380038</v>
      </c>
      <c r="N2759" s="52" t="str">
        <f aca="false">'Model Inputs &amp; Assumptions'!$L$33</f>
        <v>PRD-SP01</v>
      </c>
      <c r="P2759" s="53" t="n">
        <v>-0.546371</v>
      </c>
      <c r="Q2759" s="53" t="n">
        <v>0.408231</v>
      </c>
      <c r="R2759" s="53" t="n">
        <v>1.141224</v>
      </c>
      <c r="S2759" s="53" t="n">
        <v>-0.939228</v>
      </c>
    </row>
    <row r="2760" customFormat="false" ht="15" hidden="false" customHeight="false" outlineLevel="0" collapsed="false">
      <c r="A2760" s="43" t="n">
        <v>257</v>
      </c>
      <c r="B2760" s="44" t="str">
        <f aca="false">'Model Inputs &amp; Assumptions'!$B$33</f>
        <v>Trade Republic — Savings Plan Push</v>
      </c>
      <c r="C2760" s="45" t="n">
        <f aca="false">ROUND(MAX(0,'Model Inputs &amp; Assumptions'!$S$33*EXP('Model Inputs &amp; Assumptions'!$T$33*P2760-'Model Inputs &amp; Assumptions'!$T$33^2/2)),0)</f>
        <v>1577737</v>
      </c>
      <c r="D2760" s="46" t="n">
        <f aca="false">MIN(1,'Model Inputs &amp; Assumptions'!$U$33*EXP('Model Inputs &amp; Assumptions'!$V$33*Q2760-'Model Inputs &amp; Assumptions'!$V$33^2/2))</f>
        <v>0</v>
      </c>
      <c r="E2760" s="45" t="n">
        <f aca="false">ROUND(C2760*D2760,0)</f>
        <v>0</v>
      </c>
      <c r="F2760" s="47" t="n">
        <f aca="false">MIN(1,'Model Inputs &amp; Assumptions'!$W$33*EXP('Model Inputs &amp; Assumptions'!$X$33*R2760-'Model Inputs &amp; Assumptions'!$X$33^2/2))</f>
        <v>0.00225574877423231</v>
      </c>
      <c r="G2760" s="45" t="n">
        <f aca="false">ROUND(C2760*F2760,0)</f>
        <v>3559</v>
      </c>
      <c r="H2760" s="48" t="n">
        <f aca="false">MAX(0,(C2760*'Model Inputs &amp; Assumptions'!$N$33+E2760*'Model Inputs &amp; Assumptions'!$O$33+G2760*'Model Inputs &amp; Assumptions'!$P$33)*EXP('Model Inputs &amp; Assumptions'!$Q$33*S2760-'Model Inputs &amp; Assumptions'!$Q$33^2/2))</f>
        <v>238.689396803345</v>
      </c>
      <c r="I2760" s="49" t="n">
        <f aca="false">IF('Model Inputs &amp; Assumptions'!$H$33="Fixed",'Model Inputs &amp; Assumptions'!$I$33*'Model Inputs &amp; Assumptions'!$K$33,IF('Model Inputs &amp; Assumptions'!$H$33="CPM",'Model Inputs &amp; Assumptions'!$I$33*'Model Inputs &amp; Assumptions'!$K$33*C2760/1000,IF('Model Inputs &amp; Assumptions'!$H$33="CPC",'Model Inputs &amp; Assumptions'!$I$33*'Model Inputs &amp; Assumptions'!$K$33*G2760,0)))</f>
        <v>25000</v>
      </c>
      <c r="J2760" s="50" t="n">
        <f aca="false">H2760*INDEX('Model Inputs &amp; Assumptions'!$D$40:$D$42,MATCH('Model Inputs &amp; Assumptions'!$L$33,'Model Inputs &amp; Assumptions'!$A$40:$A$42,0))*INDEX('Model Inputs &amp; Assumptions'!$H$40:$H$42,MATCH('Model Inputs &amp; Assumptions'!$L$33,'Model Inputs &amp; Assumptions'!$A$40:$A$42,0))</f>
        <v>1288922.74273806</v>
      </c>
      <c r="K2760" s="49" t="n">
        <f aca="false">H2760*INDEX('Model Inputs &amp; Assumptions'!$G$40:$G$42,MATCH('Model Inputs &amp; Assumptions'!$L$33,'Model Inputs &amp; Assumptions'!$A$40:$A$42,0))*INDEX('Model Inputs &amp; Assumptions'!$H$40:$H$42,MATCH('Model Inputs &amp; Assumptions'!$L$33,'Model Inputs &amp; Assumptions'!$A$40:$A$42,0))</f>
        <v>27067.3775974993</v>
      </c>
      <c r="L2760" s="51" t="n">
        <f aca="false">IFERROR(K2760/I2760,0)</f>
        <v>1.08269510389997</v>
      </c>
      <c r="M2760" s="49" t="n">
        <f aca="false">IFERROR(I2760/H2760,0)</f>
        <v>104.73862825418</v>
      </c>
      <c r="N2760" s="52" t="str">
        <f aca="false">'Model Inputs &amp; Assumptions'!$L$33</f>
        <v>PRD-SP01</v>
      </c>
      <c r="P2760" s="53" t="n">
        <v>1.062234</v>
      </c>
      <c r="Q2760" s="53" t="n">
        <v>0.129209</v>
      </c>
      <c r="R2760" s="53" t="n">
        <v>-1.31427</v>
      </c>
      <c r="S2760" s="53" t="n">
        <v>0.848394</v>
      </c>
    </row>
    <row r="2761" customFormat="false" ht="15" hidden="false" customHeight="false" outlineLevel="0" collapsed="false">
      <c r="A2761" s="43" t="n">
        <v>258</v>
      </c>
      <c r="B2761" s="44" t="str">
        <f aca="false">'Model Inputs &amp; Assumptions'!$B$33</f>
        <v>Trade Republic — Savings Plan Push</v>
      </c>
      <c r="C2761" s="45" t="n">
        <f aca="false">ROUND(MAX(0,'Model Inputs &amp; Assumptions'!$S$33*EXP('Model Inputs &amp; Assumptions'!$T$33*P2761-'Model Inputs &amp; Assumptions'!$T$33^2/2)),0)</f>
        <v>833073</v>
      </c>
      <c r="D2761" s="46" t="n">
        <f aca="false">MIN(1,'Model Inputs &amp; Assumptions'!$U$33*EXP('Model Inputs &amp; Assumptions'!$V$33*Q2761-'Model Inputs &amp; Assumptions'!$V$33^2/2))</f>
        <v>0</v>
      </c>
      <c r="E2761" s="45" t="n">
        <f aca="false">ROUND(C2761*D2761,0)</f>
        <v>0</v>
      </c>
      <c r="F2761" s="47" t="n">
        <f aca="false">MIN(1,'Model Inputs &amp; Assumptions'!$W$33*EXP('Model Inputs &amp; Assumptions'!$X$33*R2761-'Model Inputs &amp; Assumptions'!$X$33^2/2))</f>
        <v>0.00480414875469277</v>
      </c>
      <c r="G2761" s="45" t="n">
        <f aca="false">ROUND(C2761*F2761,0)</f>
        <v>4002</v>
      </c>
      <c r="H2761" s="48" t="n">
        <f aca="false">MAX(0,(C2761*'Model Inputs &amp; Assumptions'!$N$33+E2761*'Model Inputs &amp; Assumptions'!$O$33+G2761*'Model Inputs &amp; Assumptions'!$P$33)*EXP('Model Inputs &amp; Assumptions'!$Q$33*S2761-'Model Inputs &amp; Assumptions'!$Q$33^2/2))</f>
        <v>208.498010951838</v>
      </c>
      <c r="I2761" s="49" t="n">
        <f aca="false">IF('Model Inputs &amp; Assumptions'!$H$33="Fixed",'Model Inputs &amp; Assumptions'!$I$33*'Model Inputs &amp; Assumptions'!$K$33,IF('Model Inputs &amp; Assumptions'!$H$33="CPM",'Model Inputs &amp; Assumptions'!$I$33*'Model Inputs &amp; Assumptions'!$K$33*C2761/1000,IF('Model Inputs &amp; Assumptions'!$H$33="CPC",'Model Inputs &amp; Assumptions'!$I$33*'Model Inputs &amp; Assumptions'!$K$33*G2761,0)))</f>
        <v>25000</v>
      </c>
      <c r="J2761" s="50" t="n">
        <f aca="false">H2761*INDEX('Model Inputs &amp; Assumptions'!$D$40:$D$42,MATCH('Model Inputs &amp; Assumptions'!$L$33,'Model Inputs &amp; Assumptions'!$A$40:$A$42,0))*INDEX('Model Inputs &amp; Assumptions'!$H$40:$H$42,MATCH('Model Inputs &amp; Assumptions'!$L$33,'Model Inputs &amp; Assumptions'!$A$40:$A$42,0))</f>
        <v>1125889.25913992</v>
      </c>
      <c r="K2761" s="49" t="n">
        <f aca="false">H2761*INDEX('Model Inputs &amp; Assumptions'!$G$40:$G$42,MATCH('Model Inputs &amp; Assumptions'!$L$33,'Model Inputs &amp; Assumptions'!$A$40:$A$42,0))*INDEX('Model Inputs &amp; Assumptions'!$H$40:$H$42,MATCH('Model Inputs &amp; Assumptions'!$L$33,'Model Inputs &amp; Assumptions'!$A$40:$A$42,0))</f>
        <v>23643.6744419384</v>
      </c>
      <c r="L2761" s="51" t="n">
        <f aca="false">IFERROR(K2761/I2761,0)</f>
        <v>0.945746977677536</v>
      </c>
      <c r="M2761" s="49" t="n">
        <f aca="false">IFERROR(I2761/H2761,0)</f>
        <v>119.905220610353</v>
      </c>
      <c r="N2761" s="52" t="str">
        <f aca="false">'Model Inputs &amp; Assumptions'!$L$33</f>
        <v>PRD-SP01</v>
      </c>
      <c r="P2761" s="53" t="n">
        <v>-1.06652</v>
      </c>
      <c r="Q2761" s="53" t="n">
        <v>-0.476722</v>
      </c>
      <c r="R2761" s="53" t="n">
        <v>1.205723</v>
      </c>
      <c r="S2761" s="53" t="n">
        <v>-0.053564</v>
      </c>
    </row>
    <row r="2762" customFormat="false" ht="15" hidden="false" customHeight="false" outlineLevel="0" collapsed="false">
      <c r="A2762" s="43" t="n">
        <v>259</v>
      </c>
      <c r="B2762" s="44" t="str">
        <f aca="false">'Model Inputs &amp; Assumptions'!$B$33</f>
        <v>Trade Republic — Savings Plan Push</v>
      </c>
      <c r="C2762" s="45" t="n">
        <f aca="false">ROUND(MAX(0,'Model Inputs &amp; Assumptions'!$S$33*EXP('Model Inputs &amp; Assumptions'!$T$33*P2762-'Model Inputs &amp; Assumptions'!$T$33^2/2)),0)</f>
        <v>1655692</v>
      </c>
      <c r="D2762" s="46" t="n">
        <f aca="false">MIN(1,'Model Inputs &amp; Assumptions'!$U$33*EXP('Model Inputs &amp; Assumptions'!$V$33*Q2762-'Model Inputs &amp; Assumptions'!$V$33^2/2))</f>
        <v>0</v>
      </c>
      <c r="E2762" s="45" t="n">
        <f aca="false">ROUND(C2762*D2762,0)</f>
        <v>0</v>
      </c>
      <c r="F2762" s="47" t="n">
        <f aca="false">MIN(1,'Model Inputs &amp; Assumptions'!$W$33*EXP('Model Inputs &amp; Assumptions'!$X$33*R2762-'Model Inputs &amp; Assumptions'!$X$33^2/2))</f>
        <v>0.0035811324188008</v>
      </c>
      <c r="G2762" s="45" t="n">
        <f aca="false">ROUND(C2762*F2762,0)</f>
        <v>5929</v>
      </c>
      <c r="H2762" s="48" t="n">
        <f aca="false">MAX(0,(C2762*'Model Inputs &amp; Assumptions'!$N$33+E2762*'Model Inputs &amp; Assumptions'!$O$33+G2762*'Model Inputs &amp; Assumptions'!$P$33)*EXP('Model Inputs &amp; Assumptions'!$Q$33*S2762-'Model Inputs &amp; Assumptions'!$Q$33^2/2))</f>
        <v>323.253572677572</v>
      </c>
      <c r="I2762" s="49" t="n">
        <f aca="false">IF('Model Inputs &amp; Assumptions'!$H$33="Fixed",'Model Inputs &amp; Assumptions'!$I$33*'Model Inputs &amp; Assumptions'!$K$33,IF('Model Inputs &amp; Assumptions'!$H$33="CPM",'Model Inputs &amp; Assumptions'!$I$33*'Model Inputs &amp; Assumptions'!$K$33*C2762/1000,IF('Model Inputs &amp; Assumptions'!$H$33="CPC",'Model Inputs &amp; Assumptions'!$I$33*'Model Inputs &amp; Assumptions'!$K$33*G2762,0)))</f>
        <v>25000</v>
      </c>
      <c r="J2762" s="50" t="n">
        <f aca="false">H2762*INDEX('Model Inputs &amp; Assumptions'!$D$40:$D$42,MATCH('Model Inputs &amp; Assumptions'!$L$33,'Model Inputs &amp; Assumptions'!$A$40:$A$42,0))*INDEX('Model Inputs &amp; Assumptions'!$H$40:$H$42,MATCH('Model Inputs &amp; Assumptions'!$L$33,'Model Inputs &amp; Assumptions'!$A$40:$A$42,0))</f>
        <v>1745569.29245889</v>
      </c>
      <c r="K2762" s="49" t="n">
        <f aca="false">H2762*INDEX('Model Inputs &amp; Assumptions'!$G$40:$G$42,MATCH('Model Inputs &amp; Assumptions'!$L$33,'Model Inputs &amp; Assumptions'!$A$40:$A$42,0))*INDEX('Model Inputs &amp; Assumptions'!$H$40:$H$42,MATCH('Model Inputs &amp; Assumptions'!$L$33,'Model Inputs &amp; Assumptions'!$A$40:$A$42,0))</f>
        <v>36656.9551416366</v>
      </c>
      <c r="L2762" s="51" t="n">
        <f aca="false">IFERROR(K2762/I2762,0)</f>
        <v>1.46627820566547</v>
      </c>
      <c r="M2762" s="49" t="n">
        <f aca="false">IFERROR(I2762/H2762,0)</f>
        <v>77.3386657196707</v>
      </c>
      <c r="N2762" s="52" t="str">
        <f aca="false">'Model Inputs &amp; Assumptions'!$L$33</f>
        <v>PRD-SP01</v>
      </c>
      <c r="P2762" s="53" t="n">
        <v>1.222992</v>
      </c>
      <c r="Q2762" s="53" t="n">
        <v>1.351261</v>
      </c>
      <c r="R2762" s="53" t="n">
        <v>0.226387</v>
      </c>
      <c r="S2762" s="53" t="n">
        <v>0.108744</v>
      </c>
    </row>
    <row r="2763" customFormat="false" ht="15" hidden="false" customHeight="false" outlineLevel="0" collapsed="false">
      <c r="A2763" s="43" t="n">
        <v>260</v>
      </c>
      <c r="B2763" s="44" t="str">
        <f aca="false">'Model Inputs &amp; Assumptions'!$B$33</f>
        <v>Trade Republic — Savings Plan Push</v>
      </c>
      <c r="C2763" s="45" t="n">
        <f aca="false">ROUND(MAX(0,'Model Inputs &amp; Assumptions'!$S$33*EXP('Model Inputs &amp; Assumptions'!$T$33*P2763-'Model Inputs &amp; Assumptions'!$T$33^2/2)),0)</f>
        <v>1637929</v>
      </c>
      <c r="D2763" s="46" t="n">
        <f aca="false">MIN(1,'Model Inputs &amp; Assumptions'!$U$33*EXP('Model Inputs &amp; Assumptions'!$V$33*Q2763-'Model Inputs &amp; Assumptions'!$V$33^2/2))</f>
        <v>0</v>
      </c>
      <c r="E2763" s="45" t="n">
        <f aca="false">ROUND(C2763*D2763,0)</f>
        <v>0</v>
      </c>
      <c r="F2763" s="47" t="n">
        <f aca="false">MIN(1,'Model Inputs &amp; Assumptions'!$W$33*EXP('Model Inputs &amp; Assumptions'!$X$33*R2763-'Model Inputs &amp; Assumptions'!$X$33^2/2))</f>
        <v>0.00309720121089684</v>
      </c>
      <c r="G2763" s="45" t="n">
        <f aca="false">ROUND(C2763*F2763,0)</f>
        <v>5073</v>
      </c>
      <c r="H2763" s="48" t="n">
        <f aca="false">MAX(0,(C2763*'Model Inputs &amp; Assumptions'!$N$33+E2763*'Model Inputs &amp; Assumptions'!$O$33+G2763*'Model Inputs &amp; Assumptions'!$P$33)*EXP('Model Inputs &amp; Assumptions'!$Q$33*S2763-'Model Inputs &amp; Assumptions'!$Q$33^2/2))</f>
        <v>149.322378652298</v>
      </c>
      <c r="I2763" s="49" t="n">
        <f aca="false">IF('Model Inputs &amp; Assumptions'!$H$33="Fixed",'Model Inputs &amp; Assumptions'!$I$33*'Model Inputs &amp; Assumptions'!$K$33,IF('Model Inputs &amp; Assumptions'!$H$33="CPM",'Model Inputs &amp; Assumptions'!$I$33*'Model Inputs &amp; Assumptions'!$K$33*C2763/1000,IF('Model Inputs &amp; Assumptions'!$H$33="CPC",'Model Inputs &amp; Assumptions'!$I$33*'Model Inputs &amp; Assumptions'!$K$33*G2763,0)))</f>
        <v>25000</v>
      </c>
      <c r="J2763" s="50" t="n">
        <f aca="false">H2763*INDEX('Model Inputs &amp; Assumptions'!$D$40:$D$42,MATCH('Model Inputs &amp; Assumptions'!$L$33,'Model Inputs &amp; Assumptions'!$A$40:$A$42,0))*INDEX('Model Inputs &amp; Assumptions'!$H$40:$H$42,MATCH('Model Inputs &amp; Assumptions'!$L$33,'Model Inputs &amp; Assumptions'!$A$40:$A$42,0))</f>
        <v>806340.844722408</v>
      </c>
      <c r="K2763" s="49" t="n">
        <f aca="false">H2763*INDEX('Model Inputs &amp; Assumptions'!$G$40:$G$42,MATCH('Model Inputs &amp; Assumptions'!$L$33,'Model Inputs &amp; Assumptions'!$A$40:$A$42,0))*INDEX('Model Inputs &amp; Assumptions'!$H$40:$H$42,MATCH('Model Inputs &amp; Assumptions'!$L$33,'Model Inputs &amp; Assumptions'!$A$40:$A$42,0))</f>
        <v>16933.1577391706</v>
      </c>
      <c r="L2763" s="51" t="n">
        <f aca="false">IFERROR(K2763/I2763,0)</f>
        <v>0.677326309566823</v>
      </c>
      <c r="M2763" s="49" t="n">
        <f aca="false">IFERROR(I2763/H2763,0)</f>
        <v>167.422995974457</v>
      </c>
      <c r="N2763" s="52" t="str">
        <f aca="false">'Model Inputs &amp; Assumptions'!$L$33</f>
        <v>PRD-SP01</v>
      </c>
      <c r="P2763" s="53" t="n">
        <v>1.187036</v>
      </c>
      <c r="Q2763" s="53" t="n">
        <v>0.298951</v>
      </c>
      <c r="R2763" s="53" t="n">
        <v>-0.257547</v>
      </c>
      <c r="S2763" s="53" t="n">
        <v>-2.092707</v>
      </c>
    </row>
    <row r="2764" customFormat="false" ht="15" hidden="false" customHeight="false" outlineLevel="0" collapsed="false">
      <c r="A2764" s="43" t="n">
        <v>261</v>
      </c>
      <c r="B2764" s="44" t="str">
        <f aca="false">'Model Inputs &amp; Assumptions'!$B$33</f>
        <v>Trade Republic — Savings Plan Push</v>
      </c>
      <c r="C2764" s="45" t="n">
        <f aca="false">ROUND(MAX(0,'Model Inputs &amp; Assumptions'!$S$33*EXP('Model Inputs &amp; Assumptions'!$T$33*P2764-'Model Inputs &amp; Assumptions'!$T$33^2/2)),0)</f>
        <v>1277070</v>
      </c>
      <c r="D2764" s="46" t="n">
        <f aca="false">MIN(1,'Model Inputs &amp; Assumptions'!$U$33*EXP('Model Inputs &amp; Assumptions'!$V$33*Q2764-'Model Inputs &amp; Assumptions'!$V$33^2/2))</f>
        <v>0</v>
      </c>
      <c r="E2764" s="45" t="n">
        <f aca="false">ROUND(C2764*D2764,0)</f>
        <v>0</v>
      </c>
      <c r="F2764" s="47" t="n">
        <f aca="false">MIN(1,'Model Inputs &amp; Assumptions'!$W$33*EXP('Model Inputs &amp; Assumptions'!$X$33*R2764-'Model Inputs &amp; Assumptions'!$X$33^2/2))</f>
        <v>0.00460918922525927</v>
      </c>
      <c r="G2764" s="45" t="n">
        <f aca="false">ROUND(C2764*F2764,0)</f>
        <v>5886</v>
      </c>
      <c r="H2764" s="48" t="n">
        <f aca="false">MAX(0,(C2764*'Model Inputs &amp; Assumptions'!$N$33+E2764*'Model Inputs &amp; Assumptions'!$O$33+G2764*'Model Inputs &amp; Assumptions'!$P$33)*EXP('Model Inputs &amp; Assumptions'!$Q$33*S2764-'Model Inputs &amp; Assumptions'!$Q$33^2/2))</f>
        <v>324.453878490881</v>
      </c>
      <c r="I2764" s="49" t="n">
        <f aca="false">IF('Model Inputs &amp; Assumptions'!$H$33="Fixed",'Model Inputs &amp; Assumptions'!$I$33*'Model Inputs &amp; Assumptions'!$K$33,IF('Model Inputs &amp; Assumptions'!$H$33="CPM",'Model Inputs &amp; Assumptions'!$I$33*'Model Inputs &amp; Assumptions'!$K$33*C2764/1000,IF('Model Inputs &amp; Assumptions'!$H$33="CPC",'Model Inputs &amp; Assumptions'!$I$33*'Model Inputs &amp; Assumptions'!$K$33*G2764,0)))</f>
        <v>25000</v>
      </c>
      <c r="J2764" s="50" t="n">
        <f aca="false">H2764*INDEX('Model Inputs &amp; Assumptions'!$D$40:$D$42,MATCH('Model Inputs &amp; Assumptions'!$L$33,'Model Inputs &amp; Assumptions'!$A$40:$A$42,0))*INDEX('Model Inputs &amp; Assumptions'!$H$40:$H$42,MATCH('Model Inputs &amp; Assumptions'!$L$33,'Model Inputs &amp; Assumptions'!$A$40:$A$42,0))</f>
        <v>1752050.94385076</v>
      </c>
      <c r="K2764" s="49" t="n">
        <f aca="false">H2764*INDEX('Model Inputs &amp; Assumptions'!$G$40:$G$42,MATCH('Model Inputs &amp; Assumptions'!$L$33,'Model Inputs &amp; Assumptions'!$A$40:$A$42,0))*INDEX('Model Inputs &amp; Assumptions'!$H$40:$H$42,MATCH('Model Inputs &amp; Assumptions'!$L$33,'Model Inputs &amp; Assumptions'!$A$40:$A$42,0))</f>
        <v>36793.0698208659</v>
      </c>
      <c r="L2764" s="51" t="n">
        <f aca="false">IFERROR(K2764/I2764,0)</f>
        <v>1.47172279283464</v>
      </c>
      <c r="M2764" s="49" t="n">
        <f aca="false">IFERROR(I2764/H2764,0)</f>
        <v>77.0525540217964</v>
      </c>
      <c r="N2764" s="52" t="str">
        <f aca="false">'Model Inputs &amp; Assumptions'!$L$33</f>
        <v>PRD-SP01</v>
      </c>
      <c r="P2764" s="53" t="n">
        <v>0.357489</v>
      </c>
      <c r="Q2764" s="53" t="n">
        <v>0.868165</v>
      </c>
      <c r="R2764" s="53" t="n">
        <v>1.06763</v>
      </c>
      <c r="S2764" s="53" t="n">
        <v>0.147977</v>
      </c>
    </row>
    <row r="2765" customFormat="false" ht="15" hidden="false" customHeight="false" outlineLevel="0" collapsed="false">
      <c r="A2765" s="43" t="n">
        <v>262</v>
      </c>
      <c r="B2765" s="44" t="str">
        <f aca="false">'Model Inputs &amp; Assumptions'!$B$33</f>
        <v>Trade Republic — Savings Plan Push</v>
      </c>
      <c r="C2765" s="45" t="n">
        <f aca="false">ROUND(MAX(0,'Model Inputs &amp; Assumptions'!$S$33*EXP('Model Inputs &amp; Assumptions'!$T$33*P2765-'Model Inputs &amp; Assumptions'!$T$33^2/2)),0)</f>
        <v>1747052</v>
      </c>
      <c r="D2765" s="46" t="n">
        <f aca="false">MIN(1,'Model Inputs &amp; Assumptions'!$U$33*EXP('Model Inputs &amp; Assumptions'!$V$33*Q2765-'Model Inputs &amp; Assumptions'!$V$33^2/2))</f>
        <v>0</v>
      </c>
      <c r="E2765" s="45" t="n">
        <f aca="false">ROUND(C2765*D2765,0)</f>
        <v>0</v>
      </c>
      <c r="F2765" s="47" t="n">
        <f aca="false">MIN(1,'Model Inputs &amp; Assumptions'!$W$33*EXP('Model Inputs &amp; Assumptions'!$X$33*R2765-'Model Inputs &amp; Assumptions'!$X$33^2/2))</f>
        <v>0.00220792325143168</v>
      </c>
      <c r="G2765" s="45" t="n">
        <f aca="false">ROUND(C2765*F2765,0)</f>
        <v>3857</v>
      </c>
      <c r="H2765" s="48" t="n">
        <f aca="false">MAX(0,(C2765*'Model Inputs &amp; Assumptions'!$N$33+E2765*'Model Inputs &amp; Assumptions'!$O$33+G2765*'Model Inputs &amp; Assumptions'!$P$33)*EXP('Model Inputs &amp; Assumptions'!$Q$33*S2765-'Model Inputs &amp; Assumptions'!$Q$33^2/2))</f>
        <v>108.516203675197</v>
      </c>
      <c r="I2765" s="49" t="n">
        <f aca="false">IF('Model Inputs &amp; Assumptions'!$H$33="Fixed",'Model Inputs &amp; Assumptions'!$I$33*'Model Inputs &amp; Assumptions'!$K$33,IF('Model Inputs &amp; Assumptions'!$H$33="CPM",'Model Inputs &amp; Assumptions'!$I$33*'Model Inputs &amp; Assumptions'!$K$33*C2765/1000,IF('Model Inputs &amp; Assumptions'!$H$33="CPC",'Model Inputs &amp; Assumptions'!$I$33*'Model Inputs &amp; Assumptions'!$K$33*G2765,0)))</f>
        <v>25000</v>
      </c>
      <c r="J2765" s="50" t="n">
        <f aca="false">H2765*INDEX('Model Inputs &amp; Assumptions'!$D$40:$D$42,MATCH('Model Inputs &amp; Assumptions'!$L$33,'Model Inputs &amp; Assumptions'!$A$40:$A$42,0))*INDEX('Model Inputs &amp; Assumptions'!$H$40:$H$42,MATCH('Model Inputs &amp; Assumptions'!$L$33,'Model Inputs &amp; Assumptions'!$A$40:$A$42,0))</f>
        <v>585987.499846066</v>
      </c>
      <c r="K2765" s="49" t="n">
        <f aca="false">H2765*INDEX('Model Inputs &amp; Assumptions'!$G$40:$G$42,MATCH('Model Inputs &amp; Assumptions'!$L$33,'Model Inputs &amp; Assumptions'!$A$40:$A$42,0))*INDEX('Model Inputs &amp; Assumptions'!$H$40:$H$42,MATCH('Model Inputs &amp; Assumptions'!$L$33,'Model Inputs &amp; Assumptions'!$A$40:$A$42,0))</f>
        <v>12305.7374967674</v>
      </c>
      <c r="L2765" s="51" t="n">
        <f aca="false">IFERROR(K2765/I2765,0)</f>
        <v>0.492229499870695</v>
      </c>
      <c r="M2765" s="49" t="n">
        <f aca="false">IFERROR(I2765/H2765,0)</f>
        <v>230.380340938097</v>
      </c>
      <c r="N2765" s="52" t="str">
        <f aca="false">'Model Inputs &amp; Assumptions'!$L$33</f>
        <v>PRD-SP01</v>
      </c>
      <c r="P2765" s="53" t="n">
        <v>1.402028</v>
      </c>
      <c r="Q2765" s="53" t="n">
        <v>-0.09653</v>
      </c>
      <c r="R2765" s="53" t="n">
        <v>-1.385702</v>
      </c>
      <c r="S2765" s="53" t="n">
        <v>-2.254012</v>
      </c>
    </row>
    <row r="2766" customFormat="false" ht="15" hidden="false" customHeight="false" outlineLevel="0" collapsed="false">
      <c r="A2766" s="43" t="n">
        <v>263</v>
      </c>
      <c r="B2766" s="44" t="str">
        <f aca="false">'Model Inputs &amp; Assumptions'!$B$33</f>
        <v>Trade Republic — Savings Plan Push</v>
      </c>
      <c r="C2766" s="45" t="n">
        <f aca="false">ROUND(MAX(0,'Model Inputs &amp; Assumptions'!$S$33*EXP('Model Inputs &amp; Assumptions'!$T$33*P2766-'Model Inputs &amp; Assumptions'!$T$33^2/2)),0)</f>
        <v>1833690</v>
      </c>
      <c r="D2766" s="46" t="n">
        <f aca="false">MIN(1,'Model Inputs &amp; Assumptions'!$U$33*EXP('Model Inputs &amp; Assumptions'!$V$33*Q2766-'Model Inputs &amp; Assumptions'!$V$33^2/2))</f>
        <v>0</v>
      </c>
      <c r="E2766" s="45" t="n">
        <f aca="false">ROUND(C2766*D2766,0)</f>
        <v>0</v>
      </c>
      <c r="F2766" s="47" t="n">
        <f aca="false">MIN(1,'Model Inputs &amp; Assumptions'!$W$33*EXP('Model Inputs &amp; Assumptions'!$X$33*R2766-'Model Inputs &amp; Assumptions'!$X$33^2/2))</f>
        <v>0.00434213980179509</v>
      </c>
      <c r="G2766" s="45" t="n">
        <f aca="false">ROUND(C2766*F2766,0)</f>
        <v>7962</v>
      </c>
      <c r="H2766" s="48" t="n">
        <f aca="false">MAX(0,(C2766*'Model Inputs &amp; Assumptions'!$N$33+E2766*'Model Inputs &amp; Assumptions'!$O$33+G2766*'Model Inputs &amp; Assumptions'!$P$33)*EXP('Model Inputs &amp; Assumptions'!$Q$33*S2766-'Model Inputs &amp; Assumptions'!$Q$33^2/2))</f>
        <v>608.242937131398</v>
      </c>
      <c r="I2766" s="49" t="n">
        <f aca="false">IF('Model Inputs &amp; Assumptions'!$H$33="Fixed",'Model Inputs &amp; Assumptions'!$I$33*'Model Inputs &amp; Assumptions'!$K$33,IF('Model Inputs &amp; Assumptions'!$H$33="CPM",'Model Inputs &amp; Assumptions'!$I$33*'Model Inputs &amp; Assumptions'!$K$33*C2766/1000,IF('Model Inputs &amp; Assumptions'!$H$33="CPC",'Model Inputs &amp; Assumptions'!$I$33*'Model Inputs &amp; Assumptions'!$K$33*G2766,0)))</f>
        <v>25000</v>
      </c>
      <c r="J2766" s="50" t="n">
        <f aca="false">H2766*INDEX('Model Inputs &amp; Assumptions'!$D$40:$D$42,MATCH('Model Inputs &amp; Assumptions'!$L$33,'Model Inputs &amp; Assumptions'!$A$40:$A$42,0))*INDEX('Model Inputs &amp; Assumptions'!$H$40:$H$42,MATCH('Model Inputs &amp; Assumptions'!$L$33,'Model Inputs &amp; Assumptions'!$A$40:$A$42,0))</f>
        <v>3284511.86050955</v>
      </c>
      <c r="K2766" s="49" t="n">
        <f aca="false">H2766*INDEX('Model Inputs &amp; Assumptions'!$G$40:$G$42,MATCH('Model Inputs &amp; Assumptions'!$L$33,'Model Inputs &amp; Assumptions'!$A$40:$A$42,0))*INDEX('Model Inputs &amp; Assumptions'!$H$40:$H$42,MATCH('Model Inputs &amp; Assumptions'!$L$33,'Model Inputs &amp; Assumptions'!$A$40:$A$42,0))</f>
        <v>68974.7490707005</v>
      </c>
      <c r="L2766" s="51" t="n">
        <f aca="false">IFERROR(K2766/I2766,0)</f>
        <v>2.75898996282802</v>
      </c>
      <c r="M2766" s="49" t="n">
        <f aca="false">IFERROR(I2766/H2766,0)</f>
        <v>41.1019980238575</v>
      </c>
      <c r="N2766" s="52" t="str">
        <f aca="false">'Model Inputs &amp; Assumptions'!$L$33</f>
        <v>PRD-SP01</v>
      </c>
      <c r="P2766" s="53" t="n">
        <v>1.563363</v>
      </c>
      <c r="Q2766" s="53" t="n">
        <v>-1.155817</v>
      </c>
      <c r="R2766" s="53" t="n">
        <v>0.868681</v>
      </c>
      <c r="S2766" s="53" t="n">
        <v>1.313432</v>
      </c>
    </row>
    <row r="2767" customFormat="false" ht="15" hidden="false" customHeight="false" outlineLevel="0" collapsed="false">
      <c r="A2767" s="43" t="n">
        <v>264</v>
      </c>
      <c r="B2767" s="44" t="str">
        <f aca="false">'Model Inputs &amp; Assumptions'!$B$33</f>
        <v>Trade Republic — Savings Plan Push</v>
      </c>
      <c r="C2767" s="45" t="n">
        <f aca="false">ROUND(MAX(0,'Model Inputs &amp; Assumptions'!$S$33*EXP('Model Inputs &amp; Assumptions'!$T$33*P2767-'Model Inputs &amp; Assumptions'!$T$33^2/2)),0)</f>
        <v>702841</v>
      </c>
      <c r="D2767" s="46" t="n">
        <f aca="false">MIN(1,'Model Inputs &amp; Assumptions'!$U$33*EXP('Model Inputs &amp; Assumptions'!$V$33*Q2767-'Model Inputs &amp; Assumptions'!$V$33^2/2))</f>
        <v>0</v>
      </c>
      <c r="E2767" s="45" t="n">
        <f aca="false">ROUND(C2767*D2767,0)</f>
        <v>0</v>
      </c>
      <c r="F2767" s="47" t="n">
        <f aca="false">MIN(1,'Model Inputs &amp; Assumptions'!$W$33*EXP('Model Inputs &amp; Assumptions'!$X$33*R2767-'Model Inputs &amp; Assumptions'!$X$33^2/2))</f>
        <v>0.00257052399825362</v>
      </c>
      <c r="G2767" s="45" t="n">
        <f aca="false">ROUND(C2767*F2767,0)</f>
        <v>1807</v>
      </c>
      <c r="H2767" s="48" t="n">
        <f aca="false">MAX(0,(C2767*'Model Inputs &amp; Assumptions'!$N$33+E2767*'Model Inputs &amp; Assumptions'!$O$33+G2767*'Model Inputs &amp; Assumptions'!$P$33)*EXP('Model Inputs &amp; Assumptions'!$Q$33*S2767-'Model Inputs &amp; Assumptions'!$Q$33^2/2))</f>
        <v>91.2715817514445</v>
      </c>
      <c r="I2767" s="49" t="n">
        <f aca="false">IF('Model Inputs &amp; Assumptions'!$H$33="Fixed",'Model Inputs &amp; Assumptions'!$I$33*'Model Inputs &amp; Assumptions'!$K$33,IF('Model Inputs &amp; Assumptions'!$H$33="CPM",'Model Inputs &amp; Assumptions'!$I$33*'Model Inputs &amp; Assumptions'!$K$33*C2767/1000,IF('Model Inputs &amp; Assumptions'!$H$33="CPC",'Model Inputs &amp; Assumptions'!$I$33*'Model Inputs &amp; Assumptions'!$K$33*G2767,0)))</f>
        <v>25000</v>
      </c>
      <c r="J2767" s="50" t="n">
        <f aca="false">H2767*INDEX('Model Inputs &amp; Assumptions'!$D$40:$D$42,MATCH('Model Inputs &amp; Assumptions'!$L$33,'Model Inputs &amp; Assumptions'!$A$40:$A$42,0))*INDEX('Model Inputs &amp; Assumptions'!$H$40:$H$42,MATCH('Model Inputs &amp; Assumptions'!$L$33,'Model Inputs &amp; Assumptions'!$A$40:$A$42,0))</f>
        <v>492866.5414578</v>
      </c>
      <c r="K2767" s="49" t="n">
        <f aca="false">H2767*INDEX('Model Inputs &amp; Assumptions'!$G$40:$G$42,MATCH('Model Inputs &amp; Assumptions'!$L$33,'Model Inputs &amp; Assumptions'!$A$40:$A$42,0))*INDEX('Model Inputs &amp; Assumptions'!$H$40:$H$42,MATCH('Model Inputs &amp; Assumptions'!$L$33,'Model Inputs &amp; Assumptions'!$A$40:$A$42,0))</f>
        <v>10350.1973706138</v>
      </c>
      <c r="L2767" s="51" t="n">
        <f aca="false">IFERROR(K2767/I2767,0)</f>
        <v>0.414007894824552</v>
      </c>
      <c r="M2767" s="49" t="n">
        <f aca="false">IFERROR(I2767/H2767,0)</f>
        <v>273.907820158977</v>
      </c>
      <c r="N2767" s="52" t="str">
        <f aca="false">'Model Inputs &amp; Assumptions'!$L$33</f>
        <v>PRD-SP01</v>
      </c>
      <c r="P2767" s="53" t="n">
        <v>-1.633152</v>
      </c>
      <c r="Q2767" s="53" t="n">
        <v>-0.227623</v>
      </c>
      <c r="R2767" s="53" t="n">
        <v>-0.878844</v>
      </c>
      <c r="S2767" s="53" t="n">
        <v>-0.164149</v>
      </c>
    </row>
    <row r="2768" customFormat="false" ht="15" hidden="false" customHeight="false" outlineLevel="0" collapsed="false">
      <c r="A2768" s="43" t="n">
        <v>265</v>
      </c>
      <c r="B2768" s="44" t="str">
        <f aca="false">'Model Inputs &amp; Assumptions'!$B$33</f>
        <v>Trade Republic — Savings Plan Push</v>
      </c>
      <c r="C2768" s="45" t="n">
        <f aca="false">ROUND(MAX(0,'Model Inputs &amp; Assumptions'!$S$33*EXP('Model Inputs &amp; Assumptions'!$T$33*P2768-'Model Inputs &amp; Assumptions'!$T$33^2/2)),0)</f>
        <v>1185616</v>
      </c>
      <c r="D2768" s="46" t="n">
        <f aca="false">MIN(1,'Model Inputs &amp; Assumptions'!$U$33*EXP('Model Inputs &amp; Assumptions'!$V$33*Q2768-'Model Inputs &amp; Assumptions'!$V$33^2/2))</f>
        <v>0</v>
      </c>
      <c r="E2768" s="45" t="n">
        <f aca="false">ROUND(C2768*D2768,0)</f>
        <v>0</v>
      </c>
      <c r="F2768" s="47" t="n">
        <f aca="false">MIN(1,'Model Inputs &amp; Assumptions'!$W$33*EXP('Model Inputs &amp; Assumptions'!$X$33*R2768-'Model Inputs &amp; Assumptions'!$X$33^2/2))</f>
        <v>0.0036122475494641</v>
      </c>
      <c r="G2768" s="45" t="n">
        <f aca="false">ROUND(C2768*F2768,0)</f>
        <v>4283</v>
      </c>
      <c r="H2768" s="48" t="n">
        <f aca="false">MAX(0,(C2768*'Model Inputs &amp; Assumptions'!$N$33+E2768*'Model Inputs &amp; Assumptions'!$O$33+G2768*'Model Inputs &amp; Assumptions'!$P$33)*EXP('Model Inputs &amp; Assumptions'!$Q$33*S2768-'Model Inputs &amp; Assumptions'!$Q$33^2/2))</f>
        <v>320.217138620303</v>
      </c>
      <c r="I2768" s="49" t="n">
        <f aca="false">IF('Model Inputs &amp; Assumptions'!$H$33="Fixed",'Model Inputs &amp; Assumptions'!$I$33*'Model Inputs &amp; Assumptions'!$K$33,IF('Model Inputs &amp; Assumptions'!$H$33="CPM",'Model Inputs &amp; Assumptions'!$I$33*'Model Inputs &amp; Assumptions'!$K$33*C2768/1000,IF('Model Inputs &amp; Assumptions'!$H$33="CPC",'Model Inputs &amp; Assumptions'!$I$33*'Model Inputs &amp; Assumptions'!$K$33*G2768,0)))</f>
        <v>25000</v>
      </c>
      <c r="J2768" s="50" t="n">
        <f aca="false">H2768*INDEX('Model Inputs &amp; Assumptions'!$D$40:$D$42,MATCH('Model Inputs &amp; Assumptions'!$L$33,'Model Inputs &amp; Assumptions'!$A$40:$A$42,0))*INDEX('Model Inputs &amp; Assumptions'!$H$40:$H$42,MATCH('Model Inputs &amp; Assumptions'!$L$33,'Model Inputs &amp; Assumptions'!$A$40:$A$42,0))</f>
        <v>1729172.54854964</v>
      </c>
      <c r="K2768" s="49" t="n">
        <f aca="false">H2768*INDEX('Model Inputs &amp; Assumptions'!$G$40:$G$42,MATCH('Model Inputs &amp; Assumptions'!$L$33,'Model Inputs &amp; Assumptions'!$A$40:$A$42,0))*INDEX('Model Inputs &amp; Assumptions'!$H$40:$H$42,MATCH('Model Inputs &amp; Assumptions'!$L$33,'Model Inputs &amp; Assumptions'!$A$40:$A$42,0))</f>
        <v>36312.6235195424</v>
      </c>
      <c r="L2768" s="51" t="n">
        <f aca="false">IFERROR(K2768/I2768,0)</f>
        <v>1.4525049407817</v>
      </c>
      <c r="M2768" s="49" t="n">
        <f aca="false">IFERROR(I2768/H2768,0)</f>
        <v>78.0720235891049</v>
      </c>
      <c r="N2768" s="52" t="str">
        <f aca="false">'Model Inputs &amp; Assumptions'!$L$33</f>
        <v>PRD-SP01</v>
      </c>
      <c r="P2768" s="53" t="n">
        <v>0.109802</v>
      </c>
      <c r="Q2768" s="53" t="n">
        <v>0.512151</v>
      </c>
      <c r="R2768" s="53" t="n">
        <v>0.255224</v>
      </c>
      <c r="S2768" s="53" t="n">
        <v>1.236473</v>
      </c>
    </row>
    <row r="2769" customFormat="false" ht="15" hidden="false" customHeight="false" outlineLevel="0" collapsed="false">
      <c r="A2769" s="43" t="n">
        <v>266</v>
      </c>
      <c r="B2769" s="44" t="str">
        <f aca="false">'Model Inputs &amp; Assumptions'!$B$33</f>
        <v>Trade Republic — Savings Plan Push</v>
      </c>
      <c r="C2769" s="45" t="n">
        <f aca="false">ROUND(MAX(0,'Model Inputs &amp; Assumptions'!$S$33*EXP('Model Inputs &amp; Assumptions'!$T$33*P2769-'Model Inputs &amp; Assumptions'!$T$33^2/2)),0)</f>
        <v>2032439</v>
      </c>
      <c r="D2769" s="46" t="n">
        <f aca="false">MIN(1,'Model Inputs &amp; Assumptions'!$U$33*EXP('Model Inputs &amp; Assumptions'!$V$33*Q2769-'Model Inputs &amp; Assumptions'!$V$33^2/2))</f>
        <v>0</v>
      </c>
      <c r="E2769" s="45" t="n">
        <f aca="false">ROUND(C2769*D2769,0)</f>
        <v>0</v>
      </c>
      <c r="F2769" s="47" t="n">
        <f aca="false">MIN(1,'Model Inputs &amp; Assumptions'!$W$33*EXP('Model Inputs &amp; Assumptions'!$X$33*R2769-'Model Inputs &amp; Assumptions'!$X$33^2/2))</f>
        <v>0.00514070777033042</v>
      </c>
      <c r="G2769" s="45" t="n">
        <f aca="false">ROUND(C2769*F2769,0)</f>
        <v>10448</v>
      </c>
      <c r="H2769" s="48" t="n">
        <f aca="false">MAX(0,(C2769*'Model Inputs &amp; Assumptions'!$N$33+E2769*'Model Inputs &amp; Assumptions'!$O$33+G2769*'Model Inputs &amp; Assumptions'!$P$33)*EXP('Model Inputs &amp; Assumptions'!$Q$33*S2769-'Model Inputs &amp; Assumptions'!$Q$33^2/2))</f>
        <v>369.806567267554</v>
      </c>
      <c r="I2769" s="49" t="n">
        <f aca="false">IF('Model Inputs &amp; Assumptions'!$H$33="Fixed",'Model Inputs &amp; Assumptions'!$I$33*'Model Inputs &amp; Assumptions'!$K$33,IF('Model Inputs &amp; Assumptions'!$H$33="CPM",'Model Inputs &amp; Assumptions'!$I$33*'Model Inputs &amp; Assumptions'!$K$33*C2769/1000,IF('Model Inputs &amp; Assumptions'!$H$33="CPC",'Model Inputs &amp; Assumptions'!$I$33*'Model Inputs &amp; Assumptions'!$K$33*G2769,0)))</f>
        <v>25000</v>
      </c>
      <c r="J2769" s="50" t="n">
        <f aca="false">H2769*INDEX('Model Inputs &amp; Assumptions'!$D$40:$D$42,MATCH('Model Inputs &amp; Assumptions'!$L$33,'Model Inputs &amp; Assumptions'!$A$40:$A$42,0))*INDEX('Model Inputs &amp; Assumptions'!$H$40:$H$42,MATCH('Model Inputs &amp; Assumptions'!$L$33,'Model Inputs &amp; Assumptions'!$A$40:$A$42,0))</f>
        <v>1996955.46324479</v>
      </c>
      <c r="K2769" s="49" t="n">
        <f aca="false">H2769*INDEX('Model Inputs &amp; Assumptions'!$G$40:$G$42,MATCH('Model Inputs &amp; Assumptions'!$L$33,'Model Inputs &amp; Assumptions'!$A$40:$A$42,0))*INDEX('Model Inputs &amp; Assumptions'!$H$40:$H$42,MATCH('Model Inputs &amp; Assumptions'!$L$33,'Model Inputs &amp; Assumptions'!$A$40:$A$42,0))</f>
        <v>41936.0647281406</v>
      </c>
      <c r="L2769" s="51" t="n">
        <f aca="false">IFERROR(K2769/I2769,0)</f>
        <v>1.67744258912562</v>
      </c>
      <c r="M2769" s="49" t="n">
        <f aca="false">IFERROR(I2769/H2769,0)</f>
        <v>67.6029097717797</v>
      </c>
      <c r="N2769" s="52" t="str">
        <f aca="false">'Model Inputs &amp; Assumptions'!$L$33</f>
        <v>PRD-SP01</v>
      </c>
      <c r="P2769" s="53" t="n">
        <v>1.906383</v>
      </c>
      <c r="Q2769" s="53" t="n">
        <v>0.81609</v>
      </c>
      <c r="R2769" s="53" t="n">
        <v>1.431426</v>
      </c>
      <c r="S2769" s="53" t="n">
        <v>-1.434156</v>
      </c>
    </row>
    <row r="2770" customFormat="false" ht="15" hidden="false" customHeight="false" outlineLevel="0" collapsed="false">
      <c r="A2770" s="43" t="n">
        <v>267</v>
      </c>
      <c r="B2770" s="44" t="str">
        <f aca="false">'Model Inputs &amp; Assumptions'!$B$33</f>
        <v>Trade Republic — Savings Plan Push</v>
      </c>
      <c r="C2770" s="45" t="n">
        <f aca="false">ROUND(MAX(0,'Model Inputs &amp; Assumptions'!$S$33*EXP('Model Inputs &amp; Assumptions'!$T$33*P2770-'Model Inputs &amp; Assumptions'!$T$33^2/2)),0)</f>
        <v>960597</v>
      </c>
      <c r="D2770" s="46" t="n">
        <f aca="false">MIN(1,'Model Inputs &amp; Assumptions'!$U$33*EXP('Model Inputs &amp; Assumptions'!$V$33*Q2770-'Model Inputs &amp; Assumptions'!$V$33^2/2))</f>
        <v>0</v>
      </c>
      <c r="E2770" s="45" t="n">
        <f aca="false">ROUND(C2770*D2770,0)</f>
        <v>0</v>
      </c>
      <c r="F2770" s="47" t="n">
        <f aca="false">MIN(1,'Model Inputs &amp; Assumptions'!$W$33*EXP('Model Inputs &amp; Assumptions'!$X$33*R2770-'Model Inputs &amp; Assumptions'!$X$33^2/2))</f>
        <v>0.00265750541402769</v>
      </c>
      <c r="G2770" s="45" t="n">
        <f aca="false">ROUND(C2770*F2770,0)</f>
        <v>2553</v>
      </c>
      <c r="H2770" s="48" t="n">
        <f aca="false">MAX(0,(C2770*'Model Inputs &amp; Assumptions'!$N$33+E2770*'Model Inputs &amp; Assumptions'!$O$33+G2770*'Model Inputs &amp; Assumptions'!$P$33)*EXP('Model Inputs &amp; Assumptions'!$Q$33*S2770-'Model Inputs &amp; Assumptions'!$Q$33^2/2))</f>
        <v>141.82713594018</v>
      </c>
      <c r="I2770" s="49" t="n">
        <f aca="false">IF('Model Inputs &amp; Assumptions'!$H$33="Fixed",'Model Inputs &amp; Assumptions'!$I$33*'Model Inputs &amp; Assumptions'!$K$33,IF('Model Inputs &amp; Assumptions'!$H$33="CPM",'Model Inputs &amp; Assumptions'!$I$33*'Model Inputs &amp; Assumptions'!$K$33*C2770/1000,IF('Model Inputs &amp; Assumptions'!$H$33="CPC",'Model Inputs &amp; Assumptions'!$I$33*'Model Inputs &amp; Assumptions'!$K$33*G2770,0)))</f>
        <v>25000</v>
      </c>
      <c r="J2770" s="50" t="n">
        <f aca="false">H2770*INDEX('Model Inputs &amp; Assumptions'!$D$40:$D$42,MATCH('Model Inputs &amp; Assumptions'!$L$33,'Model Inputs &amp; Assumptions'!$A$40:$A$42,0))*INDEX('Model Inputs &amp; Assumptions'!$H$40:$H$42,MATCH('Model Inputs &amp; Assumptions'!$L$33,'Model Inputs &amp; Assumptions'!$A$40:$A$42,0))</f>
        <v>765866.53407697</v>
      </c>
      <c r="K2770" s="49" t="n">
        <f aca="false">H2770*INDEX('Model Inputs &amp; Assumptions'!$G$40:$G$42,MATCH('Model Inputs &amp; Assumptions'!$L$33,'Model Inputs &amp; Assumptions'!$A$40:$A$42,0))*INDEX('Model Inputs &amp; Assumptions'!$H$40:$H$42,MATCH('Model Inputs &amp; Assumptions'!$L$33,'Model Inputs &amp; Assumptions'!$A$40:$A$42,0))</f>
        <v>16083.1972156164</v>
      </c>
      <c r="L2770" s="51" t="n">
        <f aca="false">IFERROR(K2770/I2770,0)</f>
        <v>0.643327888624654</v>
      </c>
      <c r="M2770" s="49" t="n">
        <f aca="false">IFERROR(I2770/H2770,0)</f>
        <v>176.270921881583</v>
      </c>
      <c r="N2770" s="52" t="str">
        <f aca="false">'Model Inputs &amp; Assumptions'!$L$33</f>
        <v>PRD-SP01</v>
      </c>
      <c r="P2770" s="53" t="n">
        <v>-0.59174</v>
      </c>
      <c r="Q2770" s="53" t="n">
        <v>-0.76965</v>
      </c>
      <c r="R2770" s="53" t="n">
        <v>-0.767917</v>
      </c>
      <c r="S2770" s="53" t="n">
        <v>0.175738</v>
      </c>
    </row>
    <row r="2771" customFormat="false" ht="15" hidden="false" customHeight="false" outlineLevel="0" collapsed="false">
      <c r="A2771" s="43" t="n">
        <v>268</v>
      </c>
      <c r="B2771" s="44" t="str">
        <f aca="false">'Model Inputs &amp; Assumptions'!$B$33</f>
        <v>Trade Republic — Savings Plan Push</v>
      </c>
      <c r="C2771" s="45" t="n">
        <f aca="false">ROUND(MAX(0,'Model Inputs &amp; Assumptions'!$S$33*EXP('Model Inputs &amp; Assumptions'!$T$33*P2771-'Model Inputs &amp; Assumptions'!$T$33^2/2)),0)</f>
        <v>1275240</v>
      </c>
      <c r="D2771" s="46" t="n">
        <f aca="false">MIN(1,'Model Inputs &amp; Assumptions'!$U$33*EXP('Model Inputs &amp; Assumptions'!$V$33*Q2771-'Model Inputs &amp; Assumptions'!$V$33^2/2))</f>
        <v>0</v>
      </c>
      <c r="E2771" s="45" t="n">
        <f aca="false">ROUND(C2771*D2771,0)</f>
        <v>0</v>
      </c>
      <c r="F2771" s="47" t="n">
        <f aca="false">MIN(1,'Model Inputs &amp; Assumptions'!$W$33*EXP('Model Inputs &amp; Assumptions'!$X$33*R2771-'Model Inputs &amp; Assumptions'!$X$33^2/2))</f>
        <v>0.00404430924573486</v>
      </c>
      <c r="G2771" s="45" t="n">
        <f aca="false">ROUND(C2771*F2771,0)</f>
        <v>5157</v>
      </c>
      <c r="H2771" s="48" t="n">
        <f aca="false">MAX(0,(C2771*'Model Inputs &amp; Assumptions'!$N$33+E2771*'Model Inputs &amp; Assumptions'!$O$33+G2771*'Model Inputs &amp; Assumptions'!$P$33)*EXP('Model Inputs &amp; Assumptions'!$Q$33*S2771-'Model Inputs &amp; Assumptions'!$Q$33^2/2))</f>
        <v>311.952508632283</v>
      </c>
      <c r="I2771" s="49" t="n">
        <f aca="false">IF('Model Inputs &amp; Assumptions'!$H$33="Fixed",'Model Inputs &amp; Assumptions'!$I$33*'Model Inputs &amp; Assumptions'!$K$33,IF('Model Inputs &amp; Assumptions'!$H$33="CPM",'Model Inputs &amp; Assumptions'!$I$33*'Model Inputs &amp; Assumptions'!$K$33*C2771/1000,IF('Model Inputs &amp; Assumptions'!$H$33="CPC",'Model Inputs &amp; Assumptions'!$I$33*'Model Inputs &amp; Assumptions'!$K$33*G2771,0)))</f>
        <v>25000</v>
      </c>
      <c r="J2771" s="50" t="n">
        <f aca="false">H2771*INDEX('Model Inputs &amp; Assumptions'!$D$40:$D$42,MATCH('Model Inputs &amp; Assumptions'!$L$33,'Model Inputs &amp; Assumptions'!$A$40:$A$42,0))*INDEX('Model Inputs &amp; Assumptions'!$H$40:$H$42,MATCH('Model Inputs &amp; Assumptions'!$L$33,'Model Inputs &amp; Assumptions'!$A$40:$A$42,0))</f>
        <v>1684543.54661433</v>
      </c>
      <c r="K2771" s="49" t="n">
        <f aca="false">H2771*INDEX('Model Inputs &amp; Assumptions'!$G$40:$G$42,MATCH('Model Inputs &amp; Assumptions'!$L$33,'Model Inputs &amp; Assumptions'!$A$40:$A$42,0))*INDEX('Model Inputs &amp; Assumptions'!$H$40:$H$42,MATCH('Model Inputs &amp; Assumptions'!$L$33,'Model Inputs &amp; Assumptions'!$A$40:$A$42,0))</f>
        <v>35375.4144789009</v>
      </c>
      <c r="L2771" s="51" t="n">
        <f aca="false">IFERROR(K2771/I2771,0)</f>
        <v>1.41501657915604</v>
      </c>
      <c r="M2771" s="49" t="n">
        <f aca="false">IFERROR(I2771/H2771,0)</f>
        <v>80.1404037736686</v>
      </c>
      <c r="N2771" s="52" t="str">
        <f aca="false">'Model Inputs &amp; Assumptions'!$L$33</f>
        <v>PRD-SP01</v>
      </c>
      <c r="P2771" s="53" t="n">
        <v>0.352709</v>
      </c>
      <c r="Q2771" s="53" t="n">
        <v>0.477057</v>
      </c>
      <c r="R2771" s="53" t="n">
        <v>0.631826</v>
      </c>
      <c r="S2771" s="53" t="n">
        <v>0.479867</v>
      </c>
    </row>
    <row r="2772" customFormat="false" ht="15" hidden="false" customHeight="false" outlineLevel="0" collapsed="false">
      <c r="A2772" s="43" t="n">
        <v>269</v>
      </c>
      <c r="B2772" s="44" t="str">
        <f aca="false">'Model Inputs &amp; Assumptions'!$B$33</f>
        <v>Trade Republic — Savings Plan Push</v>
      </c>
      <c r="C2772" s="45" t="n">
        <f aca="false">ROUND(MAX(0,'Model Inputs &amp; Assumptions'!$S$33*EXP('Model Inputs &amp; Assumptions'!$T$33*P2772-'Model Inputs &amp; Assumptions'!$T$33^2/2)),0)</f>
        <v>1034317</v>
      </c>
      <c r="D2772" s="46" t="n">
        <f aca="false">MIN(1,'Model Inputs &amp; Assumptions'!$U$33*EXP('Model Inputs &amp; Assumptions'!$V$33*Q2772-'Model Inputs &amp; Assumptions'!$V$33^2/2))</f>
        <v>0</v>
      </c>
      <c r="E2772" s="45" t="n">
        <f aca="false">ROUND(C2772*D2772,0)</f>
        <v>0</v>
      </c>
      <c r="F2772" s="47" t="n">
        <f aca="false">MIN(1,'Model Inputs &amp; Assumptions'!$W$33*EXP('Model Inputs &amp; Assumptions'!$X$33*R2772-'Model Inputs &amp; Assumptions'!$X$33^2/2))</f>
        <v>0.00351031461897135</v>
      </c>
      <c r="G2772" s="45" t="n">
        <f aca="false">ROUND(C2772*F2772,0)</f>
        <v>3631</v>
      </c>
      <c r="H2772" s="48" t="n">
        <f aca="false">MAX(0,(C2772*'Model Inputs &amp; Assumptions'!$N$33+E2772*'Model Inputs &amp; Assumptions'!$O$33+G2772*'Model Inputs &amp; Assumptions'!$P$33)*EXP('Model Inputs &amp; Assumptions'!$Q$33*S2772-'Model Inputs &amp; Assumptions'!$Q$33^2/2))</f>
        <v>167.461922600605</v>
      </c>
      <c r="I2772" s="49" t="n">
        <f aca="false">IF('Model Inputs &amp; Assumptions'!$H$33="Fixed",'Model Inputs &amp; Assumptions'!$I$33*'Model Inputs &amp; Assumptions'!$K$33,IF('Model Inputs &amp; Assumptions'!$H$33="CPM",'Model Inputs &amp; Assumptions'!$I$33*'Model Inputs &amp; Assumptions'!$K$33*C2772/1000,IF('Model Inputs &amp; Assumptions'!$H$33="CPC",'Model Inputs &amp; Assumptions'!$I$33*'Model Inputs &amp; Assumptions'!$K$33*G2772,0)))</f>
        <v>25000</v>
      </c>
      <c r="J2772" s="50" t="n">
        <f aca="false">H2772*INDEX('Model Inputs &amp; Assumptions'!$D$40:$D$42,MATCH('Model Inputs &amp; Assumptions'!$L$33,'Model Inputs &amp; Assumptions'!$A$40:$A$42,0))*INDEX('Model Inputs &amp; Assumptions'!$H$40:$H$42,MATCH('Model Inputs &amp; Assumptions'!$L$33,'Model Inputs &amp; Assumptions'!$A$40:$A$42,0))</f>
        <v>904294.382043269</v>
      </c>
      <c r="K2772" s="49" t="n">
        <f aca="false">H2772*INDEX('Model Inputs &amp; Assumptions'!$G$40:$G$42,MATCH('Model Inputs &amp; Assumptions'!$L$33,'Model Inputs &amp; Assumptions'!$A$40:$A$42,0))*INDEX('Model Inputs &amp; Assumptions'!$H$40:$H$42,MATCH('Model Inputs &amp; Assumptions'!$L$33,'Model Inputs &amp; Assumptions'!$A$40:$A$42,0))</f>
        <v>18990.1820229086</v>
      </c>
      <c r="L2772" s="51" t="n">
        <f aca="false">IFERROR(K2772/I2772,0)</f>
        <v>0.759607280916346</v>
      </c>
      <c r="M2772" s="49" t="n">
        <f aca="false">IFERROR(I2772/H2772,0)</f>
        <v>149.287668574215</v>
      </c>
      <c r="N2772" s="52" t="str">
        <f aca="false">'Model Inputs &amp; Assumptions'!$L$33</f>
        <v>PRD-SP01</v>
      </c>
      <c r="P2772" s="53" t="n">
        <v>-0.345268</v>
      </c>
      <c r="Q2772" s="53" t="n">
        <v>-0.877702</v>
      </c>
      <c r="R2772" s="53" t="n">
        <v>0.159809</v>
      </c>
      <c r="S2772" s="53" t="n">
        <v>-0.488876</v>
      </c>
    </row>
    <row r="2773" customFormat="false" ht="15" hidden="false" customHeight="false" outlineLevel="0" collapsed="false">
      <c r="A2773" s="43" t="n">
        <v>270</v>
      </c>
      <c r="B2773" s="44" t="str">
        <f aca="false">'Model Inputs &amp; Assumptions'!$B$33</f>
        <v>Trade Republic — Savings Plan Push</v>
      </c>
      <c r="C2773" s="45" t="n">
        <f aca="false">ROUND(MAX(0,'Model Inputs &amp; Assumptions'!$S$33*EXP('Model Inputs &amp; Assumptions'!$T$33*P2773-'Model Inputs &amp; Assumptions'!$T$33^2/2)),0)</f>
        <v>1182769</v>
      </c>
      <c r="D2773" s="46" t="n">
        <f aca="false">MIN(1,'Model Inputs &amp; Assumptions'!$U$33*EXP('Model Inputs &amp; Assumptions'!$V$33*Q2773-'Model Inputs &amp; Assumptions'!$V$33^2/2))</f>
        <v>0</v>
      </c>
      <c r="E2773" s="45" t="n">
        <f aca="false">ROUND(C2773*D2773,0)</f>
        <v>0</v>
      </c>
      <c r="F2773" s="47" t="n">
        <f aca="false">MIN(1,'Model Inputs &amp; Assumptions'!$W$33*EXP('Model Inputs &amp; Assumptions'!$X$33*R2773-'Model Inputs &amp; Assumptions'!$X$33^2/2))</f>
        <v>0.00267210077055779</v>
      </c>
      <c r="G2773" s="45" t="n">
        <f aca="false">ROUND(C2773*F2773,0)</f>
        <v>3160</v>
      </c>
      <c r="H2773" s="48" t="n">
        <f aca="false">MAX(0,(C2773*'Model Inputs &amp; Assumptions'!$N$33+E2773*'Model Inputs &amp; Assumptions'!$O$33+G2773*'Model Inputs &amp; Assumptions'!$P$33)*EXP('Model Inputs &amp; Assumptions'!$Q$33*S2773-'Model Inputs &amp; Assumptions'!$Q$33^2/2))</f>
        <v>124.500549908567</v>
      </c>
      <c r="I2773" s="49" t="n">
        <f aca="false">IF('Model Inputs &amp; Assumptions'!$H$33="Fixed",'Model Inputs &amp; Assumptions'!$I$33*'Model Inputs &amp; Assumptions'!$K$33,IF('Model Inputs &amp; Assumptions'!$H$33="CPM",'Model Inputs &amp; Assumptions'!$I$33*'Model Inputs &amp; Assumptions'!$K$33*C2773/1000,IF('Model Inputs &amp; Assumptions'!$H$33="CPC",'Model Inputs &amp; Assumptions'!$I$33*'Model Inputs &amp; Assumptions'!$K$33*G2773,0)))</f>
        <v>25000</v>
      </c>
      <c r="J2773" s="50" t="n">
        <f aca="false">H2773*INDEX('Model Inputs &amp; Assumptions'!$D$40:$D$42,MATCH('Model Inputs &amp; Assumptions'!$L$33,'Model Inputs &amp; Assumptions'!$A$40:$A$42,0))*INDEX('Model Inputs &amp; Assumptions'!$H$40:$H$42,MATCH('Model Inputs &amp; Assumptions'!$L$33,'Model Inputs &amp; Assumptions'!$A$40:$A$42,0))</f>
        <v>672302.969506264</v>
      </c>
      <c r="K2773" s="49" t="n">
        <f aca="false">H2773*INDEX('Model Inputs &amp; Assumptions'!$G$40:$G$42,MATCH('Model Inputs &amp; Assumptions'!$L$33,'Model Inputs &amp; Assumptions'!$A$40:$A$42,0))*INDEX('Model Inputs &amp; Assumptions'!$H$40:$H$42,MATCH('Model Inputs &amp; Assumptions'!$L$33,'Model Inputs &amp; Assumptions'!$A$40:$A$42,0))</f>
        <v>14118.3623596315</v>
      </c>
      <c r="L2773" s="51" t="n">
        <f aca="false">IFERROR(K2773/I2773,0)</f>
        <v>0.564734494385262</v>
      </c>
      <c r="M2773" s="49" t="n">
        <f aca="false">IFERROR(I2773/H2773,0)</f>
        <v>200.802325920326</v>
      </c>
      <c r="N2773" s="52" t="str">
        <f aca="false">'Model Inputs &amp; Assumptions'!$L$33</f>
        <v>PRD-SP01</v>
      </c>
      <c r="P2773" s="53" t="n">
        <v>0.101788</v>
      </c>
      <c r="Q2773" s="53" t="n">
        <v>0.477939</v>
      </c>
      <c r="R2773" s="53" t="n">
        <v>-0.74966</v>
      </c>
      <c r="S2773" s="53" t="n">
        <v>-1.051411</v>
      </c>
    </row>
    <row r="2774" customFormat="false" ht="15" hidden="false" customHeight="false" outlineLevel="0" collapsed="false">
      <c r="A2774" s="43" t="n">
        <v>271</v>
      </c>
      <c r="B2774" s="44" t="str">
        <f aca="false">'Model Inputs &amp; Assumptions'!$B$33</f>
        <v>Trade Republic — Savings Plan Push</v>
      </c>
      <c r="C2774" s="45" t="n">
        <f aca="false">ROUND(MAX(0,'Model Inputs &amp; Assumptions'!$S$33*EXP('Model Inputs &amp; Assumptions'!$T$33*P2774-'Model Inputs &amp; Assumptions'!$T$33^2/2)),0)</f>
        <v>1217899</v>
      </c>
      <c r="D2774" s="46" t="n">
        <f aca="false">MIN(1,'Model Inputs &amp; Assumptions'!$U$33*EXP('Model Inputs &amp; Assumptions'!$V$33*Q2774-'Model Inputs &amp; Assumptions'!$V$33^2/2))</f>
        <v>0</v>
      </c>
      <c r="E2774" s="45" t="n">
        <f aca="false">ROUND(C2774*D2774,0)</f>
        <v>0</v>
      </c>
      <c r="F2774" s="47" t="n">
        <f aca="false">MIN(1,'Model Inputs &amp; Assumptions'!$W$33*EXP('Model Inputs &amp; Assumptions'!$X$33*R2774-'Model Inputs &amp; Assumptions'!$X$33^2/2))</f>
        <v>0.00272753553892997</v>
      </c>
      <c r="G2774" s="45" t="n">
        <f aca="false">ROUND(C2774*F2774,0)</f>
        <v>3322</v>
      </c>
      <c r="H2774" s="48" t="n">
        <f aca="false">MAX(0,(C2774*'Model Inputs &amp; Assumptions'!$N$33+E2774*'Model Inputs &amp; Assumptions'!$O$33+G2774*'Model Inputs &amp; Assumptions'!$P$33)*EXP('Model Inputs &amp; Assumptions'!$Q$33*S2774-'Model Inputs &amp; Assumptions'!$Q$33^2/2))</f>
        <v>181.932816064389</v>
      </c>
      <c r="I2774" s="49" t="n">
        <f aca="false">IF('Model Inputs &amp; Assumptions'!$H$33="Fixed",'Model Inputs &amp; Assumptions'!$I$33*'Model Inputs &amp; Assumptions'!$K$33,IF('Model Inputs &amp; Assumptions'!$H$33="CPM",'Model Inputs &amp; Assumptions'!$I$33*'Model Inputs &amp; Assumptions'!$K$33*C2774/1000,IF('Model Inputs &amp; Assumptions'!$H$33="CPC",'Model Inputs &amp; Assumptions'!$I$33*'Model Inputs &amp; Assumptions'!$K$33*G2774,0)))</f>
        <v>25000</v>
      </c>
      <c r="J2774" s="50" t="n">
        <f aca="false">H2774*INDEX('Model Inputs &amp; Assumptions'!$D$40:$D$42,MATCH('Model Inputs &amp; Assumptions'!$L$33,'Model Inputs &amp; Assumptions'!$A$40:$A$42,0))*INDEX('Model Inputs &amp; Assumptions'!$H$40:$H$42,MATCH('Model Inputs &amp; Assumptions'!$L$33,'Model Inputs &amp; Assumptions'!$A$40:$A$42,0))</f>
        <v>982437.206747702</v>
      </c>
      <c r="K2774" s="49" t="n">
        <f aca="false">H2774*INDEX('Model Inputs &amp; Assumptions'!$G$40:$G$42,MATCH('Model Inputs &amp; Assumptions'!$L$33,'Model Inputs &amp; Assumptions'!$A$40:$A$42,0))*INDEX('Model Inputs &amp; Assumptions'!$H$40:$H$42,MATCH('Model Inputs &amp; Assumptions'!$L$33,'Model Inputs &amp; Assumptions'!$A$40:$A$42,0))</f>
        <v>20631.1813417017</v>
      </c>
      <c r="L2774" s="51" t="n">
        <f aca="false">IFERROR(K2774/I2774,0)</f>
        <v>0.82524725366807</v>
      </c>
      <c r="M2774" s="49" t="n">
        <f aca="false">IFERROR(I2774/H2774,0)</f>
        <v>137.413362475256</v>
      </c>
      <c r="N2774" s="52" t="str">
        <f aca="false">'Model Inputs &amp; Assumptions'!$L$33</f>
        <v>PRD-SP01</v>
      </c>
      <c r="P2774" s="53" t="n">
        <v>0.199353</v>
      </c>
      <c r="Q2774" s="53" t="n">
        <v>0.151663</v>
      </c>
      <c r="R2774" s="53" t="n">
        <v>-0.681215</v>
      </c>
      <c r="S2774" s="53" t="n">
        <v>0.124776</v>
      </c>
    </row>
    <row r="2775" customFormat="false" ht="15" hidden="false" customHeight="false" outlineLevel="0" collapsed="false">
      <c r="A2775" s="43" t="n">
        <v>272</v>
      </c>
      <c r="B2775" s="44" t="str">
        <f aca="false">'Model Inputs &amp; Assumptions'!$B$33</f>
        <v>Trade Republic — Savings Plan Push</v>
      </c>
      <c r="C2775" s="45" t="n">
        <f aca="false">ROUND(MAX(0,'Model Inputs &amp; Assumptions'!$S$33*EXP('Model Inputs &amp; Assumptions'!$T$33*P2775-'Model Inputs &amp; Assumptions'!$T$33^2/2)),0)</f>
        <v>1193154</v>
      </c>
      <c r="D2775" s="46" t="n">
        <f aca="false">MIN(1,'Model Inputs &amp; Assumptions'!$U$33*EXP('Model Inputs &amp; Assumptions'!$V$33*Q2775-'Model Inputs &amp; Assumptions'!$V$33^2/2))</f>
        <v>0</v>
      </c>
      <c r="E2775" s="45" t="n">
        <f aca="false">ROUND(C2775*D2775,0)</f>
        <v>0</v>
      </c>
      <c r="F2775" s="47" t="n">
        <f aca="false">MIN(1,'Model Inputs &amp; Assumptions'!$W$33*EXP('Model Inputs &amp; Assumptions'!$X$33*R2775-'Model Inputs &amp; Assumptions'!$X$33^2/2))</f>
        <v>0.00382053539476551</v>
      </c>
      <c r="G2775" s="45" t="n">
        <f aca="false">ROUND(C2775*F2775,0)</f>
        <v>4558</v>
      </c>
      <c r="H2775" s="48" t="n">
        <f aca="false">MAX(0,(C2775*'Model Inputs &amp; Assumptions'!$N$33+E2775*'Model Inputs &amp; Assumptions'!$O$33+G2775*'Model Inputs &amp; Assumptions'!$P$33)*EXP('Model Inputs &amp; Assumptions'!$Q$33*S2775-'Model Inputs &amp; Assumptions'!$Q$33^2/2))</f>
        <v>203.163037289676</v>
      </c>
      <c r="I2775" s="49" t="n">
        <f aca="false">IF('Model Inputs &amp; Assumptions'!$H$33="Fixed",'Model Inputs &amp; Assumptions'!$I$33*'Model Inputs &amp; Assumptions'!$K$33,IF('Model Inputs &amp; Assumptions'!$H$33="CPM",'Model Inputs &amp; Assumptions'!$I$33*'Model Inputs &amp; Assumptions'!$K$33*C2775/1000,IF('Model Inputs &amp; Assumptions'!$H$33="CPC",'Model Inputs &amp; Assumptions'!$I$33*'Model Inputs &amp; Assumptions'!$K$33*G2775,0)))</f>
        <v>25000</v>
      </c>
      <c r="J2775" s="50" t="n">
        <f aca="false">H2775*INDEX('Model Inputs &amp; Assumptions'!$D$40:$D$42,MATCH('Model Inputs &amp; Assumptions'!$L$33,'Model Inputs &amp; Assumptions'!$A$40:$A$42,0))*INDEX('Model Inputs &amp; Assumptions'!$H$40:$H$42,MATCH('Model Inputs &amp; Assumptions'!$L$33,'Model Inputs &amp; Assumptions'!$A$40:$A$42,0))</f>
        <v>1097080.40136425</v>
      </c>
      <c r="K2775" s="49" t="n">
        <f aca="false">H2775*INDEX('Model Inputs &amp; Assumptions'!$G$40:$G$42,MATCH('Model Inputs &amp; Assumptions'!$L$33,'Model Inputs &amp; Assumptions'!$A$40:$A$42,0))*INDEX('Model Inputs &amp; Assumptions'!$H$40:$H$42,MATCH('Model Inputs &amp; Assumptions'!$L$33,'Model Inputs &amp; Assumptions'!$A$40:$A$42,0))</f>
        <v>23038.6884286493</v>
      </c>
      <c r="L2775" s="51" t="n">
        <f aca="false">IFERROR(K2775/I2775,0)</f>
        <v>0.921547537145971</v>
      </c>
      <c r="M2775" s="49" t="n">
        <f aca="false">IFERROR(I2775/H2775,0)</f>
        <v>123.053879945466</v>
      </c>
      <c r="N2775" s="52" t="str">
        <f aca="false">'Model Inputs &amp; Assumptions'!$L$33</f>
        <v>PRD-SP01</v>
      </c>
      <c r="P2775" s="53" t="n">
        <v>0.130928</v>
      </c>
      <c r="Q2775" s="53" t="n">
        <v>-0.250324</v>
      </c>
      <c r="R2775" s="53" t="n">
        <v>0.442092</v>
      </c>
      <c r="S2775" s="53" t="n">
        <v>-0.610744</v>
      </c>
    </row>
    <row r="2776" customFormat="false" ht="15" hidden="false" customHeight="false" outlineLevel="0" collapsed="false">
      <c r="A2776" s="43" t="n">
        <v>273</v>
      </c>
      <c r="B2776" s="44" t="str">
        <f aca="false">'Model Inputs &amp; Assumptions'!$B$33</f>
        <v>Trade Republic — Savings Plan Push</v>
      </c>
      <c r="C2776" s="45" t="n">
        <f aca="false">ROUND(MAX(0,'Model Inputs &amp; Assumptions'!$S$33*EXP('Model Inputs &amp; Assumptions'!$T$33*P2776-'Model Inputs &amp; Assumptions'!$T$33^2/2)),0)</f>
        <v>1593197</v>
      </c>
      <c r="D2776" s="46" t="n">
        <f aca="false">MIN(1,'Model Inputs &amp; Assumptions'!$U$33*EXP('Model Inputs &amp; Assumptions'!$V$33*Q2776-'Model Inputs &amp; Assumptions'!$V$33^2/2))</f>
        <v>0</v>
      </c>
      <c r="E2776" s="45" t="n">
        <f aca="false">ROUND(C2776*D2776,0)</f>
        <v>0</v>
      </c>
      <c r="F2776" s="47" t="n">
        <f aca="false">MIN(1,'Model Inputs &amp; Assumptions'!$W$33*EXP('Model Inputs &amp; Assumptions'!$X$33*R2776-'Model Inputs &amp; Assumptions'!$X$33^2/2))</f>
        <v>0.00360376152670252</v>
      </c>
      <c r="G2776" s="45" t="n">
        <f aca="false">ROUND(C2776*F2776,0)</f>
        <v>5742</v>
      </c>
      <c r="H2776" s="48" t="n">
        <f aca="false">MAX(0,(C2776*'Model Inputs &amp; Assumptions'!$N$33+E2776*'Model Inputs &amp; Assumptions'!$O$33+G2776*'Model Inputs &amp; Assumptions'!$P$33)*EXP('Model Inputs &amp; Assumptions'!$Q$33*S2776-'Model Inputs &amp; Assumptions'!$Q$33^2/2))</f>
        <v>479.489696906158</v>
      </c>
      <c r="I2776" s="49" t="n">
        <f aca="false">IF('Model Inputs &amp; Assumptions'!$H$33="Fixed",'Model Inputs &amp; Assumptions'!$I$33*'Model Inputs &amp; Assumptions'!$K$33,IF('Model Inputs &amp; Assumptions'!$H$33="CPM",'Model Inputs &amp; Assumptions'!$I$33*'Model Inputs &amp; Assumptions'!$K$33*C2776/1000,IF('Model Inputs &amp; Assumptions'!$H$33="CPC",'Model Inputs &amp; Assumptions'!$I$33*'Model Inputs &amp; Assumptions'!$K$33*G2776,0)))</f>
        <v>25000</v>
      </c>
      <c r="J2776" s="50" t="n">
        <f aca="false">H2776*INDEX('Model Inputs &amp; Assumptions'!$D$40:$D$42,MATCH('Model Inputs &amp; Assumptions'!$L$33,'Model Inputs &amp; Assumptions'!$A$40:$A$42,0))*INDEX('Model Inputs &amp; Assumptions'!$H$40:$H$42,MATCH('Model Inputs &amp; Assumptions'!$L$33,'Model Inputs &amp; Assumptions'!$A$40:$A$42,0))</f>
        <v>2589244.36329325</v>
      </c>
      <c r="K2776" s="49" t="n">
        <f aca="false">H2776*INDEX('Model Inputs &amp; Assumptions'!$G$40:$G$42,MATCH('Model Inputs &amp; Assumptions'!$L$33,'Model Inputs &amp; Assumptions'!$A$40:$A$42,0))*INDEX('Model Inputs &amp; Assumptions'!$H$40:$H$42,MATCH('Model Inputs &amp; Assumptions'!$L$33,'Model Inputs &amp; Assumptions'!$A$40:$A$42,0))</f>
        <v>54374.1316291583</v>
      </c>
      <c r="L2776" s="51" t="n">
        <f aca="false">IFERROR(K2776/I2776,0)</f>
        <v>2.17496526516633</v>
      </c>
      <c r="M2776" s="49" t="n">
        <f aca="false">IFERROR(I2776/H2776,0)</f>
        <v>52.1387636925446</v>
      </c>
      <c r="N2776" s="52" t="str">
        <f aca="false">'Model Inputs &amp; Assumptions'!$L$33</f>
        <v>PRD-SP01</v>
      </c>
      <c r="P2776" s="53" t="n">
        <v>1.094738</v>
      </c>
      <c r="Q2776" s="53" t="n">
        <v>0.603741</v>
      </c>
      <c r="R2776" s="53" t="n">
        <v>0.247384</v>
      </c>
      <c r="S2776" s="53" t="n">
        <v>1.631363</v>
      </c>
    </row>
    <row r="2777" customFormat="false" ht="15" hidden="false" customHeight="false" outlineLevel="0" collapsed="false">
      <c r="A2777" s="43" t="n">
        <v>274</v>
      </c>
      <c r="B2777" s="44" t="str">
        <f aca="false">'Model Inputs &amp; Assumptions'!$B$33</f>
        <v>Trade Republic — Savings Plan Push</v>
      </c>
      <c r="C2777" s="45" t="n">
        <f aca="false">ROUND(MAX(0,'Model Inputs &amp; Assumptions'!$S$33*EXP('Model Inputs &amp; Assumptions'!$T$33*P2777-'Model Inputs &amp; Assumptions'!$T$33^2/2)),0)</f>
        <v>775126</v>
      </c>
      <c r="D2777" s="46" t="n">
        <f aca="false">MIN(1,'Model Inputs &amp; Assumptions'!$U$33*EXP('Model Inputs &amp; Assumptions'!$V$33*Q2777-'Model Inputs &amp; Assumptions'!$V$33^2/2))</f>
        <v>0</v>
      </c>
      <c r="E2777" s="45" t="n">
        <f aca="false">ROUND(C2777*D2777,0)</f>
        <v>0</v>
      </c>
      <c r="F2777" s="47" t="n">
        <f aca="false">MIN(1,'Model Inputs &amp; Assumptions'!$W$33*EXP('Model Inputs &amp; Assumptions'!$X$33*R2777-'Model Inputs &amp; Assumptions'!$X$33^2/2))</f>
        <v>0.00269722662315978</v>
      </c>
      <c r="G2777" s="45" t="n">
        <f aca="false">ROUND(C2777*F2777,0)</f>
        <v>2091</v>
      </c>
      <c r="H2777" s="48" t="n">
        <f aca="false">MAX(0,(C2777*'Model Inputs &amp; Assumptions'!$N$33+E2777*'Model Inputs &amp; Assumptions'!$O$33+G2777*'Model Inputs &amp; Assumptions'!$P$33)*EXP('Model Inputs &amp; Assumptions'!$Q$33*S2777-'Model Inputs &amp; Assumptions'!$Q$33^2/2))</f>
        <v>79.0561504892138</v>
      </c>
      <c r="I2777" s="49" t="n">
        <f aca="false">IF('Model Inputs &amp; Assumptions'!$H$33="Fixed",'Model Inputs &amp; Assumptions'!$I$33*'Model Inputs &amp; Assumptions'!$K$33,IF('Model Inputs &amp; Assumptions'!$H$33="CPM",'Model Inputs &amp; Assumptions'!$I$33*'Model Inputs &amp; Assumptions'!$K$33*C2777/1000,IF('Model Inputs &amp; Assumptions'!$H$33="CPC",'Model Inputs &amp; Assumptions'!$I$33*'Model Inputs &amp; Assumptions'!$K$33*G2777,0)))</f>
        <v>25000</v>
      </c>
      <c r="J2777" s="50" t="n">
        <f aca="false">H2777*INDEX('Model Inputs &amp; Assumptions'!$D$40:$D$42,MATCH('Model Inputs &amp; Assumptions'!$L$33,'Model Inputs &amp; Assumptions'!$A$40:$A$42,0))*INDEX('Model Inputs &amp; Assumptions'!$H$40:$H$42,MATCH('Model Inputs &amp; Assumptions'!$L$33,'Model Inputs &amp; Assumptions'!$A$40:$A$42,0))</f>
        <v>426903.212641754</v>
      </c>
      <c r="K2777" s="49" t="n">
        <f aca="false">H2777*INDEX('Model Inputs &amp; Assumptions'!$G$40:$G$42,MATCH('Model Inputs &amp; Assumptions'!$L$33,'Model Inputs &amp; Assumptions'!$A$40:$A$42,0))*INDEX('Model Inputs &amp; Assumptions'!$H$40:$H$42,MATCH('Model Inputs &amp; Assumptions'!$L$33,'Model Inputs &amp; Assumptions'!$A$40:$A$42,0))</f>
        <v>8964.96746547684</v>
      </c>
      <c r="L2777" s="51" t="n">
        <f aca="false">IFERROR(K2777/I2777,0)</f>
        <v>0.358598698619074</v>
      </c>
      <c r="M2777" s="49" t="n">
        <f aca="false">IFERROR(I2777/H2777,0)</f>
        <v>316.23093010848</v>
      </c>
      <c r="N2777" s="52" t="str">
        <f aca="false">'Model Inputs &amp; Assumptions'!$L$33</f>
        <v>PRD-SP01</v>
      </c>
      <c r="P2777" s="53" t="n">
        <v>-1.306838</v>
      </c>
      <c r="Q2777" s="53" t="n">
        <v>-0.976884</v>
      </c>
      <c r="R2777" s="53" t="n">
        <v>-0.718463</v>
      </c>
      <c r="S2777" s="53" t="n">
        <v>-1.198633</v>
      </c>
    </row>
    <row r="2778" customFormat="false" ht="15" hidden="false" customHeight="false" outlineLevel="0" collapsed="false">
      <c r="A2778" s="43" t="n">
        <v>275</v>
      </c>
      <c r="B2778" s="44" t="str">
        <f aca="false">'Model Inputs &amp; Assumptions'!$B$33</f>
        <v>Trade Republic — Savings Plan Push</v>
      </c>
      <c r="C2778" s="45" t="n">
        <f aca="false">ROUND(MAX(0,'Model Inputs &amp; Assumptions'!$S$33*EXP('Model Inputs &amp; Assumptions'!$T$33*P2778-'Model Inputs &amp; Assumptions'!$T$33^2/2)),0)</f>
        <v>940175</v>
      </c>
      <c r="D2778" s="46" t="n">
        <f aca="false">MIN(1,'Model Inputs &amp; Assumptions'!$U$33*EXP('Model Inputs &amp; Assumptions'!$V$33*Q2778-'Model Inputs &amp; Assumptions'!$V$33^2/2))</f>
        <v>0</v>
      </c>
      <c r="E2778" s="45" t="n">
        <f aca="false">ROUND(C2778*D2778,0)</f>
        <v>0</v>
      </c>
      <c r="F2778" s="47" t="n">
        <f aca="false">MIN(1,'Model Inputs &amp; Assumptions'!$W$33*EXP('Model Inputs &amp; Assumptions'!$X$33*R2778-'Model Inputs &amp; Assumptions'!$X$33^2/2))</f>
        <v>0.0062856865257508</v>
      </c>
      <c r="G2778" s="45" t="n">
        <f aca="false">ROUND(C2778*F2778,0)</f>
        <v>5910</v>
      </c>
      <c r="H2778" s="48" t="n">
        <f aca="false">MAX(0,(C2778*'Model Inputs &amp; Assumptions'!$N$33+E2778*'Model Inputs &amp; Assumptions'!$O$33+G2778*'Model Inputs &amp; Assumptions'!$P$33)*EXP('Model Inputs &amp; Assumptions'!$Q$33*S2778-'Model Inputs &amp; Assumptions'!$Q$33^2/2))</f>
        <v>253.319803677646</v>
      </c>
      <c r="I2778" s="49" t="n">
        <f aca="false">IF('Model Inputs &amp; Assumptions'!$H$33="Fixed",'Model Inputs &amp; Assumptions'!$I$33*'Model Inputs &amp; Assumptions'!$K$33,IF('Model Inputs &amp; Assumptions'!$H$33="CPM",'Model Inputs &amp; Assumptions'!$I$33*'Model Inputs &amp; Assumptions'!$K$33*C2778/1000,IF('Model Inputs &amp; Assumptions'!$H$33="CPC",'Model Inputs &amp; Assumptions'!$I$33*'Model Inputs &amp; Assumptions'!$K$33*G2778,0)))</f>
        <v>25000</v>
      </c>
      <c r="J2778" s="50" t="n">
        <f aca="false">H2778*INDEX('Model Inputs &amp; Assumptions'!$D$40:$D$42,MATCH('Model Inputs &amp; Assumptions'!$L$33,'Model Inputs &amp; Assumptions'!$A$40:$A$42,0))*INDEX('Model Inputs &amp; Assumptions'!$H$40:$H$42,MATCH('Model Inputs &amp; Assumptions'!$L$33,'Model Inputs &amp; Assumptions'!$A$40:$A$42,0))</f>
        <v>1367926.93985929</v>
      </c>
      <c r="K2778" s="49" t="n">
        <f aca="false">H2778*INDEX('Model Inputs &amp; Assumptions'!$G$40:$G$42,MATCH('Model Inputs &amp; Assumptions'!$L$33,'Model Inputs &amp; Assumptions'!$A$40:$A$42,0))*INDEX('Model Inputs &amp; Assumptions'!$H$40:$H$42,MATCH('Model Inputs &amp; Assumptions'!$L$33,'Model Inputs &amp; Assumptions'!$A$40:$A$42,0))</f>
        <v>28726.465737045</v>
      </c>
      <c r="L2778" s="51" t="n">
        <f aca="false">IFERROR(K2778/I2778,0)</f>
        <v>1.1490586294818</v>
      </c>
      <c r="M2778" s="49" t="n">
        <f aca="false">IFERROR(I2778/H2778,0)</f>
        <v>98.6894811896072</v>
      </c>
      <c r="N2778" s="52" t="str">
        <f aca="false">'Model Inputs &amp; Assumptions'!$L$33</f>
        <v>PRD-SP01</v>
      </c>
      <c r="P2778" s="53" t="n">
        <v>-0.663371</v>
      </c>
      <c r="Q2778" s="53" t="n">
        <v>0.566862</v>
      </c>
      <c r="R2778" s="53" t="n">
        <v>2.101707</v>
      </c>
      <c r="S2778" s="53" t="n">
        <v>-0.750451</v>
      </c>
    </row>
    <row r="2779" customFormat="false" ht="15" hidden="false" customHeight="false" outlineLevel="0" collapsed="false">
      <c r="A2779" s="43" t="n">
        <v>276</v>
      </c>
      <c r="B2779" s="44" t="str">
        <f aca="false">'Model Inputs &amp; Assumptions'!$B$33</f>
        <v>Trade Republic — Savings Plan Push</v>
      </c>
      <c r="C2779" s="45" t="n">
        <f aca="false">ROUND(MAX(0,'Model Inputs &amp; Assumptions'!$S$33*EXP('Model Inputs &amp; Assumptions'!$T$33*P2779-'Model Inputs &amp; Assumptions'!$T$33^2/2)),0)</f>
        <v>1154433</v>
      </c>
      <c r="D2779" s="46" t="n">
        <f aca="false">MIN(1,'Model Inputs &amp; Assumptions'!$U$33*EXP('Model Inputs &amp; Assumptions'!$V$33*Q2779-'Model Inputs &amp; Assumptions'!$V$33^2/2))</f>
        <v>0</v>
      </c>
      <c r="E2779" s="45" t="n">
        <f aca="false">ROUND(C2779*D2779,0)</f>
        <v>0</v>
      </c>
      <c r="F2779" s="47" t="n">
        <f aca="false">MIN(1,'Model Inputs &amp; Assumptions'!$W$33*EXP('Model Inputs &amp; Assumptions'!$X$33*R2779-'Model Inputs &amp; Assumptions'!$X$33^2/2))</f>
        <v>0.005160695042056</v>
      </c>
      <c r="G2779" s="45" t="n">
        <f aca="false">ROUND(C2779*F2779,0)</f>
        <v>5958</v>
      </c>
      <c r="H2779" s="48" t="n">
        <f aca="false">MAX(0,(C2779*'Model Inputs &amp; Assumptions'!$N$33+E2779*'Model Inputs &amp; Assumptions'!$O$33+G2779*'Model Inputs &amp; Assumptions'!$P$33)*EXP('Model Inputs &amp; Assumptions'!$Q$33*S2779-'Model Inputs &amp; Assumptions'!$Q$33^2/2))</f>
        <v>511.161956102171</v>
      </c>
      <c r="I2779" s="49" t="n">
        <f aca="false">IF('Model Inputs &amp; Assumptions'!$H$33="Fixed",'Model Inputs &amp; Assumptions'!$I$33*'Model Inputs &amp; Assumptions'!$K$33,IF('Model Inputs &amp; Assumptions'!$H$33="CPM",'Model Inputs &amp; Assumptions'!$I$33*'Model Inputs &amp; Assumptions'!$K$33*C2779/1000,IF('Model Inputs &amp; Assumptions'!$H$33="CPC",'Model Inputs &amp; Assumptions'!$I$33*'Model Inputs &amp; Assumptions'!$K$33*G2779,0)))</f>
        <v>25000</v>
      </c>
      <c r="J2779" s="50" t="n">
        <f aca="false">H2779*INDEX('Model Inputs &amp; Assumptions'!$D$40:$D$42,MATCH('Model Inputs &amp; Assumptions'!$L$33,'Model Inputs &amp; Assumptions'!$A$40:$A$42,0))*INDEX('Model Inputs &amp; Assumptions'!$H$40:$H$42,MATCH('Model Inputs &amp; Assumptions'!$L$33,'Model Inputs &amp; Assumptions'!$A$40:$A$42,0))</f>
        <v>2760274.56295172</v>
      </c>
      <c r="K2779" s="49" t="n">
        <f aca="false">H2779*INDEX('Model Inputs &amp; Assumptions'!$G$40:$G$42,MATCH('Model Inputs &amp; Assumptions'!$L$33,'Model Inputs &amp; Assumptions'!$A$40:$A$42,0))*INDEX('Model Inputs &amp; Assumptions'!$H$40:$H$42,MATCH('Model Inputs &amp; Assumptions'!$L$33,'Model Inputs &amp; Assumptions'!$A$40:$A$42,0))</f>
        <v>57965.7658219862</v>
      </c>
      <c r="L2779" s="51" t="n">
        <f aca="false">IFERROR(K2779/I2779,0)</f>
        <v>2.31863063287945</v>
      </c>
      <c r="M2779" s="49" t="n">
        <f aca="false">IFERROR(I2779/H2779,0)</f>
        <v>48.9081781254531</v>
      </c>
      <c r="N2779" s="52" t="str">
        <f aca="false">'Model Inputs &amp; Assumptions'!$L$33</f>
        <v>PRD-SP01</v>
      </c>
      <c r="P2779" s="53" t="n">
        <v>0.020958</v>
      </c>
      <c r="Q2779" s="53" t="n">
        <v>0.759574</v>
      </c>
      <c r="R2779" s="53" t="n">
        <v>1.444361</v>
      </c>
      <c r="S2779" s="53" t="n">
        <v>1.727923</v>
      </c>
    </row>
    <row r="2780" customFormat="false" ht="15" hidden="false" customHeight="false" outlineLevel="0" collapsed="false">
      <c r="A2780" s="43" t="n">
        <v>277</v>
      </c>
      <c r="B2780" s="44" t="str">
        <f aca="false">'Model Inputs &amp; Assumptions'!$B$33</f>
        <v>Trade Republic — Savings Plan Push</v>
      </c>
      <c r="C2780" s="45" t="n">
        <f aca="false">ROUND(MAX(0,'Model Inputs &amp; Assumptions'!$S$33*EXP('Model Inputs &amp; Assumptions'!$T$33*P2780-'Model Inputs &amp; Assumptions'!$T$33^2/2)),0)</f>
        <v>933854</v>
      </c>
      <c r="D2780" s="46" t="n">
        <f aca="false">MIN(1,'Model Inputs &amp; Assumptions'!$U$33*EXP('Model Inputs &amp; Assumptions'!$V$33*Q2780-'Model Inputs &amp; Assumptions'!$V$33^2/2))</f>
        <v>0</v>
      </c>
      <c r="E2780" s="45" t="n">
        <f aca="false">ROUND(C2780*D2780,0)</f>
        <v>0</v>
      </c>
      <c r="F2780" s="47" t="n">
        <f aca="false">MIN(1,'Model Inputs &amp; Assumptions'!$W$33*EXP('Model Inputs &amp; Assumptions'!$X$33*R2780-'Model Inputs &amp; Assumptions'!$X$33^2/2))</f>
        <v>0.00284818562429414</v>
      </c>
      <c r="G2780" s="45" t="n">
        <f aca="false">ROUND(C2780*F2780,0)</f>
        <v>2660</v>
      </c>
      <c r="H2780" s="48" t="n">
        <f aca="false">MAX(0,(C2780*'Model Inputs &amp; Assumptions'!$N$33+E2780*'Model Inputs &amp; Assumptions'!$O$33+G2780*'Model Inputs &amp; Assumptions'!$P$33)*EXP('Model Inputs &amp; Assumptions'!$Q$33*S2780-'Model Inputs &amp; Assumptions'!$Q$33^2/2))</f>
        <v>108.700529794103</v>
      </c>
      <c r="I2780" s="49" t="n">
        <f aca="false">IF('Model Inputs &amp; Assumptions'!$H$33="Fixed",'Model Inputs &amp; Assumptions'!$I$33*'Model Inputs &amp; Assumptions'!$K$33,IF('Model Inputs &amp; Assumptions'!$H$33="CPM",'Model Inputs &amp; Assumptions'!$I$33*'Model Inputs &amp; Assumptions'!$K$33*C2780/1000,IF('Model Inputs &amp; Assumptions'!$H$33="CPC",'Model Inputs &amp; Assumptions'!$I$33*'Model Inputs &amp; Assumptions'!$K$33*G2780,0)))</f>
        <v>25000</v>
      </c>
      <c r="J2780" s="50" t="n">
        <f aca="false">H2780*INDEX('Model Inputs &amp; Assumptions'!$D$40:$D$42,MATCH('Model Inputs &amp; Assumptions'!$L$33,'Model Inputs &amp; Assumptions'!$A$40:$A$42,0))*INDEX('Model Inputs &amp; Assumptions'!$H$40:$H$42,MATCH('Model Inputs &amp; Assumptions'!$L$33,'Model Inputs &amp; Assumptions'!$A$40:$A$42,0))</f>
        <v>586982.860888157</v>
      </c>
      <c r="K2780" s="49" t="n">
        <f aca="false">H2780*INDEX('Model Inputs &amp; Assumptions'!$G$40:$G$42,MATCH('Model Inputs &amp; Assumptions'!$L$33,'Model Inputs &amp; Assumptions'!$A$40:$A$42,0))*INDEX('Model Inputs &amp; Assumptions'!$H$40:$H$42,MATCH('Model Inputs &amp; Assumptions'!$L$33,'Model Inputs &amp; Assumptions'!$A$40:$A$42,0))</f>
        <v>12326.6400786513</v>
      </c>
      <c r="L2780" s="51" t="n">
        <f aca="false">IFERROR(K2780/I2780,0)</f>
        <v>0.493065603146052</v>
      </c>
      <c r="M2780" s="49" t="n">
        <f aca="false">IFERROR(I2780/H2780,0)</f>
        <v>229.989679418805</v>
      </c>
      <c r="N2780" s="52" t="str">
        <f aca="false">'Model Inputs &amp; Assumptions'!$L$33</f>
        <v>PRD-SP01</v>
      </c>
      <c r="P2780" s="53" t="n">
        <v>-0.685856</v>
      </c>
      <c r="Q2780" s="53" t="n">
        <v>1.255853</v>
      </c>
      <c r="R2780" s="53" t="n">
        <v>-0.536936</v>
      </c>
      <c r="S2780" s="53" t="n">
        <v>-0.920938</v>
      </c>
    </row>
    <row r="2781" customFormat="false" ht="15" hidden="false" customHeight="false" outlineLevel="0" collapsed="false">
      <c r="A2781" s="43" t="n">
        <v>278</v>
      </c>
      <c r="B2781" s="44" t="str">
        <f aca="false">'Model Inputs &amp; Assumptions'!$B$33</f>
        <v>Trade Republic — Savings Plan Push</v>
      </c>
      <c r="C2781" s="45" t="n">
        <f aca="false">ROUND(MAX(0,'Model Inputs &amp; Assumptions'!$S$33*EXP('Model Inputs &amp; Assumptions'!$T$33*P2781-'Model Inputs &amp; Assumptions'!$T$33^2/2)),0)</f>
        <v>814231</v>
      </c>
      <c r="D2781" s="46" t="n">
        <f aca="false">MIN(1,'Model Inputs &amp; Assumptions'!$U$33*EXP('Model Inputs &amp; Assumptions'!$V$33*Q2781-'Model Inputs &amp; Assumptions'!$V$33^2/2))</f>
        <v>0</v>
      </c>
      <c r="E2781" s="45" t="n">
        <f aca="false">ROUND(C2781*D2781,0)</f>
        <v>0</v>
      </c>
      <c r="F2781" s="47" t="n">
        <f aca="false">MIN(1,'Model Inputs &amp; Assumptions'!$W$33*EXP('Model Inputs &amp; Assumptions'!$X$33*R2781-'Model Inputs &amp; Assumptions'!$X$33^2/2))</f>
        <v>0.00420706253283728</v>
      </c>
      <c r="G2781" s="45" t="n">
        <f aca="false">ROUND(C2781*F2781,0)</f>
        <v>3426</v>
      </c>
      <c r="H2781" s="48" t="n">
        <f aca="false">MAX(0,(C2781*'Model Inputs &amp; Assumptions'!$N$33+E2781*'Model Inputs &amp; Assumptions'!$O$33+G2781*'Model Inputs &amp; Assumptions'!$P$33)*EXP('Model Inputs &amp; Assumptions'!$Q$33*S2781-'Model Inputs &amp; Assumptions'!$Q$33^2/2))</f>
        <v>112.179463899142</v>
      </c>
      <c r="I2781" s="49" t="n">
        <f aca="false">IF('Model Inputs &amp; Assumptions'!$H$33="Fixed",'Model Inputs &amp; Assumptions'!$I$33*'Model Inputs &amp; Assumptions'!$K$33,IF('Model Inputs &amp; Assumptions'!$H$33="CPM",'Model Inputs &amp; Assumptions'!$I$33*'Model Inputs &amp; Assumptions'!$K$33*C2781/1000,IF('Model Inputs &amp; Assumptions'!$H$33="CPC",'Model Inputs &amp; Assumptions'!$I$33*'Model Inputs &amp; Assumptions'!$K$33*G2781,0)))</f>
        <v>25000</v>
      </c>
      <c r="J2781" s="50" t="n">
        <f aca="false">H2781*INDEX('Model Inputs &amp; Assumptions'!$D$40:$D$42,MATCH('Model Inputs &amp; Assumptions'!$L$33,'Model Inputs &amp; Assumptions'!$A$40:$A$42,0))*INDEX('Model Inputs &amp; Assumptions'!$H$40:$H$42,MATCH('Model Inputs &amp; Assumptions'!$L$33,'Model Inputs &amp; Assumptions'!$A$40:$A$42,0))</f>
        <v>605769.105055367</v>
      </c>
      <c r="K2781" s="49" t="n">
        <f aca="false">H2781*INDEX('Model Inputs &amp; Assumptions'!$G$40:$G$42,MATCH('Model Inputs &amp; Assumptions'!$L$33,'Model Inputs &amp; Assumptions'!$A$40:$A$42,0))*INDEX('Model Inputs &amp; Assumptions'!$H$40:$H$42,MATCH('Model Inputs &amp; Assumptions'!$L$33,'Model Inputs &amp; Assumptions'!$A$40:$A$42,0))</f>
        <v>12721.1512061627</v>
      </c>
      <c r="L2781" s="51" t="n">
        <f aca="false">IFERROR(K2781/I2781,0)</f>
        <v>0.508846048246509</v>
      </c>
      <c r="M2781" s="49" t="n">
        <f aca="false">IFERROR(I2781/H2781,0)</f>
        <v>222.857189106171</v>
      </c>
      <c r="N2781" s="52" t="str">
        <f aca="false">'Model Inputs &amp; Assumptions'!$L$33</f>
        <v>PRD-SP01</v>
      </c>
      <c r="P2781" s="53" t="n">
        <v>-1.142775</v>
      </c>
      <c r="Q2781" s="53" t="n">
        <v>0.59413</v>
      </c>
      <c r="R2781" s="53" t="n">
        <v>0.763339</v>
      </c>
      <c r="S2781" s="53" t="n">
        <v>-1.712238</v>
      </c>
    </row>
    <row r="2782" customFormat="false" ht="15" hidden="false" customHeight="false" outlineLevel="0" collapsed="false">
      <c r="A2782" s="43" t="n">
        <v>279</v>
      </c>
      <c r="B2782" s="44" t="str">
        <f aca="false">'Model Inputs &amp; Assumptions'!$B$33</f>
        <v>Trade Republic — Savings Plan Push</v>
      </c>
      <c r="C2782" s="45" t="n">
        <f aca="false">ROUND(MAX(0,'Model Inputs &amp; Assumptions'!$S$33*EXP('Model Inputs &amp; Assumptions'!$T$33*P2782-'Model Inputs &amp; Assumptions'!$T$33^2/2)),0)</f>
        <v>1027759</v>
      </c>
      <c r="D2782" s="46" t="n">
        <f aca="false">MIN(1,'Model Inputs &amp; Assumptions'!$U$33*EXP('Model Inputs &amp; Assumptions'!$V$33*Q2782-'Model Inputs &amp; Assumptions'!$V$33^2/2))</f>
        <v>0</v>
      </c>
      <c r="E2782" s="45" t="n">
        <f aca="false">ROUND(C2782*D2782,0)</f>
        <v>0</v>
      </c>
      <c r="F2782" s="47" t="n">
        <f aca="false">MIN(1,'Model Inputs &amp; Assumptions'!$W$33*EXP('Model Inputs &amp; Assumptions'!$X$33*R2782-'Model Inputs &amp; Assumptions'!$X$33^2/2))</f>
        <v>0.00251047020556969</v>
      </c>
      <c r="G2782" s="45" t="n">
        <f aca="false">ROUND(C2782*F2782,0)</f>
        <v>2580</v>
      </c>
      <c r="H2782" s="48" t="n">
        <f aca="false">MAX(0,(C2782*'Model Inputs &amp; Assumptions'!$N$33+E2782*'Model Inputs &amp; Assumptions'!$O$33+G2782*'Model Inputs &amp; Assumptions'!$P$33)*EXP('Model Inputs &amp; Assumptions'!$Q$33*S2782-'Model Inputs &amp; Assumptions'!$Q$33^2/2))</f>
        <v>127.449818172806</v>
      </c>
      <c r="I2782" s="49" t="n">
        <f aca="false">IF('Model Inputs &amp; Assumptions'!$H$33="Fixed",'Model Inputs &amp; Assumptions'!$I$33*'Model Inputs &amp; Assumptions'!$K$33,IF('Model Inputs &amp; Assumptions'!$H$33="CPM",'Model Inputs &amp; Assumptions'!$I$33*'Model Inputs &amp; Assumptions'!$K$33*C2782/1000,IF('Model Inputs &amp; Assumptions'!$H$33="CPC",'Model Inputs &amp; Assumptions'!$I$33*'Model Inputs &amp; Assumptions'!$K$33*G2782,0)))</f>
        <v>25000</v>
      </c>
      <c r="J2782" s="50" t="n">
        <f aca="false">H2782*INDEX('Model Inputs &amp; Assumptions'!$D$40:$D$42,MATCH('Model Inputs &amp; Assumptions'!$L$33,'Model Inputs &amp; Assumptions'!$A$40:$A$42,0))*INDEX('Model Inputs &amp; Assumptions'!$H$40:$H$42,MATCH('Model Inputs &amp; Assumptions'!$L$33,'Model Inputs &amp; Assumptions'!$A$40:$A$42,0))</f>
        <v>688229.018133154</v>
      </c>
      <c r="K2782" s="49" t="n">
        <f aca="false">H2782*INDEX('Model Inputs &amp; Assumptions'!$G$40:$G$42,MATCH('Model Inputs &amp; Assumptions'!$L$33,'Model Inputs &amp; Assumptions'!$A$40:$A$42,0))*INDEX('Model Inputs &amp; Assumptions'!$H$40:$H$42,MATCH('Model Inputs &amp; Assumptions'!$L$33,'Model Inputs &amp; Assumptions'!$A$40:$A$42,0))</f>
        <v>14452.8093807962</v>
      </c>
      <c r="L2782" s="51" t="n">
        <f aca="false">IFERROR(K2782/I2782,0)</f>
        <v>0.578112375231849</v>
      </c>
      <c r="M2782" s="49" t="n">
        <f aca="false">IFERROR(I2782/H2782,0)</f>
        <v>196.155634887631</v>
      </c>
      <c r="N2782" s="52" t="str">
        <f aca="false">'Model Inputs &amp; Assumptions'!$L$33</f>
        <v>PRD-SP01</v>
      </c>
      <c r="P2782" s="53" t="n">
        <v>-0.366471</v>
      </c>
      <c r="Q2782" s="53" t="n">
        <v>-0.255608</v>
      </c>
      <c r="R2782" s="53" t="n">
        <v>-0.957643</v>
      </c>
      <c r="S2782" s="53" t="n">
        <v>-0.243571</v>
      </c>
    </row>
    <row r="2783" customFormat="false" ht="15" hidden="false" customHeight="false" outlineLevel="0" collapsed="false">
      <c r="A2783" s="43" t="n">
        <v>280</v>
      </c>
      <c r="B2783" s="44" t="str">
        <f aca="false">'Model Inputs &amp; Assumptions'!$B$33</f>
        <v>Trade Republic — Savings Plan Push</v>
      </c>
      <c r="C2783" s="45" t="n">
        <f aca="false">ROUND(MAX(0,'Model Inputs &amp; Assumptions'!$S$33*EXP('Model Inputs &amp; Assumptions'!$T$33*P2783-'Model Inputs &amp; Assumptions'!$T$33^2/2)),0)</f>
        <v>722981</v>
      </c>
      <c r="D2783" s="46" t="n">
        <f aca="false">MIN(1,'Model Inputs &amp; Assumptions'!$U$33*EXP('Model Inputs &amp; Assumptions'!$V$33*Q2783-'Model Inputs &amp; Assumptions'!$V$33^2/2))</f>
        <v>0</v>
      </c>
      <c r="E2783" s="45" t="n">
        <f aca="false">ROUND(C2783*D2783,0)</f>
        <v>0</v>
      </c>
      <c r="F2783" s="47" t="n">
        <f aca="false">MIN(1,'Model Inputs &amp; Assumptions'!$W$33*EXP('Model Inputs &amp; Assumptions'!$X$33*R2783-'Model Inputs &amp; Assumptions'!$X$33^2/2))</f>
        <v>0.00534351602791937</v>
      </c>
      <c r="G2783" s="45" t="n">
        <f aca="false">ROUND(C2783*F2783,0)</f>
        <v>3863</v>
      </c>
      <c r="H2783" s="48" t="n">
        <f aca="false">MAX(0,(C2783*'Model Inputs &amp; Assumptions'!$N$33+E2783*'Model Inputs &amp; Assumptions'!$O$33+G2783*'Model Inputs &amp; Assumptions'!$P$33)*EXP('Model Inputs &amp; Assumptions'!$Q$33*S2783-'Model Inputs &amp; Assumptions'!$Q$33^2/2))</f>
        <v>305.772679648422</v>
      </c>
      <c r="I2783" s="49" t="n">
        <f aca="false">IF('Model Inputs &amp; Assumptions'!$H$33="Fixed",'Model Inputs &amp; Assumptions'!$I$33*'Model Inputs &amp; Assumptions'!$K$33,IF('Model Inputs &amp; Assumptions'!$H$33="CPM",'Model Inputs &amp; Assumptions'!$I$33*'Model Inputs &amp; Assumptions'!$K$33*C2783/1000,IF('Model Inputs &amp; Assumptions'!$H$33="CPC",'Model Inputs &amp; Assumptions'!$I$33*'Model Inputs &amp; Assumptions'!$K$33*G2783,0)))</f>
        <v>25000</v>
      </c>
      <c r="J2783" s="50" t="n">
        <f aca="false">H2783*INDEX('Model Inputs &amp; Assumptions'!$D$40:$D$42,MATCH('Model Inputs &amp; Assumptions'!$L$33,'Model Inputs &amp; Assumptions'!$A$40:$A$42,0))*INDEX('Model Inputs &amp; Assumptions'!$H$40:$H$42,MATCH('Model Inputs &amp; Assumptions'!$L$33,'Model Inputs &amp; Assumptions'!$A$40:$A$42,0))</f>
        <v>1651172.47010148</v>
      </c>
      <c r="K2783" s="49" t="n">
        <f aca="false">H2783*INDEX('Model Inputs &amp; Assumptions'!$G$40:$G$42,MATCH('Model Inputs &amp; Assumptions'!$L$33,'Model Inputs &amp; Assumptions'!$A$40:$A$42,0))*INDEX('Model Inputs &amp; Assumptions'!$H$40:$H$42,MATCH('Model Inputs &amp; Assumptions'!$L$33,'Model Inputs &amp; Assumptions'!$A$40:$A$42,0))</f>
        <v>34674.6218721311</v>
      </c>
      <c r="L2783" s="51" t="n">
        <f aca="false">IFERROR(K2783/I2783,0)</f>
        <v>1.38698487488524</v>
      </c>
      <c r="M2783" s="49" t="n">
        <f aca="false">IFERROR(I2783/H2783,0)</f>
        <v>81.7600840884314</v>
      </c>
      <c r="N2783" s="52" t="str">
        <f aca="false">'Model Inputs &amp; Assumptions'!$L$33</f>
        <v>PRD-SP01</v>
      </c>
      <c r="P2783" s="53" t="n">
        <v>-1.53898</v>
      </c>
      <c r="Q2783" s="53" t="n">
        <v>1.03675</v>
      </c>
      <c r="R2783" s="53" t="n">
        <v>1.560403</v>
      </c>
      <c r="S2783" s="53" t="n">
        <v>1.440231</v>
      </c>
    </row>
    <row r="2784" customFormat="false" ht="15" hidden="false" customHeight="false" outlineLevel="0" collapsed="false">
      <c r="A2784" s="43" t="n">
        <v>281</v>
      </c>
      <c r="B2784" s="44" t="str">
        <f aca="false">'Model Inputs &amp; Assumptions'!$B$33</f>
        <v>Trade Republic — Savings Plan Push</v>
      </c>
      <c r="C2784" s="45" t="n">
        <f aca="false">ROUND(MAX(0,'Model Inputs &amp; Assumptions'!$S$33*EXP('Model Inputs &amp; Assumptions'!$T$33*P2784-'Model Inputs &amp; Assumptions'!$T$33^2/2)),0)</f>
        <v>1307036</v>
      </c>
      <c r="D2784" s="46" t="n">
        <f aca="false">MIN(1,'Model Inputs &amp; Assumptions'!$U$33*EXP('Model Inputs &amp; Assumptions'!$V$33*Q2784-'Model Inputs &amp; Assumptions'!$V$33^2/2))</f>
        <v>0</v>
      </c>
      <c r="E2784" s="45" t="n">
        <f aca="false">ROUND(C2784*D2784,0)</f>
        <v>0</v>
      </c>
      <c r="F2784" s="47" t="n">
        <f aca="false">MIN(1,'Model Inputs &amp; Assumptions'!$W$33*EXP('Model Inputs &amp; Assumptions'!$X$33*R2784-'Model Inputs &amp; Assumptions'!$X$33^2/2))</f>
        <v>0.00309167763799082</v>
      </c>
      <c r="G2784" s="45" t="n">
        <f aca="false">ROUND(C2784*F2784,0)</f>
        <v>4041</v>
      </c>
      <c r="H2784" s="48" t="n">
        <f aca="false">MAX(0,(C2784*'Model Inputs &amp; Assumptions'!$N$33+E2784*'Model Inputs &amp; Assumptions'!$O$33+G2784*'Model Inputs &amp; Assumptions'!$P$33)*EXP('Model Inputs &amp; Assumptions'!$Q$33*S2784-'Model Inputs &amp; Assumptions'!$Q$33^2/2))</f>
        <v>291.117233798152</v>
      </c>
      <c r="I2784" s="49" t="n">
        <f aca="false">IF('Model Inputs &amp; Assumptions'!$H$33="Fixed",'Model Inputs &amp; Assumptions'!$I$33*'Model Inputs &amp; Assumptions'!$K$33,IF('Model Inputs &amp; Assumptions'!$H$33="CPM",'Model Inputs &amp; Assumptions'!$I$33*'Model Inputs &amp; Assumptions'!$K$33*C2784/1000,IF('Model Inputs &amp; Assumptions'!$H$33="CPC",'Model Inputs &amp; Assumptions'!$I$33*'Model Inputs &amp; Assumptions'!$K$33*G2784,0)))</f>
        <v>25000</v>
      </c>
      <c r="J2784" s="50" t="n">
        <f aca="false">H2784*INDEX('Model Inputs &amp; Assumptions'!$D$40:$D$42,MATCH('Model Inputs &amp; Assumptions'!$L$33,'Model Inputs &amp; Assumptions'!$A$40:$A$42,0))*INDEX('Model Inputs &amp; Assumptions'!$H$40:$H$42,MATCH('Model Inputs &amp; Assumptions'!$L$33,'Model Inputs &amp; Assumptions'!$A$40:$A$42,0))</f>
        <v>1572033.06251002</v>
      </c>
      <c r="K2784" s="49" t="n">
        <f aca="false">H2784*INDEX('Model Inputs &amp; Assumptions'!$G$40:$G$42,MATCH('Model Inputs &amp; Assumptions'!$L$33,'Model Inputs &amp; Assumptions'!$A$40:$A$42,0))*INDEX('Model Inputs &amp; Assumptions'!$H$40:$H$42,MATCH('Model Inputs &amp; Assumptions'!$L$33,'Model Inputs &amp; Assumptions'!$A$40:$A$42,0))</f>
        <v>33012.6943127104</v>
      </c>
      <c r="L2784" s="51" t="n">
        <f aca="false">IFERROR(K2784/I2784,0)</f>
        <v>1.32050777250842</v>
      </c>
      <c r="M2784" s="49" t="n">
        <f aca="false">IFERROR(I2784/H2784,0)</f>
        <v>85.8760564389462</v>
      </c>
      <c r="N2784" s="52" t="str">
        <f aca="false">'Model Inputs &amp; Assumptions'!$L$33</f>
        <v>PRD-SP01</v>
      </c>
      <c r="P2784" s="53" t="n">
        <v>0.434802</v>
      </c>
      <c r="Q2784" s="53" t="n">
        <v>-0.213342</v>
      </c>
      <c r="R2784" s="53" t="n">
        <v>-0.263497</v>
      </c>
      <c r="S2784" s="53" t="n">
        <v>1.103931</v>
      </c>
    </row>
    <row r="2785" customFormat="false" ht="15" hidden="false" customHeight="false" outlineLevel="0" collapsed="false">
      <c r="A2785" s="43" t="n">
        <v>282</v>
      </c>
      <c r="B2785" s="44" t="str">
        <f aca="false">'Model Inputs &amp; Assumptions'!$B$33</f>
        <v>Trade Republic — Savings Plan Push</v>
      </c>
      <c r="C2785" s="45" t="n">
        <f aca="false">ROUND(MAX(0,'Model Inputs &amp; Assumptions'!$S$33*EXP('Model Inputs &amp; Assumptions'!$T$33*P2785-'Model Inputs &amp; Assumptions'!$T$33^2/2)),0)</f>
        <v>823999</v>
      </c>
      <c r="D2785" s="46" t="n">
        <f aca="false">MIN(1,'Model Inputs &amp; Assumptions'!$U$33*EXP('Model Inputs &amp; Assumptions'!$V$33*Q2785-'Model Inputs &amp; Assumptions'!$V$33^2/2))</f>
        <v>0</v>
      </c>
      <c r="E2785" s="45" t="n">
        <f aca="false">ROUND(C2785*D2785,0)</f>
        <v>0</v>
      </c>
      <c r="F2785" s="47" t="n">
        <f aca="false">MIN(1,'Model Inputs &amp; Assumptions'!$W$33*EXP('Model Inputs &amp; Assumptions'!$X$33*R2785-'Model Inputs &amp; Assumptions'!$X$33^2/2))</f>
        <v>0.00208097694490325</v>
      </c>
      <c r="G2785" s="45" t="n">
        <f aca="false">ROUND(C2785*F2785,0)</f>
        <v>1715</v>
      </c>
      <c r="H2785" s="48" t="n">
        <f aca="false">MAX(0,(C2785*'Model Inputs &amp; Assumptions'!$N$33+E2785*'Model Inputs &amp; Assumptions'!$O$33+G2785*'Model Inputs &amp; Assumptions'!$P$33)*EXP('Model Inputs &amp; Assumptions'!$Q$33*S2785-'Model Inputs &amp; Assumptions'!$Q$33^2/2))</f>
        <v>61.5199176034269</v>
      </c>
      <c r="I2785" s="49" t="n">
        <f aca="false">IF('Model Inputs &amp; Assumptions'!$H$33="Fixed",'Model Inputs &amp; Assumptions'!$I$33*'Model Inputs &amp; Assumptions'!$K$33,IF('Model Inputs &amp; Assumptions'!$H$33="CPM",'Model Inputs &amp; Assumptions'!$I$33*'Model Inputs &amp; Assumptions'!$K$33*C2785/1000,IF('Model Inputs &amp; Assumptions'!$H$33="CPC",'Model Inputs &amp; Assumptions'!$I$33*'Model Inputs &amp; Assumptions'!$K$33*G2785,0)))</f>
        <v>25000</v>
      </c>
      <c r="J2785" s="50" t="n">
        <f aca="false">H2785*INDEX('Model Inputs &amp; Assumptions'!$D$40:$D$42,MATCH('Model Inputs &amp; Assumptions'!$L$33,'Model Inputs &amp; Assumptions'!$A$40:$A$42,0))*INDEX('Model Inputs &amp; Assumptions'!$H$40:$H$42,MATCH('Model Inputs &amp; Assumptions'!$L$33,'Model Inputs &amp; Assumptions'!$A$40:$A$42,0))</f>
        <v>332207.555058505</v>
      </c>
      <c r="K2785" s="49" t="n">
        <f aca="false">H2785*INDEX('Model Inputs &amp; Assumptions'!$G$40:$G$42,MATCH('Model Inputs &amp; Assumptions'!$L$33,'Model Inputs &amp; Assumptions'!$A$40:$A$42,0))*INDEX('Model Inputs &amp; Assumptions'!$H$40:$H$42,MATCH('Model Inputs &amp; Assumptions'!$L$33,'Model Inputs &amp; Assumptions'!$A$40:$A$42,0))</f>
        <v>6976.3586562286</v>
      </c>
      <c r="L2785" s="51" t="n">
        <f aca="false">IFERROR(K2785/I2785,0)</f>
        <v>0.279054346249144</v>
      </c>
      <c r="M2785" s="49" t="n">
        <f aca="false">IFERROR(I2785/H2785,0)</f>
        <v>406.372455846843</v>
      </c>
      <c r="N2785" s="52" t="str">
        <f aca="false">'Model Inputs &amp; Assumptions'!$L$33</f>
        <v>PRD-SP01</v>
      </c>
      <c r="P2785" s="53" t="n">
        <v>-1.103027</v>
      </c>
      <c r="Q2785" s="53" t="n">
        <v>1.360383</v>
      </c>
      <c r="R2785" s="53" t="n">
        <v>-1.583085</v>
      </c>
      <c r="S2785" s="53" t="n">
        <v>-1.386376</v>
      </c>
    </row>
    <row r="2786" customFormat="false" ht="15" hidden="false" customHeight="false" outlineLevel="0" collapsed="false">
      <c r="A2786" s="43" t="n">
        <v>283</v>
      </c>
      <c r="B2786" s="44" t="str">
        <f aca="false">'Model Inputs &amp; Assumptions'!$B$33</f>
        <v>Trade Republic — Savings Plan Push</v>
      </c>
      <c r="C2786" s="45" t="n">
        <f aca="false">ROUND(MAX(0,'Model Inputs &amp; Assumptions'!$S$33*EXP('Model Inputs &amp; Assumptions'!$T$33*P2786-'Model Inputs &amp; Assumptions'!$T$33^2/2)),0)</f>
        <v>1747293</v>
      </c>
      <c r="D2786" s="46" t="n">
        <f aca="false">MIN(1,'Model Inputs &amp; Assumptions'!$U$33*EXP('Model Inputs &amp; Assumptions'!$V$33*Q2786-'Model Inputs &amp; Assumptions'!$V$33^2/2))</f>
        <v>0</v>
      </c>
      <c r="E2786" s="45" t="n">
        <f aca="false">ROUND(C2786*D2786,0)</f>
        <v>0</v>
      </c>
      <c r="F2786" s="47" t="n">
        <f aca="false">MIN(1,'Model Inputs &amp; Assumptions'!$W$33*EXP('Model Inputs &amp; Assumptions'!$X$33*R2786-'Model Inputs &amp; Assumptions'!$X$33^2/2))</f>
        <v>0.00299466109577531</v>
      </c>
      <c r="G2786" s="45" t="n">
        <f aca="false">ROUND(C2786*F2786,0)</f>
        <v>5233</v>
      </c>
      <c r="H2786" s="48" t="n">
        <f aca="false">MAX(0,(C2786*'Model Inputs &amp; Assumptions'!$N$33+E2786*'Model Inputs &amp; Assumptions'!$O$33+G2786*'Model Inputs &amp; Assumptions'!$P$33)*EXP('Model Inputs &amp; Assumptions'!$Q$33*S2786-'Model Inputs &amp; Assumptions'!$Q$33^2/2))</f>
        <v>349.679993729357</v>
      </c>
      <c r="I2786" s="49" t="n">
        <f aca="false">IF('Model Inputs &amp; Assumptions'!$H$33="Fixed",'Model Inputs &amp; Assumptions'!$I$33*'Model Inputs &amp; Assumptions'!$K$33,IF('Model Inputs &amp; Assumptions'!$H$33="CPM",'Model Inputs &amp; Assumptions'!$I$33*'Model Inputs &amp; Assumptions'!$K$33*C2786/1000,IF('Model Inputs &amp; Assumptions'!$H$33="CPC",'Model Inputs &amp; Assumptions'!$I$33*'Model Inputs &amp; Assumptions'!$K$33*G2786,0)))</f>
        <v>25000</v>
      </c>
      <c r="J2786" s="50" t="n">
        <f aca="false">H2786*INDEX('Model Inputs &amp; Assumptions'!$D$40:$D$42,MATCH('Model Inputs &amp; Assumptions'!$L$33,'Model Inputs &amp; Assumptions'!$A$40:$A$42,0))*INDEX('Model Inputs &amp; Assumptions'!$H$40:$H$42,MATCH('Model Inputs &amp; Assumptions'!$L$33,'Model Inputs &amp; Assumptions'!$A$40:$A$42,0))</f>
        <v>1888271.96613853</v>
      </c>
      <c r="K2786" s="49" t="n">
        <f aca="false">H2786*INDEX('Model Inputs &amp; Assumptions'!$G$40:$G$42,MATCH('Model Inputs &amp; Assumptions'!$L$33,'Model Inputs &amp; Assumptions'!$A$40:$A$42,0))*INDEX('Model Inputs &amp; Assumptions'!$H$40:$H$42,MATCH('Model Inputs &amp; Assumptions'!$L$33,'Model Inputs &amp; Assumptions'!$A$40:$A$42,0))</f>
        <v>39653.7112889091</v>
      </c>
      <c r="L2786" s="51" t="n">
        <f aca="false">IFERROR(K2786/I2786,0)</f>
        <v>1.58614845155636</v>
      </c>
      <c r="M2786" s="49" t="n">
        <f aca="false">IFERROR(I2786/H2786,0)</f>
        <v>71.4939385961821</v>
      </c>
      <c r="N2786" s="52" t="str">
        <f aca="false">'Model Inputs &amp; Assumptions'!$L$33</f>
        <v>PRD-SP01</v>
      </c>
      <c r="P2786" s="53" t="n">
        <v>1.402488</v>
      </c>
      <c r="Q2786" s="53" t="n">
        <v>-1.256371</v>
      </c>
      <c r="R2786" s="53" t="n">
        <v>-0.369773</v>
      </c>
      <c r="S2786" s="53" t="n">
        <v>0.835359</v>
      </c>
    </row>
    <row r="2787" customFormat="false" ht="15" hidden="false" customHeight="false" outlineLevel="0" collapsed="false">
      <c r="A2787" s="43" t="n">
        <v>284</v>
      </c>
      <c r="B2787" s="44" t="str">
        <f aca="false">'Model Inputs &amp; Assumptions'!$B$33</f>
        <v>Trade Republic — Savings Plan Push</v>
      </c>
      <c r="C2787" s="45" t="n">
        <f aca="false">ROUND(MAX(0,'Model Inputs &amp; Assumptions'!$S$33*EXP('Model Inputs &amp; Assumptions'!$T$33*P2787-'Model Inputs &amp; Assumptions'!$T$33^2/2)),0)</f>
        <v>710492</v>
      </c>
      <c r="D2787" s="46" t="n">
        <f aca="false">MIN(1,'Model Inputs &amp; Assumptions'!$U$33*EXP('Model Inputs &amp; Assumptions'!$V$33*Q2787-'Model Inputs &amp; Assumptions'!$V$33^2/2))</f>
        <v>0</v>
      </c>
      <c r="E2787" s="45" t="n">
        <f aca="false">ROUND(C2787*D2787,0)</f>
        <v>0</v>
      </c>
      <c r="F2787" s="47" t="n">
        <f aca="false">MIN(1,'Model Inputs &amp; Assumptions'!$W$33*EXP('Model Inputs &amp; Assumptions'!$X$33*R2787-'Model Inputs &amp; Assumptions'!$X$33^2/2))</f>
        <v>0.00302805611820228</v>
      </c>
      <c r="G2787" s="45" t="n">
        <f aca="false">ROUND(C2787*F2787,0)</f>
        <v>2151</v>
      </c>
      <c r="H2787" s="48" t="n">
        <f aca="false">MAX(0,(C2787*'Model Inputs &amp; Assumptions'!$N$33+E2787*'Model Inputs &amp; Assumptions'!$O$33+G2787*'Model Inputs &amp; Assumptions'!$P$33)*EXP('Model Inputs &amp; Assumptions'!$Q$33*S2787-'Model Inputs &amp; Assumptions'!$Q$33^2/2))</f>
        <v>158.356274352468</v>
      </c>
      <c r="I2787" s="49" t="n">
        <f aca="false">IF('Model Inputs &amp; Assumptions'!$H$33="Fixed",'Model Inputs &amp; Assumptions'!$I$33*'Model Inputs &amp; Assumptions'!$K$33,IF('Model Inputs &amp; Assumptions'!$H$33="CPM",'Model Inputs &amp; Assumptions'!$I$33*'Model Inputs &amp; Assumptions'!$K$33*C2787/1000,IF('Model Inputs &amp; Assumptions'!$H$33="CPC",'Model Inputs &amp; Assumptions'!$I$33*'Model Inputs &amp; Assumptions'!$K$33*G2787,0)))</f>
        <v>25000</v>
      </c>
      <c r="J2787" s="50" t="n">
        <f aca="false">H2787*INDEX('Model Inputs &amp; Assumptions'!$D$40:$D$42,MATCH('Model Inputs &amp; Assumptions'!$L$33,'Model Inputs &amp; Assumptions'!$A$40:$A$42,0))*INDEX('Model Inputs &amp; Assumptions'!$H$40:$H$42,MATCH('Model Inputs &amp; Assumptions'!$L$33,'Model Inputs &amp; Assumptions'!$A$40:$A$42,0))</f>
        <v>855123.881503329</v>
      </c>
      <c r="K2787" s="49" t="n">
        <f aca="false">H2787*INDEX('Model Inputs &amp; Assumptions'!$G$40:$G$42,MATCH('Model Inputs &amp; Assumptions'!$L$33,'Model Inputs &amp; Assumptions'!$A$40:$A$42,0))*INDEX('Model Inputs &amp; Assumptions'!$H$40:$H$42,MATCH('Model Inputs &amp; Assumptions'!$L$33,'Model Inputs &amp; Assumptions'!$A$40:$A$42,0))</f>
        <v>17957.6015115699</v>
      </c>
      <c r="L2787" s="51" t="n">
        <f aca="false">IFERROR(K2787/I2787,0)</f>
        <v>0.718304060462796</v>
      </c>
      <c r="M2787" s="49" t="n">
        <f aca="false">IFERROR(I2787/H2787,0)</f>
        <v>157.871862685751</v>
      </c>
      <c r="N2787" s="52" t="str">
        <f aca="false">'Model Inputs &amp; Assumptions'!$L$33</f>
        <v>PRD-SP01</v>
      </c>
      <c r="P2787" s="53" t="n">
        <v>-1.597065</v>
      </c>
      <c r="Q2787" s="53" t="n">
        <v>1.206185</v>
      </c>
      <c r="R2787" s="53" t="n">
        <v>-0.332807</v>
      </c>
      <c r="S2787" s="53" t="n">
        <v>1.181362</v>
      </c>
    </row>
    <row r="2788" customFormat="false" ht="15" hidden="false" customHeight="false" outlineLevel="0" collapsed="false">
      <c r="A2788" s="43" t="n">
        <v>285</v>
      </c>
      <c r="B2788" s="44" t="str">
        <f aca="false">'Model Inputs &amp; Assumptions'!$B$33</f>
        <v>Trade Republic — Savings Plan Push</v>
      </c>
      <c r="C2788" s="45" t="n">
        <f aca="false">ROUND(MAX(0,'Model Inputs &amp; Assumptions'!$S$33*EXP('Model Inputs &amp; Assumptions'!$T$33*P2788-'Model Inputs &amp; Assumptions'!$T$33^2/2)),0)</f>
        <v>1316571</v>
      </c>
      <c r="D2788" s="46" t="n">
        <f aca="false">MIN(1,'Model Inputs &amp; Assumptions'!$U$33*EXP('Model Inputs &amp; Assumptions'!$V$33*Q2788-'Model Inputs &amp; Assumptions'!$V$33^2/2))</f>
        <v>0</v>
      </c>
      <c r="E2788" s="45" t="n">
        <f aca="false">ROUND(C2788*D2788,0)</f>
        <v>0</v>
      </c>
      <c r="F2788" s="47" t="n">
        <f aca="false">MIN(1,'Model Inputs &amp; Assumptions'!$W$33*EXP('Model Inputs &amp; Assumptions'!$X$33*R2788-'Model Inputs &amp; Assumptions'!$X$33^2/2))</f>
        <v>0.00644108219367852</v>
      </c>
      <c r="G2788" s="45" t="n">
        <f aca="false">ROUND(C2788*F2788,0)</f>
        <v>8480</v>
      </c>
      <c r="H2788" s="48" t="n">
        <f aca="false">MAX(0,(C2788*'Model Inputs &amp; Assumptions'!$N$33+E2788*'Model Inputs &amp; Assumptions'!$O$33+G2788*'Model Inputs &amp; Assumptions'!$P$33)*EXP('Model Inputs &amp; Assumptions'!$Q$33*S2788-'Model Inputs &amp; Assumptions'!$Q$33^2/2))</f>
        <v>538.04062853649</v>
      </c>
      <c r="I2788" s="49" t="n">
        <f aca="false">IF('Model Inputs &amp; Assumptions'!$H$33="Fixed",'Model Inputs &amp; Assumptions'!$I$33*'Model Inputs &amp; Assumptions'!$K$33,IF('Model Inputs &amp; Assumptions'!$H$33="CPM",'Model Inputs &amp; Assumptions'!$I$33*'Model Inputs &amp; Assumptions'!$K$33*C2788/1000,IF('Model Inputs &amp; Assumptions'!$H$33="CPC",'Model Inputs &amp; Assumptions'!$I$33*'Model Inputs &amp; Assumptions'!$K$33*G2788,0)))</f>
        <v>25000</v>
      </c>
      <c r="J2788" s="50" t="n">
        <f aca="false">H2788*INDEX('Model Inputs &amp; Assumptions'!$D$40:$D$42,MATCH('Model Inputs &amp; Assumptions'!$L$33,'Model Inputs &amp; Assumptions'!$A$40:$A$42,0))*INDEX('Model Inputs &amp; Assumptions'!$H$40:$H$42,MATCH('Model Inputs &amp; Assumptions'!$L$33,'Model Inputs &amp; Assumptions'!$A$40:$A$42,0))</f>
        <v>2905419.39409705</v>
      </c>
      <c r="K2788" s="49" t="n">
        <f aca="false">H2788*INDEX('Model Inputs &amp; Assumptions'!$G$40:$G$42,MATCH('Model Inputs &amp; Assumptions'!$L$33,'Model Inputs &amp; Assumptions'!$A$40:$A$42,0))*INDEX('Model Inputs &amp; Assumptions'!$H$40:$H$42,MATCH('Model Inputs &amp; Assumptions'!$L$33,'Model Inputs &amp; Assumptions'!$A$40:$A$42,0))</f>
        <v>61013.807276038</v>
      </c>
      <c r="L2788" s="51" t="n">
        <f aca="false">IFERROR(K2788/I2788,0)</f>
        <v>2.44055229104152</v>
      </c>
      <c r="M2788" s="49" t="n">
        <f aca="false">IFERROR(I2788/H2788,0)</f>
        <v>46.464892563972</v>
      </c>
      <c r="N2788" s="52" t="str">
        <f aca="false">'Model Inputs &amp; Assumptions'!$L$33</f>
        <v>PRD-SP01</v>
      </c>
      <c r="P2788" s="53" t="n">
        <v>0.459029</v>
      </c>
      <c r="Q2788" s="53" t="n">
        <v>-0.63338</v>
      </c>
      <c r="R2788" s="53" t="n">
        <v>2.183112</v>
      </c>
      <c r="S2788" s="53" t="n">
        <v>0.650323</v>
      </c>
    </row>
    <row r="2789" customFormat="false" ht="15" hidden="false" customHeight="false" outlineLevel="0" collapsed="false">
      <c r="A2789" s="43" t="n">
        <v>286</v>
      </c>
      <c r="B2789" s="44" t="str">
        <f aca="false">'Model Inputs &amp; Assumptions'!$B$33</f>
        <v>Trade Republic — Savings Plan Push</v>
      </c>
      <c r="C2789" s="45" t="n">
        <f aca="false">ROUND(MAX(0,'Model Inputs &amp; Assumptions'!$S$33*EXP('Model Inputs &amp; Assumptions'!$T$33*P2789-'Model Inputs &amp; Assumptions'!$T$33^2/2)),0)</f>
        <v>1665709</v>
      </c>
      <c r="D2789" s="46" t="n">
        <f aca="false">MIN(1,'Model Inputs &amp; Assumptions'!$U$33*EXP('Model Inputs &amp; Assumptions'!$V$33*Q2789-'Model Inputs &amp; Assumptions'!$V$33^2/2))</f>
        <v>0</v>
      </c>
      <c r="E2789" s="45" t="n">
        <f aca="false">ROUND(C2789*D2789,0)</f>
        <v>0</v>
      </c>
      <c r="F2789" s="47" t="n">
        <f aca="false">MIN(1,'Model Inputs &amp; Assumptions'!$W$33*EXP('Model Inputs &amp; Assumptions'!$X$33*R2789-'Model Inputs &amp; Assumptions'!$X$33^2/2))</f>
        <v>0.00312517558401696</v>
      </c>
      <c r="G2789" s="45" t="n">
        <f aca="false">ROUND(C2789*F2789,0)</f>
        <v>5206</v>
      </c>
      <c r="H2789" s="48" t="n">
        <f aca="false">MAX(0,(C2789*'Model Inputs &amp; Assumptions'!$N$33+E2789*'Model Inputs &amp; Assumptions'!$O$33+G2789*'Model Inputs &amp; Assumptions'!$P$33)*EXP('Model Inputs &amp; Assumptions'!$Q$33*S2789-'Model Inputs &amp; Assumptions'!$Q$33^2/2))</f>
        <v>320.872533319351</v>
      </c>
      <c r="I2789" s="49" t="n">
        <f aca="false">IF('Model Inputs &amp; Assumptions'!$H$33="Fixed",'Model Inputs &amp; Assumptions'!$I$33*'Model Inputs &amp; Assumptions'!$K$33,IF('Model Inputs &amp; Assumptions'!$H$33="CPM",'Model Inputs &amp; Assumptions'!$I$33*'Model Inputs &amp; Assumptions'!$K$33*C2789/1000,IF('Model Inputs &amp; Assumptions'!$H$33="CPC",'Model Inputs &amp; Assumptions'!$I$33*'Model Inputs &amp; Assumptions'!$K$33*G2789,0)))</f>
        <v>25000</v>
      </c>
      <c r="J2789" s="50" t="n">
        <f aca="false">H2789*INDEX('Model Inputs &amp; Assumptions'!$D$40:$D$42,MATCH('Model Inputs &amp; Assumptions'!$L$33,'Model Inputs &amp; Assumptions'!$A$40:$A$42,0))*INDEX('Model Inputs &amp; Assumptions'!$H$40:$H$42,MATCH('Model Inputs &amp; Assumptions'!$L$33,'Model Inputs &amp; Assumptions'!$A$40:$A$42,0))</f>
        <v>1732711.67992449</v>
      </c>
      <c r="K2789" s="49" t="n">
        <f aca="false">H2789*INDEX('Model Inputs &amp; Assumptions'!$G$40:$G$42,MATCH('Model Inputs &amp; Assumptions'!$L$33,'Model Inputs &amp; Assumptions'!$A$40:$A$42,0))*INDEX('Model Inputs &amp; Assumptions'!$H$40:$H$42,MATCH('Model Inputs &amp; Assumptions'!$L$33,'Model Inputs &amp; Assumptions'!$A$40:$A$42,0))</f>
        <v>36386.9452784144</v>
      </c>
      <c r="L2789" s="51" t="n">
        <f aca="false">IFERROR(K2789/I2789,0)</f>
        <v>1.45547781113658</v>
      </c>
      <c r="M2789" s="49" t="n">
        <f aca="false">IFERROR(I2789/H2789,0)</f>
        <v>77.9125584274256</v>
      </c>
      <c r="N2789" s="52" t="str">
        <f aca="false">'Model Inputs &amp; Assumptions'!$L$33</f>
        <v>PRD-SP01</v>
      </c>
      <c r="P2789" s="53" t="n">
        <v>1.243098</v>
      </c>
      <c r="Q2789" s="53" t="n">
        <v>-0.204427</v>
      </c>
      <c r="R2789" s="53" t="n">
        <v>-0.227575</v>
      </c>
      <c r="S2789" s="53" t="n">
        <v>0.546782</v>
      </c>
    </row>
    <row r="2790" customFormat="false" ht="15" hidden="false" customHeight="false" outlineLevel="0" collapsed="false">
      <c r="A2790" s="43" t="n">
        <v>287</v>
      </c>
      <c r="B2790" s="44" t="str">
        <f aca="false">'Model Inputs &amp; Assumptions'!$B$33</f>
        <v>Trade Republic — Savings Plan Push</v>
      </c>
      <c r="C2790" s="45" t="n">
        <f aca="false">ROUND(MAX(0,'Model Inputs &amp; Assumptions'!$S$33*EXP('Model Inputs &amp; Assumptions'!$T$33*P2790-'Model Inputs &amp; Assumptions'!$T$33^2/2)),0)</f>
        <v>868532</v>
      </c>
      <c r="D2790" s="46" t="n">
        <f aca="false">MIN(1,'Model Inputs &amp; Assumptions'!$U$33*EXP('Model Inputs &amp; Assumptions'!$V$33*Q2790-'Model Inputs &amp; Assumptions'!$V$33^2/2))</f>
        <v>0</v>
      </c>
      <c r="E2790" s="45" t="n">
        <f aca="false">ROUND(C2790*D2790,0)</f>
        <v>0</v>
      </c>
      <c r="F2790" s="47" t="n">
        <f aca="false">MIN(1,'Model Inputs &amp; Assumptions'!$W$33*EXP('Model Inputs &amp; Assumptions'!$X$33*R2790-'Model Inputs &amp; Assumptions'!$X$33^2/2))</f>
        <v>0.00144523475488234</v>
      </c>
      <c r="G2790" s="45" t="n">
        <f aca="false">ROUND(C2790*F2790,0)</f>
        <v>1255</v>
      </c>
      <c r="H2790" s="48" t="n">
        <f aca="false">MAX(0,(C2790*'Model Inputs &amp; Assumptions'!$N$33+E2790*'Model Inputs &amp; Assumptions'!$O$33+G2790*'Model Inputs &amp; Assumptions'!$P$33)*EXP('Model Inputs &amp; Assumptions'!$Q$33*S2790-'Model Inputs &amp; Assumptions'!$Q$33^2/2))</f>
        <v>63.1047975661501</v>
      </c>
      <c r="I2790" s="49" t="n">
        <f aca="false">IF('Model Inputs &amp; Assumptions'!$H$33="Fixed",'Model Inputs &amp; Assumptions'!$I$33*'Model Inputs &amp; Assumptions'!$K$33,IF('Model Inputs &amp; Assumptions'!$H$33="CPM",'Model Inputs &amp; Assumptions'!$I$33*'Model Inputs &amp; Assumptions'!$K$33*C2790/1000,IF('Model Inputs &amp; Assumptions'!$H$33="CPC",'Model Inputs &amp; Assumptions'!$I$33*'Model Inputs &amp; Assumptions'!$K$33*G2790,0)))</f>
        <v>25000</v>
      </c>
      <c r="J2790" s="50" t="n">
        <f aca="false">H2790*INDEX('Model Inputs &amp; Assumptions'!$D$40:$D$42,MATCH('Model Inputs &amp; Assumptions'!$L$33,'Model Inputs &amp; Assumptions'!$A$40:$A$42,0))*INDEX('Model Inputs &amp; Assumptions'!$H$40:$H$42,MATCH('Model Inputs &amp; Assumptions'!$L$33,'Model Inputs &amp; Assumptions'!$A$40:$A$42,0))</f>
        <v>340765.906857211</v>
      </c>
      <c r="K2790" s="49" t="n">
        <f aca="false">H2790*INDEX('Model Inputs &amp; Assumptions'!$G$40:$G$42,MATCH('Model Inputs &amp; Assumptions'!$L$33,'Model Inputs &amp; Assumptions'!$A$40:$A$42,0))*INDEX('Model Inputs &amp; Assumptions'!$H$40:$H$42,MATCH('Model Inputs &amp; Assumptions'!$L$33,'Model Inputs &amp; Assumptions'!$A$40:$A$42,0))</f>
        <v>7156.08404400142</v>
      </c>
      <c r="L2790" s="51" t="n">
        <f aca="false">IFERROR(K2790/I2790,0)</f>
        <v>0.286243361760057</v>
      </c>
      <c r="M2790" s="49" t="n">
        <f aca="false">IFERROR(I2790/H2790,0)</f>
        <v>396.166392480596</v>
      </c>
      <c r="N2790" s="52" t="str">
        <f aca="false">'Model Inputs &amp; Assumptions'!$L$33</f>
        <v>PRD-SP01</v>
      </c>
      <c r="P2790" s="53" t="n">
        <v>-0.927574</v>
      </c>
      <c r="Q2790" s="53" t="n">
        <v>0.638601</v>
      </c>
      <c r="R2790" s="53" t="n">
        <v>-2.798304</v>
      </c>
      <c r="S2790" s="53" t="n">
        <v>-0.180257</v>
      </c>
    </row>
    <row r="2791" customFormat="false" ht="15" hidden="false" customHeight="false" outlineLevel="0" collapsed="false">
      <c r="A2791" s="43" t="n">
        <v>288</v>
      </c>
      <c r="B2791" s="44" t="str">
        <f aca="false">'Model Inputs &amp; Assumptions'!$B$33</f>
        <v>Trade Republic — Savings Plan Push</v>
      </c>
      <c r="C2791" s="45" t="n">
        <f aca="false">ROUND(MAX(0,'Model Inputs &amp; Assumptions'!$S$33*EXP('Model Inputs &amp; Assumptions'!$T$33*P2791-'Model Inputs &amp; Assumptions'!$T$33^2/2)),0)</f>
        <v>890119</v>
      </c>
      <c r="D2791" s="46" t="n">
        <f aca="false">MIN(1,'Model Inputs &amp; Assumptions'!$U$33*EXP('Model Inputs &amp; Assumptions'!$V$33*Q2791-'Model Inputs &amp; Assumptions'!$V$33^2/2))</f>
        <v>0</v>
      </c>
      <c r="E2791" s="45" t="n">
        <f aca="false">ROUND(C2791*D2791,0)</f>
        <v>0</v>
      </c>
      <c r="F2791" s="47" t="n">
        <f aca="false">MIN(1,'Model Inputs &amp; Assumptions'!$W$33*EXP('Model Inputs &amp; Assumptions'!$X$33*R2791-'Model Inputs &amp; Assumptions'!$X$33^2/2))</f>
        <v>0.00414388050342518</v>
      </c>
      <c r="G2791" s="45" t="n">
        <f aca="false">ROUND(C2791*F2791,0)</f>
        <v>3689</v>
      </c>
      <c r="H2791" s="48" t="n">
        <f aca="false">MAX(0,(C2791*'Model Inputs &amp; Assumptions'!$N$33+E2791*'Model Inputs &amp; Assumptions'!$O$33+G2791*'Model Inputs &amp; Assumptions'!$P$33)*EXP('Model Inputs &amp; Assumptions'!$Q$33*S2791-'Model Inputs &amp; Assumptions'!$Q$33^2/2))</f>
        <v>174.47026462848</v>
      </c>
      <c r="I2791" s="49" t="n">
        <f aca="false">IF('Model Inputs &amp; Assumptions'!$H$33="Fixed",'Model Inputs &amp; Assumptions'!$I$33*'Model Inputs &amp; Assumptions'!$K$33,IF('Model Inputs &amp; Assumptions'!$H$33="CPM",'Model Inputs &amp; Assumptions'!$I$33*'Model Inputs &amp; Assumptions'!$K$33*C2791/1000,IF('Model Inputs &amp; Assumptions'!$H$33="CPC",'Model Inputs &amp; Assumptions'!$I$33*'Model Inputs &amp; Assumptions'!$K$33*G2791,0)))</f>
        <v>25000</v>
      </c>
      <c r="J2791" s="50" t="n">
        <f aca="false">H2791*INDEX('Model Inputs &amp; Assumptions'!$D$40:$D$42,MATCH('Model Inputs &amp; Assumptions'!$L$33,'Model Inputs &amp; Assumptions'!$A$40:$A$42,0))*INDEX('Model Inputs &amp; Assumptions'!$H$40:$H$42,MATCH('Model Inputs &amp; Assumptions'!$L$33,'Model Inputs &amp; Assumptions'!$A$40:$A$42,0))</f>
        <v>942139.428993794</v>
      </c>
      <c r="K2791" s="49" t="n">
        <f aca="false">H2791*INDEX('Model Inputs &amp; Assumptions'!$G$40:$G$42,MATCH('Model Inputs &amp; Assumptions'!$L$33,'Model Inputs &amp; Assumptions'!$A$40:$A$42,0))*INDEX('Model Inputs &amp; Assumptions'!$H$40:$H$42,MATCH('Model Inputs &amp; Assumptions'!$L$33,'Model Inputs &amp; Assumptions'!$A$40:$A$42,0))</f>
        <v>19784.9280088697</v>
      </c>
      <c r="L2791" s="51" t="n">
        <f aca="false">IFERROR(K2791/I2791,0)</f>
        <v>0.791397120354787</v>
      </c>
      <c r="M2791" s="49" t="n">
        <f aca="false">IFERROR(I2791/H2791,0)</f>
        <v>143.29089288215</v>
      </c>
      <c r="N2791" s="52" t="str">
        <f aca="false">'Model Inputs &amp; Assumptions'!$L$33</f>
        <v>PRD-SP01</v>
      </c>
      <c r="P2791" s="53" t="n">
        <v>-0.84574</v>
      </c>
      <c r="Q2791" s="53" t="n">
        <v>-2.066751</v>
      </c>
      <c r="R2791" s="53" t="n">
        <v>0.712899</v>
      </c>
      <c r="S2791" s="53" t="n">
        <v>-0.399051</v>
      </c>
    </row>
    <row r="2792" customFormat="false" ht="15" hidden="false" customHeight="false" outlineLevel="0" collapsed="false">
      <c r="A2792" s="43" t="n">
        <v>289</v>
      </c>
      <c r="B2792" s="44" t="str">
        <f aca="false">'Model Inputs &amp; Assumptions'!$B$33</f>
        <v>Trade Republic — Savings Plan Push</v>
      </c>
      <c r="C2792" s="45" t="n">
        <f aca="false">ROUND(MAX(0,'Model Inputs &amp; Assumptions'!$S$33*EXP('Model Inputs &amp; Assumptions'!$T$33*P2792-'Model Inputs &amp; Assumptions'!$T$33^2/2)),0)</f>
        <v>1538135</v>
      </c>
      <c r="D2792" s="46" t="n">
        <f aca="false">MIN(1,'Model Inputs &amp; Assumptions'!$U$33*EXP('Model Inputs &amp; Assumptions'!$V$33*Q2792-'Model Inputs &amp; Assumptions'!$V$33^2/2))</f>
        <v>0</v>
      </c>
      <c r="E2792" s="45" t="n">
        <f aca="false">ROUND(C2792*D2792,0)</f>
        <v>0</v>
      </c>
      <c r="F2792" s="47" t="n">
        <f aca="false">MIN(1,'Model Inputs &amp; Assumptions'!$W$33*EXP('Model Inputs &amp; Assumptions'!$X$33*R2792-'Model Inputs &amp; Assumptions'!$X$33^2/2))</f>
        <v>0.00175774066004131</v>
      </c>
      <c r="G2792" s="45" t="n">
        <f aca="false">ROUND(C2792*F2792,0)</f>
        <v>2704</v>
      </c>
      <c r="H2792" s="48" t="n">
        <f aca="false">MAX(0,(C2792*'Model Inputs &amp; Assumptions'!$N$33+E2792*'Model Inputs &amp; Assumptions'!$O$33+G2792*'Model Inputs &amp; Assumptions'!$P$33)*EXP('Model Inputs &amp; Assumptions'!$Q$33*S2792-'Model Inputs &amp; Assumptions'!$Q$33^2/2))</f>
        <v>138.012693583084</v>
      </c>
      <c r="I2792" s="49" t="n">
        <f aca="false">IF('Model Inputs &amp; Assumptions'!$H$33="Fixed",'Model Inputs &amp; Assumptions'!$I$33*'Model Inputs &amp; Assumptions'!$K$33,IF('Model Inputs &amp; Assumptions'!$H$33="CPM",'Model Inputs &amp; Assumptions'!$I$33*'Model Inputs &amp; Assumptions'!$K$33*C2792/1000,IF('Model Inputs &amp; Assumptions'!$H$33="CPC",'Model Inputs &amp; Assumptions'!$I$33*'Model Inputs &amp; Assumptions'!$K$33*G2792,0)))</f>
        <v>25000</v>
      </c>
      <c r="J2792" s="50" t="n">
        <f aca="false">H2792*INDEX('Model Inputs &amp; Assumptions'!$D$40:$D$42,MATCH('Model Inputs &amp; Assumptions'!$L$33,'Model Inputs &amp; Assumptions'!$A$40:$A$42,0))*INDEX('Model Inputs &amp; Assumptions'!$H$40:$H$42,MATCH('Model Inputs &amp; Assumptions'!$L$33,'Model Inputs &amp; Assumptions'!$A$40:$A$42,0))</f>
        <v>745268.545348652</v>
      </c>
      <c r="K2792" s="49" t="n">
        <f aca="false">H2792*INDEX('Model Inputs &amp; Assumptions'!$G$40:$G$42,MATCH('Model Inputs &amp; Assumptions'!$L$33,'Model Inputs &amp; Assumptions'!$A$40:$A$42,0))*INDEX('Model Inputs &amp; Assumptions'!$H$40:$H$42,MATCH('Model Inputs &amp; Assumptions'!$L$33,'Model Inputs &amp; Assumptions'!$A$40:$A$42,0))</f>
        <v>15650.6394523217</v>
      </c>
      <c r="L2792" s="51" t="n">
        <f aca="false">IFERROR(K2792/I2792,0)</f>
        <v>0.626025578092867</v>
      </c>
      <c r="M2792" s="49" t="n">
        <f aca="false">IFERROR(I2792/H2792,0)</f>
        <v>181.142758328603</v>
      </c>
      <c r="N2792" s="52" t="str">
        <f aca="false">'Model Inputs &amp; Assumptions'!$L$33</f>
        <v>PRD-SP01</v>
      </c>
      <c r="P2792" s="53" t="n">
        <v>0.977497</v>
      </c>
      <c r="Q2792" s="53" t="n">
        <v>0.869663</v>
      </c>
      <c r="R2792" s="53" t="n">
        <v>-2.145779</v>
      </c>
      <c r="S2792" s="53" t="n">
        <v>-0.126856</v>
      </c>
    </row>
    <row r="2793" customFormat="false" ht="15" hidden="false" customHeight="false" outlineLevel="0" collapsed="false">
      <c r="A2793" s="43" t="n">
        <v>290</v>
      </c>
      <c r="B2793" s="44" t="str">
        <f aca="false">'Model Inputs &amp; Assumptions'!$B$33</f>
        <v>Trade Republic — Savings Plan Push</v>
      </c>
      <c r="C2793" s="45" t="n">
        <f aca="false">ROUND(MAX(0,'Model Inputs &amp; Assumptions'!$S$33*EXP('Model Inputs &amp; Assumptions'!$T$33*P2793-'Model Inputs &amp; Assumptions'!$T$33^2/2)),0)</f>
        <v>1067031</v>
      </c>
      <c r="D2793" s="46" t="n">
        <f aca="false">MIN(1,'Model Inputs &amp; Assumptions'!$U$33*EXP('Model Inputs &amp; Assumptions'!$V$33*Q2793-'Model Inputs &amp; Assumptions'!$V$33^2/2))</f>
        <v>0</v>
      </c>
      <c r="E2793" s="45" t="n">
        <f aca="false">ROUND(C2793*D2793,0)</f>
        <v>0</v>
      </c>
      <c r="F2793" s="47" t="n">
        <f aca="false">MIN(1,'Model Inputs &amp; Assumptions'!$W$33*EXP('Model Inputs &amp; Assumptions'!$X$33*R2793-'Model Inputs &amp; Assumptions'!$X$33^2/2))</f>
        <v>0.00215460706067329</v>
      </c>
      <c r="G2793" s="45" t="n">
        <f aca="false">ROUND(C2793*F2793,0)</f>
        <v>2299</v>
      </c>
      <c r="H2793" s="48" t="n">
        <f aca="false">MAX(0,(C2793*'Model Inputs &amp; Assumptions'!$N$33+E2793*'Model Inputs &amp; Assumptions'!$O$33+G2793*'Model Inputs &amp; Assumptions'!$P$33)*EXP('Model Inputs &amp; Assumptions'!$Q$33*S2793-'Model Inputs &amp; Assumptions'!$Q$33^2/2))</f>
        <v>105.702576800524</v>
      </c>
      <c r="I2793" s="49" t="n">
        <f aca="false">IF('Model Inputs &amp; Assumptions'!$H$33="Fixed",'Model Inputs &amp; Assumptions'!$I$33*'Model Inputs &amp; Assumptions'!$K$33,IF('Model Inputs &amp; Assumptions'!$H$33="CPM",'Model Inputs &amp; Assumptions'!$I$33*'Model Inputs &amp; Assumptions'!$K$33*C2793/1000,IF('Model Inputs &amp; Assumptions'!$H$33="CPC",'Model Inputs &amp; Assumptions'!$I$33*'Model Inputs &amp; Assumptions'!$K$33*G2793,0)))</f>
        <v>25000</v>
      </c>
      <c r="J2793" s="50" t="n">
        <f aca="false">H2793*INDEX('Model Inputs &amp; Assumptions'!$D$40:$D$42,MATCH('Model Inputs &amp; Assumptions'!$L$33,'Model Inputs &amp; Assumptions'!$A$40:$A$42,0))*INDEX('Model Inputs &amp; Assumptions'!$H$40:$H$42,MATCH('Model Inputs &amp; Assumptions'!$L$33,'Model Inputs &amp; Assumptions'!$A$40:$A$42,0))</f>
        <v>570793.914722828</v>
      </c>
      <c r="K2793" s="49" t="n">
        <f aca="false">H2793*INDEX('Model Inputs &amp; Assumptions'!$G$40:$G$42,MATCH('Model Inputs &amp; Assumptions'!$L$33,'Model Inputs &amp; Assumptions'!$A$40:$A$42,0))*INDEX('Model Inputs &amp; Assumptions'!$H$40:$H$42,MATCH('Model Inputs &amp; Assumptions'!$L$33,'Model Inputs &amp; Assumptions'!$A$40:$A$42,0))</f>
        <v>11986.6722091794</v>
      </c>
      <c r="L2793" s="51" t="n">
        <f aca="false">IFERROR(K2793/I2793,0)</f>
        <v>0.479466888367176</v>
      </c>
      <c r="M2793" s="49" t="n">
        <f aca="false">IFERROR(I2793/H2793,0)</f>
        <v>236.512682630043</v>
      </c>
      <c r="N2793" s="52" t="str">
        <f aca="false">'Model Inputs &amp; Assumptions'!$L$33</f>
        <v>PRD-SP01</v>
      </c>
      <c r="P2793" s="53" t="n">
        <v>-0.241471</v>
      </c>
      <c r="Q2793" s="53" t="n">
        <v>-0.743754</v>
      </c>
      <c r="R2793" s="53" t="n">
        <v>-1.467182</v>
      </c>
      <c r="S2793" s="53" t="n">
        <v>-0.499922</v>
      </c>
    </row>
    <row r="2794" customFormat="false" ht="15" hidden="false" customHeight="false" outlineLevel="0" collapsed="false">
      <c r="A2794" s="43" t="n">
        <v>291</v>
      </c>
      <c r="B2794" s="44" t="str">
        <f aca="false">'Model Inputs &amp; Assumptions'!$B$33</f>
        <v>Trade Republic — Savings Plan Push</v>
      </c>
      <c r="C2794" s="45" t="n">
        <f aca="false">ROUND(MAX(0,'Model Inputs &amp; Assumptions'!$S$33*EXP('Model Inputs &amp; Assumptions'!$T$33*P2794-'Model Inputs &amp; Assumptions'!$T$33^2/2)),0)</f>
        <v>1593486</v>
      </c>
      <c r="D2794" s="46" t="n">
        <f aca="false">MIN(1,'Model Inputs &amp; Assumptions'!$U$33*EXP('Model Inputs &amp; Assumptions'!$V$33*Q2794-'Model Inputs &amp; Assumptions'!$V$33^2/2))</f>
        <v>0</v>
      </c>
      <c r="E2794" s="45" t="n">
        <f aca="false">ROUND(C2794*D2794,0)</f>
        <v>0</v>
      </c>
      <c r="F2794" s="47" t="n">
        <f aca="false">MIN(1,'Model Inputs &amp; Assumptions'!$W$33*EXP('Model Inputs &amp; Assumptions'!$X$33*R2794-'Model Inputs &amp; Assumptions'!$X$33^2/2))</f>
        <v>0.00277212221232287</v>
      </c>
      <c r="G2794" s="45" t="n">
        <f aca="false">ROUND(C2794*F2794,0)</f>
        <v>4417</v>
      </c>
      <c r="H2794" s="48" t="n">
        <f aca="false">MAX(0,(C2794*'Model Inputs &amp; Assumptions'!$N$33+E2794*'Model Inputs &amp; Assumptions'!$O$33+G2794*'Model Inputs &amp; Assumptions'!$P$33)*EXP('Model Inputs &amp; Assumptions'!$Q$33*S2794-'Model Inputs &amp; Assumptions'!$Q$33^2/2))</f>
        <v>233.742087621166</v>
      </c>
      <c r="I2794" s="49" t="n">
        <f aca="false">IF('Model Inputs &amp; Assumptions'!$H$33="Fixed",'Model Inputs &amp; Assumptions'!$I$33*'Model Inputs &amp; Assumptions'!$K$33,IF('Model Inputs &amp; Assumptions'!$H$33="CPM",'Model Inputs &amp; Assumptions'!$I$33*'Model Inputs &amp; Assumptions'!$K$33*C2794/1000,IF('Model Inputs &amp; Assumptions'!$H$33="CPC",'Model Inputs &amp; Assumptions'!$I$33*'Model Inputs &amp; Assumptions'!$K$33*G2794,0)))</f>
        <v>25000</v>
      </c>
      <c r="J2794" s="50" t="n">
        <f aca="false">H2794*INDEX('Model Inputs &amp; Assumptions'!$D$40:$D$42,MATCH('Model Inputs &amp; Assumptions'!$L$33,'Model Inputs &amp; Assumptions'!$A$40:$A$42,0))*INDEX('Model Inputs &amp; Assumptions'!$H$40:$H$42,MATCH('Model Inputs &amp; Assumptions'!$L$33,'Model Inputs &amp; Assumptions'!$A$40:$A$42,0))</f>
        <v>1262207.2731543</v>
      </c>
      <c r="K2794" s="49" t="n">
        <f aca="false">H2794*INDEX('Model Inputs &amp; Assumptions'!$G$40:$G$42,MATCH('Model Inputs &amp; Assumptions'!$L$33,'Model Inputs &amp; Assumptions'!$A$40:$A$42,0))*INDEX('Model Inputs &amp; Assumptions'!$H$40:$H$42,MATCH('Model Inputs &amp; Assumptions'!$L$33,'Model Inputs &amp; Assumptions'!$A$40:$A$42,0))</f>
        <v>26506.3527362403</v>
      </c>
      <c r="L2794" s="51" t="n">
        <f aca="false">IFERROR(K2794/I2794,0)</f>
        <v>1.06025410944961</v>
      </c>
      <c r="M2794" s="49" t="n">
        <f aca="false">IFERROR(I2794/H2794,0)</f>
        <v>106.955492074317</v>
      </c>
      <c r="N2794" s="52" t="str">
        <f aca="false">'Model Inputs &amp; Assumptions'!$L$33</f>
        <v>PRD-SP01</v>
      </c>
      <c r="P2794" s="53" t="n">
        <v>1.095341</v>
      </c>
      <c r="Q2794" s="53" t="n">
        <v>-0.545451</v>
      </c>
      <c r="R2794" s="53" t="n">
        <v>-0.627166</v>
      </c>
      <c r="S2794" s="53" t="n">
        <v>0.00223</v>
      </c>
    </row>
    <row r="2795" customFormat="false" ht="15" hidden="false" customHeight="false" outlineLevel="0" collapsed="false">
      <c r="A2795" s="43" t="n">
        <v>292</v>
      </c>
      <c r="B2795" s="44" t="str">
        <f aca="false">'Model Inputs &amp; Assumptions'!$B$33</f>
        <v>Trade Republic — Savings Plan Push</v>
      </c>
      <c r="C2795" s="45" t="n">
        <f aca="false">ROUND(MAX(0,'Model Inputs &amp; Assumptions'!$S$33*EXP('Model Inputs &amp; Assumptions'!$T$33*P2795-'Model Inputs &amp; Assumptions'!$T$33^2/2)),0)</f>
        <v>1189932</v>
      </c>
      <c r="D2795" s="46" t="n">
        <f aca="false">MIN(1,'Model Inputs &amp; Assumptions'!$U$33*EXP('Model Inputs &amp; Assumptions'!$V$33*Q2795-'Model Inputs &amp; Assumptions'!$V$33^2/2))</f>
        <v>0</v>
      </c>
      <c r="E2795" s="45" t="n">
        <f aca="false">ROUND(C2795*D2795,0)</f>
        <v>0</v>
      </c>
      <c r="F2795" s="47" t="n">
        <f aca="false">MIN(1,'Model Inputs &amp; Assumptions'!$W$33*EXP('Model Inputs &amp; Assumptions'!$X$33*R2795-'Model Inputs &amp; Assumptions'!$X$33^2/2))</f>
        <v>0.00595465917942607</v>
      </c>
      <c r="G2795" s="45" t="n">
        <f aca="false">ROUND(C2795*F2795,0)</f>
        <v>7086</v>
      </c>
      <c r="H2795" s="48" t="n">
        <f aca="false">MAX(0,(C2795*'Model Inputs &amp; Assumptions'!$N$33+E2795*'Model Inputs &amp; Assumptions'!$O$33+G2795*'Model Inputs &amp; Assumptions'!$P$33)*EXP('Model Inputs &amp; Assumptions'!$Q$33*S2795-'Model Inputs &amp; Assumptions'!$Q$33^2/2))</f>
        <v>339.404534032672</v>
      </c>
      <c r="I2795" s="49" t="n">
        <f aca="false">IF('Model Inputs &amp; Assumptions'!$H$33="Fixed",'Model Inputs &amp; Assumptions'!$I$33*'Model Inputs &amp; Assumptions'!$K$33,IF('Model Inputs &amp; Assumptions'!$H$33="CPM",'Model Inputs &amp; Assumptions'!$I$33*'Model Inputs &amp; Assumptions'!$K$33*C2795/1000,IF('Model Inputs &amp; Assumptions'!$H$33="CPC",'Model Inputs &amp; Assumptions'!$I$33*'Model Inputs &amp; Assumptions'!$K$33*G2795,0)))</f>
        <v>25000</v>
      </c>
      <c r="J2795" s="50" t="n">
        <f aca="false">H2795*INDEX('Model Inputs &amp; Assumptions'!$D$40:$D$42,MATCH('Model Inputs &amp; Assumptions'!$L$33,'Model Inputs &amp; Assumptions'!$A$40:$A$42,0))*INDEX('Model Inputs &amp; Assumptions'!$H$40:$H$42,MATCH('Model Inputs &amp; Assumptions'!$L$33,'Model Inputs &amp; Assumptions'!$A$40:$A$42,0))</f>
        <v>1832784.48377643</v>
      </c>
      <c r="K2795" s="49" t="n">
        <f aca="false">H2795*INDEX('Model Inputs &amp; Assumptions'!$G$40:$G$42,MATCH('Model Inputs &amp; Assumptions'!$L$33,'Model Inputs &amp; Assumptions'!$A$40:$A$42,0))*INDEX('Model Inputs &amp; Assumptions'!$H$40:$H$42,MATCH('Model Inputs &amp; Assumptions'!$L$33,'Model Inputs &amp; Assumptions'!$A$40:$A$42,0))</f>
        <v>38488.474159305</v>
      </c>
      <c r="L2795" s="51" t="n">
        <f aca="false">IFERROR(K2795/I2795,0)</f>
        <v>1.5395389663722</v>
      </c>
      <c r="M2795" s="49" t="n">
        <f aca="false">IFERROR(I2795/H2795,0)</f>
        <v>73.6584149391282</v>
      </c>
      <c r="N2795" s="52" t="str">
        <f aca="false">'Model Inputs &amp; Assumptions'!$L$33</f>
        <v>PRD-SP01</v>
      </c>
      <c r="P2795" s="53" t="n">
        <v>0.121915</v>
      </c>
      <c r="Q2795" s="53" t="n">
        <v>-0.737239</v>
      </c>
      <c r="R2795" s="53" t="n">
        <v>1.92137</v>
      </c>
      <c r="S2795" s="53" t="n">
        <v>-0.353791</v>
      </c>
    </row>
    <row r="2796" customFormat="false" ht="15" hidden="false" customHeight="false" outlineLevel="0" collapsed="false">
      <c r="A2796" s="43" t="n">
        <v>293</v>
      </c>
      <c r="B2796" s="44" t="str">
        <f aca="false">'Model Inputs &amp; Assumptions'!$B$33</f>
        <v>Trade Republic — Savings Plan Push</v>
      </c>
      <c r="C2796" s="45" t="n">
        <f aca="false">ROUND(MAX(0,'Model Inputs &amp; Assumptions'!$S$33*EXP('Model Inputs &amp; Assumptions'!$T$33*P2796-'Model Inputs &amp; Assumptions'!$T$33^2/2)),0)</f>
        <v>759299</v>
      </c>
      <c r="D2796" s="46" t="n">
        <f aca="false">MIN(1,'Model Inputs &amp; Assumptions'!$U$33*EXP('Model Inputs &amp; Assumptions'!$V$33*Q2796-'Model Inputs &amp; Assumptions'!$V$33^2/2))</f>
        <v>0</v>
      </c>
      <c r="E2796" s="45" t="n">
        <f aca="false">ROUND(C2796*D2796,0)</f>
        <v>0</v>
      </c>
      <c r="F2796" s="47" t="n">
        <f aca="false">MIN(1,'Model Inputs &amp; Assumptions'!$W$33*EXP('Model Inputs &amp; Assumptions'!$X$33*R2796-'Model Inputs &amp; Assumptions'!$X$33^2/2))</f>
        <v>0.00345429736341427</v>
      </c>
      <c r="G2796" s="45" t="n">
        <f aca="false">ROUND(C2796*F2796,0)</f>
        <v>2623</v>
      </c>
      <c r="H2796" s="48" t="n">
        <f aca="false">MAX(0,(C2796*'Model Inputs &amp; Assumptions'!$N$33+E2796*'Model Inputs &amp; Assumptions'!$O$33+G2796*'Model Inputs &amp; Assumptions'!$P$33)*EXP('Model Inputs &amp; Assumptions'!$Q$33*S2796-'Model Inputs &amp; Assumptions'!$Q$33^2/2))</f>
        <v>133.995369866279</v>
      </c>
      <c r="I2796" s="49" t="n">
        <f aca="false">IF('Model Inputs &amp; Assumptions'!$H$33="Fixed",'Model Inputs &amp; Assumptions'!$I$33*'Model Inputs &amp; Assumptions'!$K$33,IF('Model Inputs &amp; Assumptions'!$H$33="CPM",'Model Inputs &amp; Assumptions'!$I$33*'Model Inputs &amp; Assumptions'!$K$33*C2796/1000,IF('Model Inputs &amp; Assumptions'!$H$33="CPC",'Model Inputs &amp; Assumptions'!$I$33*'Model Inputs &amp; Assumptions'!$K$33*G2796,0)))</f>
        <v>25000</v>
      </c>
      <c r="J2796" s="50" t="n">
        <f aca="false">H2796*INDEX('Model Inputs &amp; Assumptions'!$D$40:$D$42,MATCH('Model Inputs &amp; Assumptions'!$L$33,'Model Inputs &amp; Assumptions'!$A$40:$A$42,0))*INDEX('Model Inputs &amp; Assumptions'!$H$40:$H$42,MATCH('Model Inputs &amp; Assumptions'!$L$33,'Model Inputs &amp; Assumptions'!$A$40:$A$42,0))</f>
        <v>723574.997277904</v>
      </c>
      <c r="K2796" s="49" t="n">
        <f aca="false">H2796*INDEX('Model Inputs &amp; Assumptions'!$G$40:$G$42,MATCH('Model Inputs &amp; Assumptions'!$L$33,'Model Inputs &amp; Assumptions'!$A$40:$A$42,0))*INDEX('Model Inputs &amp; Assumptions'!$H$40:$H$42,MATCH('Model Inputs &amp; Assumptions'!$L$33,'Model Inputs &amp; Assumptions'!$A$40:$A$42,0))</f>
        <v>15195.074942836</v>
      </c>
      <c r="L2796" s="51" t="n">
        <f aca="false">IFERROR(K2796/I2796,0)</f>
        <v>0.60780299771344</v>
      </c>
      <c r="M2796" s="49" t="n">
        <f aca="false">IFERROR(I2796/H2796,0)</f>
        <v>186.573610901249</v>
      </c>
      <c r="N2796" s="52" t="str">
        <f aca="false">'Model Inputs &amp; Assumptions'!$L$33</f>
        <v>PRD-SP01</v>
      </c>
      <c r="P2796" s="53" t="n">
        <v>-1.375605</v>
      </c>
      <c r="Q2796" s="53" t="n">
        <v>0.639576</v>
      </c>
      <c r="R2796" s="53" t="n">
        <v>0.106187</v>
      </c>
      <c r="S2796" s="53" t="n">
        <v>-0.123738</v>
      </c>
    </row>
    <row r="2797" customFormat="false" ht="15" hidden="false" customHeight="false" outlineLevel="0" collapsed="false">
      <c r="A2797" s="43" t="n">
        <v>294</v>
      </c>
      <c r="B2797" s="44" t="str">
        <f aca="false">'Model Inputs &amp; Assumptions'!$B$33</f>
        <v>Trade Republic — Savings Plan Push</v>
      </c>
      <c r="C2797" s="45" t="n">
        <f aca="false">ROUND(MAX(0,'Model Inputs &amp; Assumptions'!$S$33*EXP('Model Inputs &amp; Assumptions'!$T$33*P2797-'Model Inputs &amp; Assumptions'!$T$33^2/2)),0)</f>
        <v>1356387</v>
      </c>
      <c r="D2797" s="46" t="n">
        <f aca="false">MIN(1,'Model Inputs &amp; Assumptions'!$U$33*EXP('Model Inputs &amp; Assumptions'!$V$33*Q2797-'Model Inputs &amp; Assumptions'!$V$33^2/2))</f>
        <v>0</v>
      </c>
      <c r="E2797" s="45" t="n">
        <f aca="false">ROUND(C2797*D2797,0)</f>
        <v>0</v>
      </c>
      <c r="F2797" s="47" t="n">
        <f aca="false">MIN(1,'Model Inputs &amp; Assumptions'!$W$33*EXP('Model Inputs &amp; Assumptions'!$X$33*R2797-'Model Inputs &amp; Assumptions'!$X$33^2/2))</f>
        <v>0.00356233157931464</v>
      </c>
      <c r="G2797" s="45" t="n">
        <f aca="false">ROUND(C2797*F2797,0)</f>
        <v>4832</v>
      </c>
      <c r="H2797" s="48" t="n">
        <f aca="false">MAX(0,(C2797*'Model Inputs &amp; Assumptions'!$N$33+E2797*'Model Inputs &amp; Assumptions'!$O$33+G2797*'Model Inputs &amp; Assumptions'!$P$33)*EXP('Model Inputs &amp; Assumptions'!$Q$33*S2797-'Model Inputs &amp; Assumptions'!$Q$33^2/2))</f>
        <v>237.13622519641</v>
      </c>
      <c r="I2797" s="49" t="n">
        <f aca="false">IF('Model Inputs &amp; Assumptions'!$H$33="Fixed",'Model Inputs &amp; Assumptions'!$I$33*'Model Inputs &amp; Assumptions'!$K$33,IF('Model Inputs &amp; Assumptions'!$H$33="CPM",'Model Inputs &amp; Assumptions'!$I$33*'Model Inputs &amp; Assumptions'!$K$33*C2797/1000,IF('Model Inputs &amp; Assumptions'!$H$33="CPC",'Model Inputs &amp; Assumptions'!$I$33*'Model Inputs &amp; Assumptions'!$K$33*G2797,0)))</f>
        <v>25000</v>
      </c>
      <c r="J2797" s="50" t="n">
        <f aca="false">H2797*INDEX('Model Inputs &amp; Assumptions'!$D$40:$D$42,MATCH('Model Inputs &amp; Assumptions'!$L$33,'Model Inputs &amp; Assumptions'!$A$40:$A$42,0))*INDEX('Model Inputs &amp; Assumptions'!$H$40:$H$42,MATCH('Model Inputs &amp; Assumptions'!$L$33,'Model Inputs &amp; Assumptions'!$A$40:$A$42,0))</f>
        <v>1280535.61606062</v>
      </c>
      <c r="K2797" s="49" t="n">
        <f aca="false">H2797*INDEX('Model Inputs &amp; Assumptions'!$G$40:$G$42,MATCH('Model Inputs &amp; Assumptions'!$L$33,'Model Inputs &amp; Assumptions'!$A$40:$A$42,0))*INDEX('Model Inputs &amp; Assumptions'!$H$40:$H$42,MATCH('Model Inputs &amp; Assumptions'!$L$33,'Model Inputs &amp; Assumptions'!$A$40:$A$42,0))</f>
        <v>26891.2479372729</v>
      </c>
      <c r="L2797" s="51" t="n">
        <f aca="false">IFERROR(K2797/I2797,0)</f>
        <v>1.07564991749092</v>
      </c>
      <c r="M2797" s="49" t="n">
        <f aca="false">IFERROR(I2797/H2797,0)</f>
        <v>105.424635056468</v>
      </c>
      <c r="N2797" s="52" t="str">
        <f aca="false">'Model Inputs &amp; Assumptions'!$L$33</f>
        <v>PRD-SP01</v>
      </c>
      <c r="P2797" s="53" t="n">
        <v>0.558343</v>
      </c>
      <c r="Q2797" s="53" t="n">
        <v>-1.061907</v>
      </c>
      <c r="R2797" s="53" t="n">
        <v>0.208841</v>
      </c>
      <c r="S2797" s="53" t="n">
        <v>-0.266996</v>
      </c>
    </row>
    <row r="2798" customFormat="false" ht="15" hidden="false" customHeight="false" outlineLevel="0" collapsed="false">
      <c r="A2798" s="43" t="n">
        <v>295</v>
      </c>
      <c r="B2798" s="44" t="str">
        <f aca="false">'Model Inputs &amp; Assumptions'!$B$33</f>
        <v>Trade Republic — Savings Plan Push</v>
      </c>
      <c r="C2798" s="45" t="n">
        <f aca="false">ROUND(MAX(0,'Model Inputs &amp; Assumptions'!$S$33*EXP('Model Inputs &amp; Assumptions'!$T$33*P2798-'Model Inputs &amp; Assumptions'!$T$33^2/2)),0)</f>
        <v>804522</v>
      </c>
      <c r="D2798" s="46" t="n">
        <f aca="false">MIN(1,'Model Inputs &amp; Assumptions'!$U$33*EXP('Model Inputs &amp; Assumptions'!$V$33*Q2798-'Model Inputs &amp; Assumptions'!$V$33^2/2))</f>
        <v>0</v>
      </c>
      <c r="E2798" s="45" t="n">
        <f aca="false">ROUND(C2798*D2798,0)</f>
        <v>0</v>
      </c>
      <c r="F2798" s="47" t="n">
        <f aca="false">MIN(1,'Model Inputs &amp; Assumptions'!$W$33*EXP('Model Inputs &amp; Assumptions'!$X$33*R2798-'Model Inputs &amp; Assumptions'!$X$33^2/2))</f>
        <v>0.0020064778438889</v>
      </c>
      <c r="G2798" s="45" t="n">
        <f aca="false">ROUND(C2798*F2798,0)</f>
        <v>1614</v>
      </c>
      <c r="H2798" s="48" t="n">
        <f aca="false">MAX(0,(C2798*'Model Inputs &amp; Assumptions'!$N$33+E2798*'Model Inputs &amp; Assumptions'!$O$33+G2798*'Model Inputs &amp; Assumptions'!$P$33)*EXP('Model Inputs &amp; Assumptions'!$Q$33*S2798-'Model Inputs &amp; Assumptions'!$Q$33^2/2))</f>
        <v>112.537353211316</v>
      </c>
      <c r="I2798" s="49" t="n">
        <f aca="false">IF('Model Inputs &amp; Assumptions'!$H$33="Fixed",'Model Inputs &amp; Assumptions'!$I$33*'Model Inputs &amp; Assumptions'!$K$33,IF('Model Inputs &amp; Assumptions'!$H$33="CPM",'Model Inputs &amp; Assumptions'!$I$33*'Model Inputs &amp; Assumptions'!$K$33*C2798/1000,IF('Model Inputs &amp; Assumptions'!$H$33="CPC",'Model Inputs &amp; Assumptions'!$I$33*'Model Inputs &amp; Assumptions'!$K$33*G2798,0)))</f>
        <v>25000</v>
      </c>
      <c r="J2798" s="50" t="n">
        <f aca="false">H2798*INDEX('Model Inputs &amp; Assumptions'!$D$40:$D$42,MATCH('Model Inputs &amp; Assumptions'!$L$33,'Model Inputs &amp; Assumptions'!$A$40:$A$42,0))*INDEX('Model Inputs &amp; Assumptions'!$H$40:$H$42,MATCH('Model Inputs &amp; Assumptions'!$L$33,'Model Inputs &amp; Assumptions'!$A$40:$A$42,0))</f>
        <v>607701.707341107</v>
      </c>
      <c r="K2798" s="49" t="n">
        <f aca="false">H2798*INDEX('Model Inputs &amp; Assumptions'!$G$40:$G$42,MATCH('Model Inputs &amp; Assumptions'!$L$33,'Model Inputs &amp; Assumptions'!$A$40:$A$42,0))*INDEX('Model Inputs &amp; Assumptions'!$H$40:$H$42,MATCH('Model Inputs &amp; Assumptions'!$L$33,'Model Inputs &amp; Assumptions'!$A$40:$A$42,0))</f>
        <v>12761.7358541632</v>
      </c>
      <c r="L2798" s="51" t="n">
        <f aca="false">IFERROR(K2798/I2798,0)</f>
        <v>0.51046943416653</v>
      </c>
      <c r="M2798" s="49" t="n">
        <f aca="false">IFERROR(I2798/H2798,0)</f>
        <v>222.148462591407</v>
      </c>
      <c r="N2798" s="52" t="str">
        <f aca="false">'Model Inputs &amp; Assumptions'!$L$33</f>
        <v>PRD-SP01</v>
      </c>
      <c r="P2798" s="53" t="n">
        <v>-1.18276</v>
      </c>
      <c r="Q2798" s="53" t="n">
        <v>-2.323484</v>
      </c>
      <c r="R2798" s="53" t="n">
        <v>-1.704607</v>
      </c>
      <c r="S2798" s="53" t="n">
        <v>0.987273</v>
      </c>
    </row>
    <row r="2799" customFormat="false" ht="15" hidden="false" customHeight="false" outlineLevel="0" collapsed="false">
      <c r="A2799" s="43" t="n">
        <v>296</v>
      </c>
      <c r="B2799" s="44" t="str">
        <f aca="false">'Model Inputs &amp; Assumptions'!$B$33</f>
        <v>Trade Republic — Savings Plan Push</v>
      </c>
      <c r="C2799" s="45" t="n">
        <f aca="false">ROUND(MAX(0,'Model Inputs &amp; Assumptions'!$S$33*EXP('Model Inputs &amp; Assumptions'!$T$33*P2799-'Model Inputs &amp; Assumptions'!$T$33^2/2)),0)</f>
        <v>1131961</v>
      </c>
      <c r="D2799" s="46" t="n">
        <f aca="false">MIN(1,'Model Inputs &amp; Assumptions'!$U$33*EXP('Model Inputs &amp; Assumptions'!$V$33*Q2799-'Model Inputs &amp; Assumptions'!$V$33^2/2))</f>
        <v>0</v>
      </c>
      <c r="E2799" s="45" t="n">
        <f aca="false">ROUND(C2799*D2799,0)</f>
        <v>0</v>
      </c>
      <c r="F2799" s="47" t="n">
        <f aca="false">MIN(1,'Model Inputs &amp; Assumptions'!$W$33*EXP('Model Inputs &amp; Assumptions'!$X$33*R2799-'Model Inputs &amp; Assumptions'!$X$33^2/2))</f>
        <v>0.00354461825422823</v>
      </c>
      <c r="G2799" s="45" t="n">
        <f aca="false">ROUND(C2799*F2799,0)</f>
        <v>4012</v>
      </c>
      <c r="H2799" s="48" t="n">
        <f aca="false">MAX(0,(C2799*'Model Inputs &amp; Assumptions'!$N$33+E2799*'Model Inputs &amp; Assumptions'!$O$33+G2799*'Model Inputs &amp; Assumptions'!$P$33)*EXP('Model Inputs &amp; Assumptions'!$Q$33*S2799-'Model Inputs &amp; Assumptions'!$Q$33^2/2))</f>
        <v>157.201643587577</v>
      </c>
      <c r="I2799" s="49" t="n">
        <f aca="false">IF('Model Inputs &amp; Assumptions'!$H$33="Fixed",'Model Inputs &amp; Assumptions'!$I$33*'Model Inputs &amp; Assumptions'!$K$33,IF('Model Inputs &amp; Assumptions'!$H$33="CPM",'Model Inputs &amp; Assumptions'!$I$33*'Model Inputs &amp; Assumptions'!$K$33*C2799/1000,IF('Model Inputs &amp; Assumptions'!$H$33="CPC",'Model Inputs &amp; Assumptions'!$I$33*'Model Inputs &amp; Assumptions'!$K$33*G2799,0)))</f>
        <v>25000</v>
      </c>
      <c r="J2799" s="50" t="n">
        <f aca="false">H2799*INDEX('Model Inputs &amp; Assumptions'!$D$40:$D$42,MATCH('Model Inputs &amp; Assumptions'!$L$33,'Model Inputs &amp; Assumptions'!$A$40:$A$42,0))*INDEX('Model Inputs &amp; Assumptions'!$H$40:$H$42,MATCH('Model Inputs &amp; Assumptions'!$L$33,'Model Inputs &amp; Assumptions'!$A$40:$A$42,0))</f>
        <v>848888.875372916</v>
      </c>
      <c r="K2799" s="49" t="n">
        <f aca="false">H2799*INDEX('Model Inputs &amp; Assumptions'!$G$40:$G$42,MATCH('Model Inputs &amp; Assumptions'!$L$33,'Model Inputs &amp; Assumptions'!$A$40:$A$42,0))*INDEX('Model Inputs &amp; Assumptions'!$H$40:$H$42,MATCH('Model Inputs &amp; Assumptions'!$L$33,'Model Inputs &amp; Assumptions'!$A$40:$A$42,0))</f>
        <v>17826.6663828312</v>
      </c>
      <c r="L2799" s="51" t="n">
        <f aca="false">IFERROR(K2799/I2799,0)</f>
        <v>0.713066655313249</v>
      </c>
      <c r="M2799" s="49" t="n">
        <f aca="false">IFERROR(I2799/H2799,0)</f>
        <v>159.031416144657</v>
      </c>
      <c r="N2799" s="52" t="str">
        <f aca="false">'Model Inputs &amp; Assumptions'!$L$33</f>
        <v>PRD-SP01</v>
      </c>
      <c r="P2799" s="53" t="n">
        <v>-0.044566</v>
      </c>
      <c r="Q2799" s="53" t="n">
        <v>-0.104147</v>
      </c>
      <c r="R2799" s="53" t="n">
        <v>0.192225</v>
      </c>
      <c r="S2799" s="53" t="n">
        <v>-1.071049</v>
      </c>
    </row>
    <row r="2800" customFormat="false" ht="15" hidden="false" customHeight="false" outlineLevel="0" collapsed="false">
      <c r="A2800" s="43" t="n">
        <v>297</v>
      </c>
      <c r="B2800" s="44" t="str">
        <f aca="false">'Model Inputs &amp; Assumptions'!$B$33</f>
        <v>Trade Republic — Savings Plan Push</v>
      </c>
      <c r="C2800" s="45" t="n">
        <f aca="false">ROUND(MAX(0,'Model Inputs &amp; Assumptions'!$S$33*EXP('Model Inputs &amp; Assumptions'!$T$33*P2800-'Model Inputs &amp; Assumptions'!$T$33^2/2)),0)</f>
        <v>1881870</v>
      </c>
      <c r="D2800" s="46" t="n">
        <f aca="false">MIN(1,'Model Inputs &amp; Assumptions'!$U$33*EXP('Model Inputs &amp; Assumptions'!$V$33*Q2800-'Model Inputs &amp; Assumptions'!$V$33^2/2))</f>
        <v>0</v>
      </c>
      <c r="E2800" s="45" t="n">
        <f aca="false">ROUND(C2800*D2800,0)</f>
        <v>0</v>
      </c>
      <c r="F2800" s="47" t="n">
        <f aca="false">MIN(1,'Model Inputs &amp; Assumptions'!$W$33*EXP('Model Inputs &amp; Assumptions'!$X$33*R2800-'Model Inputs &amp; Assumptions'!$X$33^2/2))</f>
        <v>0.00273681153239075</v>
      </c>
      <c r="G2800" s="45" t="n">
        <f aca="false">ROUND(C2800*F2800,0)</f>
        <v>5150</v>
      </c>
      <c r="H2800" s="48" t="n">
        <f aca="false">MAX(0,(C2800*'Model Inputs &amp; Assumptions'!$N$33+E2800*'Model Inputs &amp; Assumptions'!$O$33+G2800*'Model Inputs &amp; Assumptions'!$P$33)*EXP('Model Inputs &amp; Assumptions'!$Q$33*S2800-'Model Inputs &amp; Assumptions'!$Q$33^2/2))</f>
        <v>205.406220101945</v>
      </c>
      <c r="I2800" s="49" t="n">
        <f aca="false">IF('Model Inputs &amp; Assumptions'!$H$33="Fixed",'Model Inputs &amp; Assumptions'!$I$33*'Model Inputs &amp; Assumptions'!$K$33,IF('Model Inputs &amp; Assumptions'!$H$33="CPM",'Model Inputs &amp; Assumptions'!$I$33*'Model Inputs &amp; Assumptions'!$K$33*C2800/1000,IF('Model Inputs &amp; Assumptions'!$H$33="CPC",'Model Inputs &amp; Assumptions'!$I$33*'Model Inputs &amp; Assumptions'!$K$33*G2800,0)))</f>
        <v>25000</v>
      </c>
      <c r="J2800" s="50" t="n">
        <f aca="false">H2800*INDEX('Model Inputs &amp; Assumptions'!$D$40:$D$42,MATCH('Model Inputs &amp; Assumptions'!$L$33,'Model Inputs &amp; Assumptions'!$A$40:$A$42,0))*INDEX('Model Inputs &amp; Assumptions'!$H$40:$H$42,MATCH('Model Inputs &amp; Assumptions'!$L$33,'Model Inputs &amp; Assumptions'!$A$40:$A$42,0))</f>
        <v>1109193.5885505</v>
      </c>
      <c r="K2800" s="49" t="n">
        <f aca="false">H2800*INDEX('Model Inputs &amp; Assumptions'!$G$40:$G$42,MATCH('Model Inputs &amp; Assumptions'!$L$33,'Model Inputs &amp; Assumptions'!$A$40:$A$42,0))*INDEX('Model Inputs &amp; Assumptions'!$H$40:$H$42,MATCH('Model Inputs &amp; Assumptions'!$L$33,'Model Inputs &amp; Assumptions'!$A$40:$A$42,0))</f>
        <v>23293.0653595605</v>
      </c>
      <c r="L2800" s="51" t="n">
        <f aca="false">IFERROR(K2800/I2800,0)</f>
        <v>0.931722614382421</v>
      </c>
      <c r="M2800" s="49" t="n">
        <f aca="false">IFERROR(I2800/H2800,0)</f>
        <v>121.710043578974</v>
      </c>
      <c r="N2800" s="52" t="str">
        <f aca="false">'Model Inputs &amp; Assumptions'!$L$33</f>
        <v>PRD-SP01</v>
      </c>
      <c r="P2800" s="53" t="n">
        <v>1.649814</v>
      </c>
      <c r="Q2800" s="53" t="n">
        <v>0.851082</v>
      </c>
      <c r="R2800" s="53" t="n">
        <v>-0.669898</v>
      </c>
      <c r="S2800" s="53" t="n">
        <v>-1.007644</v>
      </c>
    </row>
    <row r="2801" customFormat="false" ht="15" hidden="false" customHeight="false" outlineLevel="0" collapsed="false">
      <c r="A2801" s="43" t="n">
        <v>298</v>
      </c>
      <c r="B2801" s="44" t="str">
        <f aca="false">'Model Inputs &amp; Assumptions'!$B$33</f>
        <v>Trade Republic — Savings Plan Push</v>
      </c>
      <c r="C2801" s="45" t="n">
        <f aca="false">ROUND(MAX(0,'Model Inputs &amp; Assumptions'!$S$33*EXP('Model Inputs &amp; Assumptions'!$T$33*P2801-'Model Inputs &amp; Assumptions'!$T$33^2/2)),0)</f>
        <v>1893892</v>
      </c>
      <c r="D2801" s="46" t="n">
        <f aca="false">MIN(1,'Model Inputs &amp; Assumptions'!$U$33*EXP('Model Inputs &amp; Assumptions'!$V$33*Q2801-'Model Inputs &amp; Assumptions'!$V$33^2/2))</f>
        <v>0</v>
      </c>
      <c r="E2801" s="45" t="n">
        <f aca="false">ROUND(C2801*D2801,0)</f>
        <v>0</v>
      </c>
      <c r="F2801" s="47" t="n">
        <f aca="false">MIN(1,'Model Inputs &amp; Assumptions'!$W$33*EXP('Model Inputs &amp; Assumptions'!$X$33*R2801-'Model Inputs &amp; Assumptions'!$X$33^2/2))</f>
        <v>0.00189952559564969</v>
      </c>
      <c r="G2801" s="45" t="n">
        <f aca="false">ROUND(C2801*F2801,0)</f>
        <v>3597</v>
      </c>
      <c r="H2801" s="48" t="n">
        <f aca="false">MAX(0,(C2801*'Model Inputs &amp; Assumptions'!$N$33+E2801*'Model Inputs &amp; Assumptions'!$O$33+G2801*'Model Inputs &amp; Assumptions'!$P$33)*EXP('Model Inputs &amp; Assumptions'!$Q$33*S2801-'Model Inputs &amp; Assumptions'!$Q$33^2/2))</f>
        <v>175.431453795287</v>
      </c>
      <c r="I2801" s="49" t="n">
        <f aca="false">IF('Model Inputs &amp; Assumptions'!$H$33="Fixed",'Model Inputs &amp; Assumptions'!$I$33*'Model Inputs &amp; Assumptions'!$K$33,IF('Model Inputs &amp; Assumptions'!$H$33="CPM",'Model Inputs &amp; Assumptions'!$I$33*'Model Inputs &amp; Assumptions'!$K$33*C2801/1000,IF('Model Inputs &amp; Assumptions'!$H$33="CPC",'Model Inputs &amp; Assumptions'!$I$33*'Model Inputs &amp; Assumptions'!$K$33*G2801,0)))</f>
        <v>25000</v>
      </c>
      <c r="J2801" s="50" t="n">
        <f aca="false">H2801*INDEX('Model Inputs &amp; Assumptions'!$D$40:$D$42,MATCH('Model Inputs &amp; Assumptions'!$L$33,'Model Inputs &amp; Assumptions'!$A$40:$A$42,0))*INDEX('Model Inputs &amp; Assumptions'!$H$40:$H$42,MATCH('Model Inputs &amp; Assumptions'!$L$33,'Model Inputs &amp; Assumptions'!$A$40:$A$42,0))</f>
        <v>947329.850494551</v>
      </c>
      <c r="K2801" s="49" t="n">
        <f aca="false">H2801*INDEX('Model Inputs &amp; Assumptions'!$G$40:$G$42,MATCH('Model Inputs &amp; Assumptions'!$L$33,'Model Inputs &amp; Assumptions'!$A$40:$A$42,0))*INDEX('Model Inputs &amp; Assumptions'!$H$40:$H$42,MATCH('Model Inputs &amp; Assumptions'!$L$33,'Model Inputs &amp; Assumptions'!$A$40:$A$42,0))</f>
        <v>19893.9268603856</v>
      </c>
      <c r="L2801" s="51" t="n">
        <f aca="false">IFERROR(K2801/I2801,0)</f>
        <v>0.795757074415423</v>
      </c>
      <c r="M2801" s="49" t="n">
        <f aca="false">IFERROR(I2801/H2801,0)</f>
        <v>142.505801890993</v>
      </c>
      <c r="N2801" s="52" t="str">
        <f aca="false">'Model Inputs &amp; Assumptions'!$L$33</f>
        <v>PRD-SP01</v>
      </c>
      <c r="P2801" s="53" t="n">
        <v>1.671041</v>
      </c>
      <c r="Q2801" s="53" t="n">
        <v>-1.769483</v>
      </c>
      <c r="R2801" s="53" t="n">
        <v>-1.887196</v>
      </c>
      <c r="S2801" s="53" t="n">
        <v>-0.289232</v>
      </c>
    </row>
    <row r="2802" customFormat="false" ht="15" hidden="false" customHeight="false" outlineLevel="0" collapsed="false">
      <c r="A2802" s="43" t="n">
        <v>299</v>
      </c>
      <c r="B2802" s="44" t="str">
        <f aca="false">'Model Inputs &amp; Assumptions'!$B$33</f>
        <v>Trade Republic — Savings Plan Push</v>
      </c>
      <c r="C2802" s="45" t="n">
        <f aca="false">ROUND(MAX(0,'Model Inputs &amp; Assumptions'!$S$33*EXP('Model Inputs &amp; Assumptions'!$T$33*P2802-'Model Inputs &amp; Assumptions'!$T$33^2/2)),0)</f>
        <v>1341809</v>
      </c>
      <c r="D2802" s="46" t="n">
        <f aca="false">MIN(1,'Model Inputs &amp; Assumptions'!$U$33*EXP('Model Inputs &amp; Assumptions'!$V$33*Q2802-'Model Inputs &amp; Assumptions'!$V$33^2/2))</f>
        <v>0</v>
      </c>
      <c r="E2802" s="45" t="n">
        <f aca="false">ROUND(C2802*D2802,0)</f>
        <v>0</v>
      </c>
      <c r="F2802" s="47" t="n">
        <f aca="false">MIN(1,'Model Inputs &amp; Assumptions'!$W$33*EXP('Model Inputs &amp; Assumptions'!$X$33*R2802-'Model Inputs &amp; Assumptions'!$X$33^2/2))</f>
        <v>0.00381669539544778</v>
      </c>
      <c r="G2802" s="45" t="n">
        <f aca="false">ROUND(C2802*F2802,0)</f>
        <v>5121</v>
      </c>
      <c r="H2802" s="48" t="n">
        <f aca="false">MAX(0,(C2802*'Model Inputs &amp; Assumptions'!$N$33+E2802*'Model Inputs &amp; Assumptions'!$O$33+G2802*'Model Inputs &amp; Assumptions'!$P$33)*EXP('Model Inputs &amp; Assumptions'!$Q$33*S2802-'Model Inputs &amp; Assumptions'!$Q$33^2/2))</f>
        <v>300.114382717141</v>
      </c>
      <c r="I2802" s="49" t="n">
        <f aca="false">IF('Model Inputs &amp; Assumptions'!$H$33="Fixed",'Model Inputs &amp; Assumptions'!$I$33*'Model Inputs &amp; Assumptions'!$K$33,IF('Model Inputs &amp; Assumptions'!$H$33="CPM",'Model Inputs &amp; Assumptions'!$I$33*'Model Inputs &amp; Assumptions'!$K$33*C2802/1000,IF('Model Inputs &amp; Assumptions'!$H$33="CPC",'Model Inputs &amp; Assumptions'!$I$33*'Model Inputs &amp; Assumptions'!$K$33*G2802,0)))</f>
        <v>25000</v>
      </c>
      <c r="J2802" s="50" t="n">
        <f aca="false">H2802*INDEX('Model Inputs &amp; Assumptions'!$D$40:$D$42,MATCH('Model Inputs &amp; Assumptions'!$L$33,'Model Inputs &amp; Assumptions'!$A$40:$A$42,0))*INDEX('Model Inputs &amp; Assumptions'!$H$40:$H$42,MATCH('Model Inputs &amp; Assumptions'!$L$33,'Model Inputs &amp; Assumptions'!$A$40:$A$42,0))</f>
        <v>1620617.66667256</v>
      </c>
      <c r="K2802" s="49" t="n">
        <f aca="false">H2802*INDEX('Model Inputs &amp; Assumptions'!$G$40:$G$42,MATCH('Model Inputs &amp; Assumptions'!$L$33,'Model Inputs &amp; Assumptions'!$A$40:$A$42,0))*INDEX('Model Inputs &amp; Assumptions'!$H$40:$H$42,MATCH('Model Inputs &amp; Assumptions'!$L$33,'Model Inputs &amp; Assumptions'!$A$40:$A$42,0))</f>
        <v>34032.9710001237</v>
      </c>
      <c r="L2802" s="51" t="n">
        <f aca="false">IFERROR(K2802/I2802,0)</f>
        <v>1.36131884000495</v>
      </c>
      <c r="M2802" s="49" t="n">
        <f aca="false">IFERROR(I2802/H2802,0)</f>
        <v>83.3015724659975</v>
      </c>
      <c r="N2802" s="52" t="str">
        <f aca="false">'Model Inputs &amp; Assumptions'!$L$33</f>
        <v>PRD-SP01</v>
      </c>
      <c r="P2802" s="53" t="n">
        <v>0.522325</v>
      </c>
      <c r="Q2802" s="53" t="n">
        <v>1.065612</v>
      </c>
      <c r="R2802" s="53" t="n">
        <v>0.43874</v>
      </c>
      <c r="S2802" s="53" t="n">
        <v>0.366717</v>
      </c>
    </row>
    <row r="2803" customFormat="false" ht="15" hidden="false" customHeight="false" outlineLevel="0" collapsed="false">
      <c r="A2803" s="43" t="n">
        <v>300</v>
      </c>
      <c r="B2803" s="44" t="str">
        <f aca="false">'Model Inputs &amp; Assumptions'!$B$33</f>
        <v>Trade Republic — Savings Plan Push</v>
      </c>
      <c r="C2803" s="45" t="n">
        <f aca="false">ROUND(MAX(0,'Model Inputs &amp; Assumptions'!$S$33*EXP('Model Inputs &amp; Assumptions'!$T$33*P2803-'Model Inputs &amp; Assumptions'!$T$33^2/2)),0)</f>
        <v>930836</v>
      </c>
      <c r="D2803" s="46" t="n">
        <f aca="false">MIN(1,'Model Inputs &amp; Assumptions'!$U$33*EXP('Model Inputs &amp; Assumptions'!$V$33*Q2803-'Model Inputs &amp; Assumptions'!$V$33^2/2))</f>
        <v>0</v>
      </c>
      <c r="E2803" s="45" t="n">
        <f aca="false">ROUND(C2803*D2803,0)</f>
        <v>0</v>
      </c>
      <c r="F2803" s="47" t="n">
        <f aca="false">MIN(1,'Model Inputs &amp; Assumptions'!$W$33*EXP('Model Inputs &amp; Assumptions'!$X$33*R2803-'Model Inputs &amp; Assumptions'!$X$33^2/2))</f>
        <v>0.00263695638734522</v>
      </c>
      <c r="G2803" s="45" t="n">
        <f aca="false">ROUND(C2803*F2803,0)</f>
        <v>2455</v>
      </c>
      <c r="H2803" s="48" t="n">
        <f aca="false">MAX(0,(C2803*'Model Inputs &amp; Assumptions'!$N$33+E2803*'Model Inputs &amp; Assumptions'!$O$33+G2803*'Model Inputs &amp; Assumptions'!$P$33)*EXP('Model Inputs &amp; Assumptions'!$Q$33*S2803-'Model Inputs &amp; Assumptions'!$Q$33^2/2))</f>
        <v>85.6310838635198</v>
      </c>
      <c r="I2803" s="49" t="n">
        <f aca="false">IF('Model Inputs &amp; Assumptions'!$H$33="Fixed",'Model Inputs &amp; Assumptions'!$I$33*'Model Inputs &amp; Assumptions'!$K$33,IF('Model Inputs &amp; Assumptions'!$H$33="CPM",'Model Inputs &amp; Assumptions'!$I$33*'Model Inputs &amp; Assumptions'!$K$33*C2803/1000,IF('Model Inputs &amp; Assumptions'!$H$33="CPC",'Model Inputs &amp; Assumptions'!$I$33*'Model Inputs &amp; Assumptions'!$K$33*G2803,0)))</f>
        <v>25000</v>
      </c>
      <c r="J2803" s="50" t="n">
        <f aca="false">H2803*INDEX('Model Inputs &amp; Assumptions'!$D$40:$D$42,MATCH('Model Inputs &amp; Assumptions'!$L$33,'Model Inputs &amp; Assumptions'!$A$40:$A$42,0))*INDEX('Model Inputs &amp; Assumptions'!$H$40:$H$42,MATCH('Model Inputs &amp; Assumptions'!$L$33,'Model Inputs &amp; Assumptions'!$A$40:$A$42,0))</f>
        <v>462407.852863007</v>
      </c>
      <c r="K2803" s="49" t="n">
        <f aca="false">H2803*INDEX('Model Inputs &amp; Assumptions'!$G$40:$G$42,MATCH('Model Inputs &amp; Assumptions'!$L$33,'Model Inputs &amp; Assumptions'!$A$40:$A$42,0))*INDEX('Model Inputs &amp; Assumptions'!$H$40:$H$42,MATCH('Model Inputs &amp; Assumptions'!$L$33,'Model Inputs &amp; Assumptions'!$A$40:$A$42,0))</f>
        <v>9710.56491012315</v>
      </c>
      <c r="L2803" s="51" t="n">
        <f aca="false">IFERROR(K2803/I2803,0)</f>
        <v>0.388422596404926</v>
      </c>
      <c r="M2803" s="49" t="n">
        <f aca="false">IFERROR(I2803/H2803,0)</f>
        <v>291.95005916129</v>
      </c>
      <c r="N2803" s="52" t="str">
        <f aca="false">'Model Inputs &amp; Assumptions'!$L$33</f>
        <v>PRD-SP01</v>
      </c>
      <c r="P2803" s="53" t="n">
        <v>-0.696647</v>
      </c>
      <c r="Q2803" s="53" t="n">
        <v>-0.857484</v>
      </c>
      <c r="R2803" s="53" t="n">
        <v>-0.793792</v>
      </c>
      <c r="S2803" s="53" t="n">
        <v>-1.48647</v>
      </c>
    </row>
    <row r="2804" customFormat="false" ht="15" hidden="false" customHeight="false" outlineLevel="0" collapsed="false">
      <c r="A2804" s="43" t="n">
        <v>301</v>
      </c>
      <c r="B2804" s="44" t="str">
        <f aca="false">'Model Inputs &amp; Assumptions'!$B$33</f>
        <v>Trade Republic — Savings Plan Push</v>
      </c>
      <c r="C2804" s="45" t="n">
        <f aca="false">ROUND(MAX(0,'Model Inputs &amp; Assumptions'!$S$33*EXP('Model Inputs &amp; Assumptions'!$T$33*P2804-'Model Inputs &amp; Assumptions'!$T$33^2/2)),0)</f>
        <v>1386548</v>
      </c>
      <c r="D2804" s="46" t="n">
        <f aca="false">MIN(1,'Model Inputs &amp; Assumptions'!$U$33*EXP('Model Inputs &amp; Assumptions'!$V$33*Q2804-'Model Inputs &amp; Assumptions'!$V$33^2/2))</f>
        <v>0</v>
      </c>
      <c r="E2804" s="45" t="n">
        <f aca="false">ROUND(C2804*D2804,0)</f>
        <v>0</v>
      </c>
      <c r="F2804" s="47" t="n">
        <f aca="false">MIN(1,'Model Inputs &amp; Assumptions'!$W$33*EXP('Model Inputs &amp; Assumptions'!$X$33*R2804-'Model Inputs &amp; Assumptions'!$X$33^2/2))</f>
        <v>0.00380640992683317</v>
      </c>
      <c r="G2804" s="45" t="n">
        <f aca="false">ROUND(C2804*F2804,0)</f>
        <v>5278</v>
      </c>
      <c r="H2804" s="48" t="n">
        <f aca="false">MAX(0,(C2804*'Model Inputs &amp; Assumptions'!$N$33+E2804*'Model Inputs &amp; Assumptions'!$O$33+G2804*'Model Inputs &amp; Assumptions'!$P$33)*EXP('Model Inputs &amp; Assumptions'!$Q$33*S2804-'Model Inputs &amp; Assumptions'!$Q$33^2/2))</f>
        <v>290.716470292732</v>
      </c>
      <c r="I2804" s="49" t="n">
        <f aca="false">IF('Model Inputs &amp; Assumptions'!$H$33="Fixed",'Model Inputs &amp; Assumptions'!$I$33*'Model Inputs &amp; Assumptions'!$K$33,IF('Model Inputs &amp; Assumptions'!$H$33="CPM",'Model Inputs &amp; Assumptions'!$I$33*'Model Inputs &amp; Assumptions'!$K$33*C2804/1000,IF('Model Inputs &amp; Assumptions'!$H$33="CPC",'Model Inputs &amp; Assumptions'!$I$33*'Model Inputs &amp; Assumptions'!$K$33*G2804,0)))</f>
        <v>25000</v>
      </c>
      <c r="J2804" s="50" t="n">
        <f aca="false">H2804*INDEX('Model Inputs &amp; Assumptions'!$D$40:$D$42,MATCH('Model Inputs &amp; Assumptions'!$L$33,'Model Inputs &amp; Assumptions'!$A$40:$A$42,0))*INDEX('Model Inputs &amp; Assumptions'!$H$40:$H$42,MATCH('Model Inputs &amp; Assumptions'!$L$33,'Model Inputs &amp; Assumptions'!$A$40:$A$42,0))</f>
        <v>1569868.93958075</v>
      </c>
      <c r="K2804" s="49" t="n">
        <f aca="false">H2804*INDEX('Model Inputs &amp; Assumptions'!$G$40:$G$42,MATCH('Model Inputs &amp; Assumptions'!$L$33,'Model Inputs &amp; Assumptions'!$A$40:$A$42,0))*INDEX('Model Inputs &amp; Assumptions'!$H$40:$H$42,MATCH('Model Inputs &amp; Assumptions'!$L$33,'Model Inputs &amp; Assumptions'!$A$40:$A$42,0))</f>
        <v>32967.2477311958</v>
      </c>
      <c r="L2804" s="51" t="n">
        <f aca="false">IFERROR(K2804/I2804,0)</f>
        <v>1.31868990924783</v>
      </c>
      <c r="M2804" s="49" t="n">
        <f aca="false">IFERROR(I2804/H2804,0)</f>
        <v>85.9944397881092</v>
      </c>
      <c r="N2804" s="52" t="str">
        <f aca="false">'Model Inputs &amp; Assumptions'!$L$33</f>
        <v>PRD-SP01</v>
      </c>
      <c r="P2804" s="53" t="n">
        <v>0.631652</v>
      </c>
      <c r="Q2804" s="53" t="n">
        <v>0.762987</v>
      </c>
      <c r="R2804" s="53" t="n">
        <v>0.429745</v>
      </c>
      <c r="S2804" s="53" t="n">
        <v>0.145243</v>
      </c>
    </row>
    <row r="2805" customFormat="false" ht="15" hidden="false" customHeight="false" outlineLevel="0" collapsed="false">
      <c r="A2805" s="43" t="n">
        <v>302</v>
      </c>
      <c r="B2805" s="44" t="str">
        <f aca="false">'Model Inputs &amp; Assumptions'!$B$33</f>
        <v>Trade Republic — Savings Plan Push</v>
      </c>
      <c r="C2805" s="45" t="n">
        <f aca="false">ROUND(MAX(0,'Model Inputs &amp; Assumptions'!$S$33*EXP('Model Inputs &amp; Assumptions'!$T$33*P2805-'Model Inputs &amp; Assumptions'!$T$33^2/2)),0)</f>
        <v>1890074</v>
      </c>
      <c r="D2805" s="46" t="n">
        <f aca="false">MIN(1,'Model Inputs &amp; Assumptions'!$U$33*EXP('Model Inputs &amp; Assumptions'!$V$33*Q2805-'Model Inputs &amp; Assumptions'!$V$33^2/2))</f>
        <v>0</v>
      </c>
      <c r="E2805" s="45" t="n">
        <f aca="false">ROUND(C2805*D2805,0)</f>
        <v>0</v>
      </c>
      <c r="F2805" s="47" t="n">
        <f aca="false">MIN(1,'Model Inputs &amp; Assumptions'!$W$33*EXP('Model Inputs &amp; Assumptions'!$X$33*R2805-'Model Inputs &amp; Assumptions'!$X$33^2/2))</f>
        <v>0.00344619997852503</v>
      </c>
      <c r="G2805" s="45" t="n">
        <f aca="false">ROUND(C2805*F2805,0)</f>
        <v>6514</v>
      </c>
      <c r="H2805" s="48" t="n">
        <f aca="false">MAX(0,(C2805*'Model Inputs &amp; Assumptions'!$N$33+E2805*'Model Inputs &amp; Assumptions'!$O$33+G2805*'Model Inputs &amp; Assumptions'!$P$33)*EXP('Model Inputs &amp; Assumptions'!$Q$33*S2805-'Model Inputs &amp; Assumptions'!$Q$33^2/2))</f>
        <v>314.093971078576</v>
      </c>
      <c r="I2805" s="49" t="n">
        <f aca="false">IF('Model Inputs &amp; Assumptions'!$H$33="Fixed",'Model Inputs &amp; Assumptions'!$I$33*'Model Inputs &amp; Assumptions'!$K$33,IF('Model Inputs &amp; Assumptions'!$H$33="CPM",'Model Inputs &amp; Assumptions'!$I$33*'Model Inputs &amp; Assumptions'!$K$33*C2805/1000,IF('Model Inputs &amp; Assumptions'!$H$33="CPC",'Model Inputs &amp; Assumptions'!$I$33*'Model Inputs &amp; Assumptions'!$K$33*G2805,0)))</f>
        <v>25000</v>
      </c>
      <c r="J2805" s="50" t="n">
        <f aca="false">H2805*INDEX('Model Inputs &amp; Assumptions'!$D$40:$D$42,MATCH('Model Inputs &amp; Assumptions'!$L$33,'Model Inputs &amp; Assumptions'!$A$40:$A$42,0))*INDEX('Model Inputs &amp; Assumptions'!$H$40:$H$42,MATCH('Model Inputs &amp; Assumptions'!$L$33,'Model Inputs &amp; Assumptions'!$A$40:$A$42,0))</f>
        <v>1696107.44382431</v>
      </c>
      <c r="K2805" s="49" t="n">
        <f aca="false">H2805*INDEX('Model Inputs &amp; Assumptions'!$G$40:$G$42,MATCH('Model Inputs &amp; Assumptions'!$L$33,'Model Inputs &amp; Assumptions'!$A$40:$A$42,0))*INDEX('Model Inputs &amp; Assumptions'!$H$40:$H$42,MATCH('Model Inputs &amp; Assumptions'!$L$33,'Model Inputs &amp; Assumptions'!$A$40:$A$42,0))</f>
        <v>35618.2563203105</v>
      </c>
      <c r="L2805" s="51" t="n">
        <f aca="false">IFERROR(K2805/I2805,0)</f>
        <v>1.42473025281242</v>
      </c>
      <c r="M2805" s="49" t="n">
        <f aca="false">IFERROR(I2805/H2805,0)</f>
        <v>79.5940142185851</v>
      </c>
      <c r="N2805" s="52" t="str">
        <f aca="false">'Model Inputs &amp; Assumptions'!$L$33</f>
        <v>PRD-SP01</v>
      </c>
      <c r="P2805" s="53" t="n">
        <v>1.664315</v>
      </c>
      <c r="Q2805" s="53" t="n">
        <v>-1.277951</v>
      </c>
      <c r="R2805" s="53" t="n">
        <v>0.098364</v>
      </c>
      <c r="S2805" s="53" t="n">
        <v>-0.329981</v>
      </c>
    </row>
    <row r="2806" customFormat="false" ht="15" hidden="false" customHeight="false" outlineLevel="0" collapsed="false">
      <c r="A2806" s="43" t="n">
        <v>303</v>
      </c>
      <c r="B2806" s="44" t="str">
        <f aca="false">'Model Inputs &amp; Assumptions'!$B$33</f>
        <v>Trade Republic — Savings Plan Push</v>
      </c>
      <c r="C2806" s="45" t="n">
        <f aca="false">ROUND(MAX(0,'Model Inputs &amp; Assumptions'!$S$33*EXP('Model Inputs &amp; Assumptions'!$T$33*P2806-'Model Inputs &amp; Assumptions'!$T$33^2/2)),0)</f>
        <v>1058928</v>
      </c>
      <c r="D2806" s="46" t="n">
        <f aca="false">MIN(1,'Model Inputs &amp; Assumptions'!$U$33*EXP('Model Inputs &amp; Assumptions'!$V$33*Q2806-'Model Inputs &amp; Assumptions'!$V$33^2/2))</f>
        <v>0</v>
      </c>
      <c r="E2806" s="45" t="n">
        <f aca="false">ROUND(C2806*D2806,0)</f>
        <v>0</v>
      </c>
      <c r="F2806" s="47" t="n">
        <f aca="false">MIN(1,'Model Inputs &amp; Assumptions'!$W$33*EXP('Model Inputs &amp; Assumptions'!$X$33*R2806-'Model Inputs &amp; Assumptions'!$X$33^2/2))</f>
        <v>0.00421294559155646</v>
      </c>
      <c r="G2806" s="45" t="n">
        <f aca="false">ROUND(C2806*F2806,0)</f>
        <v>4461</v>
      </c>
      <c r="H2806" s="48" t="n">
        <f aca="false">MAX(0,(C2806*'Model Inputs &amp; Assumptions'!$N$33+E2806*'Model Inputs &amp; Assumptions'!$O$33+G2806*'Model Inputs &amp; Assumptions'!$P$33)*EXP('Model Inputs &amp; Assumptions'!$Q$33*S2806-'Model Inputs &amp; Assumptions'!$Q$33^2/2))</f>
        <v>224.312727109965</v>
      </c>
      <c r="I2806" s="49" t="n">
        <f aca="false">IF('Model Inputs &amp; Assumptions'!$H$33="Fixed",'Model Inputs &amp; Assumptions'!$I$33*'Model Inputs &amp; Assumptions'!$K$33,IF('Model Inputs &amp; Assumptions'!$H$33="CPM",'Model Inputs &amp; Assumptions'!$I$33*'Model Inputs &amp; Assumptions'!$K$33*C2806/1000,IF('Model Inputs &amp; Assumptions'!$H$33="CPC",'Model Inputs &amp; Assumptions'!$I$33*'Model Inputs &amp; Assumptions'!$K$33*G2806,0)))</f>
        <v>25000</v>
      </c>
      <c r="J2806" s="50" t="n">
        <f aca="false">H2806*INDEX('Model Inputs &amp; Assumptions'!$D$40:$D$42,MATCH('Model Inputs &amp; Assumptions'!$L$33,'Model Inputs &amp; Assumptions'!$A$40:$A$42,0))*INDEX('Model Inputs &amp; Assumptions'!$H$40:$H$42,MATCH('Model Inputs &amp; Assumptions'!$L$33,'Model Inputs &amp; Assumptions'!$A$40:$A$42,0))</f>
        <v>1211288.72639381</v>
      </c>
      <c r="K2806" s="49" t="n">
        <f aca="false">H2806*INDEX('Model Inputs &amp; Assumptions'!$G$40:$G$42,MATCH('Model Inputs &amp; Assumptions'!$L$33,'Model Inputs &amp; Assumptions'!$A$40:$A$42,0))*INDEX('Model Inputs &amp; Assumptions'!$H$40:$H$42,MATCH('Model Inputs &amp; Assumptions'!$L$33,'Model Inputs &amp; Assumptions'!$A$40:$A$42,0))</f>
        <v>25437.06325427</v>
      </c>
      <c r="L2806" s="51" t="n">
        <f aca="false">IFERROR(K2806/I2806,0)</f>
        <v>1.0174825301708</v>
      </c>
      <c r="M2806" s="49" t="n">
        <f aca="false">IFERROR(I2806/H2806,0)</f>
        <v>111.451545001921</v>
      </c>
      <c r="N2806" s="52" t="str">
        <f aca="false">'Model Inputs &amp; Assumptions'!$L$33</f>
        <v>PRD-SP01</v>
      </c>
      <c r="P2806" s="53" t="n">
        <v>-0.266881</v>
      </c>
      <c r="Q2806" s="53" t="n">
        <v>0.064967</v>
      </c>
      <c r="R2806" s="53" t="n">
        <v>0.767997</v>
      </c>
      <c r="S2806" s="53" t="n">
        <v>-0.180232</v>
      </c>
    </row>
    <row r="2807" customFormat="false" ht="15" hidden="false" customHeight="false" outlineLevel="0" collapsed="false">
      <c r="A2807" s="43" t="n">
        <v>304</v>
      </c>
      <c r="B2807" s="44" t="str">
        <f aca="false">'Model Inputs &amp; Assumptions'!$B$33</f>
        <v>Trade Republic — Savings Plan Push</v>
      </c>
      <c r="C2807" s="45" t="n">
        <f aca="false">ROUND(MAX(0,'Model Inputs &amp; Assumptions'!$S$33*EXP('Model Inputs &amp; Assumptions'!$T$33*P2807-'Model Inputs &amp; Assumptions'!$T$33^2/2)),0)</f>
        <v>2182773</v>
      </c>
      <c r="D2807" s="46" t="n">
        <f aca="false">MIN(1,'Model Inputs &amp; Assumptions'!$U$33*EXP('Model Inputs &amp; Assumptions'!$V$33*Q2807-'Model Inputs &amp; Assumptions'!$V$33^2/2))</f>
        <v>0</v>
      </c>
      <c r="E2807" s="45" t="n">
        <f aca="false">ROUND(C2807*D2807,0)</f>
        <v>0</v>
      </c>
      <c r="F2807" s="47" t="n">
        <f aca="false">MIN(1,'Model Inputs &amp; Assumptions'!$W$33*EXP('Model Inputs &amp; Assumptions'!$X$33*R2807-'Model Inputs &amp; Assumptions'!$X$33^2/2))</f>
        <v>0.00373768437459492</v>
      </c>
      <c r="G2807" s="45" t="n">
        <f aca="false">ROUND(C2807*F2807,0)</f>
        <v>8159</v>
      </c>
      <c r="H2807" s="48" t="n">
        <f aca="false">MAX(0,(C2807*'Model Inputs &amp; Assumptions'!$N$33+E2807*'Model Inputs &amp; Assumptions'!$O$33+G2807*'Model Inputs &amp; Assumptions'!$P$33)*EXP('Model Inputs &amp; Assumptions'!$Q$33*S2807-'Model Inputs &amp; Assumptions'!$Q$33^2/2))</f>
        <v>231.309119978367</v>
      </c>
      <c r="I2807" s="49" t="n">
        <f aca="false">IF('Model Inputs &amp; Assumptions'!$H$33="Fixed",'Model Inputs &amp; Assumptions'!$I$33*'Model Inputs &amp; Assumptions'!$K$33,IF('Model Inputs &amp; Assumptions'!$H$33="CPM",'Model Inputs &amp; Assumptions'!$I$33*'Model Inputs &amp; Assumptions'!$K$33*C2807/1000,IF('Model Inputs &amp; Assumptions'!$H$33="CPC",'Model Inputs &amp; Assumptions'!$I$33*'Model Inputs &amp; Assumptions'!$K$33*G2807,0)))</f>
        <v>25000</v>
      </c>
      <c r="J2807" s="50" t="n">
        <f aca="false">H2807*INDEX('Model Inputs &amp; Assumptions'!$D$40:$D$42,MATCH('Model Inputs &amp; Assumptions'!$L$33,'Model Inputs &amp; Assumptions'!$A$40:$A$42,0))*INDEX('Model Inputs &amp; Assumptions'!$H$40:$H$42,MATCH('Model Inputs &amp; Assumptions'!$L$33,'Model Inputs &amp; Assumptions'!$A$40:$A$42,0))</f>
        <v>1249069.24788318</v>
      </c>
      <c r="K2807" s="49" t="n">
        <f aca="false">H2807*INDEX('Model Inputs &amp; Assumptions'!$G$40:$G$42,MATCH('Model Inputs &amp; Assumptions'!$L$33,'Model Inputs &amp; Assumptions'!$A$40:$A$42,0))*INDEX('Model Inputs &amp; Assumptions'!$H$40:$H$42,MATCH('Model Inputs &amp; Assumptions'!$L$33,'Model Inputs &amp; Assumptions'!$A$40:$A$42,0))</f>
        <v>26230.4542055468</v>
      </c>
      <c r="L2807" s="51" t="n">
        <f aca="false">IFERROR(K2807/I2807,0)</f>
        <v>1.04921816822187</v>
      </c>
      <c r="M2807" s="49" t="n">
        <f aca="false">IFERROR(I2807/H2807,0)</f>
        <v>108.080476906134</v>
      </c>
      <c r="N2807" s="52" t="str">
        <f aca="false">'Model Inputs &amp; Assumptions'!$L$33</f>
        <v>PRD-SP01</v>
      </c>
      <c r="P2807" s="53" t="n">
        <v>2.144249</v>
      </c>
      <c r="Q2807" s="53" t="n">
        <v>-0.298153</v>
      </c>
      <c r="R2807" s="53" t="n">
        <v>0.369011</v>
      </c>
      <c r="S2807" s="53" t="n">
        <v>-2.226785</v>
      </c>
    </row>
    <row r="2808" customFormat="false" ht="15" hidden="false" customHeight="false" outlineLevel="0" collapsed="false">
      <c r="A2808" s="43" t="n">
        <v>305</v>
      </c>
      <c r="B2808" s="44" t="str">
        <f aca="false">'Model Inputs &amp; Assumptions'!$B$33</f>
        <v>Trade Republic — Savings Plan Push</v>
      </c>
      <c r="C2808" s="45" t="n">
        <f aca="false">ROUND(MAX(0,'Model Inputs &amp; Assumptions'!$S$33*EXP('Model Inputs &amp; Assumptions'!$T$33*P2808-'Model Inputs &amp; Assumptions'!$T$33^2/2)),0)</f>
        <v>1728395</v>
      </c>
      <c r="D2808" s="46" t="n">
        <f aca="false">MIN(1,'Model Inputs &amp; Assumptions'!$U$33*EXP('Model Inputs &amp; Assumptions'!$V$33*Q2808-'Model Inputs &amp; Assumptions'!$V$33^2/2))</f>
        <v>0</v>
      </c>
      <c r="E2808" s="45" t="n">
        <f aca="false">ROUND(C2808*D2808,0)</f>
        <v>0</v>
      </c>
      <c r="F2808" s="47" t="n">
        <f aca="false">MIN(1,'Model Inputs &amp; Assumptions'!$W$33*EXP('Model Inputs &amp; Assumptions'!$X$33*R2808-'Model Inputs &amp; Assumptions'!$X$33^2/2))</f>
        <v>0.00409297859769798</v>
      </c>
      <c r="G2808" s="45" t="n">
        <f aca="false">ROUND(C2808*F2808,0)</f>
        <v>7074</v>
      </c>
      <c r="H2808" s="48" t="n">
        <f aca="false">MAX(0,(C2808*'Model Inputs &amp; Assumptions'!$N$33+E2808*'Model Inputs &amp; Assumptions'!$O$33+G2808*'Model Inputs &amp; Assumptions'!$P$33)*EXP('Model Inputs &amp; Assumptions'!$Q$33*S2808-'Model Inputs &amp; Assumptions'!$Q$33^2/2))</f>
        <v>443.126054075705</v>
      </c>
      <c r="I2808" s="49" t="n">
        <f aca="false">IF('Model Inputs &amp; Assumptions'!$H$33="Fixed",'Model Inputs &amp; Assumptions'!$I$33*'Model Inputs &amp; Assumptions'!$K$33,IF('Model Inputs &amp; Assumptions'!$H$33="CPM",'Model Inputs &amp; Assumptions'!$I$33*'Model Inputs &amp; Assumptions'!$K$33*C2808/1000,IF('Model Inputs &amp; Assumptions'!$H$33="CPC",'Model Inputs &amp; Assumptions'!$I$33*'Model Inputs &amp; Assumptions'!$K$33*G2808,0)))</f>
        <v>25000</v>
      </c>
      <c r="J2808" s="50" t="n">
        <f aca="false">H2808*INDEX('Model Inputs &amp; Assumptions'!$D$40:$D$42,MATCH('Model Inputs &amp; Assumptions'!$L$33,'Model Inputs &amp; Assumptions'!$A$40:$A$42,0))*INDEX('Model Inputs &amp; Assumptions'!$H$40:$H$42,MATCH('Model Inputs &amp; Assumptions'!$L$33,'Model Inputs &amp; Assumptions'!$A$40:$A$42,0))</f>
        <v>2392880.69200881</v>
      </c>
      <c r="K2808" s="49" t="n">
        <f aca="false">H2808*INDEX('Model Inputs &amp; Assumptions'!$G$40:$G$42,MATCH('Model Inputs &amp; Assumptions'!$L$33,'Model Inputs &amp; Assumptions'!$A$40:$A$42,0))*INDEX('Model Inputs &amp; Assumptions'!$H$40:$H$42,MATCH('Model Inputs &amp; Assumptions'!$L$33,'Model Inputs &amp; Assumptions'!$A$40:$A$42,0))</f>
        <v>50250.4945321849</v>
      </c>
      <c r="L2808" s="51" t="n">
        <f aca="false">IFERROR(K2808/I2808,0)</f>
        <v>2.0100197812874</v>
      </c>
      <c r="M2808" s="49" t="n">
        <f aca="false">IFERROR(I2808/H2808,0)</f>
        <v>56.4173552199414</v>
      </c>
      <c r="N2808" s="52" t="str">
        <f aca="false">'Model Inputs &amp; Assumptions'!$L$33</f>
        <v>PRD-SP01</v>
      </c>
      <c r="P2808" s="53" t="n">
        <v>1.366239</v>
      </c>
      <c r="Q2808" s="53" t="n">
        <v>0.256072</v>
      </c>
      <c r="R2808" s="53" t="n">
        <v>0.6717</v>
      </c>
      <c r="S2808" s="53" t="n">
        <v>0.604625</v>
      </c>
    </row>
    <row r="2809" customFormat="false" ht="15" hidden="false" customHeight="false" outlineLevel="0" collapsed="false">
      <c r="A2809" s="43" t="n">
        <v>306</v>
      </c>
      <c r="B2809" s="44" t="str">
        <f aca="false">'Model Inputs &amp; Assumptions'!$B$33</f>
        <v>Trade Republic — Savings Plan Push</v>
      </c>
      <c r="C2809" s="45" t="n">
        <f aca="false">ROUND(MAX(0,'Model Inputs &amp; Assumptions'!$S$33*EXP('Model Inputs &amp; Assumptions'!$T$33*P2809-'Model Inputs &amp; Assumptions'!$T$33^2/2)),0)</f>
        <v>843265</v>
      </c>
      <c r="D2809" s="46" t="n">
        <f aca="false">MIN(1,'Model Inputs &amp; Assumptions'!$U$33*EXP('Model Inputs &amp; Assumptions'!$V$33*Q2809-'Model Inputs &amp; Assumptions'!$V$33^2/2))</f>
        <v>0</v>
      </c>
      <c r="E2809" s="45" t="n">
        <f aca="false">ROUND(C2809*D2809,0)</f>
        <v>0</v>
      </c>
      <c r="F2809" s="47" t="n">
        <f aca="false">MIN(1,'Model Inputs &amp; Assumptions'!$W$33*EXP('Model Inputs &amp; Assumptions'!$X$33*R2809-'Model Inputs &amp; Assumptions'!$X$33^2/2))</f>
        <v>0.0024937790943503</v>
      </c>
      <c r="G2809" s="45" t="n">
        <f aca="false">ROUND(C2809*F2809,0)</f>
        <v>2103</v>
      </c>
      <c r="H2809" s="48" t="n">
        <f aca="false">MAX(0,(C2809*'Model Inputs &amp; Assumptions'!$N$33+E2809*'Model Inputs &amp; Assumptions'!$O$33+G2809*'Model Inputs &amp; Assumptions'!$P$33)*EXP('Model Inputs &amp; Assumptions'!$Q$33*S2809-'Model Inputs &amp; Assumptions'!$Q$33^2/2))</f>
        <v>131.151533892176</v>
      </c>
      <c r="I2809" s="49" t="n">
        <f aca="false">IF('Model Inputs &amp; Assumptions'!$H$33="Fixed",'Model Inputs &amp; Assumptions'!$I$33*'Model Inputs &amp; Assumptions'!$K$33,IF('Model Inputs &amp; Assumptions'!$H$33="CPM",'Model Inputs &amp; Assumptions'!$I$33*'Model Inputs &amp; Assumptions'!$K$33*C2809/1000,IF('Model Inputs &amp; Assumptions'!$H$33="CPC",'Model Inputs &amp; Assumptions'!$I$33*'Model Inputs &amp; Assumptions'!$K$33*G2809,0)))</f>
        <v>25000</v>
      </c>
      <c r="J2809" s="50" t="n">
        <f aca="false">H2809*INDEX('Model Inputs &amp; Assumptions'!$D$40:$D$42,MATCH('Model Inputs &amp; Assumptions'!$L$33,'Model Inputs &amp; Assumptions'!$A$40:$A$42,0))*INDEX('Model Inputs &amp; Assumptions'!$H$40:$H$42,MATCH('Model Inputs &amp; Assumptions'!$L$33,'Model Inputs &amp; Assumptions'!$A$40:$A$42,0))</f>
        <v>708218.283017749</v>
      </c>
      <c r="K2809" s="49" t="n">
        <f aca="false">H2809*INDEX('Model Inputs &amp; Assumptions'!$G$40:$G$42,MATCH('Model Inputs &amp; Assumptions'!$L$33,'Model Inputs &amp; Assumptions'!$A$40:$A$42,0))*INDEX('Model Inputs &amp; Assumptions'!$H$40:$H$42,MATCH('Model Inputs &amp; Assumptions'!$L$33,'Model Inputs &amp; Assumptions'!$A$40:$A$42,0))</f>
        <v>14872.5839433727</v>
      </c>
      <c r="L2809" s="51" t="n">
        <f aca="false">IFERROR(K2809/I2809,0)</f>
        <v>0.594903357734909</v>
      </c>
      <c r="M2809" s="49" t="n">
        <f aca="false">IFERROR(I2809/H2809,0)</f>
        <v>190.619196421701</v>
      </c>
      <c r="N2809" s="52" t="str">
        <f aca="false">'Model Inputs &amp; Assumptions'!$L$33</f>
        <v>PRD-SP01</v>
      </c>
      <c r="P2809" s="53" t="n">
        <v>-1.025984</v>
      </c>
      <c r="Q2809" s="53" t="n">
        <v>0.284975</v>
      </c>
      <c r="R2809" s="53" t="n">
        <v>-0.979879</v>
      </c>
      <c r="S2809" s="53" t="n">
        <v>0.588769</v>
      </c>
    </row>
    <row r="2810" customFormat="false" ht="15" hidden="false" customHeight="false" outlineLevel="0" collapsed="false">
      <c r="A2810" s="43" t="n">
        <v>307</v>
      </c>
      <c r="B2810" s="44" t="str">
        <f aca="false">'Model Inputs &amp; Assumptions'!$B$33</f>
        <v>Trade Republic — Savings Plan Push</v>
      </c>
      <c r="C2810" s="45" t="n">
        <f aca="false">ROUND(MAX(0,'Model Inputs &amp; Assumptions'!$S$33*EXP('Model Inputs &amp; Assumptions'!$T$33*P2810-'Model Inputs &amp; Assumptions'!$T$33^2/2)),0)</f>
        <v>1097486</v>
      </c>
      <c r="D2810" s="46" t="n">
        <f aca="false">MIN(1,'Model Inputs &amp; Assumptions'!$U$33*EXP('Model Inputs &amp; Assumptions'!$V$33*Q2810-'Model Inputs &amp; Assumptions'!$V$33^2/2))</f>
        <v>0</v>
      </c>
      <c r="E2810" s="45" t="n">
        <f aca="false">ROUND(C2810*D2810,0)</f>
        <v>0</v>
      </c>
      <c r="F2810" s="47" t="n">
        <f aca="false">MIN(1,'Model Inputs &amp; Assumptions'!$W$33*EXP('Model Inputs &amp; Assumptions'!$X$33*R2810-'Model Inputs &amp; Assumptions'!$X$33^2/2))</f>
        <v>0.00375000760693165</v>
      </c>
      <c r="G2810" s="45" t="n">
        <f aca="false">ROUND(C2810*F2810,0)</f>
        <v>4116</v>
      </c>
      <c r="H2810" s="48" t="n">
        <f aca="false">MAX(0,(C2810*'Model Inputs &amp; Assumptions'!$N$33+E2810*'Model Inputs &amp; Assumptions'!$O$33+G2810*'Model Inputs &amp; Assumptions'!$P$33)*EXP('Model Inputs &amp; Assumptions'!$Q$33*S2810-'Model Inputs &amp; Assumptions'!$Q$33^2/2))</f>
        <v>173.134073071966</v>
      </c>
      <c r="I2810" s="49" t="n">
        <f aca="false">IF('Model Inputs &amp; Assumptions'!$H$33="Fixed",'Model Inputs &amp; Assumptions'!$I$33*'Model Inputs &amp; Assumptions'!$K$33,IF('Model Inputs &amp; Assumptions'!$H$33="CPM",'Model Inputs &amp; Assumptions'!$I$33*'Model Inputs &amp; Assumptions'!$K$33*C2810/1000,IF('Model Inputs &amp; Assumptions'!$H$33="CPC",'Model Inputs &amp; Assumptions'!$I$33*'Model Inputs &amp; Assumptions'!$K$33*G2810,0)))</f>
        <v>25000</v>
      </c>
      <c r="J2810" s="50" t="n">
        <f aca="false">H2810*INDEX('Model Inputs &amp; Assumptions'!$D$40:$D$42,MATCH('Model Inputs &amp; Assumptions'!$L$33,'Model Inputs &amp; Assumptions'!$A$40:$A$42,0))*INDEX('Model Inputs &amp; Assumptions'!$H$40:$H$42,MATCH('Model Inputs &amp; Assumptions'!$L$33,'Model Inputs &amp; Assumptions'!$A$40:$A$42,0))</f>
        <v>934923.994588615</v>
      </c>
      <c r="K2810" s="49" t="n">
        <f aca="false">H2810*INDEX('Model Inputs &amp; Assumptions'!$G$40:$G$42,MATCH('Model Inputs &amp; Assumptions'!$L$33,'Model Inputs &amp; Assumptions'!$A$40:$A$42,0))*INDEX('Model Inputs &amp; Assumptions'!$H$40:$H$42,MATCH('Model Inputs &amp; Assumptions'!$L$33,'Model Inputs &amp; Assumptions'!$A$40:$A$42,0))</f>
        <v>19633.4038863609</v>
      </c>
      <c r="L2810" s="51" t="n">
        <f aca="false">IFERROR(K2810/I2810,0)</f>
        <v>0.785336155454437</v>
      </c>
      <c r="M2810" s="49" t="n">
        <f aca="false">IFERROR(I2810/H2810,0)</f>
        <v>144.396764636897</v>
      </c>
      <c r="N2810" s="52" t="str">
        <f aca="false">'Model Inputs &amp; Assumptions'!$L$33</f>
        <v>PRD-SP01</v>
      </c>
      <c r="P2810" s="53" t="n">
        <v>-0.147665</v>
      </c>
      <c r="Q2810" s="53" t="n">
        <v>0.349017</v>
      </c>
      <c r="R2810" s="53" t="n">
        <v>0.379983</v>
      </c>
      <c r="S2810" s="53" t="n">
        <v>-0.817674</v>
      </c>
    </row>
    <row r="2811" customFormat="false" ht="15" hidden="false" customHeight="false" outlineLevel="0" collapsed="false">
      <c r="A2811" s="43" t="n">
        <v>308</v>
      </c>
      <c r="B2811" s="44" t="str">
        <f aca="false">'Model Inputs &amp; Assumptions'!$B$33</f>
        <v>Trade Republic — Savings Plan Push</v>
      </c>
      <c r="C2811" s="45" t="n">
        <f aca="false">ROUND(MAX(0,'Model Inputs &amp; Assumptions'!$S$33*EXP('Model Inputs &amp; Assumptions'!$T$33*P2811-'Model Inputs &amp; Assumptions'!$T$33^2/2)),0)</f>
        <v>1147623</v>
      </c>
      <c r="D2811" s="46" t="n">
        <f aca="false">MIN(1,'Model Inputs &amp; Assumptions'!$U$33*EXP('Model Inputs &amp; Assumptions'!$V$33*Q2811-'Model Inputs &amp; Assumptions'!$V$33^2/2))</f>
        <v>0</v>
      </c>
      <c r="E2811" s="45" t="n">
        <f aca="false">ROUND(C2811*D2811,0)</f>
        <v>0</v>
      </c>
      <c r="F2811" s="47" t="n">
        <f aca="false">MIN(1,'Model Inputs &amp; Assumptions'!$W$33*EXP('Model Inputs &amp; Assumptions'!$X$33*R2811-'Model Inputs &amp; Assumptions'!$X$33^2/2))</f>
        <v>0.00353257677236998</v>
      </c>
      <c r="G2811" s="45" t="n">
        <f aca="false">ROUND(C2811*F2811,0)</f>
        <v>4054</v>
      </c>
      <c r="H2811" s="48" t="n">
        <f aca="false">MAX(0,(C2811*'Model Inputs &amp; Assumptions'!$N$33+E2811*'Model Inputs &amp; Assumptions'!$O$33+G2811*'Model Inputs &amp; Assumptions'!$P$33)*EXP('Model Inputs &amp; Assumptions'!$Q$33*S2811-'Model Inputs &amp; Assumptions'!$Q$33^2/2))</f>
        <v>342.768712885314</v>
      </c>
      <c r="I2811" s="49" t="n">
        <f aca="false">IF('Model Inputs &amp; Assumptions'!$H$33="Fixed",'Model Inputs &amp; Assumptions'!$I$33*'Model Inputs &amp; Assumptions'!$K$33,IF('Model Inputs &amp; Assumptions'!$H$33="CPM",'Model Inputs &amp; Assumptions'!$I$33*'Model Inputs &amp; Assumptions'!$K$33*C2811/1000,IF('Model Inputs &amp; Assumptions'!$H$33="CPC",'Model Inputs &amp; Assumptions'!$I$33*'Model Inputs &amp; Assumptions'!$K$33*G2811,0)))</f>
        <v>25000</v>
      </c>
      <c r="J2811" s="50" t="n">
        <f aca="false">H2811*INDEX('Model Inputs &amp; Assumptions'!$D$40:$D$42,MATCH('Model Inputs &amp; Assumptions'!$L$33,'Model Inputs &amp; Assumptions'!$A$40:$A$42,0))*INDEX('Model Inputs &amp; Assumptions'!$H$40:$H$42,MATCH('Model Inputs &amp; Assumptions'!$L$33,'Model Inputs &amp; Assumptions'!$A$40:$A$42,0))</f>
        <v>1850951.0495807</v>
      </c>
      <c r="K2811" s="49" t="n">
        <f aca="false">H2811*INDEX('Model Inputs &amp; Assumptions'!$G$40:$G$42,MATCH('Model Inputs &amp; Assumptions'!$L$33,'Model Inputs &amp; Assumptions'!$A$40:$A$42,0))*INDEX('Model Inputs &amp; Assumptions'!$H$40:$H$42,MATCH('Model Inputs &amp; Assumptions'!$L$33,'Model Inputs &amp; Assumptions'!$A$40:$A$42,0))</f>
        <v>38869.9720411946</v>
      </c>
      <c r="L2811" s="51" t="n">
        <f aca="false">IFERROR(K2811/I2811,0)</f>
        <v>1.55479888164778</v>
      </c>
      <c r="M2811" s="49" t="n">
        <f aca="false">IFERROR(I2811/H2811,0)</f>
        <v>72.9354782400011</v>
      </c>
      <c r="N2811" s="52" t="str">
        <f aca="false">'Model Inputs &amp; Assumptions'!$L$33</f>
        <v>PRD-SP01</v>
      </c>
      <c r="P2811" s="53" t="n">
        <v>0.001239</v>
      </c>
      <c r="Q2811" s="53" t="n">
        <v>-0.679296</v>
      </c>
      <c r="R2811" s="53" t="n">
        <v>0.180882</v>
      </c>
      <c r="S2811" s="53" t="n">
        <v>1.675781</v>
      </c>
    </row>
    <row r="2812" customFormat="false" ht="15" hidden="false" customHeight="false" outlineLevel="0" collapsed="false">
      <c r="A2812" s="43" t="n">
        <v>309</v>
      </c>
      <c r="B2812" s="44" t="str">
        <f aca="false">'Model Inputs &amp; Assumptions'!$B$33</f>
        <v>Trade Republic — Savings Plan Push</v>
      </c>
      <c r="C2812" s="45" t="n">
        <f aca="false">ROUND(MAX(0,'Model Inputs &amp; Assumptions'!$S$33*EXP('Model Inputs &amp; Assumptions'!$T$33*P2812-'Model Inputs &amp; Assumptions'!$T$33^2/2)),0)</f>
        <v>1283368</v>
      </c>
      <c r="D2812" s="46" t="n">
        <f aca="false">MIN(1,'Model Inputs &amp; Assumptions'!$U$33*EXP('Model Inputs &amp; Assumptions'!$V$33*Q2812-'Model Inputs &amp; Assumptions'!$V$33^2/2))</f>
        <v>0</v>
      </c>
      <c r="E2812" s="45" t="n">
        <f aca="false">ROUND(C2812*D2812,0)</f>
        <v>0</v>
      </c>
      <c r="F2812" s="47" t="n">
        <f aca="false">MIN(1,'Model Inputs &amp; Assumptions'!$W$33*EXP('Model Inputs &amp; Assumptions'!$X$33*R2812-'Model Inputs &amp; Assumptions'!$X$33^2/2))</f>
        <v>0.00290106400650215</v>
      </c>
      <c r="G2812" s="45" t="n">
        <f aca="false">ROUND(C2812*F2812,0)</f>
        <v>3723</v>
      </c>
      <c r="H2812" s="48" t="n">
        <f aca="false">MAX(0,(C2812*'Model Inputs &amp; Assumptions'!$N$33+E2812*'Model Inputs &amp; Assumptions'!$O$33+G2812*'Model Inputs &amp; Assumptions'!$P$33)*EXP('Model Inputs &amp; Assumptions'!$Q$33*S2812-'Model Inputs &amp; Assumptions'!$Q$33^2/2))</f>
        <v>235.932970203853</v>
      </c>
      <c r="I2812" s="49" t="n">
        <f aca="false">IF('Model Inputs &amp; Assumptions'!$H$33="Fixed",'Model Inputs &amp; Assumptions'!$I$33*'Model Inputs &amp; Assumptions'!$K$33,IF('Model Inputs &amp; Assumptions'!$H$33="CPM",'Model Inputs &amp; Assumptions'!$I$33*'Model Inputs &amp; Assumptions'!$K$33*C2812/1000,IF('Model Inputs &amp; Assumptions'!$H$33="CPC",'Model Inputs &amp; Assumptions'!$I$33*'Model Inputs &amp; Assumptions'!$K$33*G2812,0)))</f>
        <v>25000</v>
      </c>
      <c r="J2812" s="50" t="n">
        <f aca="false">H2812*INDEX('Model Inputs &amp; Assumptions'!$D$40:$D$42,MATCH('Model Inputs &amp; Assumptions'!$L$33,'Model Inputs &amp; Assumptions'!$A$40:$A$42,0))*INDEX('Model Inputs &amp; Assumptions'!$H$40:$H$42,MATCH('Model Inputs &amp; Assumptions'!$L$33,'Model Inputs &amp; Assumptions'!$A$40:$A$42,0))</f>
        <v>1274038.03910081</v>
      </c>
      <c r="K2812" s="49" t="n">
        <f aca="false">H2812*INDEX('Model Inputs &amp; Assumptions'!$G$40:$G$42,MATCH('Model Inputs &amp; Assumptions'!$L$33,'Model Inputs &amp; Assumptions'!$A$40:$A$42,0))*INDEX('Model Inputs &amp; Assumptions'!$H$40:$H$42,MATCH('Model Inputs &amp; Assumptions'!$L$33,'Model Inputs &amp; Assumptions'!$A$40:$A$42,0))</f>
        <v>26754.7988211169</v>
      </c>
      <c r="L2812" s="51" t="n">
        <f aca="false">IFERROR(K2812/I2812,0)</f>
        <v>1.07019195284468</v>
      </c>
      <c r="M2812" s="49" t="n">
        <f aca="false">IFERROR(I2812/H2812,0)</f>
        <v>105.962299285256</v>
      </c>
      <c r="N2812" s="52" t="str">
        <f aca="false">'Model Inputs &amp; Assumptions'!$L$33</f>
        <v>PRD-SP01</v>
      </c>
      <c r="P2812" s="53" t="n">
        <v>0.373887</v>
      </c>
      <c r="Q2812" s="53" t="n">
        <v>0.944997</v>
      </c>
      <c r="R2812" s="53" t="n">
        <v>-0.475618</v>
      </c>
      <c r="S2812" s="53" t="n">
        <v>0.646017</v>
      </c>
    </row>
    <row r="2813" customFormat="false" ht="15" hidden="false" customHeight="false" outlineLevel="0" collapsed="false">
      <c r="A2813" s="43" t="n">
        <v>310</v>
      </c>
      <c r="B2813" s="44" t="str">
        <f aca="false">'Model Inputs &amp; Assumptions'!$B$33</f>
        <v>Trade Republic — Savings Plan Push</v>
      </c>
      <c r="C2813" s="45" t="n">
        <f aca="false">ROUND(MAX(0,'Model Inputs &amp; Assumptions'!$S$33*EXP('Model Inputs &amp; Assumptions'!$T$33*P2813-'Model Inputs &amp; Assumptions'!$T$33^2/2)),0)</f>
        <v>1490965</v>
      </c>
      <c r="D2813" s="46" t="n">
        <f aca="false">MIN(1,'Model Inputs &amp; Assumptions'!$U$33*EXP('Model Inputs &amp; Assumptions'!$V$33*Q2813-'Model Inputs &amp; Assumptions'!$V$33^2/2))</f>
        <v>0</v>
      </c>
      <c r="E2813" s="45" t="n">
        <f aca="false">ROUND(C2813*D2813,0)</f>
        <v>0</v>
      </c>
      <c r="F2813" s="47" t="n">
        <f aca="false">MIN(1,'Model Inputs &amp; Assumptions'!$W$33*EXP('Model Inputs &amp; Assumptions'!$X$33*R2813-'Model Inputs &amp; Assumptions'!$X$33^2/2))</f>
        <v>0.0020567572015756</v>
      </c>
      <c r="G2813" s="45" t="n">
        <f aca="false">ROUND(C2813*F2813,0)</f>
        <v>3067</v>
      </c>
      <c r="H2813" s="48" t="n">
        <f aca="false">MAX(0,(C2813*'Model Inputs &amp; Assumptions'!$N$33+E2813*'Model Inputs &amp; Assumptions'!$O$33+G2813*'Model Inputs &amp; Assumptions'!$P$33)*EXP('Model Inputs &amp; Assumptions'!$Q$33*S2813-'Model Inputs &amp; Assumptions'!$Q$33^2/2))</f>
        <v>113.028761216293</v>
      </c>
      <c r="I2813" s="49" t="n">
        <f aca="false">IF('Model Inputs &amp; Assumptions'!$H$33="Fixed",'Model Inputs &amp; Assumptions'!$I$33*'Model Inputs &amp; Assumptions'!$K$33,IF('Model Inputs &amp; Assumptions'!$H$33="CPM",'Model Inputs &amp; Assumptions'!$I$33*'Model Inputs &amp; Assumptions'!$K$33*C2813/1000,IF('Model Inputs &amp; Assumptions'!$H$33="CPC",'Model Inputs &amp; Assumptions'!$I$33*'Model Inputs &amp; Assumptions'!$K$33*G2813,0)))</f>
        <v>25000</v>
      </c>
      <c r="J2813" s="50" t="n">
        <f aca="false">H2813*INDEX('Model Inputs &amp; Assumptions'!$D$40:$D$42,MATCH('Model Inputs &amp; Assumptions'!$L$33,'Model Inputs &amp; Assumptions'!$A$40:$A$42,0))*INDEX('Model Inputs &amp; Assumptions'!$H$40:$H$42,MATCH('Model Inputs &amp; Assumptions'!$L$33,'Model Inputs &amp; Assumptions'!$A$40:$A$42,0))</f>
        <v>610355.310567983</v>
      </c>
      <c r="K2813" s="49" t="n">
        <f aca="false">H2813*INDEX('Model Inputs &amp; Assumptions'!$G$40:$G$42,MATCH('Model Inputs &amp; Assumptions'!$L$33,'Model Inputs &amp; Assumptions'!$A$40:$A$42,0))*INDEX('Model Inputs &amp; Assumptions'!$H$40:$H$42,MATCH('Model Inputs &amp; Assumptions'!$L$33,'Model Inputs &amp; Assumptions'!$A$40:$A$42,0))</f>
        <v>12817.4615219276</v>
      </c>
      <c r="L2813" s="51" t="n">
        <f aca="false">IFERROR(K2813/I2813,0)</f>
        <v>0.512698460877106</v>
      </c>
      <c r="M2813" s="49" t="n">
        <f aca="false">IFERROR(I2813/H2813,0)</f>
        <v>221.182641753984</v>
      </c>
      <c r="N2813" s="52" t="str">
        <f aca="false">'Model Inputs &amp; Assumptions'!$L$33</f>
        <v>PRD-SP01</v>
      </c>
      <c r="P2813" s="53" t="n">
        <v>0.873674</v>
      </c>
      <c r="Q2813" s="53" t="n">
        <v>-1.007253</v>
      </c>
      <c r="R2813" s="53" t="n">
        <v>-1.622108</v>
      </c>
      <c r="S2813" s="53" t="n">
        <v>-1.289967</v>
      </c>
    </row>
    <row r="2814" customFormat="false" ht="15" hidden="false" customHeight="false" outlineLevel="0" collapsed="false">
      <c r="A2814" s="43" t="n">
        <v>311</v>
      </c>
      <c r="B2814" s="44" t="str">
        <f aca="false">'Model Inputs &amp; Assumptions'!$B$33</f>
        <v>Trade Republic — Savings Plan Push</v>
      </c>
      <c r="C2814" s="45" t="n">
        <f aca="false">ROUND(MAX(0,'Model Inputs &amp; Assumptions'!$S$33*EXP('Model Inputs &amp; Assumptions'!$T$33*P2814-'Model Inputs &amp; Assumptions'!$T$33^2/2)),0)</f>
        <v>759112</v>
      </c>
      <c r="D2814" s="46" t="n">
        <f aca="false">MIN(1,'Model Inputs &amp; Assumptions'!$U$33*EXP('Model Inputs &amp; Assumptions'!$V$33*Q2814-'Model Inputs &amp; Assumptions'!$V$33^2/2))</f>
        <v>0</v>
      </c>
      <c r="E2814" s="45" t="n">
        <f aca="false">ROUND(C2814*D2814,0)</f>
        <v>0</v>
      </c>
      <c r="F2814" s="47" t="n">
        <f aca="false">MIN(1,'Model Inputs &amp; Assumptions'!$W$33*EXP('Model Inputs &amp; Assumptions'!$X$33*R2814-'Model Inputs &amp; Assumptions'!$X$33^2/2))</f>
        <v>0.00414146449689157</v>
      </c>
      <c r="G2814" s="45" t="n">
        <f aca="false">ROUND(C2814*F2814,0)</f>
        <v>3144</v>
      </c>
      <c r="H2814" s="48" t="n">
        <f aca="false">MAX(0,(C2814*'Model Inputs &amp; Assumptions'!$N$33+E2814*'Model Inputs &amp; Assumptions'!$O$33+G2814*'Model Inputs &amp; Assumptions'!$P$33)*EXP('Model Inputs &amp; Assumptions'!$Q$33*S2814-'Model Inputs &amp; Assumptions'!$Q$33^2/2))</f>
        <v>185.668699456769</v>
      </c>
      <c r="I2814" s="49" t="n">
        <f aca="false">IF('Model Inputs &amp; Assumptions'!$H$33="Fixed",'Model Inputs &amp; Assumptions'!$I$33*'Model Inputs &amp; Assumptions'!$K$33,IF('Model Inputs &amp; Assumptions'!$H$33="CPM",'Model Inputs &amp; Assumptions'!$I$33*'Model Inputs &amp; Assumptions'!$K$33*C2814/1000,IF('Model Inputs &amp; Assumptions'!$H$33="CPC",'Model Inputs &amp; Assumptions'!$I$33*'Model Inputs &amp; Assumptions'!$K$33*G2814,0)))</f>
        <v>25000</v>
      </c>
      <c r="J2814" s="50" t="n">
        <f aca="false">H2814*INDEX('Model Inputs &amp; Assumptions'!$D$40:$D$42,MATCH('Model Inputs &amp; Assumptions'!$L$33,'Model Inputs &amp; Assumptions'!$A$40:$A$42,0))*INDEX('Model Inputs &amp; Assumptions'!$H$40:$H$42,MATCH('Model Inputs &amp; Assumptions'!$L$33,'Model Inputs &amp; Assumptions'!$A$40:$A$42,0))</f>
        <v>1002610.97706655</v>
      </c>
      <c r="K2814" s="49" t="n">
        <f aca="false">H2814*INDEX('Model Inputs &amp; Assumptions'!$G$40:$G$42,MATCH('Model Inputs &amp; Assumptions'!$L$33,'Model Inputs &amp; Assumptions'!$A$40:$A$42,0))*INDEX('Model Inputs &amp; Assumptions'!$H$40:$H$42,MATCH('Model Inputs &amp; Assumptions'!$L$33,'Model Inputs &amp; Assumptions'!$A$40:$A$42,0))</f>
        <v>21054.8305183976</v>
      </c>
      <c r="L2814" s="51" t="n">
        <f aca="false">IFERROR(K2814/I2814,0)</f>
        <v>0.842193220735904</v>
      </c>
      <c r="M2814" s="49" t="n">
        <f aca="false">IFERROR(I2814/H2814,0)</f>
        <v>134.648436021501</v>
      </c>
      <c r="N2814" s="52" t="str">
        <f aca="false">'Model Inputs &amp; Assumptions'!$L$33</f>
        <v>PRD-SP01</v>
      </c>
      <c r="P2814" s="53" t="n">
        <v>-1.376423</v>
      </c>
      <c r="Q2814" s="53" t="n">
        <v>0.095207</v>
      </c>
      <c r="R2814" s="53" t="n">
        <v>0.710955</v>
      </c>
      <c r="S2814" s="53" t="n">
        <v>0.394053</v>
      </c>
    </row>
    <row r="2815" customFormat="false" ht="15" hidden="false" customHeight="false" outlineLevel="0" collapsed="false">
      <c r="A2815" s="43" t="n">
        <v>312</v>
      </c>
      <c r="B2815" s="44" t="str">
        <f aca="false">'Model Inputs &amp; Assumptions'!$B$33</f>
        <v>Trade Republic — Savings Plan Push</v>
      </c>
      <c r="C2815" s="45" t="n">
        <f aca="false">ROUND(MAX(0,'Model Inputs &amp; Assumptions'!$S$33*EXP('Model Inputs &amp; Assumptions'!$T$33*P2815-'Model Inputs &amp; Assumptions'!$T$33^2/2)),0)</f>
        <v>1149322</v>
      </c>
      <c r="D2815" s="46" t="n">
        <f aca="false">MIN(1,'Model Inputs &amp; Assumptions'!$U$33*EXP('Model Inputs &amp; Assumptions'!$V$33*Q2815-'Model Inputs &amp; Assumptions'!$V$33^2/2))</f>
        <v>0</v>
      </c>
      <c r="E2815" s="45" t="n">
        <f aca="false">ROUND(C2815*D2815,0)</f>
        <v>0</v>
      </c>
      <c r="F2815" s="47" t="n">
        <f aca="false">MIN(1,'Model Inputs &amp; Assumptions'!$W$33*EXP('Model Inputs &amp; Assumptions'!$X$33*R2815-'Model Inputs &amp; Assumptions'!$X$33^2/2))</f>
        <v>0.00291933096512518</v>
      </c>
      <c r="G2815" s="45" t="n">
        <f aca="false">ROUND(C2815*F2815,0)</f>
        <v>3355</v>
      </c>
      <c r="H2815" s="48" t="n">
        <f aca="false">MAX(0,(C2815*'Model Inputs &amp; Assumptions'!$N$33+E2815*'Model Inputs &amp; Assumptions'!$O$33+G2815*'Model Inputs &amp; Assumptions'!$P$33)*EXP('Model Inputs &amp; Assumptions'!$Q$33*S2815-'Model Inputs &amp; Assumptions'!$Q$33^2/2))</f>
        <v>191.451255482064</v>
      </c>
      <c r="I2815" s="49" t="n">
        <f aca="false">IF('Model Inputs &amp; Assumptions'!$H$33="Fixed",'Model Inputs &amp; Assumptions'!$I$33*'Model Inputs &amp; Assumptions'!$K$33,IF('Model Inputs &amp; Assumptions'!$H$33="CPM",'Model Inputs &amp; Assumptions'!$I$33*'Model Inputs &amp; Assumptions'!$K$33*C2815/1000,IF('Model Inputs &amp; Assumptions'!$H$33="CPC",'Model Inputs &amp; Assumptions'!$I$33*'Model Inputs &amp; Assumptions'!$K$33*G2815,0)))</f>
        <v>25000</v>
      </c>
      <c r="J2815" s="50" t="n">
        <f aca="false">H2815*INDEX('Model Inputs &amp; Assumptions'!$D$40:$D$42,MATCH('Model Inputs &amp; Assumptions'!$L$33,'Model Inputs &amp; Assumptions'!$A$40:$A$42,0))*INDEX('Model Inputs &amp; Assumptions'!$H$40:$H$42,MATCH('Model Inputs &amp; Assumptions'!$L$33,'Model Inputs &amp; Assumptions'!$A$40:$A$42,0))</f>
        <v>1033836.77960314</v>
      </c>
      <c r="K2815" s="49" t="n">
        <f aca="false">H2815*INDEX('Model Inputs &amp; Assumptions'!$G$40:$G$42,MATCH('Model Inputs &amp; Assumptions'!$L$33,'Model Inputs &amp; Assumptions'!$A$40:$A$42,0))*INDEX('Model Inputs &amp; Assumptions'!$H$40:$H$42,MATCH('Model Inputs &amp; Assumptions'!$L$33,'Model Inputs &amp; Assumptions'!$A$40:$A$42,0))</f>
        <v>21710.572371666</v>
      </c>
      <c r="L2815" s="51" t="n">
        <f aca="false">IFERROR(K2815/I2815,0)</f>
        <v>0.86842289486664</v>
      </c>
      <c r="M2815" s="49" t="n">
        <f aca="false">IFERROR(I2815/H2815,0)</f>
        <v>130.581541171153</v>
      </c>
      <c r="N2815" s="52" t="str">
        <f aca="false">'Model Inputs &amp; Assumptions'!$L$33</f>
        <v>PRD-SP01</v>
      </c>
      <c r="P2815" s="53" t="n">
        <v>0.006168</v>
      </c>
      <c r="Q2815" s="53" t="n">
        <v>-0.41115</v>
      </c>
      <c r="R2815" s="53" t="n">
        <v>-0.454695</v>
      </c>
      <c r="S2815" s="53" t="n">
        <v>0.271601</v>
      </c>
    </row>
    <row r="2816" customFormat="false" ht="15" hidden="false" customHeight="false" outlineLevel="0" collapsed="false">
      <c r="A2816" s="43" t="n">
        <v>313</v>
      </c>
      <c r="B2816" s="44" t="str">
        <f aca="false">'Model Inputs &amp; Assumptions'!$B$33</f>
        <v>Trade Republic — Savings Plan Push</v>
      </c>
      <c r="C2816" s="45" t="n">
        <f aca="false">ROUND(MAX(0,'Model Inputs &amp; Assumptions'!$S$33*EXP('Model Inputs &amp; Assumptions'!$T$33*P2816-'Model Inputs &amp; Assumptions'!$T$33^2/2)),0)</f>
        <v>2448306</v>
      </c>
      <c r="D2816" s="46" t="n">
        <f aca="false">MIN(1,'Model Inputs &amp; Assumptions'!$U$33*EXP('Model Inputs &amp; Assumptions'!$V$33*Q2816-'Model Inputs &amp; Assumptions'!$V$33^2/2))</f>
        <v>0</v>
      </c>
      <c r="E2816" s="45" t="n">
        <f aca="false">ROUND(C2816*D2816,0)</f>
        <v>0</v>
      </c>
      <c r="F2816" s="47" t="n">
        <f aca="false">MIN(1,'Model Inputs &amp; Assumptions'!$W$33*EXP('Model Inputs &amp; Assumptions'!$X$33*R2816-'Model Inputs &amp; Assumptions'!$X$33^2/2))</f>
        <v>0.00368352129568136</v>
      </c>
      <c r="G2816" s="45" t="n">
        <f aca="false">ROUND(C2816*F2816,0)</f>
        <v>9018</v>
      </c>
      <c r="H2816" s="48" t="n">
        <f aca="false">MAX(0,(C2816*'Model Inputs &amp; Assumptions'!$N$33+E2816*'Model Inputs &amp; Assumptions'!$O$33+G2816*'Model Inputs &amp; Assumptions'!$P$33)*EXP('Model Inputs &amp; Assumptions'!$Q$33*S2816-'Model Inputs &amp; Assumptions'!$Q$33^2/2))</f>
        <v>497.837025400151</v>
      </c>
      <c r="I2816" s="49" t="n">
        <f aca="false">IF('Model Inputs &amp; Assumptions'!$H$33="Fixed",'Model Inputs &amp; Assumptions'!$I$33*'Model Inputs &amp; Assumptions'!$K$33,IF('Model Inputs &amp; Assumptions'!$H$33="CPM",'Model Inputs &amp; Assumptions'!$I$33*'Model Inputs &amp; Assumptions'!$K$33*C2816/1000,IF('Model Inputs &amp; Assumptions'!$H$33="CPC",'Model Inputs &amp; Assumptions'!$I$33*'Model Inputs &amp; Assumptions'!$K$33*G2816,0)))</f>
        <v>25000</v>
      </c>
      <c r="J2816" s="50" t="n">
        <f aca="false">H2816*INDEX('Model Inputs &amp; Assumptions'!$D$40:$D$42,MATCH('Model Inputs &amp; Assumptions'!$L$33,'Model Inputs &amp; Assumptions'!$A$40:$A$42,0))*INDEX('Model Inputs &amp; Assumptions'!$H$40:$H$42,MATCH('Model Inputs &amp; Assumptions'!$L$33,'Model Inputs &amp; Assumptions'!$A$40:$A$42,0))</f>
        <v>2688319.93716082</v>
      </c>
      <c r="K2816" s="49" t="n">
        <f aca="false">H2816*INDEX('Model Inputs &amp; Assumptions'!$G$40:$G$42,MATCH('Model Inputs &amp; Assumptions'!$L$33,'Model Inputs &amp; Assumptions'!$A$40:$A$42,0))*INDEX('Model Inputs &amp; Assumptions'!$H$40:$H$42,MATCH('Model Inputs &amp; Assumptions'!$L$33,'Model Inputs &amp; Assumptions'!$A$40:$A$42,0))</f>
        <v>56454.7186803771</v>
      </c>
      <c r="L2816" s="51" t="n">
        <f aca="false">IFERROR(K2816/I2816,0)</f>
        <v>2.25818874721509</v>
      </c>
      <c r="M2816" s="49" t="n">
        <f aca="false">IFERROR(I2816/H2816,0)</f>
        <v>50.2172372171506</v>
      </c>
      <c r="N2816" s="52" t="str">
        <f aca="false">'Model Inputs &amp; Assumptions'!$L$33</f>
        <v>PRD-SP01</v>
      </c>
      <c r="P2816" s="53" t="n">
        <v>2.526916</v>
      </c>
      <c r="Q2816" s="53" t="n">
        <v>-0.89019</v>
      </c>
      <c r="R2816" s="53" t="n">
        <v>0.320354</v>
      </c>
      <c r="S2816" s="53" t="n">
        <v>0.153275</v>
      </c>
    </row>
    <row r="2817" customFormat="false" ht="15" hidden="false" customHeight="false" outlineLevel="0" collapsed="false">
      <c r="A2817" s="43" t="n">
        <v>314</v>
      </c>
      <c r="B2817" s="44" t="str">
        <f aca="false">'Model Inputs &amp; Assumptions'!$B$33</f>
        <v>Trade Republic — Savings Plan Push</v>
      </c>
      <c r="C2817" s="45" t="n">
        <f aca="false">ROUND(MAX(0,'Model Inputs &amp; Assumptions'!$S$33*EXP('Model Inputs &amp; Assumptions'!$T$33*P2817-'Model Inputs &amp; Assumptions'!$T$33^2/2)),0)</f>
        <v>1922465</v>
      </c>
      <c r="D2817" s="46" t="n">
        <f aca="false">MIN(1,'Model Inputs &amp; Assumptions'!$U$33*EXP('Model Inputs &amp; Assumptions'!$V$33*Q2817-'Model Inputs &amp; Assumptions'!$V$33^2/2))</f>
        <v>0</v>
      </c>
      <c r="E2817" s="45" t="n">
        <f aca="false">ROUND(C2817*D2817,0)</f>
        <v>0</v>
      </c>
      <c r="F2817" s="47" t="n">
        <f aca="false">MIN(1,'Model Inputs &amp; Assumptions'!$W$33*EXP('Model Inputs &amp; Assumptions'!$X$33*R2817-'Model Inputs &amp; Assumptions'!$X$33^2/2))</f>
        <v>0.00563745300411618</v>
      </c>
      <c r="G2817" s="45" t="n">
        <f aca="false">ROUND(C2817*F2817,0)</f>
        <v>10838</v>
      </c>
      <c r="H2817" s="48" t="n">
        <f aca="false">MAX(0,(C2817*'Model Inputs &amp; Assumptions'!$N$33+E2817*'Model Inputs &amp; Assumptions'!$O$33+G2817*'Model Inputs &amp; Assumptions'!$P$33)*EXP('Model Inputs &amp; Assumptions'!$Q$33*S2817-'Model Inputs &amp; Assumptions'!$Q$33^2/2))</f>
        <v>806.760287293296</v>
      </c>
      <c r="I2817" s="49" t="n">
        <f aca="false">IF('Model Inputs &amp; Assumptions'!$H$33="Fixed",'Model Inputs &amp; Assumptions'!$I$33*'Model Inputs &amp; Assumptions'!$K$33,IF('Model Inputs &amp; Assumptions'!$H$33="CPM",'Model Inputs &amp; Assumptions'!$I$33*'Model Inputs &amp; Assumptions'!$K$33*C2817/1000,IF('Model Inputs &amp; Assumptions'!$H$33="CPC",'Model Inputs &amp; Assumptions'!$I$33*'Model Inputs &amp; Assumptions'!$K$33*G2817,0)))</f>
        <v>25000</v>
      </c>
      <c r="J2817" s="50" t="n">
        <f aca="false">H2817*INDEX('Model Inputs &amp; Assumptions'!$D$40:$D$42,MATCH('Model Inputs &amp; Assumptions'!$L$33,'Model Inputs &amp; Assumptions'!$A$40:$A$42,0))*INDEX('Model Inputs &amp; Assumptions'!$H$40:$H$42,MATCH('Model Inputs &amp; Assumptions'!$L$33,'Model Inputs &amp; Assumptions'!$A$40:$A$42,0))</f>
        <v>4356505.5513838</v>
      </c>
      <c r="K2817" s="49" t="n">
        <f aca="false">H2817*INDEX('Model Inputs &amp; Assumptions'!$G$40:$G$42,MATCH('Model Inputs &amp; Assumptions'!$L$33,'Model Inputs &amp; Assumptions'!$A$40:$A$42,0))*INDEX('Model Inputs &amp; Assumptions'!$H$40:$H$42,MATCH('Model Inputs &amp; Assumptions'!$L$33,'Model Inputs &amp; Assumptions'!$A$40:$A$42,0))</f>
        <v>91486.6165790597</v>
      </c>
      <c r="L2817" s="51" t="n">
        <f aca="false">IFERROR(K2817/I2817,0)</f>
        <v>3.65946466316239</v>
      </c>
      <c r="M2817" s="49" t="n">
        <f aca="false">IFERROR(I2817/H2817,0)</f>
        <v>30.9881390962807</v>
      </c>
      <c r="N2817" s="52" t="str">
        <f aca="false">'Model Inputs &amp; Assumptions'!$L$33</f>
        <v>PRD-SP01</v>
      </c>
      <c r="P2817" s="53" t="n">
        <v>1.720955</v>
      </c>
      <c r="Q2817" s="53" t="n">
        <v>-0.204416</v>
      </c>
      <c r="R2817" s="53" t="n">
        <v>1.738898</v>
      </c>
      <c r="S2817" s="53" t="n">
        <v>1.220839</v>
      </c>
    </row>
    <row r="2818" customFormat="false" ht="15" hidden="false" customHeight="false" outlineLevel="0" collapsed="false">
      <c r="A2818" s="43" t="n">
        <v>315</v>
      </c>
      <c r="B2818" s="44" t="str">
        <f aca="false">'Model Inputs &amp; Assumptions'!$B$33</f>
        <v>Trade Republic — Savings Plan Push</v>
      </c>
      <c r="C2818" s="45" t="n">
        <f aca="false">ROUND(MAX(0,'Model Inputs &amp; Assumptions'!$S$33*EXP('Model Inputs &amp; Assumptions'!$T$33*P2818-'Model Inputs &amp; Assumptions'!$T$33^2/2)),0)</f>
        <v>945853</v>
      </c>
      <c r="D2818" s="46" t="n">
        <f aca="false">MIN(1,'Model Inputs &amp; Assumptions'!$U$33*EXP('Model Inputs &amp; Assumptions'!$V$33*Q2818-'Model Inputs &amp; Assumptions'!$V$33^2/2))</f>
        <v>0</v>
      </c>
      <c r="E2818" s="45" t="n">
        <f aca="false">ROUND(C2818*D2818,0)</f>
        <v>0</v>
      </c>
      <c r="F2818" s="47" t="n">
        <f aca="false">MIN(1,'Model Inputs &amp; Assumptions'!$W$33*EXP('Model Inputs &amp; Assumptions'!$X$33*R2818-'Model Inputs &amp; Assumptions'!$X$33^2/2))</f>
        <v>0.00277039959660013</v>
      </c>
      <c r="G2818" s="45" t="n">
        <f aca="false">ROUND(C2818*F2818,0)</f>
        <v>2620</v>
      </c>
      <c r="H2818" s="48" t="n">
        <f aca="false">MAX(0,(C2818*'Model Inputs &amp; Assumptions'!$N$33+E2818*'Model Inputs &amp; Assumptions'!$O$33+G2818*'Model Inputs &amp; Assumptions'!$P$33)*EXP('Model Inputs &amp; Assumptions'!$Q$33*S2818-'Model Inputs &amp; Assumptions'!$Q$33^2/2))</f>
        <v>88.6649184336491</v>
      </c>
      <c r="I2818" s="49" t="n">
        <f aca="false">IF('Model Inputs &amp; Assumptions'!$H$33="Fixed",'Model Inputs &amp; Assumptions'!$I$33*'Model Inputs &amp; Assumptions'!$K$33,IF('Model Inputs &amp; Assumptions'!$H$33="CPM",'Model Inputs &amp; Assumptions'!$I$33*'Model Inputs &amp; Assumptions'!$K$33*C2818/1000,IF('Model Inputs &amp; Assumptions'!$H$33="CPC",'Model Inputs &amp; Assumptions'!$I$33*'Model Inputs &amp; Assumptions'!$K$33*G2818,0)))</f>
        <v>25000</v>
      </c>
      <c r="J2818" s="50" t="n">
        <f aca="false">H2818*INDEX('Model Inputs &amp; Assumptions'!$D$40:$D$42,MATCH('Model Inputs &amp; Assumptions'!$L$33,'Model Inputs &amp; Assumptions'!$A$40:$A$42,0))*INDEX('Model Inputs &amp; Assumptions'!$H$40:$H$42,MATCH('Model Inputs &amp; Assumptions'!$L$33,'Model Inputs &amp; Assumptions'!$A$40:$A$42,0))</f>
        <v>478790.559541705</v>
      </c>
      <c r="K2818" s="49" t="n">
        <f aca="false">H2818*INDEX('Model Inputs &amp; Assumptions'!$G$40:$G$42,MATCH('Model Inputs &amp; Assumptions'!$L$33,'Model Inputs &amp; Assumptions'!$A$40:$A$42,0))*INDEX('Model Inputs &amp; Assumptions'!$H$40:$H$42,MATCH('Model Inputs &amp; Assumptions'!$L$33,'Model Inputs &amp; Assumptions'!$A$40:$A$42,0))</f>
        <v>10054.6017503758</v>
      </c>
      <c r="L2818" s="51" t="n">
        <f aca="false">IFERROR(K2818/I2818,0)</f>
        <v>0.402184070015032</v>
      </c>
      <c r="M2818" s="49" t="n">
        <f aca="false">IFERROR(I2818/H2818,0)</f>
        <v>281.960446607847</v>
      </c>
      <c r="N2818" s="52" t="str">
        <f aca="false">'Model Inputs &amp; Assumptions'!$L$33</f>
        <v>PRD-SP01</v>
      </c>
      <c r="P2818" s="53" t="n">
        <v>-0.6433</v>
      </c>
      <c r="Q2818" s="53" t="n">
        <v>1.364997</v>
      </c>
      <c r="R2818" s="53" t="n">
        <v>-0.629238</v>
      </c>
      <c r="S2818" s="53" t="n">
        <v>-1.59444</v>
      </c>
    </row>
    <row r="2819" customFormat="false" ht="15" hidden="false" customHeight="false" outlineLevel="0" collapsed="false">
      <c r="A2819" s="43" t="n">
        <v>316</v>
      </c>
      <c r="B2819" s="44" t="str">
        <f aca="false">'Model Inputs &amp; Assumptions'!$B$33</f>
        <v>Trade Republic — Savings Plan Push</v>
      </c>
      <c r="C2819" s="45" t="n">
        <f aca="false">ROUND(MAX(0,'Model Inputs &amp; Assumptions'!$S$33*EXP('Model Inputs &amp; Assumptions'!$T$33*P2819-'Model Inputs &amp; Assumptions'!$T$33^2/2)),0)</f>
        <v>890399</v>
      </c>
      <c r="D2819" s="46" t="n">
        <f aca="false">MIN(1,'Model Inputs &amp; Assumptions'!$U$33*EXP('Model Inputs &amp; Assumptions'!$V$33*Q2819-'Model Inputs &amp; Assumptions'!$V$33^2/2))</f>
        <v>0</v>
      </c>
      <c r="E2819" s="45" t="n">
        <f aca="false">ROUND(C2819*D2819,0)</f>
        <v>0</v>
      </c>
      <c r="F2819" s="47" t="n">
        <f aca="false">MIN(1,'Model Inputs &amp; Assumptions'!$W$33*EXP('Model Inputs &amp; Assumptions'!$X$33*R2819-'Model Inputs &amp; Assumptions'!$X$33^2/2))</f>
        <v>0.00411378022473713</v>
      </c>
      <c r="G2819" s="45" t="n">
        <f aca="false">ROUND(C2819*F2819,0)</f>
        <v>3663</v>
      </c>
      <c r="H2819" s="48" t="n">
        <f aca="false">MAX(0,(C2819*'Model Inputs &amp; Assumptions'!$N$33+E2819*'Model Inputs &amp; Assumptions'!$O$33+G2819*'Model Inputs &amp; Assumptions'!$P$33)*EXP('Model Inputs &amp; Assumptions'!$Q$33*S2819-'Model Inputs &amp; Assumptions'!$Q$33^2/2))</f>
        <v>190.701494411679</v>
      </c>
      <c r="I2819" s="49" t="n">
        <f aca="false">IF('Model Inputs &amp; Assumptions'!$H$33="Fixed",'Model Inputs &amp; Assumptions'!$I$33*'Model Inputs &amp; Assumptions'!$K$33,IF('Model Inputs &amp; Assumptions'!$H$33="CPM",'Model Inputs &amp; Assumptions'!$I$33*'Model Inputs &amp; Assumptions'!$K$33*C2819/1000,IF('Model Inputs &amp; Assumptions'!$H$33="CPC",'Model Inputs &amp; Assumptions'!$I$33*'Model Inputs &amp; Assumptions'!$K$33*G2819,0)))</f>
        <v>25000</v>
      </c>
      <c r="J2819" s="50" t="n">
        <f aca="false">H2819*INDEX('Model Inputs &amp; Assumptions'!$D$40:$D$42,MATCH('Model Inputs &amp; Assumptions'!$L$33,'Model Inputs &amp; Assumptions'!$A$40:$A$42,0))*INDEX('Model Inputs &amp; Assumptions'!$H$40:$H$42,MATCH('Model Inputs &amp; Assumptions'!$L$33,'Model Inputs &amp; Assumptions'!$A$40:$A$42,0))</f>
        <v>1029788.06982306</v>
      </c>
      <c r="K2819" s="49" t="n">
        <f aca="false">H2819*INDEX('Model Inputs &amp; Assumptions'!$G$40:$G$42,MATCH('Model Inputs &amp; Assumptions'!$L$33,'Model Inputs &amp; Assumptions'!$A$40:$A$42,0))*INDEX('Model Inputs &amp; Assumptions'!$H$40:$H$42,MATCH('Model Inputs &amp; Assumptions'!$L$33,'Model Inputs &amp; Assumptions'!$A$40:$A$42,0))</f>
        <v>21625.5494662844</v>
      </c>
      <c r="L2819" s="51" t="n">
        <f aca="false">IFERROR(K2819/I2819,0)</f>
        <v>0.865021978651374</v>
      </c>
      <c r="M2819" s="49" t="n">
        <f aca="false">IFERROR(I2819/H2819,0)</f>
        <v>131.094934925004</v>
      </c>
      <c r="N2819" s="52" t="str">
        <f aca="false">'Model Inputs &amp; Assumptions'!$L$33</f>
        <v>PRD-SP01</v>
      </c>
      <c r="P2819" s="53" t="n">
        <v>-0.844692</v>
      </c>
      <c r="Q2819" s="53" t="n">
        <v>0.095592</v>
      </c>
      <c r="R2819" s="53" t="n">
        <v>0.688598</v>
      </c>
      <c r="S2819" s="53" t="n">
        <v>-0.056094</v>
      </c>
    </row>
    <row r="2820" customFormat="false" ht="15" hidden="false" customHeight="false" outlineLevel="0" collapsed="false">
      <c r="A2820" s="43" t="n">
        <v>317</v>
      </c>
      <c r="B2820" s="44" t="str">
        <f aca="false">'Model Inputs &amp; Assumptions'!$B$33</f>
        <v>Trade Republic — Savings Plan Push</v>
      </c>
      <c r="C2820" s="45" t="n">
        <f aca="false">ROUND(MAX(0,'Model Inputs &amp; Assumptions'!$S$33*EXP('Model Inputs &amp; Assumptions'!$T$33*P2820-'Model Inputs &amp; Assumptions'!$T$33^2/2)),0)</f>
        <v>1210978</v>
      </c>
      <c r="D2820" s="46" t="n">
        <f aca="false">MIN(1,'Model Inputs &amp; Assumptions'!$U$33*EXP('Model Inputs &amp; Assumptions'!$V$33*Q2820-'Model Inputs &amp; Assumptions'!$V$33^2/2))</f>
        <v>0</v>
      </c>
      <c r="E2820" s="45" t="n">
        <f aca="false">ROUND(C2820*D2820,0)</f>
        <v>0</v>
      </c>
      <c r="F2820" s="47" t="n">
        <f aca="false">MIN(1,'Model Inputs &amp; Assumptions'!$W$33*EXP('Model Inputs &amp; Assumptions'!$X$33*R2820-'Model Inputs &amp; Assumptions'!$X$33^2/2))</f>
        <v>0.0035416675250003</v>
      </c>
      <c r="G2820" s="45" t="n">
        <f aca="false">ROUND(C2820*F2820,0)</f>
        <v>4289</v>
      </c>
      <c r="H2820" s="48" t="n">
        <f aca="false">MAX(0,(C2820*'Model Inputs &amp; Assumptions'!$N$33+E2820*'Model Inputs &amp; Assumptions'!$O$33+G2820*'Model Inputs &amp; Assumptions'!$P$33)*EXP('Model Inputs &amp; Assumptions'!$Q$33*S2820-'Model Inputs &amp; Assumptions'!$Q$33^2/2))</f>
        <v>255.8726937542</v>
      </c>
      <c r="I2820" s="49" t="n">
        <f aca="false">IF('Model Inputs &amp; Assumptions'!$H$33="Fixed",'Model Inputs &amp; Assumptions'!$I$33*'Model Inputs &amp; Assumptions'!$K$33,IF('Model Inputs &amp; Assumptions'!$H$33="CPM",'Model Inputs &amp; Assumptions'!$I$33*'Model Inputs &amp; Assumptions'!$K$33*C2820/1000,IF('Model Inputs &amp; Assumptions'!$H$33="CPC",'Model Inputs &amp; Assumptions'!$I$33*'Model Inputs &amp; Assumptions'!$K$33*G2820,0)))</f>
        <v>25000</v>
      </c>
      <c r="J2820" s="50" t="n">
        <f aca="false">H2820*INDEX('Model Inputs &amp; Assumptions'!$D$40:$D$42,MATCH('Model Inputs &amp; Assumptions'!$L$33,'Model Inputs &amp; Assumptions'!$A$40:$A$42,0))*INDEX('Model Inputs &amp; Assumptions'!$H$40:$H$42,MATCH('Model Inputs &amp; Assumptions'!$L$33,'Model Inputs &amp; Assumptions'!$A$40:$A$42,0))</f>
        <v>1381712.54627268</v>
      </c>
      <c r="K2820" s="49" t="n">
        <f aca="false">H2820*INDEX('Model Inputs &amp; Assumptions'!$G$40:$G$42,MATCH('Model Inputs &amp; Assumptions'!$L$33,'Model Inputs &amp; Assumptions'!$A$40:$A$42,0))*INDEX('Model Inputs &amp; Assumptions'!$H$40:$H$42,MATCH('Model Inputs &amp; Assumptions'!$L$33,'Model Inputs &amp; Assumptions'!$A$40:$A$42,0))</f>
        <v>29015.9634717263</v>
      </c>
      <c r="L2820" s="51" t="n">
        <f aca="false">IFERROR(K2820/I2820,0)</f>
        <v>1.16063853886905</v>
      </c>
      <c r="M2820" s="49" t="n">
        <f aca="false">IFERROR(I2820/H2820,0)</f>
        <v>97.7048376409241</v>
      </c>
      <c r="N2820" s="52" t="str">
        <f aca="false">'Model Inputs &amp; Assumptions'!$L$33</f>
        <v>PRD-SP01</v>
      </c>
      <c r="P2820" s="53" t="n">
        <v>0.180356</v>
      </c>
      <c r="Q2820" s="53" t="n">
        <v>-2.074571</v>
      </c>
      <c r="R2820" s="53" t="n">
        <v>0.189449</v>
      </c>
      <c r="S2820" s="53" t="n">
        <v>0.430333</v>
      </c>
    </row>
    <row r="2821" customFormat="false" ht="15" hidden="false" customHeight="false" outlineLevel="0" collapsed="false">
      <c r="A2821" s="43" t="n">
        <v>318</v>
      </c>
      <c r="B2821" s="44" t="str">
        <f aca="false">'Model Inputs &amp; Assumptions'!$B$33</f>
        <v>Trade Republic — Savings Plan Push</v>
      </c>
      <c r="C2821" s="45" t="n">
        <f aca="false">ROUND(MAX(0,'Model Inputs &amp; Assumptions'!$S$33*EXP('Model Inputs &amp; Assumptions'!$T$33*P2821-'Model Inputs &amp; Assumptions'!$T$33^2/2)),0)</f>
        <v>973539</v>
      </c>
      <c r="D2821" s="46" t="n">
        <f aca="false">MIN(1,'Model Inputs &amp; Assumptions'!$U$33*EXP('Model Inputs &amp; Assumptions'!$V$33*Q2821-'Model Inputs &amp; Assumptions'!$V$33^2/2))</f>
        <v>0</v>
      </c>
      <c r="E2821" s="45" t="n">
        <f aca="false">ROUND(C2821*D2821,0)</f>
        <v>0</v>
      </c>
      <c r="F2821" s="47" t="n">
        <f aca="false">MIN(1,'Model Inputs &amp; Assumptions'!$W$33*EXP('Model Inputs &amp; Assumptions'!$X$33*R2821-'Model Inputs &amp; Assumptions'!$X$33^2/2))</f>
        <v>0.00331110068881005</v>
      </c>
      <c r="G2821" s="45" t="n">
        <f aca="false">ROUND(C2821*F2821,0)</f>
        <v>3223</v>
      </c>
      <c r="H2821" s="48" t="n">
        <f aca="false">MAX(0,(C2821*'Model Inputs &amp; Assumptions'!$N$33+E2821*'Model Inputs &amp; Assumptions'!$O$33+G2821*'Model Inputs &amp; Assumptions'!$P$33)*EXP('Model Inputs &amp; Assumptions'!$Q$33*S2821-'Model Inputs &amp; Assumptions'!$Q$33^2/2))</f>
        <v>173.493349643241</v>
      </c>
      <c r="I2821" s="49" t="n">
        <f aca="false">IF('Model Inputs &amp; Assumptions'!$H$33="Fixed",'Model Inputs &amp; Assumptions'!$I$33*'Model Inputs &amp; Assumptions'!$K$33,IF('Model Inputs &amp; Assumptions'!$H$33="CPM",'Model Inputs &amp; Assumptions'!$I$33*'Model Inputs &amp; Assumptions'!$K$33*C2821/1000,IF('Model Inputs &amp; Assumptions'!$H$33="CPC",'Model Inputs &amp; Assumptions'!$I$33*'Model Inputs &amp; Assumptions'!$K$33*G2821,0)))</f>
        <v>25000</v>
      </c>
      <c r="J2821" s="50" t="n">
        <f aca="false">H2821*INDEX('Model Inputs &amp; Assumptions'!$D$40:$D$42,MATCH('Model Inputs &amp; Assumptions'!$L$33,'Model Inputs &amp; Assumptions'!$A$40:$A$42,0))*INDEX('Model Inputs &amp; Assumptions'!$H$40:$H$42,MATCH('Model Inputs &amp; Assumptions'!$L$33,'Model Inputs &amp; Assumptions'!$A$40:$A$42,0))</f>
        <v>936864.088073502</v>
      </c>
      <c r="K2821" s="49" t="n">
        <f aca="false">H2821*INDEX('Model Inputs &amp; Assumptions'!$G$40:$G$42,MATCH('Model Inputs &amp; Assumptions'!$L$33,'Model Inputs &amp; Assumptions'!$A$40:$A$42,0))*INDEX('Model Inputs &amp; Assumptions'!$H$40:$H$42,MATCH('Model Inputs &amp; Assumptions'!$L$33,'Model Inputs &amp; Assumptions'!$A$40:$A$42,0))</f>
        <v>19674.1458495435</v>
      </c>
      <c r="L2821" s="51" t="n">
        <f aca="false">IFERROR(K2821/I2821,0)</f>
        <v>0.786965833981742</v>
      </c>
      <c r="M2821" s="49" t="n">
        <f aca="false">IFERROR(I2821/H2821,0)</f>
        <v>144.097742371152</v>
      </c>
      <c r="N2821" s="52" t="str">
        <f aca="false">'Model Inputs &amp; Assumptions'!$L$33</f>
        <v>PRD-SP01</v>
      </c>
      <c r="P2821" s="53" t="n">
        <v>-0.547131</v>
      </c>
      <c r="Q2821" s="53" t="n">
        <v>0.336639</v>
      </c>
      <c r="R2821" s="53" t="n">
        <v>-0.034941</v>
      </c>
      <c r="S2821" s="53" t="n">
        <v>0.063191</v>
      </c>
    </row>
    <row r="2822" customFormat="false" ht="15" hidden="false" customHeight="false" outlineLevel="0" collapsed="false">
      <c r="A2822" s="43" t="n">
        <v>319</v>
      </c>
      <c r="B2822" s="44" t="str">
        <f aca="false">'Model Inputs &amp; Assumptions'!$B$33</f>
        <v>Trade Republic — Savings Plan Push</v>
      </c>
      <c r="C2822" s="45" t="n">
        <f aca="false">ROUND(MAX(0,'Model Inputs &amp; Assumptions'!$S$33*EXP('Model Inputs &amp; Assumptions'!$T$33*P2822-'Model Inputs &amp; Assumptions'!$T$33^2/2)),0)</f>
        <v>1336106</v>
      </c>
      <c r="D2822" s="46" t="n">
        <f aca="false">MIN(1,'Model Inputs &amp; Assumptions'!$U$33*EXP('Model Inputs &amp; Assumptions'!$V$33*Q2822-'Model Inputs &amp; Assumptions'!$V$33^2/2))</f>
        <v>0</v>
      </c>
      <c r="E2822" s="45" t="n">
        <f aca="false">ROUND(C2822*D2822,0)</f>
        <v>0</v>
      </c>
      <c r="F2822" s="47" t="n">
        <f aca="false">MIN(1,'Model Inputs &amp; Assumptions'!$W$33*EXP('Model Inputs &amp; Assumptions'!$X$33*R2822-'Model Inputs &amp; Assumptions'!$X$33^2/2))</f>
        <v>0.00372731437824787</v>
      </c>
      <c r="G2822" s="45" t="n">
        <f aca="false">ROUND(C2822*F2822,0)</f>
        <v>4980</v>
      </c>
      <c r="H2822" s="48" t="n">
        <f aca="false">MAX(0,(C2822*'Model Inputs &amp; Assumptions'!$N$33+E2822*'Model Inputs &amp; Assumptions'!$O$33+G2822*'Model Inputs &amp; Assumptions'!$P$33)*EXP('Model Inputs &amp; Assumptions'!$Q$33*S2822-'Model Inputs &amp; Assumptions'!$Q$33^2/2))</f>
        <v>304.939243848926</v>
      </c>
      <c r="I2822" s="49" t="n">
        <f aca="false">IF('Model Inputs &amp; Assumptions'!$H$33="Fixed",'Model Inputs &amp; Assumptions'!$I$33*'Model Inputs &amp; Assumptions'!$K$33,IF('Model Inputs &amp; Assumptions'!$H$33="CPM",'Model Inputs &amp; Assumptions'!$I$33*'Model Inputs &amp; Assumptions'!$K$33*C2822/1000,IF('Model Inputs &amp; Assumptions'!$H$33="CPC",'Model Inputs &amp; Assumptions'!$I$33*'Model Inputs &amp; Assumptions'!$K$33*G2822,0)))</f>
        <v>25000</v>
      </c>
      <c r="J2822" s="50" t="n">
        <f aca="false">H2822*INDEX('Model Inputs &amp; Assumptions'!$D$40:$D$42,MATCH('Model Inputs &amp; Assumptions'!$L$33,'Model Inputs &amp; Assumptions'!$A$40:$A$42,0))*INDEX('Model Inputs &amp; Assumptions'!$H$40:$H$42,MATCH('Model Inputs &amp; Assumptions'!$L$33,'Model Inputs &amp; Assumptions'!$A$40:$A$42,0))</f>
        <v>1646671.9167842</v>
      </c>
      <c r="K2822" s="49" t="n">
        <f aca="false">H2822*INDEX('Model Inputs &amp; Assumptions'!$G$40:$G$42,MATCH('Model Inputs &amp; Assumptions'!$L$33,'Model Inputs &amp; Assumptions'!$A$40:$A$42,0))*INDEX('Model Inputs &amp; Assumptions'!$H$40:$H$42,MATCH('Model Inputs &amp; Assumptions'!$L$33,'Model Inputs &amp; Assumptions'!$A$40:$A$42,0))</f>
        <v>34580.1102524682</v>
      </c>
      <c r="L2822" s="51" t="n">
        <f aca="false">IFERROR(K2822/I2822,0)</f>
        <v>1.38320441009873</v>
      </c>
      <c r="M2822" s="49" t="n">
        <f aca="false">IFERROR(I2822/H2822,0)</f>
        <v>81.9835442773827</v>
      </c>
      <c r="N2822" s="52" t="str">
        <f aca="false">'Model Inputs &amp; Assumptions'!$L$33</f>
        <v>PRD-SP01</v>
      </c>
      <c r="P2822" s="53" t="n">
        <v>0.508126</v>
      </c>
      <c r="Q2822" s="53" t="n">
        <v>-0.517808</v>
      </c>
      <c r="R2822" s="53" t="n">
        <v>0.35975</v>
      </c>
      <c r="S2822" s="53" t="n">
        <v>0.523391</v>
      </c>
    </row>
    <row r="2823" customFormat="false" ht="15" hidden="false" customHeight="false" outlineLevel="0" collapsed="false">
      <c r="A2823" s="43" t="n">
        <v>320</v>
      </c>
      <c r="B2823" s="44" t="str">
        <f aca="false">'Model Inputs &amp; Assumptions'!$B$33</f>
        <v>Trade Republic — Savings Plan Push</v>
      </c>
      <c r="C2823" s="45" t="n">
        <f aca="false">ROUND(MAX(0,'Model Inputs &amp; Assumptions'!$S$33*EXP('Model Inputs &amp; Assumptions'!$T$33*P2823-'Model Inputs &amp; Assumptions'!$T$33^2/2)),0)</f>
        <v>1951339</v>
      </c>
      <c r="D2823" s="46" t="n">
        <f aca="false">MIN(1,'Model Inputs &amp; Assumptions'!$U$33*EXP('Model Inputs &amp; Assumptions'!$V$33*Q2823-'Model Inputs &amp; Assumptions'!$V$33^2/2))</f>
        <v>0</v>
      </c>
      <c r="E2823" s="45" t="n">
        <f aca="false">ROUND(C2823*D2823,0)</f>
        <v>0</v>
      </c>
      <c r="F2823" s="47" t="n">
        <f aca="false">MIN(1,'Model Inputs &amp; Assumptions'!$W$33*EXP('Model Inputs &amp; Assumptions'!$X$33*R2823-'Model Inputs &amp; Assumptions'!$X$33^2/2))</f>
        <v>0.0057338205345386</v>
      </c>
      <c r="G2823" s="45" t="n">
        <f aca="false">ROUND(C2823*F2823,0)</f>
        <v>11189</v>
      </c>
      <c r="H2823" s="48" t="n">
        <f aca="false">MAX(0,(C2823*'Model Inputs &amp; Assumptions'!$N$33+E2823*'Model Inputs &amp; Assumptions'!$O$33+G2823*'Model Inputs &amp; Assumptions'!$P$33)*EXP('Model Inputs &amp; Assumptions'!$Q$33*S2823-'Model Inputs &amp; Assumptions'!$Q$33^2/2))</f>
        <v>475.282145423786</v>
      </c>
      <c r="I2823" s="49" t="n">
        <f aca="false">IF('Model Inputs &amp; Assumptions'!$H$33="Fixed",'Model Inputs &amp; Assumptions'!$I$33*'Model Inputs &amp; Assumptions'!$K$33,IF('Model Inputs &amp; Assumptions'!$H$33="CPM",'Model Inputs &amp; Assumptions'!$I$33*'Model Inputs &amp; Assumptions'!$K$33*C2823/1000,IF('Model Inputs &amp; Assumptions'!$H$33="CPC",'Model Inputs &amp; Assumptions'!$I$33*'Model Inputs &amp; Assumptions'!$K$33*G2823,0)))</f>
        <v>25000</v>
      </c>
      <c r="J2823" s="50" t="n">
        <f aca="false">H2823*INDEX('Model Inputs &amp; Assumptions'!$D$40:$D$42,MATCH('Model Inputs &amp; Assumptions'!$L$33,'Model Inputs &amp; Assumptions'!$A$40:$A$42,0))*INDEX('Model Inputs &amp; Assumptions'!$H$40:$H$42,MATCH('Model Inputs &amp; Assumptions'!$L$33,'Model Inputs &amp; Assumptions'!$A$40:$A$42,0))</f>
        <v>2566523.58528844</v>
      </c>
      <c r="K2823" s="49" t="n">
        <f aca="false">H2823*INDEX('Model Inputs &amp; Assumptions'!$G$40:$G$42,MATCH('Model Inputs &amp; Assumptions'!$L$33,'Model Inputs &amp; Assumptions'!$A$40:$A$42,0))*INDEX('Model Inputs &amp; Assumptions'!$H$40:$H$42,MATCH('Model Inputs &amp; Assumptions'!$L$33,'Model Inputs &amp; Assumptions'!$A$40:$A$42,0))</f>
        <v>53896.9952910573</v>
      </c>
      <c r="L2823" s="51" t="n">
        <f aca="false">IFERROR(K2823/I2823,0)</f>
        <v>2.15587981164229</v>
      </c>
      <c r="M2823" s="49" t="n">
        <f aca="false">IFERROR(I2823/H2823,0)</f>
        <v>52.6003348552232</v>
      </c>
      <c r="N2823" s="52" t="str">
        <f aca="false">'Model Inputs &amp; Assumptions'!$L$33</f>
        <v>PRD-SP01</v>
      </c>
      <c r="P2823" s="53" t="n">
        <v>1.770648</v>
      </c>
      <c r="Q2823" s="53" t="n">
        <v>-0.100941</v>
      </c>
      <c r="R2823" s="53" t="n">
        <v>1.795397</v>
      </c>
      <c r="S2823" s="53" t="n">
        <v>-0.782699</v>
      </c>
    </row>
    <row r="2824" customFormat="false" ht="15" hidden="false" customHeight="false" outlineLevel="0" collapsed="false">
      <c r="A2824" s="43" t="n">
        <v>321</v>
      </c>
      <c r="B2824" s="44" t="str">
        <f aca="false">'Model Inputs &amp; Assumptions'!$B$33</f>
        <v>Trade Republic — Savings Plan Push</v>
      </c>
      <c r="C2824" s="45" t="n">
        <f aca="false">ROUND(MAX(0,'Model Inputs &amp; Assumptions'!$S$33*EXP('Model Inputs &amp; Assumptions'!$T$33*P2824-'Model Inputs &amp; Assumptions'!$T$33^2/2)),0)</f>
        <v>1589453</v>
      </c>
      <c r="D2824" s="46" t="n">
        <f aca="false">MIN(1,'Model Inputs &amp; Assumptions'!$U$33*EXP('Model Inputs &amp; Assumptions'!$V$33*Q2824-'Model Inputs &amp; Assumptions'!$V$33^2/2))</f>
        <v>0</v>
      </c>
      <c r="E2824" s="45" t="n">
        <f aca="false">ROUND(C2824*D2824,0)</f>
        <v>0</v>
      </c>
      <c r="F2824" s="47" t="n">
        <f aca="false">MIN(1,'Model Inputs &amp; Assumptions'!$W$33*EXP('Model Inputs &amp; Assumptions'!$X$33*R2824-'Model Inputs &amp; Assumptions'!$X$33^2/2))</f>
        <v>0.0028404019347947</v>
      </c>
      <c r="G2824" s="45" t="n">
        <f aca="false">ROUND(C2824*F2824,0)</f>
        <v>4515</v>
      </c>
      <c r="H2824" s="48" t="n">
        <f aca="false">MAX(0,(C2824*'Model Inputs &amp; Assumptions'!$N$33+E2824*'Model Inputs &amp; Assumptions'!$O$33+G2824*'Model Inputs &amp; Assumptions'!$P$33)*EXP('Model Inputs &amp; Assumptions'!$Q$33*S2824-'Model Inputs &amp; Assumptions'!$Q$33^2/2))</f>
        <v>257.481597646987</v>
      </c>
      <c r="I2824" s="49" t="n">
        <f aca="false">IF('Model Inputs &amp; Assumptions'!$H$33="Fixed",'Model Inputs &amp; Assumptions'!$I$33*'Model Inputs &amp; Assumptions'!$K$33,IF('Model Inputs &amp; Assumptions'!$H$33="CPM",'Model Inputs &amp; Assumptions'!$I$33*'Model Inputs &amp; Assumptions'!$K$33*C2824/1000,IF('Model Inputs &amp; Assumptions'!$H$33="CPC",'Model Inputs &amp; Assumptions'!$I$33*'Model Inputs &amp; Assumptions'!$K$33*G2824,0)))</f>
        <v>25000</v>
      </c>
      <c r="J2824" s="50" t="n">
        <f aca="false">H2824*INDEX('Model Inputs &amp; Assumptions'!$D$40:$D$42,MATCH('Model Inputs &amp; Assumptions'!$L$33,'Model Inputs &amp; Assumptions'!$A$40:$A$42,0))*INDEX('Model Inputs &amp; Assumptions'!$H$40:$H$42,MATCH('Model Inputs &amp; Assumptions'!$L$33,'Model Inputs &amp; Assumptions'!$A$40:$A$42,0))</f>
        <v>1390400.62729373</v>
      </c>
      <c r="K2824" s="49" t="n">
        <f aca="false">H2824*INDEX('Model Inputs &amp; Assumptions'!$G$40:$G$42,MATCH('Model Inputs &amp; Assumptions'!$L$33,'Model Inputs &amp; Assumptions'!$A$40:$A$42,0))*INDEX('Model Inputs &amp; Assumptions'!$H$40:$H$42,MATCH('Model Inputs &amp; Assumptions'!$L$33,'Model Inputs &amp; Assumptions'!$A$40:$A$42,0))</f>
        <v>29198.4131731683</v>
      </c>
      <c r="L2824" s="51" t="n">
        <f aca="false">IFERROR(K2824/I2824,0)</f>
        <v>1.16793652692673</v>
      </c>
      <c r="M2824" s="49" t="n">
        <f aca="false">IFERROR(I2824/H2824,0)</f>
        <v>97.0943175297349</v>
      </c>
      <c r="N2824" s="52" t="str">
        <f aca="false">'Model Inputs &amp; Assumptions'!$L$33</f>
        <v>PRD-SP01</v>
      </c>
      <c r="P2824" s="53" t="n">
        <v>1.086894</v>
      </c>
      <c r="Q2824" s="53" t="n">
        <v>1.040994</v>
      </c>
      <c r="R2824" s="53" t="n">
        <v>-0.546058</v>
      </c>
      <c r="S2824" s="53" t="n">
        <v>0.269321</v>
      </c>
    </row>
    <row r="2825" customFormat="false" ht="15" hidden="false" customHeight="false" outlineLevel="0" collapsed="false">
      <c r="A2825" s="43" t="n">
        <v>322</v>
      </c>
      <c r="B2825" s="44" t="str">
        <f aca="false">'Model Inputs &amp; Assumptions'!$B$33</f>
        <v>Trade Republic — Savings Plan Push</v>
      </c>
      <c r="C2825" s="45" t="n">
        <f aca="false">ROUND(MAX(0,'Model Inputs &amp; Assumptions'!$S$33*EXP('Model Inputs &amp; Assumptions'!$T$33*P2825-'Model Inputs &amp; Assumptions'!$T$33^2/2)),0)</f>
        <v>1290241</v>
      </c>
      <c r="D2825" s="46" t="n">
        <f aca="false">MIN(1,'Model Inputs &amp; Assumptions'!$U$33*EXP('Model Inputs &amp; Assumptions'!$V$33*Q2825-'Model Inputs &amp; Assumptions'!$V$33^2/2))</f>
        <v>0</v>
      </c>
      <c r="E2825" s="45" t="n">
        <f aca="false">ROUND(C2825*D2825,0)</f>
        <v>0</v>
      </c>
      <c r="F2825" s="47" t="n">
        <f aca="false">MIN(1,'Model Inputs &amp; Assumptions'!$W$33*EXP('Model Inputs &amp; Assumptions'!$X$33*R2825-'Model Inputs &amp; Assumptions'!$X$33^2/2))</f>
        <v>0.00460386039795145</v>
      </c>
      <c r="G2825" s="45" t="n">
        <f aca="false">ROUND(C2825*F2825,0)</f>
        <v>5940</v>
      </c>
      <c r="H2825" s="48" t="n">
        <f aca="false">MAX(0,(C2825*'Model Inputs &amp; Assumptions'!$N$33+E2825*'Model Inputs &amp; Assumptions'!$O$33+G2825*'Model Inputs &amp; Assumptions'!$P$33)*EXP('Model Inputs &amp; Assumptions'!$Q$33*S2825-'Model Inputs &amp; Assumptions'!$Q$33^2/2))</f>
        <v>366.08966092583</v>
      </c>
      <c r="I2825" s="49" t="n">
        <f aca="false">IF('Model Inputs &amp; Assumptions'!$H$33="Fixed",'Model Inputs &amp; Assumptions'!$I$33*'Model Inputs &amp; Assumptions'!$K$33,IF('Model Inputs &amp; Assumptions'!$H$33="CPM",'Model Inputs &amp; Assumptions'!$I$33*'Model Inputs &amp; Assumptions'!$K$33*C2825/1000,IF('Model Inputs &amp; Assumptions'!$H$33="CPC",'Model Inputs &amp; Assumptions'!$I$33*'Model Inputs &amp; Assumptions'!$K$33*G2825,0)))</f>
        <v>25000</v>
      </c>
      <c r="J2825" s="50" t="n">
        <f aca="false">H2825*INDEX('Model Inputs &amp; Assumptions'!$D$40:$D$42,MATCH('Model Inputs &amp; Assumptions'!$L$33,'Model Inputs &amp; Assumptions'!$A$40:$A$42,0))*INDEX('Model Inputs &amp; Assumptions'!$H$40:$H$42,MATCH('Model Inputs &amp; Assumptions'!$L$33,'Model Inputs &amp; Assumptions'!$A$40:$A$42,0))</f>
        <v>1976884.16899948</v>
      </c>
      <c r="K2825" s="49" t="n">
        <f aca="false">H2825*INDEX('Model Inputs &amp; Assumptions'!$G$40:$G$42,MATCH('Model Inputs &amp; Assumptions'!$L$33,'Model Inputs &amp; Assumptions'!$A$40:$A$42,0))*INDEX('Model Inputs &amp; Assumptions'!$H$40:$H$42,MATCH('Model Inputs &amp; Assumptions'!$L$33,'Model Inputs &amp; Assumptions'!$A$40:$A$42,0))</f>
        <v>41514.5675489891</v>
      </c>
      <c r="L2825" s="51" t="n">
        <f aca="false">IFERROR(K2825/I2825,0)</f>
        <v>1.66058270195956</v>
      </c>
      <c r="M2825" s="49" t="n">
        <f aca="false">IFERROR(I2825/H2825,0)</f>
        <v>68.2892817480171</v>
      </c>
      <c r="N2825" s="52" t="str">
        <f aca="false">'Model Inputs &amp; Assumptions'!$L$33</f>
        <v>PRD-SP01</v>
      </c>
      <c r="P2825" s="53" t="n">
        <v>0.391692</v>
      </c>
      <c r="Q2825" s="53" t="n">
        <v>-0.187508</v>
      </c>
      <c r="R2825" s="53" t="n">
        <v>1.063774</v>
      </c>
      <c r="S2825" s="53" t="n">
        <v>0.546557</v>
      </c>
    </row>
    <row r="2826" customFormat="false" ht="15" hidden="false" customHeight="false" outlineLevel="0" collapsed="false">
      <c r="A2826" s="43" t="n">
        <v>323</v>
      </c>
      <c r="B2826" s="44" t="str">
        <f aca="false">'Model Inputs &amp; Assumptions'!$B$33</f>
        <v>Trade Republic — Savings Plan Push</v>
      </c>
      <c r="C2826" s="45" t="n">
        <f aca="false">ROUND(MAX(0,'Model Inputs &amp; Assumptions'!$S$33*EXP('Model Inputs &amp; Assumptions'!$T$33*P2826-'Model Inputs &amp; Assumptions'!$T$33^2/2)),0)</f>
        <v>1076328</v>
      </c>
      <c r="D2826" s="46" t="n">
        <f aca="false">MIN(1,'Model Inputs &amp; Assumptions'!$U$33*EXP('Model Inputs &amp; Assumptions'!$V$33*Q2826-'Model Inputs &amp; Assumptions'!$V$33^2/2))</f>
        <v>0</v>
      </c>
      <c r="E2826" s="45" t="n">
        <f aca="false">ROUND(C2826*D2826,0)</f>
        <v>0</v>
      </c>
      <c r="F2826" s="47" t="n">
        <f aca="false">MIN(1,'Model Inputs &amp; Assumptions'!$W$33*EXP('Model Inputs &amp; Assumptions'!$X$33*R2826-'Model Inputs &amp; Assumptions'!$X$33^2/2))</f>
        <v>0.00249222645227327</v>
      </c>
      <c r="G2826" s="45" t="n">
        <f aca="false">ROUND(C2826*F2826,0)</f>
        <v>2682</v>
      </c>
      <c r="H2826" s="48" t="n">
        <f aca="false">MAX(0,(C2826*'Model Inputs &amp; Assumptions'!$N$33+E2826*'Model Inputs &amp; Assumptions'!$O$33+G2826*'Model Inputs &amp; Assumptions'!$P$33)*EXP('Model Inputs &amp; Assumptions'!$Q$33*S2826-'Model Inputs &amp; Assumptions'!$Q$33^2/2))</f>
        <v>104.758603605905</v>
      </c>
      <c r="I2826" s="49" t="n">
        <f aca="false">IF('Model Inputs &amp; Assumptions'!$H$33="Fixed",'Model Inputs &amp; Assumptions'!$I$33*'Model Inputs &amp; Assumptions'!$K$33,IF('Model Inputs &amp; Assumptions'!$H$33="CPM",'Model Inputs &amp; Assumptions'!$I$33*'Model Inputs &amp; Assumptions'!$K$33*C2826/1000,IF('Model Inputs &amp; Assumptions'!$H$33="CPC",'Model Inputs &amp; Assumptions'!$I$33*'Model Inputs &amp; Assumptions'!$K$33*G2826,0)))</f>
        <v>25000</v>
      </c>
      <c r="J2826" s="50" t="n">
        <f aca="false">H2826*INDEX('Model Inputs &amp; Assumptions'!$D$40:$D$42,MATCH('Model Inputs &amp; Assumptions'!$L$33,'Model Inputs &amp; Assumptions'!$A$40:$A$42,0))*INDEX('Model Inputs &amp; Assumptions'!$H$40:$H$42,MATCH('Model Inputs &amp; Assumptions'!$L$33,'Model Inputs &amp; Assumptions'!$A$40:$A$42,0))</f>
        <v>565696.459471887</v>
      </c>
      <c r="K2826" s="49" t="n">
        <f aca="false">H2826*INDEX('Model Inputs &amp; Assumptions'!$G$40:$G$42,MATCH('Model Inputs &amp; Assumptions'!$L$33,'Model Inputs &amp; Assumptions'!$A$40:$A$42,0))*INDEX('Model Inputs &amp; Assumptions'!$H$40:$H$42,MATCH('Model Inputs &amp; Assumptions'!$L$33,'Model Inputs &amp; Assumptions'!$A$40:$A$42,0))</f>
        <v>11879.6256489096</v>
      </c>
      <c r="L2826" s="51" t="n">
        <f aca="false">IFERROR(K2826/I2826,0)</f>
        <v>0.475185025956385</v>
      </c>
      <c r="M2826" s="49" t="n">
        <f aca="false">IFERROR(I2826/H2826,0)</f>
        <v>238.643883552022</v>
      </c>
      <c r="N2826" s="52" t="str">
        <f aca="false">'Model Inputs &amp; Assumptions'!$L$33</f>
        <v>PRD-SP01</v>
      </c>
      <c r="P2826" s="53" t="n">
        <v>-0.212554</v>
      </c>
      <c r="Q2826" s="53" t="n">
        <v>2.204371</v>
      </c>
      <c r="R2826" s="53" t="n">
        <v>-0.981955</v>
      </c>
      <c r="S2826" s="53" t="n">
        <v>-1.082276</v>
      </c>
    </row>
    <row r="2827" customFormat="false" ht="15" hidden="false" customHeight="false" outlineLevel="0" collapsed="false">
      <c r="A2827" s="43" t="n">
        <v>324</v>
      </c>
      <c r="B2827" s="44" t="str">
        <f aca="false">'Model Inputs &amp; Assumptions'!$B$33</f>
        <v>Trade Republic — Savings Plan Push</v>
      </c>
      <c r="C2827" s="45" t="n">
        <f aca="false">ROUND(MAX(0,'Model Inputs &amp; Assumptions'!$S$33*EXP('Model Inputs &amp; Assumptions'!$T$33*P2827-'Model Inputs &amp; Assumptions'!$T$33^2/2)),0)</f>
        <v>1176980</v>
      </c>
      <c r="D2827" s="46" t="n">
        <f aca="false">MIN(1,'Model Inputs &amp; Assumptions'!$U$33*EXP('Model Inputs &amp; Assumptions'!$V$33*Q2827-'Model Inputs &amp; Assumptions'!$V$33^2/2))</f>
        <v>0</v>
      </c>
      <c r="E2827" s="45" t="n">
        <f aca="false">ROUND(C2827*D2827,0)</f>
        <v>0</v>
      </c>
      <c r="F2827" s="47" t="n">
        <f aca="false">MIN(1,'Model Inputs &amp; Assumptions'!$W$33*EXP('Model Inputs &amp; Assumptions'!$X$33*R2827-'Model Inputs &amp; Assumptions'!$X$33^2/2))</f>
        <v>0.00462438582936337</v>
      </c>
      <c r="G2827" s="45" t="n">
        <f aca="false">ROUND(C2827*F2827,0)</f>
        <v>5443</v>
      </c>
      <c r="H2827" s="48" t="n">
        <f aca="false">MAX(0,(C2827*'Model Inputs &amp; Assumptions'!$N$33+E2827*'Model Inputs &amp; Assumptions'!$O$33+G2827*'Model Inputs &amp; Assumptions'!$P$33)*EXP('Model Inputs &amp; Assumptions'!$Q$33*S2827-'Model Inputs &amp; Assumptions'!$Q$33^2/2))</f>
        <v>230.032546327637</v>
      </c>
      <c r="I2827" s="49" t="n">
        <f aca="false">IF('Model Inputs &amp; Assumptions'!$H$33="Fixed",'Model Inputs &amp; Assumptions'!$I$33*'Model Inputs &amp; Assumptions'!$K$33,IF('Model Inputs &amp; Assumptions'!$H$33="CPM",'Model Inputs &amp; Assumptions'!$I$33*'Model Inputs &amp; Assumptions'!$K$33*C2827/1000,IF('Model Inputs &amp; Assumptions'!$H$33="CPC",'Model Inputs &amp; Assumptions'!$I$33*'Model Inputs &amp; Assumptions'!$K$33*G2827,0)))</f>
        <v>25000</v>
      </c>
      <c r="J2827" s="50" t="n">
        <f aca="false">H2827*INDEX('Model Inputs &amp; Assumptions'!$D$40:$D$42,MATCH('Model Inputs &amp; Assumptions'!$L$33,'Model Inputs &amp; Assumptions'!$A$40:$A$42,0))*INDEX('Model Inputs &amp; Assumptions'!$H$40:$H$42,MATCH('Model Inputs &amp; Assumptions'!$L$33,'Model Inputs &amp; Assumptions'!$A$40:$A$42,0))</f>
        <v>1242175.75016924</v>
      </c>
      <c r="K2827" s="49" t="n">
        <f aca="false">H2827*INDEX('Model Inputs &amp; Assumptions'!$G$40:$G$42,MATCH('Model Inputs &amp; Assumptions'!$L$33,'Model Inputs &amp; Assumptions'!$A$40:$A$42,0))*INDEX('Model Inputs &amp; Assumptions'!$H$40:$H$42,MATCH('Model Inputs &amp; Assumptions'!$L$33,'Model Inputs &amp; Assumptions'!$A$40:$A$42,0))</f>
        <v>26085.6907535541</v>
      </c>
      <c r="L2827" s="51" t="n">
        <f aca="false">IFERROR(K2827/I2827,0)</f>
        <v>1.04342763014216</v>
      </c>
      <c r="M2827" s="49" t="n">
        <f aca="false">IFERROR(I2827/H2827,0)</f>
        <v>108.680273287904</v>
      </c>
      <c r="N2827" s="52" t="str">
        <f aca="false">'Model Inputs &amp; Assumptions'!$L$33</f>
        <v>PRD-SP01</v>
      </c>
      <c r="P2827" s="53" t="n">
        <v>0.085433</v>
      </c>
      <c r="Q2827" s="53" t="n">
        <v>-0.533737</v>
      </c>
      <c r="R2827" s="53" t="n">
        <v>1.078602</v>
      </c>
      <c r="S2827" s="53" t="n">
        <v>-0.800867</v>
      </c>
    </row>
    <row r="2828" customFormat="false" ht="15" hidden="false" customHeight="false" outlineLevel="0" collapsed="false">
      <c r="A2828" s="43" t="n">
        <v>325</v>
      </c>
      <c r="B2828" s="44" t="str">
        <f aca="false">'Model Inputs &amp; Assumptions'!$B$33</f>
        <v>Trade Republic — Savings Plan Push</v>
      </c>
      <c r="C2828" s="45" t="n">
        <f aca="false">ROUND(MAX(0,'Model Inputs &amp; Assumptions'!$S$33*EXP('Model Inputs &amp; Assumptions'!$T$33*P2828-'Model Inputs &amp; Assumptions'!$T$33^2/2)),0)</f>
        <v>2140893</v>
      </c>
      <c r="D2828" s="46" t="n">
        <f aca="false">MIN(1,'Model Inputs &amp; Assumptions'!$U$33*EXP('Model Inputs &amp; Assumptions'!$V$33*Q2828-'Model Inputs &amp; Assumptions'!$V$33^2/2))</f>
        <v>0</v>
      </c>
      <c r="E2828" s="45" t="n">
        <f aca="false">ROUND(C2828*D2828,0)</f>
        <v>0</v>
      </c>
      <c r="F2828" s="47" t="n">
        <f aca="false">MIN(1,'Model Inputs &amp; Assumptions'!$W$33*EXP('Model Inputs &amp; Assumptions'!$X$33*R2828-'Model Inputs &amp; Assumptions'!$X$33^2/2))</f>
        <v>0.00298354791693239</v>
      </c>
      <c r="G2828" s="45" t="n">
        <f aca="false">ROUND(C2828*F2828,0)</f>
        <v>6387</v>
      </c>
      <c r="H2828" s="48" t="n">
        <f aca="false">MAX(0,(C2828*'Model Inputs &amp; Assumptions'!$N$33+E2828*'Model Inputs &amp; Assumptions'!$O$33+G2828*'Model Inputs &amp; Assumptions'!$P$33)*EXP('Model Inputs &amp; Assumptions'!$Q$33*S2828-'Model Inputs &amp; Assumptions'!$Q$33^2/2))</f>
        <v>410.644361660511</v>
      </c>
      <c r="I2828" s="49" t="n">
        <f aca="false">IF('Model Inputs &amp; Assumptions'!$H$33="Fixed",'Model Inputs &amp; Assumptions'!$I$33*'Model Inputs &amp; Assumptions'!$K$33,IF('Model Inputs &amp; Assumptions'!$H$33="CPM",'Model Inputs &amp; Assumptions'!$I$33*'Model Inputs &amp; Assumptions'!$K$33*C2828/1000,IF('Model Inputs &amp; Assumptions'!$H$33="CPC",'Model Inputs &amp; Assumptions'!$I$33*'Model Inputs &amp; Assumptions'!$K$33*G2828,0)))</f>
        <v>25000</v>
      </c>
      <c r="J2828" s="50" t="n">
        <f aca="false">H2828*INDEX('Model Inputs &amp; Assumptions'!$D$40:$D$42,MATCH('Model Inputs &amp; Assumptions'!$L$33,'Model Inputs &amp; Assumptions'!$A$40:$A$42,0))*INDEX('Model Inputs &amp; Assumptions'!$H$40:$H$42,MATCH('Model Inputs &amp; Assumptions'!$L$33,'Model Inputs &amp; Assumptions'!$A$40:$A$42,0))</f>
        <v>2217479.55296676</v>
      </c>
      <c r="K2828" s="49" t="n">
        <f aca="false">H2828*INDEX('Model Inputs &amp; Assumptions'!$G$40:$G$42,MATCH('Model Inputs &amp; Assumptions'!$L$33,'Model Inputs &amp; Assumptions'!$A$40:$A$42,0))*INDEX('Model Inputs &amp; Assumptions'!$H$40:$H$42,MATCH('Model Inputs &amp; Assumptions'!$L$33,'Model Inputs &amp; Assumptions'!$A$40:$A$42,0))</f>
        <v>46567.070612302</v>
      </c>
      <c r="L2828" s="51" t="n">
        <f aca="false">IFERROR(K2828/I2828,0)</f>
        <v>1.86268282449208</v>
      </c>
      <c r="M2828" s="49" t="n">
        <f aca="false">IFERROR(I2828/H2828,0)</f>
        <v>60.8799300175661</v>
      </c>
      <c r="N2828" s="52" t="str">
        <f aca="false">'Model Inputs &amp; Assumptions'!$L$33</f>
        <v>PRD-SP01</v>
      </c>
      <c r="P2828" s="53" t="n">
        <v>2.079671</v>
      </c>
      <c r="Q2828" s="53" t="n">
        <v>-1.304923</v>
      </c>
      <c r="R2828" s="53" t="n">
        <v>-0.382166</v>
      </c>
      <c r="S2828" s="53" t="n">
        <v>0.697606</v>
      </c>
    </row>
    <row r="2829" customFormat="false" ht="15" hidden="false" customHeight="false" outlineLevel="0" collapsed="false">
      <c r="A2829" s="43" t="n">
        <v>326</v>
      </c>
      <c r="B2829" s="44" t="str">
        <f aca="false">'Model Inputs &amp; Assumptions'!$B$33</f>
        <v>Trade Republic — Savings Plan Push</v>
      </c>
      <c r="C2829" s="45" t="n">
        <f aca="false">ROUND(MAX(0,'Model Inputs &amp; Assumptions'!$S$33*EXP('Model Inputs &amp; Assumptions'!$T$33*P2829-'Model Inputs &amp; Assumptions'!$T$33^2/2)),0)</f>
        <v>985559</v>
      </c>
      <c r="D2829" s="46" t="n">
        <f aca="false">MIN(1,'Model Inputs &amp; Assumptions'!$U$33*EXP('Model Inputs &amp; Assumptions'!$V$33*Q2829-'Model Inputs &amp; Assumptions'!$V$33^2/2))</f>
        <v>0</v>
      </c>
      <c r="E2829" s="45" t="n">
        <f aca="false">ROUND(C2829*D2829,0)</f>
        <v>0</v>
      </c>
      <c r="F2829" s="47" t="n">
        <f aca="false">MIN(1,'Model Inputs &amp; Assumptions'!$W$33*EXP('Model Inputs &amp; Assumptions'!$X$33*R2829-'Model Inputs &amp; Assumptions'!$X$33^2/2))</f>
        <v>0.00398004755809625</v>
      </c>
      <c r="G2829" s="45" t="n">
        <f aca="false">ROUND(C2829*F2829,0)</f>
        <v>3923</v>
      </c>
      <c r="H2829" s="48" t="n">
        <f aca="false">MAX(0,(C2829*'Model Inputs &amp; Assumptions'!$N$33+E2829*'Model Inputs &amp; Assumptions'!$O$33+G2829*'Model Inputs &amp; Assumptions'!$P$33)*EXP('Model Inputs &amp; Assumptions'!$Q$33*S2829-'Model Inputs &amp; Assumptions'!$Q$33^2/2))</f>
        <v>135.248752288433</v>
      </c>
      <c r="I2829" s="49" t="n">
        <f aca="false">IF('Model Inputs &amp; Assumptions'!$H$33="Fixed",'Model Inputs &amp; Assumptions'!$I$33*'Model Inputs &amp; Assumptions'!$K$33,IF('Model Inputs &amp; Assumptions'!$H$33="CPM",'Model Inputs &amp; Assumptions'!$I$33*'Model Inputs &amp; Assumptions'!$K$33*C2829/1000,IF('Model Inputs &amp; Assumptions'!$H$33="CPC",'Model Inputs &amp; Assumptions'!$I$33*'Model Inputs &amp; Assumptions'!$K$33*G2829,0)))</f>
        <v>25000</v>
      </c>
      <c r="J2829" s="50" t="n">
        <f aca="false">H2829*INDEX('Model Inputs &amp; Assumptions'!$D$40:$D$42,MATCH('Model Inputs &amp; Assumptions'!$L$33,'Model Inputs &amp; Assumptions'!$A$40:$A$42,0))*INDEX('Model Inputs &amp; Assumptions'!$H$40:$H$42,MATCH('Model Inputs &amp; Assumptions'!$L$33,'Model Inputs &amp; Assumptions'!$A$40:$A$42,0))</f>
        <v>730343.262357541</v>
      </c>
      <c r="K2829" s="49" t="n">
        <f aca="false">H2829*INDEX('Model Inputs &amp; Assumptions'!$G$40:$G$42,MATCH('Model Inputs &amp; Assumptions'!$L$33,'Model Inputs &amp; Assumptions'!$A$40:$A$42,0))*INDEX('Model Inputs &amp; Assumptions'!$H$40:$H$42,MATCH('Model Inputs &amp; Assumptions'!$L$33,'Model Inputs &amp; Assumptions'!$A$40:$A$42,0))</f>
        <v>15337.2085095084</v>
      </c>
      <c r="L2829" s="51" t="n">
        <f aca="false">IFERROR(K2829/I2829,0)</f>
        <v>0.613488340380334</v>
      </c>
      <c r="M2829" s="49" t="n">
        <f aca="false">IFERROR(I2829/H2829,0)</f>
        <v>184.844588781748</v>
      </c>
      <c r="N2829" s="52" t="str">
        <f aca="false">'Model Inputs &amp; Assumptions'!$L$33</f>
        <v>PRD-SP01</v>
      </c>
      <c r="P2829" s="53" t="n">
        <v>-0.506225</v>
      </c>
      <c r="Q2829" s="53" t="n">
        <v>0.887515</v>
      </c>
      <c r="R2829" s="53" t="n">
        <v>0.578436</v>
      </c>
      <c r="S2829" s="53" t="n">
        <v>-1.528122</v>
      </c>
    </row>
    <row r="2830" customFormat="false" ht="15" hidden="false" customHeight="false" outlineLevel="0" collapsed="false">
      <c r="A2830" s="43" t="n">
        <v>327</v>
      </c>
      <c r="B2830" s="44" t="str">
        <f aca="false">'Model Inputs &amp; Assumptions'!$B$33</f>
        <v>Trade Republic — Savings Plan Push</v>
      </c>
      <c r="C2830" s="45" t="n">
        <f aca="false">ROUND(MAX(0,'Model Inputs &amp; Assumptions'!$S$33*EXP('Model Inputs &amp; Assumptions'!$T$33*P2830-'Model Inputs &amp; Assumptions'!$T$33^2/2)),0)</f>
        <v>1501384</v>
      </c>
      <c r="D2830" s="46" t="n">
        <f aca="false">MIN(1,'Model Inputs &amp; Assumptions'!$U$33*EXP('Model Inputs &amp; Assumptions'!$V$33*Q2830-'Model Inputs &amp; Assumptions'!$V$33^2/2))</f>
        <v>0</v>
      </c>
      <c r="E2830" s="45" t="n">
        <f aca="false">ROUND(C2830*D2830,0)</f>
        <v>0</v>
      </c>
      <c r="F2830" s="47" t="n">
        <f aca="false">MIN(1,'Model Inputs &amp; Assumptions'!$W$33*EXP('Model Inputs &amp; Assumptions'!$X$33*R2830-'Model Inputs &amp; Assumptions'!$X$33^2/2))</f>
        <v>0.0028674260150786</v>
      </c>
      <c r="G2830" s="45" t="n">
        <f aca="false">ROUND(C2830*F2830,0)</f>
        <v>4305</v>
      </c>
      <c r="H2830" s="48" t="n">
        <f aca="false">MAX(0,(C2830*'Model Inputs &amp; Assumptions'!$N$33+E2830*'Model Inputs &amp; Assumptions'!$O$33+G2830*'Model Inputs &amp; Assumptions'!$P$33)*EXP('Model Inputs &amp; Assumptions'!$Q$33*S2830-'Model Inputs &amp; Assumptions'!$Q$33^2/2))</f>
        <v>345.285138164549</v>
      </c>
      <c r="I2830" s="49" t="n">
        <f aca="false">IF('Model Inputs &amp; Assumptions'!$H$33="Fixed",'Model Inputs &amp; Assumptions'!$I$33*'Model Inputs &amp; Assumptions'!$K$33,IF('Model Inputs &amp; Assumptions'!$H$33="CPM",'Model Inputs &amp; Assumptions'!$I$33*'Model Inputs &amp; Assumptions'!$K$33*C2830/1000,IF('Model Inputs &amp; Assumptions'!$H$33="CPC",'Model Inputs &amp; Assumptions'!$I$33*'Model Inputs &amp; Assumptions'!$K$33*G2830,0)))</f>
        <v>25000</v>
      </c>
      <c r="J2830" s="50" t="n">
        <f aca="false">H2830*INDEX('Model Inputs &amp; Assumptions'!$D$40:$D$42,MATCH('Model Inputs &amp; Assumptions'!$L$33,'Model Inputs &amp; Assumptions'!$A$40:$A$42,0))*INDEX('Model Inputs &amp; Assumptions'!$H$40:$H$42,MATCH('Model Inputs &amp; Assumptions'!$L$33,'Model Inputs &amp; Assumptions'!$A$40:$A$42,0))</f>
        <v>1864539.74608856</v>
      </c>
      <c r="K2830" s="49" t="n">
        <f aca="false">H2830*INDEX('Model Inputs &amp; Assumptions'!$G$40:$G$42,MATCH('Model Inputs &amp; Assumptions'!$L$33,'Model Inputs &amp; Assumptions'!$A$40:$A$42,0))*INDEX('Model Inputs &amp; Assumptions'!$H$40:$H$42,MATCH('Model Inputs &amp; Assumptions'!$L$33,'Model Inputs &amp; Assumptions'!$A$40:$A$42,0))</f>
        <v>39155.3346678598</v>
      </c>
      <c r="L2830" s="51" t="n">
        <f aca="false">IFERROR(K2830/I2830,0)</f>
        <v>1.56621338671439</v>
      </c>
      <c r="M2830" s="49" t="n">
        <f aca="false">IFERROR(I2830/H2830,0)</f>
        <v>72.4039271799935</v>
      </c>
      <c r="N2830" s="52" t="str">
        <f aca="false">'Model Inputs &amp; Assumptions'!$L$33</f>
        <v>PRD-SP01</v>
      </c>
      <c r="P2830" s="53" t="n">
        <v>0.896886</v>
      </c>
      <c r="Q2830" s="53" t="n">
        <v>-0.752386</v>
      </c>
      <c r="R2830" s="53" t="n">
        <v>-0.514494</v>
      </c>
      <c r="S2830" s="53" t="n">
        <v>1.487358</v>
      </c>
    </row>
    <row r="2831" customFormat="false" ht="15" hidden="false" customHeight="false" outlineLevel="0" collapsed="false">
      <c r="A2831" s="43" t="n">
        <v>328</v>
      </c>
      <c r="B2831" s="44" t="str">
        <f aca="false">'Model Inputs &amp; Assumptions'!$B$33</f>
        <v>Trade Republic — Savings Plan Push</v>
      </c>
      <c r="C2831" s="45" t="n">
        <f aca="false">ROUND(MAX(0,'Model Inputs &amp; Assumptions'!$S$33*EXP('Model Inputs &amp; Assumptions'!$T$33*P2831-'Model Inputs &amp; Assumptions'!$T$33^2/2)),0)</f>
        <v>1559469</v>
      </c>
      <c r="D2831" s="46" t="n">
        <f aca="false">MIN(1,'Model Inputs &amp; Assumptions'!$U$33*EXP('Model Inputs &amp; Assumptions'!$V$33*Q2831-'Model Inputs &amp; Assumptions'!$V$33^2/2))</f>
        <v>0</v>
      </c>
      <c r="E2831" s="45" t="n">
        <f aca="false">ROUND(C2831*D2831,0)</f>
        <v>0</v>
      </c>
      <c r="F2831" s="47" t="n">
        <f aca="false">MIN(1,'Model Inputs &amp; Assumptions'!$W$33*EXP('Model Inputs &amp; Assumptions'!$X$33*R2831-'Model Inputs &amp; Assumptions'!$X$33^2/2))</f>
        <v>0.00468157067760043</v>
      </c>
      <c r="G2831" s="45" t="n">
        <f aca="false">ROUND(C2831*F2831,0)</f>
        <v>7301</v>
      </c>
      <c r="H2831" s="48" t="n">
        <f aca="false">MAX(0,(C2831*'Model Inputs &amp; Assumptions'!$N$33+E2831*'Model Inputs &amp; Assumptions'!$O$33+G2831*'Model Inputs &amp; Assumptions'!$P$33)*EXP('Model Inputs &amp; Assumptions'!$Q$33*S2831-'Model Inputs &amp; Assumptions'!$Q$33^2/2))</f>
        <v>357.503070284802</v>
      </c>
      <c r="I2831" s="49" t="n">
        <f aca="false">IF('Model Inputs &amp; Assumptions'!$H$33="Fixed",'Model Inputs &amp; Assumptions'!$I$33*'Model Inputs &amp; Assumptions'!$K$33,IF('Model Inputs &amp; Assumptions'!$H$33="CPM",'Model Inputs &amp; Assumptions'!$I$33*'Model Inputs &amp; Assumptions'!$K$33*C2831/1000,IF('Model Inputs &amp; Assumptions'!$H$33="CPC",'Model Inputs &amp; Assumptions'!$I$33*'Model Inputs &amp; Assumptions'!$K$33*G2831,0)))</f>
        <v>25000</v>
      </c>
      <c r="J2831" s="50" t="n">
        <f aca="false">H2831*INDEX('Model Inputs &amp; Assumptions'!$D$40:$D$42,MATCH('Model Inputs &amp; Assumptions'!$L$33,'Model Inputs &amp; Assumptions'!$A$40:$A$42,0))*INDEX('Model Inputs &amp; Assumptions'!$H$40:$H$42,MATCH('Model Inputs &amp; Assumptions'!$L$33,'Model Inputs &amp; Assumptions'!$A$40:$A$42,0))</f>
        <v>1930516.57953793</v>
      </c>
      <c r="K2831" s="49" t="n">
        <f aca="false">H2831*INDEX('Model Inputs &amp; Assumptions'!$G$40:$G$42,MATCH('Model Inputs &amp; Assumptions'!$L$33,'Model Inputs &amp; Assumptions'!$A$40:$A$42,0))*INDEX('Model Inputs &amp; Assumptions'!$H$40:$H$42,MATCH('Model Inputs &amp; Assumptions'!$L$33,'Model Inputs &amp; Assumptions'!$A$40:$A$42,0))</f>
        <v>40540.8481702965</v>
      </c>
      <c r="L2831" s="51" t="n">
        <f aca="false">IFERROR(K2831/I2831,0)</f>
        <v>1.62163392681186</v>
      </c>
      <c r="M2831" s="49" t="n">
        <f aca="false">IFERROR(I2831/H2831,0)</f>
        <v>69.9294693611553</v>
      </c>
      <c r="N2831" s="52" t="str">
        <f aca="false">'Model Inputs &amp; Assumptions'!$L$33</f>
        <v>PRD-SP01</v>
      </c>
      <c r="P2831" s="53" t="n">
        <v>1.023413</v>
      </c>
      <c r="Q2831" s="53" t="n">
        <v>-0.757523</v>
      </c>
      <c r="R2831" s="53" t="n">
        <v>1.119569</v>
      </c>
      <c r="S2831" s="53" t="n">
        <v>-0.275002</v>
      </c>
    </row>
    <row r="2832" customFormat="false" ht="15" hidden="false" customHeight="false" outlineLevel="0" collapsed="false">
      <c r="A2832" s="43" t="n">
        <v>329</v>
      </c>
      <c r="B2832" s="44" t="str">
        <f aca="false">'Model Inputs &amp; Assumptions'!$B$33</f>
        <v>Trade Republic — Savings Plan Push</v>
      </c>
      <c r="C2832" s="45" t="n">
        <f aca="false">ROUND(MAX(0,'Model Inputs &amp; Assumptions'!$S$33*EXP('Model Inputs &amp; Assumptions'!$T$33*P2832-'Model Inputs &amp; Assumptions'!$T$33^2/2)),0)</f>
        <v>957088</v>
      </c>
      <c r="D2832" s="46" t="n">
        <f aca="false">MIN(1,'Model Inputs &amp; Assumptions'!$U$33*EXP('Model Inputs &amp; Assumptions'!$V$33*Q2832-'Model Inputs &amp; Assumptions'!$V$33^2/2))</f>
        <v>0</v>
      </c>
      <c r="E2832" s="45" t="n">
        <f aca="false">ROUND(C2832*D2832,0)</f>
        <v>0</v>
      </c>
      <c r="F2832" s="47" t="n">
        <f aca="false">MIN(1,'Model Inputs &amp; Assumptions'!$W$33*EXP('Model Inputs &amp; Assumptions'!$X$33*R2832-'Model Inputs &amp; Assumptions'!$X$33^2/2))</f>
        <v>0.00342223815561969</v>
      </c>
      <c r="G2832" s="45" t="n">
        <f aca="false">ROUND(C2832*F2832,0)</f>
        <v>3275</v>
      </c>
      <c r="H2832" s="48" t="n">
        <f aca="false">MAX(0,(C2832*'Model Inputs &amp; Assumptions'!$N$33+E2832*'Model Inputs &amp; Assumptions'!$O$33+G2832*'Model Inputs &amp; Assumptions'!$P$33)*EXP('Model Inputs &amp; Assumptions'!$Q$33*S2832-'Model Inputs &amp; Assumptions'!$Q$33^2/2))</f>
        <v>202.749100060471</v>
      </c>
      <c r="I2832" s="49" t="n">
        <f aca="false">IF('Model Inputs &amp; Assumptions'!$H$33="Fixed",'Model Inputs &amp; Assumptions'!$I$33*'Model Inputs &amp; Assumptions'!$K$33,IF('Model Inputs &amp; Assumptions'!$H$33="CPM",'Model Inputs &amp; Assumptions'!$I$33*'Model Inputs &amp; Assumptions'!$K$33*C2832/1000,IF('Model Inputs &amp; Assumptions'!$H$33="CPC",'Model Inputs &amp; Assumptions'!$I$33*'Model Inputs &amp; Assumptions'!$K$33*G2832,0)))</f>
        <v>25000</v>
      </c>
      <c r="J2832" s="50" t="n">
        <f aca="false">H2832*INDEX('Model Inputs &amp; Assumptions'!$D$40:$D$42,MATCH('Model Inputs &amp; Assumptions'!$L$33,'Model Inputs &amp; Assumptions'!$A$40:$A$42,0))*INDEX('Model Inputs &amp; Assumptions'!$H$40:$H$42,MATCH('Model Inputs &amp; Assumptions'!$L$33,'Model Inputs &amp; Assumptions'!$A$40:$A$42,0))</f>
        <v>1094845.14032655</v>
      </c>
      <c r="K2832" s="49" t="n">
        <f aca="false">H2832*INDEX('Model Inputs &amp; Assumptions'!$G$40:$G$42,MATCH('Model Inputs &amp; Assumptions'!$L$33,'Model Inputs &amp; Assumptions'!$A$40:$A$42,0))*INDEX('Model Inputs &amp; Assumptions'!$H$40:$H$42,MATCH('Model Inputs &amp; Assumptions'!$L$33,'Model Inputs &amp; Assumptions'!$A$40:$A$42,0))</f>
        <v>22991.7479468575</v>
      </c>
      <c r="L2832" s="51" t="n">
        <f aca="false">IFERROR(K2832/I2832,0)</f>
        <v>0.919669917874299</v>
      </c>
      <c r="M2832" s="49" t="n">
        <f aca="false">IFERROR(I2832/H2832,0)</f>
        <v>123.305109579</v>
      </c>
      <c r="N2832" s="52" t="str">
        <f aca="false">'Model Inputs &amp; Assumptions'!$L$33</f>
        <v>PRD-SP01</v>
      </c>
      <c r="P2832" s="53" t="n">
        <v>-0.603937</v>
      </c>
      <c r="Q2832" s="53" t="n">
        <v>-0.992584</v>
      </c>
      <c r="R2832" s="53" t="n">
        <v>0.075106</v>
      </c>
      <c r="S2832" s="53" t="n">
        <v>0.562565</v>
      </c>
    </row>
    <row r="2833" customFormat="false" ht="15" hidden="false" customHeight="false" outlineLevel="0" collapsed="false">
      <c r="A2833" s="43" t="n">
        <v>330</v>
      </c>
      <c r="B2833" s="44" t="str">
        <f aca="false">'Model Inputs &amp; Assumptions'!$B$33</f>
        <v>Trade Republic — Savings Plan Push</v>
      </c>
      <c r="C2833" s="45" t="n">
        <f aca="false">ROUND(MAX(0,'Model Inputs &amp; Assumptions'!$S$33*EXP('Model Inputs &amp; Assumptions'!$T$33*P2833-'Model Inputs &amp; Assumptions'!$T$33^2/2)),0)</f>
        <v>2369199</v>
      </c>
      <c r="D2833" s="46" t="n">
        <f aca="false">MIN(1,'Model Inputs &amp; Assumptions'!$U$33*EXP('Model Inputs &amp; Assumptions'!$V$33*Q2833-'Model Inputs &amp; Assumptions'!$V$33^2/2))</f>
        <v>0</v>
      </c>
      <c r="E2833" s="45" t="n">
        <f aca="false">ROUND(C2833*D2833,0)</f>
        <v>0</v>
      </c>
      <c r="F2833" s="47" t="n">
        <f aca="false">MIN(1,'Model Inputs &amp; Assumptions'!$W$33*EXP('Model Inputs &amp; Assumptions'!$X$33*R2833-'Model Inputs &amp; Assumptions'!$X$33^2/2))</f>
        <v>0.00303661457580431</v>
      </c>
      <c r="G2833" s="45" t="n">
        <f aca="false">ROUND(C2833*F2833,0)</f>
        <v>7194</v>
      </c>
      <c r="H2833" s="48" t="n">
        <f aca="false">MAX(0,(C2833*'Model Inputs &amp; Assumptions'!$N$33+E2833*'Model Inputs &amp; Assumptions'!$O$33+G2833*'Model Inputs &amp; Assumptions'!$P$33)*EXP('Model Inputs &amp; Assumptions'!$Q$33*S2833-'Model Inputs &amp; Assumptions'!$Q$33^2/2))</f>
        <v>244.457113960604</v>
      </c>
      <c r="I2833" s="49" t="n">
        <f aca="false">IF('Model Inputs &amp; Assumptions'!$H$33="Fixed",'Model Inputs &amp; Assumptions'!$I$33*'Model Inputs &amp; Assumptions'!$K$33,IF('Model Inputs &amp; Assumptions'!$H$33="CPM",'Model Inputs &amp; Assumptions'!$I$33*'Model Inputs &amp; Assumptions'!$K$33*C2833/1000,IF('Model Inputs &amp; Assumptions'!$H$33="CPC",'Model Inputs &amp; Assumptions'!$I$33*'Model Inputs &amp; Assumptions'!$K$33*G2833,0)))</f>
        <v>25000</v>
      </c>
      <c r="J2833" s="50" t="n">
        <f aca="false">H2833*INDEX('Model Inputs &amp; Assumptions'!$D$40:$D$42,MATCH('Model Inputs &amp; Assumptions'!$L$33,'Model Inputs &amp; Assumptions'!$A$40:$A$42,0))*INDEX('Model Inputs &amp; Assumptions'!$H$40:$H$42,MATCH('Model Inputs &amp; Assumptions'!$L$33,'Model Inputs &amp; Assumptions'!$A$40:$A$42,0))</f>
        <v>1320068.41538726</v>
      </c>
      <c r="K2833" s="49" t="n">
        <f aca="false">H2833*INDEX('Model Inputs &amp; Assumptions'!$G$40:$G$42,MATCH('Model Inputs &amp; Assumptions'!$L$33,'Model Inputs &amp; Assumptions'!$A$40:$A$42,0))*INDEX('Model Inputs &amp; Assumptions'!$H$40:$H$42,MATCH('Model Inputs &amp; Assumptions'!$L$33,'Model Inputs &amp; Assumptions'!$A$40:$A$42,0))</f>
        <v>27721.4367231325</v>
      </c>
      <c r="L2833" s="51" t="n">
        <f aca="false">IFERROR(K2833/I2833,0)</f>
        <v>1.1088574689253</v>
      </c>
      <c r="M2833" s="49" t="n">
        <f aca="false">IFERROR(I2833/H2833,0)</f>
        <v>102.26742676848</v>
      </c>
      <c r="N2833" s="52" t="str">
        <f aca="false">'Model Inputs &amp; Assumptions'!$L$33</f>
        <v>PRD-SP01</v>
      </c>
      <c r="P2833" s="53" t="n">
        <v>2.417435</v>
      </c>
      <c r="Q2833" s="53" t="n">
        <v>-0.434684</v>
      </c>
      <c r="R2833" s="53" t="n">
        <v>-0.323399</v>
      </c>
      <c r="S2833" s="53" t="n">
        <v>-1.579788</v>
      </c>
    </row>
    <row r="2834" customFormat="false" ht="15" hidden="false" customHeight="false" outlineLevel="0" collapsed="false">
      <c r="A2834" s="43" t="n">
        <v>331</v>
      </c>
      <c r="B2834" s="44" t="str">
        <f aca="false">'Model Inputs &amp; Assumptions'!$B$33</f>
        <v>Trade Republic — Savings Plan Push</v>
      </c>
      <c r="C2834" s="45" t="n">
        <f aca="false">ROUND(MAX(0,'Model Inputs &amp; Assumptions'!$S$33*EXP('Model Inputs &amp; Assumptions'!$T$33*P2834-'Model Inputs &amp; Assumptions'!$T$33^2/2)),0)</f>
        <v>1336272</v>
      </c>
      <c r="D2834" s="46" t="n">
        <f aca="false">MIN(1,'Model Inputs &amp; Assumptions'!$U$33*EXP('Model Inputs &amp; Assumptions'!$V$33*Q2834-'Model Inputs &amp; Assumptions'!$V$33^2/2))</f>
        <v>0</v>
      </c>
      <c r="E2834" s="45" t="n">
        <f aca="false">ROUND(C2834*D2834,0)</f>
        <v>0</v>
      </c>
      <c r="F2834" s="47" t="n">
        <f aca="false">MIN(1,'Model Inputs &amp; Assumptions'!$W$33*EXP('Model Inputs &amp; Assumptions'!$X$33*R2834-'Model Inputs &amp; Assumptions'!$X$33^2/2))</f>
        <v>0.00280904359706681</v>
      </c>
      <c r="G2834" s="45" t="n">
        <f aca="false">ROUND(C2834*F2834,0)</f>
        <v>3754</v>
      </c>
      <c r="H2834" s="48" t="n">
        <f aca="false">MAX(0,(C2834*'Model Inputs &amp; Assumptions'!$N$33+E2834*'Model Inputs &amp; Assumptions'!$O$33+G2834*'Model Inputs &amp; Assumptions'!$P$33)*EXP('Model Inputs &amp; Assumptions'!$Q$33*S2834-'Model Inputs &amp; Assumptions'!$Q$33^2/2))</f>
        <v>222.669846041656</v>
      </c>
      <c r="I2834" s="49" t="n">
        <f aca="false">IF('Model Inputs &amp; Assumptions'!$H$33="Fixed",'Model Inputs &amp; Assumptions'!$I$33*'Model Inputs &amp; Assumptions'!$K$33,IF('Model Inputs &amp; Assumptions'!$H$33="CPM",'Model Inputs &amp; Assumptions'!$I$33*'Model Inputs &amp; Assumptions'!$K$33*C2834/1000,IF('Model Inputs &amp; Assumptions'!$H$33="CPC",'Model Inputs &amp; Assumptions'!$I$33*'Model Inputs &amp; Assumptions'!$K$33*G2834,0)))</f>
        <v>25000</v>
      </c>
      <c r="J2834" s="50" t="n">
        <f aca="false">H2834*INDEX('Model Inputs &amp; Assumptions'!$D$40:$D$42,MATCH('Model Inputs &amp; Assumptions'!$L$33,'Model Inputs &amp; Assumptions'!$A$40:$A$42,0))*INDEX('Model Inputs &amp; Assumptions'!$H$40:$H$42,MATCH('Model Inputs &amp; Assumptions'!$L$33,'Model Inputs &amp; Assumptions'!$A$40:$A$42,0))</f>
        <v>1202417.16862494</v>
      </c>
      <c r="K2834" s="49" t="n">
        <f aca="false">H2834*INDEX('Model Inputs &amp; Assumptions'!$G$40:$G$42,MATCH('Model Inputs &amp; Assumptions'!$L$33,'Model Inputs &amp; Assumptions'!$A$40:$A$42,0))*INDEX('Model Inputs &amp; Assumptions'!$H$40:$H$42,MATCH('Model Inputs &amp; Assumptions'!$L$33,'Model Inputs &amp; Assumptions'!$A$40:$A$42,0))</f>
        <v>25250.7605411238</v>
      </c>
      <c r="L2834" s="51" t="n">
        <f aca="false">IFERROR(K2834/I2834,0)</f>
        <v>1.01003042164495</v>
      </c>
      <c r="M2834" s="49" t="n">
        <f aca="false">IFERROR(I2834/H2834,0)</f>
        <v>112.27384598507</v>
      </c>
      <c r="N2834" s="52" t="str">
        <f aca="false">'Model Inputs &amp; Assumptions'!$L$33</f>
        <v>PRD-SP01</v>
      </c>
      <c r="P2834" s="53" t="n">
        <v>0.50854</v>
      </c>
      <c r="Q2834" s="53" t="n">
        <v>1.248188</v>
      </c>
      <c r="R2834" s="53" t="n">
        <v>-0.583063</v>
      </c>
      <c r="S2834" s="53" t="n">
        <v>0.409768</v>
      </c>
    </row>
    <row r="2835" customFormat="false" ht="15" hidden="false" customHeight="false" outlineLevel="0" collapsed="false">
      <c r="A2835" s="43" t="n">
        <v>332</v>
      </c>
      <c r="B2835" s="44" t="str">
        <f aca="false">'Model Inputs &amp; Assumptions'!$B$33</f>
        <v>Trade Republic — Savings Plan Push</v>
      </c>
      <c r="C2835" s="45" t="n">
        <f aca="false">ROUND(MAX(0,'Model Inputs &amp; Assumptions'!$S$33*EXP('Model Inputs &amp; Assumptions'!$T$33*P2835-'Model Inputs &amp; Assumptions'!$T$33^2/2)),0)</f>
        <v>1937900</v>
      </c>
      <c r="D2835" s="46" t="n">
        <f aca="false">MIN(1,'Model Inputs &amp; Assumptions'!$U$33*EXP('Model Inputs &amp; Assumptions'!$V$33*Q2835-'Model Inputs &amp; Assumptions'!$V$33^2/2))</f>
        <v>0</v>
      </c>
      <c r="E2835" s="45" t="n">
        <f aca="false">ROUND(C2835*D2835,0)</f>
        <v>0</v>
      </c>
      <c r="F2835" s="47" t="n">
        <f aca="false">MIN(1,'Model Inputs &amp; Assumptions'!$W$33*EXP('Model Inputs &amp; Assumptions'!$X$33*R2835-'Model Inputs &amp; Assumptions'!$X$33^2/2))</f>
        <v>0.00332292549626066</v>
      </c>
      <c r="G2835" s="45" t="n">
        <f aca="false">ROUND(C2835*F2835,0)</f>
        <v>6439</v>
      </c>
      <c r="H2835" s="48" t="n">
        <f aca="false">MAX(0,(C2835*'Model Inputs &amp; Assumptions'!$N$33+E2835*'Model Inputs &amp; Assumptions'!$O$33+G2835*'Model Inputs &amp; Assumptions'!$P$33)*EXP('Model Inputs &amp; Assumptions'!$Q$33*S2835-'Model Inputs &amp; Assumptions'!$Q$33^2/2))</f>
        <v>260.069461197898</v>
      </c>
      <c r="I2835" s="49" t="n">
        <f aca="false">IF('Model Inputs &amp; Assumptions'!$H$33="Fixed",'Model Inputs &amp; Assumptions'!$I$33*'Model Inputs &amp; Assumptions'!$K$33,IF('Model Inputs &amp; Assumptions'!$H$33="CPM",'Model Inputs &amp; Assumptions'!$I$33*'Model Inputs &amp; Assumptions'!$K$33*C2835/1000,IF('Model Inputs &amp; Assumptions'!$H$33="CPC",'Model Inputs &amp; Assumptions'!$I$33*'Model Inputs &amp; Assumptions'!$K$33*G2835,0)))</f>
        <v>25000</v>
      </c>
      <c r="J2835" s="50" t="n">
        <f aca="false">H2835*INDEX('Model Inputs &amp; Assumptions'!$D$40:$D$42,MATCH('Model Inputs &amp; Assumptions'!$L$33,'Model Inputs &amp; Assumptions'!$A$40:$A$42,0))*INDEX('Model Inputs &amp; Assumptions'!$H$40:$H$42,MATCH('Model Inputs &amp; Assumptions'!$L$33,'Model Inputs &amp; Assumptions'!$A$40:$A$42,0))</f>
        <v>1404375.09046865</v>
      </c>
      <c r="K2835" s="49" t="n">
        <f aca="false">H2835*INDEX('Model Inputs &amp; Assumptions'!$G$40:$G$42,MATCH('Model Inputs &amp; Assumptions'!$L$33,'Model Inputs &amp; Assumptions'!$A$40:$A$42,0))*INDEX('Model Inputs &amp; Assumptions'!$H$40:$H$42,MATCH('Model Inputs &amp; Assumptions'!$L$33,'Model Inputs &amp; Assumptions'!$A$40:$A$42,0))</f>
        <v>29491.8768998417</v>
      </c>
      <c r="L2835" s="51" t="n">
        <f aca="false">IFERROR(K2835/I2835,0)</f>
        <v>1.17967507599367</v>
      </c>
      <c r="M2835" s="49" t="n">
        <f aca="false">IFERROR(I2835/H2835,0)</f>
        <v>96.1281647020309</v>
      </c>
      <c r="N2835" s="52" t="str">
        <f aca="false">'Model Inputs &amp; Assumptions'!$L$33</f>
        <v>PRD-SP01</v>
      </c>
      <c r="P2835" s="53" t="n">
        <v>1.747611</v>
      </c>
      <c r="Q2835" s="53" t="n">
        <v>-0.805107</v>
      </c>
      <c r="R2835" s="53" t="n">
        <v>-0.023058</v>
      </c>
      <c r="S2835" s="53" t="n">
        <v>-0.962706</v>
      </c>
    </row>
    <row r="2836" customFormat="false" ht="15" hidden="false" customHeight="false" outlineLevel="0" collapsed="false">
      <c r="A2836" s="43" t="n">
        <v>333</v>
      </c>
      <c r="B2836" s="44" t="str">
        <f aca="false">'Model Inputs &amp; Assumptions'!$B$33</f>
        <v>Trade Republic — Savings Plan Push</v>
      </c>
      <c r="C2836" s="45" t="n">
        <f aca="false">ROUND(MAX(0,'Model Inputs &amp; Assumptions'!$S$33*EXP('Model Inputs &amp; Assumptions'!$T$33*P2836-'Model Inputs &amp; Assumptions'!$T$33^2/2)),0)</f>
        <v>1082677</v>
      </c>
      <c r="D2836" s="46" t="n">
        <f aca="false">MIN(1,'Model Inputs &amp; Assumptions'!$U$33*EXP('Model Inputs &amp; Assumptions'!$V$33*Q2836-'Model Inputs &amp; Assumptions'!$V$33^2/2))</f>
        <v>0</v>
      </c>
      <c r="E2836" s="45" t="n">
        <f aca="false">ROUND(C2836*D2836,0)</f>
        <v>0</v>
      </c>
      <c r="F2836" s="47" t="n">
        <f aca="false">MIN(1,'Model Inputs &amp; Assumptions'!$W$33*EXP('Model Inputs &amp; Assumptions'!$X$33*R2836-'Model Inputs &amp; Assumptions'!$X$33^2/2))</f>
        <v>0.00335951752023226</v>
      </c>
      <c r="G2836" s="45" t="n">
        <f aca="false">ROUND(C2836*F2836,0)</f>
        <v>3637</v>
      </c>
      <c r="H2836" s="48" t="n">
        <f aca="false">MAX(0,(C2836*'Model Inputs &amp; Assumptions'!$N$33+E2836*'Model Inputs &amp; Assumptions'!$O$33+G2836*'Model Inputs &amp; Assumptions'!$P$33)*EXP('Model Inputs &amp; Assumptions'!$Q$33*S2836-'Model Inputs &amp; Assumptions'!$Q$33^2/2))</f>
        <v>149.065312858969</v>
      </c>
      <c r="I2836" s="49" t="n">
        <f aca="false">IF('Model Inputs &amp; Assumptions'!$H$33="Fixed",'Model Inputs &amp; Assumptions'!$I$33*'Model Inputs &amp; Assumptions'!$K$33,IF('Model Inputs &amp; Assumptions'!$H$33="CPM",'Model Inputs &amp; Assumptions'!$I$33*'Model Inputs &amp; Assumptions'!$K$33*C2836/1000,IF('Model Inputs &amp; Assumptions'!$H$33="CPC",'Model Inputs &amp; Assumptions'!$I$33*'Model Inputs &amp; Assumptions'!$K$33*G2836,0)))</f>
        <v>25000</v>
      </c>
      <c r="J2836" s="50" t="n">
        <f aca="false">H2836*INDEX('Model Inputs &amp; Assumptions'!$D$40:$D$42,MATCH('Model Inputs &amp; Assumptions'!$L$33,'Model Inputs &amp; Assumptions'!$A$40:$A$42,0))*INDEX('Model Inputs &amp; Assumptions'!$H$40:$H$42,MATCH('Model Inputs &amp; Assumptions'!$L$33,'Model Inputs &amp; Assumptions'!$A$40:$A$42,0))</f>
        <v>804952.689438432</v>
      </c>
      <c r="K2836" s="49" t="n">
        <f aca="false">H2836*INDEX('Model Inputs &amp; Assumptions'!$G$40:$G$42,MATCH('Model Inputs &amp; Assumptions'!$L$33,'Model Inputs &amp; Assumptions'!$A$40:$A$42,0))*INDEX('Model Inputs &amp; Assumptions'!$H$40:$H$42,MATCH('Model Inputs &amp; Assumptions'!$L$33,'Model Inputs &amp; Assumptions'!$A$40:$A$42,0))</f>
        <v>16904.0064782071</v>
      </c>
      <c r="L2836" s="51" t="n">
        <f aca="false">IFERROR(K2836/I2836,0)</f>
        <v>0.676160259128283</v>
      </c>
      <c r="M2836" s="49" t="n">
        <f aca="false">IFERROR(I2836/H2836,0)</f>
        <v>167.711719920063</v>
      </c>
      <c r="N2836" s="52" t="str">
        <f aca="false">'Model Inputs &amp; Assumptions'!$L$33</f>
        <v>PRD-SP01</v>
      </c>
      <c r="P2836" s="53" t="n">
        <v>-0.192949</v>
      </c>
      <c r="Q2836" s="53" t="n">
        <v>1.963949</v>
      </c>
      <c r="R2836" s="53" t="n">
        <v>0.013448</v>
      </c>
      <c r="S2836" s="53" t="n">
        <v>-0.910385</v>
      </c>
    </row>
    <row r="2837" customFormat="false" ht="15" hidden="false" customHeight="false" outlineLevel="0" collapsed="false">
      <c r="A2837" s="43" t="n">
        <v>334</v>
      </c>
      <c r="B2837" s="44" t="str">
        <f aca="false">'Model Inputs &amp; Assumptions'!$B$33</f>
        <v>Trade Republic — Savings Plan Push</v>
      </c>
      <c r="C2837" s="45" t="n">
        <f aca="false">ROUND(MAX(0,'Model Inputs &amp; Assumptions'!$S$33*EXP('Model Inputs &amp; Assumptions'!$T$33*P2837-'Model Inputs &amp; Assumptions'!$T$33^2/2)),0)</f>
        <v>2020804</v>
      </c>
      <c r="D2837" s="46" t="n">
        <f aca="false">MIN(1,'Model Inputs &amp; Assumptions'!$U$33*EXP('Model Inputs &amp; Assumptions'!$V$33*Q2837-'Model Inputs &amp; Assumptions'!$V$33^2/2))</f>
        <v>0</v>
      </c>
      <c r="E2837" s="45" t="n">
        <f aca="false">ROUND(C2837*D2837,0)</f>
        <v>0</v>
      </c>
      <c r="F2837" s="47" t="n">
        <f aca="false">MIN(1,'Model Inputs &amp; Assumptions'!$W$33*EXP('Model Inputs &amp; Assumptions'!$X$33*R2837-'Model Inputs &amp; Assumptions'!$X$33^2/2))</f>
        <v>0.00320184295830572</v>
      </c>
      <c r="G2837" s="45" t="n">
        <f aca="false">ROUND(C2837*F2837,0)</f>
        <v>6470</v>
      </c>
      <c r="H2837" s="48" t="n">
        <f aca="false">MAX(0,(C2837*'Model Inputs &amp; Assumptions'!$N$33+E2837*'Model Inputs &amp; Assumptions'!$O$33+G2837*'Model Inputs &amp; Assumptions'!$P$33)*EXP('Model Inputs &amp; Assumptions'!$Q$33*S2837-'Model Inputs &amp; Assumptions'!$Q$33^2/2))</f>
        <v>244.200442507572</v>
      </c>
      <c r="I2837" s="49" t="n">
        <f aca="false">IF('Model Inputs &amp; Assumptions'!$H$33="Fixed",'Model Inputs &amp; Assumptions'!$I$33*'Model Inputs &amp; Assumptions'!$K$33,IF('Model Inputs &amp; Assumptions'!$H$33="CPM",'Model Inputs &amp; Assumptions'!$I$33*'Model Inputs &amp; Assumptions'!$K$33*C2837/1000,IF('Model Inputs &amp; Assumptions'!$H$33="CPC",'Model Inputs &amp; Assumptions'!$I$33*'Model Inputs &amp; Assumptions'!$K$33*G2837,0)))</f>
        <v>25000</v>
      </c>
      <c r="J2837" s="50" t="n">
        <f aca="false">H2837*INDEX('Model Inputs &amp; Assumptions'!$D$40:$D$42,MATCH('Model Inputs &amp; Assumptions'!$L$33,'Model Inputs &amp; Assumptions'!$A$40:$A$42,0))*INDEX('Model Inputs &amp; Assumptions'!$H$40:$H$42,MATCH('Model Inputs &amp; Assumptions'!$L$33,'Model Inputs &amp; Assumptions'!$A$40:$A$42,0))</f>
        <v>1318682.38954089</v>
      </c>
      <c r="K2837" s="49" t="n">
        <f aca="false">H2837*INDEX('Model Inputs &amp; Assumptions'!$G$40:$G$42,MATCH('Model Inputs &amp; Assumptions'!$L$33,'Model Inputs &amp; Assumptions'!$A$40:$A$42,0))*INDEX('Model Inputs &amp; Assumptions'!$H$40:$H$42,MATCH('Model Inputs &amp; Assumptions'!$L$33,'Model Inputs &amp; Assumptions'!$A$40:$A$42,0))</f>
        <v>27692.3301803586</v>
      </c>
      <c r="L2837" s="51" t="n">
        <f aca="false">IFERROR(K2837/I2837,0)</f>
        <v>1.10769320721434</v>
      </c>
      <c r="M2837" s="49" t="n">
        <f aca="false">IFERROR(I2837/H2837,0)</f>
        <v>102.374916864554</v>
      </c>
      <c r="N2837" s="52" t="str">
        <f aca="false">'Model Inputs &amp; Assumptions'!$L$33</f>
        <v>PRD-SP01</v>
      </c>
      <c r="P2837" s="53" t="n">
        <v>1.887246</v>
      </c>
      <c r="Q2837" s="53" t="n">
        <v>-0.13965</v>
      </c>
      <c r="R2837" s="53" t="n">
        <v>-0.146788</v>
      </c>
      <c r="S2837" s="53" t="n">
        <v>-1.204714</v>
      </c>
    </row>
    <row r="2838" customFormat="false" ht="15" hidden="false" customHeight="false" outlineLevel="0" collapsed="false">
      <c r="A2838" s="43" t="n">
        <v>335</v>
      </c>
      <c r="B2838" s="44" t="str">
        <f aca="false">'Model Inputs &amp; Assumptions'!$B$33</f>
        <v>Trade Republic — Savings Plan Push</v>
      </c>
      <c r="C2838" s="45" t="n">
        <f aca="false">ROUND(MAX(0,'Model Inputs &amp; Assumptions'!$S$33*EXP('Model Inputs &amp; Assumptions'!$T$33*P2838-'Model Inputs &amp; Assumptions'!$T$33^2/2)),0)</f>
        <v>757151</v>
      </c>
      <c r="D2838" s="46" t="n">
        <f aca="false">MIN(1,'Model Inputs &amp; Assumptions'!$U$33*EXP('Model Inputs &amp; Assumptions'!$V$33*Q2838-'Model Inputs &amp; Assumptions'!$V$33^2/2))</f>
        <v>0</v>
      </c>
      <c r="E2838" s="45" t="n">
        <f aca="false">ROUND(C2838*D2838,0)</f>
        <v>0</v>
      </c>
      <c r="F2838" s="47" t="n">
        <f aca="false">MIN(1,'Model Inputs &amp; Assumptions'!$W$33*EXP('Model Inputs &amp; Assumptions'!$X$33*R2838-'Model Inputs &amp; Assumptions'!$X$33^2/2))</f>
        <v>0.00221564014995718</v>
      </c>
      <c r="G2838" s="45" t="n">
        <f aca="false">ROUND(C2838*F2838,0)</f>
        <v>1678</v>
      </c>
      <c r="H2838" s="48" t="n">
        <f aca="false">MAX(0,(C2838*'Model Inputs &amp; Assumptions'!$N$33+E2838*'Model Inputs &amp; Assumptions'!$O$33+G2838*'Model Inputs &amp; Assumptions'!$P$33)*EXP('Model Inputs &amp; Assumptions'!$Q$33*S2838-'Model Inputs &amp; Assumptions'!$Q$33^2/2))</f>
        <v>97.1947009764861</v>
      </c>
      <c r="I2838" s="49" t="n">
        <f aca="false">IF('Model Inputs &amp; Assumptions'!$H$33="Fixed",'Model Inputs &amp; Assumptions'!$I$33*'Model Inputs &amp; Assumptions'!$K$33,IF('Model Inputs &amp; Assumptions'!$H$33="CPM",'Model Inputs &amp; Assumptions'!$I$33*'Model Inputs &amp; Assumptions'!$K$33*C2838/1000,IF('Model Inputs &amp; Assumptions'!$H$33="CPC",'Model Inputs &amp; Assumptions'!$I$33*'Model Inputs &amp; Assumptions'!$K$33*G2838,0)))</f>
        <v>25000</v>
      </c>
      <c r="J2838" s="50" t="n">
        <f aca="false">H2838*INDEX('Model Inputs &amp; Assumptions'!$D$40:$D$42,MATCH('Model Inputs &amp; Assumptions'!$L$33,'Model Inputs &amp; Assumptions'!$A$40:$A$42,0))*INDEX('Model Inputs &amp; Assumptions'!$H$40:$H$42,MATCH('Model Inputs &amp; Assumptions'!$L$33,'Model Inputs &amp; Assumptions'!$A$40:$A$42,0))</f>
        <v>524851.385273025</v>
      </c>
      <c r="K2838" s="49" t="n">
        <f aca="false">H2838*INDEX('Model Inputs &amp; Assumptions'!$G$40:$G$42,MATCH('Model Inputs &amp; Assumptions'!$L$33,'Model Inputs &amp; Assumptions'!$A$40:$A$42,0))*INDEX('Model Inputs &amp; Assumptions'!$H$40:$H$42,MATCH('Model Inputs &amp; Assumptions'!$L$33,'Model Inputs &amp; Assumptions'!$A$40:$A$42,0))</f>
        <v>11021.8790907335</v>
      </c>
      <c r="L2838" s="51" t="n">
        <f aca="false">IFERROR(K2838/I2838,0)</f>
        <v>0.440875163629341</v>
      </c>
      <c r="M2838" s="49" t="n">
        <f aca="false">IFERROR(I2838/H2838,0)</f>
        <v>257.215668640703</v>
      </c>
      <c r="N2838" s="52" t="str">
        <f aca="false">'Model Inputs &amp; Assumptions'!$L$33</f>
        <v>PRD-SP01</v>
      </c>
      <c r="P2838" s="53" t="n">
        <v>-1.385047</v>
      </c>
      <c r="Q2838" s="53" t="n">
        <v>-0.4112</v>
      </c>
      <c r="R2838" s="53" t="n">
        <v>-1.374072</v>
      </c>
      <c r="S2838" s="53" t="n">
        <v>0.32493</v>
      </c>
    </row>
    <row r="2839" customFormat="false" ht="15" hidden="false" customHeight="false" outlineLevel="0" collapsed="false">
      <c r="A2839" s="43" t="n">
        <v>336</v>
      </c>
      <c r="B2839" s="44" t="str">
        <f aca="false">'Model Inputs &amp; Assumptions'!$B$33</f>
        <v>Trade Republic — Savings Plan Push</v>
      </c>
      <c r="C2839" s="45" t="n">
        <f aca="false">ROUND(MAX(0,'Model Inputs &amp; Assumptions'!$S$33*EXP('Model Inputs &amp; Assumptions'!$T$33*P2839-'Model Inputs &amp; Assumptions'!$T$33^2/2)),0)</f>
        <v>774745</v>
      </c>
      <c r="D2839" s="46" t="n">
        <f aca="false">MIN(1,'Model Inputs &amp; Assumptions'!$U$33*EXP('Model Inputs &amp; Assumptions'!$V$33*Q2839-'Model Inputs &amp; Assumptions'!$V$33^2/2))</f>
        <v>0</v>
      </c>
      <c r="E2839" s="45" t="n">
        <f aca="false">ROUND(C2839*D2839,0)</f>
        <v>0</v>
      </c>
      <c r="F2839" s="47" t="n">
        <f aca="false">MIN(1,'Model Inputs &amp; Assumptions'!$W$33*EXP('Model Inputs &amp; Assumptions'!$X$33*R2839-'Model Inputs &amp; Assumptions'!$X$33^2/2))</f>
        <v>0.00458516856047648</v>
      </c>
      <c r="G2839" s="45" t="n">
        <f aca="false">ROUND(C2839*F2839,0)</f>
        <v>3552</v>
      </c>
      <c r="H2839" s="48" t="n">
        <f aca="false">MAX(0,(C2839*'Model Inputs &amp; Assumptions'!$N$33+E2839*'Model Inputs &amp; Assumptions'!$O$33+G2839*'Model Inputs &amp; Assumptions'!$P$33)*EXP('Model Inputs &amp; Assumptions'!$Q$33*S2839-'Model Inputs &amp; Assumptions'!$Q$33^2/2))</f>
        <v>224.962573948577</v>
      </c>
      <c r="I2839" s="49" t="n">
        <f aca="false">IF('Model Inputs &amp; Assumptions'!$H$33="Fixed",'Model Inputs &amp; Assumptions'!$I$33*'Model Inputs &amp; Assumptions'!$K$33,IF('Model Inputs &amp; Assumptions'!$H$33="CPM",'Model Inputs &amp; Assumptions'!$I$33*'Model Inputs &amp; Assumptions'!$K$33*C2839/1000,IF('Model Inputs &amp; Assumptions'!$H$33="CPC",'Model Inputs &amp; Assumptions'!$I$33*'Model Inputs &amp; Assumptions'!$K$33*G2839,0)))</f>
        <v>25000</v>
      </c>
      <c r="J2839" s="50" t="n">
        <f aca="false">H2839*INDEX('Model Inputs &amp; Assumptions'!$D$40:$D$42,MATCH('Model Inputs &amp; Assumptions'!$L$33,'Model Inputs &amp; Assumptions'!$A$40:$A$42,0))*INDEX('Model Inputs &amp; Assumptions'!$H$40:$H$42,MATCH('Model Inputs &amp; Assumptions'!$L$33,'Model Inputs &amp; Assumptions'!$A$40:$A$42,0))</f>
        <v>1214797.89932232</v>
      </c>
      <c r="K2839" s="49" t="n">
        <f aca="false">H2839*INDEX('Model Inputs &amp; Assumptions'!$G$40:$G$42,MATCH('Model Inputs &amp; Assumptions'!$L$33,'Model Inputs &amp; Assumptions'!$A$40:$A$42,0))*INDEX('Model Inputs &amp; Assumptions'!$H$40:$H$42,MATCH('Model Inputs &amp; Assumptions'!$L$33,'Model Inputs &amp; Assumptions'!$A$40:$A$42,0))</f>
        <v>25510.7558857686</v>
      </c>
      <c r="L2839" s="51" t="n">
        <f aca="false">IFERROR(K2839/I2839,0)</f>
        <v>1.02043023543074</v>
      </c>
      <c r="M2839" s="49" t="n">
        <f aca="false">IFERROR(I2839/H2839,0)</f>
        <v>111.129596186585</v>
      </c>
      <c r="N2839" s="52" t="str">
        <f aca="false">'Model Inputs &amp; Assumptions'!$L$33</f>
        <v>PRD-SP01</v>
      </c>
      <c r="P2839" s="53" t="n">
        <v>-1.308475</v>
      </c>
      <c r="Q2839" s="53" t="n">
        <v>-0.433663</v>
      </c>
      <c r="R2839" s="53" t="n">
        <v>1.050213</v>
      </c>
      <c r="S2839" s="53" t="n">
        <v>0.643893</v>
      </c>
    </row>
    <row r="2840" customFormat="false" ht="15" hidden="false" customHeight="false" outlineLevel="0" collapsed="false">
      <c r="A2840" s="43" t="n">
        <v>337</v>
      </c>
      <c r="B2840" s="44" t="str">
        <f aca="false">'Model Inputs &amp; Assumptions'!$B$33</f>
        <v>Trade Republic — Savings Plan Push</v>
      </c>
      <c r="C2840" s="45" t="n">
        <f aca="false">ROUND(MAX(0,'Model Inputs &amp; Assumptions'!$S$33*EXP('Model Inputs &amp; Assumptions'!$T$33*P2840-'Model Inputs &amp; Assumptions'!$T$33^2/2)),0)</f>
        <v>865603</v>
      </c>
      <c r="D2840" s="46" t="n">
        <f aca="false">MIN(1,'Model Inputs &amp; Assumptions'!$U$33*EXP('Model Inputs &amp; Assumptions'!$V$33*Q2840-'Model Inputs &amp; Assumptions'!$V$33^2/2))</f>
        <v>0</v>
      </c>
      <c r="E2840" s="45" t="n">
        <f aca="false">ROUND(C2840*D2840,0)</f>
        <v>0</v>
      </c>
      <c r="F2840" s="47" t="n">
        <f aca="false">MIN(1,'Model Inputs &amp; Assumptions'!$W$33*EXP('Model Inputs &amp; Assumptions'!$X$33*R2840-'Model Inputs &amp; Assumptions'!$X$33^2/2))</f>
        <v>0.00393822757681605</v>
      </c>
      <c r="G2840" s="45" t="n">
        <f aca="false">ROUND(C2840*F2840,0)</f>
        <v>3409</v>
      </c>
      <c r="H2840" s="48" t="n">
        <f aca="false">MAX(0,(C2840*'Model Inputs &amp; Assumptions'!$N$33+E2840*'Model Inputs &amp; Assumptions'!$O$33+G2840*'Model Inputs &amp; Assumptions'!$P$33)*EXP('Model Inputs &amp; Assumptions'!$Q$33*S2840-'Model Inputs &amp; Assumptions'!$Q$33^2/2))</f>
        <v>220.937049795528</v>
      </c>
      <c r="I2840" s="49" t="n">
        <f aca="false">IF('Model Inputs &amp; Assumptions'!$H$33="Fixed",'Model Inputs &amp; Assumptions'!$I$33*'Model Inputs &amp; Assumptions'!$K$33,IF('Model Inputs &amp; Assumptions'!$H$33="CPM",'Model Inputs &amp; Assumptions'!$I$33*'Model Inputs &amp; Assumptions'!$K$33*C2840/1000,IF('Model Inputs &amp; Assumptions'!$H$33="CPC",'Model Inputs &amp; Assumptions'!$I$33*'Model Inputs &amp; Assumptions'!$K$33*G2840,0)))</f>
        <v>25000</v>
      </c>
      <c r="J2840" s="50" t="n">
        <f aca="false">H2840*INDEX('Model Inputs &amp; Assumptions'!$D$40:$D$42,MATCH('Model Inputs &amp; Assumptions'!$L$33,'Model Inputs &amp; Assumptions'!$A$40:$A$42,0))*INDEX('Model Inputs &amp; Assumptions'!$H$40:$H$42,MATCH('Model Inputs &amp; Assumptions'!$L$33,'Model Inputs &amp; Assumptions'!$A$40:$A$42,0))</f>
        <v>1193060.06889585</v>
      </c>
      <c r="K2840" s="49" t="n">
        <f aca="false">H2840*INDEX('Model Inputs &amp; Assumptions'!$G$40:$G$42,MATCH('Model Inputs &amp; Assumptions'!$L$33,'Model Inputs &amp; Assumptions'!$A$40:$A$42,0))*INDEX('Model Inputs &amp; Assumptions'!$H$40:$H$42,MATCH('Model Inputs &amp; Assumptions'!$L$33,'Model Inputs &amp; Assumptions'!$A$40:$A$42,0))</f>
        <v>25054.2614468129</v>
      </c>
      <c r="L2840" s="51" t="n">
        <f aca="false">IFERROR(K2840/I2840,0)</f>
        <v>1.00217045787252</v>
      </c>
      <c r="M2840" s="49" t="n">
        <f aca="false">IFERROR(I2840/H2840,0)</f>
        <v>113.154403134906</v>
      </c>
      <c r="N2840" s="52" t="str">
        <f aca="false">'Model Inputs &amp; Assumptions'!$L$33</f>
        <v>PRD-SP01</v>
      </c>
      <c r="P2840" s="53" t="n">
        <v>-0.938834</v>
      </c>
      <c r="Q2840" s="53" t="n">
        <v>-0.686306</v>
      </c>
      <c r="R2840" s="53" t="n">
        <v>0.543226</v>
      </c>
      <c r="S2840" s="53" t="n">
        <v>0.726163</v>
      </c>
    </row>
    <row r="2841" customFormat="false" ht="15" hidden="false" customHeight="false" outlineLevel="0" collapsed="false">
      <c r="A2841" s="43" t="n">
        <v>338</v>
      </c>
      <c r="B2841" s="44" t="str">
        <f aca="false">'Model Inputs &amp; Assumptions'!$B$33</f>
        <v>Trade Republic — Savings Plan Push</v>
      </c>
      <c r="C2841" s="45" t="n">
        <f aca="false">ROUND(MAX(0,'Model Inputs &amp; Assumptions'!$S$33*EXP('Model Inputs &amp; Assumptions'!$T$33*P2841-'Model Inputs &amp; Assumptions'!$T$33^2/2)),0)</f>
        <v>1618266</v>
      </c>
      <c r="D2841" s="46" t="n">
        <f aca="false">MIN(1,'Model Inputs &amp; Assumptions'!$U$33*EXP('Model Inputs &amp; Assumptions'!$V$33*Q2841-'Model Inputs &amp; Assumptions'!$V$33^2/2))</f>
        <v>0</v>
      </c>
      <c r="E2841" s="45" t="n">
        <f aca="false">ROUND(C2841*D2841,0)</f>
        <v>0</v>
      </c>
      <c r="F2841" s="47" t="n">
        <f aca="false">MIN(1,'Model Inputs &amp; Assumptions'!$W$33*EXP('Model Inputs &amp; Assumptions'!$X$33*R2841-'Model Inputs &amp; Assumptions'!$X$33^2/2))</f>
        <v>0.00552222063584817</v>
      </c>
      <c r="G2841" s="45" t="n">
        <f aca="false">ROUND(C2841*F2841,0)</f>
        <v>8936</v>
      </c>
      <c r="H2841" s="48" t="n">
        <f aca="false">MAX(0,(C2841*'Model Inputs &amp; Assumptions'!$N$33+E2841*'Model Inputs &amp; Assumptions'!$O$33+G2841*'Model Inputs &amp; Assumptions'!$P$33)*EXP('Model Inputs &amp; Assumptions'!$Q$33*S2841-'Model Inputs &amp; Assumptions'!$Q$33^2/2))</f>
        <v>663.666687640713</v>
      </c>
      <c r="I2841" s="49" t="n">
        <f aca="false">IF('Model Inputs &amp; Assumptions'!$H$33="Fixed",'Model Inputs &amp; Assumptions'!$I$33*'Model Inputs &amp; Assumptions'!$K$33,IF('Model Inputs &amp; Assumptions'!$H$33="CPM",'Model Inputs &amp; Assumptions'!$I$33*'Model Inputs &amp; Assumptions'!$K$33*C2841/1000,IF('Model Inputs &amp; Assumptions'!$H$33="CPC",'Model Inputs &amp; Assumptions'!$I$33*'Model Inputs &amp; Assumptions'!$K$33*G2841,0)))</f>
        <v>25000</v>
      </c>
      <c r="J2841" s="50" t="n">
        <f aca="false">H2841*INDEX('Model Inputs &amp; Assumptions'!$D$40:$D$42,MATCH('Model Inputs &amp; Assumptions'!$L$33,'Model Inputs &amp; Assumptions'!$A$40:$A$42,0))*INDEX('Model Inputs &amp; Assumptions'!$H$40:$H$42,MATCH('Model Inputs &amp; Assumptions'!$L$33,'Model Inputs &amp; Assumptions'!$A$40:$A$42,0))</f>
        <v>3583800.11325985</v>
      </c>
      <c r="K2841" s="49" t="n">
        <f aca="false">H2841*INDEX('Model Inputs &amp; Assumptions'!$G$40:$G$42,MATCH('Model Inputs &amp; Assumptions'!$L$33,'Model Inputs &amp; Assumptions'!$A$40:$A$42,0))*INDEX('Model Inputs &amp; Assumptions'!$H$40:$H$42,MATCH('Model Inputs &amp; Assumptions'!$L$33,'Model Inputs &amp; Assumptions'!$A$40:$A$42,0))</f>
        <v>75259.8023784569</v>
      </c>
      <c r="L2841" s="51" t="n">
        <f aca="false">IFERROR(K2841/I2841,0)</f>
        <v>3.01039209513827</v>
      </c>
      <c r="M2841" s="49" t="n">
        <f aca="false">IFERROR(I2841/H2841,0)</f>
        <v>37.6695116171541</v>
      </c>
      <c r="N2841" s="52" t="str">
        <f aca="false">'Model Inputs &amp; Assumptions'!$L$33</f>
        <v>PRD-SP01</v>
      </c>
      <c r="P2841" s="53" t="n">
        <v>1.146778</v>
      </c>
      <c r="Q2841" s="53" t="n">
        <v>0.038779</v>
      </c>
      <c r="R2841" s="53" t="n">
        <v>1.670057</v>
      </c>
      <c r="S2841" s="53" t="n">
        <v>1.21271</v>
      </c>
    </row>
    <row r="2842" customFormat="false" ht="15" hidden="false" customHeight="false" outlineLevel="0" collapsed="false">
      <c r="A2842" s="43" t="n">
        <v>339</v>
      </c>
      <c r="B2842" s="44" t="str">
        <f aca="false">'Model Inputs &amp; Assumptions'!$B$33</f>
        <v>Trade Republic — Savings Plan Push</v>
      </c>
      <c r="C2842" s="45" t="n">
        <f aca="false">ROUND(MAX(0,'Model Inputs &amp; Assumptions'!$S$33*EXP('Model Inputs &amp; Assumptions'!$T$33*P2842-'Model Inputs &amp; Assumptions'!$T$33^2/2)),0)</f>
        <v>1169267</v>
      </c>
      <c r="D2842" s="46" t="n">
        <f aca="false">MIN(1,'Model Inputs &amp; Assumptions'!$U$33*EXP('Model Inputs &amp; Assumptions'!$V$33*Q2842-'Model Inputs &amp; Assumptions'!$V$33^2/2))</f>
        <v>0</v>
      </c>
      <c r="E2842" s="45" t="n">
        <f aca="false">ROUND(C2842*D2842,0)</f>
        <v>0</v>
      </c>
      <c r="F2842" s="47" t="n">
        <f aca="false">MIN(1,'Model Inputs &amp; Assumptions'!$W$33*EXP('Model Inputs &amp; Assumptions'!$X$33*R2842-'Model Inputs &amp; Assumptions'!$X$33^2/2))</f>
        <v>0.00350226348159159</v>
      </c>
      <c r="G2842" s="45" t="n">
        <f aca="false">ROUND(C2842*F2842,0)</f>
        <v>4095</v>
      </c>
      <c r="H2842" s="48" t="n">
        <f aca="false">MAX(0,(C2842*'Model Inputs &amp; Assumptions'!$N$33+E2842*'Model Inputs &amp; Assumptions'!$O$33+G2842*'Model Inputs &amp; Assumptions'!$P$33)*EXP('Model Inputs &amp; Assumptions'!$Q$33*S2842-'Model Inputs &amp; Assumptions'!$Q$33^2/2))</f>
        <v>180.175119226701</v>
      </c>
      <c r="I2842" s="49" t="n">
        <f aca="false">IF('Model Inputs &amp; Assumptions'!$H$33="Fixed",'Model Inputs &amp; Assumptions'!$I$33*'Model Inputs &amp; Assumptions'!$K$33,IF('Model Inputs &amp; Assumptions'!$H$33="CPM",'Model Inputs &amp; Assumptions'!$I$33*'Model Inputs &amp; Assumptions'!$K$33*C2842/1000,IF('Model Inputs &amp; Assumptions'!$H$33="CPC",'Model Inputs &amp; Assumptions'!$I$33*'Model Inputs &amp; Assumptions'!$K$33*G2842,0)))</f>
        <v>25000</v>
      </c>
      <c r="J2842" s="50" t="n">
        <f aca="false">H2842*INDEX('Model Inputs &amp; Assumptions'!$D$40:$D$42,MATCH('Model Inputs &amp; Assumptions'!$L$33,'Model Inputs &amp; Assumptions'!$A$40:$A$42,0))*INDEX('Model Inputs &amp; Assumptions'!$H$40:$H$42,MATCH('Model Inputs &amp; Assumptions'!$L$33,'Model Inputs &amp; Assumptions'!$A$40:$A$42,0))</f>
        <v>972945.643824188</v>
      </c>
      <c r="K2842" s="49" t="n">
        <f aca="false">H2842*INDEX('Model Inputs &amp; Assumptions'!$G$40:$G$42,MATCH('Model Inputs &amp; Assumptions'!$L$33,'Model Inputs &amp; Assumptions'!$A$40:$A$42,0))*INDEX('Model Inputs &amp; Assumptions'!$H$40:$H$42,MATCH('Model Inputs &amp; Assumptions'!$L$33,'Model Inputs &amp; Assumptions'!$A$40:$A$42,0))</f>
        <v>20431.8585203079</v>
      </c>
      <c r="L2842" s="51" t="n">
        <f aca="false">IFERROR(K2842/I2842,0)</f>
        <v>0.817274340812318</v>
      </c>
      <c r="M2842" s="49" t="n">
        <f aca="false">IFERROR(I2842/H2842,0)</f>
        <v>138.753897359958</v>
      </c>
      <c r="N2842" s="52" t="str">
        <f aca="false">'Model Inputs &amp; Assumptions'!$L$33</f>
        <v>PRD-SP01</v>
      </c>
      <c r="P2842" s="53" t="n">
        <v>0.063517</v>
      </c>
      <c r="Q2842" s="53" t="n">
        <v>0.514973</v>
      </c>
      <c r="R2842" s="53" t="n">
        <v>0.152155</v>
      </c>
      <c r="S2842" s="53" t="n">
        <v>-0.657038</v>
      </c>
    </row>
    <row r="2843" customFormat="false" ht="15" hidden="false" customHeight="false" outlineLevel="0" collapsed="false">
      <c r="A2843" s="43" t="n">
        <v>340</v>
      </c>
      <c r="B2843" s="44" t="str">
        <f aca="false">'Model Inputs &amp; Assumptions'!$B$33</f>
        <v>Trade Republic — Savings Plan Push</v>
      </c>
      <c r="C2843" s="45" t="n">
        <f aca="false">ROUND(MAX(0,'Model Inputs &amp; Assumptions'!$S$33*EXP('Model Inputs &amp; Assumptions'!$T$33*P2843-'Model Inputs &amp; Assumptions'!$T$33^2/2)),0)</f>
        <v>1079887</v>
      </c>
      <c r="D2843" s="46" t="n">
        <f aca="false">MIN(1,'Model Inputs &amp; Assumptions'!$U$33*EXP('Model Inputs &amp; Assumptions'!$V$33*Q2843-'Model Inputs &amp; Assumptions'!$V$33^2/2))</f>
        <v>0</v>
      </c>
      <c r="E2843" s="45" t="n">
        <f aca="false">ROUND(C2843*D2843,0)</f>
        <v>0</v>
      </c>
      <c r="F2843" s="47" t="n">
        <f aca="false">MIN(1,'Model Inputs &amp; Assumptions'!$W$33*EXP('Model Inputs &amp; Assumptions'!$X$33*R2843-'Model Inputs &amp; Assumptions'!$X$33^2/2))</f>
        <v>0.00704521433431493</v>
      </c>
      <c r="G2843" s="45" t="n">
        <f aca="false">ROUND(C2843*F2843,0)</f>
        <v>7608</v>
      </c>
      <c r="H2843" s="48" t="n">
        <f aca="false">MAX(0,(C2843*'Model Inputs &amp; Assumptions'!$N$33+E2843*'Model Inputs &amp; Assumptions'!$O$33+G2843*'Model Inputs &amp; Assumptions'!$P$33)*EXP('Model Inputs &amp; Assumptions'!$Q$33*S2843-'Model Inputs &amp; Assumptions'!$Q$33^2/2))</f>
        <v>386.385011114938</v>
      </c>
      <c r="I2843" s="49" t="n">
        <f aca="false">IF('Model Inputs &amp; Assumptions'!$H$33="Fixed",'Model Inputs &amp; Assumptions'!$I$33*'Model Inputs &amp; Assumptions'!$K$33,IF('Model Inputs &amp; Assumptions'!$H$33="CPM",'Model Inputs &amp; Assumptions'!$I$33*'Model Inputs &amp; Assumptions'!$K$33*C2843/1000,IF('Model Inputs &amp; Assumptions'!$H$33="CPC",'Model Inputs &amp; Assumptions'!$I$33*'Model Inputs &amp; Assumptions'!$K$33*G2843,0)))</f>
        <v>25000</v>
      </c>
      <c r="J2843" s="50" t="n">
        <f aca="false">H2843*INDEX('Model Inputs &amp; Assumptions'!$D$40:$D$42,MATCH('Model Inputs &amp; Assumptions'!$L$33,'Model Inputs &amp; Assumptions'!$A$40:$A$42,0))*INDEX('Model Inputs &amp; Assumptions'!$H$40:$H$42,MATCH('Model Inputs &amp; Assumptions'!$L$33,'Model Inputs &amp; Assumptions'!$A$40:$A$42,0))</f>
        <v>2086479.06002067</v>
      </c>
      <c r="K2843" s="49" t="n">
        <f aca="false">H2843*INDEX('Model Inputs &amp; Assumptions'!$G$40:$G$42,MATCH('Model Inputs &amp; Assumptions'!$L$33,'Model Inputs &amp; Assumptions'!$A$40:$A$42,0))*INDEX('Model Inputs &amp; Assumptions'!$H$40:$H$42,MATCH('Model Inputs &amp; Assumptions'!$L$33,'Model Inputs &amp; Assumptions'!$A$40:$A$42,0))</f>
        <v>43816.060260434</v>
      </c>
      <c r="L2843" s="51" t="n">
        <f aca="false">IFERROR(K2843/I2843,0)</f>
        <v>1.75264241041736</v>
      </c>
      <c r="M2843" s="49" t="n">
        <f aca="false">IFERROR(I2843/H2843,0)</f>
        <v>64.7023028348355</v>
      </c>
      <c r="N2843" s="52" t="str">
        <f aca="false">'Model Inputs &amp; Assumptions'!$L$33</f>
        <v>PRD-SP01</v>
      </c>
      <c r="P2843" s="53" t="n">
        <v>-0.201552</v>
      </c>
      <c r="Q2843" s="53" t="n">
        <v>1.375458</v>
      </c>
      <c r="R2843" s="53" t="n">
        <v>2.481952</v>
      </c>
      <c r="S2843" s="53" t="n">
        <v>-0.14464</v>
      </c>
    </row>
    <row r="2844" customFormat="false" ht="15" hidden="false" customHeight="false" outlineLevel="0" collapsed="false">
      <c r="A2844" s="43" t="n">
        <v>341</v>
      </c>
      <c r="B2844" s="44" t="str">
        <f aca="false">'Model Inputs &amp; Assumptions'!$B$33</f>
        <v>Trade Republic — Savings Plan Push</v>
      </c>
      <c r="C2844" s="45" t="n">
        <f aca="false">ROUND(MAX(0,'Model Inputs &amp; Assumptions'!$S$33*EXP('Model Inputs &amp; Assumptions'!$T$33*P2844-'Model Inputs &amp; Assumptions'!$T$33^2/2)),0)</f>
        <v>801757</v>
      </c>
      <c r="D2844" s="46" t="n">
        <f aca="false">MIN(1,'Model Inputs &amp; Assumptions'!$U$33*EXP('Model Inputs &amp; Assumptions'!$V$33*Q2844-'Model Inputs &amp; Assumptions'!$V$33^2/2))</f>
        <v>0</v>
      </c>
      <c r="E2844" s="45" t="n">
        <f aca="false">ROUND(C2844*D2844,0)</f>
        <v>0</v>
      </c>
      <c r="F2844" s="47" t="n">
        <f aca="false">MIN(1,'Model Inputs &amp; Assumptions'!$W$33*EXP('Model Inputs &amp; Assumptions'!$X$33*R2844-'Model Inputs &amp; Assumptions'!$X$33^2/2))</f>
        <v>0.00416587804487043</v>
      </c>
      <c r="G2844" s="45" t="n">
        <f aca="false">ROUND(C2844*F2844,0)</f>
        <v>3340</v>
      </c>
      <c r="H2844" s="48" t="n">
        <f aca="false">MAX(0,(C2844*'Model Inputs &amp; Assumptions'!$N$33+E2844*'Model Inputs &amp; Assumptions'!$O$33+G2844*'Model Inputs &amp; Assumptions'!$P$33)*EXP('Model Inputs &amp; Assumptions'!$Q$33*S2844-'Model Inputs &amp; Assumptions'!$Q$33^2/2))</f>
        <v>188.606937216879</v>
      </c>
      <c r="I2844" s="49" t="n">
        <f aca="false">IF('Model Inputs &amp; Assumptions'!$H$33="Fixed",'Model Inputs &amp; Assumptions'!$I$33*'Model Inputs &amp; Assumptions'!$K$33,IF('Model Inputs &amp; Assumptions'!$H$33="CPM",'Model Inputs &amp; Assumptions'!$I$33*'Model Inputs &amp; Assumptions'!$K$33*C2844/1000,IF('Model Inputs &amp; Assumptions'!$H$33="CPC",'Model Inputs &amp; Assumptions'!$I$33*'Model Inputs &amp; Assumptions'!$K$33*G2844,0)))</f>
        <v>25000</v>
      </c>
      <c r="J2844" s="50" t="n">
        <f aca="false">H2844*INDEX('Model Inputs &amp; Assumptions'!$D$40:$D$42,MATCH('Model Inputs &amp; Assumptions'!$L$33,'Model Inputs &amp; Assumptions'!$A$40:$A$42,0))*INDEX('Model Inputs &amp; Assumptions'!$H$40:$H$42,MATCH('Model Inputs &amp; Assumptions'!$L$33,'Model Inputs &amp; Assumptions'!$A$40:$A$42,0))</f>
        <v>1018477.46097114</v>
      </c>
      <c r="K2844" s="49" t="n">
        <f aca="false">H2844*INDEX('Model Inputs &amp; Assumptions'!$G$40:$G$42,MATCH('Model Inputs &amp; Assumptions'!$L$33,'Model Inputs &amp; Assumptions'!$A$40:$A$42,0))*INDEX('Model Inputs &amp; Assumptions'!$H$40:$H$42,MATCH('Model Inputs &amp; Assumptions'!$L$33,'Model Inputs &amp; Assumptions'!$A$40:$A$42,0))</f>
        <v>21388.026680394</v>
      </c>
      <c r="L2844" s="51" t="n">
        <f aca="false">IFERROR(K2844/I2844,0)</f>
        <v>0.855521067215761</v>
      </c>
      <c r="M2844" s="49" t="n">
        <f aca="false">IFERROR(I2844/H2844,0)</f>
        <v>132.55079780683</v>
      </c>
      <c r="N2844" s="52" t="str">
        <f aca="false">'Model Inputs &amp; Assumptions'!$L$33</f>
        <v>PRD-SP01</v>
      </c>
      <c r="P2844" s="53" t="n">
        <v>-1.194236</v>
      </c>
      <c r="Q2844" s="53" t="n">
        <v>1.147882</v>
      </c>
      <c r="R2844" s="53" t="n">
        <v>0.730547</v>
      </c>
      <c r="S2844" s="53" t="n">
        <v>0.234147</v>
      </c>
    </row>
    <row r="2845" customFormat="false" ht="15" hidden="false" customHeight="false" outlineLevel="0" collapsed="false">
      <c r="A2845" s="43" t="n">
        <v>342</v>
      </c>
      <c r="B2845" s="44" t="str">
        <f aca="false">'Model Inputs &amp; Assumptions'!$B$33</f>
        <v>Trade Republic — Savings Plan Push</v>
      </c>
      <c r="C2845" s="45" t="n">
        <f aca="false">ROUND(MAX(0,'Model Inputs &amp; Assumptions'!$S$33*EXP('Model Inputs &amp; Assumptions'!$T$33*P2845-'Model Inputs &amp; Assumptions'!$T$33^2/2)),0)</f>
        <v>1079734</v>
      </c>
      <c r="D2845" s="46" t="n">
        <f aca="false">MIN(1,'Model Inputs &amp; Assumptions'!$U$33*EXP('Model Inputs &amp; Assumptions'!$V$33*Q2845-'Model Inputs &amp; Assumptions'!$V$33^2/2))</f>
        <v>0</v>
      </c>
      <c r="E2845" s="45" t="n">
        <f aca="false">ROUND(C2845*D2845,0)</f>
        <v>0</v>
      </c>
      <c r="F2845" s="47" t="n">
        <f aca="false">MIN(1,'Model Inputs &amp; Assumptions'!$W$33*EXP('Model Inputs &amp; Assumptions'!$X$33*R2845-'Model Inputs &amp; Assumptions'!$X$33^2/2))</f>
        <v>0.00239354413330355</v>
      </c>
      <c r="G2845" s="45" t="n">
        <f aca="false">ROUND(C2845*F2845,0)</f>
        <v>2584</v>
      </c>
      <c r="H2845" s="48" t="n">
        <f aca="false">MAX(0,(C2845*'Model Inputs &amp; Assumptions'!$N$33+E2845*'Model Inputs &amp; Assumptions'!$O$33+G2845*'Model Inputs &amp; Assumptions'!$P$33)*EXP('Model Inputs &amp; Assumptions'!$Q$33*S2845-'Model Inputs &amp; Assumptions'!$Q$33^2/2))</f>
        <v>195.671581873667</v>
      </c>
      <c r="I2845" s="49" t="n">
        <f aca="false">IF('Model Inputs &amp; Assumptions'!$H$33="Fixed",'Model Inputs &amp; Assumptions'!$I$33*'Model Inputs &amp; Assumptions'!$K$33,IF('Model Inputs &amp; Assumptions'!$H$33="CPM",'Model Inputs &amp; Assumptions'!$I$33*'Model Inputs &amp; Assumptions'!$K$33*C2845/1000,IF('Model Inputs &amp; Assumptions'!$H$33="CPC",'Model Inputs &amp; Assumptions'!$I$33*'Model Inputs &amp; Assumptions'!$K$33*G2845,0)))</f>
        <v>25000</v>
      </c>
      <c r="J2845" s="50" t="n">
        <f aca="false">H2845*INDEX('Model Inputs &amp; Assumptions'!$D$40:$D$42,MATCH('Model Inputs &amp; Assumptions'!$L$33,'Model Inputs &amp; Assumptions'!$A$40:$A$42,0))*INDEX('Model Inputs &amp; Assumptions'!$H$40:$H$42,MATCH('Model Inputs &amp; Assumptions'!$L$33,'Model Inputs &amp; Assumptions'!$A$40:$A$42,0))</f>
        <v>1056626.5421178</v>
      </c>
      <c r="K2845" s="49" t="n">
        <f aca="false">H2845*INDEX('Model Inputs &amp; Assumptions'!$G$40:$G$42,MATCH('Model Inputs &amp; Assumptions'!$L$33,'Model Inputs &amp; Assumptions'!$A$40:$A$42,0))*INDEX('Model Inputs &amp; Assumptions'!$H$40:$H$42,MATCH('Model Inputs &amp; Assumptions'!$L$33,'Model Inputs &amp; Assumptions'!$A$40:$A$42,0))</f>
        <v>22189.1573844738</v>
      </c>
      <c r="L2845" s="51" t="n">
        <f aca="false">IFERROR(K2845/I2845,0)</f>
        <v>0.887566295378954</v>
      </c>
      <c r="M2845" s="49" t="n">
        <f aca="false">IFERROR(I2845/H2845,0)</f>
        <v>127.765103959455</v>
      </c>
      <c r="N2845" s="52" t="str">
        <f aca="false">'Model Inputs &amp; Assumptions'!$L$33</f>
        <v>PRD-SP01</v>
      </c>
      <c r="P2845" s="53" t="n">
        <v>-0.202024</v>
      </c>
      <c r="Q2845" s="53" t="n">
        <v>-1.748252</v>
      </c>
      <c r="R2845" s="53" t="n">
        <v>-1.116626</v>
      </c>
      <c r="S2845" s="53" t="n">
        <v>1.282021</v>
      </c>
    </row>
    <row r="2846" customFormat="false" ht="15" hidden="false" customHeight="false" outlineLevel="0" collapsed="false">
      <c r="A2846" s="43" t="n">
        <v>343</v>
      </c>
      <c r="B2846" s="44" t="str">
        <f aca="false">'Model Inputs &amp; Assumptions'!$B$33</f>
        <v>Trade Republic — Savings Plan Push</v>
      </c>
      <c r="C2846" s="45" t="n">
        <f aca="false">ROUND(MAX(0,'Model Inputs &amp; Assumptions'!$S$33*EXP('Model Inputs &amp; Assumptions'!$T$33*P2846-'Model Inputs &amp; Assumptions'!$T$33^2/2)),0)</f>
        <v>834208</v>
      </c>
      <c r="D2846" s="46" t="n">
        <f aca="false">MIN(1,'Model Inputs &amp; Assumptions'!$U$33*EXP('Model Inputs &amp; Assumptions'!$V$33*Q2846-'Model Inputs &amp; Assumptions'!$V$33^2/2))</f>
        <v>0</v>
      </c>
      <c r="E2846" s="45" t="n">
        <f aca="false">ROUND(C2846*D2846,0)</f>
        <v>0</v>
      </c>
      <c r="F2846" s="47" t="n">
        <f aca="false">MIN(1,'Model Inputs &amp; Assumptions'!$W$33*EXP('Model Inputs &amp; Assumptions'!$X$33*R2846-'Model Inputs &amp; Assumptions'!$X$33^2/2))</f>
        <v>0.00316914764013477</v>
      </c>
      <c r="G2846" s="45" t="n">
        <f aca="false">ROUND(C2846*F2846,0)</f>
        <v>2644</v>
      </c>
      <c r="H2846" s="48" t="n">
        <f aca="false">MAX(0,(C2846*'Model Inputs &amp; Assumptions'!$N$33+E2846*'Model Inputs &amp; Assumptions'!$O$33+G2846*'Model Inputs &amp; Assumptions'!$P$33)*EXP('Model Inputs &amp; Assumptions'!$Q$33*S2846-'Model Inputs &amp; Assumptions'!$Q$33^2/2))</f>
        <v>171.446479878398</v>
      </c>
      <c r="I2846" s="49" t="n">
        <f aca="false">IF('Model Inputs &amp; Assumptions'!$H$33="Fixed",'Model Inputs &amp; Assumptions'!$I$33*'Model Inputs &amp; Assumptions'!$K$33,IF('Model Inputs &amp; Assumptions'!$H$33="CPM",'Model Inputs &amp; Assumptions'!$I$33*'Model Inputs &amp; Assumptions'!$K$33*C2846/1000,IF('Model Inputs &amp; Assumptions'!$H$33="CPC",'Model Inputs &amp; Assumptions'!$I$33*'Model Inputs &amp; Assumptions'!$K$33*G2846,0)))</f>
        <v>25000</v>
      </c>
      <c r="J2846" s="50" t="n">
        <f aca="false">H2846*INDEX('Model Inputs &amp; Assumptions'!$D$40:$D$42,MATCH('Model Inputs &amp; Assumptions'!$L$33,'Model Inputs &amp; Assumptions'!$A$40:$A$42,0))*INDEX('Model Inputs &amp; Assumptions'!$H$40:$H$42,MATCH('Model Inputs &amp; Assumptions'!$L$33,'Model Inputs &amp; Assumptions'!$A$40:$A$42,0))</f>
        <v>925810.991343348</v>
      </c>
      <c r="K2846" s="49" t="n">
        <f aca="false">H2846*INDEX('Model Inputs &amp; Assumptions'!$G$40:$G$42,MATCH('Model Inputs &amp; Assumptions'!$L$33,'Model Inputs &amp; Assumptions'!$A$40:$A$42,0))*INDEX('Model Inputs &amp; Assumptions'!$H$40:$H$42,MATCH('Model Inputs &amp; Assumptions'!$L$33,'Model Inputs &amp; Assumptions'!$A$40:$A$42,0))</f>
        <v>19442.0308182103</v>
      </c>
      <c r="L2846" s="51" t="n">
        <f aca="false">IFERROR(K2846/I2846,0)</f>
        <v>0.777681232728412</v>
      </c>
      <c r="M2846" s="49" t="n">
        <f aca="false">IFERROR(I2846/H2846,0)</f>
        <v>145.81810030589</v>
      </c>
      <c r="N2846" s="52" t="str">
        <f aca="false">'Model Inputs &amp; Assumptions'!$L$33</f>
        <v>PRD-SP01</v>
      </c>
      <c r="P2846" s="53" t="n">
        <v>-1.061981</v>
      </c>
      <c r="Q2846" s="53" t="n">
        <v>-1.758777</v>
      </c>
      <c r="R2846" s="53" t="n">
        <v>-0.181001</v>
      </c>
      <c r="S2846" s="53" t="n">
        <v>0.728018</v>
      </c>
    </row>
    <row r="2847" customFormat="false" ht="15" hidden="false" customHeight="false" outlineLevel="0" collapsed="false">
      <c r="A2847" s="43" t="n">
        <v>344</v>
      </c>
      <c r="B2847" s="44" t="str">
        <f aca="false">'Model Inputs &amp; Assumptions'!$B$33</f>
        <v>Trade Republic — Savings Plan Push</v>
      </c>
      <c r="C2847" s="45" t="n">
        <f aca="false">ROUND(MAX(0,'Model Inputs &amp; Assumptions'!$S$33*EXP('Model Inputs &amp; Assumptions'!$T$33*P2847-'Model Inputs &amp; Assumptions'!$T$33^2/2)),0)</f>
        <v>971162</v>
      </c>
      <c r="D2847" s="46" t="n">
        <f aca="false">MIN(1,'Model Inputs &amp; Assumptions'!$U$33*EXP('Model Inputs &amp; Assumptions'!$V$33*Q2847-'Model Inputs &amp; Assumptions'!$V$33^2/2))</f>
        <v>0</v>
      </c>
      <c r="E2847" s="45" t="n">
        <f aca="false">ROUND(C2847*D2847,0)</f>
        <v>0</v>
      </c>
      <c r="F2847" s="47" t="n">
        <f aca="false">MIN(1,'Model Inputs &amp; Assumptions'!$W$33*EXP('Model Inputs &amp; Assumptions'!$X$33*R2847-'Model Inputs &amp; Assumptions'!$X$33^2/2))</f>
        <v>0.00395957647383666</v>
      </c>
      <c r="G2847" s="45" t="n">
        <f aca="false">ROUND(C2847*F2847,0)</f>
        <v>3845</v>
      </c>
      <c r="H2847" s="48" t="n">
        <f aca="false">MAX(0,(C2847*'Model Inputs &amp; Assumptions'!$N$33+E2847*'Model Inputs &amp; Assumptions'!$O$33+G2847*'Model Inputs &amp; Assumptions'!$P$33)*EXP('Model Inputs &amp; Assumptions'!$Q$33*S2847-'Model Inputs &amp; Assumptions'!$Q$33^2/2))</f>
        <v>118.47340537709</v>
      </c>
      <c r="I2847" s="49" t="n">
        <f aca="false">IF('Model Inputs &amp; Assumptions'!$H$33="Fixed",'Model Inputs &amp; Assumptions'!$I$33*'Model Inputs &amp; Assumptions'!$K$33,IF('Model Inputs &amp; Assumptions'!$H$33="CPM",'Model Inputs &amp; Assumptions'!$I$33*'Model Inputs &amp; Assumptions'!$K$33*C2847/1000,IF('Model Inputs &amp; Assumptions'!$H$33="CPC",'Model Inputs &amp; Assumptions'!$I$33*'Model Inputs &amp; Assumptions'!$K$33*G2847,0)))</f>
        <v>25000</v>
      </c>
      <c r="J2847" s="50" t="n">
        <f aca="false">H2847*INDEX('Model Inputs &amp; Assumptions'!$D$40:$D$42,MATCH('Model Inputs &amp; Assumptions'!$L$33,'Model Inputs &amp; Assumptions'!$A$40:$A$42,0))*INDEX('Model Inputs &amp; Assumptions'!$H$40:$H$42,MATCH('Model Inputs &amp; Assumptions'!$L$33,'Model Inputs &amp; Assumptions'!$A$40:$A$42,0))</f>
        <v>639756.389036284</v>
      </c>
      <c r="K2847" s="49" t="n">
        <f aca="false">H2847*INDEX('Model Inputs &amp; Assumptions'!$G$40:$G$42,MATCH('Model Inputs &amp; Assumptions'!$L$33,'Model Inputs &amp; Assumptions'!$A$40:$A$42,0))*INDEX('Model Inputs &amp; Assumptions'!$H$40:$H$42,MATCH('Model Inputs &amp; Assumptions'!$L$33,'Model Inputs &amp; Assumptions'!$A$40:$A$42,0))</f>
        <v>13434.884169762</v>
      </c>
      <c r="L2847" s="51" t="n">
        <f aca="false">IFERROR(K2847/I2847,0)</f>
        <v>0.537395366790479</v>
      </c>
      <c r="M2847" s="49" t="n">
        <f aca="false">IFERROR(I2847/H2847,0)</f>
        <v>211.017822273508</v>
      </c>
      <c r="N2847" s="52" t="str">
        <f aca="false">'Model Inputs &amp; Assumptions'!$L$33</f>
        <v>PRD-SP01</v>
      </c>
      <c r="P2847" s="53" t="n">
        <v>-0.555279</v>
      </c>
      <c r="Q2847" s="53" t="n">
        <v>-1.07938</v>
      </c>
      <c r="R2847" s="53" t="n">
        <v>0.561247</v>
      </c>
      <c r="S2847" s="53" t="n">
        <v>-1.929351</v>
      </c>
    </row>
    <row r="2848" customFormat="false" ht="15" hidden="false" customHeight="false" outlineLevel="0" collapsed="false">
      <c r="A2848" s="43" t="n">
        <v>345</v>
      </c>
      <c r="B2848" s="44" t="str">
        <f aca="false">'Model Inputs &amp; Assumptions'!$B$33</f>
        <v>Trade Republic — Savings Plan Push</v>
      </c>
      <c r="C2848" s="45" t="n">
        <f aca="false">ROUND(MAX(0,'Model Inputs &amp; Assumptions'!$S$33*EXP('Model Inputs &amp; Assumptions'!$T$33*P2848-'Model Inputs &amp; Assumptions'!$T$33^2/2)),0)</f>
        <v>1054540</v>
      </c>
      <c r="D2848" s="46" t="n">
        <f aca="false">MIN(1,'Model Inputs &amp; Assumptions'!$U$33*EXP('Model Inputs &amp; Assumptions'!$V$33*Q2848-'Model Inputs &amp; Assumptions'!$V$33^2/2))</f>
        <v>0</v>
      </c>
      <c r="E2848" s="45" t="n">
        <f aca="false">ROUND(C2848*D2848,0)</f>
        <v>0</v>
      </c>
      <c r="F2848" s="47" t="n">
        <f aca="false">MIN(1,'Model Inputs &amp; Assumptions'!$W$33*EXP('Model Inputs &amp; Assumptions'!$X$33*R2848-'Model Inputs &amp; Assumptions'!$X$33^2/2))</f>
        <v>0.0056102695611459</v>
      </c>
      <c r="G2848" s="45" t="n">
        <f aca="false">ROUND(C2848*F2848,0)</f>
        <v>5916</v>
      </c>
      <c r="H2848" s="48" t="n">
        <f aca="false">MAX(0,(C2848*'Model Inputs &amp; Assumptions'!$N$33+E2848*'Model Inputs &amp; Assumptions'!$O$33+G2848*'Model Inputs &amp; Assumptions'!$P$33)*EXP('Model Inputs &amp; Assumptions'!$Q$33*S2848-'Model Inputs &amp; Assumptions'!$Q$33^2/2))</f>
        <v>405.427980077517</v>
      </c>
      <c r="I2848" s="49" t="n">
        <f aca="false">IF('Model Inputs &amp; Assumptions'!$H$33="Fixed",'Model Inputs &amp; Assumptions'!$I$33*'Model Inputs &amp; Assumptions'!$K$33,IF('Model Inputs &amp; Assumptions'!$H$33="CPM",'Model Inputs &amp; Assumptions'!$I$33*'Model Inputs &amp; Assumptions'!$K$33*C2848/1000,IF('Model Inputs &amp; Assumptions'!$H$33="CPC",'Model Inputs &amp; Assumptions'!$I$33*'Model Inputs &amp; Assumptions'!$K$33*G2848,0)))</f>
        <v>25000</v>
      </c>
      <c r="J2848" s="50" t="n">
        <f aca="false">H2848*INDEX('Model Inputs &amp; Assumptions'!$D$40:$D$42,MATCH('Model Inputs &amp; Assumptions'!$L$33,'Model Inputs &amp; Assumptions'!$A$40:$A$42,0))*INDEX('Model Inputs &amp; Assumptions'!$H$40:$H$42,MATCH('Model Inputs &amp; Assumptions'!$L$33,'Model Inputs &amp; Assumptions'!$A$40:$A$42,0))</f>
        <v>2189311.09241859</v>
      </c>
      <c r="K2848" s="49" t="n">
        <f aca="false">H2848*INDEX('Model Inputs &amp; Assumptions'!$G$40:$G$42,MATCH('Model Inputs &amp; Assumptions'!$L$33,'Model Inputs &amp; Assumptions'!$A$40:$A$42,0))*INDEX('Model Inputs &amp; Assumptions'!$H$40:$H$42,MATCH('Model Inputs &amp; Assumptions'!$L$33,'Model Inputs &amp; Assumptions'!$A$40:$A$42,0))</f>
        <v>45975.5329407904</v>
      </c>
      <c r="L2848" s="51" t="n">
        <f aca="false">IFERROR(K2848/I2848,0)</f>
        <v>1.83902131763162</v>
      </c>
      <c r="M2848" s="49" t="n">
        <f aca="false">IFERROR(I2848/H2848,0)</f>
        <v>61.6632329994098</v>
      </c>
      <c r="N2848" s="52" t="str">
        <f aca="false">'Model Inputs &amp; Assumptions'!$L$33</f>
        <v>PRD-SP01</v>
      </c>
      <c r="P2848" s="53" t="n">
        <v>-0.280724</v>
      </c>
      <c r="Q2848" s="53" t="n">
        <v>-0.152018</v>
      </c>
      <c r="R2848" s="53" t="n">
        <v>1.722786</v>
      </c>
      <c r="S2848" s="53" t="n">
        <v>0.925534</v>
      </c>
    </row>
    <row r="2849" customFormat="false" ht="15" hidden="false" customHeight="false" outlineLevel="0" collapsed="false">
      <c r="A2849" s="43" t="n">
        <v>346</v>
      </c>
      <c r="B2849" s="44" t="str">
        <f aca="false">'Model Inputs &amp; Assumptions'!$B$33</f>
        <v>Trade Republic — Savings Plan Push</v>
      </c>
      <c r="C2849" s="45" t="n">
        <f aca="false">ROUND(MAX(0,'Model Inputs &amp; Assumptions'!$S$33*EXP('Model Inputs &amp; Assumptions'!$T$33*P2849-'Model Inputs &amp; Assumptions'!$T$33^2/2)),0)</f>
        <v>1022754</v>
      </c>
      <c r="D2849" s="46" t="n">
        <f aca="false">MIN(1,'Model Inputs &amp; Assumptions'!$U$33*EXP('Model Inputs &amp; Assumptions'!$V$33*Q2849-'Model Inputs &amp; Assumptions'!$V$33^2/2))</f>
        <v>0</v>
      </c>
      <c r="E2849" s="45" t="n">
        <f aca="false">ROUND(C2849*D2849,0)</f>
        <v>0</v>
      </c>
      <c r="F2849" s="47" t="n">
        <f aca="false">MIN(1,'Model Inputs &amp; Assumptions'!$W$33*EXP('Model Inputs &amp; Assumptions'!$X$33*R2849-'Model Inputs &amp; Assumptions'!$X$33^2/2))</f>
        <v>0.00411973181788054</v>
      </c>
      <c r="G2849" s="45" t="n">
        <f aca="false">ROUND(C2849*F2849,0)</f>
        <v>4213</v>
      </c>
      <c r="H2849" s="48" t="n">
        <f aca="false">MAX(0,(C2849*'Model Inputs &amp; Assumptions'!$N$33+E2849*'Model Inputs &amp; Assumptions'!$O$33+G2849*'Model Inputs &amp; Assumptions'!$P$33)*EXP('Model Inputs &amp; Assumptions'!$Q$33*S2849-'Model Inputs &amp; Assumptions'!$Q$33^2/2))</f>
        <v>151.850731423365</v>
      </c>
      <c r="I2849" s="49" t="n">
        <f aca="false">IF('Model Inputs &amp; Assumptions'!$H$33="Fixed",'Model Inputs &amp; Assumptions'!$I$33*'Model Inputs &amp; Assumptions'!$K$33,IF('Model Inputs &amp; Assumptions'!$H$33="CPM",'Model Inputs &amp; Assumptions'!$I$33*'Model Inputs &amp; Assumptions'!$K$33*C2849/1000,IF('Model Inputs &amp; Assumptions'!$H$33="CPC",'Model Inputs &amp; Assumptions'!$I$33*'Model Inputs &amp; Assumptions'!$K$33*G2849,0)))</f>
        <v>25000</v>
      </c>
      <c r="J2849" s="50" t="n">
        <f aca="false">H2849*INDEX('Model Inputs &amp; Assumptions'!$D$40:$D$42,MATCH('Model Inputs &amp; Assumptions'!$L$33,'Model Inputs &amp; Assumptions'!$A$40:$A$42,0))*INDEX('Model Inputs &amp; Assumptions'!$H$40:$H$42,MATCH('Model Inputs &amp; Assumptions'!$L$33,'Model Inputs &amp; Assumptions'!$A$40:$A$42,0))</f>
        <v>819993.949686171</v>
      </c>
      <c r="K2849" s="49" t="n">
        <f aca="false">H2849*INDEX('Model Inputs &amp; Assumptions'!$G$40:$G$42,MATCH('Model Inputs &amp; Assumptions'!$L$33,'Model Inputs &amp; Assumptions'!$A$40:$A$42,0))*INDEX('Model Inputs &amp; Assumptions'!$H$40:$H$42,MATCH('Model Inputs &amp; Assumptions'!$L$33,'Model Inputs &amp; Assumptions'!$A$40:$A$42,0))</f>
        <v>17219.8729434096</v>
      </c>
      <c r="L2849" s="51" t="n">
        <f aca="false">IFERROR(K2849/I2849,0)</f>
        <v>0.688794917736384</v>
      </c>
      <c r="M2849" s="49" t="n">
        <f aca="false">IFERROR(I2849/H2849,0)</f>
        <v>164.635361092198</v>
      </c>
      <c r="N2849" s="52" t="str">
        <f aca="false">'Model Inputs &amp; Assumptions'!$L$33</f>
        <v>PRD-SP01</v>
      </c>
      <c r="P2849" s="53" t="n">
        <v>-0.382743</v>
      </c>
      <c r="Q2849" s="53" t="n">
        <v>0.342993</v>
      </c>
      <c r="R2849" s="53" t="n">
        <v>0.693417</v>
      </c>
      <c r="S2849" s="53" t="n">
        <v>-1.369322</v>
      </c>
    </row>
    <row r="2850" customFormat="false" ht="15" hidden="false" customHeight="false" outlineLevel="0" collapsed="false">
      <c r="A2850" s="43" t="n">
        <v>347</v>
      </c>
      <c r="B2850" s="44" t="str">
        <f aca="false">'Model Inputs &amp; Assumptions'!$B$33</f>
        <v>Trade Republic — Savings Plan Push</v>
      </c>
      <c r="C2850" s="45" t="n">
        <f aca="false">ROUND(MAX(0,'Model Inputs &amp; Assumptions'!$S$33*EXP('Model Inputs &amp; Assumptions'!$T$33*P2850-'Model Inputs &amp; Assumptions'!$T$33^2/2)),0)</f>
        <v>1894998</v>
      </c>
      <c r="D2850" s="46" t="n">
        <f aca="false">MIN(1,'Model Inputs &amp; Assumptions'!$U$33*EXP('Model Inputs &amp; Assumptions'!$V$33*Q2850-'Model Inputs &amp; Assumptions'!$V$33^2/2))</f>
        <v>0</v>
      </c>
      <c r="E2850" s="45" t="n">
        <f aca="false">ROUND(C2850*D2850,0)</f>
        <v>0</v>
      </c>
      <c r="F2850" s="47" t="n">
        <f aca="false">MIN(1,'Model Inputs &amp; Assumptions'!$W$33*EXP('Model Inputs &amp; Assumptions'!$X$33*R2850-'Model Inputs &amp; Assumptions'!$X$33^2/2))</f>
        <v>0.00203727303995521</v>
      </c>
      <c r="G2850" s="45" t="n">
        <f aca="false">ROUND(C2850*F2850,0)</f>
        <v>3861</v>
      </c>
      <c r="H2850" s="48" t="n">
        <f aca="false">MAX(0,(C2850*'Model Inputs &amp; Assumptions'!$N$33+E2850*'Model Inputs &amp; Assumptions'!$O$33+G2850*'Model Inputs &amp; Assumptions'!$P$33)*EXP('Model Inputs &amp; Assumptions'!$Q$33*S2850-'Model Inputs &amp; Assumptions'!$Q$33^2/2))</f>
        <v>185.482096490676</v>
      </c>
      <c r="I2850" s="49" t="n">
        <f aca="false">IF('Model Inputs &amp; Assumptions'!$H$33="Fixed",'Model Inputs &amp; Assumptions'!$I$33*'Model Inputs &amp; Assumptions'!$K$33,IF('Model Inputs &amp; Assumptions'!$H$33="CPM",'Model Inputs &amp; Assumptions'!$I$33*'Model Inputs &amp; Assumptions'!$K$33*C2850/1000,IF('Model Inputs &amp; Assumptions'!$H$33="CPC",'Model Inputs &amp; Assumptions'!$I$33*'Model Inputs &amp; Assumptions'!$K$33*G2850,0)))</f>
        <v>25000</v>
      </c>
      <c r="J2850" s="50" t="n">
        <f aca="false">H2850*INDEX('Model Inputs &amp; Assumptions'!$D$40:$D$42,MATCH('Model Inputs &amp; Assumptions'!$L$33,'Model Inputs &amp; Assumptions'!$A$40:$A$42,0))*INDEX('Model Inputs &amp; Assumptions'!$H$40:$H$42,MATCH('Model Inputs &amp; Assumptions'!$L$33,'Model Inputs &amp; Assumptions'!$A$40:$A$42,0))</f>
        <v>1001603.32104965</v>
      </c>
      <c r="K2850" s="49" t="n">
        <f aca="false">H2850*INDEX('Model Inputs &amp; Assumptions'!$G$40:$G$42,MATCH('Model Inputs &amp; Assumptions'!$L$33,'Model Inputs &amp; Assumptions'!$A$40:$A$42,0))*INDEX('Model Inputs &amp; Assumptions'!$H$40:$H$42,MATCH('Model Inputs &amp; Assumptions'!$L$33,'Model Inputs &amp; Assumptions'!$A$40:$A$42,0))</f>
        <v>21033.6697420427</v>
      </c>
      <c r="L2850" s="51" t="n">
        <f aca="false">IFERROR(K2850/I2850,0)</f>
        <v>0.841346789681709</v>
      </c>
      <c r="M2850" s="49" t="n">
        <f aca="false">IFERROR(I2850/H2850,0)</f>
        <v>134.78389813896</v>
      </c>
      <c r="N2850" s="52" t="str">
        <f aca="false">'Model Inputs &amp; Assumptions'!$L$33</f>
        <v>PRD-SP01</v>
      </c>
      <c r="P2850" s="53" t="n">
        <v>1.672987</v>
      </c>
      <c r="Q2850" s="53" t="n">
        <v>0.499499</v>
      </c>
      <c r="R2850" s="53" t="n">
        <v>-1.653836</v>
      </c>
      <c r="S2850" s="53" t="n">
        <v>-0.343218</v>
      </c>
    </row>
    <row r="2851" customFormat="false" ht="15" hidden="false" customHeight="false" outlineLevel="0" collapsed="false">
      <c r="A2851" s="43" t="n">
        <v>348</v>
      </c>
      <c r="B2851" s="44" t="str">
        <f aca="false">'Model Inputs &amp; Assumptions'!$B$33</f>
        <v>Trade Republic — Savings Plan Push</v>
      </c>
      <c r="C2851" s="45" t="n">
        <f aca="false">ROUND(MAX(0,'Model Inputs &amp; Assumptions'!$S$33*EXP('Model Inputs &amp; Assumptions'!$T$33*P2851-'Model Inputs &amp; Assumptions'!$T$33^2/2)),0)</f>
        <v>2086078</v>
      </c>
      <c r="D2851" s="46" t="n">
        <f aca="false">MIN(1,'Model Inputs &amp; Assumptions'!$U$33*EXP('Model Inputs &amp; Assumptions'!$V$33*Q2851-'Model Inputs &amp; Assumptions'!$V$33^2/2))</f>
        <v>0</v>
      </c>
      <c r="E2851" s="45" t="n">
        <f aca="false">ROUND(C2851*D2851,0)</f>
        <v>0</v>
      </c>
      <c r="F2851" s="47" t="n">
        <f aca="false">MIN(1,'Model Inputs &amp; Assumptions'!$W$33*EXP('Model Inputs &amp; Assumptions'!$X$33*R2851-'Model Inputs &amp; Assumptions'!$X$33^2/2))</f>
        <v>0.00340500895139547</v>
      </c>
      <c r="G2851" s="45" t="n">
        <f aca="false">ROUND(C2851*F2851,0)</f>
        <v>7103</v>
      </c>
      <c r="H2851" s="48" t="n">
        <f aca="false">MAX(0,(C2851*'Model Inputs &amp; Assumptions'!$N$33+E2851*'Model Inputs &amp; Assumptions'!$O$33+G2851*'Model Inputs &amp; Assumptions'!$P$33)*EXP('Model Inputs &amp; Assumptions'!$Q$33*S2851-'Model Inputs &amp; Assumptions'!$Q$33^2/2))</f>
        <v>369.388115663397</v>
      </c>
      <c r="I2851" s="49" t="n">
        <f aca="false">IF('Model Inputs &amp; Assumptions'!$H$33="Fixed",'Model Inputs &amp; Assumptions'!$I$33*'Model Inputs &amp; Assumptions'!$K$33,IF('Model Inputs &amp; Assumptions'!$H$33="CPM",'Model Inputs &amp; Assumptions'!$I$33*'Model Inputs &amp; Assumptions'!$K$33*C2851/1000,IF('Model Inputs &amp; Assumptions'!$H$33="CPC",'Model Inputs &amp; Assumptions'!$I$33*'Model Inputs &amp; Assumptions'!$K$33*G2851,0)))</f>
        <v>25000</v>
      </c>
      <c r="J2851" s="50" t="n">
        <f aca="false">H2851*INDEX('Model Inputs &amp; Assumptions'!$D$40:$D$42,MATCH('Model Inputs &amp; Assumptions'!$L$33,'Model Inputs &amp; Assumptions'!$A$40:$A$42,0))*INDEX('Model Inputs &amp; Assumptions'!$H$40:$H$42,MATCH('Model Inputs &amp; Assumptions'!$L$33,'Model Inputs &amp; Assumptions'!$A$40:$A$42,0))</f>
        <v>1994695.82458235</v>
      </c>
      <c r="K2851" s="49" t="n">
        <f aca="false">H2851*INDEX('Model Inputs &amp; Assumptions'!$G$40:$G$42,MATCH('Model Inputs &amp; Assumptions'!$L$33,'Model Inputs &amp; Assumptions'!$A$40:$A$42,0))*INDEX('Model Inputs &amp; Assumptions'!$H$40:$H$42,MATCH('Model Inputs &amp; Assumptions'!$L$33,'Model Inputs &amp; Assumptions'!$A$40:$A$42,0))</f>
        <v>41888.6123162293</v>
      </c>
      <c r="L2851" s="51" t="n">
        <f aca="false">IFERROR(K2851/I2851,0)</f>
        <v>1.67554449264917</v>
      </c>
      <c r="M2851" s="49" t="n">
        <f aca="false">IFERROR(I2851/H2851,0)</f>
        <v>67.6794919487369</v>
      </c>
      <c r="N2851" s="52" t="str">
        <f aca="false">'Model Inputs &amp; Assumptions'!$L$33</f>
        <v>PRD-SP01</v>
      </c>
      <c r="P2851" s="53" t="n">
        <v>1.993214</v>
      </c>
      <c r="Q2851" s="53" t="n">
        <v>-0.235499</v>
      </c>
      <c r="R2851" s="53" t="n">
        <v>0.058282</v>
      </c>
      <c r="S2851" s="53" t="n">
        <v>-0.060009</v>
      </c>
    </row>
    <row r="2852" customFormat="false" ht="15" hidden="false" customHeight="false" outlineLevel="0" collapsed="false">
      <c r="A2852" s="43" t="n">
        <v>349</v>
      </c>
      <c r="B2852" s="44" t="str">
        <f aca="false">'Model Inputs &amp; Assumptions'!$B$33</f>
        <v>Trade Republic — Savings Plan Push</v>
      </c>
      <c r="C2852" s="45" t="n">
        <f aca="false">ROUND(MAX(0,'Model Inputs &amp; Assumptions'!$S$33*EXP('Model Inputs &amp; Assumptions'!$T$33*P2852-'Model Inputs &amp; Assumptions'!$T$33^2/2)),0)</f>
        <v>1244521</v>
      </c>
      <c r="D2852" s="46" t="n">
        <f aca="false">MIN(1,'Model Inputs &amp; Assumptions'!$U$33*EXP('Model Inputs &amp; Assumptions'!$V$33*Q2852-'Model Inputs &amp; Assumptions'!$V$33^2/2))</f>
        <v>0</v>
      </c>
      <c r="E2852" s="45" t="n">
        <f aca="false">ROUND(C2852*D2852,0)</f>
        <v>0</v>
      </c>
      <c r="F2852" s="47" t="n">
        <f aca="false">MIN(1,'Model Inputs &amp; Assumptions'!$W$33*EXP('Model Inputs &amp; Assumptions'!$X$33*R2852-'Model Inputs &amp; Assumptions'!$X$33^2/2))</f>
        <v>0.00294574827639521</v>
      </c>
      <c r="G2852" s="45" t="n">
        <f aca="false">ROUND(C2852*F2852,0)</f>
        <v>3666</v>
      </c>
      <c r="H2852" s="48" t="n">
        <f aca="false">MAX(0,(C2852*'Model Inputs &amp; Assumptions'!$N$33+E2852*'Model Inputs &amp; Assumptions'!$O$33+G2852*'Model Inputs &amp; Assumptions'!$P$33)*EXP('Model Inputs &amp; Assumptions'!$Q$33*S2852-'Model Inputs &amp; Assumptions'!$Q$33^2/2))</f>
        <v>180.543411295804</v>
      </c>
      <c r="I2852" s="49" t="n">
        <f aca="false">IF('Model Inputs &amp; Assumptions'!$H$33="Fixed",'Model Inputs &amp; Assumptions'!$I$33*'Model Inputs &amp; Assumptions'!$K$33,IF('Model Inputs &amp; Assumptions'!$H$33="CPM",'Model Inputs &amp; Assumptions'!$I$33*'Model Inputs &amp; Assumptions'!$K$33*C2852/1000,IF('Model Inputs &amp; Assumptions'!$H$33="CPC",'Model Inputs &amp; Assumptions'!$I$33*'Model Inputs &amp; Assumptions'!$K$33*G2852,0)))</f>
        <v>25000</v>
      </c>
      <c r="J2852" s="50" t="n">
        <f aca="false">H2852*INDEX('Model Inputs &amp; Assumptions'!$D$40:$D$42,MATCH('Model Inputs &amp; Assumptions'!$L$33,'Model Inputs &amp; Assumptions'!$A$40:$A$42,0))*INDEX('Model Inputs &amp; Assumptions'!$H$40:$H$42,MATCH('Model Inputs &amp; Assumptions'!$L$33,'Model Inputs &amp; Assumptions'!$A$40:$A$42,0))</f>
        <v>974934.420997344</v>
      </c>
      <c r="K2852" s="49" t="n">
        <f aca="false">H2852*INDEX('Model Inputs &amp; Assumptions'!$G$40:$G$42,MATCH('Model Inputs &amp; Assumptions'!$L$33,'Model Inputs &amp; Assumptions'!$A$40:$A$42,0))*INDEX('Model Inputs &amp; Assumptions'!$H$40:$H$42,MATCH('Model Inputs &amp; Assumptions'!$L$33,'Model Inputs &amp; Assumptions'!$A$40:$A$42,0))</f>
        <v>20473.6228409442</v>
      </c>
      <c r="L2852" s="51" t="n">
        <f aca="false">IFERROR(K2852/I2852,0)</f>
        <v>0.818944913637769</v>
      </c>
      <c r="M2852" s="49" t="n">
        <f aca="false">IFERROR(I2852/H2852,0)</f>
        <v>138.470852082437</v>
      </c>
      <c r="N2852" s="52" t="str">
        <f aca="false">'Model Inputs &amp; Assumptions'!$L$33</f>
        <v>PRD-SP01</v>
      </c>
      <c r="P2852" s="53" t="n">
        <v>0.27143</v>
      </c>
      <c r="Q2852" s="53" t="n">
        <v>0.94773</v>
      </c>
      <c r="R2852" s="53" t="n">
        <v>-0.424667</v>
      </c>
      <c r="S2852" s="53" t="n">
        <v>-0.254511</v>
      </c>
    </row>
    <row r="2853" customFormat="false" ht="15" hidden="false" customHeight="false" outlineLevel="0" collapsed="false">
      <c r="A2853" s="43" t="n">
        <v>350</v>
      </c>
      <c r="B2853" s="44" t="str">
        <f aca="false">'Model Inputs &amp; Assumptions'!$B$33</f>
        <v>Trade Republic — Savings Plan Push</v>
      </c>
      <c r="C2853" s="45" t="n">
        <f aca="false">ROUND(MAX(0,'Model Inputs &amp; Assumptions'!$S$33*EXP('Model Inputs &amp; Assumptions'!$T$33*P2853-'Model Inputs &amp; Assumptions'!$T$33^2/2)),0)</f>
        <v>1379388</v>
      </c>
      <c r="D2853" s="46" t="n">
        <f aca="false">MIN(1,'Model Inputs &amp; Assumptions'!$U$33*EXP('Model Inputs &amp; Assumptions'!$V$33*Q2853-'Model Inputs &amp; Assumptions'!$V$33^2/2))</f>
        <v>0</v>
      </c>
      <c r="E2853" s="45" t="n">
        <f aca="false">ROUND(C2853*D2853,0)</f>
        <v>0</v>
      </c>
      <c r="F2853" s="47" t="n">
        <f aca="false">MIN(1,'Model Inputs &amp; Assumptions'!$W$33*EXP('Model Inputs &amp; Assumptions'!$X$33*R2853-'Model Inputs &amp; Assumptions'!$X$33^2/2))</f>
        <v>0.0043478504280526</v>
      </c>
      <c r="G2853" s="45" t="n">
        <f aca="false">ROUND(C2853*F2853,0)</f>
        <v>5997</v>
      </c>
      <c r="H2853" s="48" t="n">
        <f aca="false">MAX(0,(C2853*'Model Inputs &amp; Assumptions'!$N$33+E2853*'Model Inputs &amp; Assumptions'!$O$33+G2853*'Model Inputs &amp; Assumptions'!$P$33)*EXP('Model Inputs &amp; Assumptions'!$Q$33*S2853-'Model Inputs &amp; Assumptions'!$Q$33^2/2))</f>
        <v>499.571798959209</v>
      </c>
      <c r="I2853" s="49" t="n">
        <f aca="false">IF('Model Inputs &amp; Assumptions'!$H$33="Fixed",'Model Inputs &amp; Assumptions'!$I$33*'Model Inputs &amp; Assumptions'!$K$33,IF('Model Inputs &amp; Assumptions'!$H$33="CPM",'Model Inputs &amp; Assumptions'!$I$33*'Model Inputs &amp; Assumptions'!$K$33*C2853/1000,IF('Model Inputs &amp; Assumptions'!$H$33="CPC",'Model Inputs &amp; Assumptions'!$I$33*'Model Inputs &amp; Assumptions'!$K$33*G2853,0)))</f>
        <v>25000</v>
      </c>
      <c r="J2853" s="50" t="n">
        <f aca="false">H2853*INDEX('Model Inputs &amp; Assumptions'!$D$40:$D$42,MATCH('Model Inputs &amp; Assumptions'!$L$33,'Model Inputs &amp; Assumptions'!$A$40:$A$42,0))*INDEX('Model Inputs &amp; Assumptions'!$H$40:$H$42,MATCH('Model Inputs &amp; Assumptions'!$L$33,'Model Inputs &amp; Assumptions'!$A$40:$A$42,0))</f>
        <v>2697687.71437973</v>
      </c>
      <c r="K2853" s="49" t="n">
        <f aca="false">H2853*INDEX('Model Inputs &amp; Assumptions'!$G$40:$G$42,MATCH('Model Inputs &amp; Assumptions'!$L$33,'Model Inputs &amp; Assumptions'!$A$40:$A$42,0))*INDEX('Model Inputs &amp; Assumptions'!$H$40:$H$42,MATCH('Model Inputs &amp; Assumptions'!$L$33,'Model Inputs &amp; Assumptions'!$A$40:$A$42,0))</f>
        <v>56651.4420019743</v>
      </c>
      <c r="L2853" s="51" t="n">
        <f aca="false">IFERROR(K2853/I2853,0)</f>
        <v>2.26605768007897</v>
      </c>
      <c r="M2853" s="49" t="n">
        <f aca="false">IFERROR(I2853/H2853,0)</f>
        <v>50.0428568067376</v>
      </c>
      <c r="N2853" s="52" t="str">
        <f aca="false">'Model Inputs &amp; Assumptions'!$L$33</f>
        <v>PRD-SP01</v>
      </c>
      <c r="P2853" s="53" t="n">
        <v>0.614395</v>
      </c>
      <c r="Q2853" s="53" t="n">
        <v>-0.280034</v>
      </c>
      <c r="R2853" s="53" t="n">
        <v>0.873062</v>
      </c>
      <c r="S2853" s="53" t="n">
        <v>1.62271</v>
      </c>
    </row>
    <row r="2854" customFormat="false" ht="15" hidden="false" customHeight="false" outlineLevel="0" collapsed="false">
      <c r="A2854" s="43" t="n">
        <v>351</v>
      </c>
      <c r="B2854" s="44" t="str">
        <f aca="false">'Model Inputs &amp; Assumptions'!$B$33</f>
        <v>Trade Republic — Savings Plan Push</v>
      </c>
      <c r="C2854" s="45" t="n">
        <f aca="false">ROUND(MAX(0,'Model Inputs &amp; Assumptions'!$S$33*EXP('Model Inputs &amp; Assumptions'!$T$33*P2854-'Model Inputs &amp; Assumptions'!$T$33^2/2)),0)</f>
        <v>1566714</v>
      </c>
      <c r="D2854" s="46" t="n">
        <f aca="false">MIN(1,'Model Inputs &amp; Assumptions'!$U$33*EXP('Model Inputs &amp; Assumptions'!$V$33*Q2854-'Model Inputs &amp; Assumptions'!$V$33^2/2))</f>
        <v>0</v>
      </c>
      <c r="E2854" s="45" t="n">
        <f aca="false">ROUND(C2854*D2854,0)</f>
        <v>0</v>
      </c>
      <c r="F2854" s="47" t="n">
        <f aca="false">MIN(1,'Model Inputs &amp; Assumptions'!$W$33*EXP('Model Inputs &amp; Assumptions'!$X$33*R2854-'Model Inputs &amp; Assumptions'!$X$33^2/2))</f>
        <v>0.00467922860566862</v>
      </c>
      <c r="G2854" s="45" t="n">
        <f aca="false">ROUND(C2854*F2854,0)</f>
        <v>7331</v>
      </c>
      <c r="H2854" s="48" t="n">
        <f aca="false">MAX(0,(C2854*'Model Inputs &amp; Assumptions'!$N$33+E2854*'Model Inputs &amp; Assumptions'!$O$33+G2854*'Model Inputs &amp; Assumptions'!$P$33)*EXP('Model Inputs &amp; Assumptions'!$Q$33*S2854-'Model Inputs &amp; Assumptions'!$Q$33^2/2))</f>
        <v>892.083089114972</v>
      </c>
      <c r="I2854" s="49" t="n">
        <f aca="false">IF('Model Inputs &amp; Assumptions'!$H$33="Fixed",'Model Inputs &amp; Assumptions'!$I$33*'Model Inputs &amp; Assumptions'!$K$33,IF('Model Inputs &amp; Assumptions'!$H$33="CPM",'Model Inputs &amp; Assumptions'!$I$33*'Model Inputs &amp; Assumptions'!$K$33*C2854/1000,IF('Model Inputs &amp; Assumptions'!$H$33="CPC",'Model Inputs &amp; Assumptions'!$I$33*'Model Inputs &amp; Assumptions'!$K$33*G2854,0)))</f>
        <v>25000</v>
      </c>
      <c r="J2854" s="50" t="n">
        <f aca="false">H2854*INDEX('Model Inputs &amp; Assumptions'!$D$40:$D$42,MATCH('Model Inputs &amp; Assumptions'!$L$33,'Model Inputs &amp; Assumptions'!$A$40:$A$42,0))*INDEX('Model Inputs &amp; Assumptions'!$H$40:$H$42,MATCH('Model Inputs &amp; Assumptions'!$L$33,'Model Inputs &amp; Assumptions'!$A$40:$A$42,0))</f>
        <v>4817248.68122085</v>
      </c>
      <c r="K2854" s="49" t="n">
        <f aca="false">H2854*INDEX('Model Inputs &amp; Assumptions'!$G$40:$G$42,MATCH('Model Inputs &amp; Assumptions'!$L$33,'Model Inputs &amp; Assumptions'!$A$40:$A$42,0))*INDEX('Model Inputs &amp; Assumptions'!$H$40:$H$42,MATCH('Model Inputs &amp; Assumptions'!$L$33,'Model Inputs &amp; Assumptions'!$A$40:$A$42,0))</f>
        <v>101162.222305638</v>
      </c>
      <c r="L2854" s="51" t="n">
        <f aca="false">IFERROR(K2854/I2854,0)</f>
        <v>4.04648889222551</v>
      </c>
      <c r="M2854" s="49" t="n">
        <f aca="false">IFERROR(I2854/H2854,0)</f>
        <v>28.0242953880028</v>
      </c>
      <c r="N2854" s="52" t="str">
        <f aca="false">'Model Inputs &amp; Assumptions'!$L$33</f>
        <v>PRD-SP01</v>
      </c>
      <c r="P2854" s="53" t="n">
        <v>1.038863</v>
      </c>
      <c r="Q2854" s="53" t="n">
        <v>0.280343</v>
      </c>
      <c r="R2854" s="53" t="n">
        <v>1.117901</v>
      </c>
      <c r="S2854" s="53" t="n">
        <v>2.976122</v>
      </c>
    </row>
    <row r="2855" customFormat="false" ht="15" hidden="false" customHeight="false" outlineLevel="0" collapsed="false">
      <c r="A2855" s="43" t="n">
        <v>352</v>
      </c>
      <c r="B2855" s="44" t="str">
        <f aca="false">'Model Inputs &amp; Assumptions'!$B$33</f>
        <v>Trade Republic — Savings Plan Push</v>
      </c>
      <c r="C2855" s="45" t="n">
        <f aca="false">ROUND(MAX(0,'Model Inputs &amp; Assumptions'!$S$33*EXP('Model Inputs &amp; Assumptions'!$T$33*P2855-'Model Inputs &amp; Assumptions'!$T$33^2/2)),0)</f>
        <v>1175512</v>
      </c>
      <c r="D2855" s="46" t="n">
        <f aca="false">MIN(1,'Model Inputs &amp; Assumptions'!$U$33*EXP('Model Inputs &amp; Assumptions'!$V$33*Q2855-'Model Inputs &amp; Assumptions'!$V$33^2/2))</f>
        <v>0</v>
      </c>
      <c r="E2855" s="45" t="n">
        <f aca="false">ROUND(C2855*D2855,0)</f>
        <v>0</v>
      </c>
      <c r="F2855" s="47" t="n">
        <f aca="false">MIN(1,'Model Inputs &amp; Assumptions'!$W$33*EXP('Model Inputs &amp; Assumptions'!$X$33*R2855-'Model Inputs &amp; Assumptions'!$X$33^2/2))</f>
        <v>0.0037332992812417</v>
      </c>
      <c r="G2855" s="45" t="n">
        <f aca="false">ROUND(C2855*F2855,0)</f>
        <v>4389</v>
      </c>
      <c r="H2855" s="48" t="n">
        <f aca="false">MAX(0,(C2855*'Model Inputs &amp; Assumptions'!$N$33+E2855*'Model Inputs &amp; Assumptions'!$O$33+G2855*'Model Inputs &amp; Assumptions'!$P$33)*EXP('Model Inputs &amp; Assumptions'!$Q$33*S2855-'Model Inputs &amp; Assumptions'!$Q$33^2/2))</f>
        <v>222.572790392944</v>
      </c>
      <c r="I2855" s="49" t="n">
        <f aca="false">IF('Model Inputs &amp; Assumptions'!$H$33="Fixed",'Model Inputs &amp; Assumptions'!$I$33*'Model Inputs &amp; Assumptions'!$K$33,IF('Model Inputs &amp; Assumptions'!$H$33="CPM",'Model Inputs &amp; Assumptions'!$I$33*'Model Inputs &amp; Assumptions'!$K$33*C2855/1000,IF('Model Inputs &amp; Assumptions'!$H$33="CPC",'Model Inputs &amp; Assumptions'!$I$33*'Model Inputs &amp; Assumptions'!$K$33*G2855,0)))</f>
        <v>25000</v>
      </c>
      <c r="J2855" s="50" t="n">
        <f aca="false">H2855*INDEX('Model Inputs &amp; Assumptions'!$D$40:$D$42,MATCH('Model Inputs &amp; Assumptions'!$L$33,'Model Inputs &amp; Assumptions'!$A$40:$A$42,0))*INDEX('Model Inputs &amp; Assumptions'!$H$40:$H$42,MATCH('Model Inputs &amp; Assumptions'!$L$33,'Model Inputs &amp; Assumptions'!$A$40:$A$42,0))</f>
        <v>1201893.0681219</v>
      </c>
      <c r="K2855" s="49" t="n">
        <f aca="false">H2855*INDEX('Model Inputs &amp; Assumptions'!$G$40:$G$42,MATCH('Model Inputs &amp; Assumptions'!$L$33,'Model Inputs &amp; Assumptions'!$A$40:$A$42,0))*INDEX('Model Inputs &amp; Assumptions'!$H$40:$H$42,MATCH('Model Inputs &amp; Assumptions'!$L$33,'Model Inputs &amp; Assumptions'!$A$40:$A$42,0))</f>
        <v>25239.7544305599</v>
      </c>
      <c r="L2855" s="51" t="n">
        <f aca="false">IFERROR(K2855/I2855,0)</f>
        <v>1.0095901772224</v>
      </c>
      <c r="M2855" s="49" t="n">
        <f aca="false">IFERROR(I2855/H2855,0)</f>
        <v>112.322804399691</v>
      </c>
      <c r="N2855" s="52" t="str">
        <f aca="false">'Model Inputs &amp; Assumptions'!$L$33</f>
        <v>PRD-SP01</v>
      </c>
      <c r="P2855" s="53" t="n">
        <v>0.081273</v>
      </c>
      <c r="Q2855" s="53" t="n">
        <v>-0.826195</v>
      </c>
      <c r="R2855" s="53" t="n">
        <v>0.365098</v>
      </c>
      <c r="S2855" s="53" t="n">
        <v>-0.14993</v>
      </c>
    </row>
    <row r="2856" customFormat="false" ht="15" hidden="false" customHeight="false" outlineLevel="0" collapsed="false">
      <c r="A2856" s="43" t="n">
        <v>353</v>
      </c>
      <c r="B2856" s="44" t="str">
        <f aca="false">'Model Inputs &amp; Assumptions'!$B$33</f>
        <v>Trade Republic — Savings Plan Push</v>
      </c>
      <c r="C2856" s="45" t="n">
        <f aca="false">ROUND(MAX(0,'Model Inputs &amp; Assumptions'!$S$33*EXP('Model Inputs &amp; Assumptions'!$T$33*P2856-'Model Inputs &amp; Assumptions'!$T$33^2/2)),0)</f>
        <v>1223526</v>
      </c>
      <c r="D2856" s="46" t="n">
        <f aca="false">MIN(1,'Model Inputs &amp; Assumptions'!$U$33*EXP('Model Inputs &amp; Assumptions'!$V$33*Q2856-'Model Inputs &amp; Assumptions'!$V$33^2/2))</f>
        <v>0</v>
      </c>
      <c r="E2856" s="45" t="n">
        <f aca="false">ROUND(C2856*D2856,0)</f>
        <v>0</v>
      </c>
      <c r="F2856" s="47" t="n">
        <f aca="false">MIN(1,'Model Inputs &amp; Assumptions'!$W$33*EXP('Model Inputs &amp; Assumptions'!$X$33*R2856-'Model Inputs &amp; Assumptions'!$X$33^2/2))</f>
        <v>0.00278521304704682</v>
      </c>
      <c r="G2856" s="45" t="n">
        <f aca="false">ROUND(C2856*F2856,0)</f>
        <v>3408</v>
      </c>
      <c r="H2856" s="48" t="n">
        <f aca="false">MAX(0,(C2856*'Model Inputs &amp; Assumptions'!$N$33+E2856*'Model Inputs &amp; Assumptions'!$O$33+G2856*'Model Inputs &amp; Assumptions'!$P$33)*EXP('Model Inputs &amp; Assumptions'!$Q$33*S2856-'Model Inputs &amp; Assumptions'!$Q$33^2/2))</f>
        <v>324.539116956469</v>
      </c>
      <c r="I2856" s="49" t="n">
        <f aca="false">IF('Model Inputs &amp; Assumptions'!$H$33="Fixed",'Model Inputs &amp; Assumptions'!$I$33*'Model Inputs &amp; Assumptions'!$K$33,IF('Model Inputs &amp; Assumptions'!$H$33="CPM",'Model Inputs &amp; Assumptions'!$I$33*'Model Inputs &amp; Assumptions'!$K$33*C2856/1000,IF('Model Inputs &amp; Assumptions'!$H$33="CPC",'Model Inputs &amp; Assumptions'!$I$33*'Model Inputs &amp; Assumptions'!$K$33*G2856,0)))</f>
        <v>25000</v>
      </c>
      <c r="J2856" s="50" t="n">
        <f aca="false">H2856*INDEX('Model Inputs &amp; Assumptions'!$D$40:$D$42,MATCH('Model Inputs &amp; Assumptions'!$L$33,'Model Inputs &amp; Assumptions'!$A$40:$A$42,0))*INDEX('Model Inputs &amp; Assumptions'!$H$40:$H$42,MATCH('Model Inputs &amp; Assumptions'!$L$33,'Model Inputs &amp; Assumptions'!$A$40:$A$42,0))</f>
        <v>1752511.23156493</v>
      </c>
      <c r="K2856" s="49" t="n">
        <f aca="false">H2856*INDEX('Model Inputs &amp; Assumptions'!$G$40:$G$42,MATCH('Model Inputs &amp; Assumptions'!$L$33,'Model Inputs &amp; Assumptions'!$A$40:$A$42,0))*INDEX('Model Inputs &amp; Assumptions'!$H$40:$H$42,MATCH('Model Inputs &amp; Assumptions'!$L$33,'Model Inputs &amp; Assumptions'!$A$40:$A$42,0))</f>
        <v>36802.7358628636</v>
      </c>
      <c r="L2856" s="51" t="n">
        <f aca="false">IFERROR(K2856/I2856,0)</f>
        <v>1.47210943451455</v>
      </c>
      <c r="M2856" s="49" t="n">
        <f aca="false">IFERROR(I2856/H2856,0)</f>
        <v>77.0323165800481</v>
      </c>
      <c r="N2856" s="52" t="str">
        <f aca="false">'Model Inputs &amp; Assumptions'!$L$33</f>
        <v>PRD-SP01</v>
      </c>
      <c r="P2856" s="53" t="n">
        <v>0.214719</v>
      </c>
      <c r="Q2856" s="53" t="n">
        <v>-0.562058</v>
      </c>
      <c r="R2856" s="53" t="n">
        <v>-0.611462</v>
      </c>
      <c r="S2856" s="53" t="n">
        <v>2.100526</v>
      </c>
    </row>
    <row r="2857" customFormat="false" ht="15" hidden="false" customHeight="false" outlineLevel="0" collapsed="false">
      <c r="A2857" s="43" t="n">
        <v>354</v>
      </c>
      <c r="B2857" s="44" t="str">
        <f aca="false">'Model Inputs &amp; Assumptions'!$B$33</f>
        <v>Trade Republic — Savings Plan Push</v>
      </c>
      <c r="C2857" s="45" t="n">
        <f aca="false">ROUND(MAX(0,'Model Inputs &amp; Assumptions'!$S$33*EXP('Model Inputs &amp; Assumptions'!$T$33*P2857-'Model Inputs &amp; Assumptions'!$T$33^2/2)),0)</f>
        <v>986032</v>
      </c>
      <c r="D2857" s="46" t="n">
        <f aca="false">MIN(1,'Model Inputs &amp; Assumptions'!$U$33*EXP('Model Inputs &amp; Assumptions'!$V$33*Q2857-'Model Inputs &amp; Assumptions'!$V$33^2/2))</f>
        <v>0</v>
      </c>
      <c r="E2857" s="45" t="n">
        <f aca="false">ROUND(C2857*D2857,0)</f>
        <v>0</v>
      </c>
      <c r="F2857" s="47" t="n">
        <f aca="false">MIN(1,'Model Inputs &amp; Assumptions'!$W$33*EXP('Model Inputs &amp; Assumptions'!$X$33*R2857-'Model Inputs &amp; Assumptions'!$X$33^2/2))</f>
        <v>0.00205507094094889</v>
      </c>
      <c r="G2857" s="45" t="n">
        <f aca="false">ROUND(C2857*F2857,0)</f>
        <v>2026</v>
      </c>
      <c r="H2857" s="48" t="n">
        <f aca="false">MAX(0,(C2857*'Model Inputs &amp; Assumptions'!$N$33+E2857*'Model Inputs &amp; Assumptions'!$O$33+G2857*'Model Inputs &amp; Assumptions'!$P$33)*EXP('Model Inputs &amp; Assumptions'!$Q$33*S2857-'Model Inputs &amp; Assumptions'!$Q$33^2/2))</f>
        <v>87.312695059991</v>
      </c>
      <c r="I2857" s="49" t="n">
        <f aca="false">IF('Model Inputs &amp; Assumptions'!$H$33="Fixed",'Model Inputs &amp; Assumptions'!$I$33*'Model Inputs &amp; Assumptions'!$K$33,IF('Model Inputs &amp; Assumptions'!$H$33="CPM",'Model Inputs &amp; Assumptions'!$I$33*'Model Inputs &amp; Assumptions'!$K$33*C2857/1000,IF('Model Inputs &amp; Assumptions'!$H$33="CPC",'Model Inputs &amp; Assumptions'!$I$33*'Model Inputs &amp; Assumptions'!$K$33*G2857,0)))</f>
        <v>25000</v>
      </c>
      <c r="J2857" s="50" t="n">
        <f aca="false">H2857*INDEX('Model Inputs &amp; Assumptions'!$D$40:$D$42,MATCH('Model Inputs &amp; Assumptions'!$L$33,'Model Inputs &amp; Assumptions'!$A$40:$A$42,0))*INDEX('Model Inputs &amp; Assumptions'!$H$40:$H$42,MATCH('Model Inputs &amp; Assumptions'!$L$33,'Model Inputs &amp; Assumptions'!$A$40:$A$42,0))</f>
        <v>471488.553323951</v>
      </c>
      <c r="K2857" s="49" t="n">
        <f aca="false">H2857*INDEX('Model Inputs &amp; Assumptions'!$G$40:$G$42,MATCH('Model Inputs &amp; Assumptions'!$L$33,'Model Inputs &amp; Assumptions'!$A$40:$A$42,0))*INDEX('Model Inputs &amp; Assumptions'!$H$40:$H$42,MATCH('Model Inputs &amp; Assumptions'!$L$33,'Model Inputs &amp; Assumptions'!$A$40:$A$42,0))</f>
        <v>9901.25961980298</v>
      </c>
      <c r="L2857" s="51" t="n">
        <f aca="false">IFERROR(K2857/I2857,0)</f>
        <v>0.396050384792119</v>
      </c>
      <c r="M2857" s="49" t="n">
        <f aca="false">IFERROR(I2857/H2857,0)</f>
        <v>286.327205715308</v>
      </c>
      <c r="N2857" s="52" t="str">
        <f aca="false">'Model Inputs &amp; Assumptions'!$L$33</f>
        <v>PRD-SP01</v>
      </c>
      <c r="P2857" s="53" t="n">
        <v>-0.504628</v>
      </c>
      <c r="Q2857" s="53" t="n">
        <v>1.872451</v>
      </c>
      <c r="R2857" s="53" t="n">
        <v>-1.624842</v>
      </c>
      <c r="S2857" s="53" t="n">
        <v>-0.731074</v>
      </c>
    </row>
    <row r="2858" customFormat="false" ht="15" hidden="false" customHeight="false" outlineLevel="0" collapsed="false">
      <c r="A2858" s="43" t="n">
        <v>355</v>
      </c>
      <c r="B2858" s="44" t="str">
        <f aca="false">'Model Inputs &amp; Assumptions'!$B$33</f>
        <v>Trade Republic — Savings Plan Push</v>
      </c>
      <c r="C2858" s="45" t="n">
        <f aca="false">ROUND(MAX(0,'Model Inputs &amp; Assumptions'!$S$33*EXP('Model Inputs &amp; Assumptions'!$T$33*P2858-'Model Inputs &amp; Assumptions'!$T$33^2/2)),0)</f>
        <v>1086390</v>
      </c>
      <c r="D2858" s="46" t="n">
        <f aca="false">MIN(1,'Model Inputs &amp; Assumptions'!$U$33*EXP('Model Inputs &amp; Assumptions'!$V$33*Q2858-'Model Inputs &amp; Assumptions'!$V$33^2/2))</f>
        <v>0</v>
      </c>
      <c r="E2858" s="45" t="n">
        <f aca="false">ROUND(C2858*D2858,0)</f>
        <v>0</v>
      </c>
      <c r="F2858" s="47" t="n">
        <f aca="false">MIN(1,'Model Inputs &amp; Assumptions'!$W$33*EXP('Model Inputs &amp; Assumptions'!$X$33*R2858-'Model Inputs &amp; Assumptions'!$X$33^2/2))</f>
        <v>0.00255794644969697</v>
      </c>
      <c r="G2858" s="45" t="n">
        <f aca="false">ROUND(C2858*F2858,0)</f>
        <v>2779</v>
      </c>
      <c r="H2858" s="48" t="n">
        <f aca="false">MAX(0,(C2858*'Model Inputs &amp; Assumptions'!$N$33+E2858*'Model Inputs &amp; Assumptions'!$O$33+G2858*'Model Inputs &amp; Assumptions'!$P$33)*EXP('Model Inputs &amp; Assumptions'!$Q$33*S2858-'Model Inputs &amp; Assumptions'!$Q$33^2/2))</f>
        <v>191.160206889307</v>
      </c>
      <c r="I2858" s="49" t="n">
        <f aca="false">IF('Model Inputs &amp; Assumptions'!$H$33="Fixed",'Model Inputs &amp; Assumptions'!$I$33*'Model Inputs &amp; Assumptions'!$K$33,IF('Model Inputs &amp; Assumptions'!$H$33="CPM",'Model Inputs &amp; Assumptions'!$I$33*'Model Inputs &amp; Assumptions'!$K$33*C2858/1000,IF('Model Inputs &amp; Assumptions'!$H$33="CPC",'Model Inputs &amp; Assumptions'!$I$33*'Model Inputs &amp; Assumptions'!$K$33*G2858,0)))</f>
        <v>25000</v>
      </c>
      <c r="J2858" s="50" t="n">
        <f aca="false">H2858*INDEX('Model Inputs &amp; Assumptions'!$D$40:$D$42,MATCH('Model Inputs &amp; Assumptions'!$L$33,'Model Inputs &amp; Assumptions'!$A$40:$A$42,0))*INDEX('Model Inputs &amp; Assumptions'!$H$40:$H$42,MATCH('Model Inputs &amp; Assumptions'!$L$33,'Model Inputs &amp; Assumptions'!$A$40:$A$42,0))</f>
        <v>1032265.11720226</v>
      </c>
      <c r="K2858" s="49" t="n">
        <f aca="false">H2858*INDEX('Model Inputs &amp; Assumptions'!$G$40:$G$42,MATCH('Model Inputs &amp; Assumptions'!$L$33,'Model Inputs &amp; Assumptions'!$A$40:$A$42,0))*INDEX('Model Inputs &amp; Assumptions'!$H$40:$H$42,MATCH('Model Inputs &amp; Assumptions'!$L$33,'Model Inputs &amp; Assumptions'!$A$40:$A$42,0))</f>
        <v>21677.5674612474</v>
      </c>
      <c r="L2858" s="51" t="n">
        <f aca="false">IFERROR(K2858/I2858,0)</f>
        <v>0.867102698449898</v>
      </c>
      <c r="M2858" s="49" t="n">
        <f aca="false">IFERROR(I2858/H2858,0)</f>
        <v>130.780356470719</v>
      </c>
      <c r="N2858" s="52" t="str">
        <f aca="false">'Model Inputs &amp; Assumptions'!$L$33</f>
        <v>PRD-SP01</v>
      </c>
      <c r="P2858" s="53" t="n">
        <v>-0.181537</v>
      </c>
      <c r="Q2858" s="53" t="n">
        <v>0.776213</v>
      </c>
      <c r="R2858" s="53" t="n">
        <v>-0.895194</v>
      </c>
      <c r="S2858" s="53" t="n">
        <v>0.938884</v>
      </c>
    </row>
    <row r="2859" customFormat="false" ht="15" hidden="false" customHeight="false" outlineLevel="0" collapsed="false">
      <c r="A2859" s="43" t="n">
        <v>356</v>
      </c>
      <c r="B2859" s="44" t="str">
        <f aca="false">'Model Inputs &amp; Assumptions'!$B$33</f>
        <v>Trade Republic — Savings Plan Push</v>
      </c>
      <c r="C2859" s="45" t="n">
        <f aca="false">ROUND(MAX(0,'Model Inputs &amp; Assumptions'!$S$33*EXP('Model Inputs &amp; Assumptions'!$T$33*P2859-'Model Inputs &amp; Assumptions'!$T$33^2/2)),0)</f>
        <v>908792</v>
      </c>
      <c r="D2859" s="46" t="n">
        <f aca="false">MIN(1,'Model Inputs &amp; Assumptions'!$U$33*EXP('Model Inputs &amp; Assumptions'!$V$33*Q2859-'Model Inputs &amp; Assumptions'!$V$33^2/2))</f>
        <v>0</v>
      </c>
      <c r="E2859" s="45" t="n">
        <f aca="false">ROUND(C2859*D2859,0)</f>
        <v>0</v>
      </c>
      <c r="F2859" s="47" t="n">
        <f aca="false">MIN(1,'Model Inputs &amp; Assumptions'!$W$33*EXP('Model Inputs &amp; Assumptions'!$X$33*R2859-'Model Inputs &amp; Assumptions'!$X$33^2/2))</f>
        <v>0.00413331962950633</v>
      </c>
      <c r="G2859" s="45" t="n">
        <f aca="false">ROUND(C2859*F2859,0)</f>
        <v>3756</v>
      </c>
      <c r="H2859" s="48" t="n">
        <f aca="false">MAX(0,(C2859*'Model Inputs &amp; Assumptions'!$N$33+E2859*'Model Inputs &amp; Assumptions'!$O$33+G2859*'Model Inputs &amp; Assumptions'!$P$33)*EXP('Model Inputs &amp; Assumptions'!$Q$33*S2859-'Model Inputs &amp; Assumptions'!$Q$33^2/2))</f>
        <v>151.489504690356</v>
      </c>
      <c r="I2859" s="49" t="n">
        <f aca="false">IF('Model Inputs &amp; Assumptions'!$H$33="Fixed",'Model Inputs &amp; Assumptions'!$I$33*'Model Inputs &amp; Assumptions'!$K$33,IF('Model Inputs &amp; Assumptions'!$H$33="CPM",'Model Inputs &amp; Assumptions'!$I$33*'Model Inputs &amp; Assumptions'!$K$33*C2859/1000,IF('Model Inputs &amp; Assumptions'!$H$33="CPC",'Model Inputs &amp; Assumptions'!$I$33*'Model Inputs &amp; Assumptions'!$K$33*G2859,0)))</f>
        <v>25000</v>
      </c>
      <c r="J2859" s="50" t="n">
        <f aca="false">H2859*INDEX('Model Inputs &amp; Assumptions'!$D$40:$D$42,MATCH('Model Inputs &amp; Assumptions'!$L$33,'Model Inputs &amp; Assumptions'!$A$40:$A$42,0))*INDEX('Model Inputs &amp; Assumptions'!$H$40:$H$42,MATCH('Model Inputs &amp; Assumptions'!$L$33,'Model Inputs &amp; Assumptions'!$A$40:$A$42,0))</f>
        <v>818043.325327924</v>
      </c>
      <c r="K2859" s="49" t="n">
        <f aca="false">H2859*INDEX('Model Inputs &amp; Assumptions'!$G$40:$G$42,MATCH('Model Inputs &amp; Assumptions'!$L$33,'Model Inputs &amp; Assumptions'!$A$40:$A$42,0))*INDEX('Model Inputs &amp; Assumptions'!$H$40:$H$42,MATCH('Model Inputs &amp; Assumptions'!$L$33,'Model Inputs &amp; Assumptions'!$A$40:$A$42,0))</f>
        <v>17178.9098318864</v>
      </c>
      <c r="L2859" s="51" t="n">
        <f aca="false">IFERROR(K2859/I2859,0)</f>
        <v>0.687156393275456</v>
      </c>
      <c r="M2859" s="49" t="n">
        <f aca="false">IFERROR(I2859/H2859,0)</f>
        <v>165.027934120584</v>
      </c>
      <c r="N2859" s="52" t="str">
        <f aca="false">'Model Inputs &amp; Assumptions'!$L$33</f>
        <v>PRD-SP01</v>
      </c>
      <c r="P2859" s="53" t="n">
        <v>-0.776535</v>
      </c>
      <c r="Q2859" s="53" t="n">
        <v>0.486053</v>
      </c>
      <c r="R2859" s="53" t="n">
        <v>0.704393</v>
      </c>
      <c r="S2859" s="53" t="n">
        <v>-0.967755</v>
      </c>
    </row>
    <row r="2860" customFormat="false" ht="15" hidden="false" customHeight="false" outlineLevel="0" collapsed="false">
      <c r="A2860" s="43" t="n">
        <v>357</v>
      </c>
      <c r="B2860" s="44" t="str">
        <f aca="false">'Model Inputs &amp; Assumptions'!$B$33</f>
        <v>Trade Republic — Savings Plan Push</v>
      </c>
      <c r="C2860" s="45" t="n">
        <f aca="false">ROUND(MAX(0,'Model Inputs &amp; Assumptions'!$S$33*EXP('Model Inputs &amp; Assumptions'!$T$33*P2860-'Model Inputs &amp; Assumptions'!$T$33^2/2)),0)</f>
        <v>1286501</v>
      </c>
      <c r="D2860" s="46" t="n">
        <f aca="false">MIN(1,'Model Inputs &amp; Assumptions'!$U$33*EXP('Model Inputs &amp; Assumptions'!$V$33*Q2860-'Model Inputs &amp; Assumptions'!$V$33^2/2))</f>
        <v>0</v>
      </c>
      <c r="E2860" s="45" t="n">
        <f aca="false">ROUND(C2860*D2860,0)</f>
        <v>0</v>
      </c>
      <c r="F2860" s="47" t="n">
        <f aca="false">MIN(1,'Model Inputs &amp; Assumptions'!$W$33*EXP('Model Inputs &amp; Assumptions'!$X$33*R2860-'Model Inputs &amp; Assumptions'!$X$33^2/2))</f>
        <v>0.00252871474693073</v>
      </c>
      <c r="G2860" s="45" t="n">
        <f aca="false">ROUND(C2860*F2860,0)</f>
        <v>3253</v>
      </c>
      <c r="H2860" s="48" t="n">
        <f aca="false">MAX(0,(C2860*'Model Inputs &amp; Assumptions'!$N$33+E2860*'Model Inputs &amp; Assumptions'!$O$33+G2860*'Model Inputs &amp; Assumptions'!$P$33)*EXP('Model Inputs &amp; Assumptions'!$Q$33*S2860-'Model Inputs &amp; Assumptions'!$Q$33^2/2))</f>
        <v>154.452998422417</v>
      </c>
      <c r="I2860" s="49" t="n">
        <f aca="false">IF('Model Inputs &amp; Assumptions'!$H$33="Fixed",'Model Inputs &amp; Assumptions'!$I$33*'Model Inputs &amp; Assumptions'!$K$33,IF('Model Inputs &amp; Assumptions'!$H$33="CPM",'Model Inputs &amp; Assumptions'!$I$33*'Model Inputs &amp; Assumptions'!$K$33*C2860/1000,IF('Model Inputs &amp; Assumptions'!$H$33="CPC",'Model Inputs &amp; Assumptions'!$I$33*'Model Inputs &amp; Assumptions'!$K$33*G2860,0)))</f>
        <v>25000</v>
      </c>
      <c r="J2860" s="50" t="n">
        <f aca="false">H2860*INDEX('Model Inputs &amp; Assumptions'!$D$40:$D$42,MATCH('Model Inputs &amp; Assumptions'!$L$33,'Model Inputs &amp; Assumptions'!$A$40:$A$42,0))*INDEX('Model Inputs &amp; Assumptions'!$H$40:$H$42,MATCH('Model Inputs &amp; Assumptions'!$L$33,'Model Inputs &amp; Assumptions'!$A$40:$A$42,0))</f>
        <v>834046.191481051</v>
      </c>
      <c r="K2860" s="49" t="n">
        <f aca="false">H2860*INDEX('Model Inputs &amp; Assumptions'!$G$40:$G$42,MATCH('Model Inputs &amp; Assumptions'!$L$33,'Model Inputs &amp; Assumptions'!$A$40:$A$42,0))*INDEX('Model Inputs &amp; Assumptions'!$H$40:$H$42,MATCH('Model Inputs &amp; Assumptions'!$L$33,'Model Inputs &amp; Assumptions'!$A$40:$A$42,0))</f>
        <v>17514.9700211021</v>
      </c>
      <c r="L2860" s="51" t="n">
        <f aca="false">IFERROR(K2860/I2860,0)</f>
        <v>0.700598800844082</v>
      </c>
      <c r="M2860" s="49" t="n">
        <f aca="false">IFERROR(I2860/H2860,0)</f>
        <v>161.8615388199</v>
      </c>
      <c r="N2860" s="52" t="str">
        <f aca="false">'Model Inputs &amp; Assumptions'!$L$33</f>
        <v>PRD-SP01</v>
      </c>
      <c r="P2860" s="53" t="n">
        <v>0.382014</v>
      </c>
      <c r="Q2860" s="53" t="n">
        <v>0.81698</v>
      </c>
      <c r="R2860" s="53" t="n">
        <v>-0.933506</v>
      </c>
      <c r="S2860" s="53" t="n">
        <v>-0.385075</v>
      </c>
    </row>
    <row r="2861" customFormat="false" ht="15" hidden="false" customHeight="false" outlineLevel="0" collapsed="false">
      <c r="A2861" s="43" t="n">
        <v>358</v>
      </c>
      <c r="B2861" s="44" t="str">
        <f aca="false">'Model Inputs &amp; Assumptions'!$B$33</f>
        <v>Trade Republic — Savings Plan Push</v>
      </c>
      <c r="C2861" s="45" t="n">
        <f aca="false">ROUND(MAX(0,'Model Inputs &amp; Assumptions'!$S$33*EXP('Model Inputs &amp; Assumptions'!$T$33*P2861-'Model Inputs &amp; Assumptions'!$T$33^2/2)),0)</f>
        <v>1105473</v>
      </c>
      <c r="D2861" s="46" t="n">
        <f aca="false">MIN(1,'Model Inputs &amp; Assumptions'!$U$33*EXP('Model Inputs &amp; Assumptions'!$V$33*Q2861-'Model Inputs &amp; Assumptions'!$V$33^2/2))</f>
        <v>0</v>
      </c>
      <c r="E2861" s="45" t="n">
        <f aca="false">ROUND(C2861*D2861,0)</f>
        <v>0</v>
      </c>
      <c r="F2861" s="47" t="n">
        <f aca="false">MIN(1,'Model Inputs &amp; Assumptions'!$W$33*EXP('Model Inputs &amp; Assumptions'!$X$33*R2861-'Model Inputs &amp; Assumptions'!$X$33^2/2))</f>
        <v>0.00302900374521018</v>
      </c>
      <c r="G2861" s="45" t="n">
        <f aca="false">ROUND(C2861*F2861,0)</f>
        <v>3348</v>
      </c>
      <c r="H2861" s="48" t="n">
        <f aca="false">MAX(0,(C2861*'Model Inputs &amp; Assumptions'!$N$33+E2861*'Model Inputs &amp; Assumptions'!$O$33+G2861*'Model Inputs &amp; Assumptions'!$P$33)*EXP('Model Inputs &amp; Assumptions'!$Q$33*S2861-'Model Inputs &amp; Assumptions'!$Q$33^2/2))</f>
        <v>184.722507187117</v>
      </c>
      <c r="I2861" s="49" t="n">
        <f aca="false">IF('Model Inputs &amp; Assumptions'!$H$33="Fixed",'Model Inputs &amp; Assumptions'!$I$33*'Model Inputs &amp; Assumptions'!$K$33,IF('Model Inputs &amp; Assumptions'!$H$33="CPM",'Model Inputs &amp; Assumptions'!$I$33*'Model Inputs &amp; Assumptions'!$K$33*C2861/1000,IF('Model Inputs &amp; Assumptions'!$H$33="CPC",'Model Inputs &amp; Assumptions'!$I$33*'Model Inputs &amp; Assumptions'!$K$33*G2861,0)))</f>
        <v>25000</v>
      </c>
      <c r="J2861" s="50" t="n">
        <f aca="false">H2861*INDEX('Model Inputs &amp; Assumptions'!$D$40:$D$42,MATCH('Model Inputs &amp; Assumptions'!$L$33,'Model Inputs &amp; Assumptions'!$A$40:$A$42,0))*INDEX('Model Inputs &amp; Assumptions'!$H$40:$H$42,MATCH('Model Inputs &amp; Assumptions'!$L$33,'Model Inputs &amp; Assumptions'!$A$40:$A$42,0))</f>
        <v>997501.538810432</v>
      </c>
      <c r="K2861" s="49" t="n">
        <f aca="false">H2861*INDEX('Model Inputs &amp; Assumptions'!$G$40:$G$42,MATCH('Model Inputs &amp; Assumptions'!$L$33,'Model Inputs &amp; Assumptions'!$A$40:$A$42,0))*INDEX('Model Inputs &amp; Assumptions'!$H$40:$H$42,MATCH('Model Inputs &amp; Assumptions'!$L$33,'Model Inputs &amp; Assumptions'!$A$40:$A$42,0))</f>
        <v>20947.5323150191</v>
      </c>
      <c r="L2861" s="51" t="n">
        <f aca="false">IFERROR(K2861/I2861,0)</f>
        <v>0.837901292600763</v>
      </c>
      <c r="M2861" s="49" t="n">
        <f aca="false">IFERROR(I2861/H2861,0)</f>
        <v>135.33813708297</v>
      </c>
      <c r="N2861" s="52" t="str">
        <f aca="false">'Model Inputs &amp; Assumptions'!$L$33</f>
        <v>PRD-SP01</v>
      </c>
      <c r="P2861" s="53" t="n">
        <v>-0.123495</v>
      </c>
      <c r="Q2861" s="53" t="n">
        <v>1.09466</v>
      </c>
      <c r="R2861" s="53" t="n">
        <v>-0.331764</v>
      </c>
      <c r="S2861" s="53" t="n">
        <v>0.15128</v>
      </c>
    </row>
    <row r="2862" customFormat="false" ht="15" hidden="false" customHeight="false" outlineLevel="0" collapsed="false">
      <c r="A2862" s="43" t="n">
        <v>359</v>
      </c>
      <c r="B2862" s="44" t="str">
        <f aca="false">'Model Inputs &amp; Assumptions'!$B$33</f>
        <v>Trade Republic — Savings Plan Push</v>
      </c>
      <c r="C2862" s="45" t="n">
        <f aca="false">ROUND(MAX(0,'Model Inputs &amp; Assumptions'!$S$33*EXP('Model Inputs &amp; Assumptions'!$T$33*P2862-'Model Inputs &amp; Assumptions'!$T$33^2/2)),0)</f>
        <v>1194488</v>
      </c>
      <c r="D2862" s="46" t="n">
        <f aca="false">MIN(1,'Model Inputs &amp; Assumptions'!$U$33*EXP('Model Inputs &amp; Assumptions'!$V$33*Q2862-'Model Inputs &amp; Assumptions'!$V$33^2/2))</f>
        <v>0</v>
      </c>
      <c r="E2862" s="45" t="n">
        <f aca="false">ROUND(C2862*D2862,0)</f>
        <v>0</v>
      </c>
      <c r="F2862" s="47" t="n">
        <f aca="false">MIN(1,'Model Inputs &amp; Assumptions'!$W$33*EXP('Model Inputs &amp; Assumptions'!$X$33*R2862-'Model Inputs &amp; Assumptions'!$X$33^2/2))</f>
        <v>0.00405310911167048</v>
      </c>
      <c r="G2862" s="45" t="n">
        <f aca="false">ROUND(C2862*F2862,0)</f>
        <v>4841</v>
      </c>
      <c r="H2862" s="48" t="n">
        <f aca="false">MAX(0,(C2862*'Model Inputs &amp; Assumptions'!$N$33+E2862*'Model Inputs &amp; Assumptions'!$O$33+G2862*'Model Inputs &amp; Assumptions'!$P$33)*EXP('Model Inputs &amp; Assumptions'!$Q$33*S2862-'Model Inputs &amp; Assumptions'!$Q$33^2/2))</f>
        <v>142.98119186499</v>
      </c>
      <c r="I2862" s="49" t="n">
        <f aca="false">IF('Model Inputs &amp; Assumptions'!$H$33="Fixed",'Model Inputs &amp; Assumptions'!$I$33*'Model Inputs &amp; Assumptions'!$K$33,IF('Model Inputs &amp; Assumptions'!$H$33="CPM",'Model Inputs &amp; Assumptions'!$I$33*'Model Inputs &amp; Assumptions'!$K$33*C2862/1000,IF('Model Inputs &amp; Assumptions'!$H$33="CPC",'Model Inputs &amp; Assumptions'!$I$33*'Model Inputs &amp; Assumptions'!$K$33*G2862,0)))</f>
        <v>25000</v>
      </c>
      <c r="J2862" s="50" t="n">
        <f aca="false">H2862*INDEX('Model Inputs &amp; Assumptions'!$D$40:$D$42,MATCH('Model Inputs &amp; Assumptions'!$L$33,'Model Inputs &amp; Assumptions'!$A$40:$A$42,0))*INDEX('Model Inputs &amp; Assumptions'!$H$40:$H$42,MATCH('Model Inputs &amp; Assumptions'!$L$33,'Model Inputs &amp; Assumptions'!$A$40:$A$42,0))</f>
        <v>772098.436070944</v>
      </c>
      <c r="K2862" s="49" t="n">
        <f aca="false">H2862*INDEX('Model Inputs &amp; Assumptions'!$G$40:$G$42,MATCH('Model Inputs &amp; Assumptions'!$L$33,'Model Inputs &amp; Assumptions'!$A$40:$A$42,0))*INDEX('Model Inputs &amp; Assumptions'!$H$40:$H$42,MATCH('Model Inputs &amp; Assumptions'!$L$33,'Model Inputs &amp; Assumptions'!$A$40:$A$42,0))</f>
        <v>16214.0671574898</v>
      </c>
      <c r="L2862" s="51" t="n">
        <f aca="false">IFERROR(K2862/I2862,0)</f>
        <v>0.648562686299593</v>
      </c>
      <c r="M2862" s="49" t="n">
        <f aca="false">IFERROR(I2862/H2862,0)</f>
        <v>174.848171804347</v>
      </c>
      <c r="N2862" s="52" t="str">
        <f aca="false">'Model Inputs &amp; Assumptions'!$L$33</f>
        <v>PRD-SP01</v>
      </c>
      <c r="P2862" s="53" t="n">
        <v>0.134654</v>
      </c>
      <c r="Q2862" s="53" t="n">
        <v>0.458856</v>
      </c>
      <c r="R2862" s="53" t="n">
        <v>0.639071</v>
      </c>
      <c r="S2862" s="53" t="n">
        <v>-2.080505</v>
      </c>
    </row>
    <row r="2863" customFormat="false" ht="15" hidden="false" customHeight="false" outlineLevel="0" collapsed="false">
      <c r="A2863" s="43" t="n">
        <v>360</v>
      </c>
      <c r="B2863" s="44" t="str">
        <f aca="false">'Model Inputs &amp; Assumptions'!$B$33</f>
        <v>Trade Republic — Savings Plan Push</v>
      </c>
      <c r="C2863" s="45" t="n">
        <f aca="false">ROUND(MAX(0,'Model Inputs &amp; Assumptions'!$S$33*EXP('Model Inputs &amp; Assumptions'!$T$33*P2863-'Model Inputs &amp; Assumptions'!$T$33^2/2)),0)</f>
        <v>1234131</v>
      </c>
      <c r="D2863" s="46" t="n">
        <f aca="false">MIN(1,'Model Inputs &amp; Assumptions'!$U$33*EXP('Model Inputs &amp; Assumptions'!$V$33*Q2863-'Model Inputs &amp; Assumptions'!$V$33^2/2))</f>
        <v>0</v>
      </c>
      <c r="E2863" s="45" t="n">
        <f aca="false">ROUND(C2863*D2863,0)</f>
        <v>0</v>
      </c>
      <c r="F2863" s="47" t="n">
        <f aca="false">MIN(1,'Model Inputs &amp; Assumptions'!$W$33*EXP('Model Inputs &amp; Assumptions'!$X$33*R2863-'Model Inputs &amp; Assumptions'!$X$33^2/2))</f>
        <v>0.00240193573495957</v>
      </c>
      <c r="G2863" s="45" t="n">
        <f aca="false">ROUND(C2863*F2863,0)</f>
        <v>2964</v>
      </c>
      <c r="H2863" s="48" t="n">
        <f aca="false">MAX(0,(C2863*'Model Inputs &amp; Assumptions'!$N$33+E2863*'Model Inputs &amp; Assumptions'!$O$33+G2863*'Model Inputs &amp; Assumptions'!$P$33)*EXP('Model Inputs &amp; Assumptions'!$Q$33*S2863-'Model Inputs &amp; Assumptions'!$Q$33^2/2))</f>
        <v>227.680646230701</v>
      </c>
      <c r="I2863" s="49" t="n">
        <f aca="false">IF('Model Inputs &amp; Assumptions'!$H$33="Fixed",'Model Inputs &amp; Assumptions'!$I$33*'Model Inputs &amp; Assumptions'!$K$33,IF('Model Inputs &amp; Assumptions'!$H$33="CPM",'Model Inputs &amp; Assumptions'!$I$33*'Model Inputs &amp; Assumptions'!$K$33*C2863/1000,IF('Model Inputs &amp; Assumptions'!$H$33="CPC",'Model Inputs &amp; Assumptions'!$I$33*'Model Inputs &amp; Assumptions'!$K$33*G2863,0)))</f>
        <v>25000</v>
      </c>
      <c r="J2863" s="50" t="n">
        <f aca="false">H2863*INDEX('Model Inputs &amp; Assumptions'!$D$40:$D$42,MATCH('Model Inputs &amp; Assumptions'!$L$33,'Model Inputs &amp; Assumptions'!$A$40:$A$42,0))*INDEX('Model Inputs &amp; Assumptions'!$H$40:$H$42,MATCH('Model Inputs &amp; Assumptions'!$L$33,'Model Inputs &amp; Assumptions'!$A$40:$A$42,0))</f>
        <v>1229475.48964578</v>
      </c>
      <c r="K2863" s="49" t="n">
        <f aca="false">H2863*INDEX('Model Inputs &amp; Assumptions'!$G$40:$G$42,MATCH('Model Inputs &amp; Assumptions'!$L$33,'Model Inputs &amp; Assumptions'!$A$40:$A$42,0))*INDEX('Model Inputs &amp; Assumptions'!$H$40:$H$42,MATCH('Model Inputs &amp; Assumptions'!$L$33,'Model Inputs &amp; Assumptions'!$A$40:$A$42,0))</f>
        <v>25818.9852825614</v>
      </c>
      <c r="L2863" s="51" t="n">
        <f aca="false">IFERROR(K2863/I2863,0)</f>
        <v>1.03275941130246</v>
      </c>
      <c r="M2863" s="49" t="n">
        <f aca="false">IFERROR(I2863/H2863,0)</f>
        <v>109.802920950375</v>
      </c>
      <c r="N2863" s="52" t="str">
        <f aca="false">'Model Inputs &amp; Assumptions'!$L$33</f>
        <v>PRD-SP01</v>
      </c>
      <c r="P2863" s="53" t="n">
        <v>0.243485</v>
      </c>
      <c r="Q2863" s="53" t="n">
        <v>0.19407</v>
      </c>
      <c r="R2863" s="53" t="n">
        <v>-1.10496</v>
      </c>
      <c r="S2863" s="53" t="n">
        <v>1.333111</v>
      </c>
    </row>
    <row r="2864" customFormat="false" ht="15" hidden="false" customHeight="false" outlineLevel="0" collapsed="false">
      <c r="A2864" s="43" t="n">
        <v>361</v>
      </c>
      <c r="B2864" s="44" t="str">
        <f aca="false">'Model Inputs &amp; Assumptions'!$B$33</f>
        <v>Trade Republic — Savings Plan Push</v>
      </c>
      <c r="C2864" s="45" t="n">
        <f aca="false">ROUND(MAX(0,'Model Inputs &amp; Assumptions'!$S$33*EXP('Model Inputs &amp; Assumptions'!$T$33*P2864-'Model Inputs &amp; Assumptions'!$T$33^2/2)),0)</f>
        <v>745313</v>
      </c>
      <c r="D2864" s="46" t="n">
        <f aca="false">MIN(1,'Model Inputs &amp; Assumptions'!$U$33*EXP('Model Inputs &amp; Assumptions'!$V$33*Q2864-'Model Inputs &amp; Assumptions'!$V$33^2/2))</f>
        <v>0</v>
      </c>
      <c r="E2864" s="45" t="n">
        <f aca="false">ROUND(C2864*D2864,0)</f>
        <v>0</v>
      </c>
      <c r="F2864" s="47" t="n">
        <f aca="false">MIN(1,'Model Inputs &amp; Assumptions'!$W$33*EXP('Model Inputs &amp; Assumptions'!$X$33*R2864-'Model Inputs &amp; Assumptions'!$X$33^2/2))</f>
        <v>0.00172982313381678</v>
      </c>
      <c r="G2864" s="45" t="n">
        <f aca="false">ROUND(C2864*F2864,0)</f>
        <v>1289</v>
      </c>
      <c r="H2864" s="48" t="n">
        <f aca="false">MAX(0,(C2864*'Model Inputs &amp; Assumptions'!$N$33+E2864*'Model Inputs &amp; Assumptions'!$O$33+G2864*'Model Inputs &amp; Assumptions'!$P$33)*EXP('Model Inputs &amp; Assumptions'!$Q$33*S2864-'Model Inputs &amp; Assumptions'!$Q$33^2/2))</f>
        <v>94.7067645676524</v>
      </c>
      <c r="I2864" s="49" t="n">
        <f aca="false">IF('Model Inputs &amp; Assumptions'!$H$33="Fixed",'Model Inputs &amp; Assumptions'!$I$33*'Model Inputs &amp; Assumptions'!$K$33,IF('Model Inputs &amp; Assumptions'!$H$33="CPM",'Model Inputs &amp; Assumptions'!$I$33*'Model Inputs &amp; Assumptions'!$K$33*C2864/1000,IF('Model Inputs &amp; Assumptions'!$H$33="CPC",'Model Inputs &amp; Assumptions'!$I$33*'Model Inputs &amp; Assumptions'!$K$33*G2864,0)))</f>
        <v>25000</v>
      </c>
      <c r="J2864" s="50" t="n">
        <f aca="false">H2864*INDEX('Model Inputs &amp; Assumptions'!$D$40:$D$42,MATCH('Model Inputs &amp; Assumptions'!$L$33,'Model Inputs &amp; Assumptions'!$A$40:$A$42,0))*INDEX('Model Inputs &amp; Assumptions'!$H$40:$H$42,MATCH('Model Inputs &amp; Assumptions'!$L$33,'Model Inputs &amp; Assumptions'!$A$40:$A$42,0))</f>
        <v>511416.528665323</v>
      </c>
      <c r="K2864" s="49" t="n">
        <f aca="false">H2864*INDEX('Model Inputs &amp; Assumptions'!$G$40:$G$42,MATCH('Model Inputs &amp; Assumptions'!$L$33,'Model Inputs &amp; Assumptions'!$A$40:$A$42,0))*INDEX('Model Inputs &amp; Assumptions'!$H$40:$H$42,MATCH('Model Inputs &amp; Assumptions'!$L$33,'Model Inputs &amp; Assumptions'!$A$40:$A$42,0))</f>
        <v>10739.7471019718</v>
      </c>
      <c r="L2864" s="51" t="n">
        <f aca="false">IFERROR(K2864/I2864,0)</f>
        <v>0.429589884078872</v>
      </c>
      <c r="M2864" s="49" t="n">
        <f aca="false">IFERROR(I2864/H2864,0)</f>
        <v>263.972696291843</v>
      </c>
      <c r="N2864" s="52" t="str">
        <f aca="false">'Model Inputs &amp; Assumptions'!$L$33</f>
        <v>PRD-SP01</v>
      </c>
      <c r="P2864" s="53" t="n">
        <v>-1.437575</v>
      </c>
      <c r="Q2864" s="53" t="n">
        <v>1.427545</v>
      </c>
      <c r="R2864" s="53" t="n">
        <v>-2.199146</v>
      </c>
      <c r="S2864" s="53" t="n">
        <v>1.174234</v>
      </c>
    </row>
    <row r="2865" customFormat="false" ht="15" hidden="false" customHeight="false" outlineLevel="0" collapsed="false">
      <c r="A2865" s="43" t="n">
        <v>362</v>
      </c>
      <c r="B2865" s="44" t="str">
        <f aca="false">'Model Inputs &amp; Assumptions'!$B$33</f>
        <v>Trade Republic — Savings Plan Push</v>
      </c>
      <c r="C2865" s="45" t="n">
        <f aca="false">ROUND(MAX(0,'Model Inputs &amp; Assumptions'!$S$33*EXP('Model Inputs &amp; Assumptions'!$T$33*P2865-'Model Inputs &amp; Assumptions'!$T$33^2/2)),0)</f>
        <v>711957</v>
      </c>
      <c r="D2865" s="46" t="n">
        <f aca="false">MIN(1,'Model Inputs &amp; Assumptions'!$U$33*EXP('Model Inputs &amp; Assumptions'!$V$33*Q2865-'Model Inputs &amp; Assumptions'!$V$33^2/2))</f>
        <v>0</v>
      </c>
      <c r="E2865" s="45" t="n">
        <f aca="false">ROUND(C2865*D2865,0)</f>
        <v>0</v>
      </c>
      <c r="F2865" s="47" t="n">
        <f aca="false">MIN(1,'Model Inputs &amp; Assumptions'!$W$33*EXP('Model Inputs &amp; Assumptions'!$X$33*R2865-'Model Inputs &amp; Assumptions'!$X$33^2/2))</f>
        <v>0.00364870083455312</v>
      </c>
      <c r="G2865" s="45" t="n">
        <f aca="false">ROUND(C2865*F2865,0)</f>
        <v>2598</v>
      </c>
      <c r="H2865" s="48" t="n">
        <f aca="false">MAX(0,(C2865*'Model Inputs &amp; Assumptions'!$N$33+E2865*'Model Inputs &amp; Assumptions'!$O$33+G2865*'Model Inputs &amp; Assumptions'!$P$33)*EXP('Model Inputs &amp; Assumptions'!$Q$33*S2865-'Model Inputs &amp; Assumptions'!$Q$33^2/2))</f>
        <v>155.578829218581</v>
      </c>
      <c r="I2865" s="49" t="n">
        <f aca="false">IF('Model Inputs &amp; Assumptions'!$H$33="Fixed",'Model Inputs &amp; Assumptions'!$I$33*'Model Inputs &amp; Assumptions'!$K$33,IF('Model Inputs &amp; Assumptions'!$H$33="CPM",'Model Inputs &amp; Assumptions'!$I$33*'Model Inputs &amp; Assumptions'!$K$33*C2865/1000,IF('Model Inputs &amp; Assumptions'!$H$33="CPC",'Model Inputs &amp; Assumptions'!$I$33*'Model Inputs &amp; Assumptions'!$K$33*G2865,0)))</f>
        <v>25000</v>
      </c>
      <c r="J2865" s="50" t="n">
        <f aca="false">H2865*INDEX('Model Inputs &amp; Assumptions'!$D$40:$D$42,MATCH('Model Inputs &amp; Assumptions'!$L$33,'Model Inputs &amp; Assumptions'!$A$40:$A$42,0))*INDEX('Model Inputs &amp; Assumptions'!$H$40:$H$42,MATCH('Model Inputs &amp; Assumptions'!$L$33,'Model Inputs &amp; Assumptions'!$A$40:$A$42,0))</f>
        <v>840125.67778034</v>
      </c>
      <c r="K2865" s="49" t="n">
        <f aca="false">H2865*INDEX('Model Inputs &amp; Assumptions'!$G$40:$G$42,MATCH('Model Inputs &amp; Assumptions'!$L$33,'Model Inputs &amp; Assumptions'!$A$40:$A$42,0))*INDEX('Model Inputs &amp; Assumptions'!$H$40:$H$42,MATCH('Model Inputs &amp; Assumptions'!$L$33,'Model Inputs &amp; Assumptions'!$A$40:$A$42,0))</f>
        <v>17642.6392333871</v>
      </c>
      <c r="L2865" s="51" t="n">
        <f aca="false">IFERROR(K2865/I2865,0)</f>
        <v>0.705705569335485</v>
      </c>
      <c r="M2865" s="49" t="n">
        <f aca="false">IFERROR(I2865/H2865,0)</f>
        <v>160.69024381766</v>
      </c>
      <c r="N2865" s="52" t="str">
        <f aca="false">'Model Inputs &amp; Assumptions'!$L$33</f>
        <v>PRD-SP01</v>
      </c>
      <c r="P2865" s="53" t="n">
        <v>-1.590199</v>
      </c>
      <c r="Q2865" s="53" t="n">
        <v>-0.40517</v>
      </c>
      <c r="R2865" s="53" t="n">
        <v>0.288694</v>
      </c>
      <c r="S2865" s="53" t="n">
        <v>0.443848</v>
      </c>
    </row>
    <row r="2866" customFormat="false" ht="15" hidden="false" customHeight="false" outlineLevel="0" collapsed="false">
      <c r="A2866" s="43" t="n">
        <v>363</v>
      </c>
      <c r="B2866" s="44" t="str">
        <f aca="false">'Model Inputs &amp; Assumptions'!$B$33</f>
        <v>Trade Republic — Savings Plan Push</v>
      </c>
      <c r="C2866" s="45" t="n">
        <f aca="false">ROUND(MAX(0,'Model Inputs &amp; Assumptions'!$S$33*EXP('Model Inputs &amp; Assumptions'!$T$33*P2866-'Model Inputs &amp; Assumptions'!$T$33^2/2)),0)</f>
        <v>861426</v>
      </c>
      <c r="D2866" s="46" t="n">
        <f aca="false">MIN(1,'Model Inputs &amp; Assumptions'!$U$33*EXP('Model Inputs &amp; Assumptions'!$V$33*Q2866-'Model Inputs &amp; Assumptions'!$V$33^2/2))</f>
        <v>0</v>
      </c>
      <c r="E2866" s="45" t="n">
        <f aca="false">ROUND(C2866*D2866,0)</f>
        <v>0</v>
      </c>
      <c r="F2866" s="47" t="n">
        <f aca="false">MIN(1,'Model Inputs &amp; Assumptions'!$W$33*EXP('Model Inputs &amp; Assumptions'!$X$33*R2866-'Model Inputs &amp; Assumptions'!$X$33^2/2))</f>
        <v>0.00472186745452722</v>
      </c>
      <c r="G2866" s="45" t="n">
        <f aca="false">ROUND(C2866*F2866,0)</f>
        <v>4068</v>
      </c>
      <c r="H2866" s="48" t="n">
        <f aca="false">MAX(0,(C2866*'Model Inputs &amp; Assumptions'!$N$33+E2866*'Model Inputs &amp; Assumptions'!$O$33+G2866*'Model Inputs &amp; Assumptions'!$P$33)*EXP('Model Inputs &amp; Assumptions'!$Q$33*S2866-'Model Inputs &amp; Assumptions'!$Q$33^2/2))</f>
        <v>113.107329151021</v>
      </c>
      <c r="I2866" s="49" t="n">
        <f aca="false">IF('Model Inputs &amp; Assumptions'!$H$33="Fixed",'Model Inputs &amp; Assumptions'!$I$33*'Model Inputs &amp; Assumptions'!$K$33,IF('Model Inputs &amp; Assumptions'!$H$33="CPM",'Model Inputs &amp; Assumptions'!$I$33*'Model Inputs &amp; Assumptions'!$K$33*C2866/1000,IF('Model Inputs &amp; Assumptions'!$H$33="CPC",'Model Inputs &amp; Assumptions'!$I$33*'Model Inputs &amp; Assumptions'!$K$33*G2866,0)))</f>
        <v>25000</v>
      </c>
      <c r="J2866" s="50" t="n">
        <f aca="false">H2866*INDEX('Model Inputs &amp; Assumptions'!$D$40:$D$42,MATCH('Model Inputs &amp; Assumptions'!$L$33,'Model Inputs &amp; Assumptions'!$A$40:$A$42,0))*INDEX('Model Inputs &amp; Assumptions'!$H$40:$H$42,MATCH('Model Inputs &amp; Assumptions'!$L$33,'Model Inputs &amp; Assumptions'!$A$40:$A$42,0))</f>
        <v>610779.577415513</v>
      </c>
      <c r="K2866" s="49" t="n">
        <f aca="false">H2866*INDEX('Model Inputs &amp; Assumptions'!$G$40:$G$42,MATCH('Model Inputs &amp; Assumptions'!$L$33,'Model Inputs &amp; Assumptions'!$A$40:$A$42,0))*INDEX('Model Inputs &amp; Assumptions'!$H$40:$H$42,MATCH('Model Inputs &amp; Assumptions'!$L$33,'Model Inputs &amp; Assumptions'!$A$40:$A$42,0))</f>
        <v>12826.3711257258</v>
      </c>
      <c r="L2866" s="51" t="n">
        <f aca="false">IFERROR(K2866/I2866,0)</f>
        <v>0.513054845029031</v>
      </c>
      <c r="M2866" s="49" t="n">
        <f aca="false">IFERROR(I2866/H2866,0)</f>
        <v>221.029001282667</v>
      </c>
      <c r="N2866" s="52" t="str">
        <f aca="false">'Model Inputs &amp; Assumptions'!$L$33</f>
        <v>PRD-SP01</v>
      </c>
      <c r="P2866" s="53" t="n">
        <v>-0.954959</v>
      </c>
      <c r="Q2866" s="53" t="n">
        <v>0.40197</v>
      </c>
      <c r="R2866" s="53" t="n">
        <v>1.148138</v>
      </c>
      <c r="S2866" s="53" t="n">
        <v>-2.296241</v>
      </c>
    </row>
    <row r="2867" customFormat="false" ht="15" hidden="false" customHeight="false" outlineLevel="0" collapsed="false">
      <c r="A2867" s="43" t="n">
        <v>364</v>
      </c>
      <c r="B2867" s="44" t="str">
        <f aca="false">'Model Inputs &amp; Assumptions'!$B$33</f>
        <v>Trade Republic — Savings Plan Push</v>
      </c>
      <c r="C2867" s="45" t="n">
        <f aca="false">ROUND(MAX(0,'Model Inputs &amp; Assumptions'!$S$33*EXP('Model Inputs &amp; Assumptions'!$T$33*P2867-'Model Inputs &amp; Assumptions'!$T$33^2/2)),0)</f>
        <v>835761</v>
      </c>
      <c r="D2867" s="46" t="n">
        <f aca="false">MIN(1,'Model Inputs &amp; Assumptions'!$U$33*EXP('Model Inputs &amp; Assumptions'!$V$33*Q2867-'Model Inputs &amp; Assumptions'!$V$33^2/2))</f>
        <v>0</v>
      </c>
      <c r="E2867" s="45" t="n">
        <f aca="false">ROUND(C2867*D2867,0)</f>
        <v>0</v>
      </c>
      <c r="F2867" s="47" t="n">
        <f aca="false">MIN(1,'Model Inputs &amp; Assumptions'!$W$33*EXP('Model Inputs &amp; Assumptions'!$X$33*R2867-'Model Inputs &amp; Assumptions'!$X$33^2/2))</f>
        <v>0.00239454173097893</v>
      </c>
      <c r="G2867" s="45" t="n">
        <f aca="false">ROUND(C2867*F2867,0)</f>
        <v>2001</v>
      </c>
      <c r="H2867" s="48" t="n">
        <f aca="false">MAX(0,(C2867*'Model Inputs &amp; Assumptions'!$N$33+E2867*'Model Inputs &amp; Assumptions'!$O$33+G2867*'Model Inputs &amp; Assumptions'!$P$33)*EXP('Model Inputs &amp; Assumptions'!$Q$33*S2867-'Model Inputs &amp; Assumptions'!$Q$33^2/2))</f>
        <v>151.087485140317</v>
      </c>
      <c r="I2867" s="49" t="n">
        <f aca="false">IF('Model Inputs &amp; Assumptions'!$H$33="Fixed",'Model Inputs &amp; Assumptions'!$I$33*'Model Inputs &amp; Assumptions'!$K$33,IF('Model Inputs &amp; Assumptions'!$H$33="CPM",'Model Inputs &amp; Assumptions'!$I$33*'Model Inputs &amp; Assumptions'!$K$33*C2867/1000,IF('Model Inputs &amp; Assumptions'!$H$33="CPC",'Model Inputs &amp; Assumptions'!$I$33*'Model Inputs &amp; Assumptions'!$K$33*G2867,0)))</f>
        <v>25000</v>
      </c>
      <c r="J2867" s="50" t="n">
        <f aca="false">H2867*INDEX('Model Inputs &amp; Assumptions'!$D$40:$D$42,MATCH('Model Inputs &amp; Assumptions'!$L$33,'Model Inputs &amp; Assumptions'!$A$40:$A$42,0))*INDEX('Model Inputs &amp; Assumptions'!$H$40:$H$42,MATCH('Model Inputs &amp; Assumptions'!$L$33,'Model Inputs &amp; Assumptions'!$A$40:$A$42,0))</f>
        <v>815872.419757713</v>
      </c>
      <c r="K2867" s="49" t="n">
        <f aca="false">H2867*INDEX('Model Inputs &amp; Assumptions'!$G$40:$G$42,MATCH('Model Inputs &amp; Assumptions'!$L$33,'Model Inputs &amp; Assumptions'!$A$40:$A$42,0))*INDEX('Model Inputs &amp; Assumptions'!$H$40:$H$42,MATCH('Model Inputs &amp; Assumptions'!$L$33,'Model Inputs &amp; Assumptions'!$A$40:$A$42,0))</f>
        <v>17133.320814912</v>
      </c>
      <c r="L2867" s="51" t="n">
        <f aca="false">IFERROR(K2867/I2867,0)</f>
        <v>0.685332832596479</v>
      </c>
      <c r="M2867" s="49" t="n">
        <f aca="false">IFERROR(I2867/H2867,0)</f>
        <v>165.467046968067</v>
      </c>
      <c r="N2867" s="52" t="str">
        <f aca="false">'Model Inputs &amp; Assumptions'!$L$33</f>
        <v>PRD-SP01</v>
      </c>
      <c r="P2867" s="53" t="n">
        <v>-1.055781</v>
      </c>
      <c r="Q2867" s="53" t="n">
        <v>-0.525569</v>
      </c>
      <c r="R2867" s="53" t="n">
        <v>-1.115237</v>
      </c>
      <c r="S2867" s="53" t="n">
        <v>1.27171</v>
      </c>
    </row>
    <row r="2868" customFormat="false" ht="15" hidden="false" customHeight="false" outlineLevel="0" collapsed="false">
      <c r="A2868" s="43" t="n">
        <v>365</v>
      </c>
      <c r="B2868" s="44" t="str">
        <f aca="false">'Model Inputs &amp; Assumptions'!$B$33</f>
        <v>Trade Republic — Savings Plan Push</v>
      </c>
      <c r="C2868" s="45" t="n">
        <f aca="false">ROUND(MAX(0,'Model Inputs &amp; Assumptions'!$S$33*EXP('Model Inputs &amp; Assumptions'!$T$33*P2868-'Model Inputs &amp; Assumptions'!$T$33^2/2)),0)</f>
        <v>1260036</v>
      </c>
      <c r="D2868" s="46" t="n">
        <f aca="false">MIN(1,'Model Inputs &amp; Assumptions'!$U$33*EXP('Model Inputs &amp; Assumptions'!$V$33*Q2868-'Model Inputs &amp; Assumptions'!$V$33^2/2))</f>
        <v>0</v>
      </c>
      <c r="E2868" s="45" t="n">
        <f aca="false">ROUND(C2868*D2868,0)</f>
        <v>0</v>
      </c>
      <c r="F2868" s="47" t="n">
        <f aca="false">MIN(1,'Model Inputs &amp; Assumptions'!$W$33*EXP('Model Inputs &amp; Assumptions'!$X$33*R2868-'Model Inputs &amp; Assumptions'!$X$33^2/2))</f>
        <v>0.00319336387828981</v>
      </c>
      <c r="G2868" s="45" t="n">
        <f aca="false">ROUND(C2868*F2868,0)</f>
        <v>4024</v>
      </c>
      <c r="H2868" s="48" t="n">
        <f aca="false">MAX(0,(C2868*'Model Inputs &amp; Assumptions'!$N$33+E2868*'Model Inputs &amp; Assumptions'!$O$33+G2868*'Model Inputs &amp; Assumptions'!$P$33)*EXP('Model Inputs &amp; Assumptions'!$Q$33*S2868-'Model Inputs &amp; Assumptions'!$Q$33^2/2))</f>
        <v>316.694079185846</v>
      </c>
      <c r="I2868" s="49" t="n">
        <f aca="false">IF('Model Inputs &amp; Assumptions'!$H$33="Fixed",'Model Inputs &amp; Assumptions'!$I$33*'Model Inputs &amp; Assumptions'!$K$33,IF('Model Inputs &amp; Assumptions'!$H$33="CPM",'Model Inputs &amp; Assumptions'!$I$33*'Model Inputs &amp; Assumptions'!$K$33*C2868/1000,IF('Model Inputs &amp; Assumptions'!$H$33="CPC",'Model Inputs &amp; Assumptions'!$I$33*'Model Inputs &amp; Assumptions'!$K$33*G2868,0)))</f>
        <v>25000</v>
      </c>
      <c r="J2868" s="50" t="n">
        <f aca="false">H2868*INDEX('Model Inputs &amp; Assumptions'!$D$40:$D$42,MATCH('Model Inputs &amp; Assumptions'!$L$33,'Model Inputs &amp; Assumptions'!$A$40:$A$42,0))*INDEX('Model Inputs &amp; Assumptions'!$H$40:$H$42,MATCH('Model Inputs &amp; Assumptions'!$L$33,'Model Inputs &amp; Assumptions'!$A$40:$A$42,0))</f>
        <v>1710148.02760357</v>
      </c>
      <c r="K2868" s="49" t="n">
        <f aca="false">H2868*INDEX('Model Inputs &amp; Assumptions'!$G$40:$G$42,MATCH('Model Inputs &amp; Assumptions'!$L$33,'Model Inputs &amp; Assumptions'!$A$40:$A$42,0))*INDEX('Model Inputs &amp; Assumptions'!$H$40:$H$42,MATCH('Model Inputs &amp; Assumptions'!$L$33,'Model Inputs &amp; Assumptions'!$A$40:$A$42,0))</f>
        <v>35913.1085796749</v>
      </c>
      <c r="L2868" s="51" t="n">
        <f aca="false">IFERROR(K2868/I2868,0)</f>
        <v>1.436524343187</v>
      </c>
      <c r="M2868" s="49" t="n">
        <f aca="false">IFERROR(I2868/H2868,0)</f>
        <v>78.9405348665494</v>
      </c>
      <c r="N2868" s="52" t="str">
        <f aca="false">'Model Inputs &amp; Assumptions'!$L$33</f>
        <v>PRD-SP01</v>
      </c>
      <c r="P2868" s="53" t="n">
        <v>0.312729</v>
      </c>
      <c r="Q2868" s="53" t="n">
        <v>0.08815</v>
      </c>
      <c r="R2868" s="53" t="n">
        <v>-0.155627</v>
      </c>
      <c r="S2868" s="53" t="n">
        <v>1.419738</v>
      </c>
    </row>
    <row r="2869" customFormat="false" ht="15" hidden="false" customHeight="false" outlineLevel="0" collapsed="false">
      <c r="A2869" s="43" t="n">
        <v>366</v>
      </c>
      <c r="B2869" s="44" t="str">
        <f aca="false">'Model Inputs &amp; Assumptions'!$B$33</f>
        <v>Trade Republic — Savings Plan Push</v>
      </c>
      <c r="C2869" s="45" t="n">
        <f aca="false">ROUND(MAX(0,'Model Inputs &amp; Assumptions'!$S$33*EXP('Model Inputs &amp; Assumptions'!$T$33*P2869-'Model Inputs &amp; Assumptions'!$T$33^2/2)),0)</f>
        <v>924785</v>
      </c>
      <c r="D2869" s="46" t="n">
        <f aca="false">MIN(1,'Model Inputs &amp; Assumptions'!$U$33*EXP('Model Inputs &amp; Assumptions'!$V$33*Q2869-'Model Inputs &amp; Assumptions'!$V$33^2/2))</f>
        <v>0</v>
      </c>
      <c r="E2869" s="45" t="n">
        <f aca="false">ROUND(C2869*D2869,0)</f>
        <v>0</v>
      </c>
      <c r="F2869" s="47" t="n">
        <f aca="false">MIN(1,'Model Inputs &amp; Assumptions'!$W$33*EXP('Model Inputs &amp; Assumptions'!$X$33*R2869-'Model Inputs &amp; Assumptions'!$X$33^2/2))</f>
        <v>0.00401821698630715</v>
      </c>
      <c r="G2869" s="45" t="n">
        <f aca="false">ROUND(C2869*F2869,0)</f>
        <v>3716</v>
      </c>
      <c r="H2869" s="48" t="n">
        <f aca="false">MAX(0,(C2869*'Model Inputs &amp; Assumptions'!$N$33+E2869*'Model Inputs &amp; Assumptions'!$O$33+G2869*'Model Inputs &amp; Assumptions'!$P$33)*EXP('Model Inputs &amp; Assumptions'!$Q$33*S2869-'Model Inputs &amp; Assumptions'!$Q$33^2/2))</f>
        <v>229.756719125114</v>
      </c>
      <c r="I2869" s="49" t="n">
        <f aca="false">IF('Model Inputs &amp; Assumptions'!$H$33="Fixed",'Model Inputs &amp; Assumptions'!$I$33*'Model Inputs &amp; Assumptions'!$K$33,IF('Model Inputs &amp; Assumptions'!$H$33="CPM",'Model Inputs &amp; Assumptions'!$I$33*'Model Inputs &amp; Assumptions'!$K$33*C2869/1000,IF('Model Inputs &amp; Assumptions'!$H$33="CPC",'Model Inputs &amp; Assumptions'!$I$33*'Model Inputs &amp; Assumptions'!$K$33*G2869,0)))</f>
        <v>25000</v>
      </c>
      <c r="J2869" s="50" t="n">
        <f aca="false">H2869*INDEX('Model Inputs &amp; Assumptions'!$D$40:$D$42,MATCH('Model Inputs &amp; Assumptions'!$L$33,'Model Inputs &amp; Assumptions'!$A$40:$A$42,0))*INDEX('Model Inputs &amp; Assumptions'!$H$40:$H$42,MATCH('Model Inputs &amp; Assumptions'!$L$33,'Model Inputs &amp; Assumptions'!$A$40:$A$42,0))</f>
        <v>1240686.28327562</v>
      </c>
      <c r="K2869" s="49" t="n">
        <f aca="false">H2869*INDEX('Model Inputs &amp; Assumptions'!$G$40:$G$42,MATCH('Model Inputs &amp; Assumptions'!$L$33,'Model Inputs &amp; Assumptions'!$A$40:$A$42,0))*INDEX('Model Inputs &amp; Assumptions'!$H$40:$H$42,MATCH('Model Inputs &amp; Assumptions'!$L$33,'Model Inputs &amp; Assumptions'!$A$40:$A$42,0))</f>
        <v>26054.4119487879</v>
      </c>
      <c r="L2869" s="51" t="n">
        <f aca="false">IFERROR(K2869/I2869,0)</f>
        <v>1.04217647795152</v>
      </c>
      <c r="M2869" s="49" t="n">
        <f aca="false">IFERROR(I2869/H2869,0)</f>
        <v>108.810745971639</v>
      </c>
      <c r="N2869" s="52" t="str">
        <f aca="false">'Model Inputs &amp; Assumptions'!$L$33</f>
        <v>PRD-SP01</v>
      </c>
      <c r="P2869" s="53" t="n">
        <v>-0.718385</v>
      </c>
      <c r="Q2869" s="53" t="n">
        <v>-0.767371</v>
      </c>
      <c r="R2869" s="53" t="n">
        <v>0.610251</v>
      </c>
      <c r="S2869" s="53" t="n">
        <v>0.558</v>
      </c>
    </row>
    <row r="2870" customFormat="false" ht="15" hidden="false" customHeight="false" outlineLevel="0" collapsed="false">
      <c r="A2870" s="43" t="n">
        <v>367</v>
      </c>
      <c r="B2870" s="44" t="str">
        <f aca="false">'Model Inputs &amp; Assumptions'!$B$33</f>
        <v>Trade Republic — Savings Plan Push</v>
      </c>
      <c r="C2870" s="45" t="n">
        <f aca="false">ROUND(MAX(0,'Model Inputs &amp; Assumptions'!$S$33*EXP('Model Inputs &amp; Assumptions'!$T$33*P2870-'Model Inputs &amp; Assumptions'!$T$33^2/2)),0)</f>
        <v>622535</v>
      </c>
      <c r="D2870" s="46" t="n">
        <f aca="false">MIN(1,'Model Inputs &amp; Assumptions'!$U$33*EXP('Model Inputs &amp; Assumptions'!$V$33*Q2870-'Model Inputs &amp; Assumptions'!$V$33^2/2))</f>
        <v>0</v>
      </c>
      <c r="E2870" s="45" t="n">
        <f aca="false">ROUND(C2870*D2870,0)</f>
        <v>0</v>
      </c>
      <c r="F2870" s="47" t="n">
        <f aca="false">MIN(1,'Model Inputs &amp; Assumptions'!$W$33*EXP('Model Inputs &amp; Assumptions'!$X$33*R2870-'Model Inputs &amp; Assumptions'!$X$33^2/2))</f>
        <v>0.00194631602634584</v>
      </c>
      <c r="G2870" s="45" t="n">
        <f aca="false">ROUND(C2870*F2870,0)</f>
        <v>1212</v>
      </c>
      <c r="H2870" s="48" t="n">
        <f aca="false">MAX(0,(C2870*'Model Inputs &amp; Assumptions'!$N$33+E2870*'Model Inputs &amp; Assumptions'!$O$33+G2870*'Model Inputs &amp; Assumptions'!$P$33)*EXP('Model Inputs &amp; Assumptions'!$Q$33*S2870-'Model Inputs &amp; Assumptions'!$Q$33^2/2))</f>
        <v>61.6819999215825</v>
      </c>
      <c r="I2870" s="49" t="n">
        <f aca="false">IF('Model Inputs &amp; Assumptions'!$H$33="Fixed",'Model Inputs &amp; Assumptions'!$I$33*'Model Inputs &amp; Assumptions'!$K$33,IF('Model Inputs &amp; Assumptions'!$H$33="CPM",'Model Inputs &amp; Assumptions'!$I$33*'Model Inputs &amp; Assumptions'!$K$33*C2870/1000,IF('Model Inputs &amp; Assumptions'!$H$33="CPC",'Model Inputs &amp; Assumptions'!$I$33*'Model Inputs &amp; Assumptions'!$K$33*G2870,0)))</f>
        <v>25000</v>
      </c>
      <c r="J2870" s="50" t="n">
        <f aca="false">H2870*INDEX('Model Inputs &amp; Assumptions'!$D$40:$D$42,MATCH('Model Inputs &amp; Assumptions'!$L$33,'Model Inputs &amp; Assumptions'!$A$40:$A$42,0))*INDEX('Model Inputs &amp; Assumptions'!$H$40:$H$42,MATCH('Model Inputs &amp; Assumptions'!$L$33,'Model Inputs &amp; Assumptions'!$A$40:$A$42,0))</f>
        <v>333082.799576546</v>
      </c>
      <c r="K2870" s="49" t="n">
        <f aca="false">H2870*INDEX('Model Inputs &amp; Assumptions'!$G$40:$G$42,MATCH('Model Inputs &amp; Assumptions'!$L$33,'Model Inputs &amp; Assumptions'!$A$40:$A$42,0))*INDEX('Model Inputs &amp; Assumptions'!$H$40:$H$42,MATCH('Model Inputs &amp; Assumptions'!$L$33,'Model Inputs &amp; Assumptions'!$A$40:$A$42,0))</f>
        <v>6994.73879110746</v>
      </c>
      <c r="L2870" s="51" t="n">
        <f aca="false">IFERROR(K2870/I2870,0)</f>
        <v>0.279789551644298</v>
      </c>
      <c r="M2870" s="49" t="n">
        <f aca="false">IFERROR(I2870/H2870,0)</f>
        <v>405.304627472893</v>
      </c>
      <c r="N2870" s="52" t="str">
        <f aca="false">'Model Inputs &amp; Assumptions'!$L$33</f>
        <v>PRD-SP01</v>
      </c>
      <c r="P2870" s="53" t="n">
        <v>-2.037589</v>
      </c>
      <c r="Q2870" s="53" t="n">
        <v>0.543569</v>
      </c>
      <c r="R2870" s="53" t="n">
        <v>-1.806082</v>
      </c>
      <c r="S2870" s="53" t="n">
        <v>-0.137189</v>
      </c>
    </row>
    <row r="2871" customFormat="false" ht="15" hidden="false" customHeight="false" outlineLevel="0" collapsed="false">
      <c r="A2871" s="43" t="n">
        <v>368</v>
      </c>
      <c r="B2871" s="44" t="str">
        <f aca="false">'Model Inputs &amp; Assumptions'!$B$33</f>
        <v>Trade Republic — Savings Plan Push</v>
      </c>
      <c r="C2871" s="45" t="n">
        <f aca="false">ROUND(MAX(0,'Model Inputs &amp; Assumptions'!$S$33*EXP('Model Inputs &amp; Assumptions'!$T$33*P2871-'Model Inputs &amp; Assumptions'!$T$33^2/2)),0)</f>
        <v>842292</v>
      </c>
      <c r="D2871" s="46" t="n">
        <f aca="false">MIN(1,'Model Inputs &amp; Assumptions'!$U$33*EXP('Model Inputs &amp; Assumptions'!$V$33*Q2871-'Model Inputs &amp; Assumptions'!$V$33^2/2))</f>
        <v>0</v>
      </c>
      <c r="E2871" s="45" t="n">
        <f aca="false">ROUND(C2871*D2871,0)</f>
        <v>0</v>
      </c>
      <c r="F2871" s="47" t="n">
        <f aca="false">MIN(1,'Model Inputs &amp; Assumptions'!$W$33*EXP('Model Inputs &amp; Assumptions'!$X$33*R2871-'Model Inputs &amp; Assumptions'!$X$33^2/2))</f>
        <v>0.00361231473789337</v>
      </c>
      <c r="G2871" s="45" t="n">
        <f aca="false">ROUND(C2871*F2871,0)</f>
        <v>3043</v>
      </c>
      <c r="H2871" s="48" t="n">
        <f aca="false">MAX(0,(C2871*'Model Inputs &amp; Assumptions'!$N$33+E2871*'Model Inputs &amp; Assumptions'!$O$33+G2871*'Model Inputs &amp; Assumptions'!$P$33)*EXP('Model Inputs &amp; Assumptions'!$Q$33*S2871-'Model Inputs &amp; Assumptions'!$Q$33^2/2))</f>
        <v>221.480222408675</v>
      </c>
      <c r="I2871" s="49" t="n">
        <f aca="false">IF('Model Inputs &amp; Assumptions'!$H$33="Fixed",'Model Inputs &amp; Assumptions'!$I$33*'Model Inputs &amp; Assumptions'!$K$33,IF('Model Inputs &amp; Assumptions'!$H$33="CPM",'Model Inputs &amp; Assumptions'!$I$33*'Model Inputs &amp; Assumptions'!$K$33*C2871/1000,IF('Model Inputs &amp; Assumptions'!$H$33="CPC",'Model Inputs &amp; Assumptions'!$I$33*'Model Inputs &amp; Assumptions'!$K$33*G2871,0)))</f>
        <v>25000</v>
      </c>
      <c r="J2871" s="50" t="n">
        <f aca="false">H2871*INDEX('Model Inputs &amp; Assumptions'!$D$40:$D$42,MATCH('Model Inputs &amp; Assumptions'!$L$33,'Model Inputs &amp; Assumptions'!$A$40:$A$42,0))*INDEX('Model Inputs &amp; Assumptions'!$H$40:$H$42,MATCH('Model Inputs &amp; Assumptions'!$L$33,'Model Inputs &amp; Assumptions'!$A$40:$A$42,0))</f>
        <v>1195993.20100685</v>
      </c>
      <c r="K2871" s="49" t="n">
        <f aca="false">H2871*INDEX('Model Inputs &amp; Assumptions'!$G$40:$G$42,MATCH('Model Inputs &amp; Assumptions'!$L$33,'Model Inputs &amp; Assumptions'!$A$40:$A$42,0))*INDEX('Model Inputs &amp; Assumptions'!$H$40:$H$42,MATCH('Model Inputs &amp; Assumptions'!$L$33,'Model Inputs &amp; Assumptions'!$A$40:$A$42,0))</f>
        <v>25115.8572211438</v>
      </c>
      <c r="L2871" s="51" t="n">
        <f aca="false">IFERROR(K2871/I2871,0)</f>
        <v>1.00463428884575</v>
      </c>
      <c r="M2871" s="49" t="n">
        <f aca="false">IFERROR(I2871/H2871,0)</f>
        <v>112.87689586057</v>
      </c>
      <c r="N2871" s="52" t="str">
        <f aca="false">'Model Inputs &amp; Assumptions'!$L$33</f>
        <v>PRD-SP01</v>
      </c>
      <c r="P2871" s="53" t="n">
        <v>-1.029834</v>
      </c>
      <c r="Q2871" s="53" t="n">
        <v>-0.382321</v>
      </c>
      <c r="R2871" s="53" t="n">
        <v>0.255286</v>
      </c>
      <c r="S2871" s="53" t="n">
        <v>1.140558</v>
      </c>
    </row>
    <row r="2872" customFormat="false" ht="15" hidden="false" customHeight="false" outlineLevel="0" collapsed="false">
      <c r="A2872" s="43" t="n">
        <v>369</v>
      </c>
      <c r="B2872" s="44" t="str">
        <f aca="false">'Model Inputs &amp; Assumptions'!$B$33</f>
        <v>Trade Republic — Savings Plan Push</v>
      </c>
      <c r="C2872" s="45" t="n">
        <f aca="false">ROUND(MAX(0,'Model Inputs &amp; Assumptions'!$S$33*EXP('Model Inputs &amp; Assumptions'!$T$33*P2872-'Model Inputs &amp; Assumptions'!$T$33^2/2)),0)</f>
        <v>1250537</v>
      </c>
      <c r="D2872" s="46" t="n">
        <f aca="false">MIN(1,'Model Inputs &amp; Assumptions'!$U$33*EXP('Model Inputs &amp; Assumptions'!$V$33*Q2872-'Model Inputs &amp; Assumptions'!$V$33^2/2))</f>
        <v>0</v>
      </c>
      <c r="E2872" s="45" t="n">
        <f aca="false">ROUND(C2872*D2872,0)</f>
        <v>0</v>
      </c>
      <c r="F2872" s="47" t="n">
        <f aca="false">MIN(1,'Model Inputs &amp; Assumptions'!$W$33*EXP('Model Inputs &amp; Assumptions'!$X$33*R2872-'Model Inputs &amp; Assumptions'!$X$33^2/2))</f>
        <v>0.00319634851273059</v>
      </c>
      <c r="G2872" s="45" t="n">
        <f aca="false">ROUND(C2872*F2872,0)</f>
        <v>3997</v>
      </c>
      <c r="H2872" s="48" t="n">
        <f aca="false">MAX(0,(C2872*'Model Inputs &amp; Assumptions'!$N$33+E2872*'Model Inputs &amp; Assumptions'!$O$33+G2872*'Model Inputs &amp; Assumptions'!$P$33)*EXP('Model Inputs &amp; Assumptions'!$Q$33*S2872-'Model Inputs &amp; Assumptions'!$Q$33^2/2))</f>
        <v>175.44287037136</v>
      </c>
      <c r="I2872" s="49" t="n">
        <f aca="false">IF('Model Inputs &amp; Assumptions'!$H$33="Fixed",'Model Inputs &amp; Assumptions'!$I$33*'Model Inputs &amp; Assumptions'!$K$33,IF('Model Inputs &amp; Assumptions'!$H$33="CPM",'Model Inputs &amp; Assumptions'!$I$33*'Model Inputs &amp; Assumptions'!$K$33*C2872/1000,IF('Model Inputs &amp; Assumptions'!$H$33="CPC",'Model Inputs &amp; Assumptions'!$I$33*'Model Inputs &amp; Assumptions'!$K$33*G2872,0)))</f>
        <v>25000</v>
      </c>
      <c r="J2872" s="50" t="n">
        <f aca="false">H2872*INDEX('Model Inputs &amp; Assumptions'!$D$40:$D$42,MATCH('Model Inputs &amp; Assumptions'!$L$33,'Model Inputs &amp; Assumptions'!$A$40:$A$42,0))*INDEX('Model Inputs &amp; Assumptions'!$H$40:$H$42,MATCH('Model Inputs &amp; Assumptions'!$L$33,'Model Inputs &amp; Assumptions'!$A$40:$A$42,0))</f>
        <v>947391.500005344</v>
      </c>
      <c r="K2872" s="49" t="n">
        <f aca="false">H2872*INDEX('Model Inputs &amp; Assumptions'!$G$40:$G$42,MATCH('Model Inputs &amp; Assumptions'!$L$33,'Model Inputs &amp; Assumptions'!$A$40:$A$42,0))*INDEX('Model Inputs &amp; Assumptions'!$H$40:$H$42,MATCH('Model Inputs &amp; Assumptions'!$L$33,'Model Inputs &amp; Assumptions'!$A$40:$A$42,0))</f>
        <v>19895.2215001122</v>
      </c>
      <c r="L2872" s="51" t="n">
        <f aca="false">IFERROR(K2872/I2872,0)</f>
        <v>0.795808860004489</v>
      </c>
      <c r="M2872" s="49" t="n">
        <f aca="false">IFERROR(I2872/H2872,0)</f>
        <v>142.496528625429</v>
      </c>
      <c r="N2872" s="52" t="str">
        <f aca="false">'Model Inputs &amp; Assumptions'!$L$33</f>
        <v>PRD-SP01</v>
      </c>
      <c r="P2872" s="53" t="n">
        <v>0.287504</v>
      </c>
      <c r="Q2872" s="53" t="n">
        <v>1.284064</v>
      </c>
      <c r="R2872" s="53" t="n">
        <v>-0.152513</v>
      </c>
      <c r="S2872" s="53" t="n">
        <v>-0.665585</v>
      </c>
    </row>
    <row r="2873" customFormat="false" ht="15" hidden="false" customHeight="false" outlineLevel="0" collapsed="false">
      <c r="A2873" s="43" t="n">
        <v>370</v>
      </c>
      <c r="B2873" s="44" t="str">
        <f aca="false">'Model Inputs &amp; Assumptions'!$B$33</f>
        <v>Trade Republic — Savings Plan Push</v>
      </c>
      <c r="C2873" s="45" t="n">
        <f aca="false">ROUND(MAX(0,'Model Inputs &amp; Assumptions'!$S$33*EXP('Model Inputs &amp; Assumptions'!$T$33*P2873-'Model Inputs &amp; Assumptions'!$T$33^2/2)),0)</f>
        <v>1169855</v>
      </c>
      <c r="D2873" s="46" t="n">
        <f aca="false">MIN(1,'Model Inputs &amp; Assumptions'!$U$33*EXP('Model Inputs &amp; Assumptions'!$V$33*Q2873-'Model Inputs &amp; Assumptions'!$V$33^2/2))</f>
        <v>0</v>
      </c>
      <c r="E2873" s="45" t="n">
        <f aca="false">ROUND(C2873*D2873,0)</f>
        <v>0</v>
      </c>
      <c r="F2873" s="47" t="n">
        <f aca="false">MIN(1,'Model Inputs &amp; Assumptions'!$W$33*EXP('Model Inputs &amp; Assumptions'!$X$33*R2873-'Model Inputs &amp; Assumptions'!$X$33^2/2))</f>
        <v>0.00268359756272546</v>
      </c>
      <c r="G2873" s="45" t="n">
        <f aca="false">ROUND(C2873*F2873,0)</f>
        <v>3139</v>
      </c>
      <c r="H2873" s="48" t="n">
        <f aca="false">MAX(0,(C2873*'Model Inputs &amp; Assumptions'!$N$33+E2873*'Model Inputs &amp; Assumptions'!$O$33+G2873*'Model Inputs &amp; Assumptions'!$P$33)*EXP('Model Inputs &amp; Assumptions'!$Q$33*S2873-'Model Inputs &amp; Assumptions'!$Q$33^2/2))</f>
        <v>220.172309125832</v>
      </c>
      <c r="I2873" s="49" t="n">
        <f aca="false">IF('Model Inputs &amp; Assumptions'!$H$33="Fixed",'Model Inputs &amp; Assumptions'!$I$33*'Model Inputs &amp; Assumptions'!$K$33,IF('Model Inputs &amp; Assumptions'!$H$33="CPM",'Model Inputs &amp; Assumptions'!$I$33*'Model Inputs &amp; Assumptions'!$K$33*C2873/1000,IF('Model Inputs &amp; Assumptions'!$H$33="CPC",'Model Inputs &amp; Assumptions'!$I$33*'Model Inputs &amp; Assumptions'!$K$33*G2873,0)))</f>
        <v>25000</v>
      </c>
      <c r="J2873" s="50" t="n">
        <f aca="false">H2873*INDEX('Model Inputs &amp; Assumptions'!$D$40:$D$42,MATCH('Model Inputs &amp; Assumptions'!$L$33,'Model Inputs &amp; Assumptions'!$A$40:$A$42,0))*INDEX('Model Inputs &amp; Assumptions'!$H$40:$H$42,MATCH('Model Inputs &amp; Assumptions'!$L$33,'Model Inputs &amp; Assumptions'!$A$40:$A$42,0))</f>
        <v>1188930.46927949</v>
      </c>
      <c r="K2873" s="49" t="n">
        <f aca="false">H2873*INDEX('Model Inputs &amp; Assumptions'!$G$40:$G$42,MATCH('Model Inputs &amp; Assumptions'!$L$33,'Model Inputs &amp; Assumptions'!$A$40:$A$42,0))*INDEX('Model Inputs &amp; Assumptions'!$H$40:$H$42,MATCH('Model Inputs &amp; Assumptions'!$L$33,'Model Inputs &amp; Assumptions'!$A$40:$A$42,0))</f>
        <v>24967.5398548693</v>
      </c>
      <c r="L2873" s="51" t="n">
        <f aca="false">IFERROR(K2873/I2873,0)</f>
        <v>0.998701594194772</v>
      </c>
      <c r="M2873" s="49" t="n">
        <f aca="false">IFERROR(I2873/H2873,0)</f>
        <v>113.547430643116</v>
      </c>
      <c r="N2873" s="52" t="str">
        <f aca="false">'Model Inputs &amp; Assumptions'!$L$33</f>
        <v>PRD-SP01</v>
      </c>
      <c r="P2873" s="53" t="n">
        <v>0.065195</v>
      </c>
      <c r="Q2873" s="53" t="n">
        <v>-0.345665</v>
      </c>
      <c r="R2873" s="53" t="n">
        <v>-0.735349</v>
      </c>
      <c r="S2873" s="53" t="n">
        <v>1.008475</v>
      </c>
    </row>
    <row r="2874" customFormat="false" ht="15" hidden="false" customHeight="false" outlineLevel="0" collapsed="false">
      <c r="A2874" s="43" t="n">
        <v>371</v>
      </c>
      <c r="B2874" s="44" t="str">
        <f aca="false">'Model Inputs &amp; Assumptions'!$B$33</f>
        <v>Trade Republic — Savings Plan Push</v>
      </c>
      <c r="C2874" s="45" t="n">
        <f aca="false">ROUND(MAX(0,'Model Inputs &amp; Assumptions'!$S$33*EXP('Model Inputs &amp; Assumptions'!$T$33*P2874-'Model Inputs &amp; Assumptions'!$T$33^2/2)),0)</f>
        <v>884955</v>
      </c>
      <c r="D2874" s="46" t="n">
        <f aca="false">MIN(1,'Model Inputs &amp; Assumptions'!$U$33*EXP('Model Inputs &amp; Assumptions'!$V$33*Q2874-'Model Inputs &amp; Assumptions'!$V$33^2/2))</f>
        <v>0</v>
      </c>
      <c r="E2874" s="45" t="n">
        <f aca="false">ROUND(C2874*D2874,0)</f>
        <v>0</v>
      </c>
      <c r="F2874" s="47" t="n">
        <f aca="false">MIN(1,'Model Inputs &amp; Assumptions'!$W$33*EXP('Model Inputs &amp; Assumptions'!$X$33*R2874-'Model Inputs &amp; Assumptions'!$X$33^2/2))</f>
        <v>0.00300337203316417</v>
      </c>
      <c r="G2874" s="45" t="n">
        <f aca="false">ROUND(C2874*F2874,0)</f>
        <v>2658</v>
      </c>
      <c r="H2874" s="48" t="n">
        <f aca="false">MAX(0,(C2874*'Model Inputs &amp; Assumptions'!$N$33+E2874*'Model Inputs &amp; Assumptions'!$O$33+G2874*'Model Inputs &amp; Assumptions'!$P$33)*EXP('Model Inputs &amp; Assumptions'!$Q$33*S2874-'Model Inputs &amp; Assumptions'!$Q$33^2/2))</f>
        <v>102.595285924232</v>
      </c>
      <c r="I2874" s="49" t="n">
        <f aca="false">IF('Model Inputs &amp; Assumptions'!$H$33="Fixed",'Model Inputs &amp; Assumptions'!$I$33*'Model Inputs &amp; Assumptions'!$K$33,IF('Model Inputs &amp; Assumptions'!$H$33="CPM",'Model Inputs &amp; Assumptions'!$I$33*'Model Inputs &amp; Assumptions'!$K$33*C2874/1000,IF('Model Inputs &amp; Assumptions'!$H$33="CPC",'Model Inputs &amp; Assumptions'!$I$33*'Model Inputs &amp; Assumptions'!$K$33*G2874,0)))</f>
        <v>25000</v>
      </c>
      <c r="J2874" s="50" t="n">
        <f aca="false">H2874*INDEX('Model Inputs &amp; Assumptions'!$D$40:$D$42,MATCH('Model Inputs &amp; Assumptions'!$L$33,'Model Inputs &amp; Assumptions'!$A$40:$A$42,0))*INDEX('Model Inputs &amp; Assumptions'!$H$40:$H$42,MATCH('Model Inputs &amp; Assumptions'!$L$33,'Model Inputs &amp; Assumptions'!$A$40:$A$42,0))</f>
        <v>554014.54399085</v>
      </c>
      <c r="K2874" s="49" t="n">
        <f aca="false">H2874*INDEX('Model Inputs &amp; Assumptions'!$G$40:$G$42,MATCH('Model Inputs &amp; Assumptions'!$L$33,'Model Inputs &amp; Assumptions'!$A$40:$A$42,0))*INDEX('Model Inputs &amp; Assumptions'!$H$40:$H$42,MATCH('Model Inputs &amp; Assumptions'!$L$33,'Model Inputs &amp; Assumptions'!$A$40:$A$42,0))</f>
        <v>11634.3054238079</v>
      </c>
      <c r="L2874" s="51" t="n">
        <f aca="false">IFERROR(K2874/I2874,0)</f>
        <v>0.465372216952314</v>
      </c>
      <c r="M2874" s="49" t="n">
        <f aca="false">IFERROR(I2874/H2874,0)</f>
        <v>243.675913320842</v>
      </c>
      <c r="N2874" s="52" t="str">
        <f aca="false">'Model Inputs &amp; Assumptions'!$L$33</f>
        <v>PRD-SP01</v>
      </c>
      <c r="P2874" s="53" t="n">
        <v>-0.865132</v>
      </c>
      <c r="Q2874" s="53" t="n">
        <v>-1.095035</v>
      </c>
      <c r="R2874" s="53" t="n">
        <v>-0.360091</v>
      </c>
      <c r="S2874" s="53" t="n">
        <v>-1.124697</v>
      </c>
    </row>
    <row r="2875" customFormat="false" ht="15" hidden="false" customHeight="false" outlineLevel="0" collapsed="false">
      <c r="A2875" s="43" t="n">
        <v>372</v>
      </c>
      <c r="B2875" s="44" t="str">
        <f aca="false">'Model Inputs &amp; Assumptions'!$B$33</f>
        <v>Trade Republic — Savings Plan Push</v>
      </c>
      <c r="C2875" s="45" t="n">
        <f aca="false">ROUND(MAX(0,'Model Inputs &amp; Assumptions'!$S$33*EXP('Model Inputs &amp; Assumptions'!$T$33*P2875-'Model Inputs &amp; Assumptions'!$T$33^2/2)),0)</f>
        <v>1943090</v>
      </c>
      <c r="D2875" s="46" t="n">
        <f aca="false">MIN(1,'Model Inputs &amp; Assumptions'!$U$33*EXP('Model Inputs &amp; Assumptions'!$V$33*Q2875-'Model Inputs &amp; Assumptions'!$V$33^2/2))</f>
        <v>0</v>
      </c>
      <c r="E2875" s="45" t="n">
        <f aca="false">ROUND(C2875*D2875,0)</f>
        <v>0</v>
      </c>
      <c r="F2875" s="47" t="n">
        <f aca="false">MIN(1,'Model Inputs &amp; Assumptions'!$W$33*EXP('Model Inputs &amp; Assumptions'!$X$33*R2875-'Model Inputs &amp; Assumptions'!$X$33^2/2))</f>
        <v>0.00314042445801219</v>
      </c>
      <c r="G2875" s="45" t="n">
        <f aca="false">ROUND(C2875*F2875,0)</f>
        <v>6102</v>
      </c>
      <c r="H2875" s="48" t="n">
        <f aca="false">MAX(0,(C2875*'Model Inputs &amp; Assumptions'!$N$33+E2875*'Model Inputs &amp; Assumptions'!$O$33+G2875*'Model Inputs &amp; Assumptions'!$P$33)*EXP('Model Inputs &amp; Assumptions'!$Q$33*S2875-'Model Inputs &amp; Assumptions'!$Q$33^2/2))</f>
        <v>285.116198590095</v>
      </c>
      <c r="I2875" s="49" t="n">
        <f aca="false">IF('Model Inputs &amp; Assumptions'!$H$33="Fixed",'Model Inputs &amp; Assumptions'!$I$33*'Model Inputs &amp; Assumptions'!$K$33,IF('Model Inputs &amp; Assumptions'!$H$33="CPM",'Model Inputs &amp; Assumptions'!$I$33*'Model Inputs &amp; Assumptions'!$K$33*C2875/1000,IF('Model Inputs &amp; Assumptions'!$H$33="CPC",'Model Inputs &amp; Assumptions'!$I$33*'Model Inputs &amp; Assumptions'!$K$33*G2875,0)))</f>
        <v>25000</v>
      </c>
      <c r="J2875" s="50" t="n">
        <f aca="false">H2875*INDEX('Model Inputs &amp; Assumptions'!$D$40:$D$42,MATCH('Model Inputs &amp; Assumptions'!$L$33,'Model Inputs &amp; Assumptions'!$A$40:$A$42,0))*INDEX('Model Inputs &amp; Assumptions'!$H$40:$H$42,MATCH('Model Inputs &amp; Assumptions'!$L$33,'Model Inputs &amp; Assumptions'!$A$40:$A$42,0))</f>
        <v>1539627.47238651</v>
      </c>
      <c r="K2875" s="49" t="n">
        <f aca="false">H2875*INDEX('Model Inputs &amp; Assumptions'!$G$40:$G$42,MATCH('Model Inputs &amp; Assumptions'!$L$33,'Model Inputs &amp; Assumptions'!$A$40:$A$42,0))*INDEX('Model Inputs &amp; Assumptions'!$H$40:$H$42,MATCH('Model Inputs &amp; Assumptions'!$L$33,'Model Inputs &amp; Assumptions'!$A$40:$A$42,0))</f>
        <v>32332.1769201167</v>
      </c>
      <c r="L2875" s="51" t="n">
        <f aca="false">IFERROR(K2875/I2875,0)</f>
        <v>1.29328707680467</v>
      </c>
      <c r="M2875" s="49" t="n">
        <f aca="false">IFERROR(I2875/H2875,0)</f>
        <v>87.6835484045645</v>
      </c>
      <c r="N2875" s="52" t="str">
        <f aca="false">'Model Inputs &amp; Assumptions'!$L$33</f>
        <v>PRD-SP01</v>
      </c>
      <c r="P2875" s="53" t="n">
        <v>1.756527</v>
      </c>
      <c r="Q2875" s="53" t="n">
        <v>0.489838</v>
      </c>
      <c r="R2875" s="53" t="n">
        <v>-0.21135</v>
      </c>
      <c r="S2875" s="53" t="n">
        <v>-0.442332</v>
      </c>
    </row>
    <row r="2876" customFormat="false" ht="15" hidden="false" customHeight="false" outlineLevel="0" collapsed="false">
      <c r="A2876" s="43" t="n">
        <v>373</v>
      </c>
      <c r="B2876" s="44" t="str">
        <f aca="false">'Model Inputs &amp; Assumptions'!$B$33</f>
        <v>Trade Republic — Savings Plan Push</v>
      </c>
      <c r="C2876" s="45" t="n">
        <f aca="false">ROUND(MAX(0,'Model Inputs &amp; Assumptions'!$S$33*EXP('Model Inputs &amp; Assumptions'!$T$33*P2876-'Model Inputs &amp; Assumptions'!$T$33^2/2)),0)</f>
        <v>807350</v>
      </c>
      <c r="D2876" s="46" t="n">
        <f aca="false">MIN(1,'Model Inputs &amp; Assumptions'!$U$33*EXP('Model Inputs &amp; Assumptions'!$V$33*Q2876-'Model Inputs &amp; Assumptions'!$V$33^2/2))</f>
        <v>0</v>
      </c>
      <c r="E2876" s="45" t="n">
        <f aca="false">ROUND(C2876*D2876,0)</f>
        <v>0</v>
      </c>
      <c r="F2876" s="47" t="n">
        <f aca="false">MIN(1,'Model Inputs &amp; Assumptions'!$W$33*EXP('Model Inputs &amp; Assumptions'!$X$33*R2876-'Model Inputs &amp; Assumptions'!$X$33^2/2))</f>
        <v>0.00280225365014681</v>
      </c>
      <c r="G2876" s="45" t="n">
        <f aca="false">ROUND(C2876*F2876,0)</f>
        <v>2262</v>
      </c>
      <c r="H2876" s="48" t="n">
        <f aca="false">MAX(0,(C2876*'Model Inputs &amp; Assumptions'!$N$33+E2876*'Model Inputs &amp; Assumptions'!$O$33+G2876*'Model Inputs &amp; Assumptions'!$P$33)*EXP('Model Inputs &amp; Assumptions'!$Q$33*S2876-'Model Inputs &amp; Assumptions'!$Q$33^2/2))</f>
        <v>162.973694268403</v>
      </c>
      <c r="I2876" s="49" t="n">
        <f aca="false">IF('Model Inputs &amp; Assumptions'!$H$33="Fixed",'Model Inputs &amp; Assumptions'!$I$33*'Model Inputs &amp; Assumptions'!$K$33,IF('Model Inputs &amp; Assumptions'!$H$33="CPM",'Model Inputs &amp; Assumptions'!$I$33*'Model Inputs &amp; Assumptions'!$K$33*C2876/1000,IF('Model Inputs &amp; Assumptions'!$H$33="CPC",'Model Inputs &amp; Assumptions'!$I$33*'Model Inputs &amp; Assumptions'!$K$33*G2876,0)))</f>
        <v>25000</v>
      </c>
      <c r="J2876" s="50" t="n">
        <f aca="false">H2876*INDEX('Model Inputs &amp; Assumptions'!$D$40:$D$42,MATCH('Model Inputs &amp; Assumptions'!$L$33,'Model Inputs &amp; Assumptions'!$A$40:$A$42,0))*INDEX('Model Inputs &amp; Assumptions'!$H$40:$H$42,MATCH('Model Inputs &amp; Assumptions'!$L$33,'Model Inputs &amp; Assumptions'!$A$40:$A$42,0))</f>
        <v>880057.949049374</v>
      </c>
      <c r="K2876" s="49" t="n">
        <f aca="false">H2876*INDEX('Model Inputs &amp; Assumptions'!$G$40:$G$42,MATCH('Model Inputs &amp; Assumptions'!$L$33,'Model Inputs &amp; Assumptions'!$A$40:$A$42,0))*INDEX('Model Inputs &amp; Assumptions'!$H$40:$H$42,MATCH('Model Inputs &amp; Assumptions'!$L$33,'Model Inputs &amp; Assumptions'!$A$40:$A$42,0))</f>
        <v>18481.2169300369</v>
      </c>
      <c r="L2876" s="51" t="n">
        <f aca="false">IFERROR(K2876/I2876,0)</f>
        <v>0.739248677201474</v>
      </c>
      <c r="M2876" s="49" t="n">
        <f aca="false">IFERROR(I2876/H2876,0)</f>
        <v>153.398989402715</v>
      </c>
      <c r="N2876" s="52" t="str">
        <f aca="false">'Model Inputs &amp; Assumptions'!$L$33</f>
        <v>PRD-SP01</v>
      </c>
      <c r="P2876" s="53" t="n">
        <v>-1.171067</v>
      </c>
      <c r="Q2876" s="53" t="n">
        <v>-1.275101</v>
      </c>
      <c r="R2876" s="53" t="n">
        <v>-0.59113</v>
      </c>
      <c r="S2876" s="53" t="n">
        <v>1.104308</v>
      </c>
    </row>
    <row r="2877" customFormat="false" ht="15" hidden="false" customHeight="false" outlineLevel="0" collapsed="false">
      <c r="A2877" s="43" t="n">
        <v>374</v>
      </c>
      <c r="B2877" s="44" t="str">
        <f aca="false">'Model Inputs &amp; Assumptions'!$B$33</f>
        <v>Trade Republic — Savings Plan Push</v>
      </c>
      <c r="C2877" s="45" t="n">
        <f aca="false">ROUND(MAX(0,'Model Inputs &amp; Assumptions'!$S$33*EXP('Model Inputs &amp; Assumptions'!$T$33*P2877-'Model Inputs &amp; Assumptions'!$T$33^2/2)),0)</f>
        <v>954640</v>
      </c>
      <c r="D2877" s="46" t="n">
        <f aca="false">MIN(1,'Model Inputs &amp; Assumptions'!$U$33*EXP('Model Inputs &amp; Assumptions'!$V$33*Q2877-'Model Inputs &amp; Assumptions'!$V$33^2/2))</f>
        <v>0</v>
      </c>
      <c r="E2877" s="45" t="n">
        <f aca="false">ROUND(C2877*D2877,0)</f>
        <v>0</v>
      </c>
      <c r="F2877" s="47" t="n">
        <f aca="false">MIN(1,'Model Inputs &amp; Assumptions'!$W$33*EXP('Model Inputs &amp; Assumptions'!$X$33*R2877-'Model Inputs &amp; Assumptions'!$X$33^2/2))</f>
        <v>0.00312936925570354</v>
      </c>
      <c r="G2877" s="45" t="n">
        <f aca="false">ROUND(C2877*F2877,0)</f>
        <v>2987</v>
      </c>
      <c r="H2877" s="48" t="n">
        <f aca="false">MAX(0,(C2877*'Model Inputs &amp; Assumptions'!$N$33+E2877*'Model Inputs &amp; Assumptions'!$O$33+G2877*'Model Inputs &amp; Assumptions'!$P$33)*EXP('Model Inputs &amp; Assumptions'!$Q$33*S2877-'Model Inputs &amp; Assumptions'!$Q$33^2/2))</f>
        <v>166.094031776645</v>
      </c>
      <c r="I2877" s="49" t="n">
        <f aca="false">IF('Model Inputs &amp; Assumptions'!$H$33="Fixed",'Model Inputs &amp; Assumptions'!$I$33*'Model Inputs &amp; Assumptions'!$K$33,IF('Model Inputs &amp; Assumptions'!$H$33="CPM",'Model Inputs &amp; Assumptions'!$I$33*'Model Inputs &amp; Assumptions'!$K$33*C2877/1000,IF('Model Inputs &amp; Assumptions'!$H$33="CPC",'Model Inputs &amp; Assumptions'!$I$33*'Model Inputs &amp; Assumptions'!$K$33*G2877,0)))</f>
        <v>25000</v>
      </c>
      <c r="J2877" s="50" t="n">
        <f aca="false">H2877*INDEX('Model Inputs &amp; Assumptions'!$D$40:$D$42,MATCH('Model Inputs &amp; Assumptions'!$L$33,'Model Inputs &amp; Assumptions'!$A$40:$A$42,0))*INDEX('Model Inputs &amp; Assumptions'!$H$40:$H$42,MATCH('Model Inputs &amp; Assumptions'!$L$33,'Model Inputs &amp; Assumptions'!$A$40:$A$42,0))</f>
        <v>896907.771593884</v>
      </c>
      <c r="K2877" s="49" t="n">
        <f aca="false">H2877*INDEX('Model Inputs &amp; Assumptions'!$G$40:$G$42,MATCH('Model Inputs &amp; Assumptions'!$L$33,'Model Inputs &amp; Assumptions'!$A$40:$A$42,0))*INDEX('Model Inputs &amp; Assumptions'!$H$40:$H$42,MATCH('Model Inputs &amp; Assumptions'!$L$33,'Model Inputs &amp; Assumptions'!$A$40:$A$42,0))</f>
        <v>18835.0632034716</v>
      </c>
      <c r="L2877" s="51" t="n">
        <f aca="false">IFERROR(K2877/I2877,0)</f>
        <v>0.753402528138863</v>
      </c>
      <c r="M2877" s="49" t="n">
        <f aca="false">IFERROR(I2877/H2877,0)</f>
        <v>150.517148223717</v>
      </c>
      <c r="N2877" s="52" t="str">
        <f aca="false">'Model Inputs &amp; Assumptions'!$L$33</f>
        <v>PRD-SP01</v>
      </c>
      <c r="P2877" s="53" t="n">
        <v>-0.612476</v>
      </c>
      <c r="Q2877" s="53" t="n">
        <v>0.787516</v>
      </c>
      <c r="R2877" s="53" t="n">
        <v>-0.223105</v>
      </c>
      <c r="S2877" s="53" t="n">
        <v>0.179112</v>
      </c>
    </row>
    <row r="2878" customFormat="false" ht="15" hidden="false" customHeight="false" outlineLevel="0" collapsed="false">
      <c r="A2878" s="43" t="n">
        <v>375</v>
      </c>
      <c r="B2878" s="44" t="str">
        <f aca="false">'Model Inputs &amp; Assumptions'!$B$33</f>
        <v>Trade Republic — Savings Plan Push</v>
      </c>
      <c r="C2878" s="45" t="n">
        <f aca="false">ROUND(MAX(0,'Model Inputs &amp; Assumptions'!$S$33*EXP('Model Inputs &amp; Assumptions'!$T$33*P2878-'Model Inputs &amp; Assumptions'!$T$33^2/2)),0)</f>
        <v>1324271</v>
      </c>
      <c r="D2878" s="46" t="n">
        <f aca="false">MIN(1,'Model Inputs &amp; Assumptions'!$U$33*EXP('Model Inputs &amp; Assumptions'!$V$33*Q2878-'Model Inputs &amp; Assumptions'!$V$33^2/2))</f>
        <v>0</v>
      </c>
      <c r="E2878" s="45" t="n">
        <f aca="false">ROUND(C2878*D2878,0)</f>
        <v>0</v>
      </c>
      <c r="F2878" s="47" t="n">
        <f aca="false">MIN(1,'Model Inputs &amp; Assumptions'!$W$33*EXP('Model Inputs &amp; Assumptions'!$X$33*R2878-'Model Inputs &amp; Assumptions'!$X$33^2/2))</f>
        <v>0.00427990438116724</v>
      </c>
      <c r="G2878" s="45" t="n">
        <f aca="false">ROUND(C2878*F2878,0)</f>
        <v>5668</v>
      </c>
      <c r="H2878" s="48" t="n">
        <f aca="false">MAX(0,(C2878*'Model Inputs &amp; Assumptions'!$N$33+E2878*'Model Inputs &amp; Assumptions'!$O$33+G2878*'Model Inputs &amp; Assumptions'!$P$33)*EXP('Model Inputs &amp; Assumptions'!$Q$33*S2878-'Model Inputs &amp; Assumptions'!$Q$33^2/2))</f>
        <v>281.251910690255</v>
      </c>
      <c r="I2878" s="49" t="n">
        <f aca="false">IF('Model Inputs &amp; Assumptions'!$H$33="Fixed",'Model Inputs &amp; Assumptions'!$I$33*'Model Inputs &amp; Assumptions'!$K$33,IF('Model Inputs &amp; Assumptions'!$H$33="CPM",'Model Inputs &amp; Assumptions'!$I$33*'Model Inputs &amp; Assumptions'!$K$33*C2878/1000,IF('Model Inputs &amp; Assumptions'!$H$33="CPC",'Model Inputs &amp; Assumptions'!$I$33*'Model Inputs &amp; Assumptions'!$K$33*G2878,0)))</f>
        <v>25000</v>
      </c>
      <c r="J2878" s="50" t="n">
        <f aca="false">H2878*INDEX('Model Inputs &amp; Assumptions'!$D$40:$D$42,MATCH('Model Inputs &amp; Assumptions'!$L$33,'Model Inputs &amp; Assumptions'!$A$40:$A$42,0))*INDEX('Model Inputs &amp; Assumptions'!$H$40:$H$42,MATCH('Model Inputs &amp; Assumptions'!$L$33,'Model Inputs &amp; Assumptions'!$A$40:$A$42,0))</f>
        <v>1518760.31772738</v>
      </c>
      <c r="K2878" s="49" t="n">
        <f aca="false">H2878*INDEX('Model Inputs &amp; Assumptions'!$G$40:$G$42,MATCH('Model Inputs &amp; Assumptions'!$L$33,'Model Inputs &amp; Assumptions'!$A$40:$A$42,0))*INDEX('Model Inputs &amp; Assumptions'!$H$40:$H$42,MATCH('Model Inputs &amp; Assumptions'!$L$33,'Model Inputs &amp; Assumptions'!$A$40:$A$42,0))</f>
        <v>31893.9666722749</v>
      </c>
      <c r="L2878" s="51" t="n">
        <f aca="false">IFERROR(K2878/I2878,0)</f>
        <v>1.275758666891</v>
      </c>
      <c r="M2878" s="49" t="n">
        <f aca="false">IFERROR(I2878/H2878,0)</f>
        <v>88.8882850205156</v>
      </c>
      <c r="N2878" s="52" t="str">
        <f aca="false">'Model Inputs &amp; Assumptions'!$L$33</f>
        <v>PRD-SP01</v>
      </c>
      <c r="P2878" s="53" t="n">
        <v>0.478469</v>
      </c>
      <c r="Q2878" s="53" t="n">
        <v>-0.241478</v>
      </c>
      <c r="R2878" s="53" t="n">
        <v>0.820559</v>
      </c>
      <c r="S2878" s="53" t="n">
        <v>-0.227567</v>
      </c>
    </row>
    <row r="2879" customFormat="false" ht="15" hidden="false" customHeight="false" outlineLevel="0" collapsed="false">
      <c r="A2879" s="43" t="n">
        <v>376</v>
      </c>
      <c r="B2879" s="44" t="str">
        <f aca="false">'Model Inputs &amp; Assumptions'!$B$33</f>
        <v>Trade Republic — Savings Plan Push</v>
      </c>
      <c r="C2879" s="45" t="n">
        <f aca="false">ROUND(MAX(0,'Model Inputs &amp; Assumptions'!$S$33*EXP('Model Inputs &amp; Assumptions'!$T$33*P2879-'Model Inputs &amp; Assumptions'!$T$33^2/2)),0)</f>
        <v>823291</v>
      </c>
      <c r="D2879" s="46" t="n">
        <f aca="false">MIN(1,'Model Inputs &amp; Assumptions'!$U$33*EXP('Model Inputs &amp; Assumptions'!$V$33*Q2879-'Model Inputs &amp; Assumptions'!$V$33^2/2))</f>
        <v>0</v>
      </c>
      <c r="E2879" s="45" t="n">
        <f aca="false">ROUND(C2879*D2879,0)</f>
        <v>0</v>
      </c>
      <c r="F2879" s="47" t="n">
        <f aca="false">MIN(1,'Model Inputs &amp; Assumptions'!$W$33*EXP('Model Inputs &amp; Assumptions'!$X$33*R2879-'Model Inputs &amp; Assumptions'!$X$33^2/2))</f>
        <v>0.00477571818804121</v>
      </c>
      <c r="G2879" s="45" t="n">
        <f aca="false">ROUND(C2879*F2879,0)</f>
        <v>3932</v>
      </c>
      <c r="H2879" s="48" t="n">
        <f aca="false">MAX(0,(C2879*'Model Inputs &amp; Assumptions'!$N$33+E2879*'Model Inputs &amp; Assumptions'!$O$33+G2879*'Model Inputs &amp; Assumptions'!$P$33)*EXP('Model Inputs &amp; Assumptions'!$Q$33*S2879-'Model Inputs &amp; Assumptions'!$Q$33^2/2))</f>
        <v>153.515697787854</v>
      </c>
      <c r="I2879" s="49" t="n">
        <f aca="false">IF('Model Inputs &amp; Assumptions'!$H$33="Fixed",'Model Inputs &amp; Assumptions'!$I$33*'Model Inputs &amp; Assumptions'!$K$33,IF('Model Inputs &amp; Assumptions'!$H$33="CPM",'Model Inputs &amp; Assumptions'!$I$33*'Model Inputs &amp; Assumptions'!$K$33*C2879/1000,IF('Model Inputs &amp; Assumptions'!$H$33="CPC",'Model Inputs &amp; Assumptions'!$I$33*'Model Inputs &amp; Assumptions'!$K$33*G2879,0)))</f>
        <v>25000</v>
      </c>
      <c r="J2879" s="50" t="n">
        <f aca="false">H2879*INDEX('Model Inputs &amp; Assumptions'!$D$40:$D$42,MATCH('Model Inputs &amp; Assumptions'!$L$33,'Model Inputs &amp; Assumptions'!$A$40:$A$42,0))*INDEX('Model Inputs &amp; Assumptions'!$H$40:$H$42,MATCH('Model Inputs &amp; Assumptions'!$L$33,'Model Inputs &amp; Assumptions'!$A$40:$A$42,0))</f>
        <v>828984.768054414</v>
      </c>
      <c r="K2879" s="49" t="n">
        <f aca="false">H2879*INDEX('Model Inputs &amp; Assumptions'!$G$40:$G$42,MATCH('Model Inputs &amp; Assumptions'!$L$33,'Model Inputs &amp; Assumptions'!$A$40:$A$42,0))*INDEX('Model Inputs &amp; Assumptions'!$H$40:$H$42,MATCH('Model Inputs &amp; Assumptions'!$L$33,'Model Inputs &amp; Assumptions'!$A$40:$A$42,0))</f>
        <v>17408.6801291427</v>
      </c>
      <c r="L2879" s="51" t="n">
        <f aca="false">IFERROR(K2879/I2879,0)</f>
        <v>0.696347205165708</v>
      </c>
      <c r="M2879" s="49" t="n">
        <f aca="false">IFERROR(I2879/H2879,0)</f>
        <v>162.849795559982</v>
      </c>
      <c r="N2879" s="52" t="str">
        <f aca="false">'Model Inputs &amp; Assumptions'!$L$33</f>
        <v>PRD-SP01</v>
      </c>
      <c r="P2879" s="53" t="n">
        <v>-1.10589</v>
      </c>
      <c r="Q2879" s="53" t="n">
        <v>1.348667</v>
      </c>
      <c r="R2879" s="53" t="n">
        <v>1.185938</v>
      </c>
      <c r="S2879" s="53" t="n">
        <v>-1.083852</v>
      </c>
    </row>
    <row r="2880" customFormat="false" ht="15" hidden="false" customHeight="false" outlineLevel="0" collapsed="false">
      <c r="A2880" s="43" t="n">
        <v>377</v>
      </c>
      <c r="B2880" s="44" t="str">
        <f aca="false">'Model Inputs &amp; Assumptions'!$B$33</f>
        <v>Trade Republic — Savings Plan Push</v>
      </c>
      <c r="C2880" s="45" t="n">
        <f aca="false">ROUND(MAX(0,'Model Inputs &amp; Assumptions'!$S$33*EXP('Model Inputs &amp; Assumptions'!$T$33*P2880-'Model Inputs &amp; Assumptions'!$T$33^2/2)),0)</f>
        <v>1320917</v>
      </c>
      <c r="D2880" s="46" t="n">
        <f aca="false">MIN(1,'Model Inputs &amp; Assumptions'!$U$33*EXP('Model Inputs &amp; Assumptions'!$V$33*Q2880-'Model Inputs &amp; Assumptions'!$V$33^2/2))</f>
        <v>0</v>
      </c>
      <c r="E2880" s="45" t="n">
        <f aca="false">ROUND(C2880*D2880,0)</f>
        <v>0</v>
      </c>
      <c r="F2880" s="47" t="n">
        <f aca="false">MIN(1,'Model Inputs &amp; Assumptions'!$W$33*EXP('Model Inputs &amp; Assumptions'!$X$33*R2880-'Model Inputs &amp; Assumptions'!$X$33^2/2))</f>
        <v>0.0029702813188943</v>
      </c>
      <c r="G2880" s="45" t="n">
        <f aca="false">ROUND(C2880*F2880,0)</f>
        <v>3923</v>
      </c>
      <c r="H2880" s="48" t="n">
        <f aca="false">MAX(0,(C2880*'Model Inputs &amp; Assumptions'!$N$33+E2880*'Model Inputs &amp; Assumptions'!$O$33+G2880*'Model Inputs &amp; Assumptions'!$P$33)*EXP('Model Inputs &amp; Assumptions'!$Q$33*S2880-'Model Inputs &amp; Assumptions'!$Q$33^2/2))</f>
        <v>157.254666758523</v>
      </c>
      <c r="I2880" s="49" t="n">
        <f aca="false">IF('Model Inputs &amp; Assumptions'!$H$33="Fixed",'Model Inputs &amp; Assumptions'!$I$33*'Model Inputs &amp; Assumptions'!$K$33,IF('Model Inputs &amp; Assumptions'!$H$33="CPM",'Model Inputs &amp; Assumptions'!$I$33*'Model Inputs &amp; Assumptions'!$K$33*C2880/1000,IF('Model Inputs &amp; Assumptions'!$H$33="CPC",'Model Inputs &amp; Assumptions'!$I$33*'Model Inputs &amp; Assumptions'!$K$33*G2880,0)))</f>
        <v>25000</v>
      </c>
      <c r="J2880" s="50" t="n">
        <f aca="false">H2880*INDEX('Model Inputs &amp; Assumptions'!$D$40:$D$42,MATCH('Model Inputs &amp; Assumptions'!$L$33,'Model Inputs &amp; Assumptions'!$A$40:$A$42,0))*INDEX('Model Inputs &amp; Assumptions'!$H$40:$H$42,MATCH('Model Inputs &amp; Assumptions'!$L$33,'Model Inputs &amp; Assumptions'!$A$40:$A$42,0))</f>
        <v>849175.200496023</v>
      </c>
      <c r="K2880" s="49" t="n">
        <f aca="false">H2880*INDEX('Model Inputs &amp; Assumptions'!$G$40:$G$42,MATCH('Model Inputs &amp; Assumptions'!$L$33,'Model Inputs &amp; Assumptions'!$A$40:$A$42,0))*INDEX('Model Inputs &amp; Assumptions'!$H$40:$H$42,MATCH('Model Inputs &amp; Assumptions'!$L$33,'Model Inputs &amp; Assumptions'!$A$40:$A$42,0))</f>
        <v>17832.6792104165</v>
      </c>
      <c r="L2880" s="51" t="n">
        <f aca="false">IFERROR(K2880/I2880,0)</f>
        <v>0.713307168416659</v>
      </c>
      <c r="M2880" s="49" t="n">
        <f aca="false">IFERROR(I2880/H2880,0)</f>
        <v>158.977793888874</v>
      </c>
      <c r="N2880" s="52" t="str">
        <f aca="false">'Model Inputs &amp; Assumptions'!$L$33</f>
        <v>PRD-SP01</v>
      </c>
      <c r="P2880" s="53" t="n">
        <v>0.470016</v>
      </c>
      <c r="Q2880" s="53" t="n">
        <v>-0.353424</v>
      </c>
      <c r="R2880" s="53" t="n">
        <v>-0.397021</v>
      </c>
      <c r="S2880" s="53" t="n">
        <v>-0.989726</v>
      </c>
    </row>
    <row r="2881" customFormat="false" ht="15" hidden="false" customHeight="false" outlineLevel="0" collapsed="false">
      <c r="A2881" s="43" t="n">
        <v>378</v>
      </c>
      <c r="B2881" s="44" t="str">
        <f aca="false">'Model Inputs &amp; Assumptions'!$B$33</f>
        <v>Trade Republic — Savings Plan Push</v>
      </c>
      <c r="C2881" s="45" t="n">
        <f aca="false">ROUND(MAX(0,'Model Inputs &amp; Assumptions'!$S$33*EXP('Model Inputs &amp; Assumptions'!$T$33*P2881-'Model Inputs &amp; Assumptions'!$T$33^2/2)),0)</f>
        <v>930238</v>
      </c>
      <c r="D2881" s="46" t="n">
        <f aca="false">MIN(1,'Model Inputs &amp; Assumptions'!$U$33*EXP('Model Inputs &amp; Assumptions'!$V$33*Q2881-'Model Inputs &amp; Assumptions'!$V$33^2/2))</f>
        <v>0</v>
      </c>
      <c r="E2881" s="45" t="n">
        <f aca="false">ROUND(C2881*D2881,0)</f>
        <v>0</v>
      </c>
      <c r="F2881" s="47" t="n">
        <f aca="false">MIN(1,'Model Inputs &amp; Assumptions'!$W$33*EXP('Model Inputs &amp; Assumptions'!$X$33*R2881-'Model Inputs &amp; Assumptions'!$X$33^2/2))</f>
        <v>0.00199195699185555</v>
      </c>
      <c r="G2881" s="45" t="n">
        <f aca="false">ROUND(C2881*F2881,0)</f>
        <v>1853</v>
      </c>
      <c r="H2881" s="48" t="n">
        <f aca="false">MAX(0,(C2881*'Model Inputs &amp; Assumptions'!$N$33+E2881*'Model Inputs &amp; Assumptions'!$O$33+G2881*'Model Inputs &amp; Assumptions'!$P$33)*EXP('Model Inputs &amp; Assumptions'!$Q$33*S2881-'Model Inputs &amp; Assumptions'!$Q$33^2/2))</f>
        <v>119.987629808072</v>
      </c>
      <c r="I2881" s="49" t="n">
        <f aca="false">IF('Model Inputs &amp; Assumptions'!$H$33="Fixed",'Model Inputs &amp; Assumptions'!$I$33*'Model Inputs &amp; Assumptions'!$K$33,IF('Model Inputs &amp; Assumptions'!$H$33="CPM",'Model Inputs &amp; Assumptions'!$I$33*'Model Inputs &amp; Assumptions'!$K$33*C2881/1000,IF('Model Inputs &amp; Assumptions'!$H$33="CPC",'Model Inputs &amp; Assumptions'!$I$33*'Model Inputs &amp; Assumptions'!$K$33*G2881,0)))</f>
        <v>25000</v>
      </c>
      <c r="J2881" s="50" t="n">
        <f aca="false">H2881*INDEX('Model Inputs &amp; Assumptions'!$D$40:$D$42,MATCH('Model Inputs &amp; Assumptions'!$L$33,'Model Inputs &amp; Assumptions'!$A$40:$A$42,0))*INDEX('Model Inputs &amp; Assumptions'!$H$40:$H$42,MATCH('Model Inputs &amp; Assumptions'!$L$33,'Model Inputs &amp; Assumptions'!$A$40:$A$42,0))</f>
        <v>647933.200963587</v>
      </c>
      <c r="K2881" s="49" t="n">
        <f aca="false">H2881*INDEX('Model Inputs &amp; Assumptions'!$G$40:$G$42,MATCH('Model Inputs &amp; Assumptions'!$L$33,'Model Inputs &amp; Assumptions'!$A$40:$A$42,0))*INDEX('Model Inputs &amp; Assumptions'!$H$40:$H$42,MATCH('Model Inputs &amp; Assumptions'!$L$33,'Model Inputs &amp; Assumptions'!$A$40:$A$42,0))</f>
        <v>13606.5972202353</v>
      </c>
      <c r="L2881" s="51" t="n">
        <f aca="false">IFERROR(K2881/I2881,0)</f>
        <v>0.544263888809414</v>
      </c>
      <c r="M2881" s="49" t="n">
        <f aca="false">IFERROR(I2881/H2881,0)</f>
        <v>208.35481157507</v>
      </c>
      <c r="N2881" s="52" t="str">
        <f aca="false">'Model Inputs &amp; Assumptions'!$L$33</f>
        <v>PRD-SP01</v>
      </c>
      <c r="P2881" s="53" t="n">
        <v>-0.698787</v>
      </c>
      <c r="Q2881" s="53" t="n">
        <v>-1.464653</v>
      </c>
      <c r="R2881" s="53" t="n">
        <v>-1.728818</v>
      </c>
      <c r="S2881" s="53" t="n">
        <v>0.723034</v>
      </c>
    </row>
    <row r="2882" customFormat="false" ht="15" hidden="false" customHeight="false" outlineLevel="0" collapsed="false">
      <c r="A2882" s="43" t="n">
        <v>379</v>
      </c>
      <c r="B2882" s="44" t="str">
        <f aca="false">'Model Inputs &amp; Assumptions'!$B$33</f>
        <v>Trade Republic — Savings Plan Push</v>
      </c>
      <c r="C2882" s="45" t="n">
        <f aca="false">ROUND(MAX(0,'Model Inputs &amp; Assumptions'!$S$33*EXP('Model Inputs &amp; Assumptions'!$T$33*P2882-'Model Inputs &amp; Assumptions'!$T$33^2/2)),0)</f>
        <v>776533</v>
      </c>
      <c r="D2882" s="46" t="n">
        <f aca="false">MIN(1,'Model Inputs &amp; Assumptions'!$U$33*EXP('Model Inputs &amp; Assumptions'!$V$33*Q2882-'Model Inputs &amp; Assumptions'!$V$33^2/2))</f>
        <v>0</v>
      </c>
      <c r="E2882" s="45" t="n">
        <f aca="false">ROUND(C2882*D2882,0)</f>
        <v>0</v>
      </c>
      <c r="F2882" s="47" t="n">
        <f aca="false">MIN(1,'Model Inputs &amp; Assumptions'!$W$33*EXP('Model Inputs &amp; Assumptions'!$X$33*R2882-'Model Inputs &amp; Assumptions'!$X$33^2/2))</f>
        <v>0.00204404823110762</v>
      </c>
      <c r="G2882" s="45" t="n">
        <f aca="false">ROUND(C2882*F2882,0)</f>
        <v>1587</v>
      </c>
      <c r="H2882" s="48" t="n">
        <f aca="false">MAX(0,(C2882*'Model Inputs &amp; Assumptions'!$N$33+E2882*'Model Inputs &amp; Assumptions'!$O$33+G2882*'Model Inputs &amp; Assumptions'!$P$33)*EXP('Model Inputs &amp; Assumptions'!$Q$33*S2882-'Model Inputs &amp; Assumptions'!$Q$33^2/2))</f>
        <v>92.9434038150933</v>
      </c>
      <c r="I2882" s="49" t="n">
        <f aca="false">IF('Model Inputs &amp; Assumptions'!$H$33="Fixed",'Model Inputs &amp; Assumptions'!$I$33*'Model Inputs &amp; Assumptions'!$K$33,IF('Model Inputs &amp; Assumptions'!$H$33="CPM",'Model Inputs &amp; Assumptions'!$I$33*'Model Inputs &amp; Assumptions'!$K$33*C2882/1000,IF('Model Inputs &amp; Assumptions'!$H$33="CPC",'Model Inputs &amp; Assumptions'!$I$33*'Model Inputs &amp; Assumptions'!$K$33*G2882,0)))</f>
        <v>25000</v>
      </c>
      <c r="J2882" s="50" t="n">
        <f aca="false">H2882*INDEX('Model Inputs &amp; Assumptions'!$D$40:$D$42,MATCH('Model Inputs &amp; Assumptions'!$L$33,'Model Inputs &amp; Assumptions'!$A$40:$A$42,0))*INDEX('Model Inputs &amp; Assumptions'!$H$40:$H$42,MATCH('Model Inputs &amp; Assumptions'!$L$33,'Model Inputs &amp; Assumptions'!$A$40:$A$42,0))</f>
        <v>501894.380601504</v>
      </c>
      <c r="K2882" s="49" t="n">
        <f aca="false">H2882*INDEX('Model Inputs &amp; Assumptions'!$G$40:$G$42,MATCH('Model Inputs &amp; Assumptions'!$L$33,'Model Inputs &amp; Assumptions'!$A$40:$A$42,0))*INDEX('Model Inputs &amp; Assumptions'!$H$40:$H$42,MATCH('Model Inputs &amp; Assumptions'!$L$33,'Model Inputs &amp; Assumptions'!$A$40:$A$42,0))</f>
        <v>10539.7819926316</v>
      </c>
      <c r="L2882" s="51" t="n">
        <f aca="false">IFERROR(K2882/I2882,0)</f>
        <v>0.421591279705263</v>
      </c>
      <c r="M2882" s="49" t="n">
        <f aca="false">IFERROR(I2882/H2882,0)</f>
        <v>268.980895618331</v>
      </c>
      <c r="N2882" s="52" t="str">
        <f aca="false">'Model Inputs &amp; Assumptions'!$L$33</f>
        <v>PRD-SP01</v>
      </c>
      <c r="P2882" s="53" t="n">
        <v>-1.300792</v>
      </c>
      <c r="Q2882" s="53" t="n">
        <v>-1.361519</v>
      </c>
      <c r="R2882" s="53" t="n">
        <v>-1.642769</v>
      </c>
      <c r="S2882" s="53" t="n">
        <v>0.364329</v>
      </c>
    </row>
    <row r="2883" customFormat="false" ht="15" hidden="false" customHeight="false" outlineLevel="0" collapsed="false">
      <c r="A2883" s="43" t="n">
        <v>380</v>
      </c>
      <c r="B2883" s="44" t="str">
        <f aca="false">'Model Inputs &amp; Assumptions'!$B$33</f>
        <v>Trade Republic — Savings Plan Push</v>
      </c>
      <c r="C2883" s="45" t="n">
        <f aca="false">ROUND(MAX(0,'Model Inputs &amp; Assumptions'!$S$33*EXP('Model Inputs &amp; Assumptions'!$T$33*P2883-'Model Inputs &amp; Assumptions'!$T$33^2/2)),0)</f>
        <v>1518000</v>
      </c>
      <c r="D2883" s="46" t="n">
        <f aca="false">MIN(1,'Model Inputs &amp; Assumptions'!$U$33*EXP('Model Inputs &amp; Assumptions'!$V$33*Q2883-'Model Inputs &amp; Assumptions'!$V$33^2/2))</f>
        <v>0</v>
      </c>
      <c r="E2883" s="45" t="n">
        <f aca="false">ROUND(C2883*D2883,0)</f>
        <v>0</v>
      </c>
      <c r="F2883" s="47" t="n">
        <f aca="false">MIN(1,'Model Inputs &amp; Assumptions'!$W$33*EXP('Model Inputs &amp; Assumptions'!$X$33*R2883-'Model Inputs &amp; Assumptions'!$X$33^2/2))</f>
        <v>0.00510880626092502</v>
      </c>
      <c r="G2883" s="45" t="n">
        <f aca="false">ROUND(C2883*F2883,0)</f>
        <v>7755</v>
      </c>
      <c r="H2883" s="48" t="n">
        <f aca="false">MAX(0,(C2883*'Model Inputs &amp; Assumptions'!$N$33+E2883*'Model Inputs &amp; Assumptions'!$O$33+G2883*'Model Inputs &amp; Assumptions'!$P$33)*EXP('Model Inputs &amp; Assumptions'!$Q$33*S2883-'Model Inputs &amp; Assumptions'!$Q$33^2/2))</f>
        <v>367.096538761907</v>
      </c>
      <c r="I2883" s="49" t="n">
        <f aca="false">IF('Model Inputs &amp; Assumptions'!$H$33="Fixed",'Model Inputs &amp; Assumptions'!$I$33*'Model Inputs &amp; Assumptions'!$K$33,IF('Model Inputs &amp; Assumptions'!$H$33="CPM",'Model Inputs &amp; Assumptions'!$I$33*'Model Inputs &amp; Assumptions'!$K$33*C2883/1000,IF('Model Inputs &amp; Assumptions'!$H$33="CPC",'Model Inputs &amp; Assumptions'!$I$33*'Model Inputs &amp; Assumptions'!$K$33*G2883,0)))</f>
        <v>25000</v>
      </c>
      <c r="J2883" s="50" t="n">
        <f aca="false">H2883*INDEX('Model Inputs &amp; Assumptions'!$D$40:$D$42,MATCH('Model Inputs &amp; Assumptions'!$L$33,'Model Inputs &amp; Assumptions'!$A$40:$A$42,0))*INDEX('Model Inputs &amp; Assumptions'!$H$40:$H$42,MATCH('Model Inputs &amp; Assumptions'!$L$33,'Model Inputs &amp; Assumptions'!$A$40:$A$42,0))</f>
        <v>1982321.3093143</v>
      </c>
      <c r="K2883" s="49" t="n">
        <f aca="false">H2883*INDEX('Model Inputs &amp; Assumptions'!$G$40:$G$42,MATCH('Model Inputs &amp; Assumptions'!$L$33,'Model Inputs &amp; Assumptions'!$A$40:$A$42,0))*INDEX('Model Inputs &amp; Assumptions'!$H$40:$H$42,MATCH('Model Inputs &amp; Assumptions'!$L$33,'Model Inputs &amp; Assumptions'!$A$40:$A$42,0))</f>
        <v>41628.7474956002</v>
      </c>
      <c r="L2883" s="51" t="n">
        <f aca="false">IFERROR(K2883/I2883,0)</f>
        <v>1.66514989982401</v>
      </c>
      <c r="M2883" s="49" t="n">
        <f aca="false">IFERROR(I2883/H2883,0)</f>
        <v>68.1019768922818</v>
      </c>
      <c r="N2883" s="52" t="str">
        <f aca="false">'Model Inputs &amp; Assumptions'!$L$33</f>
        <v>PRD-SP01</v>
      </c>
      <c r="P2883" s="53" t="n">
        <v>0.933574</v>
      </c>
      <c r="Q2883" s="53" t="n">
        <v>0.147442</v>
      </c>
      <c r="R2883" s="53" t="n">
        <v>1.410676</v>
      </c>
      <c r="S2883" s="53" t="n">
        <v>-0.395879</v>
      </c>
    </row>
    <row r="2884" customFormat="false" ht="15" hidden="false" customHeight="false" outlineLevel="0" collapsed="false">
      <c r="A2884" s="43" t="n">
        <v>381</v>
      </c>
      <c r="B2884" s="44" t="str">
        <f aca="false">'Model Inputs &amp; Assumptions'!$B$33</f>
        <v>Trade Republic — Savings Plan Push</v>
      </c>
      <c r="C2884" s="45" t="n">
        <f aca="false">ROUND(MAX(0,'Model Inputs &amp; Assumptions'!$S$33*EXP('Model Inputs &amp; Assumptions'!$T$33*P2884-'Model Inputs &amp; Assumptions'!$T$33^2/2)),0)</f>
        <v>1503435</v>
      </c>
      <c r="D2884" s="46" t="n">
        <f aca="false">MIN(1,'Model Inputs &amp; Assumptions'!$U$33*EXP('Model Inputs &amp; Assumptions'!$V$33*Q2884-'Model Inputs &amp; Assumptions'!$V$33^2/2))</f>
        <v>0</v>
      </c>
      <c r="E2884" s="45" t="n">
        <f aca="false">ROUND(C2884*D2884,0)</f>
        <v>0</v>
      </c>
      <c r="F2884" s="47" t="n">
        <f aca="false">MIN(1,'Model Inputs &amp; Assumptions'!$W$33*EXP('Model Inputs &amp; Assumptions'!$X$33*R2884-'Model Inputs &amp; Assumptions'!$X$33^2/2))</f>
        <v>0.00403338013866673</v>
      </c>
      <c r="G2884" s="45" t="n">
        <f aca="false">ROUND(C2884*F2884,0)</f>
        <v>6064</v>
      </c>
      <c r="H2884" s="48" t="n">
        <f aca="false">MAX(0,(C2884*'Model Inputs &amp; Assumptions'!$N$33+E2884*'Model Inputs &amp; Assumptions'!$O$33+G2884*'Model Inputs &amp; Assumptions'!$P$33)*EXP('Model Inputs &amp; Assumptions'!$Q$33*S2884-'Model Inputs &amp; Assumptions'!$Q$33^2/2))</f>
        <v>332.990084603792</v>
      </c>
      <c r="I2884" s="49" t="n">
        <f aca="false">IF('Model Inputs &amp; Assumptions'!$H$33="Fixed",'Model Inputs &amp; Assumptions'!$I$33*'Model Inputs &amp; Assumptions'!$K$33,IF('Model Inputs &amp; Assumptions'!$H$33="CPM",'Model Inputs &amp; Assumptions'!$I$33*'Model Inputs &amp; Assumptions'!$K$33*C2884/1000,IF('Model Inputs &amp; Assumptions'!$H$33="CPC",'Model Inputs &amp; Assumptions'!$I$33*'Model Inputs &amp; Assumptions'!$K$33*G2884,0)))</f>
        <v>25000</v>
      </c>
      <c r="J2884" s="50" t="n">
        <f aca="false">H2884*INDEX('Model Inputs &amp; Assumptions'!$D$40:$D$42,MATCH('Model Inputs &amp; Assumptions'!$L$33,'Model Inputs &amp; Assumptions'!$A$40:$A$42,0))*INDEX('Model Inputs &amp; Assumptions'!$H$40:$H$42,MATCH('Model Inputs &amp; Assumptions'!$L$33,'Model Inputs &amp; Assumptions'!$A$40:$A$42,0))</f>
        <v>1798146.45686048</v>
      </c>
      <c r="K2884" s="49" t="n">
        <f aca="false">H2884*INDEX('Model Inputs &amp; Assumptions'!$G$40:$G$42,MATCH('Model Inputs &amp; Assumptions'!$L$33,'Model Inputs &amp; Assumptions'!$A$40:$A$42,0))*INDEX('Model Inputs &amp; Assumptions'!$H$40:$H$42,MATCH('Model Inputs &amp; Assumptions'!$L$33,'Model Inputs &amp; Assumptions'!$A$40:$A$42,0))</f>
        <v>37761.07559407</v>
      </c>
      <c r="L2884" s="51" t="n">
        <f aca="false">IFERROR(K2884/I2884,0)</f>
        <v>1.5104430237628</v>
      </c>
      <c r="M2884" s="49" t="n">
        <f aca="false">IFERROR(I2884/H2884,0)</f>
        <v>75.0773105744162</v>
      </c>
      <c r="N2884" s="52" t="str">
        <f aca="false">'Model Inputs &amp; Assumptions'!$L$33</f>
        <v>PRD-SP01</v>
      </c>
      <c r="P2884" s="53" t="n">
        <v>0.901436</v>
      </c>
      <c r="Q2884" s="53" t="n">
        <v>0.875572</v>
      </c>
      <c r="R2884" s="53" t="n">
        <v>0.622806</v>
      </c>
      <c r="S2884" s="53" t="n">
        <v>0.134321</v>
      </c>
    </row>
    <row r="2885" customFormat="false" ht="15" hidden="false" customHeight="false" outlineLevel="0" collapsed="false">
      <c r="A2885" s="43" t="n">
        <v>382</v>
      </c>
      <c r="B2885" s="44" t="str">
        <f aca="false">'Model Inputs &amp; Assumptions'!$B$33</f>
        <v>Trade Republic — Savings Plan Push</v>
      </c>
      <c r="C2885" s="45" t="n">
        <f aca="false">ROUND(MAX(0,'Model Inputs &amp; Assumptions'!$S$33*EXP('Model Inputs &amp; Assumptions'!$T$33*P2885-'Model Inputs &amp; Assumptions'!$T$33^2/2)),0)</f>
        <v>1298192</v>
      </c>
      <c r="D2885" s="46" t="n">
        <f aca="false">MIN(1,'Model Inputs &amp; Assumptions'!$U$33*EXP('Model Inputs &amp; Assumptions'!$V$33*Q2885-'Model Inputs &amp; Assumptions'!$V$33^2/2))</f>
        <v>0</v>
      </c>
      <c r="E2885" s="45" t="n">
        <f aca="false">ROUND(C2885*D2885,0)</f>
        <v>0</v>
      </c>
      <c r="F2885" s="47" t="n">
        <f aca="false">MIN(1,'Model Inputs &amp; Assumptions'!$W$33*EXP('Model Inputs &amp; Assumptions'!$X$33*R2885-'Model Inputs &amp; Assumptions'!$X$33^2/2))</f>
        <v>0.00270895992170451</v>
      </c>
      <c r="G2885" s="45" t="n">
        <f aca="false">ROUND(C2885*F2885,0)</f>
        <v>3517</v>
      </c>
      <c r="H2885" s="48" t="n">
        <f aca="false">MAX(0,(C2885*'Model Inputs &amp; Assumptions'!$N$33+E2885*'Model Inputs &amp; Assumptions'!$O$33+G2885*'Model Inputs &amp; Assumptions'!$P$33)*EXP('Model Inputs &amp; Assumptions'!$Q$33*S2885-'Model Inputs &amp; Assumptions'!$Q$33^2/2))</f>
        <v>152.420870394814</v>
      </c>
      <c r="I2885" s="49" t="n">
        <f aca="false">IF('Model Inputs &amp; Assumptions'!$H$33="Fixed",'Model Inputs &amp; Assumptions'!$I$33*'Model Inputs &amp; Assumptions'!$K$33,IF('Model Inputs &amp; Assumptions'!$H$33="CPM",'Model Inputs &amp; Assumptions'!$I$33*'Model Inputs &amp; Assumptions'!$K$33*C2885/1000,IF('Model Inputs &amp; Assumptions'!$H$33="CPC",'Model Inputs &amp; Assumptions'!$I$33*'Model Inputs &amp; Assumptions'!$K$33*G2885,0)))</f>
        <v>25000</v>
      </c>
      <c r="J2885" s="50" t="n">
        <f aca="false">H2885*INDEX('Model Inputs &amp; Assumptions'!$D$40:$D$42,MATCH('Model Inputs &amp; Assumptions'!$L$33,'Model Inputs &amp; Assumptions'!$A$40:$A$42,0))*INDEX('Model Inputs &amp; Assumptions'!$H$40:$H$42,MATCH('Model Inputs &amp; Assumptions'!$L$33,'Model Inputs &amp; Assumptions'!$A$40:$A$42,0))</f>
        <v>823072.700131995</v>
      </c>
      <c r="K2885" s="49" t="n">
        <f aca="false">H2885*INDEX('Model Inputs &amp; Assumptions'!$G$40:$G$42,MATCH('Model Inputs &amp; Assumptions'!$L$33,'Model Inputs &amp; Assumptions'!$A$40:$A$42,0))*INDEX('Model Inputs &amp; Assumptions'!$H$40:$H$42,MATCH('Model Inputs &amp; Assumptions'!$L$33,'Model Inputs &amp; Assumptions'!$A$40:$A$42,0))</f>
        <v>17284.5267027719</v>
      </c>
      <c r="L2885" s="51" t="n">
        <f aca="false">IFERROR(K2885/I2885,0)</f>
        <v>0.691381068110876</v>
      </c>
      <c r="M2885" s="49" t="n">
        <f aca="false">IFERROR(I2885/H2885,0)</f>
        <v>164.019533120647</v>
      </c>
      <c r="N2885" s="52" t="str">
        <f aca="false">'Model Inputs &amp; Assumptions'!$L$33</f>
        <v>PRD-SP01</v>
      </c>
      <c r="P2885" s="53" t="n">
        <v>0.412171</v>
      </c>
      <c r="Q2885" s="53" t="n">
        <v>1.445721</v>
      </c>
      <c r="R2885" s="53" t="n">
        <v>-0.703994</v>
      </c>
      <c r="S2885" s="53" t="n">
        <v>-0.711057</v>
      </c>
    </row>
    <row r="2886" customFormat="false" ht="15" hidden="false" customHeight="false" outlineLevel="0" collapsed="false">
      <c r="A2886" s="43" t="n">
        <v>383</v>
      </c>
      <c r="B2886" s="44" t="str">
        <f aca="false">'Model Inputs &amp; Assumptions'!$B$33</f>
        <v>Trade Republic — Savings Plan Push</v>
      </c>
      <c r="C2886" s="45" t="n">
        <f aca="false">ROUND(MAX(0,'Model Inputs &amp; Assumptions'!$S$33*EXP('Model Inputs &amp; Assumptions'!$T$33*P2886-'Model Inputs &amp; Assumptions'!$T$33^2/2)),0)</f>
        <v>911367</v>
      </c>
      <c r="D2886" s="46" t="n">
        <f aca="false">MIN(1,'Model Inputs &amp; Assumptions'!$U$33*EXP('Model Inputs &amp; Assumptions'!$V$33*Q2886-'Model Inputs &amp; Assumptions'!$V$33^2/2))</f>
        <v>0</v>
      </c>
      <c r="E2886" s="45" t="n">
        <f aca="false">ROUND(C2886*D2886,0)</f>
        <v>0</v>
      </c>
      <c r="F2886" s="47" t="n">
        <f aca="false">MIN(1,'Model Inputs &amp; Assumptions'!$W$33*EXP('Model Inputs &amp; Assumptions'!$X$33*R2886-'Model Inputs &amp; Assumptions'!$X$33^2/2))</f>
        <v>0.00307751566272651</v>
      </c>
      <c r="G2886" s="45" t="n">
        <f aca="false">ROUND(C2886*F2886,0)</f>
        <v>2805</v>
      </c>
      <c r="H2886" s="48" t="n">
        <f aca="false">MAX(0,(C2886*'Model Inputs &amp; Assumptions'!$N$33+E2886*'Model Inputs &amp; Assumptions'!$O$33+G2886*'Model Inputs &amp; Assumptions'!$P$33)*EXP('Model Inputs &amp; Assumptions'!$Q$33*S2886-'Model Inputs &amp; Assumptions'!$Q$33^2/2))</f>
        <v>133.348713655978</v>
      </c>
      <c r="I2886" s="49" t="n">
        <f aca="false">IF('Model Inputs &amp; Assumptions'!$H$33="Fixed",'Model Inputs &amp; Assumptions'!$I$33*'Model Inputs &amp; Assumptions'!$K$33,IF('Model Inputs &amp; Assumptions'!$H$33="CPM",'Model Inputs &amp; Assumptions'!$I$33*'Model Inputs &amp; Assumptions'!$K$33*C2886/1000,IF('Model Inputs &amp; Assumptions'!$H$33="CPC",'Model Inputs &amp; Assumptions'!$I$33*'Model Inputs &amp; Assumptions'!$K$33*G2886,0)))</f>
        <v>25000</v>
      </c>
      <c r="J2886" s="50" t="n">
        <f aca="false">H2886*INDEX('Model Inputs &amp; Assumptions'!$D$40:$D$42,MATCH('Model Inputs &amp; Assumptions'!$L$33,'Model Inputs &amp; Assumptions'!$A$40:$A$42,0))*INDEX('Model Inputs &amp; Assumptions'!$H$40:$H$42,MATCH('Model Inputs &amp; Assumptions'!$L$33,'Model Inputs &amp; Assumptions'!$A$40:$A$42,0))</f>
        <v>720083.053742283</v>
      </c>
      <c r="K2886" s="49" t="n">
        <f aca="false">H2886*INDEX('Model Inputs &amp; Assumptions'!$G$40:$G$42,MATCH('Model Inputs &amp; Assumptions'!$L$33,'Model Inputs &amp; Assumptions'!$A$40:$A$42,0))*INDEX('Model Inputs &amp; Assumptions'!$H$40:$H$42,MATCH('Model Inputs &amp; Assumptions'!$L$33,'Model Inputs &amp; Assumptions'!$A$40:$A$42,0))</f>
        <v>15121.7441285879</v>
      </c>
      <c r="L2886" s="51" t="n">
        <f aca="false">IFERROR(K2886/I2886,0)</f>
        <v>0.604869765143517</v>
      </c>
      <c r="M2886" s="49" t="n">
        <f aca="false">IFERROR(I2886/H2886,0)</f>
        <v>187.478373915902</v>
      </c>
      <c r="N2886" s="52" t="str">
        <f aca="false">'Model Inputs &amp; Assumptions'!$L$33</f>
        <v>PRD-SP01</v>
      </c>
      <c r="P2886" s="53" t="n">
        <v>-0.767104</v>
      </c>
      <c r="Q2886" s="53" t="n">
        <v>1.901511</v>
      </c>
      <c r="R2886" s="53" t="n">
        <v>-0.278801</v>
      </c>
      <c r="S2886" s="53" t="n">
        <v>-0.380604</v>
      </c>
    </row>
    <row r="2887" customFormat="false" ht="15" hidden="false" customHeight="false" outlineLevel="0" collapsed="false">
      <c r="A2887" s="43" t="n">
        <v>384</v>
      </c>
      <c r="B2887" s="44" t="str">
        <f aca="false">'Model Inputs &amp; Assumptions'!$B$33</f>
        <v>Trade Republic — Savings Plan Push</v>
      </c>
      <c r="C2887" s="45" t="n">
        <f aca="false">ROUND(MAX(0,'Model Inputs &amp; Assumptions'!$S$33*EXP('Model Inputs &amp; Assumptions'!$T$33*P2887-'Model Inputs &amp; Assumptions'!$T$33^2/2)),0)</f>
        <v>895980</v>
      </c>
      <c r="D2887" s="46" t="n">
        <f aca="false">MIN(1,'Model Inputs &amp; Assumptions'!$U$33*EXP('Model Inputs &amp; Assumptions'!$V$33*Q2887-'Model Inputs &amp; Assumptions'!$V$33^2/2))</f>
        <v>0</v>
      </c>
      <c r="E2887" s="45" t="n">
        <f aca="false">ROUND(C2887*D2887,0)</f>
        <v>0</v>
      </c>
      <c r="F2887" s="47" t="n">
        <f aca="false">MIN(1,'Model Inputs &amp; Assumptions'!$W$33*EXP('Model Inputs &amp; Assumptions'!$X$33*R2887-'Model Inputs &amp; Assumptions'!$X$33^2/2))</f>
        <v>0.00245337191088698</v>
      </c>
      <c r="G2887" s="45" t="n">
        <f aca="false">ROUND(C2887*F2887,0)</f>
        <v>2198</v>
      </c>
      <c r="H2887" s="48" t="n">
        <f aca="false">MAX(0,(C2887*'Model Inputs &amp; Assumptions'!$N$33+E2887*'Model Inputs &amp; Assumptions'!$O$33+G2887*'Model Inputs &amp; Assumptions'!$P$33)*EXP('Model Inputs &amp; Assumptions'!$Q$33*S2887-'Model Inputs &amp; Assumptions'!$Q$33^2/2))</f>
        <v>88.4678599116898</v>
      </c>
      <c r="I2887" s="49" t="n">
        <f aca="false">IF('Model Inputs &amp; Assumptions'!$H$33="Fixed",'Model Inputs &amp; Assumptions'!$I$33*'Model Inputs &amp; Assumptions'!$K$33,IF('Model Inputs &amp; Assumptions'!$H$33="CPM",'Model Inputs &amp; Assumptions'!$I$33*'Model Inputs &amp; Assumptions'!$K$33*C2887/1000,IF('Model Inputs &amp; Assumptions'!$H$33="CPC",'Model Inputs &amp; Assumptions'!$I$33*'Model Inputs &amp; Assumptions'!$K$33*G2887,0)))</f>
        <v>25000</v>
      </c>
      <c r="J2887" s="50" t="n">
        <f aca="false">H2887*INDEX('Model Inputs &amp; Assumptions'!$D$40:$D$42,MATCH('Model Inputs &amp; Assumptions'!$L$33,'Model Inputs &amp; Assumptions'!$A$40:$A$42,0))*INDEX('Model Inputs &amp; Assumptions'!$H$40:$H$42,MATCH('Model Inputs &amp; Assumptions'!$L$33,'Model Inputs &amp; Assumptions'!$A$40:$A$42,0))</f>
        <v>477726.443523125</v>
      </c>
      <c r="K2887" s="49" t="n">
        <f aca="false">H2887*INDEX('Model Inputs &amp; Assumptions'!$G$40:$G$42,MATCH('Model Inputs &amp; Assumptions'!$L$33,'Model Inputs &amp; Assumptions'!$A$40:$A$42,0))*INDEX('Model Inputs &amp; Assumptions'!$H$40:$H$42,MATCH('Model Inputs &amp; Assumptions'!$L$33,'Model Inputs &amp; Assumptions'!$A$40:$A$42,0))</f>
        <v>10032.2553139856</v>
      </c>
      <c r="L2887" s="51" t="n">
        <f aca="false">IFERROR(K2887/I2887,0)</f>
        <v>0.401290212559425</v>
      </c>
      <c r="M2887" s="49" t="n">
        <f aca="false">IFERROR(I2887/H2887,0)</f>
        <v>282.588501914203</v>
      </c>
      <c r="N2887" s="52" t="str">
        <f aca="false">'Model Inputs &amp; Assumptions'!$L$33</f>
        <v>PRD-SP01</v>
      </c>
      <c r="P2887" s="53" t="n">
        <v>-0.823864</v>
      </c>
      <c r="Q2887" s="53" t="n">
        <v>-1.203219</v>
      </c>
      <c r="R2887" s="53" t="n">
        <v>-1.034332</v>
      </c>
      <c r="S2887" s="53" t="n">
        <v>-0.975149</v>
      </c>
    </row>
    <row r="2888" customFormat="false" ht="15" hidden="false" customHeight="false" outlineLevel="0" collapsed="false">
      <c r="A2888" s="43" t="n">
        <v>385</v>
      </c>
      <c r="B2888" s="44" t="str">
        <f aca="false">'Model Inputs &amp; Assumptions'!$B$33</f>
        <v>Trade Republic — Savings Plan Push</v>
      </c>
      <c r="C2888" s="45" t="n">
        <f aca="false">ROUND(MAX(0,'Model Inputs &amp; Assumptions'!$S$33*EXP('Model Inputs &amp; Assumptions'!$T$33*P2888-'Model Inputs &amp; Assumptions'!$T$33^2/2)),0)</f>
        <v>1132594</v>
      </c>
      <c r="D2888" s="46" t="n">
        <f aca="false">MIN(1,'Model Inputs &amp; Assumptions'!$U$33*EXP('Model Inputs &amp; Assumptions'!$V$33*Q2888-'Model Inputs &amp; Assumptions'!$V$33^2/2))</f>
        <v>0</v>
      </c>
      <c r="E2888" s="45" t="n">
        <f aca="false">ROUND(C2888*D2888,0)</f>
        <v>0</v>
      </c>
      <c r="F2888" s="47" t="n">
        <f aca="false">MIN(1,'Model Inputs &amp; Assumptions'!$W$33*EXP('Model Inputs &amp; Assumptions'!$X$33*R2888-'Model Inputs &amp; Assumptions'!$X$33^2/2))</f>
        <v>0.0037017466228531</v>
      </c>
      <c r="G2888" s="45" t="n">
        <f aca="false">ROUND(C2888*F2888,0)</f>
        <v>4193</v>
      </c>
      <c r="H2888" s="48" t="n">
        <f aca="false">MAX(0,(C2888*'Model Inputs &amp; Assumptions'!$N$33+E2888*'Model Inputs &amp; Assumptions'!$O$33+G2888*'Model Inputs &amp; Assumptions'!$P$33)*EXP('Model Inputs &amp; Assumptions'!$Q$33*S2888-'Model Inputs &amp; Assumptions'!$Q$33^2/2))</f>
        <v>291.403275255328</v>
      </c>
      <c r="I2888" s="49" t="n">
        <f aca="false">IF('Model Inputs &amp; Assumptions'!$H$33="Fixed",'Model Inputs &amp; Assumptions'!$I$33*'Model Inputs &amp; Assumptions'!$K$33,IF('Model Inputs &amp; Assumptions'!$H$33="CPM",'Model Inputs &amp; Assumptions'!$I$33*'Model Inputs &amp; Assumptions'!$K$33*C2888/1000,IF('Model Inputs &amp; Assumptions'!$H$33="CPC",'Model Inputs &amp; Assumptions'!$I$33*'Model Inputs &amp; Assumptions'!$K$33*G2888,0)))</f>
        <v>25000</v>
      </c>
      <c r="J2888" s="50" t="n">
        <f aca="false">H2888*INDEX('Model Inputs &amp; Assumptions'!$D$40:$D$42,MATCH('Model Inputs &amp; Assumptions'!$L$33,'Model Inputs &amp; Assumptions'!$A$40:$A$42,0))*INDEX('Model Inputs &amp; Assumptions'!$H$40:$H$42,MATCH('Model Inputs &amp; Assumptions'!$L$33,'Model Inputs &amp; Assumptions'!$A$40:$A$42,0))</f>
        <v>1573577.68637877</v>
      </c>
      <c r="K2888" s="49" t="n">
        <f aca="false">H2888*INDEX('Model Inputs &amp; Assumptions'!$G$40:$G$42,MATCH('Model Inputs &amp; Assumptions'!$L$33,'Model Inputs &amp; Assumptions'!$A$40:$A$42,0))*INDEX('Model Inputs &amp; Assumptions'!$H$40:$H$42,MATCH('Model Inputs &amp; Assumptions'!$L$33,'Model Inputs &amp; Assumptions'!$A$40:$A$42,0))</f>
        <v>33045.1314139542</v>
      </c>
      <c r="L2888" s="51" t="n">
        <f aca="false">IFERROR(K2888/I2888,0)</f>
        <v>1.32180525655817</v>
      </c>
      <c r="M2888" s="49" t="n">
        <f aca="false">IFERROR(I2888/H2888,0)</f>
        <v>85.7917605013017</v>
      </c>
      <c r="N2888" s="52" t="str">
        <f aca="false">'Model Inputs &amp; Assumptions'!$L$33</f>
        <v>PRD-SP01</v>
      </c>
      <c r="P2888" s="53" t="n">
        <v>-0.042703</v>
      </c>
      <c r="Q2888" s="53" t="n">
        <v>1.918198</v>
      </c>
      <c r="R2888" s="53" t="n">
        <v>0.336806</v>
      </c>
      <c r="S2888" s="53" t="n">
        <v>0.975566</v>
      </c>
    </row>
    <row r="2889" customFormat="false" ht="15" hidden="false" customHeight="false" outlineLevel="0" collapsed="false">
      <c r="A2889" s="43" t="n">
        <v>386</v>
      </c>
      <c r="B2889" s="44" t="str">
        <f aca="false">'Model Inputs &amp; Assumptions'!$B$33</f>
        <v>Trade Republic — Savings Plan Push</v>
      </c>
      <c r="C2889" s="45" t="n">
        <f aca="false">ROUND(MAX(0,'Model Inputs &amp; Assumptions'!$S$33*EXP('Model Inputs &amp; Assumptions'!$T$33*P2889-'Model Inputs &amp; Assumptions'!$T$33^2/2)),0)</f>
        <v>1465269</v>
      </c>
      <c r="D2889" s="46" t="n">
        <f aca="false">MIN(1,'Model Inputs &amp; Assumptions'!$U$33*EXP('Model Inputs &amp; Assumptions'!$V$33*Q2889-'Model Inputs &amp; Assumptions'!$V$33^2/2))</f>
        <v>0</v>
      </c>
      <c r="E2889" s="45" t="n">
        <f aca="false">ROUND(C2889*D2889,0)</f>
        <v>0</v>
      </c>
      <c r="F2889" s="47" t="n">
        <f aca="false">MIN(1,'Model Inputs &amp; Assumptions'!$W$33*EXP('Model Inputs &amp; Assumptions'!$X$33*R2889-'Model Inputs &amp; Assumptions'!$X$33^2/2))</f>
        <v>0.00266723050088925</v>
      </c>
      <c r="G2889" s="45" t="n">
        <f aca="false">ROUND(C2889*F2889,0)</f>
        <v>3908</v>
      </c>
      <c r="H2889" s="48" t="n">
        <f aca="false">MAX(0,(C2889*'Model Inputs &amp; Assumptions'!$N$33+E2889*'Model Inputs &amp; Assumptions'!$O$33+G2889*'Model Inputs &amp; Assumptions'!$P$33)*EXP('Model Inputs &amp; Assumptions'!$Q$33*S2889-'Model Inputs &amp; Assumptions'!$Q$33^2/2))</f>
        <v>188.846553567019</v>
      </c>
      <c r="I2889" s="49" t="n">
        <f aca="false">IF('Model Inputs &amp; Assumptions'!$H$33="Fixed",'Model Inputs &amp; Assumptions'!$I$33*'Model Inputs &amp; Assumptions'!$K$33,IF('Model Inputs &amp; Assumptions'!$H$33="CPM",'Model Inputs &amp; Assumptions'!$I$33*'Model Inputs &amp; Assumptions'!$K$33*C2889/1000,IF('Model Inputs &amp; Assumptions'!$H$33="CPC",'Model Inputs &amp; Assumptions'!$I$33*'Model Inputs &amp; Assumptions'!$K$33*G2889,0)))</f>
        <v>25000</v>
      </c>
      <c r="J2889" s="50" t="n">
        <f aca="false">H2889*INDEX('Model Inputs &amp; Assumptions'!$D$40:$D$42,MATCH('Model Inputs &amp; Assumptions'!$L$33,'Model Inputs &amp; Assumptions'!$A$40:$A$42,0))*INDEX('Model Inputs &amp; Assumptions'!$H$40:$H$42,MATCH('Model Inputs &amp; Assumptions'!$L$33,'Model Inputs &amp; Assumptions'!$A$40:$A$42,0))</f>
        <v>1019771.3892619</v>
      </c>
      <c r="K2889" s="49" t="n">
        <f aca="false">H2889*INDEX('Model Inputs &amp; Assumptions'!$G$40:$G$42,MATCH('Model Inputs &amp; Assumptions'!$L$33,'Model Inputs &amp; Assumptions'!$A$40:$A$42,0))*INDEX('Model Inputs &amp; Assumptions'!$H$40:$H$42,MATCH('Model Inputs &amp; Assumptions'!$L$33,'Model Inputs &amp; Assumptions'!$A$40:$A$42,0))</f>
        <v>21415.1991744999</v>
      </c>
      <c r="L2889" s="51" t="n">
        <f aca="false">IFERROR(K2889/I2889,0)</f>
        <v>0.856607966979996</v>
      </c>
      <c r="M2889" s="49" t="n">
        <f aca="false">IFERROR(I2889/H2889,0)</f>
        <v>132.382611849614</v>
      </c>
      <c r="N2889" s="52" t="str">
        <f aca="false">'Model Inputs &amp; Assumptions'!$L$33</f>
        <v>PRD-SP01</v>
      </c>
      <c r="P2889" s="53" t="n">
        <v>0.815724</v>
      </c>
      <c r="Q2889" s="53" t="n">
        <v>0.773672</v>
      </c>
      <c r="R2889" s="53" t="n">
        <v>-0.755741</v>
      </c>
      <c r="S2889" s="53" t="n">
        <v>-0.322229</v>
      </c>
    </row>
    <row r="2890" customFormat="false" ht="15" hidden="false" customHeight="false" outlineLevel="0" collapsed="false">
      <c r="A2890" s="43" t="n">
        <v>387</v>
      </c>
      <c r="B2890" s="44" t="str">
        <f aca="false">'Model Inputs &amp; Assumptions'!$B$33</f>
        <v>Trade Republic — Savings Plan Push</v>
      </c>
      <c r="C2890" s="45" t="n">
        <f aca="false">ROUND(MAX(0,'Model Inputs &amp; Assumptions'!$S$33*EXP('Model Inputs &amp; Assumptions'!$T$33*P2890-'Model Inputs &amp; Assumptions'!$T$33^2/2)),0)</f>
        <v>1015222</v>
      </c>
      <c r="D2890" s="46" t="n">
        <f aca="false">MIN(1,'Model Inputs &amp; Assumptions'!$U$33*EXP('Model Inputs &amp; Assumptions'!$V$33*Q2890-'Model Inputs &amp; Assumptions'!$V$33^2/2))</f>
        <v>0</v>
      </c>
      <c r="E2890" s="45" t="n">
        <f aca="false">ROUND(C2890*D2890,0)</f>
        <v>0</v>
      </c>
      <c r="F2890" s="47" t="n">
        <f aca="false">MIN(1,'Model Inputs &amp; Assumptions'!$W$33*EXP('Model Inputs &amp; Assumptions'!$X$33*R2890-'Model Inputs &amp; Assumptions'!$X$33^2/2))</f>
        <v>0.00171091355148845</v>
      </c>
      <c r="G2890" s="45" t="n">
        <f aca="false">ROUND(C2890*F2890,0)</f>
        <v>1737</v>
      </c>
      <c r="H2890" s="48" t="n">
        <f aca="false">MAX(0,(C2890*'Model Inputs &amp; Assumptions'!$N$33+E2890*'Model Inputs &amp; Assumptions'!$O$33+G2890*'Model Inputs &amp; Assumptions'!$P$33)*EXP('Model Inputs &amp; Assumptions'!$Q$33*S2890-'Model Inputs &amp; Assumptions'!$Q$33^2/2))</f>
        <v>125.817065704157</v>
      </c>
      <c r="I2890" s="49" t="n">
        <f aca="false">IF('Model Inputs &amp; Assumptions'!$H$33="Fixed",'Model Inputs &amp; Assumptions'!$I$33*'Model Inputs &amp; Assumptions'!$K$33,IF('Model Inputs &amp; Assumptions'!$H$33="CPM",'Model Inputs &amp; Assumptions'!$I$33*'Model Inputs &amp; Assumptions'!$K$33*C2890/1000,IF('Model Inputs &amp; Assumptions'!$H$33="CPC",'Model Inputs &amp; Assumptions'!$I$33*'Model Inputs &amp; Assumptions'!$K$33*G2890,0)))</f>
        <v>25000</v>
      </c>
      <c r="J2890" s="50" t="n">
        <f aca="false">H2890*INDEX('Model Inputs &amp; Assumptions'!$D$40:$D$42,MATCH('Model Inputs &amp; Assumptions'!$L$33,'Model Inputs &amp; Assumptions'!$A$40:$A$42,0))*INDEX('Model Inputs &amp; Assumptions'!$H$40:$H$42,MATCH('Model Inputs &amp; Assumptions'!$L$33,'Model Inputs &amp; Assumptions'!$A$40:$A$42,0))</f>
        <v>679412.15480245</v>
      </c>
      <c r="K2890" s="49" t="n">
        <f aca="false">H2890*INDEX('Model Inputs &amp; Assumptions'!$G$40:$G$42,MATCH('Model Inputs &amp; Assumptions'!$L$33,'Model Inputs &amp; Assumptions'!$A$40:$A$42,0))*INDEX('Model Inputs &amp; Assumptions'!$H$40:$H$42,MATCH('Model Inputs &amp; Assumptions'!$L$33,'Model Inputs &amp; Assumptions'!$A$40:$A$42,0))</f>
        <v>14267.6552508515</v>
      </c>
      <c r="L2890" s="51" t="n">
        <f aca="false">IFERROR(K2890/I2890,0)</f>
        <v>0.570706210034058</v>
      </c>
      <c r="M2890" s="49" t="n">
        <f aca="false">IFERROR(I2890/H2890,0)</f>
        <v>198.701184613415</v>
      </c>
      <c r="N2890" s="52" t="str">
        <f aca="false">'Model Inputs &amp; Assumptions'!$L$33</f>
        <v>PRD-SP01</v>
      </c>
      <c r="P2890" s="53" t="n">
        <v>-0.407382</v>
      </c>
      <c r="Q2890" s="53" t="n">
        <v>0.722183</v>
      </c>
      <c r="R2890" s="53" t="n">
        <v>-2.235785</v>
      </c>
      <c r="S2890" s="53" t="n">
        <v>1.123344</v>
      </c>
    </row>
    <row r="2891" customFormat="false" ht="15" hidden="false" customHeight="false" outlineLevel="0" collapsed="false">
      <c r="A2891" s="43" t="n">
        <v>388</v>
      </c>
      <c r="B2891" s="44" t="str">
        <f aca="false">'Model Inputs &amp; Assumptions'!$B$33</f>
        <v>Trade Republic — Savings Plan Push</v>
      </c>
      <c r="C2891" s="45" t="n">
        <f aca="false">ROUND(MAX(0,'Model Inputs &amp; Assumptions'!$S$33*EXP('Model Inputs &amp; Assumptions'!$T$33*P2891-'Model Inputs &amp; Assumptions'!$T$33^2/2)),0)</f>
        <v>850707</v>
      </c>
      <c r="D2891" s="46" t="n">
        <f aca="false">MIN(1,'Model Inputs &amp; Assumptions'!$U$33*EXP('Model Inputs &amp; Assumptions'!$V$33*Q2891-'Model Inputs &amp; Assumptions'!$V$33^2/2))</f>
        <v>0</v>
      </c>
      <c r="E2891" s="45" t="n">
        <f aca="false">ROUND(C2891*D2891,0)</f>
        <v>0</v>
      </c>
      <c r="F2891" s="47" t="n">
        <f aca="false">MIN(1,'Model Inputs &amp; Assumptions'!$W$33*EXP('Model Inputs &amp; Assumptions'!$X$33*R2891-'Model Inputs &amp; Assumptions'!$X$33^2/2))</f>
        <v>0.00297292010015096</v>
      </c>
      <c r="G2891" s="45" t="n">
        <f aca="false">ROUND(C2891*F2891,0)</f>
        <v>2529</v>
      </c>
      <c r="H2891" s="48" t="n">
        <f aca="false">MAX(0,(C2891*'Model Inputs &amp; Assumptions'!$N$33+E2891*'Model Inputs &amp; Assumptions'!$O$33+G2891*'Model Inputs &amp; Assumptions'!$P$33)*EXP('Model Inputs &amp; Assumptions'!$Q$33*S2891-'Model Inputs &amp; Assumptions'!$Q$33^2/2))</f>
        <v>187.351114301275</v>
      </c>
      <c r="I2891" s="49" t="n">
        <f aca="false">IF('Model Inputs &amp; Assumptions'!$H$33="Fixed",'Model Inputs &amp; Assumptions'!$I$33*'Model Inputs &amp; Assumptions'!$K$33,IF('Model Inputs &amp; Assumptions'!$H$33="CPM",'Model Inputs &amp; Assumptions'!$I$33*'Model Inputs &amp; Assumptions'!$K$33*C2891/1000,IF('Model Inputs &amp; Assumptions'!$H$33="CPC",'Model Inputs &amp; Assumptions'!$I$33*'Model Inputs &amp; Assumptions'!$K$33*G2891,0)))</f>
        <v>25000</v>
      </c>
      <c r="J2891" s="50" t="n">
        <f aca="false">H2891*INDEX('Model Inputs &amp; Assumptions'!$D$40:$D$42,MATCH('Model Inputs &amp; Assumptions'!$L$33,'Model Inputs &amp; Assumptions'!$A$40:$A$42,0))*INDEX('Model Inputs &amp; Assumptions'!$H$40:$H$42,MATCH('Model Inputs &amp; Assumptions'!$L$33,'Model Inputs &amp; Assumptions'!$A$40:$A$42,0))</f>
        <v>1011696.01722688</v>
      </c>
      <c r="K2891" s="49" t="n">
        <f aca="false">H2891*INDEX('Model Inputs &amp; Assumptions'!$G$40:$G$42,MATCH('Model Inputs &amp; Assumptions'!$L$33,'Model Inputs &amp; Assumptions'!$A$40:$A$42,0))*INDEX('Model Inputs &amp; Assumptions'!$H$40:$H$42,MATCH('Model Inputs &amp; Assumptions'!$L$33,'Model Inputs &amp; Assumptions'!$A$40:$A$42,0))</f>
        <v>21245.6163617645</v>
      </c>
      <c r="L2891" s="51" t="n">
        <f aca="false">IFERROR(K2891/I2891,0)</f>
        <v>0.849824654470582</v>
      </c>
      <c r="M2891" s="49" t="n">
        <f aca="false">IFERROR(I2891/H2891,0)</f>
        <v>133.439291745007</v>
      </c>
      <c r="N2891" s="52" t="str">
        <f aca="false">'Model Inputs &amp; Assumptions'!$L$33</f>
        <v>PRD-SP01</v>
      </c>
      <c r="P2891" s="53" t="n">
        <v>-0.996698</v>
      </c>
      <c r="Q2891" s="53" t="n">
        <v>-0.669576</v>
      </c>
      <c r="R2891" s="53" t="n">
        <v>-0.394061</v>
      </c>
      <c r="S2891" s="53" t="n">
        <v>1.203669</v>
      </c>
    </row>
    <row r="2892" customFormat="false" ht="15" hidden="false" customHeight="false" outlineLevel="0" collapsed="false">
      <c r="A2892" s="43" t="n">
        <v>389</v>
      </c>
      <c r="B2892" s="44" t="str">
        <f aca="false">'Model Inputs &amp; Assumptions'!$B$33</f>
        <v>Trade Republic — Savings Plan Push</v>
      </c>
      <c r="C2892" s="45" t="n">
        <f aca="false">ROUND(MAX(0,'Model Inputs &amp; Assumptions'!$S$33*EXP('Model Inputs &amp; Assumptions'!$T$33*P2892-'Model Inputs &amp; Assumptions'!$T$33^2/2)),0)</f>
        <v>1214465</v>
      </c>
      <c r="D2892" s="46" t="n">
        <f aca="false">MIN(1,'Model Inputs &amp; Assumptions'!$U$33*EXP('Model Inputs &amp; Assumptions'!$V$33*Q2892-'Model Inputs &amp; Assumptions'!$V$33^2/2))</f>
        <v>0</v>
      </c>
      <c r="E2892" s="45" t="n">
        <f aca="false">ROUND(C2892*D2892,0)</f>
        <v>0</v>
      </c>
      <c r="F2892" s="47" t="n">
        <f aca="false">MIN(1,'Model Inputs &amp; Assumptions'!$W$33*EXP('Model Inputs &amp; Assumptions'!$X$33*R2892-'Model Inputs &amp; Assumptions'!$X$33^2/2))</f>
        <v>0.00504525838472651</v>
      </c>
      <c r="G2892" s="45" t="n">
        <f aca="false">ROUND(C2892*F2892,0)</f>
        <v>6127</v>
      </c>
      <c r="H2892" s="48" t="n">
        <f aca="false">MAX(0,(C2892*'Model Inputs &amp; Assumptions'!$N$33+E2892*'Model Inputs &amp; Assumptions'!$O$33+G2892*'Model Inputs &amp; Assumptions'!$P$33)*EXP('Model Inputs &amp; Assumptions'!$Q$33*S2892-'Model Inputs &amp; Assumptions'!$Q$33^2/2))</f>
        <v>483.986289567722</v>
      </c>
      <c r="I2892" s="49" t="n">
        <f aca="false">IF('Model Inputs &amp; Assumptions'!$H$33="Fixed",'Model Inputs &amp; Assumptions'!$I$33*'Model Inputs &amp; Assumptions'!$K$33,IF('Model Inputs &amp; Assumptions'!$H$33="CPM",'Model Inputs &amp; Assumptions'!$I$33*'Model Inputs &amp; Assumptions'!$K$33*C2892/1000,IF('Model Inputs &amp; Assumptions'!$H$33="CPC",'Model Inputs &amp; Assumptions'!$I$33*'Model Inputs &amp; Assumptions'!$K$33*G2892,0)))</f>
        <v>25000</v>
      </c>
      <c r="J2892" s="50" t="n">
        <f aca="false">H2892*INDEX('Model Inputs &amp; Assumptions'!$D$40:$D$42,MATCH('Model Inputs &amp; Assumptions'!$L$33,'Model Inputs &amp; Assumptions'!$A$40:$A$42,0))*INDEX('Model Inputs &amp; Assumptions'!$H$40:$H$42,MATCH('Model Inputs &amp; Assumptions'!$L$33,'Model Inputs &amp; Assumptions'!$A$40:$A$42,0))</f>
        <v>2613525.9636657</v>
      </c>
      <c r="K2892" s="49" t="n">
        <f aca="false">H2892*INDEX('Model Inputs &amp; Assumptions'!$G$40:$G$42,MATCH('Model Inputs &amp; Assumptions'!$L$33,'Model Inputs &amp; Assumptions'!$A$40:$A$42,0))*INDEX('Model Inputs &amp; Assumptions'!$H$40:$H$42,MATCH('Model Inputs &amp; Assumptions'!$L$33,'Model Inputs &amp; Assumptions'!$A$40:$A$42,0))</f>
        <v>54884.0452369797</v>
      </c>
      <c r="L2892" s="51" t="n">
        <f aca="false">IFERROR(K2892/I2892,0)</f>
        <v>2.19536180947919</v>
      </c>
      <c r="M2892" s="49" t="n">
        <f aca="false">IFERROR(I2892/H2892,0)</f>
        <v>51.6543557924524</v>
      </c>
      <c r="N2892" s="52" t="str">
        <f aca="false">'Model Inputs &amp; Assumptions'!$L$33</f>
        <v>PRD-SP01</v>
      </c>
      <c r="P2892" s="53" t="n">
        <v>0.189941</v>
      </c>
      <c r="Q2892" s="53" t="n">
        <v>0.276793</v>
      </c>
      <c r="R2892" s="53" t="n">
        <v>1.368953</v>
      </c>
      <c r="S2892" s="53" t="n">
        <v>1.432922</v>
      </c>
    </row>
    <row r="2893" customFormat="false" ht="15" hidden="false" customHeight="false" outlineLevel="0" collapsed="false">
      <c r="A2893" s="43" t="n">
        <v>390</v>
      </c>
      <c r="B2893" s="44" t="str">
        <f aca="false">'Model Inputs &amp; Assumptions'!$B$33</f>
        <v>Trade Republic — Savings Plan Push</v>
      </c>
      <c r="C2893" s="45" t="n">
        <f aca="false">ROUND(MAX(0,'Model Inputs &amp; Assumptions'!$S$33*EXP('Model Inputs &amp; Assumptions'!$T$33*P2893-'Model Inputs &amp; Assumptions'!$T$33^2/2)),0)</f>
        <v>1195592</v>
      </c>
      <c r="D2893" s="46" t="n">
        <f aca="false">MIN(1,'Model Inputs &amp; Assumptions'!$U$33*EXP('Model Inputs &amp; Assumptions'!$V$33*Q2893-'Model Inputs &amp; Assumptions'!$V$33^2/2))</f>
        <v>0</v>
      </c>
      <c r="E2893" s="45" t="n">
        <f aca="false">ROUND(C2893*D2893,0)</f>
        <v>0</v>
      </c>
      <c r="F2893" s="47" t="n">
        <f aca="false">MIN(1,'Model Inputs &amp; Assumptions'!$W$33*EXP('Model Inputs &amp; Assumptions'!$X$33*R2893-'Model Inputs &amp; Assumptions'!$X$33^2/2))</f>
        <v>0.00408251928019428</v>
      </c>
      <c r="G2893" s="45" t="n">
        <f aca="false">ROUND(C2893*F2893,0)</f>
        <v>4881</v>
      </c>
      <c r="H2893" s="48" t="n">
        <f aca="false">MAX(0,(C2893*'Model Inputs &amp; Assumptions'!$N$33+E2893*'Model Inputs &amp; Assumptions'!$O$33+G2893*'Model Inputs &amp; Assumptions'!$P$33)*EXP('Model Inputs &amp; Assumptions'!$Q$33*S2893-'Model Inputs &amp; Assumptions'!$Q$33^2/2))</f>
        <v>239.506621137641</v>
      </c>
      <c r="I2893" s="49" t="n">
        <f aca="false">IF('Model Inputs &amp; Assumptions'!$H$33="Fixed",'Model Inputs &amp; Assumptions'!$I$33*'Model Inputs &amp; Assumptions'!$K$33,IF('Model Inputs &amp; Assumptions'!$H$33="CPM",'Model Inputs &amp; Assumptions'!$I$33*'Model Inputs &amp; Assumptions'!$K$33*C2893/1000,IF('Model Inputs &amp; Assumptions'!$H$33="CPC",'Model Inputs &amp; Assumptions'!$I$33*'Model Inputs &amp; Assumptions'!$K$33*G2893,0)))</f>
        <v>25000</v>
      </c>
      <c r="J2893" s="50" t="n">
        <f aca="false">H2893*INDEX('Model Inputs &amp; Assumptions'!$D$40:$D$42,MATCH('Model Inputs &amp; Assumptions'!$L$33,'Model Inputs &amp; Assumptions'!$A$40:$A$42,0))*INDEX('Model Inputs &amp; Assumptions'!$H$40:$H$42,MATCH('Model Inputs &amp; Assumptions'!$L$33,'Model Inputs &amp; Assumptions'!$A$40:$A$42,0))</f>
        <v>1293335.75414326</v>
      </c>
      <c r="K2893" s="49" t="n">
        <f aca="false">H2893*INDEX('Model Inputs &amp; Assumptions'!$G$40:$G$42,MATCH('Model Inputs &amp; Assumptions'!$L$33,'Model Inputs &amp; Assumptions'!$A$40:$A$42,0))*INDEX('Model Inputs &amp; Assumptions'!$H$40:$H$42,MATCH('Model Inputs &amp; Assumptions'!$L$33,'Model Inputs &amp; Assumptions'!$A$40:$A$42,0))</f>
        <v>27160.0508370085</v>
      </c>
      <c r="L2893" s="51" t="n">
        <f aca="false">IFERROR(K2893/I2893,0)</f>
        <v>1.08640203348034</v>
      </c>
      <c r="M2893" s="49" t="n">
        <f aca="false">IFERROR(I2893/H2893,0)</f>
        <v>104.381247922298</v>
      </c>
      <c r="N2893" s="52" t="str">
        <f aca="false">'Model Inputs &amp; Assumptions'!$L$33</f>
        <v>PRD-SP01</v>
      </c>
      <c r="P2893" s="53" t="n">
        <v>0.137733</v>
      </c>
      <c r="Q2893" s="53" t="n">
        <v>-0.170594</v>
      </c>
      <c r="R2893" s="53" t="n">
        <v>0.663171</v>
      </c>
      <c r="S2893" s="53" t="n">
        <v>-0.267508</v>
      </c>
    </row>
    <row r="2894" customFormat="false" ht="15" hidden="false" customHeight="false" outlineLevel="0" collapsed="false">
      <c r="A2894" s="43" t="n">
        <v>391</v>
      </c>
      <c r="B2894" s="44" t="str">
        <f aca="false">'Model Inputs &amp; Assumptions'!$B$33</f>
        <v>Trade Republic — Savings Plan Push</v>
      </c>
      <c r="C2894" s="45" t="n">
        <f aca="false">ROUND(MAX(0,'Model Inputs &amp; Assumptions'!$S$33*EXP('Model Inputs &amp; Assumptions'!$T$33*P2894-'Model Inputs &amp; Assumptions'!$T$33^2/2)),0)</f>
        <v>1366741</v>
      </c>
      <c r="D2894" s="46" t="n">
        <f aca="false">MIN(1,'Model Inputs &amp; Assumptions'!$U$33*EXP('Model Inputs &amp; Assumptions'!$V$33*Q2894-'Model Inputs &amp; Assumptions'!$V$33^2/2))</f>
        <v>0</v>
      </c>
      <c r="E2894" s="45" t="n">
        <f aca="false">ROUND(C2894*D2894,0)</f>
        <v>0</v>
      </c>
      <c r="F2894" s="47" t="n">
        <f aca="false">MIN(1,'Model Inputs &amp; Assumptions'!$W$33*EXP('Model Inputs &amp; Assumptions'!$X$33*R2894-'Model Inputs &amp; Assumptions'!$X$33^2/2))</f>
        <v>0.00277410554328374</v>
      </c>
      <c r="G2894" s="45" t="n">
        <f aca="false">ROUND(C2894*F2894,0)</f>
        <v>3791</v>
      </c>
      <c r="H2894" s="48" t="n">
        <f aca="false">MAX(0,(C2894*'Model Inputs &amp; Assumptions'!$N$33+E2894*'Model Inputs &amp; Assumptions'!$O$33+G2894*'Model Inputs &amp; Assumptions'!$P$33)*EXP('Model Inputs &amp; Assumptions'!$Q$33*S2894-'Model Inputs &amp; Assumptions'!$Q$33^2/2))</f>
        <v>112.823099597753</v>
      </c>
      <c r="I2894" s="49" t="n">
        <f aca="false">IF('Model Inputs &amp; Assumptions'!$H$33="Fixed",'Model Inputs &amp; Assumptions'!$I$33*'Model Inputs &amp; Assumptions'!$K$33,IF('Model Inputs &amp; Assumptions'!$H$33="CPM",'Model Inputs &amp; Assumptions'!$I$33*'Model Inputs &amp; Assumptions'!$K$33*C2894/1000,IF('Model Inputs &amp; Assumptions'!$H$33="CPC",'Model Inputs &amp; Assumptions'!$I$33*'Model Inputs &amp; Assumptions'!$K$33*G2894,0)))</f>
        <v>25000</v>
      </c>
      <c r="J2894" s="50" t="n">
        <f aca="false">H2894*INDEX('Model Inputs &amp; Assumptions'!$D$40:$D$42,MATCH('Model Inputs &amp; Assumptions'!$L$33,'Model Inputs &amp; Assumptions'!$A$40:$A$42,0))*INDEX('Model Inputs &amp; Assumptions'!$H$40:$H$42,MATCH('Model Inputs &amp; Assumptions'!$L$33,'Model Inputs &amp; Assumptions'!$A$40:$A$42,0))</f>
        <v>609244.737827866</v>
      </c>
      <c r="K2894" s="49" t="n">
        <f aca="false">H2894*INDEX('Model Inputs &amp; Assumptions'!$G$40:$G$42,MATCH('Model Inputs &amp; Assumptions'!$L$33,'Model Inputs &amp; Assumptions'!$A$40:$A$42,0))*INDEX('Model Inputs &amp; Assumptions'!$H$40:$H$42,MATCH('Model Inputs &amp; Assumptions'!$L$33,'Model Inputs &amp; Assumptions'!$A$40:$A$42,0))</f>
        <v>12794.1394943852</v>
      </c>
      <c r="L2894" s="51" t="n">
        <f aca="false">IFERROR(K2894/I2894,0)</f>
        <v>0.511765579775408</v>
      </c>
      <c r="M2894" s="49" t="n">
        <f aca="false">IFERROR(I2894/H2894,0)</f>
        <v>221.585828515014</v>
      </c>
      <c r="N2894" s="52" t="str">
        <f aca="false">'Model Inputs &amp; Assumptions'!$L$33</f>
        <v>PRD-SP01</v>
      </c>
      <c r="P2894" s="53" t="n">
        <v>0.583692</v>
      </c>
      <c r="Q2894" s="53" t="n">
        <v>0.581249</v>
      </c>
      <c r="R2894" s="53" t="n">
        <v>-0.624782</v>
      </c>
      <c r="S2894" s="53" t="n">
        <v>-2.053364</v>
      </c>
    </row>
    <row r="2895" customFormat="false" ht="15" hidden="false" customHeight="false" outlineLevel="0" collapsed="false">
      <c r="A2895" s="43" t="n">
        <v>392</v>
      </c>
      <c r="B2895" s="44" t="str">
        <f aca="false">'Model Inputs &amp; Assumptions'!$B$33</f>
        <v>Trade Republic — Savings Plan Push</v>
      </c>
      <c r="C2895" s="45" t="n">
        <f aca="false">ROUND(MAX(0,'Model Inputs &amp; Assumptions'!$S$33*EXP('Model Inputs &amp; Assumptions'!$T$33*P2895-'Model Inputs &amp; Assumptions'!$T$33^2/2)),0)</f>
        <v>1127675</v>
      </c>
      <c r="D2895" s="46" t="n">
        <f aca="false">MIN(1,'Model Inputs &amp; Assumptions'!$U$33*EXP('Model Inputs &amp; Assumptions'!$V$33*Q2895-'Model Inputs &amp; Assumptions'!$V$33^2/2))</f>
        <v>0</v>
      </c>
      <c r="E2895" s="45" t="n">
        <f aca="false">ROUND(C2895*D2895,0)</f>
        <v>0</v>
      </c>
      <c r="F2895" s="47" t="n">
        <f aca="false">MIN(1,'Model Inputs &amp; Assumptions'!$W$33*EXP('Model Inputs &amp; Assumptions'!$X$33*R2895-'Model Inputs &amp; Assumptions'!$X$33^2/2))</f>
        <v>0.00326381928187151</v>
      </c>
      <c r="G2895" s="45" t="n">
        <f aca="false">ROUND(C2895*F2895,0)</f>
        <v>3681</v>
      </c>
      <c r="H2895" s="48" t="n">
        <f aca="false">MAX(0,(C2895*'Model Inputs &amp; Assumptions'!$N$33+E2895*'Model Inputs &amp; Assumptions'!$O$33+G2895*'Model Inputs &amp; Assumptions'!$P$33)*EXP('Model Inputs &amp; Assumptions'!$Q$33*S2895-'Model Inputs &amp; Assumptions'!$Q$33^2/2))</f>
        <v>237.611645570054</v>
      </c>
      <c r="I2895" s="49" t="n">
        <f aca="false">IF('Model Inputs &amp; Assumptions'!$H$33="Fixed",'Model Inputs &amp; Assumptions'!$I$33*'Model Inputs &amp; Assumptions'!$K$33,IF('Model Inputs &amp; Assumptions'!$H$33="CPM",'Model Inputs &amp; Assumptions'!$I$33*'Model Inputs &amp; Assumptions'!$K$33*C2895/1000,IF('Model Inputs &amp; Assumptions'!$H$33="CPC",'Model Inputs &amp; Assumptions'!$I$33*'Model Inputs &amp; Assumptions'!$K$33*G2895,0)))</f>
        <v>25000</v>
      </c>
      <c r="J2895" s="50" t="n">
        <f aca="false">H2895*INDEX('Model Inputs &amp; Assumptions'!$D$40:$D$42,MATCH('Model Inputs &amp; Assumptions'!$L$33,'Model Inputs &amp; Assumptions'!$A$40:$A$42,0))*INDEX('Model Inputs &amp; Assumptions'!$H$40:$H$42,MATCH('Model Inputs &amp; Assumptions'!$L$33,'Model Inputs &amp; Assumptions'!$A$40:$A$42,0))</f>
        <v>1283102.88607829</v>
      </c>
      <c r="K2895" s="49" t="n">
        <f aca="false">H2895*INDEX('Model Inputs &amp; Assumptions'!$G$40:$G$42,MATCH('Model Inputs &amp; Assumptions'!$L$33,'Model Inputs &amp; Assumptions'!$A$40:$A$42,0))*INDEX('Model Inputs &amp; Assumptions'!$H$40:$H$42,MATCH('Model Inputs &amp; Assumptions'!$L$33,'Model Inputs &amp; Assumptions'!$A$40:$A$42,0))</f>
        <v>26945.1606076442</v>
      </c>
      <c r="L2895" s="51" t="n">
        <f aca="false">IFERROR(K2895/I2895,0)</f>
        <v>1.07780642430577</v>
      </c>
      <c r="M2895" s="49" t="n">
        <f aca="false">IFERROR(I2895/H2895,0)</f>
        <v>105.213698343877</v>
      </c>
      <c r="N2895" s="52" t="str">
        <f aca="false">'Model Inputs &amp; Assumptions'!$L$33</f>
        <v>PRD-SP01</v>
      </c>
      <c r="P2895" s="53" t="n">
        <v>-0.057212</v>
      </c>
      <c r="Q2895" s="53" t="n">
        <v>2.064188</v>
      </c>
      <c r="R2895" s="53" t="n">
        <v>-0.082883</v>
      </c>
      <c r="S2895" s="53" t="n">
        <v>0.711857</v>
      </c>
    </row>
    <row r="2896" customFormat="false" ht="15" hidden="false" customHeight="false" outlineLevel="0" collapsed="false">
      <c r="A2896" s="43" t="n">
        <v>393</v>
      </c>
      <c r="B2896" s="44" t="str">
        <f aca="false">'Model Inputs &amp; Assumptions'!$B$33</f>
        <v>Trade Republic — Savings Plan Push</v>
      </c>
      <c r="C2896" s="45" t="n">
        <f aca="false">ROUND(MAX(0,'Model Inputs &amp; Assumptions'!$S$33*EXP('Model Inputs &amp; Assumptions'!$T$33*P2896-'Model Inputs &amp; Assumptions'!$T$33^2/2)),0)</f>
        <v>1798345</v>
      </c>
      <c r="D2896" s="46" t="n">
        <f aca="false">MIN(1,'Model Inputs &amp; Assumptions'!$U$33*EXP('Model Inputs &amp; Assumptions'!$V$33*Q2896-'Model Inputs &amp; Assumptions'!$V$33^2/2))</f>
        <v>0</v>
      </c>
      <c r="E2896" s="45" t="n">
        <f aca="false">ROUND(C2896*D2896,0)</f>
        <v>0</v>
      </c>
      <c r="F2896" s="47" t="n">
        <f aca="false">MIN(1,'Model Inputs &amp; Assumptions'!$W$33*EXP('Model Inputs &amp; Assumptions'!$X$33*R2896-'Model Inputs &amp; Assumptions'!$X$33^2/2))</f>
        <v>0.00329516146073806</v>
      </c>
      <c r="G2896" s="45" t="n">
        <f aca="false">ROUND(C2896*F2896,0)</f>
        <v>5926</v>
      </c>
      <c r="H2896" s="48" t="n">
        <f aca="false">MAX(0,(C2896*'Model Inputs &amp; Assumptions'!$N$33+E2896*'Model Inputs &amp; Assumptions'!$O$33+G2896*'Model Inputs &amp; Assumptions'!$P$33)*EXP('Model Inputs &amp; Assumptions'!$Q$33*S2896-'Model Inputs &amp; Assumptions'!$Q$33^2/2))</f>
        <v>268.053062250257</v>
      </c>
      <c r="I2896" s="49" t="n">
        <f aca="false">IF('Model Inputs &amp; Assumptions'!$H$33="Fixed",'Model Inputs &amp; Assumptions'!$I$33*'Model Inputs &amp; Assumptions'!$K$33,IF('Model Inputs &amp; Assumptions'!$H$33="CPM",'Model Inputs &amp; Assumptions'!$I$33*'Model Inputs &amp; Assumptions'!$K$33*C2896/1000,IF('Model Inputs &amp; Assumptions'!$H$33="CPC",'Model Inputs &amp; Assumptions'!$I$33*'Model Inputs &amp; Assumptions'!$K$33*G2896,0)))</f>
        <v>25000</v>
      </c>
      <c r="J2896" s="50" t="n">
        <f aca="false">H2896*INDEX('Model Inputs &amp; Assumptions'!$D$40:$D$42,MATCH('Model Inputs &amp; Assumptions'!$L$33,'Model Inputs &amp; Assumptions'!$A$40:$A$42,0))*INDEX('Model Inputs &amp; Assumptions'!$H$40:$H$42,MATCH('Model Inputs &amp; Assumptions'!$L$33,'Model Inputs &amp; Assumptions'!$A$40:$A$42,0))</f>
        <v>1447486.53615139</v>
      </c>
      <c r="K2896" s="49" t="n">
        <f aca="false">H2896*INDEX('Model Inputs &amp; Assumptions'!$G$40:$G$42,MATCH('Model Inputs &amp; Assumptions'!$L$33,'Model Inputs &amp; Assumptions'!$A$40:$A$42,0))*INDEX('Model Inputs &amp; Assumptions'!$H$40:$H$42,MATCH('Model Inputs &amp; Assumptions'!$L$33,'Model Inputs &amp; Assumptions'!$A$40:$A$42,0))</f>
        <v>30397.2172591791</v>
      </c>
      <c r="L2896" s="51" t="n">
        <f aca="false">IFERROR(K2896/I2896,0)</f>
        <v>1.21588869036717</v>
      </c>
      <c r="M2896" s="49" t="n">
        <f aca="false">IFERROR(I2896/H2896,0)</f>
        <v>93.2651162054614</v>
      </c>
      <c r="N2896" s="52" t="str">
        <f aca="false">'Model Inputs &amp; Assumptions'!$L$33</f>
        <v>PRD-SP01</v>
      </c>
      <c r="P2896" s="53" t="n">
        <v>1.498484</v>
      </c>
      <c r="Q2896" s="53" t="n">
        <v>-0.534914</v>
      </c>
      <c r="R2896" s="53" t="n">
        <v>-0.051026</v>
      </c>
      <c r="S2896" s="53" t="n">
        <v>-0.558206</v>
      </c>
    </row>
    <row r="2897" customFormat="false" ht="15" hidden="false" customHeight="false" outlineLevel="0" collapsed="false">
      <c r="A2897" s="43" t="n">
        <v>394</v>
      </c>
      <c r="B2897" s="44" t="str">
        <f aca="false">'Model Inputs &amp; Assumptions'!$B$33</f>
        <v>Trade Republic — Savings Plan Push</v>
      </c>
      <c r="C2897" s="45" t="n">
        <f aca="false">ROUND(MAX(0,'Model Inputs &amp; Assumptions'!$S$33*EXP('Model Inputs &amp; Assumptions'!$T$33*P2897-'Model Inputs &amp; Assumptions'!$T$33^2/2)),0)</f>
        <v>1251388</v>
      </c>
      <c r="D2897" s="46" t="n">
        <f aca="false">MIN(1,'Model Inputs &amp; Assumptions'!$U$33*EXP('Model Inputs &amp; Assumptions'!$V$33*Q2897-'Model Inputs &amp; Assumptions'!$V$33^2/2))</f>
        <v>0</v>
      </c>
      <c r="E2897" s="45" t="n">
        <f aca="false">ROUND(C2897*D2897,0)</f>
        <v>0</v>
      </c>
      <c r="F2897" s="47" t="n">
        <f aca="false">MIN(1,'Model Inputs &amp; Assumptions'!$W$33*EXP('Model Inputs &amp; Assumptions'!$X$33*R2897-'Model Inputs &amp; Assumptions'!$X$33^2/2))</f>
        <v>0.00207665757994936</v>
      </c>
      <c r="G2897" s="45" t="n">
        <f aca="false">ROUND(C2897*F2897,0)</f>
        <v>2599</v>
      </c>
      <c r="H2897" s="48" t="n">
        <f aca="false">MAX(0,(C2897*'Model Inputs &amp; Assumptions'!$N$33+E2897*'Model Inputs &amp; Assumptions'!$O$33+G2897*'Model Inputs &amp; Assumptions'!$P$33)*EXP('Model Inputs &amp; Assumptions'!$Q$33*S2897-'Model Inputs &amp; Assumptions'!$Q$33^2/2))</f>
        <v>153.482645329343</v>
      </c>
      <c r="I2897" s="49" t="n">
        <f aca="false">IF('Model Inputs &amp; Assumptions'!$H$33="Fixed",'Model Inputs &amp; Assumptions'!$I$33*'Model Inputs &amp; Assumptions'!$K$33,IF('Model Inputs &amp; Assumptions'!$H$33="CPM",'Model Inputs &amp; Assumptions'!$I$33*'Model Inputs &amp; Assumptions'!$K$33*C2897/1000,IF('Model Inputs &amp; Assumptions'!$H$33="CPC",'Model Inputs &amp; Assumptions'!$I$33*'Model Inputs &amp; Assumptions'!$K$33*G2897,0)))</f>
        <v>25000</v>
      </c>
      <c r="J2897" s="50" t="n">
        <f aca="false">H2897*INDEX('Model Inputs &amp; Assumptions'!$D$40:$D$42,MATCH('Model Inputs &amp; Assumptions'!$L$33,'Model Inputs &amp; Assumptions'!$A$40:$A$42,0))*INDEX('Model Inputs &amp; Assumptions'!$H$40:$H$42,MATCH('Model Inputs &amp; Assumptions'!$L$33,'Model Inputs &amp; Assumptions'!$A$40:$A$42,0))</f>
        <v>828806.284778453</v>
      </c>
      <c r="K2897" s="49" t="n">
        <f aca="false">H2897*INDEX('Model Inputs &amp; Assumptions'!$G$40:$G$42,MATCH('Model Inputs &amp; Assumptions'!$L$33,'Model Inputs &amp; Assumptions'!$A$40:$A$42,0))*INDEX('Model Inputs &amp; Assumptions'!$H$40:$H$42,MATCH('Model Inputs &amp; Assumptions'!$L$33,'Model Inputs &amp; Assumptions'!$A$40:$A$42,0))</f>
        <v>17404.9319803475</v>
      </c>
      <c r="L2897" s="51" t="n">
        <f aca="false">IFERROR(K2897/I2897,0)</f>
        <v>0.6961972792139</v>
      </c>
      <c r="M2897" s="49" t="n">
        <f aca="false">IFERROR(I2897/H2897,0)</f>
        <v>162.884865232515</v>
      </c>
      <c r="N2897" s="52" t="str">
        <f aca="false">'Model Inputs &amp; Assumptions'!$L$33</f>
        <v>PRD-SP01</v>
      </c>
      <c r="P2897" s="53" t="n">
        <v>0.289773</v>
      </c>
      <c r="Q2897" s="53" t="n">
        <v>-1.909818</v>
      </c>
      <c r="R2897" s="53" t="n">
        <v>-1.590011</v>
      </c>
      <c r="S2897" s="53" t="n">
        <v>0.394027</v>
      </c>
    </row>
    <row r="2898" customFormat="false" ht="15" hidden="false" customHeight="false" outlineLevel="0" collapsed="false">
      <c r="A2898" s="43" t="n">
        <v>395</v>
      </c>
      <c r="B2898" s="44" t="str">
        <f aca="false">'Model Inputs &amp; Assumptions'!$B$33</f>
        <v>Trade Republic — Savings Plan Push</v>
      </c>
      <c r="C2898" s="45" t="n">
        <f aca="false">ROUND(MAX(0,'Model Inputs &amp; Assumptions'!$S$33*EXP('Model Inputs &amp; Assumptions'!$T$33*P2898-'Model Inputs &amp; Assumptions'!$T$33^2/2)),0)</f>
        <v>1001737</v>
      </c>
      <c r="D2898" s="46" t="n">
        <f aca="false">MIN(1,'Model Inputs &amp; Assumptions'!$U$33*EXP('Model Inputs &amp; Assumptions'!$V$33*Q2898-'Model Inputs &amp; Assumptions'!$V$33^2/2))</f>
        <v>0</v>
      </c>
      <c r="E2898" s="45" t="n">
        <f aca="false">ROUND(C2898*D2898,0)</f>
        <v>0</v>
      </c>
      <c r="F2898" s="47" t="n">
        <f aca="false">MIN(1,'Model Inputs &amp; Assumptions'!$W$33*EXP('Model Inputs &amp; Assumptions'!$X$33*R2898-'Model Inputs &amp; Assumptions'!$X$33^2/2))</f>
        <v>0.00398586067860008</v>
      </c>
      <c r="G2898" s="45" t="n">
        <f aca="false">ROUND(C2898*F2898,0)</f>
        <v>3993</v>
      </c>
      <c r="H2898" s="48" t="n">
        <f aca="false">MAX(0,(C2898*'Model Inputs &amp; Assumptions'!$N$33+E2898*'Model Inputs &amp; Assumptions'!$O$33+G2898*'Model Inputs &amp; Assumptions'!$P$33)*EXP('Model Inputs &amp; Assumptions'!$Q$33*S2898-'Model Inputs &amp; Assumptions'!$Q$33^2/2))</f>
        <v>196.855881163454</v>
      </c>
      <c r="I2898" s="49" t="n">
        <f aca="false">IF('Model Inputs &amp; Assumptions'!$H$33="Fixed",'Model Inputs &amp; Assumptions'!$I$33*'Model Inputs &amp; Assumptions'!$K$33,IF('Model Inputs &amp; Assumptions'!$H$33="CPM",'Model Inputs &amp; Assumptions'!$I$33*'Model Inputs &amp; Assumptions'!$K$33*C2898/1000,IF('Model Inputs &amp; Assumptions'!$H$33="CPC",'Model Inputs &amp; Assumptions'!$I$33*'Model Inputs &amp; Assumptions'!$K$33*G2898,0)))</f>
        <v>25000</v>
      </c>
      <c r="J2898" s="50" t="n">
        <f aca="false">H2898*INDEX('Model Inputs &amp; Assumptions'!$D$40:$D$42,MATCH('Model Inputs &amp; Assumptions'!$L$33,'Model Inputs &amp; Assumptions'!$A$40:$A$42,0))*INDEX('Model Inputs &amp; Assumptions'!$H$40:$H$42,MATCH('Model Inputs &amp; Assumptions'!$L$33,'Model Inputs &amp; Assumptions'!$A$40:$A$42,0))</f>
        <v>1063021.75828265</v>
      </c>
      <c r="K2898" s="49" t="n">
        <f aca="false">H2898*INDEX('Model Inputs &amp; Assumptions'!$G$40:$G$42,MATCH('Model Inputs &amp; Assumptions'!$L$33,'Model Inputs &amp; Assumptions'!$A$40:$A$42,0))*INDEX('Model Inputs &amp; Assumptions'!$H$40:$H$42,MATCH('Model Inputs &amp; Assumptions'!$L$33,'Model Inputs &amp; Assumptions'!$A$40:$A$42,0))</f>
        <v>22323.4569239357</v>
      </c>
      <c r="L2898" s="51" t="n">
        <f aca="false">IFERROR(K2898/I2898,0)</f>
        <v>0.892938276957427</v>
      </c>
      <c r="M2898" s="49" t="n">
        <f aca="false">IFERROR(I2898/H2898,0)</f>
        <v>126.996459807274</v>
      </c>
      <c r="N2898" s="52" t="str">
        <f aca="false">'Model Inputs &amp; Assumptions'!$L$33</f>
        <v>PRD-SP01</v>
      </c>
      <c r="P2898" s="53" t="n">
        <v>-0.451952</v>
      </c>
      <c r="Q2898" s="53" t="n">
        <v>-0.034659</v>
      </c>
      <c r="R2898" s="53" t="n">
        <v>0.583301</v>
      </c>
      <c r="S2898" s="53" t="n">
        <v>-0.250729</v>
      </c>
    </row>
    <row r="2899" customFormat="false" ht="15" hidden="false" customHeight="false" outlineLevel="0" collapsed="false">
      <c r="A2899" s="43" t="n">
        <v>396</v>
      </c>
      <c r="B2899" s="44" t="str">
        <f aca="false">'Model Inputs &amp; Assumptions'!$B$33</f>
        <v>Trade Republic — Savings Plan Push</v>
      </c>
      <c r="C2899" s="45" t="n">
        <f aca="false">ROUND(MAX(0,'Model Inputs &amp; Assumptions'!$S$33*EXP('Model Inputs &amp; Assumptions'!$T$33*P2899-'Model Inputs &amp; Assumptions'!$T$33^2/2)),0)</f>
        <v>1654654</v>
      </c>
      <c r="D2899" s="46" t="n">
        <f aca="false">MIN(1,'Model Inputs &amp; Assumptions'!$U$33*EXP('Model Inputs &amp; Assumptions'!$V$33*Q2899-'Model Inputs &amp; Assumptions'!$V$33^2/2))</f>
        <v>0</v>
      </c>
      <c r="E2899" s="45" t="n">
        <f aca="false">ROUND(C2899*D2899,0)</f>
        <v>0</v>
      </c>
      <c r="F2899" s="47" t="n">
        <f aca="false">MIN(1,'Model Inputs &amp; Assumptions'!$W$33*EXP('Model Inputs &amp; Assumptions'!$X$33*R2899-'Model Inputs &amp; Assumptions'!$X$33^2/2))</f>
        <v>0.00230428047299464</v>
      </c>
      <c r="G2899" s="45" t="n">
        <f aca="false">ROUND(C2899*F2899,0)</f>
        <v>3813</v>
      </c>
      <c r="H2899" s="48" t="n">
        <f aca="false">MAX(0,(C2899*'Model Inputs &amp; Assumptions'!$N$33+E2899*'Model Inputs &amp; Assumptions'!$O$33+G2899*'Model Inputs &amp; Assumptions'!$P$33)*EXP('Model Inputs &amp; Assumptions'!$Q$33*S2899-'Model Inputs &amp; Assumptions'!$Q$33^2/2))</f>
        <v>156.710555157563</v>
      </c>
      <c r="I2899" s="49" t="n">
        <f aca="false">IF('Model Inputs &amp; Assumptions'!$H$33="Fixed",'Model Inputs &amp; Assumptions'!$I$33*'Model Inputs &amp; Assumptions'!$K$33,IF('Model Inputs &amp; Assumptions'!$H$33="CPM",'Model Inputs &amp; Assumptions'!$I$33*'Model Inputs &amp; Assumptions'!$K$33*C2899/1000,IF('Model Inputs &amp; Assumptions'!$H$33="CPC",'Model Inputs &amp; Assumptions'!$I$33*'Model Inputs &amp; Assumptions'!$K$33*G2899,0)))</f>
        <v>25000</v>
      </c>
      <c r="J2899" s="50" t="n">
        <f aca="false">H2899*INDEX('Model Inputs &amp; Assumptions'!$D$40:$D$42,MATCH('Model Inputs &amp; Assumptions'!$L$33,'Model Inputs &amp; Assumptions'!$A$40:$A$42,0))*INDEX('Model Inputs &amp; Assumptions'!$H$40:$H$42,MATCH('Model Inputs &amp; Assumptions'!$L$33,'Model Inputs &amp; Assumptions'!$A$40:$A$42,0))</f>
        <v>846236.997850838</v>
      </c>
      <c r="K2899" s="49" t="n">
        <f aca="false">H2899*INDEX('Model Inputs &amp; Assumptions'!$G$40:$G$42,MATCH('Model Inputs &amp; Assumptions'!$L$33,'Model Inputs &amp; Assumptions'!$A$40:$A$42,0))*INDEX('Model Inputs &amp; Assumptions'!$H$40:$H$42,MATCH('Model Inputs &amp; Assumptions'!$L$33,'Model Inputs &amp; Assumptions'!$A$40:$A$42,0))</f>
        <v>17770.9769548676</v>
      </c>
      <c r="L2899" s="51" t="n">
        <f aca="false">IFERROR(K2899/I2899,0)</f>
        <v>0.710839078194704</v>
      </c>
      <c r="M2899" s="49" t="n">
        <f aca="false">IFERROR(I2899/H2899,0)</f>
        <v>159.529777524329</v>
      </c>
      <c r="N2899" s="52" t="str">
        <f aca="false">'Model Inputs &amp; Assumptions'!$L$33</f>
        <v>PRD-SP01</v>
      </c>
      <c r="P2899" s="53" t="n">
        <v>1.220901</v>
      </c>
      <c r="Q2899" s="53" t="n">
        <v>0.741198</v>
      </c>
      <c r="R2899" s="53" t="n">
        <v>-1.243315</v>
      </c>
      <c r="S2899" s="53" t="n">
        <v>-0.900532</v>
      </c>
    </row>
    <row r="2900" customFormat="false" ht="15" hidden="false" customHeight="false" outlineLevel="0" collapsed="false">
      <c r="A2900" s="43" t="n">
        <v>397</v>
      </c>
      <c r="B2900" s="44" t="str">
        <f aca="false">'Model Inputs &amp; Assumptions'!$B$33</f>
        <v>Trade Republic — Savings Plan Push</v>
      </c>
      <c r="C2900" s="45" t="n">
        <f aca="false">ROUND(MAX(0,'Model Inputs &amp; Assumptions'!$S$33*EXP('Model Inputs &amp; Assumptions'!$T$33*P2900-'Model Inputs &amp; Assumptions'!$T$33^2/2)),0)</f>
        <v>1414686</v>
      </c>
      <c r="D2900" s="46" t="n">
        <f aca="false">MIN(1,'Model Inputs &amp; Assumptions'!$U$33*EXP('Model Inputs &amp; Assumptions'!$V$33*Q2900-'Model Inputs &amp; Assumptions'!$V$33^2/2))</f>
        <v>0</v>
      </c>
      <c r="E2900" s="45" t="n">
        <f aca="false">ROUND(C2900*D2900,0)</f>
        <v>0</v>
      </c>
      <c r="F2900" s="47" t="n">
        <f aca="false">MIN(1,'Model Inputs &amp; Assumptions'!$W$33*EXP('Model Inputs &amp; Assumptions'!$X$33*R2900-'Model Inputs &amp; Assumptions'!$X$33^2/2))</f>
        <v>0.00633535321601219</v>
      </c>
      <c r="G2900" s="45" t="n">
        <f aca="false">ROUND(C2900*F2900,0)</f>
        <v>8963</v>
      </c>
      <c r="H2900" s="48" t="n">
        <f aca="false">MAX(0,(C2900*'Model Inputs &amp; Assumptions'!$N$33+E2900*'Model Inputs &amp; Assumptions'!$O$33+G2900*'Model Inputs &amp; Assumptions'!$P$33)*EXP('Model Inputs &amp; Assumptions'!$Q$33*S2900-'Model Inputs &amp; Assumptions'!$Q$33^2/2))</f>
        <v>640.012186518569</v>
      </c>
      <c r="I2900" s="49" t="n">
        <f aca="false">IF('Model Inputs &amp; Assumptions'!$H$33="Fixed",'Model Inputs &amp; Assumptions'!$I$33*'Model Inputs &amp; Assumptions'!$K$33,IF('Model Inputs &amp; Assumptions'!$H$33="CPM",'Model Inputs &amp; Assumptions'!$I$33*'Model Inputs &amp; Assumptions'!$K$33*C2900/1000,IF('Model Inputs &amp; Assumptions'!$H$33="CPC",'Model Inputs &amp; Assumptions'!$I$33*'Model Inputs &amp; Assumptions'!$K$33*G2900,0)))</f>
        <v>25000</v>
      </c>
      <c r="J2900" s="50" t="n">
        <f aca="false">H2900*INDEX('Model Inputs &amp; Assumptions'!$D$40:$D$42,MATCH('Model Inputs &amp; Assumptions'!$L$33,'Model Inputs &amp; Assumptions'!$A$40:$A$42,0))*INDEX('Model Inputs &amp; Assumptions'!$H$40:$H$42,MATCH('Model Inputs &amp; Assumptions'!$L$33,'Model Inputs &amp; Assumptions'!$A$40:$A$42,0))</f>
        <v>3456065.80720027</v>
      </c>
      <c r="K2900" s="49" t="n">
        <f aca="false">H2900*INDEX('Model Inputs &amp; Assumptions'!$G$40:$G$42,MATCH('Model Inputs &amp; Assumptions'!$L$33,'Model Inputs &amp; Assumptions'!$A$40:$A$42,0))*INDEX('Model Inputs &amp; Assumptions'!$H$40:$H$42,MATCH('Model Inputs &amp; Assumptions'!$L$33,'Model Inputs &amp; Assumptions'!$A$40:$A$42,0))</f>
        <v>72577.3819512057</v>
      </c>
      <c r="L2900" s="51" t="n">
        <f aca="false">IFERROR(K2900/I2900,0)</f>
        <v>2.90309527804823</v>
      </c>
      <c r="M2900" s="49" t="n">
        <f aca="false">IFERROR(I2900/H2900,0)</f>
        <v>39.0617562080979</v>
      </c>
      <c r="N2900" s="52" t="str">
        <f aca="false">'Model Inputs &amp; Assumptions'!$L$33</f>
        <v>PRD-SP01</v>
      </c>
      <c r="P2900" s="53" t="n">
        <v>0.69862</v>
      </c>
      <c r="Q2900" s="53" t="n">
        <v>-0.169649</v>
      </c>
      <c r="R2900" s="53" t="n">
        <v>2.127942</v>
      </c>
      <c r="S2900" s="53" t="n">
        <v>1.072318</v>
      </c>
    </row>
    <row r="2901" customFormat="false" ht="15" hidden="false" customHeight="false" outlineLevel="0" collapsed="false">
      <c r="A2901" s="43" t="n">
        <v>398</v>
      </c>
      <c r="B2901" s="44" t="str">
        <f aca="false">'Model Inputs &amp; Assumptions'!$B$33</f>
        <v>Trade Republic — Savings Plan Push</v>
      </c>
      <c r="C2901" s="45" t="n">
        <f aca="false">ROUND(MAX(0,'Model Inputs &amp; Assumptions'!$S$33*EXP('Model Inputs &amp; Assumptions'!$T$33*P2901-'Model Inputs &amp; Assumptions'!$T$33^2/2)),0)</f>
        <v>861033</v>
      </c>
      <c r="D2901" s="46" t="n">
        <f aca="false">MIN(1,'Model Inputs &amp; Assumptions'!$U$33*EXP('Model Inputs &amp; Assumptions'!$V$33*Q2901-'Model Inputs &amp; Assumptions'!$V$33^2/2))</f>
        <v>0</v>
      </c>
      <c r="E2901" s="45" t="n">
        <f aca="false">ROUND(C2901*D2901,0)</f>
        <v>0</v>
      </c>
      <c r="F2901" s="47" t="n">
        <f aca="false">MIN(1,'Model Inputs &amp; Assumptions'!$W$33*EXP('Model Inputs &amp; Assumptions'!$X$33*R2901-'Model Inputs &amp; Assumptions'!$X$33^2/2))</f>
        <v>0.00295718460424935</v>
      </c>
      <c r="G2901" s="45" t="n">
        <f aca="false">ROUND(C2901*F2901,0)</f>
        <v>2546</v>
      </c>
      <c r="H2901" s="48" t="n">
        <f aca="false">MAX(0,(C2901*'Model Inputs &amp; Assumptions'!$N$33+E2901*'Model Inputs &amp; Assumptions'!$O$33+G2901*'Model Inputs &amp; Assumptions'!$P$33)*EXP('Model Inputs &amp; Assumptions'!$Q$33*S2901-'Model Inputs &amp; Assumptions'!$Q$33^2/2))</f>
        <v>72.9003562160093</v>
      </c>
      <c r="I2901" s="49" t="n">
        <f aca="false">IF('Model Inputs &amp; Assumptions'!$H$33="Fixed",'Model Inputs &amp; Assumptions'!$I$33*'Model Inputs &amp; Assumptions'!$K$33,IF('Model Inputs &amp; Assumptions'!$H$33="CPM",'Model Inputs &amp; Assumptions'!$I$33*'Model Inputs &amp; Assumptions'!$K$33*C2901/1000,IF('Model Inputs &amp; Assumptions'!$H$33="CPC",'Model Inputs &amp; Assumptions'!$I$33*'Model Inputs &amp; Assumptions'!$K$33*G2901,0)))</f>
        <v>25000</v>
      </c>
      <c r="J2901" s="50" t="n">
        <f aca="false">H2901*INDEX('Model Inputs &amp; Assumptions'!$D$40:$D$42,MATCH('Model Inputs &amp; Assumptions'!$L$33,'Model Inputs &amp; Assumptions'!$A$40:$A$42,0))*INDEX('Model Inputs &amp; Assumptions'!$H$40:$H$42,MATCH('Model Inputs &amp; Assumptions'!$L$33,'Model Inputs &amp; Assumptions'!$A$40:$A$42,0))</f>
        <v>393661.92356645</v>
      </c>
      <c r="K2901" s="49" t="n">
        <f aca="false">H2901*INDEX('Model Inputs &amp; Assumptions'!$G$40:$G$42,MATCH('Model Inputs &amp; Assumptions'!$L$33,'Model Inputs &amp; Assumptions'!$A$40:$A$42,0))*INDEX('Model Inputs &amp; Assumptions'!$H$40:$H$42,MATCH('Model Inputs &amp; Assumptions'!$L$33,'Model Inputs &amp; Assumptions'!$A$40:$A$42,0))</f>
        <v>8266.90039489546</v>
      </c>
      <c r="L2901" s="51" t="n">
        <f aca="false">IFERROR(K2901/I2901,0)</f>
        <v>0.330676015795818</v>
      </c>
      <c r="M2901" s="49" t="n">
        <f aca="false">IFERROR(I2901/H2901,0)</f>
        <v>342.933852420736</v>
      </c>
      <c r="N2901" s="52" t="str">
        <f aca="false">'Model Inputs &amp; Assumptions'!$L$33</f>
        <v>PRD-SP01</v>
      </c>
      <c r="P2901" s="53" t="n">
        <v>-0.95648</v>
      </c>
      <c r="Q2901" s="53" t="n">
        <v>-0.004879</v>
      </c>
      <c r="R2901" s="53" t="n">
        <v>-0.411751</v>
      </c>
      <c r="S2901" s="53" t="n">
        <v>-2.191297</v>
      </c>
    </row>
    <row r="2902" customFormat="false" ht="15" hidden="false" customHeight="false" outlineLevel="0" collapsed="false">
      <c r="A2902" s="43" t="n">
        <v>399</v>
      </c>
      <c r="B2902" s="44" t="str">
        <f aca="false">'Model Inputs &amp; Assumptions'!$B$33</f>
        <v>Trade Republic — Savings Plan Push</v>
      </c>
      <c r="C2902" s="45" t="n">
        <f aca="false">ROUND(MAX(0,'Model Inputs &amp; Assumptions'!$S$33*EXP('Model Inputs &amp; Assumptions'!$T$33*P2902-'Model Inputs &amp; Assumptions'!$T$33^2/2)),0)</f>
        <v>1364651</v>
      </c>
      <c r="D2902" s="46" t="n">
        <f aca="false">MIN(1,'Model Inputs &amp; Assumptions'!$U$33*EXP('Model Inputs &amp; Assumptions'!$V$33*Q2902-'Model Inputs &amp; Assumptions'!$V$33^2/2))</f>
        <v>0</v>
      </c>
      <c r="E2902" s="45" t="n">
        <f aca="false">ROUND(C2902*D2902,0)</f>
        <v>0</v>
      </c>
      <c r="F2902" s="47" t="n">
        <f aca="false">MIN(1,'Model Inputs &amp; Assumptions'!$W$33*EXP('Model Inputs &amp; Assumptions'!$X$33*R2902-'Model Inputs &amp; Assumptions'!$X$33^2/2))</f>
        <v>0.00333298523207555</v>
      </c>
      <c r="G2902" s="45" t="n">
        <f aca="false">ROUND(C2902*F2902,0)</f>
        <v>4548</v>
      </c>
      <c r="H2902" s="48" t="n">
        <f aca="false">MAX(0,(C2902*'Model Inputs &amp; Assumptions'!$N$33+E2902*'Model Inputs &amp; Assumptions'!$O$33+G2902*'Model Inputs &amp; Assumptions'!$P$33)*EXP('Model Inputs &amp; Assumptions'!$Q$33*S2902-'Model Inputs &amp; Assumptions'!$Q$33^2/2))</f>
        <v>307.579490989042</v>
      </c>
      <c r="I2902" s="49" t="n">
        <f aca="false">IF('Model Inputs &amp; Assumptions'!$H$33="Fixed",'Model Inputs &amp; Assumptions'!$I$33*'Model Inputs &amp; Assumptions'!$K$33,IF('Model Inputs &amp; Assumptions'!$H$33="CPM",'Model Inputs &amp; Assumptions'!$I$33*'Model Inputs &amp; Assumptions'!$K$33*C2902/1000,IF('Model Inputs &amp; Assumptions'!$H$33="CPC",'Model Inputs &amp; Assumptions'!$I$33*'Model Inputs &amp; Assumptions'!$K$33*G2902,0)))</f>
        <v>25000</v>
      </c>
      <c r="J2902" s="50" t="n">
        <f aca="false">H2902*INDEX('Model Inputs &amp; Assumptions'!$D$40:$D$42,MATCH('Model Inputs &amp; Assumptions'!$L$33,'Model Inputs &amp; Assumptions'!$A$40:$A$42,0))*INDEX('Model Inputs &amp; Assumptions'!$H$40:$H$42,MATCH('Model Inputs &amp; Assumptions'!$L$33,'Model Inputs &amp; Assumptions'!$A$40:$A$42,0))</f>
        <v>1660929.25134083</v>
      </c>
      <c r="K2902" s="49" t="n">
        <f aca="false">H2902*INDEX('Model Inputs &amp; Assumptions'!$G$40:$G$42,MATCH('Model Inputs &amp; Assumptions'!$L$33,'Model Inputs &amp; Assumptions'!$A$40:$A$42,0))*INDEX('Model Inputs &amp; Assumptions'!$H$40:$H$42,MATCH('Model Inputs &amp; Assumptions'!$L$33,'Model Inputs &amp; Assumptions'!$A$40:$A$42,0))</f>
        <v>34879.5142781574</v>
      </c>
      <c r="L2902" s="51" t="n">
        <f aca="false">IFERROR(K2902/I2902,0)</f>
        <v>1.3951805711263</v>
      </c>
      <c r="M2902" s="49" t="n">
        <f aca="false">IFERROR(I2902/H2902,0)</f>
        <v>81.2798015875858</v>
      </c>
      <c r="N2902" s="52" t="str">
        <f aca="false">'Model Inputs &amp; Assumptions'!$L$33</f>
        <v>PRD-SP01</v>
      </c>
      <c r="P2902" s="53" t="n">
        <v>0.578591</v>
      </c>
      <c r="Q2902" s="53" t="n">
        <v>2.266876</v>
      </c>
      <c r="R2902" s="53" t="n">
        <v>-0.012982</v>
      </c>
      <c r="S2902" s="53" t="n">
        <v>0.87826</v>
      </c>
    </row>
    <row r="2903" customFormat="false" ht="15" hidden="false" customHeight="false" outlineLevel="0" collapsed="false">
      <c r="A2903" s="43" t="n">
        <v>400</v>
      </c>
      <c r="B2903" s="44" t="str">
        <f aca="false">'Model Inputs &amp; Assumptions'!$B$33</f>
        <v>Trade Republic — Savings Plan Push</v>
      </c>
      <c r="C2903" s="45" t="n">
        <f aca="false">ROUND(MAX(0,'Model Inputs &amp; Assumptions'!$S$33*EXP('Model Inputs &amp; Assumptions'!$T$33*P2903-'Model Inputs &amp; Assumptions'!$T$33^2/2)),0)</f>
        <v>1493153</v>
      </c>
      <c r="D2903" s="46" t="n">
        <f aca="false">MIN(1,'Model Inputs &amp; Assumptions'!$U$33*EXP('Model Inputs &amp; Assumptions'!$V$33*Q2903-'Model Inputs &amp; Assumptions'!$V$33^2/2))</f>
        <v>0</v>
      </c>
      <c r="E2903" s="45" t="n">
        <f aca="false">ROUND(C2903*D2903,0)</f>
        <v>0</v>
      </c>
      <c r="F2903" s="47" t="n">
        <f aca="false">MIN(1,'Model Inputs &amp; Assumptions'!$W$33*EXP('Model Inputs &amp; Assumptions'!$X$33*R2903-'Model Inputs &amp; Assumptions'!$X$33^2/2))</f>
        <v>0.00276445765288266</v>
      </c>
      <c r="G2903" s="45" t="n">
        <f aca="false">ROUND(C2903*F2903,0)</f>
        <v>4128</v>
      </c>
      <c r="H2903" s="48" t="n">
        <f aca="false">MAX(0,(C2903*'Model Inputs &amp; Assumptions'!$N$33+E2903*'Model Inputs &amp; Assumptions'!$O$33+G2903*'Model Inputs &amp; Assumptions'!$P$33)*EXP('Model Inputs &amp; Assumptions'!$Q$33*S2903-'Model Inputs &amp; Assumptions'!$Q$33^2/2))</f>
        <v>232.677434570362</v>
      </c>
      <c r="I2903" s="49" t="n">
        <f aca="false">IF('Model Inputs &amp; Assumptions'!$H$33="Fixed",'Model Inputs &amp; Assumptions'!$I$33*'Model Inputs &amp; Assumptions'!$K$33,IF('Model Inputs &amp; Assumptions'!$H$33="CPM",'Model Inputs &amp; Assumptions'!$I$33*'Model Inputs &amp; Assumptions'!$K$33*C2903/1000,IF('Model Inputs &amp; Assumptions'!$H$33="CPC",'Model Inputs &amp; Assumptions'!$I$33*'Model Inputs &amp; Assumptions'!$K$33*G2903,0)))</f>
        <v>25000</v>
      </c>
      <c r="J2903" s="50" t="n">
        <f aca="false">H2903*INDEX('Model Inputs &amp; Assumptions'!$D$40:$D$42,MATCH('Model Inputs &amp; Assumptions'!$L$33,'Model Inputs &amp; Assumptions'!$A$40:$A$42,0))*INDEX('Model Inputs &amp; Assumptions'!$H$40:$H$42,MATCH('Model Inputs &amp; Assumptions'!$L$33,'Model Inputs &amp; Assumptions'!$A$40:$A$42,0))</f>
        <v>1256458.14667995</v>
      </c>
      <c r="K2903" s="49" t="n">
        <f aca="false">H2903*INDEX('Model Inputs &amp; Assumptions'!$G$40:$G$42,MATCH('Model Inputs &amp; Assumptions'!$L$33,'Model Inputs &amp; Assumptions'!$A$40:$A$42,0))*INDEX('Model Inputs &amp; Assumptions'!$H$40:$H$42,MATCH('Model Inputs &amp; Assumptions'!$L$33,'Model Inputs &amp; Assumptions'!$A$40:$A$42,0))</f>
        <v>26385.621080279</v>
      </c>
      <c r="L2903" s="51" t="n">
        <f aca="false">IFERROR(K2903/I2903,0)</f>
        <v>1.05542484321116</v>
      </c>
      <c r="M2903" s="49" t="n">
        <f aca="false">IFERROR(I2903/H2903,0)</f>
        <v>107.444884142557</v>
      </c>
      <c r="N2903" s="52" t="str">
        <f aca="false">'Model Inputs &amp; Assumptions'!$L$33</f>
        <v>PRD-SP01</v>
      </c>
      <c r="P2903" s="53" t="n">
        <v>0.878561</v>
      </c>
      <c r="Q2903" s="53" t="n">
        <v>-2.435241</v>
      </c>
      <c r="R2903" s="53" t="n">
        <v>-0.636395</v>
      </c>
      <c r="S2903" s="53" t="n">
        <v>0.227596</v>
      </c>
    </row>
    <row r="2904" customFormat="false" ht="15" hidden="false" customHeight="false" outlineLevel="0" collapsed="false">
      <c r="A2904" s="43" t="n">
        <v>401</v>
      </c>
      <c r="B2904" s="44" t="str">
        <f aca="false">'Model Inputs &amp; Assumptions'!$B$33</f>
        <v>Trade Republic — Savings Plan Push</v>
      </c>
      <c r="C2904" s="45" t="n">
        <f aca="false">ROUND(MAX(0,'Model Inputs &amp; Assumptions'!$S$33*EXP('Model Inputs &amp; Assumptions'!$T$33*P2904-'Model Inputs &amp; Assumptions'!$T$33^2/2)),0)</f>
        <v>2036885</v>
      </c>
      <c r="D2904" s="46" t="n">
        <f aca="false">MIN(1,'Model Inputs &amp; Assumptions'!$U$33*EXP('Model Inputs &amp; Assumptions'!$V$33*Q2904-'Model Inputs &amp; Assumptions'!$V$33^2/2))</f>
        <v>0</v>
      </c>
      <c r="E2904" s="45" t="n">
        <f aca="false">ROUND(C2904*D2904,0)</f>
        <v>0</v>
      </c>
      <c r="F2904" s="47" t="n">
        <f aca="false">MIN(1,'Model Inputs &amp; Assumptions'!$W$33*EXP('Model Inputs &amp; Assumptions'!$X$33*R2904-'Model Inputs &amp; Assumptions'!$X$33^2/2))</f>
        <v>0.00271948838399191</v>
      </c>
      <c r="G2904" s="45" t="n">
        <f aca="false">ROUND(C2904*F2904,0)</f>
        <v>5539</v>
      </c>
      <c r="H2904" s="48" t="n">
        <f aca="false">MAX(0,(C2904*'Model Inputs &amp; Assumptions'!$N$33+E2904*'Model Inputs &amp; Assumptions'!$O$33+G2904*'Model Inputs &amp; Assumptions'!$P$33)*EXP('Model Inputs &amp; Assumptions'!$Q$33*S2904-'Model Inputs &amp; Assumptions'!$Q$33^2/2))</f>
        <v>216.791175274458</v>
      </c>
      <c r="I2904" s="49" t="n">
        <f aca="false">IF('Model Inputs &amp; Assumptions'!$H$33="Fixed",'Model Inputs &amp; Assumptions'!$I$33*'Model Inputs &amp; Assumptions'!$K$33,IF('Model Inputs &amp; Assumptions'!$H$33="CPM",'Model Inputs &amp; Assumptions'!$I$33*'Model Inputs &amp; Assumptions'!$K$33*C2904/1000,IF('Model Inputs &amp; Assumptions'!$H$33="CPC",'Model Inputs &amp; Assumptions'!$I$33*'Model Inputs &amp; Assumptions'!$K$33*G2904,0)))</f>
        <v>25000</v>
      </c>
      <c r="J2904" s="50" t="n">
        <f aca="false">H2904*INDEX('Model Inputs &amp; Assumptions'!$D$40:$D$42,MATCH('Model Inputs &amp; Assumptions'!$L$33,'Model Inputs &amp; Assumptions'!$A$40:$A$42,0))*INDEX('Model Inputs &amp; Assumptions'!$H$40:$H$42,MATCH('Model Inputs &amp; Assumptions'!$L$33,'Model Inputs &amp; Assumptions'!$A$40:$A$42,0))</f>
        <v>1170672.34648208</v>
      </c>
      <c r="K2904" s="49" t="n">
        <f aca="false">H2904*INDEX('Model Inputs &amp; Assumptions'!$G$40:$G$42,MATCH('Model Inputs &amp; Assumptions'!$L$33,'Model Inputs &amp; Assumptions'!$A$40:$A$42,0))*INDEX('Model Inputs &amp; Assumptions'!$H$40:$H$42,MATCH('Model Inputs &amp; Assumptions'!$L$33,'Model Inputs &amp; Assumptions'!$A$40:$A$42,0))</f>
        <v>24584.1192761236</v>
      </c>
      <c r="L2904" s="51" t="n">
        <f aca="false">IFERROR(K2904/I2904,0)</f>
        <v>0.983364771044944</v>
      </c>
      <c r="M2904" s="49" t="n">
        <f aca="false">IFERROR(I2904/H2904,0)</f>
        <v>115.318347106841</v>
      </c>
      <c r="N2904" s="52" t="str">
        <f aca="false">'Model Inputs &amp; Assumptions'!$L$33</f>
        <v>PRD-SP01</v>
      </c>
      <c r="P2904" s="53" t="n">
        <v>1.913667</v>
      </c>
      <c r="Q2904" s="53" t="n">
        <v>-0.101828</v>
      </c>
      <c r="R2904" s="53" t="n">
        <v>-0.691064</v>
      </c>
      <c r="S2904" s="53" t="n">
        <v>-1.075045</v>
      </c>
    </row>
    <row r="2905" customFormat="false" ht="15" hidden="false" customHeight="false" outlineLevel="0" collapsed="false">
      <c r="A2905" s="43" t="n">
        <v>402</v>
      </c>
      <c r="B2905" s="44" t="str">
        <f aca="false">'Model Inputs &amp; Assumptions'!$B$33</f>
        <v>Trade Republic — Savings Plan Push</v>
      </c>
      <c r="C2905" s="45" t="n">
        <f aca="false">ROUND(MAX(0,'Model Inputs &amp; Assumptions'!$S$33*EXP('Model Inputs &amp; Assumptions'!$T$33*P2905-'Model Inputs &amp; Assumptions'!$T$33^2/2)),0)</f>
        <v>1537334</v>
      </c>
      <c r="D2905" s="46" t="n">
        <f aca="false">MIN(1,'Model Inputs &amp; Assumptions'!$U$33*EXP('Model Inputs &amp; Assumptions'!$V$33*Q2905-'Model Inputs &amp; Assumptions'!$V$33^2/2))</f>
        <v>0</v>
      </c>
      <c r="E2905" s="45" t="n">
        <f aca="false">ROUND(C2905*D2905,0)</f>
        <v>0</v>
      </c>
      <c r="F2905" s="47" t="n">
        <f aca="false">MIN(1,'Model Inputs &amp; Assumptions'!$W$33*EXP('Model Inputs &amp; Assumptions'!$X$33*R2905-'Model Inputs &amp; Assumptions'!$X$33^2/2))</f>
        <v>0.00357016198422744</v>
      </c>
      <c r="G2905" s="45" t="n">
        <f aca="false">ROUND(C2905*F2905,0)</f>
        <v>5489</v>
      </c>
      <c r="H2905" s="48" t="n">
        <f aca="false">MAX(0,(C2905*'Model Inputs &amp; Assumptions'!$N$33+E2905*'Model Inputs &amp; Assumptions'!$O$33+G2905*'Model Inputs &amp; Assumptions'!$P$33)*EXP('Model Inputs &amp; Assumptions'!$Q$33*S2905-'Model Inputs &amp; Assumptions'!$Q$33^2/2))</f>
        <v>308.918026347057</v>
      </c>
      <c r="I2905" s="49" t="n">
        <f aca="false">IF('Model Inputs &amp; Assumptions'!$H$33="Fixed",'Model Inputs &amp; Assumptions'!$I$33*'Model Inputs &amp; Assumptions'!$K$33,IF('Model Inputs &amp; Assumptions'!$H$33="CPM",'Model Inputs &amp; Assumptions'!$I$33*'Model Inputs &amp; Assumptions'!$K$33*C2905/1000,IF('Model Inputs &amp; Assumptions'!$H$33="CPC",'Model Inputs &amp; Assumptions'!$I$33*'Model Inputs &amp; Assumptions'!$K$33*G2905,0)))</f>
        <v>25000</v>
      </c>
      <c r="J2905" s="50" t="n">
        <f aca="false">H2905*INDEX('Model Inputs &amp; Assumptions'!$D$40:$D$42,MATCH('Model Inputs &amp; Assumptions'!$L$33,'Model Inputs &amp; Assumptions'!$A$40:$A$42,0))*INDEX('Model Inputs &amp; Assumptions'!$H$40:$H$42,MATCH('Model Inputs &amp; Assumptions'!$L$33,'Model Inputs &amp; Assumptions'!$A$40:$A$42,0))</f>
        <v>1668157.34227411</v>
      </c>
      <c r="K2905" s="49" t="n">
        <f aca="false">H2905*INDEX('Model Inputs &amp; Assumptions'!$G$40:$G$42,MATCH('Model Inputs &amp; Assumptions'!$L$33,'Model Inputs &amp; Assumptions'!$A$40:$A$42,0))*INDEX('Model Inputs &amp; Assumptions'!$H$40:$H$42,MATCH('Model Inputs &amp; Assumptions'!$L$33,'Model Inputs &amp; Assumptions'!$A$40:$A$42,0))</f>
        <v>35031.3041877563</v>
      </c>
      <c r="L2905" s="51" t="n">
        <f aca="false">IFERROR(K2905/I2905,0)</f>
        <v>1.40125216751025</v>
      </c>
      <c r="M2905" s="49" t="n">
        <f aca="false">IFERROR(I2905/H2905,0)</f>
        <v>80.9276179044129</v>
      </c>
      <c r="N2905" s="52" t="str">
        <f aca="false">'Model Inputs &amp; Assumptions'!$L$33</f>
        <v>PRD-SP01</v>
      </c>
      <c r="P2905" s="53" t="n">
        <v>0.975761</v>
      </c>
      <c r="Q2905" s="53" t="n">
        <v>0.55814</v>
      </c>
      <c r="R2905" s="53" t="n">
        <v>0.21616</v>
      </c>
      <c r="S2905" s="53" t="n">
        <v>0.222131</v>
      </c>
    </row>
    <row r="2906" customFormat="false" ht="15" hidden="false" customHeight="false" outlineLevel="0" collapsed="false">
      <c r="A2906" s="43" t="n">
        <v>403</v>
      </c>
      <c r="B2906" s="44" t="str">
        <f aca="false">'Model Inputs &amp; Assumptions'!$B$33</f>
        <v>Trade Republic — Savings Plan Push</v>
      </c>
      <c r="C2906" s="45" t="n">
        <f aca="false">ROUND(MAX(0,'Model Inputs &amp; Assumptions'!$S$33*EXP('Model Inputs &amp; Assumptions'!$T$33*P2906-'Model Inputs &amp; Assumptions'!$T$33^2/2)),0)</f>
        <v>1098743</v>
      </c>
      <c r="D2906" s="46" t="n">
        <f aca="false">MIN(1,'Model Inputs &amp; Assumptions'!$U$33*EXP('Model Inputs &amp; Assumptions'!$V$33*Q2906-'Model Inputs &amp; Assumptions'!$V$33^2/2))</f>
        <v>0</v>
      </c>
      <c r="E2906" s="45" t="n">
        <f aca="false">ROUND(C2906*D2906,0)</f>
        <v>0</v>
      </c>
      <c r="F2906" s="47" t="n">
        <f aca="false">MIN(1,'Model Inputs &amp; Assumptions'!$W$33*EXP('Model Inputs &amp; Assumptions'!$X$33*R2906-'Model Inputs &amp; Assumptions'!$X$33^2/2))</f>
        <v>0.00261763717298236</v>
      </c>
      <c r="G2906" s="45" t="n">
        <f aca="false">ROUND(C2906*F2906,0)</f>
        <v>2876</v>
      </c>
      <c r="H2906" s="48" t="n">
        <f aca="false">MAX(0,(C2906*'Model Inputs &amp; Assumptions'!$N$33+E2906*'Model Inputs &amp; Assumptions'!$O$33+G2906*'Model Inputs &amp; Assumptions'!$P$33)*EXP('Model Inputs &amp; Assumptions'!$Q$33*S2906-'Model Inputs &amp; Assumptions'!$Q$33^2/2))</f>
        <v>107.359449445149</v>
      </c>
      <c r="I2906" s="49" t="n">
        <f aca="false">IF('Model Inputs &amp; Assumptions'!$H$33="Fixed",'Model Inputs &amp; Assumptions'!$I$33*'Model Inputs &amp; Assumptions'!$K$33,IF('Model Inputs &amp; Assumptions'!$H$33="CPM",'Model Inputs &amp; Assumptions'!$I$33*'Model Inputs &amp; Assumptions'!$K$33*C2906/1000,IF('Model Inputs &amp; Assumptions'!$H$33="CPC",'Model Inputs &amp; Assumptions'!$I$33*'Model Inputs &amp; Assumptions'!$K$33*G2906,0)))</f>
        <v>25000</v>
      </c>
      <c r="J2906" s="50" t="n">
        <f aca="false">H2906*INDEX('Model Inputs &amp; Assumptions'!$D$40:$D$42,MATCH('Model Inputs &amp; Assumptions'!$L$33,'Model Inputs &amp; Assumptions'!$A$40:$A$42,0))*INDEX('Model Inputs &amp; Assumptions'!$H$40:$H$42,MATCH('Model Inputs &amp; Assumptions'!$L$33,'Model Inputs &amp; Assumptions'!$A$40:$A$42,0))</f>
        <v>579741.027003807</v>
      </c>
      <c r="K2906" s="49" t="n">
        <f aca="false">H2906*INDEX('Model Inputs &amp; Assumptions'!$G$40:$G$42,MATCH('Model Inputs &amp; Assumptions'!$L$33,'Model Inputs &amp; Assumptions'!$A$40:$A$42,0))*INDEX('Model Inputs &amp; Assumptions'!$H$40:$H$42,MATCH('Model Inputs &amp; Assumptions'!$L$33,'Model Inputs &amp; Assumptions'!$A$40:$A$42,0))</f>
        <v>12174.5615670799</v>
      </c>
      <c r="L2906" s="51" t="n">
        <f aca="false">IFERROR(K2906/I2906,0)</f>
        <v>0.486982462683197</v>
      </c>
      <c r="M2906" s="49" t="n">
        <f aca="false">IFERROR(I2906/H2906,0)</f>
        <v>232.862595041275</v>
      </c>
      <c r="N2906" s="52" t="str">
        <f aca="false">'Model Inputs &amp; Assumptions'!$L$33</f>
        <v>PRD-SP01</v>
      </c>
      <c r="P2906" s="53" t="n">
        <v>-0.143849</v>
      </c>
      <c r="Q2906" s="53" t="n">
        <v>1.029108</v>
      </c>
      <c r="R2906" s="53" t="n">
        <v>-0.818303</v>
      </c>
      <c r="S2906" s="53" t="n">
        <v>-1.244111</v>
      </c>
    </row>
    <row r="2907" customFormat="false" ht="15" hidden="false" customHeight="false" outlineLevel="0" collapsed="false">
      <c r="A2907" s="43" t="n">
        <v>404</v>
      </c>
      <c r="B2907" s="44" t="str">
        <f aca="false">'Model Inputs &amp; Assumptions'!$B$33</f>
        <v>Trade Republic — Savings Plan Push</v>
      </c>
      <c r="C2907" s="45" t="n">
        <f aca="false">ROUND(MAX(0,'Model Inputs &amp; Assumptions'!$S$33*EXP('Model Inputs &amp; Assumptions'!$T$33*P2907-'Model Inputs &amp; Assumptions'!$T$33^2/2)),0)</f>
        <v>2268164</v>
      </c>
      <c r="D2907" s="46" t="n">
        <f aca="false">MIN(1,'Model Inputs &amp; Assumptions'!$U$33*EXP('Model Inputs &amp; Assumptions'!$V$33*Q2907-'Model Inputs &amp; Assumptions'!$V$33^2/2))</f>
        <v>0</v>
      </c>
      <c r="E2907" s="45" t="n">
        <f aca="false">ROUND(C2907*D2907,0)</f>
        <v>0</v>
      </c>
      <c r="F2907" s="47" t="n">
        <f aca="false">MIN(1,'Model Inputs &amp; Assumptions'!$W$33*EXP('Model Inputs &amp; Assumptions'!$X$33*R2907-'Model Inputs &amp; Assumptions'!$X$33^2/2))</f>
        <v>0.0025786540286845</v>
      </c>
      <c r="G2907" s="45" t="n">
        <f aca="false">ROUND(C2907*F2907,0)</f>
        <v>5849</v>
      </c>
      <c r="H2907" s="48" t="n">
        <f aca="false">MAX(0,(C2907*'Model Inputs &amp; Assumptions'!$N$33+E2907*'Model Inputs &amp; Assumptions'!$O$33+G2907*'Model Inputs &amp; Assumptions'!$P$33)*EXP('Model Inputs &amp; Assumptions'!$Q$33*S2907-'Model Inputs &amp; Assumptions'!$Q$33^2/2))</f>
        <v>648.138398638381</v>
      </c>
      <c r="I2907" s="49" t="n">
        <f aca="false">IF('Model Inputs &amp; Assumptions'!$H$33="Fixed",'Model Inputs &amp; Assumptions'!$I$33*'Model Inputs &amp; Assumptions'!$K$33,IF('Model Inputs &amp; Assumptions'!$H$33="CPM",'Model Inputs &amp; Assumptions'!$I$33*'Model Inputs &amp; Assumptions'!$K$33*C2907/1000,IF('Model Inputs &amp; Assumptions'!$H$33="CPC",'Model Inputs &amp; Assumptions'!$I$33*'Model Inputs &amp; Assumptions'!$K$33*G2907,0)))</f>
        <v>25000</v>
      </c>
      <c r="J2907" s="50" t="n">
        <f aca="false">H2907*INDEX('Model Inputs &amp; Assumptions'!$D$40:$D$42,MATCH('Model Inputs &amp; Assumptions'!$L$33,'Model Inputs &amp; Assumptions'!$A$40:$A$42,0))*INDEX('Model Inputs &amp; Assumptions'!$H$40:$H$42,MATCH('Model Inputs &amp; Assumptions'!$L$33,'Model Inputs &amp; Assumptions'!$A$40:$A$42,0))</f>
        <v>3499947.35264726</v>
      </c>
      <c r="K2907" s="49" t="n">
        <f aca="false">H2907*INDEX('Model Inputs &amp; Assumptions'!$G$40:$G$42,MATCH('Model Inputs &amp; Assumptions'!$L$33,'Model Inputs &amp; Assumptions'!$A$40:$A$42,0))*INDEX('Model Inputs &amp; Assumptions'!$H$40:$H$42,MATCH('Model Inputs &amp; Assumptions'!$L$33,'Model Inputs &amp; Assumptions'!$A$40:$A$42,0))</f>
        <v>73498.8944055924</v>
      </c>
      <c r="L2907" s="51" t="n">
        <f aca="false">IFERROR(K2907/I2907,0)</f>
        <v>2.9399557762237</v>
      </c>
      <c r="M2907" s="49" t="n">
        <f aca="false">IFERROR(I2907/H2907,0)</f>
        <v>38.572008775472</v>
      </c>
      <c r="N2907" s="52" t="str">
        <f aca="false">'Model Inputs &amp; Assumptions'!$L$33</f>
        <v>PRD-SP01</v>
      </c>
      <c r="P2907" s="53" t="n">
        <v>2.272164</v>
      </c>
      <c r="Q2907" s="53" t="n">
        <v>-1.338686</v>
      </c>
      <c r="R2907" s="53" t="n">
        <v>-0.868318</v>
      </c>
      <c r="S2907" s="53" t="n">
        <v>2.641787</v>
      </c>
    </row>
    <row r="2908" customFormat="false" ht="15" hidden="false" customHeight="false" outlineLevel="0" collapsed="false">
      <c r="A2908" s="43" t="n">
        <v>405</v>
      </c>
      <c r="B2908" s="44" t="str">
        <f aca="false">'Model Inputs &amp; Assumptions'!$B$33</f>
        <v>Trade Republic — Savings Plan Push</v>
      </c>
      <c r="C2908" s="45" t="n">
        <f aca="false">ROUND(MAX(0,'Model Inputs &amp; Assumptions'!$S$33*EXP('Model Inputs &amp; Assumptions'!$T$33*P2908-'Model Inputs &amp; Assumptions'!$T$33^2/2)),0)</f>
        <v>1327347</v>
      </c>
      <c r="D2908" s="46" t="n">
        <f aca="false">MIN(1,'Model Inputs &amp; Assumptions'!$U$33*EXP('Model Inputs &amp; Assumptions'!$V$33*Q2908-'Model Inputs &amp; Assumptions'!$V$33^2/2))</f>
        <v>0</v>
      </c>
      <c r="E2908" s="45" t="n">
        <f aca="false">ROUND(C2908*D2908,0)</f>
        <v>0</v>
      </c>
      <c r="F2908" s="47" t="n">
        <f aca="false">MIN(1,'Model Inputs &amp; Assumptions'!$W$33*EXP('Model Inputs &amp; Assumptions'!$X$33*R2908-'Model Inputs &amp; Assumptions'!$X$33^2/2))</f>
        <v>0.0022254340349802</v>
      </c>
      <c r="G2908" s="45" t="n">
        <f aca="false">ROUND(C2908*F2908,0)</f>
        <v>2954</v>
      </c>
      <c r="H2908" s="48" t="n">
        <f aca="false">MAX(0,(C2908*'Model Inputs &amp; Assumptions'!$N$33+E2908*'Model Inputs &amp; Assumptions'!$O$33+G2908*'Model Inputs &amp; Assumptions'!$P$33)*EXP('Model Inputs &amp; Assumptions'!$Q$33*S2908-'Model Inputs &amp; Assumptions'!$Q$33^2/2))</f>
        <v>113.930786647398</v>
      </c>
      <c r="I2908" s="49" t="n">
        <f aca="false">IF('Model Inputs &amp; Assumptions'!$H$33="Fixed",'Model Inputs &amp; Assumptions'!$I$33*'Model Inputs &amp; Assumptions'!$K$33,IF('Model Inputs &amp; Assumptions'!$H$33="CPM",'Model Inputs &amp; Assumptions'!$I$33*'Model Inputs &amp; Assumptions'!$K$33*C2908/1000,IF('Model Inputs &amp; Assumptions'!$H$33="CPC",'Model Inputs &amp; Assumptions'!$I$33*'Model Inputs &amp; Assumptions'!$K$33*G2908,0)))</f>
        <v>25000</v>
      </c>
      <c r="J2908" s="50" t="n">
        <f aca="false">H2908*INDEX('Model Inputs &amp; Assumptions'!$D$40:$D$42,MATCH('Model Inputs &amp; Assumptions'!$L$33,'Model Inputs &amp; Assumptions'!$A$40:$A$42,0))*INDEX('Model Inputs &amp; Assumptions'!$H$40:$H$42,MATCH('Model Inputs &amp; Assumptions'!$L$33,'Model Inputs &amp; Assumptions'!$A$40:$A$42,0))</f>
        <v>615226.247895949</v>
      </c>
      <c r="K2908" s="49" t="n">
        <f aca="false">H2908*INDEX('Model Inputs &amp; Assumptions'!$G$40:$G$42,MATCH('Model Inputs &amp; Assumptions'!$L$33,'Model Inputs &amp; Assumptions'!$A$40:$A$42,0))*INDEX('Model Inputs &amp; Assumptions'!$H$40:$H$42,MATCH('Model Inputs &amp; Assumptions'!$L$33,'Model Inputs &amp; Assumptions'!$A$40:$A$42,0))</f>
        <v>12919.7512058149</v>
      </c>
      <c r="L2908" s="51" t="n">
        <f aca="false">IFERROR(K2908/I2908,0)</f>
        <v>0.516790048232597</v>
      </c>
      <c r="M2908" s="49" t="n">
        <f aca="false">IFERROR(I2908/H2908,0)</f>
        <v>219.43147006763</v>
      </c>
      <c r="N2908" s="52" t="str">
        <f aca="false">'Model Inputs &amp; Assumptions'!$L$33</f>
        <v>PRD-SP01</v>
      </c>
      <c r="P2908" s="53" t="n">
        <v>0.486201</v>
      </c>
      <c r="Q2908" s="53" t="n">
        <v>-0.648066</v>
      </c>
      <c r="R2908" s="53" t="n">
        <v>-1.35937</v>
      </c>
      <c r="S2908" s="53" t="n">
        <v>-1.127508</v>
      </c>
    </row>
    <row r="2909" customFormat="false" ht="15" hidden="false" customHeight="false" outlineLevel="0" collapsed="false">
      <c r="A2909" s="43" t="n">
        <v>406</v>
      </c>
      <c r="B2909" s="44" t="str">
        <f aca="false">'Model Inputs &amp; Assumptions'!$B$33</f>
        <v>Trade Republic — Savings Plan Push</v>
      </c>
      <c r="C2909" s="45" t="n">
        <f aca="false">ROUND(MAX(0,'Model Inputs &amp; Assumptions'!$S$33*EXP('Model Inputs &amp; Assumptions'!$T$33*P2909-'Model Inputs &amp; Assumptions'!$T$33^2/2)),0)</f>
        <v>1515474</v>
      </c>
      <c r="D2909" s="46" t="n">
        <f aca="false">MIN(1,'Model Inputs &amp; Assumptions'!$U$33*EXP('Model Inputs &amp; Assumptions'!$V$33*Q2909-'Model Inputs &amp; Assumptions'!$V$33^2/2))</f>
        <v>0</v>
      </c>
      <c r="E2909" s="45" t="n">
        <f aca="false">ROUND(C2909*D2909,0)</f>
        <v>0</v>
      </c>
      <c r="F2909" s="47" t="n">
        <f aca="false">MIN(1,'Model Inputs &amp; Assumptions'!$W$33*EXP('Model Inputs &amp; Assumptions'!$X$33*R2909-'Model Inputs &amp; Assumptions'!$X$33^2/2))</f>
        <v>0.00235182910626432</v>
      </c>
      <c r="G2909" s="45" t="n">
        <f aca="false">ROUND(C2909*F2909,0)</f>
        <v>3564</v>
      </c>
      <c r="H2909" s="48" t="n">
        <f aca="false">MAX(0,(C2909*'Model Inputs &amp; Assumptions'!$N$33+E2909*'Model Inputs &amp; Assumptions'!$O$33+G2909*'Model Inputs &amp; Assumptions'!$P$33)*EXP('Model Inputs &amp; Assumptions'!$Q$33*S2909-'Model Inputs &amp; Assumptions'!$Q$33^2/2))</f>
        <v>212.640489046216</v>
      </c>
      <c r="I2909" s="49" t="n">
        <f aca="false">IF('Model Inputs &amp; Assumptions'!$H$33="Fixed",'Model Inputs &amp; Assumptions'!$I$33*'Model Inputs &amp; Assumptions'!$K$33,IF('Model Inputs &amp; Assumptions'!$H$33="CPM",'Model Inputs &amp; Assumptions'!$I$33*'Model Inputs &amp; Assumptions'!$K$33*C2909/1000,IF('Model Inputs &amp; Assumptions'!$H$33="CPC",'Model Inputs &amp; Assumptions'!$I$33*'Model Inputs &amp; Assumptions'!$K$33*G2909,0)))</f>
        <v>25000</v>
      </c>
      <c r="J2909" s="50" t="n">
        <f aca="false">H2909*INDEX('Model Inputs &amp; Assumptions'!$D$40:$D$42,MATCH('Model Inputs &amp; Assumptions'!$L$33,'Model Inputs &amp; Assumptions'!$A$40:$A$42,0))*INDEX('Model Inputs &amp; Assumptions'!$H$40:$H$42,MATCH('Model Inputs &amp; Assumptions'!$L$33,'Model Inputs &amp; Assumptions'!$A$40:$A$42,0))</f>
        <v>1148258.64084957</v>
      </c>
      <c r="K2909" s="49" t="n">
        <f aca="false">H2909*INDEX('Model Inputs &amp; Assumptions'!$G$40:$G$42,MATCH('Model Inputs &amp; Assumptions'!$L$33,'Model Inputs &amp; Assumptions'!$A$40:$A$42,0))*INDEX('Model Inputs &amp; Assumptions'!$H$40:$H$42,MATCH('Model Inputs &amp; Assumptions'!$L$33,'Model Inputs &amp; Assumptions'!$A$40:$A$42,0))</f>
        <v>24113.4314578409</v>
      </c>
      <c r="L2909" s="51" t="n">
        <f aca="false">IFERROR(K2909/I2909,0)</f>
        <v>0.964537258313636</v>
      </c>
      <c r="M2909" s="49" t="n">
        <f aca="false">IFERROR(I2909/H2909,0)</f>
        <v>117.569330808708</v>
      </c>
      <c r="N2909" s="52" t="str">
        <f aca="false">'Model Inputs &amp; Assumptions'!$L$33</f>
        <v>PRD-SP01</v>
      </c>
      <c r="P2909" s="53" t="n">
        <v>0.928023</v>
      </c>
      <c r="Q2909" s="53" t="n">
        <v>-0.281459</v>
      </c>
      <c r="R2909" s="53" t="n">
        <v>-1.175232</v>
      </c>
      <c r="S2909" s="53" t="n">
        <v>0.430665</v>
      </c>
    </row>
    <row r="2910" customFormat="false" ht="15" hidden="false" customHeight="false" outlineLevel="0" collapsed="false">
      <c r="A2910" s="43" t="n">
        <v>407</v>
      </c>
      <c r="B2910" s="44" t="str">
        <f aca="false">'Model Inputs &amp; Assumptions'!$B$33</f>
        <v>Trade Republic — Savings Plan Push</v>
      </c>
      <c r="C2910" s="45" t="n">
        <f aca="false">ROUND(MAX(0,'Model Inputs &amp; Assumptions'!$S$33*EXP('Model Inputs &amp; Assumptions'!$T$33*P2910-'Model Inputs &amp; Assumptions'!$T$33^2/2)),0)</f>
        <v>1319659</v>
      </c>
      <c r="D2910" s="46" t="n">
        <f aca="false">MIN(1,'Model Inputs &amp; Assumptions'!$U$33*EXP('Model Inputs &amp; Assumptions'!$V$33*Q2910-'Model Inputs &amp; Assumptions'!$V$33^2/2))</f>
        <v>0</v>
      </c>
      <c r="E2910" s="45" t="n">
        <f aca="false">ROUND(C2910*D2910,0)</f>
        <v>0</v>
      </c>
      <c r="F2910" s="47" t="n">
        <f aca="false">MIN(1,'Model Inputs &amp; Assumptions'!$W$33*EXP('Model Inputs &amp; Assumptions'!$X$33*R2910-'Model Inputs &amp; Assumptions'!$X$33^2/2))</f>
        <v>0.00268999589743469</v>
      </c>
      <c r="G2910" s="45" t="n">
        <f aca="false">ROUND(C2910*F2910,0)</f>
        <v>3550</v>
      </c>
      <c r="H2910" s="48" t="n">
        <f aca="false">MAX(0,(C2910*'Model Inputs &amp; Assumptions'!$N$33+E2910*'Model Inputs &amp; Assumptions'!$O$33+G2910*'Model Inputs &amp; Assumptions'!$P$33)*EXP('Model Inputs &amp; Assumptions'!$Q$33*S2910-'Model Inputs &amp; Assumptions'!$Q$33^2/2))</f>
        <v>329.283561536144</v>
      </c>
      <c r="I2910" s="49" t="n">
        <f aca="false">IF('Model Inputs &amp; Assumptions'!$H$33="Fixed",'Model Inputs &amp; Assumptions'!$I$33*'Model Inputs &amp; Assumptions'!$K$33,IF('Model Inputs &amp; Assumptions'!$H$33="CPM",'Model Inputs &amp; Assumptions'!$I$33*'Model Inputs &amp; Assumptions'!$K$33*C2910/1000,IF('Model Inputs &amp; Assumptions'!$H$33="CPC",'Model Inputs &amp; Assumptions'!$I$33*'Model Inputs &amp; Assumptions'!$K$33*G2910,0)))</f>
        <v>25000</v>
      </c>
      <c r="J2910" s="50" t="n">
        <f aca="false">H2910*INDEX('Model Inputs &amp; Assumptions'!$D$40:$D$42,MATCH('Model Inputs &amp; Assumptions'!$L$33,'Model Inputs &amp; Assumptions'!$A$40:$A$42,0))*INDEX('Model Inputs &amp; Assumptions'!$H$40:$H$42,MATCH('Model Inputs &amp; Assumptions'!$L$33,'Model Inputs &amp; Assumptions'!$A$40:$A$42,0))</f>
        <v>1778131.23229518</v>
      </c>
      <c r="K2910" s="49" t="n">
        <f aca="false">H2910*INDEX('Model Inputs &amp; Assumptions'!$G$40:$G$42,MATCH('Model Inputs &amp; Assumptions'!$L$33,'Model Inputs &amp; Assumptions'!$A$40:$A$42,0))*INDEX('Model Inputs &amp; Assumptions'!$H$40:$H$42,MATCH('Model Inputs &amp; Assumptions'!$L$33,'Model Inputs &amp; Assumptions'!$A$40:$A$42,0))</f>
        <v>37340.7558781987</v>
      </c>
      <c r="L2910" s="51" t="n">
        <f aca="false">IFERROR(K2910/I2910,0)</f>
        <v>1.49363023512795</v>
      </c>
      <c r="M2910" s="49" t="n">
        <f aca="false">IFERROR(I2910/H2910,0)</f>
        <v>75.9224052466277</v>
      </c>
      <c r="N2910" s="52" t="str">
        <f aca="false">'Model Inputs &amp; Assumptions'!$L$33</f>
        <v>PRD-SP01</v>
      </c>
      <c r="P2910" s="53" t="n">
        <v>0.46684</v>
      </c>
      <c r="Q2910" s="53" t="n">
        <v>0.483299</v>
      </c>
      <c r="R2910" s="53" t="n">
        <v>-0.727411</v>
      </c>
      <c r="S2910" s="53" t="n">
        <v>2.006566</v>
      </c>
    </row>
    <row r="2911" customFormat="false" ht="15" hidden="false" customHeight="false" outlineLevel="0" collapsed="false">
      <c r="A2911" s="43" t="n">
        <v>408</v>
      </c>
      <c r="B2911" s="44" t="str">
        <f aca="false">'Model Inputs &amp; Assumptions'!$B$33</f>
        <v>Trade Republic — Savings Plan Push</v>
      </c>
      <c r="C2911" s="45" t="n">
        <f aca="false">ROUND(MAX(0,'Model Inputs &amp; Assumptions'!$S$33*EXP('Model Inputs &amp; Assumptions'!$T$33*P2911-'Model Inputs &amp; Assumptions'!$T$33^2/2)),0)</f>
        <v>1282890</v>
      </c>
      <c r="D2911" s="46" t="n">
        <f aca="false">MIN(1,'Model Inputs &amp; Assumptions'!$U$33*EXP('Model Inputs &amp; Assumptions'!$V$33*Q2911-'Model Inputs &amp; Assumptions'!$V$33^2/2))</f>
        <v>0</v>
      </c>
      <c r="E2911" s="45" t="n">
        <f aca="false">ROUND(C2911*D2911,0)</f>
        <v>0</v>
      </c>
      <c r="F2911" s="47" t="n">
        <f aca="false">MIN(1,'Model Inputs &amp; Assumptions'!$W$33*EXP('Model Inputs &amp; Assumptions'!$X$33*R2911-'Model Inputs &amp; Assumptions'!$X$33^2/2))</f>
        <v>0.00323944094959588</v>
      </c>
      <c r="G2911" s="45" t="n">
        <f aca="false">ROUND(C2911*F2911,0)</f>
        <v>4156</v>
      </c>
      <c r="H2911" s="48" t="n">
        <f aca="false">MAX(0,(C2911*'Model Inputs &amp; Assumptions'!$N$33+E2911*'Model Inputs &amp; Assumptions'!$O$33+G2911*'Model Inputs &amp; Assumptions'!$P$33)*EXP('Model Inputs &amp; Assumptions'!$Q$33*S2911-'Model Inputs &amp; Assumptions'!$Q$33^2/2))</f>
        <v>346.96523182928</v>
      </c>
      <c r="I2911" s="49" t="n">
        <f aca="false">IF('Model Inputs &amp; Assumptions'!$H$33="Fixed",'Model Inputs &amp; Assumptions'!$I$33*'Model Inputs &amp; Assumptions'!$K$33,IF('Model Inputs &amp; Assumptions'!$H$33="CPM",'Model Inputs &amp; Assumptions'!$I$33*'Model Inputs &amp; Assumptions'!$K$33*C2911/1000,IF('Model Inputs &amp; Assumptions'!$H$33="CPC",'Model Inputs &amp; Assumptions'!$I$33*'Model Inputs &amp; Assumptions'!$K$33*G2911,0)))</f>
        <v>25000</v>
      </c>
      <c r="J2911" s="50" t="n">
        <f aca="false">H2911*INDEX('Model Inputs &amp; Assumptions'!$D$40:$D$42,MATCH('Model Inputs &amp; Assumptions'!$L$33,'Model Inputs &amp; Assumptions'!$A$40:$A$42,0))*INDEX('Model Inputs &amp; Assumptions'!$H$40:$H$42,MATCH('Model Inputs &amp; Assumptions'!$L$33,'Model Inputs &amp; Assumptions'!$A$40:$A$42,0))</f>
        <v>1873612.25187811</v>
      </c>
      <c r="K2911" s="49" t="n">
        <f aca="false">H2911*INDEX('Model Inputs &amp; Assumptions'!$G$40:$G$42,MATCH('Model Inputs &amp; Assumptions'!$L$33,'Model Inputs &amp; Assumptions'!$A$40:$A$42,0))*INDEX('Model Inputs &amp; Assumptions'!$H$40:$H$42,MATCH('Model Inputs &amp; Assumptions'!$L$33,'Model Inputs &amp; Assumptions'!$A$40:$A$42,0))</f>
        <v>39345.8572894403</v>
      </c>
      <c r="L2911" s="51" t="n">
        <f aca="false">IFERROR(K2911/I2911,0)</f>
        <v>1.57383429157761</v>
      </c>
      <c r="M2911" s="49" t="n">
        <f aca="false">IFERROR(I2911/H2911,0)</f>
        <v>72.0533289983965</v>
      </c>
      <c r="N2911" s="52" t="str">
        <f aca="false">'Model Inputs &amp; Assumptions'!$L$33</f>
        <v>PRD-SP01</v>
      </c>
      <c r="P2911" s="53" t="n">
        <v>0.372647</v>
      </c>
      <c r="Q2911" s="53" t="n">
        <v>1.476268</v>
      </c>
      <c r="R2911" s="53" t="n">
        <v>-0.107874</v>
      </c>
      <c r="S2911" s="53" t="n">
        <v>1.630494</v>
      </c>
    </row>
    <row r="2912" customFormat="false" ht="15" hidden="false" customHeight="false" outlineLevel="0" collapsed="false">
      <c r="A2912" s="43" t="n">
        <v>409</v>
      </c>
      <c r="B2912" s="44" t="str">
        <f aca="false">'Model Inputs &amp; Assumptions'!$B$33</f>
        <v>Trade Republic — Savings Plan Push</v>
      </c>
      <c r="C2912" s="45" t="n">
        <f aca="false">ROUND(MAX(0,'Model Inputs &amp; Assumptions'!$S$33*EXP('Model Inputs &amp; Assumptions'!$T$33*P2912-'Model Inputs &amp; Assumptions'!$T$33^2/2)),0)</f>
        <v>918676</v>
      </c>
      <c r="D2912" s="46" t="n">
        <f aca="false">MIN(1,'Model Inputs &amp; Assumptions'!$U$33*EXP('Model Inputs &amp; Assumptions'!$V$33*Q2912-'Model Inputs &amp; Assumptions'!$V$33^2/2))</f>
        <v>0</v>
      </c>
      <c r="E2912" s="45" t="n">
        <f aca="false">ROUND(C2912*D2912,0)</f>
        <v>0</v>
      </c>
      <c r="F2912" s="47" t="n">
        <f aca="false">MIN(1,'Model Inputs &amp; Assumptions'!$W$33*EXP('Model Inputs &amp; Assumptions'!$X$33*R2912-'Model Inputs &amp; Assumptions'!$X$33^2/2))</f>
        <v>0.00439297892903361</v>
      </c>
      <c r="G2912" s="45" t="n">
        <f aca="false">ROUND(C2912*F2912,0)</f>
        <v>4036</v>
      </c>
      <c r="H2912" s="48" t="n">
        <f aca="false">MAX(0,(C2912*'Model Inputs &amp; Assumptions'!$N$33+E2912*'Model Inputs &amp; Assumptions'!$O$33+G2912*'Model Inputs &amp; Assumptions'!$P$33)*EXP('Model Inputs &amp; Assumptions'!$Q$33*S2912-'Model Inputs &amp; Assumptions'!$Q$33^2/2))</f>
        <v>212.095670267286</v>
      </c>
      <c r="I2912" s="49" t="n">
        <f aca="false">IF('Model Inputs &amp; Assumptions'!$H$33="Fixed",'Model Inputs &amp; Assumptions'!$I$33*'Model Inputs &amp; Assumptions'!$K$33,IF('Model Inputs &amp; Assumptions'!$H$33="CPM",'Model Inputs &amp; Assumptions'!$I$33*'Model Inputs &amp; Assumptions'!$K$33*C2912/1000,IF('Model Inputs &amp; Assumptions'!$H$33="CPC",'Model Inputs &amp; Assumptions'!$I$33*'Model Inputs &amp; Assumptions'!$K$33*G2912,0)))</f>
        <v>25000</v>
      </c>
      <c r="J2912" s="50" t="n">
        <f aca="false">H2912*INDEX('Model Inputs &amp; Assumptions'!$D$40:$D$42,MATCH('Model Inputs &amp; Assumptions'!$L$33,'Model Inputs &amp; Assumptions'!$A$40:$A$42,0))*INDEX('Model Inputs &amp; Assumptions'!$H$40:$H$42,MATCH('Model Inputs &amp; Assumptions'!$L$33,'Model Inputs &amp; Assumptions'!$A$40:$A$42,0))</f>
        <v>1145316.61944335</v>
      </c>
      <c r="K2912" s="49" t="n">
        <f aca="false">H2912*INDEX('Model Inputs &amp; Assumptions'!$G$40:$G$42,MATCH('Model Inputs &amp; Assumptions'!$L$33,'Model Inputs &amp; Assumptions'!$A$40:$A$42,0))*INDEX('Model Inputs &amp; Assumptions'!$H$40:$H$42,MATCH('Model Inputs &amp; Assumptions'!$L$33,'Model Inputs &amp; Assumptions'!$A$40:$A$42,0))</f>
        <v>24051.6490083103</v>
      </c>
      <c r="L2912" s="51" t="n">
        <f aca="false">IFERROR(K2912/I2912,0)</f>
        <v>0.962065960332411</v>
      </c>
      <c r="M2912" s="49" t="n">
        <f aca="false">IFERROR(I2912/H2912,0)</f>
        <v>117.871335932952</v>
      </c>
      <c r="N2912" s="52" t="str">
        <f aca="false">'Model Inputs &amp; Assumptions'!$L$33</f>
        <v>PRD-SP01</v>
      </c>
      <c r="P2912" s="53" t="n">
        <v>-0.740477</v>
      </c>
      <c r="Q2912" s="53" t="n">
        <v>-0.189734</v>
      </c>
      <c r="R2912" s="53" t="n">
        <v>0.907482</v>
      </c>
      <c r="S2912" s="53" t="n">
        <v>-0.022678</v>
      </c>
    </row>
    <row r="2913" customFormat="false" ht="15" hidden="false" customHeight="false" outlineLevel="0" collapsed="false">
      <c r="A2913" s="43" t="n">
        <v>410</v>
      </c>
      <c r="B2913" s="44" t="str">
        <f aca="false">'Model Inputs &amp; Assumptions'!$B$33</f>
        <v>Trade Republic — Savings Plan Push</v>
      </c>
      <c r="C2913" s="45" t="n">
        <f aca="false">ROUND(MAX(0,'Model Inputs &amp; Assumptions'!$S$33*EXP('Model Inputs &amp; Assumptions'!$T$33*P2913-'Model Inputs &amp; Assumptions'!$T$33^2/2)),0)</f>
        <v>966719</v>
      </c>
      <c r="D2913" s="46" t="n">
        <f aca="false">MIN(1,'Model Inputs &amp; Assumptions'!$U$33*EXP('Model Inputs &amp; Assumptions'!$V$33*Q2913-'Model Inputs &amp; Assumptions'!$V$33^2/2))</f>
        <v>0</v>
      </c>
      <c r="E2913" s="45" t="n">
        <f aca="false">ROUND(C2913*D2913,0)</f>
        <v>0</v>
      </c>
      <c r="F2913" s="47" t="n">
        <f aca="false">MIN(1,'Model Inputs &amp; Assumptions'!$W$33*EXP('Model Inputs &amp; Assumptions'!$X$33*R2913-'Model Inputs &amp; Assumptions'!$X$33^2/2))</f>
        <v>0.00414800737568186</v>
      </c>
      <c r="G2913" s="45" t="n">
        <f aca="false">ROUND(C2913*F2913,0)</f>
        <v>4010</v>
      </c>
      <c r="H2913" s="48" t="n">
        <f aca="false">MAX(0,(C2913*'Model Inputs &amp; Assumptions'!$N$33+E2913*'Model Inputs &amp; Assumptions'!$O$33+G2913*'Model Inputs &amp; Assumptions'!$P$33)*EXP('Model Inputs &amp; Assumptions'!$Q$33*S2913-'Model Inputs &amp; Assumptions'!$Q$33^2/2))</f>
        <v>141.549781304434</v>
      </c>
      <c r="I2913" s="49" t="n">
        <f aca="false">IF('Model Inputs &amp; Assumptions'!$H$33="Fixed",'Model Inputs &amp; Assumptions'!$I$33*'Model Inputs &amp; Assumptions'!$K$33,IF('Model Inputs &amp; Assumptions'!$H$33="CPM",'Model Inputs &amp; Assumptions'!$I$33*'Model Inputs &amp; Assumptions'!$K$33*C2913/1000,IF('Model Inputs &amp; Assumptions'!$H$33="CPC",'Model Inputs &amp; Assumptions'!$I$33*'Model Inputs &amp; Assumptions'!$K$33*G2913,0)))</f>
        <v>25000</v>
      </c>
      <c r="J2913" s="50" t="n">
        <f aca="false">H2913*INDEX('Model Inputs &amp; Assumptions'!$D$40:$D$42,MATCH('Model Inputs &amp; Assumptions'!$L$33,'Model Inputs &amp; Assumptions'!$A$40:$A$42,0))*INDEX('Model Inputs &amp; Assumptions'!$H$40:$H$42,MATCH('Model Inputs &amp; Assumptions'!$L$33,'Model Inputs &amp; Assumptions'!$A$40:$A$42,0))</f>
        <v>764368.819043942</v>
      </c>
      <c r="K2913" s="49" t="n">
        <f aca="false">H2913*INDEX('Model Inputs &amp; Assumptions'!$G$40:$G$42,MATCH('Model Inputs &amp; Assumptions'!$L$33,'Model Inputs &amp; Assumptions'!$A$40:$A$42,0))*INDEX('Model Inputs &amp; Assumptions'!$H$40:$H$42,MATCH('Model Inputs &amp; Assumptions'!$L$33,'Model Inputs &amp; Assumptions'!$A$40:$A$42,0))</f>
        <v>16051.7451999228</v>
      </c>
      <c r="L2913" s="51" t="n">
        <f aca="false">IFERROR(K2913/I2913,0)</f>
        <v>0.642069807996912</v>
      </c>
      <c r="M2913" s="49" t="n">
        <f aca="false">IFERROR(I2913/H2913,0)</f>
        <v>176.616309609352</v>
      </c>
      <c r="N2913" s="52" t="str">
        <f aca="false">'Model Inputs &amp; Assumptions'!$L$33</f>
        <v>PRD-SP01</v>
      </c>
      <c r="P2913" s="53" t="n">
        <v>-0.570564</v>
      </c>
      <c r="Q2913" s="53" t="n">
        <v>0.785717</v>
      </c>
      <c r="R2913" s="53" t="n">
        <v>0.716217</v>
      </c>
      <c r="S2913" s="53" t="n">
        <v>-1.443832</v>
      </c>
    </row>
    <row r="2914" customFormat="false" ht="15" hidden="false" customHeight="false" outlineLevel="0" collapsed="false">
      <c r="A2914" s="43" t="n">
        <v>411</v>
      </c>
      <c r="B2914" s="44" t="str">
        <f aca="false">'Model Inputs &amp; Assumptions'!$B$33</f>
        <v>Trade Republic — Savings Plan Push</v>
      </c>
      <c r="C2914" s="45" t="n">
        <f aca="false">ROUND(MAX(0,'Model Inputs &amp; Assumptions'!$S$33*EXP('Model Inputs &amp; Assumptions'!$T$33*P2914-'Model Inputs &amp; Assumptions'!$T$33^2/2)),0)</f>
        <v>1105772</v>
      </c>
      <c r="D2914" s="46" t="n">
        <f aca="false">MIN(1,'Model Inputs &amp; Assumptions'!$U$33*EXP('Model Inputs &amp; Assumptions'!$V$33*Q2914-'Model Inputs &amp; Assumptions'!$V$33^2/2))</f>
        <v>0</v>
      </c>
      <c r="E2914" s="45" t="n">
        <f aca="false">ROUND(C2914*D2914,0)</f>
        <v>0</v>
      </c>
      <c r="F2914" s="47" t="n">
        <f aca="false">MIN(1,'Model Inputs &amp; Assumptions'!$W$33*EXP('Model Inputs &amp; Assumptions'!$X$33*R2914-'Model Inputs &amp; Assumptions'!$X$33^2/2))</f>
        <v>0.00172525051926029</v>
      </c>
      <c r="G2914" s="45" t="n">
        <f aca="false">ROUND(C2914*F2914,0)</f>
        <v>1908</v>
      </c>
      <c r="H2914" s="48" t="n">
        <f aca="false">MAX(0,(C2914*'Model Inputs &amp; Assumptions'!$N$33+E2914*'Model Inputs &amp; Assumptions'!$O$33+G2914*'Model Inputs &amp; Assumptions'!$P$33)*EXP('Model Inputs &amp; Assumptions'!$Q$33*S2914-'Model Inputs &amp; Assumptions'!$Q$33^2/2))</f>
        <v>82.4820915997124</v>
      </c>
      <c r="I2914" s="49" t="n">
        <f aca="false">IF('Model Inputs &amp; Assumptions'!$H$33="Fixed",'Model Inputs &amp; Assumptions'!$I$33*'Model Inputs &amp; Assumptions'!$K$33,IF('Model Inputs &amp; Assumptions'!$H$33="CPM",'Model Inputs &amp; Assumptions'!$I$33*'Model Inputs &amp; Assumptions'!$K$33*C2914/1000,IF('Model Inputs &amp; Assumptions'!$H$33="CPC",'Model Inputs &amp; Assumptions'!$I$33*'Model Inputs &amp; Assumptions'!$K$33*G2914,0)))</f>
        <v>25000</v>
      </c>
      <c r="J2914" s="50" t="n">
        <f aca="false">H2914*INDEX('Model Inputs &amp; Assumptions'!$D$40:$D$42,MATCH('Model Inputs &amp; Assumptions'!$L$33,'Model Inputs &amp; Assumptions'!$A$40:$A$42,0))*INDEX('Model Inputs &amp; Assumptions'!$H$40:$H$42,MATCH('Model Inputs &amp; Assumptions'!$L$33,'Model Inputs &amp; Assumptions'!$A$40:$A$42,0))</f>
        <v>445403.294638447</v>
      </c>
      <c r="K2914" s="49" t="n">
        <f aca="false">H2914*INDEX('Model Inputs &amp; Assumptions'!$G$40:$G$42,MATCH('Model Inputs &amp; Assumptions'!$L$33,'Model Inputs &amp; Assumptions'!$A$40:$A$42,0))*INDEX('Model Inputs &amp; Assumptions'!$H$40:$H$42,MATCH('Model Inputs &amp; Assumptions'!$L$33,'Model Inputs &amp; Assumptions'!$A$40:$A$42,0))</f>
        <v>9353.46918740739</v>
      </c>
      <c r="L2914" s="51" t="n">
        <f aca="false">IFERROR(K2914/I2914,0)</f>
        <v>0.374138767496295</v>
      </c>
      <c r="M2914" s="49" t="n">
        <f aca="false">IFERROR(I2914/H2914,0)</f>
        <v>303.096096560276</v>
      </c>
      <c r="N2914" s="52" t="str">
        <f aca="false">'Model Inputs &amp; Assumptions'!$L$33</f>
        <v>PRD-SP01</v>
      </c>
      <c r="P2914" s="53" t="n">
        <v>-0.122593</v>
      </c>
      <c r="Q2914" s="53" t="n">
        <v>-0.736281</v>
      </c>
      <c r="R2914" s="53" t="n">
        <v>-2.207969</v>
      </c>
      <c r="S2914" s="53" t="n">
        <v>-0.720027</v>
      </c>
    </row>
    <row r="2915" customFormat="false" ht="15" hidden="false" customHeight="false" outlineLevel="0" collapsed="false">
      <c r="A2915" s="43" t="n">
        <v>412</v>
      </c>
      <c r="B2915" s="44" t="str">
        <f aca="false">'Model Inputs &amp; Assumptions'!$B$33</f>
        <v>Trade Republic — Savings Plan Push</v>
      </c>
      <c r="C2915" s="45" t="n">
        <f aca="false">ROUND(MAX(0,'Model Inputs &amp; Assumptions'!$S$33*EXP('Model Inputs &amp; Assumptions'!$T$33*P2915-'Model Inputs &amp; Assumptions'!$T$33^2/2)),0)</f>
        <v>1406233</v>
      </c>
      <c r="D2915" s="46" t="n">
        <f aca="false">MIN(1,'Model Inputs &amp; Assumptions'!$U$33*EXP('Model Inputs &amp; Assumptions'!$V$33*Q2915-'Model Inputs &amp; Assumptions'!$V$33^2/2))</f>
        <v>0</v>
      </c>
      <c r="E2915" s="45" t="n">
        <f aca="false">ROUND(C2915*D2915,0)</f>
        <v>0</v>
      </c>
      <c r="F2915" s="47" t="n">
        <f aca="false">MIN(1,'Model Inputs &amp; Assumptions'!$W$33*EXP('Model Inputs &amp; Assumptions'!$X$33*R2915-'Model Inputs &amp; Assumptions'!$X$33^2/2))</f>
        <v>0.00308752521429914</v>
      </c>
      <c r="G2915" s="45" t="n">
        <f aca="false">ROUND(C2915*F2915,0)</f>
        <v>4342</v>
      </c>
      <c r="H2915" s="48" t="n">
        <f aca="false">MAX(0,(C2915*'Model Inputs &amp; Assumptions'!$N$33+E2915*'Model Inputs &amp; Assumptions'!$O$33+G2915*'Model Inputs &amp; Assumptions'!$P$33)*EXP('Model Inputs &amp; Assumptions'!$Q$33*S2915-'Model Inputs &amp; Assumptions'!$Q$33^2/2))</f>
        <v>137.846702559746</v>
      </c>
      <c r="I2915" s="49" t="n">
        <f aca="false">IF('Model Inputs &amp; Assumptions'!$H$33="Fixed",'Model Inputs &amp; Assumptions'!$I$33*'Model Inputs &amp; Assumptions'!$K$33,IF('Model Inputs &amp; Assumptions'!$H$33="CPM",'Model Inputs &amp; Assumptions'!$I$33*'Model Inputs &amp; Assumptions'!$K$33*C2915/1000,IF('Model Inputs &amp; Assumptions'!$H$33="CPC",'Model Inputs &amp; Assumptions'!$I$33*'Model Inputs &amp; Assumptions'!$K$33*G2915,0)))</f>
        <v>25000</v>
      </c>
      <c r="J2915" s="50" t="n">
        <f aca="false">H2915*INDEX('Model Inputs &amp; Assumptions'!$D$40:$D$42,MATCH('Model Inputs &amp; Assumptions'!$L$33,'Model Inputs &amp; Assumptions'!$A$40:$A$42,0))*INDEX('Model Inputs &amp; Assumptions'!$H$40:$H$42,MATCH('Model Inputs &amp; Assumptions'!$L$33,'Model Inputs &amp; Assumptions'!$A$40:$A$42,0))</f>
        <v>744372.193822626</v>
      </c>
      <c r="K2915" s="49" t="n">
        <f aca="false">H2915*INDEX('Model Inputs &amp; Assumptions'!$G$40:$G$42,MATCH('Model Inputs &amp; Assumptions'!$L$33,'Model Inputs &amp; Assumptions'!$A$40:$A$42,0))*INDEX('Model Inputs &amp; Assumptions'!$H$40:$H$42,MATCH('Model Inputs &amp; Assumptions'!$L$33,'Model Inputs &amp; Assumptions'!$A$40:$A$42,0))</f>
        <v>15631.8160702752</v>
      </c>
      <c r="L2915" s="51" t="n">
        <f aca="false">IFERROR(K2915/I2915,0)</f>
        <v>0.625272642811006</v>
      </c>
      <c r="M2915" s="49" t="n">
        <f aca="false">IFERROR(I2915/H2915,0)</f>
        <v>181.360885213518</v>
      </c>
      <c r="N2915" s="52" t="str">
        <f aca="false">'Model Inputs &amp; Assumptions'!$L$33</f>
        <v>PRD-SP01</v>
      </c>
      <c r="P2915" s="53" t="n">
        <v>0.678643</v>
      </c>
      <c r="Q2915" s="53" t="n">
        <v>1.763461</v>
      </c>
      <c r="R2915" s="53" t="n">
        <v>-0.267977</v>
      </c>
      <c r="S2915" s="53" t="n">
        <v>-1.822593</v>
      </c>
    </row>
    <row r="2916" customFormat="false" ht="15" hidden="false" customHeight="false" outlineLevel="0" collapsed="false">
      <c r="A2916" s="43" t="n">
        <v>413</v>
      </c>
      <c r="B2916" s="44" t="str">
        <f aca="false">'Model Inputs &amp; Assumptions'!$B$33</f>
        <v>Trade Republic — Savings Plan Push</v>
      </c>
      <c r="C2916" s="45" t="n">
        <f aca="false">ROUND(MAX(0,'Model Inputs &amp; Assumptions'!$S$33*EXP('Model Inputs &amp; Assumptions'!$T$33*P2916-'Model Inputs &amp; Assumptions'!$T$33^2/2)),0)</f>
        <v>1961628</v>
      </c>
      <c r="D2916" s="46" t="n">
        <f aca="false">MIN(1,'Model Inputs &amp; Assumptions'!$U$33*EXP('Model Inputs &amp; Assumptions'!$V$33*Q2916-'Model Inputs &amp; Assumptions'!$V$33^2/2))</f>
        <v>0</v>
      </c>
      <c r="E2916" s="45" t="n">
        <f aca="false">ROUND(C2916*D2916,0)</f>
        <v>0</v>
      </c>
      <c r="F2916" s="47" t="n">
        <f aca="false">MIN(1,'Model Inputs &amp; Assumptions'!$W$33*EXP('Model Inputs &amp; Assumptions'!$X$33*R2916-'Model Inputs &amp; Assumptions'!$X$33^2/2))</f>
        <v>0.00242997013826076</v>
      </c>
      <c r="G2916" s="45" t="n">
        <f aca="false">ROUND(C2916*F2916,0)</f>
        <v>4767</v>
      </c>
      <c r="H2916" s="48" t="n">
        <f aca="false">MAX(0,(C2916*'Model Inputs &amp; Assumptions'!$N$33+E2916*'Model Inputs &amp; Assumptions'!$O$33+G2916*'Model Inputs &amp; Assumptions'!$P$33)*EXP('Model Inputs &amp; Assumptions'!$Q$33*S2916-'Model Inputs &amp; Assumptions'!$Q$33^2/2))</f>
        <v>272.916749407864</v>
      </c>
      <c r="I2916" s="49" t="n">
        <f aca="false">IF('Model Inputs &amp; Assumptions'!$H$33="Fixed",'Model Inputs &amp; Assumptions'!$I$33*'Model Inputs &amp; Assumptions'!$K$33,IF('Model Inputs &amp; Assumptions'!$H$33="CPM",'Model Inputs &amp; Assumptions'!$I$33*'Model Inputs &amp; Assumptions'!$K$33*C2916/1000,IF('Model Inputs &amp; Assumptions'!$H$33="CPC",'Model Inputs &amp; Assumptions'!$I$33*'Model Inputs &amp; Assumptions'!$K$33*G2916,0)))</f>
        <v>25000</v>
      </c>
      <c r="J2916" s="50" t="n">
        <f aca="false">H2916*INDEX('Model Inputs &amp; Assumptions'!$D$40:$D$42,MATCH('Model Inputs &amp; Assumptions'!$L$33,'Model Inputs &amp; Assumptions'!$A$40:$A$42,0))*INDEX('Model Inputs &amp; Assumptions'!$H$40:$H$42,MATCH('Model Inputs &amp; Assumptions'!$L$33,'Model Inputs &amp; Assumptions'!$A$40:$A$42,0))</f>
        <v>1473750.44680247</v>
      </c>
      <c r="K2916" s="49" t="n">
        <f aca="false">H2916*INDEX('Model Inputs &amp; Assumptions'!$G$40:$G$42,MATCH('Model Inputs &amp; Assumptions'!$L$33,'Model Inputs &amp; Assumptions'!$A$40:$A$42,0))*INDEX('Model Inputs &amp; Assumptions'!$H$40:$H$42,MATCH('Model Inputs &amp; Assumptions'!$L$33,'Model Inputs &amp; Assumptions'!$A$40:$A$42,0))</f>
        <v>30948.7593828518</v>
      </c>
      <c r="L2916" s="51" t="n">
        <f aca="false">IFERROR(K2916/I2916,0)</f>
        <v>1.23795037531407</v>
      </c>
      <c r="M2916" s="49" t="n">
        <f aca="false">IFERROR(I2916/H2916,0)</f>
        <v>91.6030256634722</v>
      </c>
      <c r="N2916" s="52" t="str">
        <f aca="false">'Model Inputs &amp; Assumptions'!$L$33</f>
        <v>PRD-SP01</v>
      </c>
      <c r="P2916" s="53" t="n">
        <v>1.788178</v>
      </c>
      <c r="Q2916" s="53" t="n">
        <v>-1.051639</v>
      </c>
      <c r="R2916" s="53" t="n">
        <v>-1.06628</v>
      </c>
      <c r="S2916" s="53" t="n">
        <v>0.283273</v>
      </c>
    </row>
    <row r="2917" customFormat="false" ht="15" hidden="false" customHeight="false" outlineLevel="0" collapsed="false">
      <c r="A2917" s="43" t="n">
        <v>414</v>
      </c>
      <c r="B2917" s="44" t="str">
        <f aca="false">'Model Inputs &amp; Assumptions'!$B$33</f>
        <v>Trade Republic — Savings Plan Push</v>
      </c>
      <c r="C2917" s="45" t="n">
        <f aca="false">ROUND(MAX(0,'Model Inputs &amp; Assumptions'!$S$33*EXP('Model Inputs &amp; Assumptions'!$T$33*P2917-'Model Inputs &amp; Assumptions'!$T$33^2/2)),0)</f>
        <v>1987537</v>
      </c>
      <c r="D2917" s="46" t="n">
        <f aca="false">MIN(1,'Model Inputs &amp; Assumptions'!$U$33*EXP('Model Inputs &amp; Assumptions'!$V$33*Q2917-'Model Inputs &amp; Assumptions'!$V$33^2/2))</f>
        <v>0</v>
      </c>
      <c r="E2917" s="45" t="n">
        <f aca="false">ROUND(C2917*D2917,0)</f>
        <v>0</v>
      </c>
      <c r="F2917" s="47" t="n">
        <f aca="false">MIN(1,'Model Inputs &amp; Assumptions'!$W$33*EXP('Model Inputs &amp; Assumptions'!$X$33*R2917-'Model Inputs &amp; Assumptions'!$X$33^2/2))</f>
        <v>0.0032357530032788</v>
      </c>
      <c r="G2917" s="45" t="n">
        <f aca="false">ROUND(C2917*F2917,0)</f>
        <v>6431</v>
      </c>
      <c r="H2917" s="48" t="n">
        <f aca="false">MAX(0,(C2917*'Model Inputs &amp; Assumptions'!$N$33+E2917*'Model Inputs &amp; Assumptions'!$O$33+G2917*'Model Inputs &amp; Assumptions'!$P$33)*EXP('Model Inputs &amp; Assumptions'!$Q$33*S2917-'Model Inputs &amp; Assumptions'!$Q$33^2/2))</f>
        <v>446.315415802948</v>
      </c>
      <c r="I2917" s="49" t="n">
        <f aca="false">IF('Model Inputs &amp; Assumptions'!$H$33="Fixed",'Model Inputs &amp; Assumptions'!$I$33*'Model Inputs &amp; Assumptions'!$K$33,IF('Model Inputs &amp; Assumptions'!$H$33="CPM",'Model Inputs &amp; Assumptions'!$I$33*'Model Inputs &amp; Assumptions'!$K$33*C2917/1000,IF('Model Inputs &amp; Assumptions'!$H$33="CPC",'Model Inputs &amp; Assumptions'!$I$33*'Model Inputs &amp; Assumptions'!$K$33*G2917,0)))</f>
        <v>25000</v>
      </c>
      <c r="J2917" s="50" t="n">
        <f aca="false">H2917*INDEX('Model Inputs &amp; Assumptions'!$D$40:$D$42,MATCH('Model Inputs &amp; Assumptions'!$L$33,'Model Inputs &amp; Assumptions'!$A$40:$A$42,0))*INDEX('Model Inputs &amp; Assumptions'!$H$40:$H$42,MATCH('Model Inputs &amp; Assumptions'!$L$33,'Model Inputs &amp; Assumptions'!$A$40:$A$42,0))</f>
        <v>2410103.24533592</v>
      </c>
      <c r="K2917" s="49" t="n">
        <f aca="false">H2917*INDEX('Model Inputs &amp; Assumptions'!$G$40:$G$42,MATCH('Model Inputs &amp; Assumptions'!$L$33,'Model Inputs &amp; Assumptions'!$A$40:$A$42,0))*INDEX('Model Inputs &amp; Assumptions'!$H$40:$H$42,MATCH('Model Inputs &amp; Assumptions'!$L$33,'Model Inputs &amp; Assumptions'!$A$40:$A$42,0))</f>
        <v>50612.1681520543</v>
      </c>
      <c r="L2917" s="51" t="n">
        <f aca="false">IFERROR(K2917/I2917,0)</f>
        <v>2.02448672608217</v>
      </c>
      <c r="M2917" s="49" t="n">
        <f aca="false">IFERROR(I2917/H2917,0)</f>
        <v>56.014197840385</v>
      </c>
      <c r="N2917" s="52" t="str">
        <f aca="false">'Model Inputs &amp; Assumptions'!$L$33</f>
        <v>PRD-SP01</v>
      </c>
      <c r="P2917" s="53" t="n">
        <v>1.831916</v>
      </c>
      <c r="Q2917" s="53" t="n">
        <v>0.156449</v>
      </c>
      <c r="R2917" s="53" t="n">
        <v>-0.111671</v>
      </c>
      <c r="S2917" s="53" t="n">
        <v>0.970581</v>
      </c>
    </row>
    <row r="2918" customFormat="false" ht="15" hidden="false" customHeight="false" outlineLevel="0" collapsed="false">
      <c r="A2918" s="43" t="n">
        <v>415</v>
      </c>
      <c r="B2918" s="44" t="str">
        <f aca="false">'Model Inputs &amp; Assumptions'!$B$33</f>
        <v>Trade Republic — Savings Plan Push</v>
      </c>
      <c r="C2918" s="45" t="n">
        <f aca="false">ROUND(MAX(0,'Model Inputs &amp; Assumptions'!$S$33*EXP('Model Inputs &amp; Assumptions'!$T$33*P2918-'Model Inputs &amp; Assumptions'!$T$33^2/2)),0)</f>
        <v>1166390</v>
      </c>
      <c r="D2918" s="46" t="n">
        <f aca="false">MIN(1,'Model Inputs &amp; Assumptions'!$U$33*EXP('Model Inputs &amp; Assumptions'!$V$33*Q2918-'Model Inputs &amp; Assumptions'!$V$33^2/2))</f>
        <v>0</v>
      </c>
      <c r="E2918" s="45" t="n">
        <f aca="false">ROUND(C2918*D2918,0)</f>
        <v>0</v>
      </c>
      <c r="F2918" s="47" t="n">
        <f aca="false">MIN(1,'Model Inputs &amp; Assumptions'!$W$33*EXP('Model Inputs &amp; Assumptions'!$X$33*R2918-'Model Inputs &amp; Assumptions'!$X$33^2/2))</f>
        <v>0.00204240670224919</v>
      </c>
      <c r="G2918" s="45" t="n">
        <f aca="false">ROUND(C2918*F2918,0)</f>
        <v>2382</v>
      </c>
      <c r="H2918" s="48" t="n">
        <f aca="false">MAX(0,(C2918*'Model Inputs &amp; Assumptions'!$N$33+E2918*'Model Inputs &amp; Assumptions'!$O$33+G2918*'Model Inputs &amp; Assumptions'!$P$33)*EXP('Model Inputs &amp; Assumptions'!$Q$33*S2918-'Model Inputs &amp; Assumptions'!$Q$33^2/2))</f>
        <v>138.976978368519</v>
      </c>
      <c r="I2918" s="49" t="n">
        <f aca="false">IF('Model Inputs &amp; Assumptions'!$H$33="Fixed",'Model Inputs &amp; Assumptions'!$I$33*'Model Inputs &amp; Assumptions'!$K$33,IF('Model Inputs &amp; Assumptions'!$H$33="CPM",'Model Inputs &amp; Assumptions'!$I$33*'Model Inputs &amp; Assumptions'!$K$33*C2918/1000,IF('Model Inputs &amp; Assumptions'!$H$33="CPC",'Model Inputs &amp; Assumptions'!$I$33*'Model Inputs &amp; Assumptions'!$K$33*G2918,0)))</f>
        <v>25000</v>
      </c>
      <c r="J2918" s="50" t="n">
        <f aca="false">H2918*INDEX('Model Inputs &amp; Assumptions'!$D$40:$D$42,MATCH('Model Inputs &amp; Assumptions'!$L$33,'Model Inputs &amp; Assumptions'!$A$40:$A$42,0))*INDEX('Model Inputs &amp; Assumptions'!$H$40:$H$42,MATCH('Model Inputs &amp; Assumptions'!$L$33,'Model Inputs &amp; Assumptions'!$A$40:$A$42,0))</f>
        <v>750475.68319</v>
      </c>
      <c r="K2918" s="49" t="n">
        <f aca="false">H2918*INDEX('Model Inputs &amp; Assumptions'!$G$40:$G$42,MATCH('Model Inputs &amp; Assumptions'!$L$33,'Model Inputs &amp; Assumptions'!$A$40:$A$42,0))*INDEX('Model Inputs &amp; Assumptions'!$H$40:$H$42,MATCH('Model Inputs &amp; Assumptions'!$L$33,'Model Inputs &amp; Assumptions'!$A$40:$A$42,0))</f>
        <v>15759.98934699</v>
      </c>
      <c r="L2918" s="51" t="n">
        <f aca="false">IFERROR(K2918/I2918,0)</f>
        <v>0.6303995738796</v>
      </c>
      <c r="M2918" s="49" t="n">
        <f aca="false">IFERROR(I2918/H2918,0)</f>
        <v>179.885908396344</v>
      </c>
      <c r="N2918" s="52" t="str">
        <f aca="false">'Model Inputs &amp; Assumptions'!$L$33</f>
        <v>PRD-SP01</v>
      </c>
      <c r="P2918" s="53" t="n">
        <v>0.055306</v>
      </c>
      <c r="Q2918" s="53" t="n">
        <v>-0.227043</v>
      </c>
      <c r="R2918" s="53" t="n">
        <v>-1.645447</v>
      </c>
      <c r="S2918" s="53" t="n">
        <v>0.350838</v>
      </c>
    </row>
    <row r="2919" customFormat="false" ht="15" hidden="false" customHeight="false" outlineLevel="0" collapsed="false">
      <c r="A2919" s="43" t="n">
        <v>416</v>
      </c>
      <c r="B2919" s="44" t="str">
        <f aca="false">'Model Inputs &amp; Assumptions'!$B$33</f>
        <v>Trade Republic — Savings Plan Push</v>
      </c>
      <c r="C2919" s="45" t="n">
        <f aca="false">ROUND(MAX(0,'Model Inputs &amp; Assumptions'!$S$33*EXP('Model Inputs &amp; Assumptions'!$T$33*P2919-'Model Inputs &amp; Assumptions'!$T$33^2/2)),0)</f>
        <v>937207</v>
      </c>
      <c r="D2919" s="46" t="n">
        <f aca="false">MIN(1,'Model Inputs &amp; Assumptions'!$U$33*EXP('Model Inputs &amp; Assumptions'!$V$33*Q2919-'Model Inputs &amp; Assumptions'!$V$33^2/2))</f>
        <v>0</v>
      </c>
      <c r="E2919" s="45" t="n">
        <f aca="false">ROUND(C2919*D2919,0)</f>
        <v>0</v>
      </c>
      <c r="F2919" s="47" t="n">
        <f aca="false">MIN(1,'Model Inputs &amp; Assumptions'!$W$33*EXP('Model Inputs &amp; Assumptions'!$X$33*R2919-'Model Inputs &amp; Assumptions'!$X$33^2/2))</f>
        <v>0.00359626737932199</v>
      </c>
      <c r="G2919" s="45" t="n">
        <f aca="false">ROUND(C2919*F2919,0)</f>
        <v>3370</v>
      </c>
      <c r="H2919" s="48" t="n">
        <f aca="false">MAX(0,(C2919*'Model Inputs &amp; Assumptions'!$N$33+E2919*'Model Inputs &amp; Assumptions'!$O$33+G2919*'Model Inputs &amp; Assumptions'!$P$33)*EXP('Model Inputs &amp; Assumptions'!$Q$33*S2919-'Model Inputs &amp; Assumptions'!$Q$33^2/2))</f>
        <v>126.330439471858</v>
      </c>
      <c r="I2919" s="49" t="n">
        <f aca="false">IF('Model Inputs &amp; Assumptions'!$H$33="Fixed",'Model Inputs &amp; Assumptions'!$I$33*'Model Inputs &amp; Assumptions'!$K$33,IF('Model Inputs &amp; Assumptions'!$H$33="CPM",'Model Inputs &amp; Assumptions'!$I$33*'Model Inputs &amp; Assumptions'!$K$33*C2919/1000,IF('Model Inputs &amp; Assumptions'!$H$33="CPC",'Model Inputs &amp; Assumptions'!$I$33*'Model Inputs &amp; Assumptions'!$K$33*G2919,0)))</f>
        <v>25000</v>
      </c>
      <c r="J2919" s="50" t="n">
        <f aca="false">H2919*INDEX('Model Inputs &amp; Assumptions'!$D$40:$D$42,MATCH('Model Inputs &amp; Assumptions'!$L$33,'Model Inputs &amp; Assumptions'!$A$40:$A$42,0))*INDEX('Model Inputs &amp; Assumptions'!$H$40:$H$42,MATCH('Model Inputs &amp; Assumptions'!$L$33,'Model Inputs &amp; Assumptions'!$A$40:$A$42,0))</f>
        <v>682184.373148031</v>
      </c>
      <c r="K2919" s="49" t="n">
        <f aca="false">H2919*INDEX('Model Inputs &amp; Assumptions'!$G$40:$G$42,MATCH('Model Inputs &amp; Assumptions'!$L$33,'Model Inputs &amp; Assumptions'!$A$40:$A$42,0))*INDEX('Model Inputs &amp; Assumptions'!$H$40:$H$42,MATCH('Model Inputs &amp; Assumptions'!$L$33,'Model Inputs &amp; Assumptions'!$A$40:$A$42,0))</f>
        <v>14325.8718361087</v>
      </c>
      <c r="L2919" s="51" t="n">
        <f aca="false">IFERROR(K2919/I2919,0)</f>
        <v>0.573034873444346</v>
      </c>
      <c r="M2919" s="49" t="n">
        <f aca="false">IFERROR(I2919/H2919,0)</f>
        <v>197.89371512136</v>
      </c>
      <c r="N2919" s="52" t="str">
        <f aca="false">'Model Inputs &amp; Assumptions'!$L$33</f>
        <v>PRD-SP01</v>
      </c>
      <c r="P2919" s="53" t="n">
        <v>-0.673908</v>
      </c>
      <c r="Q2919" s="53" t="n">
        <v>-1.430379</v>
      </c>
      <c r="R2919" s="53" t="n">
        <v>0.240445</v>
      </c>
      <c r="S2919" s="53" t="n">
        <v>-1.229089</v>
      </c>
    </row>
    <row r="2920" customFormat="false" ht="15" hidden="false" customHeight="false" outlineLevel="0" collapsed="false">
      <c r="A2920" s="43" t="n">
        <v>417</v>
      </c>
      <c r="B2920" s="44" t="str">
        <f aca="false">'Model Inputs &amp; Assumptions'!$B$33</f>
        <v>Trade Republic — Savings Plan Push</v>
      </c>
      <c r="C2920" s="45" t="n">
        <f aca="false">ROUND(MAX(0,'Model Inputs &amp; Assumptions'!$S$33*EXP('Model Inputs &amp; Assumptions'!$T$33*P2920-'Model Inputs &amp; Assumptions'!$T$33^2/2)),0)</f>
        <v>1247661</v>
      </c>
      <c r="D2920" s="46" t="n">
        <f aca="false">MIN(1,'Model Inputs &amp; Assumptions'!$U$33*EXP('Model Inputs &amp; Assumptions'!$V$33*Q2920-'Model Inputs &amp; Assumptions'!$V$33^2/2))</f>
        <v>0</v>
      </c>
      <c r="E2920" s="45" t="n">
        <f aca="false">ROUND(C2920*D2920,0)</f>
        <v>0</v>
      </c>
      <c r="F2920" s="47" t="n">
        <f aca="false">MIN(1,'Model Inputs &amp; Assumptions'!$W$33*EXP('Model Inputs &amp; Assumptions'!$X$33*R2920-'Model Inputs &amp; Assumptions'!$X$33^2/2))</f>
        <v>0.00557162843007321</v>
      </c>
      <c r="G2920" s="45" t="n">
        <f aca="false">ROUND(C2920*F2920,0)</f>
        <v>6952</v>
      </c>
      <c r="H2920" s="48" t="n">
        <f aca="false">MAX(0,(C2920*'Model Inputs &amp; Assumptions'!$N$33+E2920*'Model Inputs &amp; Assumptions'!$O$33+G2920*'Model Inputs &amp; Assumptions'!$P$33)*EXP('Model Inputs &amp; Assumptions'!$Q$33*S2920-'Model Inputs &amp; Assumptions'!$Q$33^2/2))</f>
        <v>350.025515479247</v>
      </c>
      <c r="I2920" s="49" t="n">
        <f aca="false">IF('Model Inputs &amp; Assumptions'!$H$33="Fixed",'Model Inputs &amp; Assumptions'!$I$33*'Model Inputs &amp; Assumptions'!$K$33,IF('Model Inputs &amp; Assumptions'!$H$33="CPM",'Model Inputs &amp; Assumptions'!$I$33*'Model Inputs &amp; Assumptions'!$K$33*C2920/1000,IF('Model Inputs &amp; Assumptions'!$H$33="CPC",'Model Inputs &amp; Assumptions'!$I$33*'Model Inputs &amp; Assumptions'!$K$33*G2920,0)))</f>
        <v>25000</v>
      </c>
      <c r="J2920" s="50" t="n">
        <f aca="false">H2920*INDEX('Model Inputs &amp; Assumptions'!$D$40:$D$42,MATCH('Model Inputs &amp; Assumptions'!$L$33,'Model Inputs &amp; Assumptions'!$A$40:$A$42,0))*INDEX('Model Inputs &amp; Assumptions'!$H$40:$H$42,MATCH('Model Inputs &amp; Assumptions'!$L$33,'Model Inputs &amp; Assumptions'!$A$40:$A$42,0))</f>
        <v>1890137.78358794</v>
      </c>
      <c r="K2920" s="49" t="n">
        <f aca="false">H2920*INDEX('Model Inputs &amp; Assumptions'!$G$40:$G$42,MATCH('Model Inputs &amp; Assumptions'!$L$33,'Model Inputs &amp; Assumptions'!$A$40:$A$42,0))*INDEX('Model Inputs &amp; Assumptions'!$H$40:$H$42,MATCH('Model Inputs &amp; Assumptions'!$L$33,'Model Inputs &amp; Assumptions'!$A$40:$A$42,0))</f>
        <v>39692.8934553466</v>
      </c>
      <c r="L2920" s="51" t="n">
        <f aca="false">IFERROR(K2920/I2920,0)</f>
        <v>1.58771573821387</v>
      </c>
      <c r="M2920" s="49" t="n">
        <f aca="false">IFERROR(I2920/H2920,0)</f>
        <v>71.423364567496</v>
      </c>
      <c r="N2920" s="52" t="str">
        <f aca="false">'Model Inputs &amp; Assumptions'!$L$33</f>
        <v>PRD-SP01</v>
      </c>
      <c r="P2920" s="53" t="n">
        <v>0.279829</v>
      </c>
      <c r="Q2920" s="53" t="n">
        <v>-0.506305</v>
      </c>
      <c r="R2920" s="53" t="n">
        <v>1.699748</v>
      </c>
      <c r="S2920" s="53" t="n">
        <v>-0.175559</v>
      </c>
    </row>
    <row r="2921" customFormat="false" ht="15" hidden="false" customHeight="false" outlineLevel="0" collapsed="false">
      <c r="A2921" s="43" t="n">
        <v>418</v>
      </c>
      <c r="B2921" s="44" t="str">
        <f aca="false">'Model Inputs &amp; Assumptions'!$B$33</f>
        <v>Trade Republic — Savings Plan Push</v>
      </c>
      <c r="C2921" s="45" t="n">
        <f aca="false">ROUND(MAX(0,'Model Inputs &amp; Assumptions'!$S$33*EXP('Model Inputs &amp; Assumptions'!$T$33*P2921-'Model Inputs &amp; Assumptions'!$T$33^2/2)),0)</f>
        <v>994427</v>
      </c>
      <c r="D2921" s="46" t="n">
        <f aca="false">MIN(1,'Model Inputs &amp; Assumptions'!$U$33*EXP('Model Inputs &amp; Assumptions'!$V$33*Q2921-'Model Inputs &amp; Assumptions'!$V$33^2/2))</f>
        <v>0</v>
      </c>
      <c r="E2921" s="45" t="n">
        <f aca="false">ROUND(C2921*D2921,0)</f>
        <v>0</v>
      </c>
      <c r="F2921" s="47" t="n">
        <f aca="false">MIN(1,'Model Inputs &amp; Assumptions'!$W$33*EXP('Model Inputs &amp; Assumptions'!$X$33*R2921-'Model Inputs &amp; Assumptions'!$X$33^2/2))</f>
        <v>0.00496384711687785</v>
      </c>
      <c r="G2921" s="45" t="n">
        <f aca="false">ROUND(C2921*F2921,0)</f>
        <v>4936</v>
      </c>
      <c r="H2921" s="48" t="n">
        <f aca="false">MAX(0,(C2921*'Model Inputs &amp; Assumptions'!$N$33+E2921*'Model Inputs &amp; Assumptions'!$O$33+G2921*'Model Inputs &amp; Assumptions'!$P$33)*EXP('Model Inputs &amp; Assumptions'!$Q$33*S2921-'Model Inputs &amp; Assumptions'!$Q$33^2/2))</f>
        <v>253.048181633636</v>
      </c>
      <c r="I2921" s="49" t="n">
        <f aca="false">IF('Model Inputs &amp; Assumptions'!$H$33="Fixed",'Model Inputs &amp; Assumptions'!$I$33*'Model Inputs &amp; Assumptions'!$K$33,IF('Model Inputs &amp; Assumptions'!$H$33="CPM",'Model Inputs &amp; Assumptions'!$I$33*'Model Inputs &amp; Assumptions'!$K$33*C2921/1000,IF('Model Inputs &amp; Assumptions'!$H$33="CPC",'Model Inputs &amp; Assumptions'!$I$33*'Model Inputs &amp; Assumptions'!$K$33*G2921,0)))</f>
        <v>25000</v>
      </c>
      <c r="J2921" s="50" t="n">
        <f aca="false">H2921*INDEX('Model Inputs &amp; Assumptions'!$D$40:$D$42,MATCH('Model Inputs &amp; Assumptions'!$L$33,'Model Inputs &amp; Assumptions'!$A$40:$A$42,0))*INDEX('Model Inputs &amp; Assumptions'!$H$40:$H$42,MATCH('Model Inputs &amp; Assumptions'!$L$33,'Model Inputs &amp; Assumptions'!$A$40:$A$42,0))</f>
        <v>1366460.18082163</v>
      </c>
      <c r="K2921" s="49" t="n">
        <f aca="false">H2921*INDEX('Model Inputs &amp; Assumptions'!$G$40:$G$42,MATCH('Model Inputs &amp; Assumptions'!$L$33,'Model Inputs &amp; Assumptions'!$A$40:$A$42,0))*INDEX('Model Inputs &amp; Assumptions'!$H$40:$H$42,MATCH('Model Inputs &amp; Assumptions'!$L$33,'Model Inputs &amp; Assumptions'!$A$40:$A$42,0))</f>
        <v>28695.6637972543</v>
      </c>
      <c r="L2921" s="51" t="n">
        <f aca="false">IFERROR(K2921/I2921,0)</f>
        <v>1.14782655189017</v>
      </c>
      <c r="M2921" s="49" t="n">
        <f aca="false">IFERROR(I2921/H2921,0)</f>
        <v>98.7954145277956</v>
      </c>
      <c r="N2921" s="52" t="str">
        <f aca="false">'Model Inputs &amp; Assumptions'!$L$33</f>
        <v>PRD-SP01</v>
      </c>
      <c r="P2921" s="53" t="n">
        <v>-0.476367</v>
      </c>
      <c r="Q2921" s="53" t="n">
        <v>0.183867</v>
      </c>
      <c r="R2921" s="53" t="n">
        <v>1.314727</v>
      </c>
      <c r="S2921" s="53" t="n">
        <v>-0.111102</v>
      </c>
    </row>
    <row r="2922" customFormat="false" ht="15" hidden="false" customHeight="false" outlineLevel="0" collapsed="false">
      <c r="A2922" s="43" t="n">
        <v>419</v>
      </c>
      <c r="B2922" s="44" t="str">
        <f aca="false">'Model Inputs &amp; Assumptions'!$B$33</f>
        <v>Trade Republic — Savings Plan Push</v>
      </c>
      <c r="C2922" s="45" t="n">
        <f aca="false">ROUND(MAX(0,'Model Inputs &amp; Assumptions'!$S$33*EXP('Model Inputs &amp; Assumptions'!$T$33*P2922-'Model Inputs &amp; Assumptions'!$T$33^2/2)),0)</f>
        <v>980953</v>
      </c>
      <c r="D2922" s="46" t="n">
        <f aca="false">MIN(1,'Model Inputs &amp; Assumptions'!$U$33*EXP('Model Inputs &amp; Assumptions'!$V$33*Q2922-'Model Inputs &amp; Assumptions'!$V$33^2/2))</f>
        <v>0</v>
      </c>
      <c r="E2922" s="45" t="n">
        <f aca="false">ROUND(C2922*D2922,0)</f>
        <v>0</v>
      </c>
      <c r="F2922" s="47" t="n">
        <f aca="false">MIN(1,'Model Inputs &amp; Assumptions'!$W$33*EXP('Model Inputs &amp; Assumptions'!$X$33*R2922-'Model Inputs &amp; Assumptions'!$X$33^2/2))</f>
        <v>0.00416619299715567</v>
      </c>
      <c r="G2922" s="45" t="n">
        <f aca="false">ROUND(C2922*F2922,0)</f>
        <v>4087</v>
      </c>
      <c r="H2922" s="48" t="n">
        <f aca="false">MAX(0,(C2922*'Model Inputs &amp; Assumptions'!$N$33+E2922*'Model Inputs &amp; Assumptions'!$O$33+G2922*'Model Inputs &amp; Assumptions'!$P$33)*EXP('Model Inputs &amp; Assumptions'!$Q$33*S2922-'Model Inputs &amp; Assumptions'!$Q$33^2/2))</f>
        <v>329.074085667416</v>
      </c>
      <c r="I2922" s="49" t="n">
        <f aca="false">IF('Model Inputs &amp; Assumptions'!$H$33="Fixed",'Model Inputs &amp; Assumptions'!$I$33*'Model Inputs &amp; Assumptions'!$K$33,IF('Model Inputs &amp; Assumptions'!$H$33="CPM",'Model Inputs &amp; Assumptions'!$I$33*'Model Inputs &amp; Assumptions'!$K$33*C2922/1000,IF('Model Inputs &amp; Assumptions'!$H$33="CPC",'Model Inputs &amp; Assumptions'!$I$33*'Model Inputs &amp; Assumptions'!$K$33*G2922,0)))</f>
        <v>25000</v>
      </c>
      <c r="J2922" s="50" t="n">
        <f aca="false">H2922*INDEX('Model Inputs &amp; Assumptions'!$D$40:$D$42,MATCH('Model Inputs &amp; Assumptions'!$L$33,'Model Inputs &amp; Assumptions'!$A$40:$A$42,0))*INDEX('Model Inputs &amp; Assumptions'!$H$40:$H$42,MATCH('Model Inputs &amp; Assumptions'!$L$33,'Model Inputs &amp; Assumptions'!$A$40:$A$42,0))</f>
        <v>1777000.06260405</v>
      </c>
      <c r="K2922" s="49" t="n">
        <f aca="false">H2922*INDEX('Model Inputs &amp; Assumptions'!$G$40:$G$42,MATCH('Model Inputs &amp; Assumptions'!$L$33,'Model Inputs &amp; Assumptions'!$A$40:$A$42,0))*INDEX('Model Inputs &amp; Assumptions'!$H$40:$H$42,MATCH('Model Inputs &amp; Assumptions'!$L$33,'Model Inputs &amp; Assumptions'!$A$40:$A$42,0))</f>
        <v>37317.001314685</v>
      </c>
      <c r="L2922" s="51" t="n">
        <f aca="false">IFERROR(K2922/I2922,0)</f>
        <v>1.4926800525874</v>
      </c>
      <c r="M2922" s="49" t="n">
        <f aca="false">IFERROR(I2922/H2922,0)</f>
        <v>75.9707345210606</v>
      </c>
      <c r="N2922" s="52" t="str">
        <f aca="false">'Model Inputs &amp; Assumptions'!$L$33</f>
        <v>PRD-SP01</v>
      </c>
      <c r="P2922" s="53" t="n">
        <v>-0.52184</v>
      </c>
      <c r="Q2922" s="53" t="n">
        <v>0.691828</v>
      </c>
      <c r="R2922" s="53" t="n">
        <v>0.730799</v>
      </c>
      <c r="S2922" s="53" t="n">
        <v>1.501209</v>
      </c>
    </row>
    <row r="2923" customFormat="false" ht="15" hidden="false" customHeight="false" outlineLevel="0" collapsed="false">
      <c r="A2923" s="43" t="n">
        <v>420</v>
      </c>
      <c r="B2923" s="44" t="str">
        <f aca="false">'Model Inputs &amp; Assumptions'!$B$33</f>
        <v>Trade Republic — Savings Plan Push</v>
      </c>
      <c r="C2923" s="45" t="n">
        <f aca="false">ROUND(MAX(0,'Model Inputs &amp; Assumptions'!$S$33*EXP('Model Inputs &amp; Assumptions'!$T$33*P2923-'Model Inputs &amp; Assumptions'!$T$33^2/2)),0)</f>
        <v>749975</v>
      </c>
      <c r="D2923" s="46" t="n">
        <f aca="false">MIN(1,'Model Inputs &amp; Assumptions'!$U$33*EXP('Model Inputs &amp; Assumptions'!$V$33*Q2923-'Model Inputs &amp; Assumptions'!$V$33^2/2))</f>
        <v>0</v>
      </c>
      <c r="E2923" s="45" t="n">
        <f aca="false">ROUND(C2923*D2923,0)</f>
        <v>0</v>
      </c>
      <c r="F2923" s="47" t="n">
        <f aca="false">MIN(1,'Model Inputs &amp; Assumptions'!$W$33*EXP('Model Inputs &amp; Assumptions'!$X$33*R2923-'Model Inputs &amp; Assumptions'!$X$33^2/2))</f>
        <v>0.00300575615464759</v>
      </c>
      <c r="G2923" s="45" t="n">
        <f aca="false">ROUND(C2923*F2923,0)</f>
        <v>2254</v>
      </c>
      <c r="H2923" s="48" t="n">
        <f aca="false">MAX(0,(C2923*'Model Inputs &amp; Assumptions'!$N$33+E2923*'Model Inputs &amp; Assumptions'!$O$33+G2923*'Model Inputs &amp; Assumptions'!$P$33)*EXP('Model Inputs &amp; Assumptions'!$Q$33*S2923-'Model Inputs &amp; Assumptions'!$Q$33^2/2))</f>
        <v>145.91225980944</v>
      </c>
      <c r="I2923" s="49" t="n">
        <f aca="false">IF('Model Inputs &amp; Assumptions'!$H$33="Fixed",'Model Inputs &amp; Assumptions'!$I$33*'Model Inputs &amp; Assumptions'!$K$33,IF('Model Inputs &amp; Assumptions'!$H$33="CPM",'Model Inputs &amp; Assumptions'!$I$33*'Model Inputs &amp; Assumptions'!$K$33*C2923/1000,IF('Model Inputs &amp; Assumptions'!$H$33="CPC",'Model Inputs &amp; Assumptions'!$I$33*'Model Inputs &amp; Assumptions'!$K$33*G2923,0)))</f>
        <v>25000</v>
      </c>
      <c r="J2923" s="50" t="n">
        <f aca="false">H2923*INDEX('Model Inputs &amp; Assumptions'!$D$40:$D$42,MATCH('Model Inputs &amp; Assumptions'!$L$33,'Model Inputs &amp; Assumptions'!$A$40:$A$42,0))*INDEX('Model Inputs &amp; Assumptions'!$H$40:$H$42,MATCH('Model Inputs &amp; Assumptions'!$L$33,'Model Inputs &amp; Assumptions'!$A$40:$A$42,0))</f>
        <v>787926.202970976</v>
      </c>
      <c r="K2923" s="49" t="n">
        <f aca="false">H2923*INDEX('Model Inputs &amp; Assumptions'!$G$40:$G$42,MATCH('Model Inputs &amp; Assumptions'!$L$33,'Model Inputs &amp; Assumptions'!$A$40:$A$42,0))*INDEX('Model Inputs &amp; Assumptions'!$H$40:$H$42,MATCH('Model Inputs &amp; Assumptions'!$L$33,'Model Inputs &amp; Assumptions'!$A$40:$A$42,0))</f>
        <v>16546.4502623905</v>
      </c>
      <c r="L2923" s="51" t="n">
        <f aca="false">IFERROR(K2923/I2923,0)</f>
        <v>0.66185801049562</v>
      </c>
      <c r="M2923" s="49" t="n">
        <f aca="false">IFERROR(I2923/H2923,0)</f>
        <v>171.335842736243</v>
      </c>
      <c r="N2923" s="52" t="str">
        <f aca="false">'Model Inputs &amp; Assumptions'!$L$33</f>
        <v>PRD-SP01</v>
      </c>
      <c r="P2923" s="53" t="n">
        <v>-1.416792</v>
      </c>
      <c r="Q2923" s="53" t="n">
        <v>-0.663054</v>
      </c>
      <c r="R2923" s="53" t="n">
        <v>-0.357446</v>
      </c>
      <c r="S2923" s="53" t="n">
        <v>0.722021</v>
      </c>
    </row>
    <row r="2924" customFormat="false" ht="15" hidden="false" customHeight="false" outlineLevel="0" collapsed="false">
      <c r="A2924" s="43" t="n">
        <v>421</v>
      </c>
      <c r="B2924" s="44" t="str">
        <f aca="false">'Model Inputs &amp; Assumptions'!$B$33</f>
        <v>Trade Republic — Savings Plan Push</v>
      </c>
      <c r="C2924" s="45" t="n">
        <f aca="false">ROUND(MAX(0,'Model Inputs &amp; Assumptions'!$S$33*EXP('Model Inputs &amp; Assumptions'!$T$33*P2924-'Model Inputs &amp; Assumptions'!$T$33^2/2)),0)</f>
        <v>1110454</v>
      </c>
      <c r="D2924" s="46" t="n">
        <f aca="false">MIN(1,'Model Inputs &amp; Assumptions'!$U$33*EXP('Model Inputs &amp; Assumptions'!$V$33*Q2924-'Model Inputs &amp; Assumptions'!$V$33^2/2))</f>
        <v>0</v>
      </c>
      <c r="E2924" s="45" t="n">
        <f aca="false">ROUND(C2924*D2924,0)</f>
        <v>0</v>
      </c>
      <c r="F2924" s="47" t="n">
        <f aca="false">MIN(1,'Model Inputs &amp; Assumptions'!$W$33*EXP('Model Inputs &amp; Assumptions'!$X$33*R2924-'Model Inputs &amp; Assumptions'!$X$33^2/2))</f>
        <v>0.00434595039791233</v>
      </c>
      <c r="G2924" s="45" t="n">
        <f aca="false">ROUND(C2924*F2924,0)</f>
        <v>4826</v>
      </c>
      <c r="H2924" s="48" t="n">
        <f aca="false">MAX(0,(C2924*'Model Inputs &amp; Assumptions'!$N$33+E2924*'Model Inputs &amp; Assumptions'!$O$33+G2924*'Model Inputs &amp; Assumptions'!$P$33)*EXP('Model Inputs &amp; Assumptions'!$Q$33*S2924-'Model Inputs &amp; Assumptions'!$Q$33^2/2))</f>
        <v>339.380057318107</v>
      </c>
      <c r="I2924" s="49" t="n">
        <f aca="false">IF('Model Inputs &amp; Assumptions'!$H$33="Fixed",'Model Inputs &amp; Assumptions'!$I$33*'Model Inputs &amp; Assumptions'!$K$33,IF('Model Inputs &amp; Assumptions'!$H$33="CPM",'Model Inputs &amp; Assumptions'!$I$33*'Model Inputs &amp; Assumptions'!$K$33*C2924/1000,IF('Model Inputs &amp; Assumptions'!$H$33="CPC",'Model Inputs &amp; Assumptions'!$I$33*'Model Inputs &amp; Assumptions'!$K$33*G2924,0)))</f>
        <v>25000</v>
      </c>
      <c r="J2924" s="50" t="n">
        <f aca="false">H2924*INDEX('Model Inputs &amp; Assumptions'!$D$40:$D$42,MATCH('Model Inputs &amp; Assumptions'!$L$33,'Model Inputs &amp; Assumptions'!$A$40:$A$42,0))*INDEX('Model Inputs &amp; Assumptions'!$H$40:$H$42,MATCH('Model Inputs &amp; Assumptions'!$L$33,'Model Inputs &amp; Assumptions'!$A$40:$A$42,0))</f>
        <v>1832652.30951778</v>
      </c>
      <c r="K2924" s="49" t="n">
        <f aca="false">H2924*INDEX('Model Inputs &amp; Assumptions'!$G$40:$G$42,MATCH('Model Inputs &amp; Assumptions'!$L$33,'Model Inputs &amp; Assumptions'!$A$40:$A$42,0))*INDEX('Model Inputs &amp; Assumptions'!$H$40:$H$42,MATCH('Model Inputs &amp; Assumptions'!$L$33,'Model Inputs &amp; Assumptions'!$A$40:$A$42,0))</f>
        <v>38485.6984998733</v>
      </c>
      <c r="L2924" s="51" t="n">
        <f aca="false">IFERROR(K2924/I2924,0)</f>
        <v>1.53942793999493</v>
      </c>
      <c r="M2924" s="49" t="n">
        <f aca="false">IFERROR(I2924/H2924,0)</f>
        <v>73.6637273196257</v>
      </c>
      <c r="N2924" s="52" t="str">
        <f aca="false">'Model Inputs &amp; Assumptions'!$L$33</f>
        <v>PRD-SP01</v>
      </c>
      <c r="P2924" s="53" t="n">
        <v>-0.10851</v>
      </c>
      <c r="Q2924" s="53" t="n">
        <v>-0.321716</v>
      </c>
      <c r="R2924" s="53" t="n">
        <v>0.871605</v>
      </c>
      <c r="S2924" s="53" t="n">
        <v>1.017748</v>
      </c>
    </row>
    <row r="2925" customFormat="false" ht="15" hidden="false" customHeight="false" outlineLevel="0" collapsed="false">
      <c r="A2925" s="43" t="n">
        <v>422</v>
      </c>
      <c r="B2925" s="44" t="str">
        <f aca="false">'Model Inputs &amp; Assumptions'!$B$33</f>
        <v>Trade Republic — Savings Plan Push</v>
      </c>
      <c r="C2925" s="45" t="n">
        <f aca="false">ROUND(MAX(0,'Model Inputs &amp; Assumptions'!$S$33*EXP('Model Inputs &amp; Assumptions'!$T$33*P2925-'Model Inputs &amp; Assumptions'!$T$33^2/2)),0)</f>
        <v>771036</v>
      </c>
      <c r="D2925" s="46" t="n">
        <f aca="false">MIN(1,'Model Inputs &amp; Assumptions'!$U$33*EXP('Model Inputs &amp; Assumptions'!$V$33*Q2925-'Model Inputs &amp; Assumptions'!$V$33^2/2))</f>
        <v>0</v>
      </c>
      <c r="E2925" s="45" t="n">
        <f aca="false">ROUND(C2925*D2925,0)</f>
        <v>0</v>
      </c>
      <c r="F2925" s="47" t="n">
        <f aca="false">MIN(1,'Model Inputs &amp; Assumptions'!$W$33*EXP('Model Inputs &amp; Assumptions'!$X$33*R2925-'Model Inputs &amp; Assumptions'!$X$33^2/2))</f>
        <v>0.00315144969781091</v>
      </c>
      <c r="G2925" s="45" t="n">
        <f aca="false">ROUND(C2925*F2925,0)</f>
        <v>2430</v>
      </c>
      <c r="H2925" s="48" t="n">
        <f aca="false">MAX(0,(C2925*'Model Inputs &amp; Assumptions'!$N$33+E2925*'Model Inputs &amp; Assumptions'!$O$33+G2925*'Model Inputs &amp; Assumptions'!$P$33)*EXP('Model Inputs &amp; Assumptions'!$Q$33*S2925-'Model Inputs &amp; Assumptions'!$Q$33^2/2))</f>
        <v>109.860366347507</v>
      </c>
      <c r="I2925" s="49" t="n">
        <f aca="false">IF('Model Inputs &amp; Assumptions'!$H$33="Fixed",'Model Inputs &amp; Assumptions'!$I$33*'Model Inputs &amp; Assumptions'!$K$33,IF('Model Inputs &amp; Assumptions'!$H$33="CPM",'Model Inputs &amp; Assumptions'!$I$33*'Model Inputs &amp; Assumptions'!$K$33*C2925/1000,IF('Model Inputs &amp; Assumptions'!$H$33="CPC",'Model Inputs &amp; Assumptions'!$I$33*'Model Inputs &amp; Assumptions'!$K$33*G2925,0)))</f>
        <v>25000</v>
      </c>
      <c r="J2925" s="50" t="n">
        <f aca="false">H2925*INDEX('Model Inputs &amp; Assumptions'!$D$40:$D$42,MATCH('Model Inputs &amp; Assumptions'!$L$33,'Model Inputs &amp; Assumptions'!$A$40:$A$42,0))*INDEX('Model Inputs &amp; Assumptions'!$H$40:$H$42,MATCH('Model Inputs &amp; Assumptions'!$L$33,'Model Inputs &amp; Assumptions'!$A$40:$A$42,0))</f>
        <v>593245.978276537</v>
      </c>
      <c r="K2925" s="49" t="n">
        <f aca="false">H2925*INDEX('Model Inputs &amp; Assumptions'!$G$40:$G$42,MATCH('Model Inputs &amp; Assumptions'!$L$33,'Model Inputs &amp; Assumptions'!$A$40:$A$42,0))*INDEX('Model Inputs &amp; Assumptions'!$H$40:$H$42,MATCH('Model Inputs &amp; Assumptions'!$L$33,'Model Inputs &amp; Assumptions'!$A$40:$A$42,0))</f>
        <v>12458.1655438073</v>
      </c>
      <c r="L2925" s="51" t="n">
        <f aca="false">IFERROR(K2925/I2925,0)</f>
        <v>0.498326621752291</v>
      </c>
      <c r="M2925" s="49" t="n">
        <f aca="false">IFERROR(I2925/H2925,0)</f>
        <v>227.561593240285</v>
      </c>
      <c r="N2925" s="52" t="str">
        <f aca="false">'Model Inputs &amp; Assumptions'!$L$33</f>
        <v>PRD-SP01</v>
      </c>
      <c r="P2925" s="53" t="n">
        <v>-1.324474</v>
      </c>
      <c r="Q2925" s="53" t="n">
        <v>1.019585</v>
      </c>
      <c r="R2925" s="53" t="n">
        <v>-0.199668</v>
      </c>
      <c r="S2925" s="53" t="n">
        <v>-0.560051</v>
      </c>
    </row>
    <row r="2926" customFormat="false" ht="15" hidden="false" customHeight="false" outlineLevel="0" collapsed="false">
      <c r="A2926" s="43" t="n">
        <v>423</v>
      </c>
      <c r="B2926" s="44" t="str">
        <f aca="false">'Model Inputs &amp; Assumptions'!$B$33</f>
        <v>Trade Republic — Savings Plan Push</v>
      </c>
      <c r="C2926" s="45" t="n">
        <f aca="false">ROUND(MAX(0,'Model Inputs &amp; Assumptions'!$S$33*EXP('Model Inputs &amp; Assumptions'!$T$33*P2926-'Model Inputs &amp; Assumptions'!$T$33^2/2)),0)</f>
        <v>1058591</v>
      </c>
      <c r="D2926" s="46" t="n">
        <f aca="false">MIN(1,'Model Inputs &amp; Assumptions'!$U$33*EXP('Model Inputs &amp; Assumptions'!$V$33*Q2926-'Model Inputs &amp; Assumptions'!$V$33^2/2))</f>
        <v>0</v>
      </c>
      <c r="E2926" s="45" t="n">
        <f aca="false">ROUND(C2926*D2926,0)</f>
        <v>0</v>
      </c>
      <c r="F2926" s="47" t="n">
        <f aca="false">MIN(1,'Model Inputs &amp; Assumptions'!$W$33*EXP('Model Inputs &amp; Assumptions'!$X$33*R2926-'Model Inputs &amp; Assumptions'!$X$33^2/2))</f>
        <v>0.00231695811607413</v>
      </c>
      <c r="G2926" s="45" t="n">
        <f aca="false">ROUND(C2926*F2926,0)</f>
        <v>2453</v>
      </c>
      <c r="H2926" s="48" t="n">
        <f aca="false">MAX(0,(C2926*'Model Inputs &amp; Assumptions'!$N$33+E2926*'Model Inputs &amp; Assumptions'!$O$33+G2926*'Model Inputs &amp; Assumptions'!$P$33)*EXP('Model Inputs &amp; Assumptions'!$Q$33*S2926-'Model Inputs &amp; Assumptions'!$Q$33^2/2))</f>
        <v>129.090159424984</v>
      </c>
      <c r="I2926" s="49" t="n">
        <f aca="false">IF('Model Inputs &amp; Assumptions'!$H$33="Fixed",'Model Inputs &amp; Assumptions'!$I$33*'Model Inputs &amp; Assumptions'!$K$33,IF('Model Inputs &amp; Assumptions'!$H$33="CPM",'Model Inputs &amp; Assumptions'!$I$33*'Model Inputs &amp; Assumptions'!$K$33*C2926/1000,IF('Model Inputs &amp; Assumptions'!$H$33="CPC",'Model Inputs &amp; Assumptions'!$I$33*'Model Inputs &amp; Assumptions'!$K$33*G2926,0)))</f>
        <v>25000</v>
      </c>
      <c r="J2926" s="50" t="n">
        <f aca="false">H2926*INDEX('Model Inputs &amp; Assumptions'!$D$40:$D$42,MATCH('Model Inputs &amp; Assumptions'!$L$33,'Model Inputs &amp; Assumptions'!$A$40:$A$42,0))*INDEX('Model Inputs &amp; Assumptions'!$H$40:$H$42,MATCH('Model Inputs &amp; Assumptions'!$L$33,'Model Inputs &amp; Assumptions'!$A$40:$A$42,0))</f>
        <v>697086.860894914</v>
      </c>
      <c r="K2926" s="49" t="n">
        <f aca="false">H2926*INDEX('Model Inputs &amp; Assumptions'!$G$40:$G$42,MATCH('Model Inputs &amp; Assumptions'!$L$33,'Model Inputs &amp; Assumptions'!$A$40:$A$42,0))*INDEX('Model Inputs &amp; Assumptions'!$H$40:$H$42,MATCH('Model Inputs &amp; Assumptions'!$L$33,'Model Inputs &amp; Assumptions'!$A$40:$A$42,0))</f>
        <v>14638.8240787932</v>
      </c>
      <c r="L2926" s="51" t="n">
        <f aca="false">IFERROR(K2926/I2926,0)</f>
        <v>0.585552963151727</v>
      </c>
      <c r="M2926" s="49" t="n">
        <f aca="false">IFERROR(I2926/H2926,0)</f>
        <v>193.663096485118</v>
      </c>
      <c r="N2926" s="52" t="str">
        <f aca="false">'Model Inputs &amp; Assumptions'!$L$33</f>
        <v>PRD-SP01</v>
      </c>
      <c r="P2926" s="53" t="n">
        <v>-0.267942</v>
      </c>
      <c r="Q2926" s="53" t="n">
        <v>-0.172943</v>
      </c>
      <c r="R2926" s="53" t="n">
        <v>-1.225026</v>
      </c>
      <c r="S2926" s="53" t="n">
        <v>-0.017621</v>
      </c>
    </row>
    <row r="2927" customFormat="false" ht="15" hidden="false" customHeight="false" outlineLevel="0" collapsed="false">
      <c r="A2927" s="43" t="n">
        <v>424</v>
      </c>
      <c r="B2927" s="44" t="str">
        <f aca="false">'Model Inputs &amp; Assumptions'!$B$33</f>
        <v>Trade Republic — Savings Plan Push</v>
      </c>
      <c r="C2927" s="45" t="n">
        <f aca="false">ROUND(MAX(0,'Model Inputs &amp; Assumptions'!$S$33*EXP('Model Inputs &amp; Assumptions'!$T$33*P2927-'Model Inputs &amp; Assumptions'!$T$33^2/2)),0)</f>
        <v>1166765</v>
      </c>
      <c r="D2927" s="46" t="n">
        <f aca="false">MIN(1,'Model Inputs &amp; Assumptions'!$U$33*EXP('Model Inputs &amp; Assumptions'!$V$33*Q2927-'Model Inputs &amp; Assumptions'!$V$33^2/2))</f>
        <v>0</v>
      </c>
      <c r="E2927" s="45" t="n">
        <f aca="false">ROUND(C2927*D2927,0)</f>
        <v>0</v>
      </c>
      <c r="F2927" s="47" t="n">
        <f aca="false">MIN(1,'Model Inputs &amp; Assumptions'!$W$33*EXP('Model Inputs &amp; Assumptions'!$X$33*R2927-'Model Inputs &amp; Assumptions'!$X$33^2/2))</f>
        <v>0.00453325021280604</v>
      </c>
      <c r="G2927" s="45" t="n">
        <f aca="false">ROUND(C2927*F2927,0)</f>
        <v>5289</v>
      </c>
      <c r="H2927" s="48" t="n">
        <f aca="false">MAX(0,(C2927*'Model Inputs &amp; Assumptions'!$N$33+E2927*'Model Inputs &amp; Assumptions'!$O$33+G2927*'Model Inputs &amp; Assumptions'!$P$33)*EXP('Model Inputs &amp; Assumptions'!$Q$33*S2927-'Model Inputs &amp; Assumptions'!$Q$33^2/2))</f>
        <v>285.781478422494</v>
      </c>
      <c r="I2927" s="49" t="n">
        <f aca="false">IF('Model Inputs &amp; Assumptions'!$H$33="Fixed",'Model Inputs &amp; Assumptions'!$I$33*'Model Inputs &amp; Assumptions'!$K$33,IF('Model Inputs &amp; Assumptions'!$H$33="CPM",'Model Inputs &amp; Assumptions'!$I$33*'Model Inputs &amp; Assumptions'!$K$33*C2927/1000,IF('Model Inputs &amp; Assumptions'!$H$33="CPC",'Model Inputs &amp; Assumptions'!$I$33*'Model Inputs &amp; Assumptions'!$K$33*G2927,0)))</f>
        <v>25000</v>
      </c>
      <c r="J2927" s="50" t="n">
        <f aca="false">H2927*INDEX('Model Inputs &amp; Assumptions'!$D$40:$D$42,MATCH('Model Inputs &amp; Assumptions'!$L$33,'Model Inputs &amp; Assumptions'!$A$40:$A$42,0))*INDEX('Model Inputs &amp; Assumptions'!$H$40:$H$42,MATCH('Model Inputs &amp; Assumptions'!$L$33,'Model Inputs &amp; Assumptions'!$A$40:$A$42,0))</f>
        <v>1543219.98348147</v>
      </c>
      <c r="K2927" s="49" t="n">
        <f aca="false">H2927*INDEX('Model Inputs &amp; Assumptions'!$G$40:$G$42,MATCH('Model Inputs &amp; Assumptions'!$L$33,'Model Inputs &amp; Assumptions'!$A$40:$A$42,0))*INDEX('Model Inputs &amp; Assumptions'!$H$40:$H$42,MATCH('Model Inputs &amp; Assumptions'!$L$33,'Model Inputs &amp; Assumptions'!$A$40:$A$42,0))</f>
        <v>32407.6196531108</v>
      </c>
      <c r="L2927" s="51" t="n">
        <f aca="false">IFERROR(K2927/I2927,0)</f>
        <v>1.29630478612443</v>
      </c>
      <c r="M2927" s="49" t="n">
        <f aca="false">IFERROR(I2927/H2927,0)</f>
        <v>87.4794270713391</v>
      </c>
      <c r="N2927" s="52" t="str">
        <f aca="false">'Model Inputs &amp; Assumptions'!$L$33</f>
        <v>PRD-SP01</v>
      </c>
      <c r="P2927" s="53" t="n">
        <v>0.056379</v>
      </c>
      <c r="Q2927" s="53" t="n">
        <v>0.714376</v>
      </c>
      <c r="R2927" s="53" t="n">
        <v>1.012254</v>
      </c>
      <c r="S2927" s="53" t="n">
        <v>0.076661</v>
      </c>
    </row>
    <row r="2928" customFormat="false" ht="15" hidden="false" customHeight="false" outlineLevel="0" collapsed="false">
      <c r="A2928" s="43" t="n">
        <v>425</v>
      </c>
      <c r="B2928" s="44" t="str">
        <f aca="false">'Model Inputs &amp; Assumptions'!$B$33</f>
        <v>Trade Republic — Savings Plan Push</v>
      </c>
      <c r="C2928" s="45" t="n">
        <f aca="false">ROUND(MAX(0,'Model Inputs &amp; Assumptions'!$S$33*EXP('Model Inputs &amp; Assumptions'!$T$33*P2928-'Model Inputs &amp; Assumptions'!$T$33^2/2)),0)</f>
        <v>1285622</v>
      </c>
      <c r="D2928" s="46" t="n">
        <f aca="false">MIN(1,'Model Inputs &amp; Assumptions'!$U$33*EXP('Model Inputs &amp; Assumptions'!$V$33*Q2928-'Model Inputs &amp; Assumptions'!$V$33^2/2))</f>
        <v>0</v>
      </c>
      <c r="E2928" s="45" t="n">
        <f aca="false">ROUND(C2928*D2928,0)</f>
        <v>0</v>
      </c>
      <c r="F2928" s="47" t="n">
        <f aca="false">MIN(1,'Model Inputs &amp; Assumptions'!$W$33*EXP('Model Inputs &amp; Assumptions'!$X$33*R2928-'Model Inputs &amp; Assumptions'!$X$33^2/2))</f>
        <v>0.00475245472369433</v>
      </c>
      <c r="G2928" s="45" t="n">
        <f aca="false">ROUND(C2928*F2928,0)</f>
        <v>6110</v>
      </c>
      <c r="H2928" s="48" t="n">
        <f aca="false">MAX(0,(C2928*'Model Inputs &amp; Assumptions'!$N$33+E2928*'Model Inputs &amp; Assumptions'!$O$33+G2928*'Model Inputs &amp; Assumptions'!$P$33)*EXP('Model Inputs &amp; Assumptions'!$Q$33*S2928-'Model Inputs &amp; Assumptions'!$Q$33^2/2))</f>
        <v>206.060991130182</v>
      </c>
      <c r="I2928" s="49" t="n">
        <f aca="false">IF('Model Inputs &amp; Assumptions'!$H$33="Fixed",'Model Inputs &amp; Assumptions'!$I$33*'Model Inputs &amp; Assumptions'!$K$33,IF('Model Inputs &amp; Assumptions'!$H$33="CPM",'Model Inputs &amp; Assumptions'!$I$33*'Model Inputs &amp; Assumptions'!$K$33*C2928/1000,IF('Model Inputs &amp; Assumptions'!$H$33="CPC",'Model Inputs &amp; Assumptions'!$I$33*'Model Inputs &amp; Assumptions'!$K$33*G2928,0)))</f>
        <v>25000</v>
      </c>
      <c r="J2928" s="50" t="n">
        <f aca="false">H2928*INDEX('Model Inputs &amp; Assumptions'!$D$40:$D$42,MATCH('Model Inputs &amp; Assumptions'!$L$33,'Model Inputs &amp; Assumptions'!$A$40:$A$42,0))*INDEX('Model Inputs &amp; Assumptions'!$H$40:$H$42,MATCH('Model Inputs &amp; Assumptions'!$L$33,'Model Inputs &amp; Assumptions'!$A$40:$A$42,0))</f>
        <v>1112729.35210299</v>
      </c>
      <c r="K2928" s="49" t="n">
        <f aca="false">H2928*INDEX('Model Inputs &amp; Assumptions'!$G$40:$G$42,MATCH('Model Inputs &amp; Assumptions'!$L$33,'Model Inputs &amp; Assumptions'!$A$40:$A$42,0))*INDEX('Model Inputs &amp; Assumptions'!$H$40:$H$42,MATCH('Model Inputs &amp; Assumptions'!$L$33,'Model Inputs &amp; Assumptions'!$A$40:$A$42,0))</f>
        <v>23367.3163941627</v>
      </c>
      <c r="L2928" s="51" t="n">
        <f aca="false">IFERROR(K2928/I2928,0)</f>
        <v>0.934692655766508</v>
      </c>
      <c r="M2928" s="49" t="n">
        <f aca="false">IFERROR(I2928/H2928,0)</f>
        <v>121.323302692482</v>
      </c>
      <c r="N2928" s="52" t="str">
        <f aca="false">'Model Inputs &amp; Assumptions'!$L$33</f>
        <v>PRD-SP01</v>
      </c>
      <c r="P2928" s="53" t="n">
        <v>0.379737</v>
      </c>
      <c r="Q2928" s="53" t="n">
        <v>-0.531908</v>
      </c>
      <c r="R2928" s="53" t="n">
        <v>1.169661</v>
      </c>
      <c r="S2928" s="53" t="n">
        <v>-1.606742</v>
      </c>
    </row>
    <row r="2929" customFormat="false" ht="15" hidden="false" customHeight="false" outlineLevel="0" collapsed="false">
      <c r="A2929" s="43" t="n">
        <v>426</v>
      </c>
      <c r="B2929" s="44" t="str">
        <f aca="false">'Model Inputs &amp; Assumptions'!$B$33</f>
        <v>Trade Republic — Savings Plan Push</v>
      </c>
      <c r="C2929" s="45" t="n">
        <f aca="false">ROUND(MAX(0,'Model Inputs &amp; Assumptions'!$S$33*EXP('Model Inputs &amp; Assumptions'!$T$33*P2929-'Model Inputs &amp; Assumptions'!$T$33^2/2)),0)</f>
        <v>770213</v>
      </c>
      <c r="D2929" s="46" t="n">
        <f aca="false">MIN(1,'Model Inputs &amp; Assumptions'!$U$33*EXP('Model Inputs &amp; Assumptions'!$V$33*Q2929-'Model Inputs &amp; Assumptions'!$V$33^2/2))</f>
        <v>0</v>
      </c>
      <c r="E2929" s="45" t="n">
        <f aca="false">ROUND(C2929*D2929,0)</f>
        <v>0</v>
      </c>
      <c r="F2929" s="47" t="n">
        <f aca="false">MIN(1,'Model Inputs &amp; Assumptions'!$W$33*EXP('Model Inputs &amp; Assumptions'!$X$33*R2929-'Model Inputs &amp; Assumptions'!$X$33^2/2))</f>
        <v>0.0040388579585987</v>
      </c>
      <c r="G2929" s="45" t="n">
        <f aca="false">ROUND(C2929*F2929,0)</f>
        <v>3111</v>
      </c>
      <c r="H2929" s="48" t="n">
        <f aca="false">MAX(0,(C2929*'Model Inputs &amp; Assumptions'!$N$33+E2929*'Model Inputs &amp; Assumptions'!$O$33+G2929*'Model Inputs &amp; Assumptions'!$P$33)*EXP('Model Inputs &amp; Assumptions'!$Q$33*S2929-'Model Inputs &amp; Assumptions'!$Q$33^2/2))</f>
        <v>124.460132426369</v>
      </c>
      <c r="I2929" s="49" t="n">
        <f aca="false">IF('Model Inputs &amp; Assumptions'!$H$33="Fixed",'Model Inputs &amp; Assumptions'!$I$33*'Model Inputs &amp; Assumptions'!$K$33,IF('Model Inputs &amp; Assumptions'!$H$33="CPM",'Model Inputs &amp; Assumptions'!$I$33*'Model Inputs &amp; Assumptions'!$K$33*C2929/1000,IF('Model Inputs &amp; Assumptions'!$H$33="CPC",'Model Inputs &amp; Assumptions'!$I$33*'Model Inputs &amp; Assumptions'!$K$33*G2929,0)))</f>
        <v>25000</v>
      </c>
      <c r="J2929" s="50" t="n">
        <f aca="false">H2929*INDEX('Model Inputs &amp; Assumptions'!$D$40:$D$42,MATCH('Model Inputs &amp; Assumptions'!$L$33,'Model Inputs &amp; Assumptions'!$A$40:$A$42,0))*INDEX('Model Inputs &amp; Assumptions'!$H$40:$H$42,MATCH('Model Inputs &amp; Assumptions'!$L$33,'Model Inputs &amp; Assumptions'!$A$40:$A$42,0))</f>
        <v>672084.715102393</v>
      </c>
      <c r="K2929" s="49" t="n">
        <f aca="false">H2929*INDEX('Model Inputs &amp; Assumptions'!$G$40:$G$42,MATCH('Model Inputs &amp; Assumptions'!$L$33,'Model Inputs &amp; Assumptions'!$A$40:$A$42,0))*INDEX('Model Inputs &amp; Assumptions'!$H$40:$H$42,MATCH('Model Inputs &amp; Assumptions'!$L$33,'Model Inputs &amp; Assumptions'!$A$40:$A$42,0))</f>
        <v>14113.7790171503</v>
      </c>
      <c r="L2929" s="51" t="n">
        <f aca="false">IFERROR(K2929/I2929,0)</f>
        <v>0.56455116068601</v>
      </c>
      <c r="M2929" s="49" t="n">
        <f aca="false">IFERROR(I2929/H2929,0)</f>
        <v>200.867534949716</v>
      </c>
      <c r="N2929" s="52" t="str">
        <f aca="false">'Model Inputs &amp; Assumptions'!$L$33</f>
        <v>PRD-SP01</v>
      </c>
      <c r="P2929" s="53" t="n">
        <v>-1.328033</v>
      </c>
      <c r="Q2929" s="53" t="n">
        <v>-1.236364</v>
      </c>
      <c r="R2929" s="53" t="n">
        <v>0.62733</v>
      </c>
      <c r="S2929" s="53" t="n">
        <v>-0.996757</v>
      </c>
    </row>
    <row r="2930" customFormat="false" ht="15" hidden="false" customHeight="false" outlineLevel="0" collapsed="false">
      <c r="A2930" s="43" t="n">
        <v>427</v>
      </c>
      <c r="B2930" s="44" t="str">
        <f aca="false">'Model Inputs &amp; Assumptions'!$B$33</f>
        <v>Trade Republic — Savings Plan Push</v>
      </c>
      <c r="C2930" s="45" t="n">
        <f aca="false">ROUND(MAX(0,'Model Inputs &amp; Assumptions'!$S$33*EXP('Model Inputs &amp; Assumptions'!$T$33*P2930-'Model Inputs &amp; Assumptions'!$T$33^2/2)),0)</f>
        <v>1107473</v>
      </c>
      <c r="D2930" s="46" t="n">
        <f aca="false">MIN(1,'Model Inputs &amp; Assumptions'!$U$33*EXP('Model Inputs &amp; Assumptions'!$V$33*Q2930-'Model Inputs &amp; Assumptions'!$V$33^2/2))</f>
        <v>0</v>
      </c>
      <c r="E2930" s="45" t="n">
        <f aca="false">ROUND(C2930*D2930,0)</f>
        <v>0</v>
      </c>
      <c r="F2930" s="47" t="n">
        <f aca="false">MIN(1,'Model Inputs &amp; Assumptions'!$W$33*EXP('Model Inputs &amp; Assumptions'!$X$33*R2930-'Model Inputs &amp; Assumptions'!$X$33^2/2))</f>
        <v>0.00546800245859743</v>
      </c>
      <c r="G2930" s="45" t="n">
        <f aca="false">ROUND(C2930*F2930,0)</f>
        <v>6056</v>
      </c>
      <c r="H2930" s="48" t="n">
        <f aca="false">MAX(0,(C2930*'Model Inputs &amp; Assumptions'!$N$33+E2930*'Model Inputs &amp; Assumptions'!$O$33+G2930*'Model Inputs &amp; Assumptions'!$P$33)*EXP('Model Inputs &amp; Assumptions'!$Q$33*S2930-'Model Inputs &amp; Assumptions'!$Q$33^2/2))</f>
        <v>241.694250909558</v>
      </c>
      <c r="I2930" s="49" t="n">
        <f aca="false">IF('Model Inputs &amp; Assumptions'!$H$33="Fixed",'Model Inputs &amp; Assumptions'!$I$33*'Model Inputs &amp; Assumptions'!$K$33,IF('Model Inputs &amp; Assumptions'!$H$33="CPM",'Model Inputs &amp; Assumptions'!$I$33*'Model Inputs &amp; Assumptions'!$K$33*C2930/1000,IF('Model Inputs &amp; Assumptions'!$H$33="CPC",'Model Inputs &amp; Assumptions'!$I$33*'Model Inputs &amp; Assumptions'!$K$33*G2930,0)))</f>
        <v>25000</v>
      </c>
      <c r="J2930" s="50" t="n">
        <f aca="false">H2930*INDEX('Model Inputs &amp; Assumptions'!$D$40:$D$42,MATCH('Model Inputs &amp; Assumptions'!$L$33,'Model Inputs &amp; Assumptions'!$A$40:$A$42,0))*INDEX('Model Inputs &amp; Assumptions'!$H$40:$H$42,MATCH('Model Inputs &amp; Assumptions'!$L$33,'Model Inputs &amp; Assumptions'!$A$40:$A$42,0))</f>
        <v>1305148.95491161</v>
      </c>
      <c r="K2930" s="49" t="n">
        <f aca="false">H2930*INDEX('Model Inputs &amp; Assumptions'!$G$40:$G$42,MATCH('Model Inputs &amp; Assumptions'!$L$33,'Model Inputs &amp; Assumptions'!$A$40:$A$42,0))*INDEX('Model Inputs &amp; Assumptions'!$H$40:$H$42,MATCH('Model Inputs &amp; Assumptions'!$L$33,'Model Inputs &amp; Assumptions'!$A$40:$A$42,0))</f>
        <v>27408.1280531438</v>
      </c>
      <c r="L2930" s="51" t="n">
        <f aca="false">IFERROR(K2930/I2930,0)</f>
        <v>1.09632512212575</v>
      </c>
      <c r="M2930" s="49" t="n">
        <f aca="false">IFERROR(I2930/H2930,0)</f>
        <v>103.43646944815</v>
      </c>
      <c r="N2930" s="52" t="str">
        <f aca="false">'Model Inputs &amp; Assumptions'!$L$33</f>
        <v>PRD-SP01</v>
      </c>
      <c r="P2930" s="53" t="n">
        <v>-0.11747</v>
      </c>
      <c r="Q2930" s="53" t="n">
        <v>-1.528609</v>
      </c>
      <c r="R2930" s="53" t="n">
        <v>1.637168</v>
      </c>
      <c r="S2930" s="53" t="n">
        <v>-1.00539</v>
      </c>
    </row>
    <row r="2931" customFormat="false" ht="15" hidden="false" customHeight="false" outlineLevel="0" collapsed="false">
      <c r="A2931" s="43" t="n">
        <v>428</v>
      </c>
      <c r="B2931" s="44" t="str">
        <f aca="false">'Model Inputs &amp; Assumptions'!$B$33</f>
        <v>Trade Republic — Savings Plan Push</v>
      </c>
      <c r="C2931" s="45" t="n">
        <f aca="false">ROUND(MAX(0,'Model Inputs &amp; Assumptions'!$S$33*EXP('Model Inputs &amp; Assumptions'!$T$33*P2931-'Model Inputs &amp; Assumptions'!$T$33^2/2)),0)</f>
        <v>1636106</v>
      </c>
      <c r="D2931" s="46" t="n">
        <f aca="false">MIN(1,'Model Inputs &amp; Assumptions'!$U$33*EXP('Model Inputs &amp; Assumptions'!$V$33*Q2931-'Model Inputs &amp; Assumptions'!$V$33^2/2))</f>
        <v>0</v>
      </c>
      <c r="E2931" s="45" t="n">
        <f aca="false">ROUND(C2931*D2931,0)</f>
        <v>0</v>
      </c>
      <c r="F2931" s="47" t="n">
        <f aca="false">MIN(1,'Model Inputs &amp; Assumptions'!$W$33*EXP('Model Inputs &amp; Assumptions'!$X$33*R2931-'Model Inputs &amp; Assumptions'!$X$33^2/2))</f>
        <v>0.0046941871585174</v>
      </c>
      <c r="G2931" s="45" t="n">
        <f aca="false">ROUND(C2931*F2931,0)</f>
        <v>7680</v>
      </c>
      <c r="H2931" s="48" t="n">
        <f aca="false">MAX(0,(C2931*'Model Inputs &amp; Assumptions'!$N$33+E2931*'Model Inputs &amp; Assumptions'!$O$33+G2931*'Model Inputs &amp; Assumptions'!$P$33)*EXP('Model Inputs &amp; Assumptions'!$Q$33*S2931-'Model Inputs &amp; Assumptions'!$Q$33^2/2))</f>
        <v>529.062669334203</v>
      </c>
      <c r="I2931" s="49" t="n">
        <f aca="false">IF('Model Inputs &amp; Assumptions'!$H$33="Fixed",'Model Inputs &amp; Assumptions'!$I$33*'Model Inputs &amp; Assumptions'!$K$33,IF('Model Inputs &amp; Assumptions'!$H$33="CPM",'Model Inputs &amp; Assumptions'!$I$33*'Model Inputs &amp; Assumptions'!$K$33*C2931/1000,IF('Model Inputs &amp; Assumptions'!$H$33="CPC",'Model Inputs &amp; Assumptions'!$I$33*'Model Inputs &amp; Assumptions'!$K$33*G2931,0)))</f>
        <v>25000</v>
      </c>
      <c r="J2931" s="50" t="n">
        <f aca="false">H2931*INDEX('Model Inputs &amp; Assumptions'!$D$40:$D$42,MATCH('Model Inputs &amp; Assumptions'!$L$33,'Model Inputs &amp; Assumptions'!$A$40:$A$42,0))*INDEX('Model Inputs &amp; Assumptions'!$H$40:$H$42,MATCH('Model Inputs &amp; Assumptions'!$L$33,'Model Inputs &amp; Assumptions'!$A$40:$A$42,0))</f>
        <v>2856938.4144047</v>
      </c>
      <c r="K2931" s="49" t="n">
        <f aca="false">H2931*INDEX('Model Inputs &amp; Assumptions'!$G$40:$G$42,MATCH('Model Inputs &amp; Assumptions'!$L$33,'Model Inputs &amp; Assumptions'!$A$40:$A$42,0))*INDEX('Model Inputs &amp; Assumptions'!$H$40:$H$42,MATCH('Model Inputs &amp; Assumptions'!$L$33,'Model Inputs &amp; Assumptions'!$A$40:$A$42,0))</f>
        <v>59995.7067024986</v>
      </c>
      <c r="L2931" s="51" t="n">
        <f aca="false">IFERROR(K2931/I2931,0)</f>
        <v>2.39982826809994</v>
      </c>
      <c r="M2931" s="49" t="n">
        <f aca="false">IFERROR(I2931/H2931,0)</f>
        <v>47.2533812137249</v>
      </c>
      <c r="N2931" s="52" t="str">
        <f aca="false">'Model Inputs &amp; Assumptions'!$L$33</f>
        <v>PRD-SP01</v>
      </c>
      <c r="P2931" s="53" t="n">
        <v>1.183325</v>
      </c>
      <c r="Q2931" s="53" t="n">
        <v>-0.986606</v>
      </c>
      <c r="R2931" s="53" t="n">
        <v>1.12854</v>
      </c>
      <c r="S2931" s="53" t="n">
        <v>0.944122</v>
      </c>
    </row>
    <row r="2932" customFormat="false" ht="15" hidden="false" customHeight="false" outlineLevel="0" collapsed="false">
      <c r="A2932" s="43" t="n">
        <v>429</v>
      </c>
      <c r="B2932" s="44" t="str">
        <f aca="false">'Model Inputs &amp; Assumptions'!$B$33</f>
        <v>Trade Republic — Savings Plan Push</v>
      </c>
      <c r="C2932" s="45" t="n">
        <f aca="false">ROUND(MAX(0,'Model Inputs &amp; Assumptions'!$S$33*EXP('Model Inputs &amp; Assumptions'!$T$33*P2932-'Model Inputs &amp; Assumptions'!$T$33^2/2)),0)</f>
        <v>1663082</v>
      </c>
      <c r="D2932" s="46" t="n">
        <f aca="false">MIN(1,'Model Inputs &amp; Assumptions'!$U$33*EXP('Model Inputs &amp; Assumptions'!$V$33*Q2932-'Model Inputs &amp; Assumptions'!$V$33^2/2))</f>
        <v>0</v>
      </c>
      <c r="E2932" s="45" t="n">
        <f aca="false">ROUND(C2932*D2932,0)</f>
        <v>0</v>
      </c>
      <c r="F2932" s="47" t="n">
        <f aca="false">MIN(1,'Model Inputs &amp; Assumptions'!$W$33*EXP('Model Inputs &amp; Assumptions'!$X$33*R2932-'Model Inputs &amp; Assumptions'!$X$33^2/2))</f>
        <v>0.004171484503471</v>
      </c>
      <c r="G2932" s="45" t="n">
        <f aca="false">ROUND(C2932*F2932,0)</f>
        <v>6938</v>
      </c>
      <c r="H2932" s="48" t="n">
        <f aca="false">MAX(0,(C2932*'Model Inputs &amp; Assumptions'!$N$33+E2932*'Model Inputs &amp; Assumptions'!$O$33+G2932*'Model Inputs &amp; Assumptions'!$P$33)*EXP('Model Inputs &amp; Assumptions'!$Q$33*S2932-'Model Inputs &amp; Assumptions'!$Q$33^2/2))</f>
        <v>429.601422229831</v>
      </c>
      <c r="I2932" s="49" t="n">
        <f aca="false">IF('Model Inputs &amp; Assumptions'!$H$33="Fixed",'Model Inputs &amp; Assumptions'!$I$33*'Model Inputs &amp; Assumptions'!$K$33,IF('Model Inputs &amp; Assumptions'!$H$33="CPM",'Model Inputs &amp; Assumptions'!$I$33*'Model Inputs &amp; Assumptions'!$K$33*C2932/1000,IF('Model Inputs &amp; Assumptions'!$H$33="CPC",'Model Inputs &amp; Assumptions'!$I$33*'Model Inputs &amp; Assumptions'!$K$33*G2932,0)))</f>
        <v>25000</v>
      </c>
      <c r="J2932" s="50" t="n">
        <f aca="false">H2932*INDEX('Model Inputs &amp; Assumptions'!$D$40:$D$42,MATCH('Model Inputs &amp; Assumptions'!$L$33,'Model Inputs &amp; Assumptions'!$A$40:$A$42,0))*INDEX('Model Inputs &amp; Assumptions'!$H$40:$H$42,MATCH('Model Inputs &amp; Assumptions'!$L$33,'Model Inputs &amp; Assumptions'!$A$40:$A$42,0))</f>
        <v>2319847.68004109</v>
      </c>
      <c r="K2932" s="49" t="n">
        <f aca="false">H2932*INDEX('Model Inputs &amp; Assumptions'!$G$40:$G$42,MATCH('Model Inputs &amp; Assumptions'!$L$33,'Model Inputs &amp; Assumptions'!$A$40:$A$42,0))*INDEX('Model Inputs &amp; Assumptions'!$H$40:$H$42,MATCH('Model Inputs &amp; Assumptions'!$L$33,'Model Inputs &amp; Assumptions'!$A$40:$A$42,0))</f>
        <v>48716.8012808628</v>
      </c>
      <c r="L2932" s="51" t="n">
        <f aca="false">IFERROR(K2932/I2932,0)</f>
        <v>1.94867205123451</v>
      </c>
      <c r="M2932" s="49" t="n">
        <f aca="false">IFERROR(I2932/H2932,0)</f>
        <v>58.1934758740751</v>
      </c>
      <c r="N2932" s="52" t="str">
        <f aca="false">'Model Inputs &amp; Assumptions'!$L$33</f>
        <v>PRD-SP01</v>
      </c>
      <c r="P2932" s="53" t="n">
        <v>1.237837</v>
      </c>
      <c r="Q2932" s="53" t="n">
        <v>-0.83931</v>
      </c>
      <c r="R2932" s="53" t="n">
        <v>0.73503</v>
      </c>
      <c r="S2932" s="53" t="n">
        <v>0.563254</v>
      </c>
    </row>
    <row r="2933" customFormat="false" ht="15" hidden="false" customHeight="false" outlineLevel="0" collapsed="false">
      <c r="A2933" s="43" t="n">
        <v>430</v>
      </c>
      <c r="B2933" s="44" t="str">
        <f aca="false">'Model Inputs &amp; Assumptions'!$B$33</f>
        <v>Trade Republic — Savings Plan Push</v>
      </c>
      <c r="C2933" s="45" t="n">
        <f aca="false">ROUND(MAX(0,'Model Inputs &amp; Assumptions'!$S$33*EXP('Model Inputs &amp; Assumptions'!$T$33*P2933-'Model Inputs &amp; Assumptions'!$T$33^2/2)),0)</f>
        <v>1593966</v>
      </c>
      <c r="D2933" s="46" t="n">
        <f aca="false">MIN(1,'Model Inputs &amp; Assumptions'!$U$33*EXP('Model Inputs &amp; Assumptions'!$V$33*Q2933-'Model Inputs &amp; Assumptions'!$V$33^2/2))</f>
        <v>0</v>
      </c>
      <c r="E2933" s="45" t="n">
        <f aca="false">ROUND(C2933*D2933,0)</f>
        <v>0</v>
      </c>
      <c r="F2933" s="47" t="n">
        <f aca="false">MIN(1,'Model Inputs &amp; Assumptions'!$W$33*EXP('Model Inputs &amp; Assumptions'!$X$33*R2933-'Model Inputs &amp; Assumptions'!$X$33^2/2))</f>
        <v>0.00426749228781899</v>
      </c>
      <c r="G2933" s="45" t="n">
        <f aca="false">ROUND(C2933*F2933,0)</f>
        <v>6802</v>
      </c>
      <c r="H2933" s="48" t="n">
        <f aca="false">MAX(0,(C2933*'Model Inputs &amp; Assumptions'!$N$33+E2933*'Model Inputs &amp; Assumptions'!$O$33+G2933*'Model Inputs &amp; Assumptions'!$P$33)*EXP('Model Inputs &amp; Assumptions'!$Q$33*S2933-'Model Inputs &amp; Assumptions'!$Q$33^2/2))</f>
        <v>456.995448724598</v>
      </c>
      <c r="I2933" s="49" t="n">
        <f aca="false">IF('Model Inputs &amp; Assumptions'!$H$33="Fixed",'Model Inputs &amp; Assumptions'!$I$33*'Model Inputs &amp; Assumptions'!$K$33,IF('Model Inputs &amp; Assumptions'!$H$33="CPM",'Model Inputs &amp; Assumptions'!$I$33*'Model Inputs &amp; Assumptions'!$K$33*C2933/1000,IF('Model Inputs &amp; Assumptions'!$H$33="CPC",'Model Inputs &amp; Assumptions'!$I$33*'Model Inputs &amp; Assumptions'!$K$33*G2933,0)))</f>
        <v>25000</v>
      </c>
      <c r="J2933" s="50" t="n">
        <f aca="false">H2933*INDEX('Model Inputs &amp; Assumptions'!$D$40:$D$42,MATCH('Model Inputs &amp; Assumptions'!$L$33,'Model Inputs &amp; Assumptions'!$A$40:$A$42,0))*INDEX('Model Inputs &amp; Assumptions'!$H$40:$H$42,MATCH('Model Inputs &amp; Assumptions'!$L$33,'Model Inputs &amp; Assumptions'!$A$40:$A$42,0))</f>
        <v>2467775.42311283</v>
      </c>
      <c r="K2933" s="49" t="n">
        <f aca="false">H2933*INDEX('Model Inputs &amp; Assumptions'!$G$40:$G$42,MATCH('Model Inputs &amp; Assumptions'!$L$33,'Model Inputs &amp; Assumptions'!$A$40:$A$42,0))*INDEX('Model Inputs &amp; Assumptions'!$H$40:$H$42,MATCH('Model Inputs &amp; Assumptions'!$L$33,'Model Inputs &amp; Assumptions'!$A$40:$A$42,0))</f>
        <v>51823.2838853694</v>
      </c>
      <c r="L2933" s="51" t="n">
        <f aca="false">IFERROR(K2933/I2933,0)</f>
        <v>2.07293135541478</v>
      </c>
      <c r="M2933" s="49" t="n">
        <f aca="false">IFERROR(I2933/H2933,0)</f>
        <v>54.7051399959695</v>
      </c>
      <c r="N2933" s="52" t="str">
        <f aca="false">'Model Inputs &amp; Assumptions'!$L$33</f>
        <v>PRD-SP01</v>
      </c>
      <c r="P2933" s="53" t="n">
        <v>1.096345</v>
      </c>
      <c r="Q2933" s="53" t="n">
        <v>-0.643995</v>
      </c>
      <c r="R2933" s="53" t="n">
        <v>0.810878</v>
      </c>
      <c r="S2933" s="53" t="n">
        <v>0.854727</v>
      </c>
    </row>
    <row r="2934" customFormat="false" ht="15" hidden="false" customHeight="false" outlineLevel="0" collapsed="false">
      <c r="A2934" s="43" t="n">
        <v>431</v>
      </c>
      <c r="B2934" s="44" t="str">
        <f aca="false">'Model Inputs &amp; Assumptions'!$B$33</f>
        <v>Trade Republic — Savings Plan Push</v>
      </c>
      <c r="C2934" s="45" t="n">
        <f aca="false">ROUND(MAX(0,'Model Inputs &amp; Assumptions'!$S$33*EXP('Model Inputs &amp; Assumptions'!$T$33*P2934-'Model Inputs &amp; Assumptions'!$T$33^2/2)),0)</f>
        <v>899232</v>
      </c>
      <c r="D2934" s="46" t="n">
        <f aca="false">MIN(1,'Model Inputs &amp; Assumptions'!$U$33*EXP('Model Inputs &amp; Assumptions'!$V$33*Q2934-'Model Inputs &amp; Assumptions'!$V$33^2/2))</f>
        <v>0</v>
      </c>
      <c r="E2934" s="45" t="n">
        <f aca="false">ROUND(C2934*D2934,0)</f>
        <v>0</v>
      </c>
      <c r="F2934" s="47" t="n">
        <f aca="false">MIN(1,'Model Inputs &amp; Assumptions'!$W$33*EXP('Model Inputs &amp; Assumptions'!$X$33*R2934-'Model Inputs &amp; Assumptions'!$X$33^2/2))</f>
        <v>0.00388809946368845</v>
      </c>
      <c r="G2934" s="45" t="n">
        <f aca="false">ROUND(C2934*F2934,0)</f>
        <v>3496</v>
      </c>
      <c r="H2934" s="48" t="n">
        <f aca="false">MAX(0,(C2934*'Model Inputs &amp; Assumptions'!$N$33+E2934*'Model Inputs &amp; Assumptions'!$O$33+G2934*'Model Inputs &amp; Assumptions'!$P$33)*EXP('Model Inputs &amp; Assumptions'!$Q$33*S2934-'Model Inputs &amp; Assumptions'!$Q$33^2/2))</f>
        <v>130.633812299798</v>
      </c>
      <c r="I2934" s="49" t="n">
        <f aca="false">IF('Model Inputs &amp; Assumptions'!$H$33="Fixed",'Model Inputs &amp; Assumptions'!$I$33*'Model Inputs &amp; Assumptions'!$K$33,IF('Model Inputs &amp; Assumptions'!$H$33="CPM",'Model Inputs &amp; Assumptions'!$I$33*'Model Inputs &amp; Assumptions'!$K$33*C2934/1000,IF('Model Inputs &amp; Assumptions'!$H$33="CPC",'Model Inputs &amp; Assumptions'!$I$33*'Model Inputs &amp; Assumptions'!$K$33*G2934,0)))</f>
        <v>25000</v>
      </c>
      <c r="J2934" s="50" t="n">
        <f aca="false">H2934*INDEX('Model Inputs &amp; Assumptions'!$D$40:$D$42,MATCH('Model Inputs &amp; Assumptions'!$L$33,'Model Inputs &amp; Assumptions'!$A$40:$A$42,0))*INDEX('Model Inputs &amp; Assumptions'!$H$40:$H$42,MATCH('Model Inputs &amp; Assumptions'!$L$33,'Model Inputs &amp; Assumptions'!$A$40:$A$42,0))</f>
        <v>705422.586418907</v>
      </c>
      <c r="K2934" s="49" t="n">
        <f aca="false">H2934*INDEX('Model Inputs &amp; Assumptions'!$G$40:$G$42,MATCH('Model Inputs &amp; Assumptions'!$L$33,'Model Inputs &amp; Assumptions'!$A$40:$A$42,0))*INDEX('Model Inputs &amp; Assumptions'!$H$40:$H$42,MATCH('Model Inputs &amp; Assumptions'!$L$33,'Model Inputs &amp; Assumptions'!$A$40:$A$42,0))</f>
        <v>14813.874314797</v>
      </c>
      <c r="L2934" s="51" t="n">
        <f aca="false">IFERROR(K2934/I2934,0)</f>
        <v>0.592554972591882</v>
      </c>
      <c r="M2934" s="49" t="n">
        <f aca="false">IFERROR(I2934/H2934,0)</f>
        <v>191.374649180615</v>
      </c>
      <c r="N2934" s="52" t="str">
        <f aca="false">'Model Inputs &amp; Assumptions'!$L$33</f>
        <v>PRD-SP01</v>
      </c>
      <c r="P2934" s="53" t="n">
        <v>-0.811787</v>
      </c>
      <c r="Q2934" s="53" t="n">
        <v>0.545777</v>
      </c>
      <c r="R2934" s="53" t="n">
        <v>0.500525</v>
      </c>
      <c r="S2934" s="53" t="n">
        <v>-1.240552</v>
      </c>
    </row>
    <row r="2935" customFormat="false" ht="15" hidden="false" customHeight="false" outlineLevel="0" collapsed="false">
      <c r="A2935" s="43" t="n">
        <v>432</v>
      </c>
      <c r="B2935" s="44" t="str">
        <f aca="false">'Model Inputs &amp; Assumptions'!$B$33</f>
        <v>Trade Republic — Savings Plan Push</v>
      </c>
      <c r="C2935" s="45" t="n">
        <f aca="false">ROUND(MAX(0,'Model Inputs &amp; Assumptions'!$S$33*EXP('Model Inputs &amp; Assumptions'!$T$33*P2935-'Model Inputs &amp; Assumptions'!$T$33^2/2)),0)</f>
        <v>1313355</v>
      </c>
      <c r="D2935" s="46" t="n">
        <f aca="false">MIN(1,'Model Inputs &amp; Assumptions'!$U$33*EXP('Model Inputs &amp; Assumptions'!$V$33*Q2935-'Model Inputs &amp; Assumptions'!$V$33^2/2))</f>
        <v>0</v>
      </c>
      <c r="E2935" s="45" t="n">
        <f aca="false">ROUND(C2935*D2935,0)</f>
        <v>0</v>
      </c>
      <c r="F2935" s="47" t="n">
        <f aca="false">MIN(1,'Model Inputs &amp; Assumptions'!$W$33*EXP('Model Inputs &amp; Assumptions'!$X$33*R2935-'Model Inputs &amp; Assumptions'!$X$33^2/2))</f>
        <v>0.00295808165437059</v>
      </c>
      <c r="G2935" s="45" t="n">
        <f aca="false">ROUND(C2935*F2935,0)</f>
        <v>3885</v>
      </c>
      <c r="H2935" s="48" t="n">
        <f aca="false">MAX(0,(C2935*'Model Inputs &amp; Assumptions'!$N$33+E2935*'Model Inputs &amp; Assumptions'!$O$33+G2935*'Model Inputs &amp; Assumptions'!$P$33)*EXP('Model Inputs &amp; Assumptions'!$Q$33*S2935-'Model Inputs &amp; Assumptions'!$Q$33^2/2))</f>
        <v>128.83583654973</v>
      </c>
      <c r="I2935" s="49" t="n">
        <f aca="false">IF('Model Inputs &amp; Assumptions'!$H$33="Fixed",'Model Inputs &amp; Assumptions'!$I$33*'Model Inputs &amp; Assumptions'!$K$33,IF('Model Inputs &amp; Assumptions'!$H$33="CPM",'Model Inputs &amp; Assumptions'!$I$33*'Model Inputs &amp; Assumptions'!$K$33*C2935/1000,IF('Model Inputs &amp; Assumptions'!$H$33="CPC",'Model Inputs &amp; Assumptions'!$I$33*'Model Inputs &amp; Assumptions'!$K$33*G2935,0)))</f>
        <v>25000</v>
      </c>
      <c r="J2935" s="50" t="n">
        <f aca="false">H2935*INDEX('Model Inputs &amp; Assumptions'!$D$40:$D$42,MATCH('Model Inputs &amp; Assumptions'!$L$33,'Model Inputs &amp; Assumptions'!$A$40:$A$42,0))*INDEX('Model Inputs &amp; Assumptions'!$H$40:$H$42,MATCH('Model Inputs &amp; Assumptions'!$L$33,'Model Inputs &amp; Assumptions'!$A$40:$A$42,0))</f>
        <v>695713.517368541</v>
      </c>
      <c r="K2935" s="49" t="n">
        <f aca="false">H2935*INDEX('Model Inputs &amp; Assumptions'!$G$40:$G$42,MATCH('Model Inputs &amp; Assumptions'!$L$33,'Model Inputs &amp; Assumptions'!$A$40:$A$42,0))*INDEX('Model Inputs &amp; Assumptions'!$H$40:$H$42,MATCH('Model Inputs &amp; Assumptions'!$L$33,'Model Inputs &amp; Assumptions'!$A$40:$A$42,0))</f>
        <v>14609.9838647394</v>
      </c>
      <c r="L2935" s="51" t="n">
        <f aca="false">IFERROR(K2935/I2935,0)</f>
        <v>0.584399354589574</v>
      </c>
      <c r="M2935" s="49" t="n">
        <f aca="false">IFERROR(I2935/H2935,0)</f>
        <v>194.045388841405</v>
      </c>
      <c r="N2935" s="52" t="str">
        <f aca="false">'Model Inputs &amp; Assumptions'!$L$33</f>
        <v>PRD-SP01</v>
      </c>
      <c r="P2935" s="53" t="n">
        <v>0.450879</v>
      </c>
      <c r="Q2935" s="53" t="n">
        <v>-0.560048</v>
      </c>
      <c r="R2935" s="53" t="n">
        <v>-0.41074</v>
      </c>
      <c r="S2935" s="53" t="n">
        <v>-1.666847</v>
      </c>
    </row>
    <row r="2936" customFormat="false" ht="15" hidden="false" customHeight="false" outlineLevel="0" collapsed="false">
      <c r="A2936" s="43" t="n">
        <v>433</v>
      </c>
      <c r="B2936" s="44" t="str">
        <f aca="false">'Model Inputs &amp; Assumptions'!$B$33</f>
        <v>Trade Republic — Savings Plan Push</v>
      </c>
      <c r="C2936" s="45" t="n">
        <f aca="false">ROUND(MAX(0,'Model Inputs &amp; Assumptions'!$S$33*EXP('Model Inputs &amp; Assumptions'!$T$33*P2936-'Model Inputs &amp; Assumptions'!$T$33^2/2)),0)</f>
        <v>1055563</v>
      </c>
      <c r="D2936" s="46" t="n">
        <f aca="false">MIN(1,'Model Inputs &amp; Assumptions'!$U$33*EXP('Model Inputs &amp; Assumptions'!$V$33*Q2936-'Model Inputs &amp; Assumptions'!$V$33^2/2))</f>
        <v>0</v>
      </c>
      <c r="E2936" s="45" t="n">
        <f aca="false">ROUND(C2936*D2936,0)</f>
        <v>0</v>
      </c>
      <c r="F2936" s="47" t="n">
        <f aca="false">MIN(1,'Model Inputs &amp; Assumptions'!$W$33*EXP('Model Inputs &amp; Assumptions'!$X$33*R2936-'Model Inputs &amp; Assumptions'!$X$33^2/2))</f>
        <v>0.00335518251049469</v>
      </c>
      <c r="G2936" s="45" t="n">
        <f aca="false">ROUND(C2936*F2936,0)</f>
        <v>3542</v>
      </c>
      <c r="H2936" s="48" t="n">
        <f aca="false">MAX(0,(C2936*'Model Inputs &amp; Assumptions'!$N$33+E2936*'Model Inputs &amp; Assumptions'!$O$33+G2936*'Model Inputs &amp; Assumptions'!$P$33)*EXP('Model Inputs &amp; Assumptions'!$Q$33*S2936-'Model Inputs &amp; Assumptions'!$Q$33^2/2))</f>
        <v>215.033331123441</v>
      </c>
      <c r="I2936" s="49" t="n">
        <f aca="false">IF('Model Inputs &amp; Assumptions'!$H$33="Fixed",'Model Inputs &amp; Assumptions'!$I$33*'Model Inputs &amp; Assumptions'!$K$33,IF('Model Inputs &amp; Assumptions'!$H$33="CPM",'Model Inputs &amp; Assumptions'!$I$33*'Model Inputs &amp; Assumptions'!$K$33*C2936/1000,IF('Model Inputs &amp; Assumptions'!$H$33="CPC",'Model Inputs &amp; Assumptions'!$I$33*'Model Inputs &amp; Assumptions'!$K$33*G2936,0)))</f>
        <v>25000</v>
      </c>
      <c r="J2936" s="50" t="n">
        <f aca="false">H2936*INDEX('Model Inputs &amp; Assumptions'!$D$40:$D$42,MATCH('Model Inputs &amp; Assumptions'!$L$33,'Model Inputs &amp; Assumptions'!$A$40:$A$42,0))*INDEX('Model Inputs &amp; Assumptions'!$H$40:$H$42,MATCH('Model Inputs &amp; Assumptions'!$L$33,'Model Inputs &amp; Assumptions'!$A$40:$A$42,0))</f>
        <v>1161179.98806658</v>
      </c>
      <c r="K2936" s="49" t="n">
        <f aca="false">H2936*INDEX('Model Inputs &amp; Assumptions'!$G$40:$G$42,MATCH('Model Inputs &amp; Assumptions'!$L$33,'Model Inputs &amp; Assumptions'!$A$40:$A$42,0))*INDEX('Model Inputs &amp; Assumptions'!$H$40:$H$42,MATCH('Model Inputs &amp; Assumptions'!$L$33,'Model Inputs &amp; Assumptions'!$A$40:$A$42,0))</f>
        <v>24384.7797493983</v>
      </c>
      <c r="L2936" s="51" t="n">
        <f aca="false">IFERROR(K2936/I2936,0)</f>
        <v>0.97539118997593</v>
      </c>
      <c r="M2936" s="49" t="n">
        <f aca="false">IFERROR(I2936/H2936,0)</f>
        <v>116.261045994068</v>
      </c>
      <c r="N2936" s="52" t="str">
        <f aca="false">'Model Inputs &amp; Assumptions'!$L$33</f>
        <v>PRD-SP01</v>
      </c>
      <c r="P2936" s="53" t="n">
        <v>-0.277491</v>
      </c>
      <c r="Q2936" s="53" t="n">
        <v>-0.508619</v>
      </c>
      <c r="R2936" s="53" t="n">
        <v>0.009144</v>
      </c>
      <c r="S2936" s="53" t="n">
        <v>0.492744</v>
      </c>
    </row>
    <row r="2937" customFormat="false" ht="15" hidden="false" customHeight="false" outlineLevel="0" collapsed="false">
      <c r="A2937" s="43" t="n">
        <v>434</v>
      </c>
      <c r="B2937" s="44" t="str">
        <f aca="false">'Model Inputs &amp; Assumptions'!$B$33</f>
        <v>Trade Republic — Savings Plan Push</v>
      </c>
      <c r="C2937" s="45" t="n">
        <f aca="false">ROUND(MAX(0,'Model Inputs &amp; Assumptions'!$S$33*EXP('Model Inputs &amp; Assumptions'!$T$33*P2937-'Model Inputs &amp; Assumptions'!$T$33^2/2)),0)</f>
        <v>589878</v>
      </c>
      <c r="D2937" s="46" t="n">
        <f aca="false">MIN(1,'Model Inputs &amp; Assumptions'!$U$33*EXP('Model Inputs &amp; Assumptions'!$V$33*Q2937-'Model Inputs &amp; Assumptions'!$V$33^2/2))</f>
        <v>0</v>
      </c>
      <c r="E2937" s="45" t="n">
        <f aca="false">ROUND(C2937*D2937,0)</f>
        <v>0</v>
      </c>
      <c r="F2937" s="47" t="n">
        <f aca="false">MIN(1,'Model Inputs &amp; Assumptions'!$W$33*EXP('Model Inputs &amp; Assumptions'!$X$33*R2937-'Model Inputs &amp; Assumptions'!$X$33^2/2))</f>
        <v>0.00280511256556417</v>
      </c>
      <c r="G2937" s="45" t="n">
        <f aca="false">ROUND(C2937*F2937,0)</f>
        <v>1655</v>
      </c>
      <c r="H2937" s="48" t="n">
        <f aca="false">MAX(0,(C2937*'Model Inputs &amp; Assumptions'!$N$33+E2937*'Model Inputs &amp; Assumptions'!$O$33+G2937*'Model Inputs &amp; Assumptions'!$P$33)*EXP('Model Inputs &amp; Assumptions'!$Q$33*S2937-'Model Inputs &amp; Assumptions'!$Q$33^2/2))</f>
        <v>120.56438361034</v>
      </c>
      <c r="I2937" s="49" t="n">
        <f aca="false">IF('Model Inputs &amp; Assumptions'!$H$33="Fixed",'Model Inputs &amp; Assumptions'!$I$33*'Model Inputs &amp; Assumptions'!$K$33,IF('Model Inputs &amp; Assumptions'!$H$33="CPM",'Model Inputs &amp; Assumptions'!$I$33*'Model Inputs &amp; Assumptions'!$K$33*C2937/1000,IF('Model Inputs &amp; Assumptions'!$H$33="CPC",'Model Inputs &amp; Assumptions'!$I$33*'Model Inputs &amp; Assumptions'!$K$33*G2937,0)))</f>
        <v>25000</v>
      </c>
      <c r="J2937" s="50" t="n">
        <f aca="false">H2937*INDEX('Model Inputs &amp; Assumptions'!$D$40:$D$42,MATCH('Model Inputs &amp; Assumptions'!$L$33,'Model Inputs &amp; Assumptions'!$A$40:$A$42,0))*INDEX('Model Inputs &amp; Assumptions'!$H$40:$H$42,MATCH('Model Inputs &amp; Assumptions'!$L$33,'Model Inputs &amp; Assumptions'!$A$40:$A$42,0))</f>
        <v>651047.671495837</v>
      </c>
      <c r="K2937" s="49" t="n">
        <f aca="false">H2937*INDEX('Model Inputs &amp; Assumptions'!$G$40:$G$42,MATCH('Model Inputs &amp; Assumptions'!$L$33,'Model Inputs &amp; Assumptions'!$A$40:$A$42,0))*INDEX('Model Inputs &amp; Assumptions'!$H$40:$H$42,MATCH('Model Inputs &amp; Assumptions'!$L$33,'Model Inputs &amp; Assumptions'!$A$40:$A$42,0))</f>
        <v>13672.0011014126</v>
      </c>
      <c r="L2937" s="51" t="n">
        <f aca="false">IFERROR(K2937/I2937,0)</f>
        <v>0.546880044056503</v>
      </c>
      <c r="M2937" s="49" t="n">
        <f aca="false">IFERROR(I2937/H2937,0)</f>
        <v>207.358087449766</v>
      </c>
      <c r="N2937" s="52" t="str">
        <f aca="false">'Model Inputs &amp; Assumptions'!$L$33</f>
        <v>PRD-SP01</v>
      </c>
      <c r="P2937" s="53" t="n">
        <v>-2.217203</v>
      </c>
      <c r="Q2937" s="53" t="n">
        <v>-2.702399</v>
      </c>
      <c r="R2937" s="53" t="n">
        <v>-0.587731</v>
      </c>
      <c r="S2937" s="53" t="n">
        <v>1.143749</v>
      </c>
    </row>
    <row r="2938" customFormat="false" ht="15" hidden="false" customHeight="false" outlineLevel="0" collapsed="false">
      <c r="A2938" s="43" t="n">
        <v>435</v>
      </c>
      <c r="B2938" s="44" t="str">
        <f aca="false">'Model Inputs &amp; Assumptions'!$B$33</f>
        <v>Trade Republic — Savings Plan Push</v>
      </c>
      <c r="C2938" s="45" t="n">
        <f aca="false">ROUND(MAX(0,'Model Inputs &amp; Assumptions'!$S$33*EXP('Model Inputs &amp; Assumptions'!$T$33*P2938-'Model Inputs &amp; Assumptions'!$T$33^2/2)),0)</f>
        <v>1826418</v>
      </c>
      <c r="D2938" s="46" t="n">
        <f aca="false">MIN(1,'Model Inputs &amp; Assumptions'!$U$33*EXP('Model Inputs &amp; Assumptions'!$V$33*Q2938-'Model Inputs &amp; Assumptions'!$V$33^2/2))</f>
        <v>0</v>
      </c>
      <c r="E2938" s="45" t="n">
        <f aca="false">ROUND(C2938*D2938,0)</f>
        <v>0</v>
      </c>
      <c r="F2938" s="47" t="n">
        <f aca="false">MIN(1,'Model Inputs &amp; Assumptions'!$W$33*EXP('Model Inputs &amp; Assumptions'!$X$33*R2938-'Model Inputs &amp; Assumptions'!$X$33^2/2))</f>
        <v>0.00328067754117509</v>
      </c>
      <c r="G2938" s="45" t="n">
        <f aca="false">ROUND(C2938*F2938,0)</f>
        <v>5992</v>
      </c>
      <c r="H2938" s="48" t="n">
        <f aca="false">MAX(0,(C2938*'Model Inputs &amp; Assumptions'!$N$33+E2938*'Model Inputs &amp; Assumptions'!$O$33+G2938*'Model Inputs &amp; Assumptions'!$P$33)*EXP('Model Inputs &amp; Assumptions'!$Q$33*S2938-'Model Inputs &amp; Assumptions'!$Q$33^2/2))</f>
        <v>266.030007201488</v>
      </c>
      <c r="I2938" s="49" t="n">
        <f aca="false">IF('Model Inputs &amp; Assumptions'!$H$33="Fixed",'Model Inputs &amp; Assumptions'!$I$33*'Model Inputs &amp; Assumptions'!$K$33,IF('Model Inputs &amp; Assumptions'!$H$33="CPM",'Model Inputs &amp; Assumptions'!$I$33*'Model Inputs &amp; Assumptions'!$K$33*C2938/1000,IF('Model Inputs &amp; Assumptions'!$H$33="CPC",'Model Inputs &amp; Assumptions'!$I$33*'Model Inputs &amp; Assumptions'!$K$33*G2938,0)))</f>
        <v>25000</v>
      </c>
      <c r="J2938" s="50" t="n">
        <f aca="false">H2938*INDEX('Model Inputs &amp; Assumptions'!$D$40:$D$42,MATCH('Model Inputs &amp; Assumptions'!$L$33,'Model Inputs &amp; Assumptions'!$A$40:$A$42,0))*INDEX('Model Inputs &amp; Assumptions'!$H$40:$H$42,MATCH('Model Inputs &amp; Assumptions'!$L$33,'Model Inputs &amp; Assumptions'!$A$40:$A$42,0))</f>
        <v>1436562.03888803</v>
      </c>
      <c r="K2938" s="49" t="n">
        <f aca="false">H2938*INDEX('Model Inputs &amp; Assumptions'!$G$40:$G$42,MATCH('Model Inputs &amp; Assumptions'!$L$33,'Model Inputs &amp; Assumptions'!$A$40:$A$42,0))*INDEX('Model Inputs &amp; Assumptions'!$H$40:$H$42,MATCH('Model Inputs &amp; Assumptions'!$L$33,'Model Inputs &amp; Assumptions'!$A$40:$A$42,0))</f>
        <v>30167.8028166487</v>
      </c>
      <c r="L2938" s="51" t="n">
        <f aca="false">IFERROR(K2938/I2938,0)</f>
        <v>1.20671211266595</v>
      </c>
      <c r="M2938" s="49" t="n">
        <f aca="false">IFERROR(I2938/H2938,0)</f>
        <v>93.9743612496514</v>
      </c>
      <c r="N2938" s="52" t="str">
        <f aca="false">'Model Inputs &amp; Assumptions'!$L$33</f>
        <v>PRD-SP01</v>
      </c>
      <c r="P2938" s="53" t="n">
        <v>1.550117</v>
      </c>
      <c r="Q2938" s="53" t="n">
        <v>-0.696774</v>
      </c>
      <c r="R2938" s="53" t="n">
        <v>-0.06571</v>
      </c>
      <c r="S2938" s="53" t="n">
        <v>-0.624819</v>
      </c>
    </row>
    <row r="2939" customFormat="false" ht="15" hidden="false" customHeight="false" outlineLevel="0" collapsed="false">
      <c r="A2939" s="43" t="n">
        <v>436</v>
      </c>
      <c r="B2939" s="44" t="str">
        <f aca="false">'Model Inputs &amp; Assumptions'!$B$33</f>
        <v>Trade Republic — Savings Plan Push</v>
      </c>
      <c r="C2939" s="45" t="n">
        <f aca="false">ROUND(MAX(0,'Model Inputs &amp; Assumptions'!$S$33*EXP('Model Inputs &amp; Assumptions'!$T$33*P2939-'Model Inputs &amp; Assumptions'!$T$33^2/2)),0)</f>
        <v>970742</v>
      </c>
      <c r="D2939" s="46" t="n">
        <f aca="false">MIN(1,'Model Inputs &amp; Assumptions'!$U$33*EXP('Model Inputs &amp; Assumptions'!$V$33*Q2939-'Model Inputs &amp; Assumptions'!$V$33^2/2))</f>
        <v>0</v>
      </c>
      <c r="E2939" s="45" t="n">
        <f aca="false">ROUND(C2939*D2939,0)</f>
        <v>0</v>
      </c>
      <c r="F2939" s="47" t="n">
        <f aca="false">MIN(1,'Model Inputs &amp; Assumptions'!$W$33*EXP('Model Inputs &amp; Assumptions'!$X$33*R2939-'Model Inputs &amp; Assumptions'!$X$33^2/2))</f>
        <v>0.00224294844065582</v>
      </c>
      <c r="G2939" s="45" t="n">
        <f aca="false">ROUND(C2939*F2939,0)</f>
        <v>2177</v>
      </c>
      <c r="H2939" s="48" t="n">
        <f aca="false">MAX(0,(C2939*'Model Inputs &amp; Assumptions'!$N$33+E2939*'Model Inputs &amp; Assumptions'!$O$33+G2939*'Model Inputs &amp; Assumptions'!$P$33)*EXP('Model Inputs &amp; Assumptions'!$Q$33*S2939-'Model Inputs &amp; Assumptions'!$Q$33^2/2))</f>
        <v>111.547560049622</v>
      </c>
      <c r="I2939" s="49" t="n">
        <f aca="false">IF('Model Inputs &amp; Assumptions'!$H$33="Fixed",'Model Inputs &amp; Assumptions'!$I$33*'Model Inputs &amp; Assumptions'!$K$33,IF('Model Inputs &amp; Assumptions'!$H$33="CPM",'Model Inputs &amp; Assumptions'!$I$33*'Model Inputs &amp; Assumptions'!$K$33*C2939/1000,IF('Model Inputs &amp; Assumptions'!$H$33="CPC",'Model Inputs &amp; Assumptions'!$I$33*'Model Inputs &amp; Assumptions'!$K$33*G2939,0)))</f>
        <v>25000</v>
      </c>
      <c r="J2939" s="50" t="n">
        <f aca="false">H2939*INDEX('Model Inputs &amp; Assumptions'!$D$40:$D$42,MATCH('Model Inputs &amp; Assumptions'!$L$33,'Model Inputs &amp; Assumptions'!$A$40:$A$42,0))*INDEX('Model Inputs &amp; Assumptions'!$H$40:$H$42,MATCH('Model Inputs &amp; Assumptions'!$L$33,'Model Inputs &amp; Assumptions'!$A$40:$A$42,0))</f>
        <v>602356.82426796</v>
      </c>
      <c r="K2939" s="49" t="n">
        <f aca="false">H2939*INDEX('Model Inputs &amp; Assumptions'!$G$40:$G$42,MATCH('Model Inputs &amp; Assumptions'!$L$33,'Model Inputs &amp; Assumptions'!$A$40:$A$42,0))*INDEX('Model Inputs &amp; Assumptions'!$H$40:$H$42,MATCH('Model Inputs &amp; Assumptions'!$L$33,'Model Inputs &amp; Assumptions'!$A$40:$A$42,0))</f>
        <v>12649.4933096272</v>
      </c>
      <c r="L2939" s="51" t="n">
        <f aca="false">IFERROR(K2939/I2939,0)</f>
        <v>0.505979732385087</v>
      </c>
      <c r="M2939" s="49" t="n">
        <f aca="false">IFERROR(I2939/H2939,0)</f>
        <v>224.119648954031</v>
      </c>
      <c r="N2939" s="52" t="str">
        <f aca="false">'Model Inputs &amp; Assumptions'!$L$33</f>
        <v>PRD-SP01</v>
      </c>
      <c r="P2939" s="53" t="n">
        <v>-0.55672</v>
      </c>
      <c r="Q2939" s="53" t="n">
        <v>-1.193752</v>
      </c>
      <c r="R2939" s="53" t="n">
        <v>-1.333239</v>
      </c>
      <c r="S2939" s="53" t="n">
        <v>-0.112964</v>
      </c>
    </row>
    <row r="2940" customFormat="false" ht="15" hidden="false" customHeight="false" outlineLevel="0" collapsed="false">
      <c r="A2940" s="43" t="n">
        <v>437</v>
      </c>
      <c r="B2940" s="44" t="str">
        <f aca="false">'Model Inputs &amp; Assumptions'!$B$33</f>
        <v>Trade Republic — Savings Plan Push</v>
      </c>
      <c r="C2940" s="45" t="n">
        <f aca="false">ROUND(MAX(0,'Model Inputs &amp; Assumptions'!$S$33*EXP('Model Inputs &amp; Assumptions'!$T$33*P2940-'Model Inputs &amp; Assumptions'!$T$33^2/2)),0)</f>
        <v>1507624</v>
      </c>
      <c r="D2940" s="46" t="n">
        <f aca="false">MIN(1,'Model Inputs &amp; Assumptions'!$U$33*EXP('Model Inputs &amp; Assumptions'!$V$33*Q2940-'Model Inputs &amp; Assumptions'!$V$33^2/2))</f>
        <v>0</v>
      </c>
      <c r="E2940" s="45" t="n">
        <f aca="false">ROUND(C2940*D2940,0)</f>
        <v>0</v>
      </c>
      <c r="F2940" s="47" t="n">
        <f aca="false">MIN(1,'Model Inputs &amp; Assumptions'!$W$33*EXP('Model Inputs &amp; Assumptions'!$X$33*R2940-'Model Inputs &amp; Assumptions'!$X$33^2/2))</f>
        <v>0.00286855485609948</v>
      </c>
      <c r="G2940" s="45" t="n">
        <f aca="false">ROUND(C2940*F2940,0)</f>
        <v>4325</v>
      </c>
      <c r="H2940" s="48" t="n">
        <f aca="false">MAX(0,(C2940*'Model Inputs &amp; Assumptions'!$N$33+E2940*'Model Inputs &amp; Assumptions'!$O$33+G2940*'Model Inputs &amp; Assumptions'!$P$33)*EXP('Model Inputs &amp; Assumptions'!$Q$33*S2940-'Model Inputs &amp; Assumptions'!$Q$33^2/2))</f>
        <v>259.169903738426</v>
      </c>
      <c r="I2940" s="49" t="n">
        <f aca="false">IF('Model Inputs &amp; Assumptions'!$H$33="Fixed",'Model Inputs &amp; Assumptions'!$I$33*'Model Inputs &amp; Assumptions'!$K$33,IF('Model Inputs &amp; Assumptions'!$H$33="CPM",'Model Inputs &amp; Assumptions'!$I$33*'Model Inputs &amp; Assumptions'!$K$33*C2940/1000,IF('Model Inputs &amp; Assumptions'!$H$33="CPC",'Model Inputs &amp; Assumptions'!$I$33*'Model Inputs &amp; Assumptions'!$K$33*G2940,0)))</f>
        <v>25000</v>
      </c>
      <c r="J2940" s="50" t="n">
        <f aca="false">H2940*INDEX('Model Inputs &amp; Assumptions'!$D$40:$D$42,MATCH('Model Inputs &amp; Assumptions'!$L$33,'Model Inputs &amp; Assumptions'!$A$40:$A$42,0))*INDEX('Model Inputs &amp; Assumptions'!$H$40:$H$42,MATCH('Model Inputs &amp; Assumptions'!$L$33,'Model Inputs &amp; Assumptions'!$A$40:$A$42,0))</f>
        <v>1399517.4801875</v>
      </c>
      <c r="K2940" s="49" t="n">
        <f aca="false">H2940*INDEX('Model Inputs &amp; Assumptions'!$G$40:$G$42,MATCH('Model Inputs &amp; Assumptions'!$L$33,'Model Inputs &amp; Assumptions'!$A$40:$A$42,0))*INDEX('Model Inputs &amp; Assumptions'!$H$40:$H$42,MATCH('Model Inputs &amp; Assumptions'!$L$33,'Model Inputs &amp; Assumptions'!$A$40:$A$42,0))</f>
        <v>29389.8670839375</v>
      </c>
      <c r="L2940" s="51" t="n">
        <f aca="false">IFERROR(K2940/I2940,0)</f>
        <v>1.1755946833575</v>
      </c>
      <c r="M2940" s="49" t="n">
        <f aca="false">IFERROR(I2940/H2940,0)</f>
        <v>96.4618176701256</v>
      </c>
      <c r="N2940" s="52" t="str">
        <f aca="false">'Model Inputs &amp; Assumptions'!$L$33</f>
        <v>PRD-SP01</v>
      </c>
      <c r="P2940" s="53" t="n">
        <v>0.910712</v>
      </c>
      <c r="Q2940" s="53" t="n">
        <v>-1.309791</v>
      </c>
      <c r="R2940" s="53" t="n">
        <v>-0.513182</v>
      </c>
      <c r="S2940" s="53" t="n">
        <v>0.446209</v>
      </c>
    </row>
    <row r="2941" customFormat="false" ht="15" hidden="false" customHeight="false" outlineLevel="0" collapsed="false">
      <c r="A2941" s="43" t="n">
        <v>438</v>
      </c>
      <c r="B2941" s="44" t="str">
        <f aca="false">'Model Inputs &amp; Assumptions'!$B$33</f>
        <v>Trade Republic — Savings Plan Push</v>
      </c>
      <c r="C2941" s="45" t="n">
        <f aca="false">ROUND(MAX(0,'Model Inputs &amp; Assumptions'!$S$33*EXP('Model Inputs &amp; Assumptions'!$T$33*P2941-'Model Inputs &amp; Assumptions'!$T$33^2/2)),0)</f>
        <v>1257991</v>
      </c>
      <c r="D2941" s="46" t="n">
        <f aca="false">MIN(1,'Model Inputs &amp; Assumptions'!$U$33*EXP('Model Inputs &amp; Assumptions'!$V$33*Q2941-'Model Inputs &amp; Assumptions'!$V$33^2/2))</f>
        <v>0</v>
      </c>
      <c r="E2941" s="45" t="n">
        <f aca="false">ROUND(C2941*D2941,0)</f>
        <v>0</v>
      </c>
      <c r="F2941" s="47" t="n">
        <f aca="false">MIN(1,'Model Inputs &amp; Assumptions'!$W$33*EXP('Model Inputs &amp; Assumptions'!$X$33*R2941-'Model Inputs &amp; Assumptions'!$X$33^2/2))</f>
        <v>0.00583982054922368</v>
      </c>
      <c r="G2941" s="45" t="n">
        <f aca="false">ROUND(C2941*F2941,0)</f>
        <v>7346</v>
      </c>
      <c r="H2941" s="48" t="n">
        <f aca="false">MAX(0,(C2941*'Model Inputs &amp; Assumptions'!$N$33+E2941*'Model Inputs &amp; Assumptions'!$O$33+G2941*'Model Inputs &amp; Assumptions'!$P$33)*EXP('Model Inputs &amp; Assumptions'!$Q$33*S2941-'Model Inputs &amp; Assumptions'!$Q$33^2/2))</f>
        <v>370.829434878541</v>
      </c>
      <c r="I2941" s="49" t="n">
        <f aca="false">IF('Model Inputs &amp; Assumptions'!$H$33="Fixed",'Model Inputs &amp; Assumptions'!$I$33*'Model Inputs &amp; Assumptions'!$K$33,IF('Model Inputs &amp; Assumptions'!$H$33="CPM",'Model Inputs &amp; Assumptions'!$I$33*'Model Inputs &amp; Assumptions'!$K$33*C2941/1000,IF('Model Inputs &amp; Assumptions'!$H$33="CPC",'Model Inputs &amp; Assumptions'!$I$33*'Model Inputs &amp; Assumptions'!$K$33*G2941,0)))</f>
        <v>25000</v>
      </c>
      <c r="J2941" s="50" t="n">
        <f aca="false">H2941*INDEX('Model Inputs &amp; Assumptions'!$D$40:$D$42,MATCH('Model Inputs &amp; Assumptions'!$L$33,'Model Inputs &amp; Assumptions'!$A$40:$A$42,0))*INDEX('Model Inputs &amp; Assumptions'!$H$40:$H$42,MATCH('Model Inputs &amp; Assumptions'!$L$33,'Model Inputs &amp; Assumptions'!$A$40:$A$42,0))</f>
        <v>2002478.94834412</v>
      </c>
      <c r="K2941" s="49" t="n">
        <f aca="false">H2941*INDEX('Model Inputs &amp; Assumptions'!$G$40:$G$42,MATCH('Model Inputs &amp; Assumptions'!$L$33,'Model Inputs &amp; Assumptions'!$A$40:$A$42,0))*INDEX('Model Inputs &amp; Assumptions'!$H$40:$H$42,MATCH('Model Inputs &amp; Assumptions'!$L$33,'Model Inputs &amp; Assumptions'!$A$40:$A$42,0))</f>
        <v>42052.0579152266</v>
      </c>
      <c r="L2941" s="51" t="n">
        <f aca="false">IFERROR(K2941/I2941,0)</f>
        <v>1.68208231660906</v>
      </c>
      <c r="M2941" s="49" t="n">
        <f aca="false">IFERROR(I2941/H2941,0)</f>
        <v>67.4164390650066</v>
      </c>
      <c r="N2941" s="52" t="str">
        <f aca="false">'Model Inputs &amp; Assumptions'!$L$33</f>
        <v>PRD-SP01</v>
      </c>
      <c r="P2941" s="53" t="n">
        <v>0.307316</v>
      </c>
      <c r="Q2941" s="53" t="n">
        <v>2.535043</v>
      </c>
      <c r="R2941" s="53" t="n">
        <v>1.856457</v>
      </c>
      <c r="S2941" s="53" t="n">
        <v>-0.166239</v>
      </c>
    </row>
    <row r="2942" customFormat="false" ht="15" hidden="false" customHeight="false" outlineLevel="0" collapsed="false">
      <c r="A2942" s="43" t="n">
        <v>439</v>
      </c>
      <c r="B2942" s="44" t="str">
        <f aca="false">'Model Inputs &amp; Assumptions'!$B$33</f>
        <v>Trade Republic — Savings Plan Push</v>
      </c>
      <c r="C2942" s="45" t="n">
        <f aca="false">ROUND(MAX(0,'Model Inputs &amp; Assumptions'!$S$33*EXP('Model Inputs &amp; Assumptions'!$T$33*P2942-'Model Inputs &amp; Assumptions'!$T$33^2/2)),0)</f>
        <v>1222663</v>
      </c>
      <c r="D2942" s="46" t="n">
        <f aca="false">MIN(1,'Model Inputs &amp; Assumptions'!$U$33*EXP('Model Inputs &amp; Assumptions'!$V$33*Q2942-'Model Inputs &amp; Assumptions'!$V$33^2/2))</f>
        <v>0</v>
      </c>
      <c r="E2942" s="45" t="n">
        <f aca="false">ROUND(C2942*D2942,0)</f>
        <v>0</v>
      </c>
      <c r="F2942" s="47" t="n">
        <f aca="false">MIN(1,'Model Inputs &amp; Assumptions'!$W$33*EXP('Model Inputs &amp; Assumptions'!$X$33*R2942-'Model Inputs &amp; Assumptions'!$X$33^2/2))</f>
        <v>0.0033194721140542</v>
      </c>
      <c r="G2942" s="45" t="n">
        <f aca="false">ROUND(C2942*F2942,0)</f>
        <v>4059</v>
      </c>
      <c r="H2942" s="48" t="n">
        <f aca="false">MAX(0,(C2942*'Model Inputs &amp; Assumptions'!$N$33+E2942*'Model Inputs &amp; Assumptions'!$O$33+G2942*'Model Inputs &amp; Assumptions'!$P$33)*EXP('Model Inputs &amp; Assumptions'!$Q$33*S2942-'Model Inputs &amp; Assumptions'!$Q$33^2/2))</f>
        <v>214.083683524146</v>
      </c>
      <c r="I2942" s="49" t="n">
        <f aca="false">IF('Model Inputs &amp; Assumptions'!$H$33="Fixed",'Model Inputs &amp; Assumptions'!$I$33*'Model Inputs &amp; Assumptions'!$K$33,IF('Model Inputs &amp; Assumptions'!$H$33="CPM",'Model Inputs &amp; Assumptions'!$I$33*'Model Inputs &amp; Assumptions'!$K$33*C2942/1000,IF('Model Inputs &amp; Assumptions'!$H$33="CPC",'Model Inputs &amp; Assumptions'!$I$33*'Model Inputs &amp; Assumptions'!$K$33*G2942,0)))</f>
        <v>25000</v>
      </c>
      <c r="J2942" s="50" t="n">
        <f aca="false">H2942*INDEX('Model Inputs &amp; Assumptions'!$D$40:$D$42,MATCH('Model Inputs &amp; Assumptions'!$L$33,'Model Inputs &amp; Assumptions'!$A$40:$A$42,0))*INDEX('Model Inputs &amp; Assumptions'!$H$40:$H$42,MATCH('Model Inputs &amp; Assumptions'!$L$33,'Model Inputs &amp; Assumptions'!$A$40:$A$42,0))</f>
        <v>1156051.89103039</v>
      </c>
      <c r="K2942" s="49" t="n">
        <f aca="false">H2942*INDEX('Model Inputs &amp; Assumptions'!$G$40:$G$42,MATCH('Model Inputs &amp; Assumptions'!$L$33,'Model Inputs &amp; Assumptions'!$A$40:$A$42,0))*INDEX('Model Inputs &amp; Assumptions'!$H$40:$H$42,MATCH('Model Inputs &amp; Assumptions'!$L$33,'Model Inputs &amp; Assumptions'!$A$40:$A$42,0))</f>
        <v>24277.0897116382</v>
      </c>
      <c r="L2942" s="51" t="n">
        <f aca="false">IFERROR(K2942/I2942,0)</f>
        <v>0.971083588465527</v>
      </c>
      <c r="M2942" s="49" t="n">
        <f aca="false">IFERROR(I2942/H2942,0)</f>
        <v>116.776764994238</v>
      </c>
      <c r="N2942" s="52" t="str">
        <f aca="false">'Model Inputs &amp; Assumptions'!$L$33</f>
        <v>PRD-SP01</v>
      </c>
      <c r="P2942" s="53" t="n">
        <v>0.212367</v>
      </c>
      <c r="Q2942" s="53" t="n">
        <v>1.825729</v>
      </c>
      <c r="R2942" s="53" t="n">
        <v>-0.026524</v>
      </c>
      <c r="S2942" s="53" t="n">
        <v>-0.009653</v>
      </c>
    </row>
    <row r="2943" customFormat="false" ht="15" hidden="false" customHeight="false" outlineLevel="0" collapsed="false">
      <c r="A2943" s="43" t="n">
        <v>440</v>
      </c>
      <c r="B2943" s="44" t="str">
        <f aca="false">'Model Inputs &amp; Assumptions'!$B$33</f>
        <v>Trade Republic — Savings Plan Push</v>
      </c>
      <c r="C2943" s="45" t="n">
        <f aca="false">ROUND(MAX(0,'Model Inputs &amp; Assumptions'!$S$33*EXP('Model Inputs &amp; Assumptions'!$T$33*P2943-'Model Inputs &amp; Assumptions'!$T$33^2/2)),0)</f>
        <v>974383</v>
      </c>
      <c r="D2943" s="46" t="n">
        <f aca="false">MIN(1,'Model Inputs &amp; Assumptions'!$U$33*EXP('Model Inputs &amp; Assumptions'!$V$33*Q2943-'Model Inputs &amp; Assumptions'!$V$33^2/2))</f>
        <v>0</v>
      </c>
      <c r="E2943" s="45" t="n">
        <f aca="false">ROUND(C2943*D2943,0)</f>
        <v>0</v>
      </c>
      <c r="F2943" s="47" t="n">
        <f aca="false">MIN(1,'Model Inputs &amp; Assumptions'!$W$33*EXP('Model Inputs &amp; Assumptions'!$X$33*R2943-'Model Inputs &amp; Assumptions'!$X$33^2/2))</f>
        <v>0.0029948129289418</v>
      </c>
      <c r="G2943" s="45" t="n">
        <f aca="false">ROUND(C2943*F2943,0)</f>
        <v>2918</v>
      </c>
      <c r="H2943" s="48" t="n">
        <f aca="false">MAX(0,(C2943*'Model Inputs &amp; Assumptions'!$N$33+E2943*'Model Inputs &amp; Assumptions'!$O$33+G2943*'Model Inputs &amp; Assumptions'!$P$33)*EXP('Model Inputs &amp; Assumptions'!$Q$33*S2943-'Model Inputs &amp; Assumptions'!$Q$33^2/2))</f>
        <v>206.990048107248</v>
      </c>
      <c r="I2943" s="49" t="n">
        <f aca="false">IF('Model Inputs &amp; Assumptions'!$H$33="Fixed",'Model Inputs &amp; Assumptions'!$I$33*'Model Inputs &amp; Assumptions'!$K$33,IF('Model Inputs &amp; Assumptions'!$H$33="CPM",'Model Inputs &amp; Assumptions'!$I$33*'Model Inputs &amp; Assumptions'!$K$33*C2943/1000,IF('Model Inputs &amp; Assumptions'!$H$33="CPC",'Model Inputs &amp; Assumptions'!$I$33*'Model Inputs &amp; Assumptions'!$K$33*G2943,0)))</f>
        <v>25000</v>
      </c>
      <c r="J2943" s="50" t="n">
        <f aca="false">H2943*INDEX('Model Inputs &amp; Assumptions'!$D$40:$D$42,MATCH('Model Inputs &amp; Assumptions'!$L$33,'Model Inputs &amp; Assumptions'!$A$40:$A$42,0))*INDEX('Model Inputs &amp; Assumptions'!$H$40:$H$42,MATCH('Model Inputs &amp; Assumptions'!$L$33,'Model Inputs &amp; Assumptions'!$A$40:$A$42,0))</f>
        <v>1117746.25977914</v>
      </c>
      <c r="K2943" s="49" t="n">
        <f aca="false">H2943*INDEX('Model Inputs &amp; Assumptions'!$G$40:$G$42,MATCH('Model Inputs &amp; Assumptions'!$L$33,'Model Inputs &amp; Assumptions'!$A$40:$A$42,0))*INDEX('Model Inputs &amp; Assumptions'!$H$40:$H$42,MATCH('Model Inputs &amp; Assumptions'!$L$33,'Model Inputs &amp; Assumptions'!$A$40:$A$42,0))</f>
        <v>23472.6714553619</v>
      </c>
      <c r="L2943" s="51" t="n">
        <f aca="false">IFERROR(K2943/I2943,0)</f>
        <v>0.938906858214478</v>
      </c>
      <c r="M2943" s="49" t="n">
        <f aca="false">IFERROR(I2943/H2943,0)</f>
        <v>120.778753513052</v>
      </c>
      <c r="N2943" s="52" t="str">
        <f aca="false">'Model Inputs &amp; Assumptions'!$L$33</f>
        <v>PRD-SP01</v>
      </c>
      <c r="P2943" s="53" t="n">
        <v>-0.544241</v>
      </c>
      <c r="Q2943" s="53" t="n">
        <v>2.404036</v>
      </c>
      <c r="R2943" s="53" t="n">
        <v>-0.369604</v>
      </c>
      <c r="S2943" s="53" t="n">
        <v>1.048711</v>
      </c>
    </row>
    <row r="2944" customFormat="false" ht="15" hidden="false" customHeight="false" outlineLevel="0" collapsed="false">
      <c r="A2944" s="43" t="n">
        <v>441</v>
      </c>
      <c r="B2944" s="44" t="str">
        <f aca="false">'Model Inputs &amp; Assumptions'!$B$33</f>
        <v>Trade Republic — Savings Plan Push</v>
      </c>
      <c r="C2944" s="45" t="n">
        <f aca="false">ROUND(MAX(0,'Model Inputs &amp; Assumptions'!$S$33*EXP('Model Inputs &amp; Assumptions'!$T$33*P2944-'Model Inputs &amp; Assumptions'!$T$33^2/2)),0)</f>
        <v>1028184</v>
      </c>
      <c r="D2944" s="46" t="n">
        <f aca="false">MIN(1,'Model Inputs &amp; Assumptions'!$U$33*EXP('Model Inputs &amp; Assumptions'!$V$33*Q2944-'Model Inputs &amp; Assumptions'!$V$33^2/2))</f>
        <v>0</v>
      </c>
      <c r="E2944" s="45" t="n">
        <f aca="false">ROUND(C2944*D2944,0)</f>
        <v>0</v>
      </c>
      <c r="F2944" s="47" t="n">
        <f aca="false">MIN(1,'Model Inputs &amp; Assumptions'!$W$33*EXP('Model Inputs &amp; Assumptions'!$X$33*R2944-'Model Inputs &amp; Assumptions'!$X$33^2/2))</f>
        <v>0.00438872551082078</v>
      </c>
      <c r="G2944" s="45" t="n">
        <f aca="false">ROUND(C2944*F2944,0)</f>
        <v>4512</v>
      </c>
      <c r="H2944" s="48" t="n">
        <f aca="false">MAX(0,(C2944*'Model Inputs &amp; Assumptions'!$N$33+E2944*'Model Inputs &amp; Assumptions'!$O$33+G2944*'Model Inputs &amp; Assumptions'!$P$33)*EXP('Model Inputs &amp; Assumptions'!$Q$33*S2944-'Model Inputs &amp; Assumptions'!$Q$33^2/2))</f>
        <v>255.001885545771</v>
      </c>
      <c r="I2944" s="49" t="n">
        <f aca="false">IF('Model Inputs &amp; Assumptions'!$H$33="Fixed",'Model Inputs &amp; Assumptions'!$I$33*'Model Inputs &amp; Assumptions'!$K$33,IF('Model Inputs &amp; Assumptions'!$H$33="CPM",'Model Inputs &amp; Assumptions'!$I$33*'Model Inputs &amp; Assumptions'!$K$33*C2944/1000,IF('Model Inputs &amp; Assumptions'!$H$33="CPC",'Model Inputs &amp; Assumptions'!$I$33*'Model Inputs &amp; Assumptions'!$K$33*G2944,0)))</f>
        <v>25000</v>
      </c>
      <c r="J2944" s="50" t="n">
        <f aca="false">H2944*INDEX('Model Inputs &amp; Assumptions'!$D$40:$D$42,MATCH('Model Inputs &amp; Assumptions'!$L$33,'Model Inputs &amp; Assumptions'!$A$40:$A$42,0))*INDEX('Model Inputs &amp; Assumptions'!$H$40:$H$42,MATCH('Model Inputs &amp; Assumptions'!$L$33,'Model Inputs &amp; Assumptions'!$A$40:$A$42,0))</f>
        <v>1377010.18194716</v>
      </c>
      <c r="K2944" s="49" t="n">
        <f aca="false">H2944*INDEX('Model Inputs &amp; Assumptions'!$G$40:$G$42,MATCH('Model Inputs &amp; Assumptions'!$L$33,'Model Inputs &amp; Assumptions'!$A$40:$A$42,0))*INDEX('Model Inputs &amp; Assumptions'!$H$40:$H$42,MATCH('Model Inputs &amp; Assumptions'!$L$33,'Model Inputs &amp; Assumptions'!$A$40:$A$42,0))</f>
        <v>28917.2138208904</v>
      </c>
      <c r="L2944" s="51" t="n">
        <f aca="false">IFERROR(K2944/I2944,0)</f>
        <v>1.15668855283562</v>
      </c>
      <c r="M2944" s="49" t="n">
        <f aca="false">IFERROR(I2944/H2944,0)</f>
        <v>98.0384907605426</v>
      </c>
      <c r="N2944" s="52" t="str">
        <f aca="false">'Model Inputs &amp; Assumptions'!$L$33</f>
        <v>PRD-SP01</v>
      </c>
      <c r="P2944" s="53" t="n">
        <v>-0.365092</v>
      </c>
      <c r="Q2944" s="53" t="n">
        <v>-0.394733</v>
      </c>
      <c r="R2944" s="53" t="n">
        <v>0.904253</v>
      </c>
      <c r="S2944" s="53" t="n">
        <v>0.237133</v>
      </c>
    </row>
    <row r="2945" customFormat="false" ht="15" hidden="false" customHeight="false" outlineLevel="0" collapsed="false">
      <c r="A2945" s="43" t="n">
        <v>442</v>
      </c>
      <c r="B2945" s="44" t="str">
        <f aca="false">'Model Inputs &amp; Assumptions'!$B$33</f>
        <v>Trade Republic — Savings Plan Push</v>
      </c>
      <c r="C2945" s="45" t="n">
        <f aca="false">ROUND(MAX(0,'Model Inputs &amp; Assumptions'!$S$33*EXP('Model Inputs &amp; Assumptions'!$T$33*P2945-'Model Inputs &amp; Assumptions'!$T$33^2/2)),0)</f>
        <v>852002</v>
      </c>
      <c r="D2945" s="46" t="n">
        <f aca="false">MIN(1,'Model Inputs &amp; Assumptions'!$U$33*EXP('Model Inputs &amp; Assumptions'!$V$33*Q2945-'Model Inputs &amp; Assumptions'!$V$33^2/2))</f>
        <v>0</v>
      </c>
      <c r="E2945" s="45" t="n">
        <f aca="false">ROUND(C2945*D2945,0)</f>
        <v>0</v>
      </c>
      <c r="F2945" s="47" t="n">
        <f aca="false">MIN(1,'Model Inputs &amp; Assumptions'!$W$33*EXP('Model Inputs &amp; Assumptions'!$X$33*R2945-'Model Inputs &amp; Assumptions'!$X$33^2/2))</f>
        <v>0.00208095134904424</v>
      </c>
      <c r="G2945" s="45" t="n">
        <f aca="false">ROUND(C2945*F2945,0)</f>
        <v>1773</v>
      </c>
      <c r="H2945" s="48" t="n">
        <f aca="false">MAX(0,(C2945*'Model Inputs &amp; Assumptions'!$N$33+E2945*'Model Inputs &amp; Assumptions'!$O$33+G2945*'Model Inputs &amp; Assumptions'!$P$33)*EXP('Model Inputs &amp; Assumptions'!$Q$33*S2945-'Model Inputs &amp; Assumptions'!$Q$33^2/2))</f>
        <v>139.002991200129</v>
      </c>
      <c r="I2945" s="49" t="n">
        <f aca="false">IF('Model Inputs &amp; Assumptions'!$H$33="Fixed",'Model Inputs &amp; Assumptions'!$I$33*'Model Inputs &amp; Assumptions'!$K$33,IF('Model Inputs &amp; Assumptions'!$H$33="CPM",'Model Inputs &amp; Assumptions'!$I$33*'Model Inputs &amp; Assumptions'!$K$33*C2945/1000,IF('Model Inputs &amp; Assumptions'!$H$33="CPC",'Model Inputs &amp; Assumptions'!$I$33*'Model Inputs &amp; Assumptions'!$K$33*G2945,0)))</f>
        <v>25000</v>
      </c>
      <c r="J2945" s="50" t="n">
        <f aca="false">H2945*INDEX('Model Inputs &amp; Assumptions'!$D$40:$D$42,MATCH('Model Inputs &amp; Assumptions'!$L$33,'Model Inputs &amp; Assumptions'!$A$40:$A$42,0))*INDEX('Model Inputs &amp; Assumptions'!$H$40:$H$42,MATCH('Model Inputs &amp; Assumptions'!$L$33,'Model Inputs &amp; Assumptions'!$A$40:$A$42,0))</f>
        <v>750616.152480697</v>
      </c>
      <c r="K2945" s="49" t="n">
        <f aca="false">H2945*INDEX('Model Inputs &amp; Assumptions'!$G$40:$G$42,MATCH('Model Inputs &amp; Assumptions'!$L$33,'Model Inputs &amp; Assumptions'!$A$40:$A$42,0))*INDEX('Model Inputs &amp; Assumptions'!$H$40:$H$42,MATCH('Model Inputs &amp; Assumptions'!$L$33,'Model Inputs &amp; Assumptions'!$A$40:$A$42,0))</f>
        <v>15762.9392020946</v>
      </c>
      <c r="L2945" s="51" t="n">
        <f aca="false">IFERROR(K2945/I2945,0)</f>
        <v>0.630517568083786</v>
      </c>
      <c r="M2945" s="49" t="n">
        <f aca="false">IFERROR(I2945/H2945,0)</f>
        <v>179.852244790951</v>
      </c>
      <c r="N2945" s="52" t="str">
        <f aca="false">'Model Inputs &amp; Assumptions'!$L$33</f>
        <v>PRD-SP01</v>
      </c>
      <c r="P2945" s="53" t="n">
        <v>-0.991628</v>
      </c>
      <c r="Q2945" s="53" t="n">
        <v>0.397928</v>
      </c>
      <c r="R2945" s="53" t="n">
        <v>-1.583126</v>
      </c>
      <c r="S2945" s="53" t="n">
        <v>1.406033</v>
      </c>
    </row>
    <row r="2946" customFormat="false" ht="15" hidden="false" customHeight="false" outlineLevel="0" collapsed="false">
      <c r="A2946" s="43" t="n">
        <v>443</v>
      </c>
      <c r="B2946" s="44" t="str">
        <f aca="false">'Model Inputs &amp; Assumptions'!$B$33</f>
        <v>Trade Republic — Savings Plan Push</v>
      </c>
      <c r="C2946" s="45" t="n">
        <f aca="false">ROUND(MAX(0,'Model Inputs &amp; Assumptions'!$S$33*EXP('Model Inputs &amp; Assumptions'!$T$33*P2946-'Model Inputs &amp; Assumptions'!$T$33^2/2)),0)</f>
        <v>1501715</v>
      </c>
      <c r="D2946" s="46" t="n">
        <f aca="false">MIN(1,'Model Inputs &amp; Assumptions'!$U$33*EXP('Model Inputs &amp; Assumptions'!$V$33*Q2946-'Model Inputs &amp; Assumptions'!$V$33^2/2))</f>
        <v>0</v>
      </c>
      <c r="E2946" s="45" t="n">
        <f aca="false">ROUND(C2946*D2946,0)</f>
        <v>0</v>
      </c>
      <c r="F2946" s="47" t="n">
        <f aca="false">MIN(1,'Model Inputs &amp; Assumptions'!$W$33*EXP('Model Inputs &amp; Assumptions'!$X$33*R2946-'Model Inputs &amp; Assumptions'!$X$33^2/2))</f>
        <v>0.00403107934843749</v>
      </c>
      <c r="G2946" s="45" t="n">
        <f aca="false">ROUND(C2946*F2946,0)</f>
        <v>6054</v>
      </c>
      <c r="H2946" s="48" t="n">
        <f aca="false">MAX(0,(C2946*'Model Inputs &amp; Assumptions'!$N$33+E2946*'Model Inputs &amp; Assumptions'!$O$33+G2946*'Model Inputs &amp; Assumptions'!$P$33)*EXP('Model Inputs &amp; Assumptions'!$Q$33*S2946-'Model Inputs &amp; Assumptions'!$Q$33^2/2))</f>
        <v>345.520755715105</v>
      </c>
      <c r="I2946" s="49" t="n">
        <f aca="false">IF('Model Inputs &amp; Assumptions'!$H$33="Fixed",'Model Inputs &amp; Assumptions'!$I$33*'Model Inputs &amp; Assumptions'!$K$33,IF('Model Inputs &amp; Assumptions'!$H$33="CPM",'Model Inputs &amp; Assumptions'!$I$33*'Model Inputs &amp; Assumptions'!$K$33*C2946/1000,IF('Model Inputs &amp; Assumptions'!$H$33="CPC",'Model Inputs &amp; Assumptions'!$I$33*'Model Inputs &amp; Assumptions'!$K$33*G2946,0)))</f>
        <v>25000</v>
      </c>
      <c r="J2946" s="50" t="n">
        <f aca="false">H2946*INDEX('Model Inputs &amp; Assumptions'!$D$40:$D$42,MATCH('Model Inputs &amp; Assumptions'!$L$33,'Model Inputs &amp; Assumptions'!$A$40:$A$42,0))*INDEX('Model Inputs &amp; Assumptions'!$H$40:$H$42,MATCH('Model Inputs &amp; Assumptions'!$L$33,'Model Inputs &amp; Assumptions'!$A$40:$A$42,0))</f>
        <v>1865812.08086157</v>
      </c>
      <c r="K2946" s="49" t="n">
        <f aca="false">H2946*INDEX('Model Inputs &amp; Assumptions'!$G$40:$G$42,MATCH('Model Inputs &amp; Assumptions'!$L$33,'Model Inputs &amp; Assumptions'!$A$40:$A$42,0))*INDEX('Model Inputs &amp; Assumptions'!$H$40:$H$42,MATCH('Model Inputs &amp; Assumptions'!$L$33,'Model Inputs &amp; Assumptions'!$A$40:$A$42,0))</f>
        <v>39182.0536980929</v>
      </c>
      <c r="L2946" s="51" t="n">
        <f aca="false">IFERROR(K2946/I2946,0)</f>
        <v>1.56728214792372</v>
      </c>
      <c r="M2946" s="49" t="n">
        <f aca="false">IFERROR(I2946/H2946,0)</f>
        <v>72.3545534862555</v>
      </c>
      <c r="N2946" s="52" t="str">
        <f aca="false">'Model Inputs &amp; Assumptions'!$L$33</f>
        <v>PRD-SP01</v>
      </c>
      <c r="P2946" s="53" t="n">
        <v>0.897621</v>
      </c>
      <c r="Q2946" s="53" t="n">
        <v>-1.517421</v>
      </c>
      <c r="R2946" s="53" t="n">
        <v>0.620904</v>
      </c>
      <c r="S2946" s="53" t="n">
        <v>0.272144</v>
      </c>
    </row>
    <row r="2947" customFormat="false" ht="15" hidden="false" customHeight="false" outlineLevel="0" collapsed="false">
      <c r="A2947" s="43" t="n">
        <v>444</v>
      </c>
      <c r="B2947" s="44" t="str">
        <f aca="false">'Model Inputs &amp; Assumptions'!$B$33</f>
        <v>Trade Republic — Savings Plan Push</v>
      </c>
      <c r="C2947" s="45" t="n">
        <f aca="false">ROUND(MAX(0,'Model Inputs &amp; Assumptions'!$S$33*EXP('Model Inputs &amp; Assumptions'!$T$33*P2947-'Model Inputs &amp; Assumptions'!$T$33^2/2)),0)</f>
        <v>888663</v>
      </c>
      <c r="D2947" s="46" t="n">
        <f aca="false">MIN(1,'Model Inputs &amp; Assumptions'!$U$33*EXP('Model Inputs &amp; Assumptions'!$V$33*Q2947-'Model Inputs &amp; Assumptions'!$V$33^2/2))</f>
        <v>0</v>
      </c>
      <c r="E2947" s="45" t="n">
        <f aca="false">ROUND(C2947*D2947,0)</f>
        <v>0</v>
      </c>
      <c r="F2947" s="47" t="n">
        <f aca="false">MIN(1,'Model Inputs &amp; Assumptions'!$W$33*EXP('Model Inputs &amp; Assumptions'!$X$33*R2947-'Model Inputs &amp; Assumptions'!$X$33^2/2))</f>
        <v>0.00359515738291875</v>
      </c>
      <c r="G2947" s="45" t="n">
        <f aca="false">ROUND(C2947*F2947,0)</f>
        <v>3195</v>
      </c>
      <c r="H2947" s="48" t="n">
        <f aca="false">MAX(0,(C2947*'Model Inputs &amp; Assumptions'!$N$33+E2947*'Model Inputs &amp; Assumptions'!$O$33+G2947*'Model Inputs &amp; Assumptions'!$P$33)*EXP('Model Inputs &amp; Assumptions'!$Q$33*S2947-'Model Inputs &amp; Assumptions'!$Q$33^2/2))</f>
        <v>114.350767587606</v>
      </c>
      <c r="I2947" s="49" t="n">
        <f aca="false">IF('Model Inputs &amp; Assumptions'!$H$33="Fixed",'Model Inputs &amp; Assumptions'!$I$33*'Model Inputs &amp; Assumptions'!$K$33,IF('Model Inputs &amp; Assumptions'!$H$33="CPM",'Model Inputs &amp; Assumptions'!$I$33*'Model Inputs &amp; Assumptions'!$K$33*C2947/1000,IF('Model Inputs &amp; Assumptions'!$H$33="CPC",'Model Inputs &amp; Assumptions'!$I$33*'Model Inputs &amp; Assumptions'!$K$33*G2947,0)))</f>
        <v>25000</v>
      </c>
      <c r="J2947" s="50" t="n">
        <f aca="false">H2947*INDEX('Model Inputs &amp; Assumptions'!$D$40:$D$42,MATCH('Model Inputs &amp; Assumptions'!$L$33,'Model Inputs &amp; Assumptions'!$A$40:$A$42,0))*INDEX('Model Inputs &amp; Assumptions'!$H$40:$H$42,MATCH('Model Inputs &amp; Assumptions'!$L$33,'Model Inputs &amp; Assumptions'!$A$40:$A$42,0))</f>
        <v>617494.144973074</v>
      </c>
      <c r="K2947" s="49" t="n">
        <f aca="false">H2947*INDEX('Model Inputs &amp; Assumptions'!$G$40:$G$42,MATCH('Model Inputs &amp; Assumptions'!$L$33,'Model Inputs &amp; Assumptions'!$A$40:$A$42,0))*INDEX('Model Inputs &amp; Assumptions'!$H$40:$H$42,MATCH('Model Inputs &amp; Assumptions'!$L$33,'Model Inputs &amp; Assumptions'!$A$40:$A$42,0))</f>
        <v>12967.3770444345</v>
      </c>
      <c r="L2947" s="51" t="n">
        <f aca="false">IFERROR(K2947/I2947,0)</f>
        <v>0.518695081777382</v>
      </c>
      <c r="M2947" s="49" t="n">
        <f aca="false">IFERROR(I2947/H2947,0)</f>
        <v>218.625554750623</v>
      </c>
      <c r="N2947" s="52" t="str">
        <f aca="false">'Model Inputs &amp; Assumptions'!$L$33</f>
        <v>PRD-SP01</v>
      </c>
      <c r="P2947" s="53" t="n">
        <v>-0.851195</v>
      </c>
      <c r="Q2947" s="53" t="n">
        <v>-1.09438</v>
      </c>
      <c r="R2947" s="53" t="n">
        <v>0.239416</v>
      </c>
      <c r="S2947" s="53" t="n">
        <v>-1.394463</v>
      </c>
    </row>
    <row r="2948" customFormat="false" ht="15" hidden="false" customHeight="false" outlineLevel="0" collapsed="false">
      <c r="A2948" s="43" t="n">
        <v>445</v>
      </c>
      <c r="B2948" s="44" t="str">
        <f aca="false">'Model Inputs &amp; Assumptions'!$B$33</f>
        <v>Trade Republic — Savings Plan Push</v>
      </c>
      <c r="C2948" s="45" t="n">
        <f aca="false">ROUND(MAX(0,'Model Inputs &amp; Assumptions'!$S$33*EXP('Model Inputs &amp; Assumptions'!$T$33*P2948-'Model Inputs &amp; Assumptions'!$T$33^2/2)),0)</f>
        <v>1447161</v>
      </c>
      <c r="D2948" s="46" t="n">
        <f aca="false">MIN(1,'Model Inputs &amp; Assumptions'!$U$33*EXP('Model Inputs &amp; Assumptions'!$V$33*Q2948-'Model Inputs &amp; Assumptions'!$V$33^2/2))</f>
        <v>0</v>
      </c>
      <c r="E2948" s="45" t="n">
        <f aca="false">ROUND(C2948*D2948,0)</f>
        <v>0</v>
      </c>
      <c r="F2948" s="47" t="n">
        <f aca="false">MIN(1,'Model Inputs &amp; Assumptions'!$W$33*EXP('Model Inputs &amp; Assumptions'!$X$33*R2948-'Model Inputs &amp; Assumptions'!$X$33^2/2))</f>
        <v>0.00454669987904295</v>
      </c>
      <c r="G2948" s="45" t="n">
        <f aca="false">ROUND(C2948*F2948,0)</f>
        <v>6580</v>
      </c>
      <c r="H2948" s="48" t="n">
        <f aca="false">MAX(0,(C2948*'Model Inputs &amp; Assumptions'!$N$33+E2948*'Model Inputs &amp; Assumptions'!$O$33+G2948*'Model Inputs &amp; Assumptions'!$P$33)*EXP('Model Inputs &amp; Assumptions'!$Q$33*S2948-'Model Inputs &amp; Assumptions'!$Q$33^2/2))</f>
        <v>366.31140704713</v>
      </c>
      <c r="I2948" s="49" t="n">
        <f aca="false">IF('Model Inputs &amp; Assumptions'!$H$33="Fixed",'Model Inputs &amp; Assumptions'!$I$33*'Model Inputs &amp; Assumptions'!$K$33,IF('Model Inputs &amp; Assumptions'!$H$33="CPM",'Model Inputs &amp; Assumptions'!$I$33*'Model Inputs &amp; Assumptions'!$K$33*C2948/1000,IF('Model Inputs &amp; Assumptions'!$H$33="CPC",'Model Inputs &amp; Assumptions'!$I$33*'Model Inputs &amp; Assumptions'!$K$33*G2948,0)))</f>
        <v>25000</v>
      </c>
      <c r="J2948" s="50" t="n">
        <f aca="false">H2948*INDEX('Model Inputs &amp; Assumptions'!$D$40:$D$42,MATCH('Model Inputs &amp; Assumptions'!$L$33,'Model Inputs &amp; Assumptions'!$A$40:$A$42,0))*INDEX('Model Inputs &amp; Assumptions'!$H$40:$H$42,MATCH('Model Inputs &amp; Assumptions'!$L$33,'Model Inputs &amp; Assumptions'!$A$40:$A$42,0))</f>
        <v>1978081.5980545</v>
      </c>
      <c r="K2948" s="49" t="n">
        <f aca="false">H2948*INDEX('Model Inputs &amp; Assumptions'!$G$40:$G$42,MATCH('Model Inputs &amp; Assumptions'!$L$33,'Model Inputs &amp; Assumptions'!$A$40:$A$42,0))*INDEX('Model Inputs &amp; Assumptions'!$H$40:$H$42,MATCH('Model Inputs &amp; Assumptions'!$L$33,'Model Inputs &amp; Assumptions'!$A$40:$A$42,0))</f>
        <v>41539.7135591446</v>
      </c>
      <c r="L2948" s="51" t="n">
        <f aca="false">IFERROR(K2948/I2948,0)</f>
        <v>1.66158854236578</v>
      </c>
      <c r="M2948" s="49" t="n">
        <f aca="false">IFERROR(I2948/H2948,0)</f>
        <v>68.2479429224639</v>
      </c>
      <c r="N2948" s="52" t="str">
        <f aca="false">'Model Inputs &amp; Assumptions'!$L$33</f>
        <v>PRD-SP01</v>
      </c>
      <c r="P2948" s="53" t="n">
        <v>0.774273</v>
      </c>
      <c r="Q2948" s="53" t="n">
        <v>-0.136376</v>
      </c>
      <c r="R2948" s="53" t="n">
        <v>1.022129</v>
      </c>
      <c r="S2948" s="53" t="n">
        <v>0.183271</v>
      </c>
    </row>
    <row r="2949" customFormat="false" ht="15" hidden="false" customHeight="false" outlineLevel="0" collapsed="false">
      <c r="A2949" s="43" t="n">
        <v>446</v>
      </c>
      <c r="B2949" s="44" t="str">
        <f aca="false">'Model Inputs &amp; Assumptions'!$B$33</f>
        <v>Trade Republic — Savings Plan Push</v>
      </c>
      <c r="C2949" s="45" t="n">
        <f aca="false">ROUND(MAX(0,'Model Inputs &amp; Assumptions'!$S$33*EXP('Model Inputs &amp; Assumptions'!$T$33*P2949-'Model Inputs &amp; Assumptions'!$T$33^2/2)),0)</f>
        <v>1007566</v>
      </c>
      <c r="D2949" s="46" t="n">
        <f aca="false">MIN(1,'Model Inputs &amp; Assumptions'!$U$33*EXP('Model Inputs &amp; Assumptions'!$V$33*Q2949-'Model Inputs &amp; Assumptions'!$V$33^2/2))</f>
        <v>0</v>
      </c>
      <c r="E2949" s="45" t="n">
        <f aca="false">ROUND(C2949*D2949,0)</f>
        <v>0</v>
      </c>
      <c r="F2949" s="47" t="n">
        <f aca="false">MIN(1,'Model Inputs &amp; Assumptions'!$W$33*EXP('Model Inputs &amp; Assumptions'!$X$33*R2949-'Model Inputs &amp; Assumptions'!$X$33^2/2))</f>
        <v>0.00415470267961918</v>
      </c>
      <c r="G2949" s="45" t="n">
        <f aca="false">ROUND(C2949*F2949,0)</f>
        <v>4186</v>
      </c>
      <c r="H2949" s="48" t="n">
        <f aca="false">MAX(0,(C2949*'Model Inputs &amp; Assumptions'!$N$33+E2949*'Model Inputs &amp; Assumptions'!$O$33+G2949*'Model Inputs &amp; Assumptions'!$P$33)*EXP('Model Inputs &amp; Assumptions'!$Q$33*S2949-'Model Inputs &amp; Assumptions'!$Q$33^2/2))</f>
        <v>237.224286285098</v>
      </c>
      <c r="I2949" s="49" t="n">
        <f aca="false">IF('Model Inputs &amp; Assumptions'!$H$33="Fixed",'Model Inputs &amp; Assumptions'!$I$33*'Model Inputs &amp; Assumptions'!$K$33,IF('Model Inputs &amp; Assumptions'!$H$33="CPM",'Model Inputs &amp; Assumptions'!$I$33*'Model Inputs &amp; Assumptions'!$K$33*C2949/1000,IF('Model Inputs &amp; Assumptions'!$H$33="CPC",'Model Inputs &amp; Assumptions'!$I$33*'Model Inputs &amp; Assumptions'!$K$33*G2949,0)))</f>
        <v>25000</v>
      </c>
      <c r="J2949" s="50" t="n">
        <f aca="false">H2949*INDEX('Model Inputs &amp; Assumptions'!$D$40:$D$42,MATCH('Model Inputs &amp; Assumptions'!$L$33,'Model Inputs &amp; Assumptions'!$A$40:$A$42,0))*INDEX('Model Inputs &amp; Assumptions'!$H$40:$H$42,MATCH('Model Inputs &amp; Assumptions'!$L$33,'Model Inputs &amp; Assumptions'!$A$40:$A$42,0))</f>
        <v>1281011.14593953</v>
      </c>
      <c r="K2949" s="49" t="n">
        <f aca="false">H2949*INDEX('Model Inputs &amp; Assumptions'!$G$40:$G$42,MATCH('Model Inputs &amp; Assumptions'!$L$33,'Model Inputs &amp; Assumptions'!$A$40:$A$42,0))*INDEX('Model Inputs &amp; Assumptions'!$H$40:$H$42,MATCH('Model Inputs &amp; Assumptions'!$L$33,'Model Inputs &amp; Assumptions'!$A$40:$A$42,0))</f>
        <v>26901.2340647301</v>
      </c>
      <c r="L2949" s="51" t="n">
        <f aca="false">IFERROR(K2949/I2949,0)</f>
        <v>1.0760493625892</v>
      </c>
      <c r="M2949" s="49" t="n">
        <f aca="false">IFERROR(I2949/H2949,0)</f>
        <v>105.385499906004</v>
      </c>
      <c r="N2949" s="52" t="str">
        <f aca="false">'Model Inputs &amp; Assumptions'!$L$33</f>
        <v>PRD-SP01</v>
      </c>
      <c r="P2949" s="53" t="n">
        <v>-0.432613</v>
      </c>
      <c r="Q2949" s="53" t="n">
        <v>-0.516116</v>
      </c>
      <c r="R2949" s="53" t="n">
        <v>0.721593</v>
      </c>
      <c r="S2949" s="53" t="n">
        <v>0.246883</v>
      </c>
    </row>
    <row r="2950" customFormat="false" ht="15" hidden="false" customHeight="false" outlineLevel="0" collapsed="false">
      <c r="A2950" s="43" t="n">
        <v>447</v>
      </c>
      <c r="B2950" s="44" t="str">
        <f aca="false">'Model Inputs &amp; Assumptions'!$B$33</f>
        <v>Trade Republic — Savings Plan Push</v>
      </c>
      <c r="C2950" s="45" t="n">
        <f aca="false">ROUND(MAX(0,'Model Inputs &amp; Assumptions'!$S$33*EXP('Model Inputs &amp; Assumptions'!$T$33*P2950-'Model Inputs &amp; Assumptions'!$T$33^2/2)),0)</f>
        <v>891680</v>
      </c>
      <c r="D2950" s="46" t="n">
        <f aca="false">MIN(1,'Model Inputs &amp; Assumptions'!$U$33*EXP('Model Inputs &amp; Assumptions'!$V$33*Q2950-'Model Inputs &amp; Assumptions'!$V$33^2/2))</f>
        <v>0</v>
      </c>
      <c r="E2950" s="45" t="n">
        <f aca="false">ROUND(C2950*D2950,0)</f>
        <v>0</v>
      </c>
      <c r="F2950" s="47" t="n">
        <f aca="false">MIN(1,'Model Inputs &amp; Assumptions'!$W$33*EXP('Model Inputs &amp; Assumptions'!$X$33*R2950-'Model Inputs &amp; Assumptions'!$X$33^2/2))</f>
        <v>0.00426041838753623</v>
      </c>
      <c r="G2950" s="45" t="n">
        <f aca="false">ROUND(C2950*F2950,0)</f>
        <v>3799</v>
      </c>
      <c r="H2950" s="48" t="n">
        <f aca="false">MAX(0,(C2950*'Model Inputs &amp; Assumptions'!$N$33+E2950*'Model Inputs &amp; Assumptions'!$O$33+G2950*'Model Inputs &amp; Assumptions'!$P$33)*EXP('Model Inputs &amp; Assumptions'!$Q$33*S2950-'Model Inputs &amp; Assumptions'!$Q$33^2/2))</f>
        <v>229.775636522159</v>
      </c>
      <c r="I2950" s="49" t="n">
        <f aca="false">IF('Model Inputs &amp; Assumptions'!$H$33="Fixed",'Model Inputs &amp; Assumptions'!$I$33*'Model Inputs &amp; Assumptions'!$K$33,IF('Model Inputs &amp; Assumptions'!$H$33="CPM",'Model Inputs &amp; Assumptions'!$I$33*'Model Inputs &amp; Assumptions'!$K$33*C2950/1000,IF('Model Inputs &amp; Assumptions'!$H$33="CPC",'Model Inputs &amp; Assumptions'!$I$33*'Model Inputs &amp; Assumptions'!$K$33*G2950,0)))</f>
        <v>25000</v>
      </c>
      <c r="J2950" s="50" t="n">
        <f aca="false">H2950*INDEX('Model Inputs &amp; Assumptions'!$D$40:$D$42,MATCH('Model Inputs &amp; Assumptions'!$L$33,'Model Inputs &amp; Assumptions'!$A$40:$A$42,0))*INDEX('Model Inputs &amp; Assumptions'!$H$40:$H$42,MATCH('Model Inputs &amp; Assumptions'!$L$33,'Model Inputs &amp; Assumptions'!$A$40:$A$42,0))</f>
        <v>1240788.43721966</v>
      </c>
      <c r="K2950" s="49" t="n">
        <f aca="false">H2950*INDEX('Model Inputs &amp; Assumptions'!$G$40:$G$42,MATCH('Model Inputs &amp; Assumptions'!$L$33,'Model Inputs &amp; Assumptions'!$A$40:$A$42,0))*INDEX('Model Inputs &amp; Assumptions'!$H$40:$H$42,MATCH('Model Inputs &amp; Assumptions'!$L$33,'Model Inputs &amp; Assumptions'!$A$40:$A$42,0))</f>
        <v>26056.5571816128</v>
      </c>
      <c r="L2950" s="51" t="n">
        <f aca="false">IFERROR(K2950/I2950,0)</f>
        <v>1.04226228726451</v>
      </c>
      <c r="M2950" s="49" t="n">
        <f aca="false">IFERROR(I2950/H2950,0)</f>
        <v>108.801787597655</v>
      </c>
      <c r="N2950" s="52" t="str">
        <f aca="false">'Model Inputs &amp; Assumptions'!$L$33</f>
        <v>PRD-SP01</v>
      </c>
      <c r="P2950" s="53" t="n">
        <v>-0.8399</v>
      </c>
      <c r="Q2950" s="53" t="n">
        <v>-1.040197</v>
      </c>
      <c r="R2950" s="53" t="n">
        <v>0.805348</v>
      </c>
      <c r="S2950" s="53" t="n">
        <v>0.479401</v>
      </c>
    </row>
    <row r="2951" customFormat="false" ht="15" hidden="false" customHeight="false" outlineLevel="0" collapsed="false">
      <c r="A2951" s="43" t="n">
        <v>448</v>
      </c>
      <c r="B2951" s="44" t="str">
        <f aca="false">'Model Inputs &amp; Assumptions'!$B$33</f>
        <v>Trade Republic — Savings Plan Push</v>
      </c>
      <c r="C2951" s="45" t="n">
        <f aca="false">ROUND(MAX(0,'Model Inputs &amp; Assumptions'!$S$33*EXP('Model Inputs &amp; Assumptions'!$T$33*P2951-'Model Inputs &amp; Assumptions'!$T$33^2/2)),0)</f>
        <v>791053</v>
      </c>
      <c r="D2951" s="46" t="n">
        <f aca="false">MIN(1,'Model Inputs &amp; Assumptions'!$U$33*EXP('Model Inputs &amp; Assumptions'!$V$33*Q2951-'Model Inputs &amp; Assumptions'!$V$33^2/2))</f>
        <v>0</v>
      </c>
      <c r="E2951" s="45" t="n">
        <f aca="false">ROUND(C2951*D2951,0)</f>
        <v>0</v>
      </c>
      <c r="F2951" s="47" t="n">
        <f aca="false">MIN(1,'Model Inputs &amp; Assumptions'!$W$33*EXP('Model Inputs &amp; Assumptions'!$X$33*R2951-'Model Inputs &amp; Assumptions'!$X$33^2/2))</f>
        <v>0.00232852255175995</v>
      </c>
      <c r="G2951" s="45" t="n">
        <f aca="false">ROUND(C2951*F2951,0)</f>
        <v>1842</v>
      </c>
      <c r="H2951" s="48" t="n">
        <f aca="false">MAX(0,(C2951*'Model Inputs &amp; Assumptions'!$N$33+E2951*'Model Inputs &amp; Assumptions'!$O$33+G2951*'Model Inputs &amp; Assumptions'!$P$33)*EXP('Model Inputs &amp; Assumptions'!$Q$33*S2951-'Model Inputs &amp; Assumptions'!$Q$33^2/2))</f>
        <v>86.592063256974</v>
      </c>
      <c r="I2951" s="49" t="n">
        <f aca="false">IF('Model Inputs &amp; Assumptions'!$H$33="Fixed",'Model Inputs &amp; Assumptions'!$I$33*'Model Inputs &amp; Assumptions'!$K$33,IF('Model Inputs &amp; Assumptions'!$H$33="CPM",'Model Inputs &amp; Assumptions'!$I$33*'Model Inputs &amp; Assumptions'!$K$33*C2951/1000,IF('Model Inputs &amp; Assumptions'!$H$33="CPC",'Model Inputs &amp; Assumptions'!$I$33*'Model Inputs &amp; Assumptions'!$K$33*G2951,0)))</f>
        <v>25000</v>
      </c>
      <c r="J2951" s="50" t="n">
        <f aca="false">H2951*INDEX('Model Inputs &amp; Assumptions'!$D$40:$D$42,MATCH('Model Inputs &amp; Assumptions'!$L$33,'Model Inputs &amp; Assumptions'!$A$40:$A$42,0))*INDEX('Model Inputs &amp; Assumptions'!$H$40:$H$42,MATCH('Model Inputs &amp; Assumptions'!$L$33,'Model Inputs &amp; Assumptions'!$A$40:$A$42,0))</f>
        <v>467597.141587659</v>
      </c>
      <c r="K2951" s="49" t="n">
        <f aca="false">H2951*INDEX('Model Inputs &amp; Assumptions'!$G$40:$G$42,MATCH('Model Inputs &amp; Assumptions'!$L$33,'Model Inputs &amp; Assumptions'!$A$40:$A$42,0))*INDEX('Model Inputs &amp; Assumptions'!$H$40:$H$42,MATCH('Model Inputs &amp; Assumptions'!$L$33,'Model Inputs &amp; Assumptions'!$A$40:$A$42,0))</f>
        <v>9819.53997334085</v>
      </c>
      <c r="L2951" s="51" t="n">
        <f aca="false">IFERROR(K2951/I2951,0)</f>
        <v>0.392781598933634</v>
      </c>
      <c r="M2951" s="49" t="n">
        <f aca="false">IFERROR(I2951/H2951,0)</f>
        <v>288.710062558609</v>
      </c>
      <c r="N2951" s="52" t="str">
        <f aca="false">'Model Inputs &amp; Assumptions'!$L$33</f>
        <v>PRD-SP01</v>
      </c>
      <c r="P2951" s="53" t="n">
        <v>-1.239039</v>
      </c>
      <c r="Q2951" s="53" t="n">
        <v>0.888073</v>
      </c>
      <c r="R2951" s="53" t="n">
        <v>-1.20843</v>
      </c>
      <c r="S2951" s="53" t="n">
        <v>-0.420632</v>
      </c>
    </row>
    <row r="2952" customFormat="false" ht="15" hidden="false" customHeight="false" outlineLevel="0" collapsed="false">
      <c r="A2952" s="43" t="n">
        <v>449</v>
      </c>
      <c r="B2952" s="44" t="str">
        <f aca="false">'Model Inputs &amp; Assumptions'!$B$33</f>
        <v>Trade Republic — Savings Plan Push</v>
      </c>
      <c r="C2952" s="45" t="n">
        <f aca="false">ROUND(MAX(0,'Model Inputs &amp; Assumptions'!$S$33*EXP('Model Inputs &amp; Assumptions'!$T$33*P2952-'Model Inputs &amp; Assumptions'!$T$33^2/2)),0)</f>
        <v>976561</v>
      </c>
      <c r="D2952" s="46" t="n">
        <f aca="false">MIN(1,'Model Inputs &amp; Assumptions'!$U$33*EXP('Model Inputs &amp; Assumptions'!$V$33*Q2952-'Model Inputs &amp; Assumptions'!$V$33^2/2))</f>
        <v>0</v>
      </c>
      <c r="E2952" s="45" t="n">
        <f aca="false">ROUND(C2952*D2952,0)</f>
        <v>0</v>
      </c>
      <c r="F2952" s="47" t="n">
        <f aca="false">MIN(1,'Model Inputs &amp; Assumptions'!$W$33*EXP('Model Inputs &amp; Assumptions'!$X$33*R2952-'Model Inputs &amp; Assumptions'!$X$33^2/2))</f>
        <v>0.00321455221642703</v>
      </c>
      <c r="G2952" s="45" t="n">
        <f aca="false">ROUND(C2952*F2952,0)</f>
        <v>3139</v>
      </c>
      <c r="H2952" s="48" t="n">
        <f aca="false">MAX(0,(C2952*'Model Inputs &amp; Assumptions'!$N$33+E2952*'Model Inputs &amp; Assumptions'!$O$33+G2952*'Model Inputs &amp; Assumptions'!$P$33)*EXP('Model Inputs &amp; Assumptions'!$Q$33*S2952-'Model Inputs &amp; Assumptions'!$Q$33^2/2))</f>
        <v>154.366620090189</v>
      </c>
      <c r="I2952" s="49" t="n">
        <f aca="false">IF('Model Inputs &amp; Assumptions'!$H$33="Fixed",'Model Inputs &amp; Assumptions'!$I$33*'Model Inputs &amp; Assumptions'!$K$33,IF('Model Inputs &amp; Assumptions'!$H$33="CPM",'Model Inputs &amp; Assumptions'!$I$33*'Model Inputs &amp; Assumptions'!$K$33*C2952/1000,IF('Model Inputs &amp; Assumptions'!$H$33="CPC",'Model Inputs &amp; Assumptions'!$I$33*'Model Inputs &amp; Assumptions'!$K$33*G2952,0)))</f>
        <v>25000</v>
      </c>
      <c r="J2952" s="50" t="n">
        <f aca="false">H2952*INDEX('Model Inputs &amp; Assumptions'!$D$40:$D$42,MATCH('Model Inputs &amp; Assumptions'!$L$33,'Model Inputs &amp; Assumptions'!$A$40:$A$42,0))*INDEX('Model Inputs &amp; Assumptions'!$H$40:$H$42,MATCH('Model Inputs &amp; Assumptions'!$L$33,'Model Inputs &amp; Assumptions'!$A$40:$A$42,0))</f>
        <v>833579.748487021</v>
      </c>
      <c r="K2952" s="49" t="n">
        <f aca="false">H2952*INDEX('Model Inputs &amp; Assumptions'!$G$40:$G$42,MATCH('Model Inputs &amp; Assumptions'!$L$33,'Model Inputs &amp; Assumptions'!$A$40:$A$42,0))*INDEX('Model Inputs &amp; Assumptions'!$H$40:$H$42,MATCH('Model Inputs &amp; Assumptions'!$L$33,'Model Inputs &amp; Assumptions'!$A$40:$A$42,0))</f>
        <v>17505.1747182274</v>
      </c>
      <c r="L2952" s="51" t="n">
        <f aca="false">IFERROR(K2952/I2952,0)</f>
        <v>0.700206988729098</v>
      </c>
      <c r="M2952" s="49" t="n">
        <f aca="false">IFERROR(I2952/H2952,0)</f>
        <v>161.952111054797</v>
      </c>
      <c r="N2952" s="52" t="str">
        <f aca="false">'Model Inputs &amp; Assumptions'!$L$33</f>
        <v>PRD-SP01</v>
      </c>
      <c r="P2952" s="53" t="n">
        <v>-0.536799</v>
      </c>
      <c r="Q2952" s="53" t="n">
        <v>1.641719</v>
      </c>
      <c r="R2952" s="53" t="n">
        <v>-0.133583</v>
      </c>
      <c r="S2952" s="53" t="n">
        <v>-0.259668</v>
      </c>
    </row>
    <row r="2953" customFormat="false" ht="15" hidden="false" customHeight="false" outlineLevel="0" collapsed="false">
      <c r="A2953" s="43" t="n">
        <v>450</v>
      </c>
      <c r="B2953" s="44" t="str">
        <f aca="false">'Model Inputs &amp; Assumptions'!$B$33</f>
        <v>Trade Republic — Savings Plan Push</v>
      </c>
      <c r="C2953" s="45" t="n">
        <f aca="false">ROUND(MAX(0,'Model Inputs &amp; Assumptions'!$S$33*EXP('Model Inputs &amp; Assumptions'!$T$33*P2953-'Model Inputs &amp; Assumptions'!$T$33^2/2)),0)</f>
        <v>1198695</v>
      </c>
      <c r="D2953" s="46" t="n">
        <f aca="false">MIN(1,'Model Inputs &amp; Assumptions'!$U$33*EXP('Model Inputs &amp; Assumptions'!$V$33*Q2953-'Model Inputs &amp; Assumptions'!$V$33^2/2))</f>
        <v>0</v>
      </c>
      <c r="E2953" s="45" t="n">
        <f aca="false">ROUND(C2953*D2953,0)</f>
        <v>0</v>
      </c>
      <c r="F2953" s="47" t="n">
        <f aca="false">MIN(1,'Model Inputs &amp; Assumptions'!$W$33*EXP('Model Inputs &amp; Assumptions'!$X$33*R2953-'Model Inputs &amp; Assumptions'!$X$33^2/2))</f>
        <v>0.00476638887294031</v>
      </c>
      <c r="G2953" s="45" t="n">
        <f aca="false">ROUND(C2953*F2953,0)</f>
        <v>5713</v>
      </c>
      <c r="H2953" s="48" t="n">
        <f aca="false">MAX(0,(C2953*'Model Inputs &amp; Assumptions'!$N$33+E2953*'Model Inputs &amp; Assumptions'!$O$33+G2953*'Model Inputs &amp; Assumptions'!$P$33)*EXP('Model Inputs &amp; Assumptions'!$Q$33*S2953-'Model Inputs &amp; Assumptions'!$Q$33^2/2))</f>
        <v>291.889499703653</v>
      </c>
      <c r="I2953" s="49" t="n">
        <f aca="false">IF('Model Inputs &amp; Assumptions'!$H$33="Fixed",'Model Inputs &amp; Assumptions'!$I$33*'Model Inputs &amp; Assumptions'!$K$33,IF('Model Inputs &amp; Assumptions'!$H$33="CPM",'Model Inputs &amp; Assumptions'!$I$33*'Model Inputs &amp; Assumptions'!$K$33*C2953/1000,IF('Model Inputs &amp; Assumptions'!$H$33="CPC",'Model Inputs &amp; Assumptions'!$I$33*'Model Inputs &amp; Assumptions'!$K$33*G2953,0)))</f>
        <v>25000</v>
      </c>
      <c r="J2953" s="50" t="n">
        <f aca="false">H2953*INDEX('Model Inputs &amp; Assumptions'!$D$40:$D$42,MATCH('Model Inputs &amp; Assumptions'!$L$33,'Model Inputs &amp; Assumptions'!$A$40:$A$42,0))*INDEX('Model Inputs &amp; Assumptions'!$H$40:$H$42,MATCH('Model Inputs &amp; Assumptions'!$L$33,'Model Inputs &amp; Assumptions'!$A$40:$A$42,0))</f>
        <v>1576203.29839973</v>
      </c>
      <c r="K2953" s="49" t="n">
        <f aca="false">H2953*INDEX('Model Inputs &amp; Assumptions'!$G$40:$G$42,MATCH('Model Inputs &amp; Assumptions'!$L$33,'Model Inputs &amp; Assumptions'!$A$40:$A$42,0))*INDEX('Model Inputs &amp; Assumptions'!$H$40:$H$42,MATCH('Model Inputs &amp; Assumptions'!$L$33,'Model Inputs &amp; Assumptions'!$A$40:$A$42,0))</f>
        <v>33100.2692663942</v>
      </c>
      <c r="L2953" s="51" t="n">
        <f aca="false">IFERROR(K2953/I2953,0)</f>
        <v>1.32401077065577</v>
      </c>
      <c r="M2953" s="49" t="n">
        <f aca="false">IFERROR(I2953/H2953,0)</f>
        <v>85.648850079848</v>
      </c>
      <c r="N2953" s="52" t="str">
        <f aca="false">'Model Inputs &amp; Assumptions'!$L$33</f>
        <v>PRD-SP01</v>
      </c>
      <c r="P2953" s="53" t="n">
        <v>0.146374</v>
      </c>
      <c r="Q2953" s="53" t="n">
        <v>1.127689</v>
      </c>
      <c r="R2953" s="53" t="n">
        <v>1.17942</v>
      </c>
      <c r="S2953" s="53" t="n">
        <v>-0.123222</v>
      </c>
    </row>
    <row r="2954" customFormat="false" ht="15" hidden="false" customHeight="false" outlineLevel="0" collapsed="false">
      <c r="A2954" s="43" t="n">
        <v>451</v>
      </c>
      <c r="B2954" s="44" t="str">
        <f aca="false">'Model Inputs &amp; Assumptions'!$B$33</f>
        <v>Trade Republic — Savings Plan Push</v>
      </c>
      <c r="C2954" s="45" t="n">
        <f aca="false">ROUND(MAX(0,'Model Inputs &amp; Assumptions'!$S$33*EXP('Model Inputs &amp; Assumptions'!$T$33*P2954-'Model Inputs &amp; Assumptions'!$T$33^2/2)),0)</f>
        <v>1101023</v>
      </c>
      <c r="D2954" s="46" t="n">
        <f aca="false">MIN(1,'Model Inputs &amp; Assumptions'!$U$33*EXP('Model Inputs &amp; Assumptions'!$V$33*Q2954-'Model Inputs &amp; Assumptions'!$V$33^2/2))</f>
        <v>0</v>
      </c>
      <c r="E2954" s="45" t="n">
        <f aca="false">ROUND(C2954*D2954,0)</f>
        <v>0</v>
      </c>
      <c r="F2954" s="47" t="n">
        <f aca="false">MIN(1,'Model Inputs &amp; Assumptions'!$W$33*EXP('Model Inputs &amp; Assumptions'!$X$33*R2954-'Model Inputs &amp; Assumptions'!$X$33^2/2))</f>
        <v>0.00395372221653354</v>
      </c>
      <c r="G2954" s="45" t="n">
        <f aca="false">ROUND(C2954*F2954,0)</f>
        <v>4353</v>
      </c>
      <c r="H2954" s="48" t="n">
        <f aca="false">MAX(0,(C2954*'Model Inputs &amp; Assumptions'!$N$33+E2954*'Model Inputs &amp; Assumptions'!$O$33+G2954*'Model Inputs &amp; Assumptions'!$P$33)*EXP('Model Inputs &amp; Assumptions'!$Q$33*S2954-'Model Inputs &amp; Assumptions'!$Q$33^2/2))</f>
        <v>266.11198270462</v>
      </c>
      <c r="I2954" s="49" t="n">
        <f aca="false">IF('Model Inputs &amp; Assumptions'!$H$33="Fixed",'Model Inputs &amp; Assumptions'!$I$33*'Model Inputs &amp; Assumptions'!$K$33,IF('Model Inputs &amp; Assumptions'!$H$33="CPM",'Model Inputs &amp; Assumptions'!$I$33*'Model Inputs &amp; Assumptions'!$K$33*C2954/1000,IF('Model Inputs &amp; Assumptions'!$H$33="CPC",'Model Inputs &amp; Assumptions'!$I$33*'Model Inputs &amp; Assumptions'!$K$33*G2954,0)))</f>
        <v>25000</v>
      </c>
      <c r="J2954" s="50" t="n">
        <f aca="false">H2954*INDEX('Model Inputs &amp; Assumptions'!$D$40:$D$42,MATCH('Model Inputs &amp; Assumptions'!$L$33,'Model Inputs &amp; Assumptions'!$A$40:$A$42,0))*INDEX('Model Inputs &amp; Assumptions'!$H$40:$H$42,MATCH('Model Inputs &amp; Assumptions'!$L$33,'Model Inputs &amp; Assumptions'!$A$40:$A$42,0))</f>
        <v>1437004.70660495</v>
      </c>
      <c r="K2954" s="49" t="n">
        <f aca="false">H2954*INDEX('Model Inputs &amp; Assumptions'!$G$40:$G$42,MATCH('Model Inputs &amp; Assumptions'!$L$33,'Model Inputs &amp; Assumptions'!$A$40:$A$42,0))*INDEX('Model Inputs &amp; Assumptions'!$H$40:$H$42,MATCH('Model Inputs &amp; Assumptions'!$L$33,'Model Inputs &amp; Assumptions'!$A$40:$A$42,0))</f>
        <v>30177.0988387039</v>
      </c>
      <c r="L2954" s="51" t="n">
        <f aca="false">IFERROR(K2954/I2954,0)</f>
        <v>1.20708395354816</v>
      </c>
      <c r="M2954" s="49" t="n">
        <f aca="false">IFERROR(I2954/H2954,0)</f>
        <v>93.9454125511875</v>
      </c>
      <c r="N2954" s="52" t="str">
        <f aca="false">'Model Inputs &amp; Assumptions'!$L$33</f>
        <v>PRD-SP01</v>
      </c>
      <c r="P2954" s="53" t="n">
        <v>-0.13694</v>
      </c>
      <c r="Q2954" s="53" t="n">
        <v>-0.011811</v>
      </c>
      <c r="R2954" s="53" t="n">
        <v>0.556315</v>
      </c>
      <c r="S2954" s="53" t="n">
        <v>0.517567</v>
      </c>
    </row>
    <row r="2955" customFormat="false" ht="15" hidden="false" customHeight="false" outlineLevel="0" collapsed="false">
      <c r="A2955" s="43" t="n">
        <v>452</v>
      </c>
      <c r="B2955" s="44" t="str">
        <f aca="false">'Model Inputs &amp; Assumptions'!$B$33</f>
        <v>Trade Republic — Savings Plan Push</v>
      </c>
      <c r="C2955" s="45" t="n">
        <f aca="false">ROUND(MAX(0,'Model Inputs &amp; Assumptions'!$S$33*EXP('Model Inputs &amp; Assumptions'!$T$33*P2955-'Model Inputs &amp; Assumptions'!$T$33^2/2)),0)</f>
        <v>563662</v>
      </c>
      <c r="D2955" s="46" t="n">
        <f aca="false">MIN(1,'Model Inputs &amp; Assumptions'!$U$33*EXP('Model Inputs &amp; Assumptions'!$V$33*Q2955-'Model Inputs &amp; Assumptions'!$V$33^2/2))</f>
        <v>0</v>
      </c>
      <c r="E2955" s="45" t="n">
        <f aca="false">ROUND(C2955*D2955,0)</f>
        <v>0</v>
      </c>
      <c r="F2955" s="47" t="n">
        <f aca="false">MIN(1,'Model Inputs &amp; Assumptions'!$W$33*EXP('Model Inputs &amp; Assumptions'!$X$33*R2955-'Model Inputs &amp; Assumptions'!$X$33^2/2))</f>
        <v>0.00164015207877196</v>
      </c>
      <c r="G2955" s="45" t="n">
        <f aca="false">ROUND(C2955*F2955,0)</f>
        <v>924</v>
      </c>
      <c r="H2955" s="48" t="n">
        <f aca="false">MAX(0,(C2955*'Model Inputs &amp; Assumptions'!$N$33+E2955*'Model Inputs &amp; Assumptions'!$O$33+G2955*'Model Inputs &amp; Assumptions'!$P$33)*EXP('Model Inputs &amp; Assumptions'!$Q$33*S2955-'Model Inputs &amp; Assumptions'!$Q$33^2/2))</f>
        <v>37.7736397366641</v>
      </c>
      <c r="I2955" s="49" t="n">
        <f aca="false">IF('Model Inputs &amp; Assumptions'!$H$33="Fixed",'Model Inputs &amp; Assumptions'!$I$33*'Model Inputs &amp; Assumptions'!$K$33,IF('Model Inputs &amp; Assumptions'!$H$33="CPM",'Model Inputs &amp; Assumptions'!$I$33*'Model Inputs &amp; Assumptions'!$K$33*C2955/1000,IF('Model Inputs &amp; Assumptions'!$H$33="CPC",'Model Inputs &amp; Assumptions'!$I$33*'Model Inputs &amp; Assumptions'!$K$33*G2955,0)))</f>
        <v>25000</v>
      </c>
      <c r="J2955" s="50" t="n">
        <f aca="false">H2955*INDEX('Model Inputs &amp; Assumptions'!$D$40:$D$42,MATCH('Model Inputs &amp; Assumptions'!$L$33,'Model Inputs &amp; Assumptions'!$A$40:$A$42,0))*INDEX('Model Inputs &amp; Assumptions'!$H$40:$H$42,MATCH('Model Inputs &amp; Assumptions'!$L$33,'Model Inputs &amp; Assumptions'!$A$40:$A$42,0))</f>
        <v>203977.654577986</v>
      </c>
      <c r="K2955" s="49" t="n">
        <f aca="false">H2955*INDEX('Model Inputs &amp; Assumptions'!$G$40:$G$42,MATCH('Model Inputs &amp; Assumptions'!$L$33,'Model Inputs &amp; Assumptions'!$A$40:$A$42,0))*INDEX('Model Inputs &amp; Assumptions'!$H$40:$H$42,MATCH('Model Inputs &amp; Assumptions'!$L$33,'Model Inputs &amp; Assumptions'!$A$40:$A$42,0))</f>
        <v>4283.5307461377</v>
      </c>
      <c r="L2955" s="51" t="n">
        <f aca="false">IFERROR(K2955/I2955,0)</f>
        <v>0.171341229845508</v>
      </c>
      <c r="M2955" s="49" t="n">
        <f aca="false">IFERROR(I2955/H2955,0)</f>
        <v>661.837201135118</v>
      </c>
      <c r="N2955" s="52" t="str">
        <f aca="false">'Model Inputs &amp; Assumptions'!$L$33</f>
        <v>PRD-SP01</v>
      </c>
      <c r="P2955" s="53" t="n">
        <v>-2.368743</v>
      </c>
      <c r="Q2955" s="53" t="n">
        <v>0.04579</v>
      </c>
      <c r="R2955" s="53" t="n">
        <v>-2.37658</v>
      </c>
      <c r="S2955" s="53" t="n">
        <v>-0.919566</v>
      </c>
    </row>
    <row r="2956" customFormat="false" ht="15" hidden="false" customHeight="false" outlineLevel="0" collapsed="false">
      <c r="A2956" s="43" t="n">
        <v>453</v>
      </c>
      <c r="B2956" s="44" t="str">
        <f aca="false">'Model Inputs &amp; Assumptions'!$B$33</f>
        <v>Trade Republic — Savings Plan Push</v>
      </c>
      <c r="C2956" s="45" t="n">
        <f aca="false">ROUND(MAX(0,'Model Inputs &amp; Assumptions'!$S$33*EXP('Model Inputs &amp; Assumptions'!$T$33*P2956-'Model Inputs &amp; Assumptions'!$T$33^2/2)),0)</f>
        <v>889828</v>
      </c>
      <c r="D2956" s="46" t="n">
        <f aca="false">MIN(1,'Model Inputs &amp; Assumptions'!$U$33*EXP('Model Inputs &amp; Assumptions'!$V$33*Q2956-'Model Inputs &amp; Assumptions'!$V$33^2/2))</f>
        <v>0</v>
      </c>
      <c r="E2956" s="45" t="n">
        <f aca="false">ROUND(C2956*D2956,0)</f>
        <v>0</v>
      </c>
      <c r="F2956" s="47" t="n">
        <f aca="false">MIN(1,'Model Inputs &amp; Assumptions'!$W$33*EXP('Model Inputs &amp; Assumptions'!$X$33*R2956-'Model Inputs &amp; Assumptions'!$X$33^2/2))</f>
        <v>0.00374719053486245</v>
      </c>
      <c r="G2956" s="45" t="n">
        <f aca="false">ROUND(C2956*F2956,0)</f>
        <v>3334</v>
      </c>
      <c r="H2956" s="48" t="n">
        <f aca="false">MAX(0,(C2956*'Model Inputs &amp; Assumptions'!$N$33+E2956*'Model Inputs &amp; Assumptions'!$O$33+G2956*'Model Inputs &amp; Assumptions'!$P$33)*EXP('Model Inputs &amp; Assumptions'!$Q$33*S2956-'Model Inputs &amp; Assumptions'!$Q$33^2/2))</f>
        <v>98.5384324820233</v>
      </c>
      <c r="I2956" s="49" t="n">
        <f aca="false">IF('Model Inputs &amp; Assumptions'!$H$33="Fixed",'Model Inputs &amp; Assumptions'!$I$33*'Model Inputs &amp; Assumptions'!$K$33,IF('Model Inputs &amp; Assumptions'!$H$33="CPM",'Model Inputs &amp; Assumptions'!$I$33*'Model Inputs &amp; Assumptions'!$K$33*C2956/1000,IF('Model Inputs &amp; Assumptions'!$H$33="CPC",'Model Inputs &amp; Assumptions'!$I$33*'Model Inputs &amp; Assumptions'!$K$33*G2956,0)))</f>
        <v>25000</v>
      </c>
      <c r="J2956" s="50" t="n">
        <f aca="false">H2956*INDEX('Model Inputs &amp; Assumptions'!$D$40:$D$42,MATCH('Model Inputs &amp; Assumptions'!$L$33,'Model Inputs &amp; Assumptions'!$A$40:$A$42,0))*INDEX('Model Inputs &amp; Assumptions'!$H$40:$H$42,MATCH('Model Inputs &amp; Assumptions'!$L$33,'Model Inputs &amp; Assumptions'!$A$40:$A$42,0))</f>
        <v>532107.535402926</v>
      </c>
      <c r="K2956" s="49" t="n">
        <f aca="false">H2956*INDEX('Model Inputs &amp; Assumptions'!$G$40:$G$42,MATCH('Model Inputs &amp; Assumptions'!$L$33,'Model Inputs &amp; Assumptions'!$A$40:$A$42,0))*INDEX('Model Inputs &amp; Assumptions'!$H$40:$H$42,MATCH('Model Inputs &amp; Assumptions'!$L$33,'Model Inputs &amp; Assumptions'!$A$40:$A$42,0))</f>
        <v>11174.2582434614</v>
      </c>
      <c r="L2956" s="51" t="n">
        <f aca="false">IFERROR(K2956/I2956,0)</f>
        <v>0.446970329738458</v>
      </c>
      <c r="M2956" s="49" t="n">
        <f aca="false">IFERROR(I2956/H2956,0)</f>
        <v>253.708115405234</v>
      </c>
      <c r="N2956" s="52" t="str">
        <f aca="false">'Model Inputs &amp; Assumptions'!$L$33</f>
        <v>PRD-SP01</v>
      </c>
      <c r="P2956" s="53" t="n">
        <v>-0.846828</v>
      </c>
      <c r="Q2956" s="53" t="n">
        <v>-0.068856</v>
      </c>
      <c r="R2956" s="53" t="n">
        <v>0.377478</v>
      </c>
      <c r="S2956" s="53" t="n">
        <v>-2.078069</v>
      </c>
    </row>
    <row r="2957" customFormat="false" ht="15" hidden="false" customHeight="false" outlineLevel="0" collapsed="false">
      <c r="A2957" s="43" t="n">
        <v>454</v>
      </c>
      <c r="B2957" s="44" t="str">
        <f aca="false">'Model Inputs &amp; Assumptions'!$B$33</f>
        <v>Trade Republic — Savings Plan Push</v>
      </c>
      <c r="C2957" s="45" t="n">
        <f aca="false">ROUND(MAX(0,'Model Inputs &amp; Assumptions'!$S$33*EXP('Model Inputs &amp; Assumptions'!$T$33*P2957-'Model Inputs &amp; Assumptions'!$T$33^2/2)),0)</f>
        <v>1137904</v>
      </c>
      <c r="D2957" s="46" t="n">
        <f aca="false">MIN(1,'Model Inputs &amp; Assumptions'!$U$33*EXP('Model Inputs &amp; Assumptions'!$V$33*Q2957-'Model Inputs &amp; Assumptions'!$V$33^2/2))</f>
        <v>0</v>
      </c>
      <c r="E2957" s="45" t="n">
        <f aca="false">ROUND(C2957*D2957,0)</f>
        <v>0</v>
      </c>
      <c r="F2957" s="47" t="n">
        <f aca="false">MIN(1,'Model Inputs &amp; Assumptions'!$W$33*EXP('Model Inputs &amp; Assumptions'!$X$33*R2957-'Model Inputs &amp; Assumptions'!$X$33^2/2))</f>
        <v>0.00428869962165705</v>
      </c>
      <c r="G2957" s="45" t="n">
        <f aca="false">ROUND(C2957*F2957,0)</f>
        <v>4880</v>
      </c>
      <c r="H2957" s="48" t="n">
        <f aca="false">MAX(0,(C2957*'Model Inputs &amp; Assumptions'!$N$33+E2957*'Model Inputs &amp; Assumptions'!$O$33+G2957*'Model Inputs &amp; Assumptions'!$P$33)*EXP('Model Inputs &amp; Assumptions'!$Q$33*S2957-'Model Inputs &amp; Assumptions'!$Q$33^2/2))</f>
        <v>261.361776680278</v>
      </c>
      <c r="I2957" s="49" t="n">
        <f aca="false">IF('Model Inputs &amp; Assumptions'!$H$33="Fixed",'Model Inputs &amp; Assumptions'!$I$33*'Model Inputs &amp; Assumptions'!$K$33,IF('Model Inputs &amp; Assumptions'!$H$33="CPM",'Model Inputs &amp; Assumptions'!$I$33*'Model Inputs &amp; Assumptions'!$K$33*C2957/1000,IF('Model Inputs &amp; Assumptions'!$H$33="CPC",'Model Inputs &amp; Assumptions'!$I$33*'Model Inputs &amp; Assumptions'!$K$33*G2957,0)))</f>
        <v>25000</v>
      </c>
      <c r="J2957" s="50" t="n">
        <f aca="false">H2957*INDEX('Model Inputs &amp; Assumptions'!$D$40:$D$42,MATCH('Model Inputs &amp; Assumptions'!$L$33,'Model Inputs &amp; Assumptions'!$A$40:$A$42,0))*INDEX('Model Inputs &amp; Assumptions'!$H$40:$H$42,MATCH('Model Inputs &amp; Assumptions'!$L$33,'Model Inputs &amp; Assumptions'!$A$40:$A$42,0))</f>
        <v>1411353.5940735</v>
      </c>
      <c r="K2957" s="49" t="n">
        <f aca="false">H2957*INDEX('Model Inputs &amp; Assumptions'!$G$40:$G$42,MATCH('Model Inputs &amp; Assumptions'!$L$33,'Model Inputs &amp; Assumptions'!$A$40:$A$42,0))*INDEX('Model Inputs &amp; Assumptions'!$H$40:$H$42,MATCH('Model Inputs &amp; Assumptions'!$L$33,'Model Inputs &amp; Assumptions'!$A$40:$A$42,0))</f>
        <v>29638.4254755436</v>
      </c>
      <c r="L2957" s="51" t="n">
        <f aca="false">IFERROR(K2957/I2957,0)</f>
        <v>1.18553701902174</v>
      </c>
      <c r="M2957" s="49" t="n">
        <f aca="false">IFERROR(I2957/H2957,0)</f>
        <v>95.6528545127786</v>
      </c>
      <c r="N2957" s="52" t="str">
        <f aca="false">'Model Inputs &amp; Assumptions'!$L$33</f>
        <v>PRD-SP01</v>
      </c>
      <c r="P2957" s="53" t="n">
        <v>-0.027112</v>
      </c>
      <c r="Q2957" s="53" t="n">
        <v>1.587446</v>
      </c>
      <c r="R2957" s="53" t="n">
        <v>0.827402</v>
      </c>
      <c r="S2957" s="53" t="n">
        <v>0.045097</v>
      </c>
    </row>
    <row r="2958" customFormat="false" ht="15" hidden="false" customHeight="false" outlineLevel="0" collapsed="false">
      <c r="A2958" s="43" t="n">
        <v>455</v>
      </c>
      <c r="B2958" s="44" t="str">
        <f aca="false">'Model Inputs &amp; Assumptions'!$B$33</f>
        <v>Trade Republic — Savings Plan Push</v>
      </c>
      <c r="C2958" s="45" t="n">
        <f aca="false">ROUND(MAX(0,'Model Inputs &amp; Assumptions'!$S$33*EXP('Model Inputs &amp; Assumptions'!$T$33*P2958-'Model Inputs &amp; Assumptions'!$T$33^2/2)),0)</f>
        <v>1997694</v>
      </c>
      <c r="D2958" s="46" t="n">
        <f aca="false">MIN(1,'Model Inputs &amp; Assumptions'!$U$33*EXP('Model Inputs &amp; Assumptions'!$V$33*Q2958-'Model Inputs &amp; Assumptions'!$V$33^2/2))</f>
        <v>0</v>
      </c>
      <c r="E2958" s="45" t="n">
        <f aca="false">ROUND(C2958*D2958,0)</f>
        <v>0</v>
      </c>
      <c r="F2958" s="47" t="n">
        <f aca="false">MIN(1,'Model Inputs &amp; Assumptions'!$W$33*EXP('Model Inputs &amp; Assumptions'!$X$33*R2958-'Model Inputs &amp; Assumptions'!$X$33^2/2))</f>
        <v>0.0049524518069855</v>
      </c>
      <c r="G2958" s="45" t="n">
        <f aca="false">ROUND(C2958*F2958,0)</f>
        <v>9893</v>
      </c>
      <c r="H2958" s="48" t="n">
        <f aca="false">MAX(0,(C2958*'Model Inputs &amp; Assumptions'!$N$33+E2958*'Model Inputs &amp; Assumptions'!$O$33+G2958*'Model Inputs &amp; Assumptions'!$P$33)*EXP('Model Inputs &amp; Assumptions'!$Q$33*S2958-'Model Inputs &amp; Assumptions'!$Q$33^2/2))</f>
        <v>288.303395308682</v>
      </c>
      <c r="I2958" s="49" t="n">
        <f aca="false">IF('Model Inputs &amp; Assumptions'!$H$33="Fixed",'Model Inputs &amp; Assumptions'!$I$33*'Model Inputs &amp; Assumptions'!$K$33,IF('Model Inputs &amp; Assumptions'!$H$33="CPM",'Model Inputs &amp; Assumptions'!$I$33*'Model Inputs &amp; Assumptions'!$K$33*C2958/1000,IF('Model Inputs &amp; Assumptions'!$H$33="CPC",'Model Inputs &amp; Assumptions'!$I$33*'Model Inputs &amp; Assumptions'!$K$33*G2958,0)))</f>
        <v>25000</v>
      </c>
      <c r="J2958" s="50" t="n">
        <f aca="false">H2958*INDEX('Model Inputs &amp; Assumptions'!$D$40:$D$42,MATCH('Model Inputs &amp; Assumptions'!$L$33,'Model Inputs &amp; Assumptions'!$A$40:$A$42,0))*INDEX('Model Inputs &amp; Assumptions'!$H$40:$H$42,MATCH('Model Inputs &amp; Assumptions'!$L$33,'Model Inputs &amp; Assumptions'!$A$40:$A$42,0))</f>
        <v>1556838.33466688</v>
      </c>
      <c r="K2958" s="49" t="n">
        <f aca="false">H2958*INDEX('Model Inputs &amp; Assumptions'!$G$40:$G$42,MATCH('Model Inputs &amp; Assumptions'!$L$33,'Model Inputs &amp; Assumptions'!$A$40:$A$42,0))*INDEX('Model Inputs &amp; Assumptions'!$H$40:$H$42,MATCH('Model Inputs &amp; Assumptions'!$L$33,'Model Inputs &amp; Assumptions'!$A$40:$A$42,0))</f>
        <v>32693.6050280045</v>
      </c>
      <c r="L2958" s="51" t="n">
        <f aca="false">IFERROR(K2958/I2958,0)</f>
        <v>1.30774420112018</v>
      </c>
      <c r="M2958" s="49" t="n">
        <f aca="false">IFERROR(I2958/H2958,0)</f>
        <v>86.7142059608175</v>
      </c>
      <c r="N2958" s="52" t="str">
        <f aca="false">'Model Inputs &amp; Assumptions'!$L$33</f>
        <v>PRD-SP01</v>
      </c>
      <c r="P2958" s="53" t="n">
        <v>1.848907</v>
      </c>
      <c r="Q2958" s="53" t="n">
        <v>-0.385761</v>
      </c>
      <c r="R2958" s="53" t="n">
        <v>1.307066</v>
      </c>
      <c r="S2958" s="53" t="n">
        <v>-2.128383</v>
      </c>
    </row>
    <row r="2959" customFormat="false" ht="15" hidden="false" customHeight="false" outlineLevel="0" collapsed="false">
      <c r="A2959" s="43" t="n">
        <v>456</v>
      </c>
      <c r="B2959" s="44" t="str">
        <f aca="false">'Model Inputs &amp; Assumptions'!$B$33</f>
        <v>Trade Republic — Savings Plan Push</v>
      </c>
      <c r="C2959" s="45" t="n">
        <f aca="false">ROUND(MAX(0,'Model Inputs &amp; Assumptions'!$S$33*EXP('Model Inputs &amp; Assumptions'!$T$33*P2959-'Model Inputs &amp; Assumptions'!$T$33^2/2)),0)</f>
        <v>1274540</v>
      </c>
      <c r="D2959" s="46" t="n">
        <f aca="false">MIN(1,'Model Inputs &amp; Assumptions'!$U$33*EXP('Model Inputs &amp; Assumptions'!$V$33*Q2959-'Model Inputs &amp; Assumptions'!$V$33^2/2))</f>
        <v>0</v>
      </c>
      <c r="E2959" s="45" t="n">
        <f aca="false">ROUND(C2959*D2959,0)</f>
        <v>0</v>
      </c>
      <c r="F2959" s="47" t="n">
        <f aca="false">MIN(1,'Model Inputs &amp; Assumptions'!$W$33*EXP('Model Inputs &amp; Assumptions'!$X$33*R2959-'Model Inputs &amp; Assumptions'!$X$33^2/2))</f>
        <v>0.00266623047696762</v>
      </c>
      <c r="G2959" s="45" t="n">
        <f aca="false">ROUND(C2959*F2959,0)</f>
        <v>3398</v>
      </c>
      <c r="H2959" s="48" t="n">
        <f aca="false">MAX(0,(C2959*'Model Inputs &amp; Assumptions'!$N$33+E2959*'Model Inputs &amp; Assumptions'!$O$33+G2959*'Model Inputs &amp; Assumptions'!$P$33)*EXP('Model Inputs &amp; Assumptions'!$Q$33*S2959-'Model Inputs &amp; Assumptions'!$Q$33^2/2))</f>
        <v>195.28713612977</v>
      </c>
      <c r="I2959" s="49" t="n">
        <f aca="false">IF('Model Inputs &amp; Assumptions'!$H$33="Fixed",'Model Inputs &amp; Assumptions'!$I$33*'Model Inputs &amp; Assumptions'!$K$33,IF('Model Inputs &amp; Assumptions'!$H$33="CPM",'Model Inputs &amp; Assumptions'!$I$33*'Model Inputs &amp; Assumptions'!$K$33*C2959/1000,IF('Model Inputs &amp; Assumptions'!$H$33="CPC",'Model Inputs &amp; Assumptions'!$I$33*'Model Inputs &amp; Assumptions'!$K$33*G2959,0)))</f>
        <v>25000</v>
      </c>
      <c r="J2959" s="50" t="n">
        <f aca="false">H2959*INDEX('Model Inputs &amp; Assumptions'!$D$40:$D$42,MATCH('Model Inputs &amp; Assumptions'!$L$33,'Model Inputs &amp; Assumptions'!$A$40:$A$42,0))*INDEX('Model Inputs &amp; Assumptions'!$H$40:$H$42,MATCH('Model Inputs &amp; Assumptions'!$L$33,'Model Inputs &amp; Assumptions'!$A$40:$A$42,0))</f>
        <v>1054550.53510076</v>
      </c>
      <c r="K2959" s="49" t="n">
        <f aca="false">H2959*INDEX('Model Inputs &amp; Assumptions'!$G$40:$G$42,MATCH('Model Inputs &amp; Assumptions'!$L$33,'Model Inputs &amp; Assumptions'!$A$40:$A$42,0))*INDEX('Model Inputs &amp; Assumptions'!$H$40:$H$42,MATCH('Model Inputs &amp; Assumptions'!$L$33,'Model Inputs &amp; Assumptions'!$A$40:$A$42,0))</f>
        <v>22145.5612371159</v>
      </c>
      <c r="L2959" s="51" t="n">
        <f aca="false">IFERROR(K2959/I2959,0)</f>
        <v>0.885822449484637</v>
      </c>
      <c r="M2959" s="49" t="n">
        <f aca="false">IFERROR(I2959/H2959,0)</f>
        <v>128.016624624918</v>
      </c>
      <c r="N2959" s="52" t="str">
        <f aca="false">'Model Inputs &amp; Assumptions'!$L$33</f>
        <v>PRD-SP01</v>
      </c>
      <c r="P2959" s="53" t="n">
        <v>0.350878</v>
      </c>
      <c r="Q2959" s="53" t="n">
        <v>-1.271384</v>
      </c>
      <c r="R2959" s="53" t="n">
        <v>-0.756991</v>
      </c>
      <c r="S2959" s="53" t="n">
        <v>0.296967</v>
      </c>
    </row>
    <row r="2960" customFormat="false" ht="15" hidden="false" customHeight="false" outlineLevel="0" collapsed="false">
      <c r="A2960" s="43" t="n">
        <v>457</v>
      </c>
      <c r="B2960" s="44" t="str">
        <f aca="false">'Model Inputs &amp; Assumptions'!$B$33</f>
        <v>Trade Republic — Savings Plan Push</v>
      </c>
      <c r="C2960" s="45" t="n">
        <f aca="false">ROUND(MAX(0,'Model Inputs &amp; Assumptions'!$S$33*EXP('Model Inputs &amp; Assumptions'!$T$33*P2960-'Model Inputs &amp; Assumptions'!$T$33^2/2)),0)</f>
        <v>1637847</v>
      </c>
      <c r="D2960" s="46" t="n">
        <f aca="false">MIN(1,'Model Inputs &amp; Assumptions'!$U$33*EXP('Model Inputs &amp; Assumptions'!$V$33*Q2960-'Model Inputs &amp; Assumptions'!$V$33^2/2))</f>
        <v>0</v>
      </c>
      <c r="E2960" s="45" t="n">
        <f aca="false">ROUND(C2960*D2960,0)</f>
        <v>0</v>
      </c>
      <c r="F2960" s="47" t="n">
        <f aca="false">MIN(1,'Model Inputs &amp; Assumptions'!$W$33*EXP('Model Inputs &amp; Assumptions'!$X$33*R2960-'Model Inputs &amp; Assumptions'!$X$33^2/2))</f>
        <v>0.00318972456081061</v>
      </c>
      <c r="G2960" s="45" t="n">
        <f aca="false">ROUND(C2960*F2960,0)</f>
        <v>5224</v>
      </c>
      <c r="H2960" s="48" t="n">
        <f aca="false">MAX(0,(C2960*'Model Inputs &amp; Assumptions'!$N$33+E2960*'Model Inputs &amp; Assumptions'!$O$33+G2960*'Model Inputs &amp; Assumptions'!$P$33)*EXP('Model Inputs &amp; Assumptions'!$Q$33*S2960-'Model Inputs &amp; Assumptions'!$Q$33^2/2))</f>
        <v>369.673882084916</v>
      </c>
      <c r="I2960" s="49" t="n">
        <f aca="false">IF('Model Inputs &amp; Assumptions'!$H$33="Fixed",'Model Inputs &amp; Assumptions'!$I$33*'Model Inputs &amp; Assumptions'!$K$33,IF('Model Inputs &amp; Assumptions'!$H$33="CPM",'Model Inputs &amp; Assumptions'!$I$33*'Model Inputs &amp; Assumptions'!$K$33*C2960/1000,IF('Model Inputs &amp; Assumptions'!$H$33="CPC",'Model Inputs &amp; Assumptions'!$I$33*'Model Inputs &amp; Assumptions'!$K$33*G2960,0)))</f>
        <v>25000</v>
      </c>
      <c r="J2960" s="50" t="n">
        <f aca="false">H2960*INDEX('Model Inputs &amp; Assumptions'!$D$40:$D$42,MATCH('Model Inputs &amp; Assumptions'!$L$33,'Model Inputs &amp; Assumptions'!$A$40:$A$42,0))*INDEX('Model Inputs &amp; Assumptions'!$H$40:$H$42,MATCH('Model Inputs &amp; Assumptions'!$L$33,'Model Inputs &amp; Assumptions'!$A$40:$A$42,0))</f>
        <v>1996238.96325855</v>
      </c>
      <c r="K2960" s="49" t="n">
        <f aca="false">H2960*INDEX('Model Inputs &amp; Assumptions'!$G$40:$G$42,MATCH('Model Inputs &amp; Assumptions'!$L$33,'Model Inputs &amp; Assumptions'!$A$40:$A$42,0))*INDEX('Model Inputs &amp; Assumptions'!$H$40:$H$42,MATCH('Model Inputs &amp; Assumptions'!$L$33,'Model Inputs &amp; Assumptions'!$A$40:$A$42,0))</f>
        <v>41921.0182284295</v>
      </c>
      <c r="L2960" s="51" t="n">
        <f aca="false">IFERROR(K2960/I2960,0)</f>
        <v>1.67684072913718</v>
      </c>
      <c r="M2960" s="49" t="n">
        <f aca="false">IFERROR(I2960/H2960,0)</f>
        <v>67.6271741433369</v>
      </c>
      <c r="N2960" s="52" t="str">
        <f aca="false">'Model Inputs &amp; Assumptions'!$L$33</f>
        <v>PRD-SP01</v>
      </c>
      <c r="P2960" s="53" t="n">
        <v>1.18687</v>
      </c>
      <c r="Q2960" s="53" t="n">
        <v>-0.458871</v>
      </c>
      <c r="R2960" s="53" t="n">
        <v>-0.159428</v>
      </c>
      <c r="S2960" s="53" t="n">
        <v>1.040088</v>
      </c>
    </row>
    <row r="2961" customFormat="false" ht="15" hidden="false" customHeight="false" outlineLevel="0" collapsed="false">
      <c r="A2961" s="43" t="n">
        <v>458</v>
      </c>
      <c r="B2961" s="44" t="str">
        <f aca="false">'Model Inputs &amp; Assumptions'!$B$33</f>
        <v>Trade Republic — Savings Plan Push</v>
      </c>
      <c r="C2961" s="45" t="n">
        <f aca="false">ROUND(MAX(0,'Model Inputs &amp; Assumptions'!$S$33*EXP('Model Inputs &amp; Assumptions'!$T$33*P2961-'Model Inputs &amp; Assumptions'!$T$33^2/2)),0)</f>
        <v>1235399</v>
      </c>
      <c r="D2961" s="46" t="n">
        <f aca="false">MIN(1,'Model Inputs &amp; Assumptions'!$U$33*EXP('Model Inputs &amp; Assumptions'!$V$33*Q2961-'Model Inputs &amp; Assumptions'!$V$33^2/2))</f>
        <v>0</v>
      </c>
      <c r="E2961" s="45" t="n">
        <f aca="false">ROUND(C2961*D2961,0)</f>
        <v>0</v>
      </c>
      <c r="F2961" s="47" t="n">
        <f aca="false">MIN(1,'Model Inputs &amp; Assumptions'!$W$33*EXP('Model Inputs &amp; Assumptions'!$X$33*R2961-'Model Inputs &amp; Assumptions'!$X$33^2/2))</f>
        <v>0.0020543102944909</v>
      </c>
      <c r="G2961" s="45" t="n">
        <f aca="false">ROUND(C2961*F2961,0)</f>
        <v>2538</v>
      </c>
      <c r="H2961" s="48" t="n">
        <f aca="false">MAX(0,(C2961*'Model Inputs &amp; Assumptions'!$N$33+E2961*'Model Inputs &amp; Assumptions'!$O$33+G2961*'Model Inputs &amp; Assumptions'!$P$33)*EXP('Model Inputs &amp; Assumptions'!$Q$33*S2961-'Model Inputs &amp; Assumptions'!$Q$33^2/2))</f>
        <v>174.580681774196</v>
      </c>
      <c r="I2961" s="49" t="n">
        <f aca="false">IF('Model Inputs &amp; Assumptions'!$H$33="Fixed",'Model Inputs &amp; Assumptions'!$I$33*'Model Inputs &amp; Assumptions'!$K$33,IF('Model Inputs &amp; Assumptions'!$H$33="CPM",'Model Inputs &amp; Assumptions'!$I$33*'Model Inputs &amp; Assumptions'!$K$33*C2961/1000,IF('Model Inputs &amp; Assumptions'!$H$33="CPC",'Model Inputs &amp; Assumptions'!$I$33*'Model Inputs &amp; Assumptions'!$K$33*G2961,0)))</f>
        <v>25000</v>
      </c>
      <c r="J2961" s="50" t="n">
        <f aca="false">H2961*INDEX('Model Inputs &amp; Assumptions'!$D$40:$D$42,MATCH('Model Inputs &amp; Assumptions'!$L$33,'Model Inputs &amp; Assumptions'!$A$40:$A$42,0))*INDEX('Model Inputs &amp; Assumptions'!$H$40:$H$42,MATCH('Model Inputs &amp; Assumptions'!$L$33,'Model Inputs &amp; Assumptions'!$A$40:$A$42,0))</f>
        <v>942735.681580658</v>
      </c>
      <c r="K2961" s="49" t="n">
        <f aca="false">H2961*INDEX('Model Inputs &amp; Assumptions'!$G$40:$G$42,MATCH('Model Inputs &amp; Assumptions'!$L$33,'Model Inputs &amp; Assumptions'!$A$40:$A$42,0))*INDEX('Model Inputs &amp; Assumptions'!$H$40:$H$42,MATCH('Model Inputs &amp; Assumptions'!$L$33,'Model Inputs &amp; Assumptions'!$A$40:$A$42,0))</f>
        <v>19797.4493131938</v>
      </c>
      <c r="L2961" s="51" t="n">
        <f aca="false">IFERROR(K2961/I2961,0)</f>
        <v>0.791897972527753</v>
      </c>
      <c r="M2961" s="49" t="n">
        <f aca="false">IFERROR(I2961/H2961,0)</f>
        <v>143.200265607481</v>
      </c>
      <c r="N2961" s="52" t="str">
        <f aca="false">'Model Inputs &amp; Assumptions'!$L$33</f>
        <v>PRD-SP01</v>
      </c>
      <c r="P2961" s="53" t="n">
        <v>0.246909</v>
      </c>
      <c r="Q2961" s="53" t="n">
        <v>0.214555</v>
      </c>
      <c r="R2961" s="53" t="n">
        <v>-1.626076</v>
      </c>
      <c r="S2961" s="53" t="n">
        <v>0.938848</v>
      </c>
    </row>
    <row r="2962" customFormat="false" ht="15" hidden="false" customHeight="false" outlineLevel="0" collapsed="false">
      <c r="A2962" s="43" t="n">
        <v>459</v>
      </c>
      <c r="B2962" s="44" t="str">
        <f aca="false">'Model Inputs &amp; Assumptions'!$B$33</f>
        <v>Trade Republic — Savings Plan Push</v>
      </c>
      <c r="C2962" s="45" t="n">
        <f aca="false">ROUND(MAX(0,'Model Inputs &amp; Assumptions'!$S$33*EXP('Model Inputs &amp; Assumptions'!$T$33*P2962-'Model Inputs &amp; Assumptions'!$T$33^2/2)),0)</f>
        <v>787874</v>
      </c>
      <c r="D2962" s="46" t="n">
        <f aca="false">MIN(1,'Model Inputs &amp; Assumptions'!$U$33*EXP('Model Inputs &amp; Assumptions'!$V$33*Q2962-'Model Inputs &amp; Assumptions'!$V$33^2/2))</f>
        <v>0</v>
      </c>
      <c r="E2962" s="45" t="n">
        <f aca="false">ROUND(C2962*D2962,0)</f>
        <v>0</v>
      </c>
      <c r="F2962" s="47" t="n">
        <f aca="false">MIN(1,'Model Inputs &amp; Assumptions'!$W$33*EXP('Model Inputs &amp; Assumptions'!$X$33*R2962-'Model Inputs &amp; Assumptions'!$X$33^2/2))</f>
        <v>0.00329011483523658</v>
      </c>
      <c r="G2962" s="45" t="n">
        <f aca="false">ROUND(C2962*F2962,0)</f>
        <v>2592</v>
      </c>
      <c r="H2962" s="48" t="n">
        <f aca="false">MAX(0,(C2962*'Model Inputs &amp; Assumptions'!$N$33+E2962*'Model Inputs &amp; Assumptions'!$O$33+G2962*'Model Inputs &amp; Assumptions'!$P$33)*EXP('Model Inputs &amp; Assumptions'!$Q$33*S2962-'Model Inputs &amp; Assumptions'!$Q$33^2/2))</f>
        <v>135.461480577187</v>
      </c>
      <c r="I2962" s="49" t="n">
        <f aca="false">IF('Model Inputs &amp; Assumptions'!$H$33="Fixed",'Model Inputs &amp; Assumptions'!$I$33*'Model Inputs &amp; Assumptions'!$K$33,IF('Model Inputs &amp; Assumptions'!$H$33="CPM",'Model Inputs &amp; Assumptions'!$I$33*'Model Inputs &amp; Assumptions'!$K$33*C2962/1000,IF('Model Inputs &amp; Assumptions'!$H$33="CPC",'Model Inputs &amp; Assumptions'!$I$33*'Model Inputs &amp; Assumptions'!$K$33*G2962,0)))</f>
        <v>25000</v>
      </c>
      <c r="J2962" s="50" t="n">
        <f aca="false">H2962*INDEX('Model Inputs &amp; Assumptions'!$D$40:$D$42,MATCH('Model Inputs &amp; Assumptions'!$L$33,'Model Inputs &amp; Assumptions'!$A$40:$A$42,0))*INDEX('Model Inputs &amp; Assumptions'!$H$40:$H$42,MATCH('Model Inputs &amp; Assumptions'!$L$33,'Model Inputs &amp; Assumptions'!$A$40:$A$42,0))</f>
        <v>731491.995116809</v>
      </c>
      <c r="K2962" s="49" t="n">
        <f aca="false">H2962*INDEX('Model Inputs &amp; Assumptions'!$G$40:$G$42,MATCH('Model Inputs &amp; Assumptions'!$L$33,'Model Inputs &amp; Assumptions'!$A$40:$A$42,0))*INDEX('Model Inputs &amp; Assumptions'!$H$40:$H$42,MATCH('Model Inputs &amp; Assumptions'!$L$33,'Model Inputs &amp; Assumptions'!$A$40:$A$42,0))</f>
        <v>15361.331897453</v>
      </c>
      <c r="L2962" s="51" t="n">
        <f aca="false">IFERROR(K2962/I2962,0)</f>
        <v>0.61445327589812</v>
      </c>
      <c r="M2962" s="49" t="n">
        <f aca="false">IFERROR(I2962/H2962,0)</f>
        <v>184.554309413109</v>
      </c>
      <c r="N2962" s="52" t="str">
        <f aca="false">'Model Inputs &amp; Assumptions'!$L$33</f>
        <v>PRD-SP01</v>
      </c>
      <c r="P2962" s="53" t="n">
        <v>-1.252463</v>
      </c>
      <c r="Q2962" s="53" t="n">
        <v>0.951845</v>
      </c>
      <c r="R2962" s="53" t="n">
        <v>-0.056135</v>
      </c>
      <c r="S2962" s="53" t="n">
        <v>-0.042413</v>
      </c>
    </row>
    <row r="2963" customFormat="false" ht="15" hidden="false" customHeight="false" outlineLevel="0" collapsed="false">
      <c r="A2963" s="43" t="n">
        <v>460</v>
      </c>
      <c r="B2963" s="44" t="str">
        <f aca="false">'Model Inputs &amp; Assumptions'!$B$33</f>
        <v>Trade Republic — Savings Plan Push</v>
      </c>
      <c r="C2963" s="45" t="n">
        <f aca="false">ROUND(MAX(0,'Model Inputs &amp; Assumptions'!$S$33*EXP('Model Inputs &amp; Assumptions'!$T$33*P2963-'Model Inputs &amp; Assumptions'!$T$33^2/2)),0)</f>
        <v>1318685</v>
      </c>
      <c r="D2963" s="46" t="n">
        <f aca="false">MIN(1,'Model Inputs &amp; Assumptions'!$U$33*EXP('Model Inputs &amp; Assumptions'!$V$33*Q2963-'Model Inputs &amp; Assumptions'!$V$33^2/2))</f>
        <v>0</v>
      </c>
      <c r="E2963" s="45" t="n">
        <f aca="false">ROUND(C2963*D2963,0)</f>
        <v>0</v>
      </c>
      <c r="F2963" s="47" t="n">
        <f aca="false">MIN(1,'Model Inputs &amp; Assumptions'!$W$33*EXP('Model Inputs &amp; Assumptions'!$X$33*R2963-'Model Inputs &amp; Assumptions'!$X$33^2/2))</f>
        <v>0.00392701842905956</v>
      </c>
      <c r="G2963" s="45" t="n">
        <f aca="false">ROUND(C2963*F2963,0)</f>
        <v>5179</v>
      </c>
      <c r="H2963" s="48" t="n">
        <f aca="false">MAX(0,(C2963*'Model Inputs &amp; Assumptions'!$N$33+E2963*'Model Inputs &amp; Assumptions'!$O$33+G2963*'Model Inputs &amp; Assumptions'!$P$33)*EXP('Model Inputs &amp; Assumptions'!$Q$33*S2963-'Model Inputs &amp; Assumptions'!$Q$33^2/2))</f>
        <v>385.940963193982</v>
      </c>
      <c r="I2963" s="49" t="n">
        <f aca="false">IF('Model Inputs &amp; Assumptions'!$H$33="Fixed",'Model Inputs &amp; Assumptions'!$I$33*'Model Inputs &amp; Assumptions'!$K$33,IF('Model Inputs &amp; Assumptions'!$H$33="CPM",'Model Inputs &amp; Assumptions'!$I$33*'Model Inputs &amp; Assumptions'!$K$33*C2963/1000,IF('Model Inputs &amp; Assumptions'!$H$33="CPC",'Model Inputs &amp; Assumptions'!$I$33*'Model Inputs &amp; Assumptions'!$K$33*G2963,0)))</f>
        <v>25000</v>
      </c>
      <c r="J2963" s="50" t="n">
        <f aca="false">H2963*INDEX('Model Inputs &amp; Assumptions'!$D$40:$D$42,MATCH('Model Inputs &amp; Assumptions'!$L$33,'Model Inputs &amp; Assumptions'!$A$40:$A$42,0))*INDEX('Model Inputs &amp; Assumptions'!$H$40:$H$42,MATCH('Model Inputs &amp; Assumptions'!$L$33,'Model Inputs &amp; Assumptions'!$A$40:$A$42,0))</f>
        <v>2084081.2012475</v>
      </c>
      <c r="K2963" s="49" t="n">
        <f aca="false">H2963*INDEX('Model Inputs &amp; Assumptions'!$G$40:$G$42,MATCH('Model Inputs &amp; Assumptions'!$L$33,'Model Inputs &amp; Assumptions'!$A$40:$A$42,0))*INDEX('Model Inputs &amp; Assumptions'!$H$40:$H$42,MATCH('Model Inputs &amp; Assumptions'!$L$33,'Model Inputs &amp; Assumptions'!$A$40:$A$42,0))</f>
        <v>43765.7052261975</v>
      </c>
      <c r="L2963" s="51" t="n">
        <f aca="false">IFERROR(K2963/I2963,0)</f>
        <v>1.7506282090479</v>
      </c>
      <c r="M2963" s="49" t="n">
        <f aca="false">IFERROR(I2963/H2963,0)</f>
        <v>64.7767466638013</v>
      </c>
      <c r="N2963" s="52" t="str">
        <f aca="false">'Model Inputs &amp; Assumptions'!$L$33</f>
        <v>PRD-SP01</v>
      </c>
      <c r="P2963" s="53" t="n">
        <v>0.464377</v>
      </c>
      <c r="Q2963" s="53" t="n">
        <v>-1.139403</v>
      </c>
      <c r="R2963" s="53" t="n">
        <v>0.533725</v>
      </c>
      <c r="S2963" s="53" t="n">
        <v>1.224783</v>
      </c>
    </row>
    <row r="2964" customFormat="false" ht="15" hidden="false" customHeight="false" outlineLevel="0" collapsed="false">
      <c r="A2964" s="43" t="n">
        <v>461</v>
      </c>
      <c r="B2964" s="44" t="str">
        <f aca="false">'Model Inputs &amp; Assumptions'!$B$33</f>
        <v>Trade Republic — Savings Plan Push</v>
      </c>
      <c r="C2964" s="45" t="n">
        <f aca="false">ROUND(MAX(0,'Model Inputs &amp; Assumptions'!$S$33*EXP('Model Inputs &amp; Assumptions'!$T$33*P2964-'Model Inputs &amp; Assumptions'!$T$33^2/2)),0)</f>
        <v>2030535</v>
      </c>
      <c r="D2964" s="46" t="n">
        <f aca="false">MIN(1,'Model Inputs &amp; Assumptions'!$U$33*EXP('Model Inputs &amp; Assumptions'!$V$33*Q2964-'Model Inputs &amp; Assumptions'!$V$33^2/2))</f>
        <v>0</v>
      </c>
      <c r="E2964" s="45" t="n">
        <f aca="false">ROUND(C2964*D2964,0)</f>
        <v>0</v>
      </c>
      <c r="F2964" s="47" t="n">
        <f aca="false">MIN(1,'Model Inputs &amp; Assumptions'!$W$33*EXP('Model Inputs &amp; Assumptions'!$X$33*R2964-'Model Inputs &amp; Assumptions'!$X$33^2/2))</f>
        <v>0.00383436012103664</v>
      </c>
      <c r="G2964" s="45" t="n">
        <f aca="false">ROUND(C2964*F2964,0)</f>
        <v>7786</v>
      </c>
      <c r="H2964" s="48" t="n">
        <f aca="false">MAX(0,(C2964*'Model Inputs &amp; Assumptions'!$N$33+E2964*'Model Inputs &amp; Assumptions'!$O$33+G2964*'Model Inputs &amp; Assumptions'!$P$33)*EXP('Model Inputs &amp; Assumptions'!$Q$33*S2964-'Model Inputs &amp; Assumptions'!$Q$33^2/2))</f>
        <v>637.661663329548</v>
      </c>
      <c r="I2964" s="49" t="n">
        <f aca="false">IF('Model Inputs &amp; Assumptions'!$H$33="Fixed",'Model Inputs &amp; Assumptions'!$I$33*'Model Inputs &amp; Assumptions'!$K$33,IF('Model Inputs &amp; Assumptions'!$H$33="CPM",'Model Inputs &amp; Assumptions'!$I$33*'Model Inputs &amp; Assumptions'!$K$33*C2964/1000,IF('Model Inputs &amp; Assumptions'!$H$33="CPC",'Model Inputs &amp; Assumptions'!$I$33*'Model Inputs &amp; Assumptions'!$K$33*G2964,0)))</f>
        <v>25000</v>
      </c>
      <c r="J2964" s="50" t="n">
        <f aca="false">H2964*INDEX('Model Inputs &amp; Assumptions'!$D$40:$D$42,MATCH('Model Inputs &amp; Assumptions'!$L$33,'Model Inputs &amp; Assumptions'!$A$40:$A$42,0))*INDEX('Model Inputs &amp; Assumptions'!$H$40:$H$42,MATCH('Model Inputs &amp; Assumptions'!$L$33,'Model Inputs &amp; Assumptions'!$A$40:$A$42,0))</f>
        <v>3443372.98197956</v>
      </c>
      <c r="K2964" s="49" t="n">
        <f aca="false">H2964*INDEX('Model Inputs &amp; Assumptions'!$G$40:$G$42,MATCH('Model Inputs &amp; Assumptions'!$L$33,'Model Inputs &amp; Assumptions'!$A$40:$A$42,0))*INDEX('Model Inputs &amp; Assumptions'!$H$40:$H$42,MATCH('Model Inputs &amp; Assumptions'!$L$33,'Model Inputs &amp; Assumptions'!$A$40:$A$42,0))</f>
        <v>72310.8326215707</v>
      </c>
      <c r="L2964" s="51" t="n">
        <f aca="false">IFERROR(K2964/I2964,0)</f>
        <v>2.89243330486283</v>
      </c>
      <c r="M2964" s="49" t="n">
        <f aca="false">IFERROR(I2964/H2964,0)</f>
        <v>39.2057441080315</v>
      </c>
      <c r="N2964" s="52" t="str">
        <f aca="false">'Model Inputs &amp; Assumptions'!$L$33</f>
        <v>PRD-SP01</v>
      </c>
      <c r="P2964" s="53" t="n">
        <v>1.903259</v>
      </c>
      <c r="Q2964" s="53" t="n">
        <v>-0.445961</v>
      </c>
      <c r="R2964" s="53" t="n">
        <v>0.454132</v>
      </c>
      <c r="S2964" s="53" t="n">
        <v>1.561955</v>
      </c>
    </row>
    <row r="2965" customFormat="false" ht="15" hidden="false" customHeight="false" outlineLevel="0" collapsed="false">
      <c r="A2965" s="43" t="n">
        <v>462</v>
      </c>
      <c r="B2965" s="44" t="str">
        <f aca="false">'Model Inputs &amp; Assumptions'!$B$33</f>
        <v>Trade Republic — Savings Plan Push</v>
      </c>
      <c r="C2965" s="45" t="n">
        <f aca="false">ROUND(MAX(0,'Model Inputs &amp; Assumptions'!$S$33*EXP('Model Inputs &amp; Assumptions'!$T$33*P2965-'Model Inputs &amp; Assumptions'!$T$33^2/2)),0)</f>
        <v>1189569</v>
      </c>
      <c r="D2965" s="46" t="n">
        <f aca="false">MIN(1,'Model Inputs &amp; Assumptions'!$U$33*EXP('Model Inputs &amp; Assumptions'!$V$33*Q2965-'Model Inputs &amp; Assumptions'!$V$33^2/2))</f>
        <v>0</v>
      </c>
      <c r="E2965" s="45" t="n">
        <f aca="false">ROUND(C2965*D2965,0)</f>
        <v>0</v>
      </c>
      <c r="F2965" s="47" t="n">
        <f aca="false">MIN(1,'Model Inputs &amp; Assumptions'!$W$33*EXP('Model Inputs &amp; Assumptions'!$X$33*R2965-'Model Inputs &amp; Assumptions'!$X$33^2/2))</f>
        <v>0.00626696112750404</v>
      </c>
      <c r="G2965" s="45" t="n">
        <f aca="false">ROUND(C2965*F2965,0)</f>
        <v>7455</v>
      </c>
      <c r="H2965" s="48" t="n">
        <f aca="false">MAX(0,(C2965*'Model Inputs &amp; Assumptions'!$N$33+E2965*'Model Inputs &amp; Assumptions'!$O$33+G2965*'Model Inputs &amp; Assumptions'!$P$33)*EXP('Model Inputs &amp; Assumptions'!$Q$33*S2965-'Model Inputs &amp; Assumptions'!$Q$33^2/2))</f>
        <v>614.991061435191</v>
      </c>
      <c r="I2965" s="49" t="n">
        <f aca="false">IF('Model Inputs &amp; Assumptions'!$H$33="Fixed",'Model Inputs &amp; Assumptions'!$I$33*'Model Inputs &amp; Assumptions'!$K$33,IF('Model Inputs &amp; Assumptions'!$H$33="CPM",'Model Inputs &amp; Assumptions'!$I$33*'Model Inputs &amp; Assumptions'!$K$33*C2965/1000,IF('Model Inputs &amp; Assumptions'!$H$33="CPC",'Model Inputs &amp; Assumptions'!$I$33*'Model Inputs &amp; Assumptions'!$K$33*G2965,0)))</f>
        <v>25000</v>
      </c>
      <c r="J2965" s="50" t="n">
        <f aca="false">H2965*INDEX('Model Inputs &amp; Assumptions'!$D$40:$D$42,MATCH('Model Inputs &amp; Assumptions'!$L$33,'Model Inputs &amp; Assumptions'!$A$40:$A$42,0))*INDEX('Model Inputs &amp; Assumptions'!$H$40:$H$42,MATCH('Model Inputs &amp; Assumptions'!$L$33,'Model Inputs &amp; Assumptions'!$A$40:$A$42,0))</f>
        <v>3320951.73175003</v>
      </c>
      <c r="K2965" s="49" t="n">
        <f aca="false">H2965*INDEX('Model Inputs &amp; Assumptions'!$G$40:$G$42,MATCH('Model Inputs &amp; Assumptions'!$L$33,'Model Inputs &amp; Assumptions'!$A$40:$A$42,0))*INDEX('Model Inputs &amp; Assumptions'!$H$40:$H$42,MATCH('Model Inputs &amp; Assumptions'!$L$33,'Model Inputs &amp; Assumptions'!$A$40:$A$42,0))</f>
        <v>69739.9863667507</v>
      </c>
      <c r="L2965" s="51" t="n">
        <f aca="false">IFERROR(K2965/I2965,0)</f>
        <v>2.78959945467003</v>
      </c>
      <c r="M2965" s="49" t="n">
        <f aca="false">IFERROR(I2965/H2965,0)</f>
        <v>40.6509973358931</v>
      </c>
      <c r="N2965" s="52" t="str">
        <f aca="false">'Model Inputs &amp; Assumptions'!$L$33</f>
        <v>PRD-SP01</v>
      </c>
      <c r="P2965" s="53" t="n">
        <v>0.120897</v>
      </c>
      <c r="Q2965" s="53" t="n">
        <v>-2.26245</v>
      </c>
      <c r="R2965" s="53" t="n">
        <v>2.091762</v>
      </c>
      <c r="S2965" s="53" t="n">
        <v>1.58782</v>
      </c>
    </row>
    <row r="2966" customFormat="false" ht="15" hidden="false" customHeight="false" outlineLevel="0" collapsed="false">
      <c r="A2966" s="43" t="n">
        <v>463</v>
      </c>
      <c r="B2966" s="44" t="str">
        <f aca="false">'Model Inputs &amp; Assumptions'!$B$33</f>
        <v>Trade Republic — Savings Plan Push</v>
      </c>
      <c r="C2966" s="45" t="n">
        <f aca="false">ROUND(MAX(0,'Model Inputs &amp; Assumptions'!$S$33*EXP('Model Inputs &amp; Assumptions'!$T$33*P2966-'Model Inputs &amp; Assumptions'!$T$33^2/2)),0)</f>
        <v>1392371</v>
      </c>
      <c r="D2966" s="46" t="n">
        <f aca="false">MIN(1,'Model Inputs &amp; Assumptions'!$U$33*EXP('Model Inputs &amp; Assumptions'!$V$33*Q2966-'Model Inputs &amp; Assumptions'!$V$33^2/2))</f>
        <v>0</v>
      </c>
      <c r="E2966" s="45" t="n">
        <f aca="false">ROUND(C2966*D2966,0)</f>
        <v>0</v>
      </c>
      <c r="F2966" s="47" t="n">
        <f aca="false">MIN(1,'Model Inputs &amp; Assumptions'!$W$33*EXP('Model Inputs &amp; Assumptions'!$X$33*R2966-'Model Inputs &amp; Assumptions'!$X$33^2/2))</f>
        <v>0.00217312422792225</v>
      </c>
      <c r="G2966" s="45" t="n">
        <f aca="false">ROUND(C2966*F2966,0)</f>
        <v>3026</v>
      </c>
      <c r="H2966" s="48" t="n">
        <f aca="false">MAX(0,(C2966*'Model Inputs &amp; Assumptions'!$N$33+E2966*'Model Inputs &amp; Assumptions'!$O$33+G2966*'Model Inputs &amp; Assumptions'!$P$33)*EXP('Model Inputs &amp; Assumptions'!$Q$33*S2966-'Model Inputs &amp; Assumptions'!$Q$33^2/2))</f>
        <v>205.935835187758</v>
      </c>
      <c r="I2966" s="49" t="n">
        <f aca="false">IF('Model Inputs &amp; Assumptions'!$H$33="Fixed",'Model Inputs &amp; Assumptions'!$I$33*'Model Inputs &amp; Assumptions'!$K$33,IF('Model Inputs &amp; Assumptions'!$H$33="CPM",'Model Inputs &amp; Assumptions'!$I$33*'Model Inputs &amp; Assumptions'!$K$33*C2966/1000,IF('Model Inputs &amp; Assumptions'!$H$33="CPC",'Model Inputs &amp; Assumptions'!$I$33*'Model Inputs &amp; Assumptions'!$K$33*G2966,0)))</f>
        <v>25000</v>
      </c>
      <c r="J2966" s="50" t="n">
        <f aca="false">H2966*INDEX('Model Inputs &amp; Assumptions'!$D$40:$D$42,MATCH('Model Inputs &amp; Assumptions'!$L$33,'Model Inputs &amp; Assumptions'!$A$40:$A$42,0))*INDEX('Model Inputs &amp; Assumptions'!$H$40:$H$42,MATCH('Model Inputs &amp; Assumptions'!$L$33,'Model Inputs &amp; Assumptions'!$A$40:$A$42,0))</f>
        <v>1112053.51001389</v>
      </c>
      <c r="K2966" s="49" t="n">
        <f aca="false">H2966*INDEX('Model Inputs &amp; Assumptions'!$G$40:$G$42,MATCH('Model Inputs &amp; Assumptions'!$L$33,'Model Inputs &amp; Assumptions'!$A$40:$A$42,0))*INDEX('Model Inputs &amp; Assumptions'!$H$40:$H$42,MATCH('Model Inputs &amp; Assumptions'!$L$33,'Model Inputs &amp; Assumptions'!$A$40:$A$42,0))</f>
        <v>23353.1237102918</v>
      </c>
      <c r="L2966" s="51" t="n">
        <f aca="false">IFERROR(K2966/I2966,0)</f>
        <v>0.93412494841167</v>
      </c>
      <c r="M2966" s="49" t="n">
        <f aca="false">IFERROR(I2966/H2966,0)</f>
        <v>121.397036009817</v>
      </c>
      <c r="N2966" s="52" t="str">
        <f aca="false">'Model Inputs &amp; Assumptions'!$L$33</f>
        <v>PRD-SP01</v>
      </c>
      <c r="P2966" s="53" t="n">
        <v>0.645622</v>
      </c>
      <c r="Q2966" s="53" t="n">
        <v>0.633319</v>
      </c>
      <c r="R2966" s="53" t="n">
        <v>-1.438657</v>
      </c>
      <c r="S2966" s="53" t="n">
        <v>0.900678</v>
      </c>
    </row>
    <row r="2967" customFormat="false" ht="15" hidden="false" customHeight="false" outlineLevel="0" collapsed="false">
      <c r="A2967" s="43" t="n">
        <v>464</v>
      </c>
      <c r="B2967" s="44" t="str">
        <f aca="false">'Model Inputs &amp; Assumptions'!$B$33</f>
        <v>Trade Republic — Savings Plan Push</v>
      </c>
      <c r="C2967" s="45" t="n">
        <f aca="false">ROUND(MAX(0,'Model Inputs &amp; Assumptions'!$S$33*EXP('Model Inputs &amp; Assumptions'!$T$33*P2967-'Model Inputs &amp; Assumptions'!$T$33^2/2)),0)</f>
        <v>540463</v>
      </c>
      <c r="D2967" s="46" t="n">
        <f aca="false">MIN(1,'Model Inputs &amp; Assumptions'!$U$33*EXP('Model Inputs &amp; Assumptions'!$V$33*Q2967-'Model Inputs &amp; Assumptions'!$V$33^2/2))</f>
        <v>0</v>
      </c>
      <c r="E2967" s="45" t="n">
        <f aca="false">ROUND(C2967*D2967,0)</f>
        <v>0</v>
      </c>
      <c r="F2967" s="47" t="n">
        <f aca="false">MIN(1,'Model Inputs &amp; Assumptions'!$W$33*EXP('Model Inputs &amp; Assumptions'!$X$33*R2967-'Model Inputs &amp; Assumptions'!$X$33^2/2))</f>
        <v>0.00521072639095668</v>
      </c>
      <c r="G2967" s="45" t="n">
        <f aca="false">ROUND(C2967*F2967,0)</f>
        <v>2816</v>
      </c>
      <c r="H2967" s="48" t="n">
        <f aca="false">MAX(0,(C2967*'Model Inputs &amp; Assumptions'!$N$33+E2967*'Model Inputs &amp; Assumptions'!$O$33+G2967*'Model Inputs &amp; Assumptions'!$P$33)*EXP('Model Inputs &amp; Assumptions'!$Q$33*S2967-'Model Inputs &amp; Assumptions'!$Q$33^2/2))</f>
        <v>142.880746749995</v>
      </c>
      <c r="I2967" s="49" t="n">
        <f aca="false">IF('Model Inputs &amp; Assumptions'!$H$33="Fixed",'Model Inputs &amp; Assumptions'!$I$33*'Model Inputs &amp; Assumptions'!$K$33,IF('Model Inputs &amp; Assumptions'!$H$33="CPM",'Model Inputs &amp; Assumptions'!$I$33*'Model Inputs &amp; Assumptions'!$K$33*C2967/1000,IF('Model Inputs &amp; Assumptions'!$H$33="CPC",'Model Inputs &amp; Assumptions'!$I$33*'Model Inputs &amp; Assumptions'!$K$33*G2967,0)))</f>
        <v>25000</v>
      </c>
      <c r="J2967" s="50" t="n">
        <f aca="false">H2967*INDEX('Model Inputs &amp; Assumptions'!$D$40:$D$42,MATCH('Model Inputs &amp; Assumptions'!$L$33,'Model Inputs &amp; Assumptions'!$A$40:$A$42,0))*INDEX('Model Inputs &amp; Assumptions'!$H$40:$H$42,MATCH('Model Inputs &amp; Assumptions'!$L$33,'Model Inputs &amp; Assumptions'!$A$40:$A$42,0))</f>
        <v>771556.032449971</v>
      </c>
      <c r="K2967" s="49" t="n">
        <f aca="false">H2967*INDEX('Model Inputs &amp; Assumptions'!$G$40:$G$42,MATCH('Model Inputs &amp; Assumptions'!$L$33,'Model Inputs &amp; Assumptions'!$A$40:$A$42,0))*INDEX('Model Inputs &amp; Assumptions'!$H$40:$H$42,MATCH('Model Inputs &amp; Assumptions'!$L$33,'Model Inputs &amp; Assumptions'!$A$40:$A$42,0))</f>
        <v>16202.6766814494</v>
      </c>
      <c r="L2967" s="51" t="n">
        <f aca="false">IFERROR(K2967/I2967,0)</f>
        <v>0.648107067257975</v>
      </c>
      <c r="M2967" s="49" t="n">
        <f aca="false">IFERROR(I2967/H2967,0)</f>
        <v>174.971090007975</v>
      </c>
      <c r="N2967" s="52" t="str">
        <f aca="false">'Model Inputs &amp; Assumptions'!$L$33</f>
        <v>PRD-SP01</v>
      </c>
      <c r="P2967" s="53" t="n">
        <v>-2.508834</v>
      </c>
      <c r="Q2967" s="53" t="n">
        <v>-0.279372</v>
      </c>
      <c r="R2967" s="53" t="n">
        <v>1.476521</v>
      </c>
      <c r="S2967" s="53" t="n">
        <v>-0.148001</v>
      </c>
    </row>
    <row r="2968" customFormat="false" ht="15" hidden="false" customHeight="false" outlineLevel="0" collapsed="false">
      <c r="A2968" s="43" t="n">
        <v>465</v>
      </c>
      <c r="B2968" s="44" t="str">
        <f aca="false">'Model Inputs &amp; Assumptions'!$B$33</f>
        <v>Trade Republic — Savings Plan Push</v>
      </c>
      <c r="C2968" s="45" t="n">
        <f aca="false">ROUND(MAX(0,'Model Inputs &amp; Assumptions'!$S$33*EXP('Model Inputs &amp; Assumptions'!$T$33*P2968-'Model Inputs &amp; Assumptions'!$T$33^2/2)),0)</f>
        <v>1056094</v>
      </c>
      <c r="D2968" s="46" t="n">
        <f aca="false">MIN(1,'Model Inputs &amp; Assumptions'!$U$33*EXP('Model Inputs &amp; Assumptions'!$V$33*Q2968-'Model Inputs &amp; Assumptions'!$V$33^2/2))</f>
        <v>0</v>
      </c>
      <c r="E2968" s="45" t="n">
        <f aca="false">ROUND(C2968*D2968,0)</f>
        <v>0</v>
      </c>
      <c r="F2968" s="47" t="n">
        <f aca="false">MIN(1,'Model Inputs &amp; Assumptions'!$W$33*EXP('Model Inputs &amp; Assumptions'!$X$33*R2968-'Model Inputs &amp; Assumptions'!$X$33^2/2))</f>
        <v>0.00241305183626679</v>
      </c>
      <c r="G2968" s="45" t="n">
        <f aca="false">ROUND(C2968*F2968,0)</f>
        <v>2548</v>
      </c>
      <c r="H2968" s="48" t="n">
        <f aca="false">MAX(0,(C2968*'Model Inputs &amp; Assumptions'!$N$33+E2968*'Model Inputs &amp; Assumptions'!$O$33+G2968*'Model Inputs &amp; Assumptions'!$P$33)*EXP('Model Inputs &amp; Assumptions'!$Q$33*S2968-'Model Inputs &amp; Assumptions'!$Q$33^2/2))</f>
        <v>101.247365201052</v>
      </c>
      <c r="I2968" s="49" t="n">
        <f aca="false">IF('Model Inputs &amp; Assumptions'!$H$33="Fixed",'Model Inputs &amp; Assumptions'!$I$33*'Model Inputs &amp; Assumptions'!$K$33,IF('Model Inputs &amp; Assumptions'!$H$33="CPM",'Model Inputs &amp; Assumptions'!$I$33*'Model Inputs &amp; Assumptions'!$K$33*C2968/1000,IF('Model Inputs &amp; Assumptions'!$H$33="CPC",'Model Inputs &amp; Assumptions'!$I$33*'Model Inputs &amp; Assumptions'!$K$33*G2968,0)))</f>
        <v>25000</v>
      </c>
      <c r="J2968" s="50" t="n">
        <f aca="false">H2968*INDEX('Model Inputs &amp; Assumptions'!$D$40:$D$42,MATCH('Model Inputs &amp; Assumptions'!$L$33,'Model Inputs &amp; Assumptions'!$A$40:$A$42,0))*INDEX('Model Inputs &amp; Assumptions'!$H$40:$H$42,MATCH('Model Inputs &amp; Assumptions'!$L$33,'Model Inputs &amp; Assumptions'!$A$40:$A$42,0))</f>
        <v>546735.772085678</v>
      </c>
      <c r="K2968" s="49" t="n">
        <f aca="false">H2968*INDEX('Model Inputs &amp; Assumptions'!$G$40:$G$42,MATCH('Model Inputs &amp; Assumptions'!$L$33,'Model Inputs &amp; Assumptions'!$A$40:$A$42,0))*INDEX('Model Inputs &amp; Assumptions'!$H$40:$H$42,MATCH('Model Inputs &amp; Assumptions'!$L$33,'Model Inputs &amp; Assumptions'!$A$40:$A$42,0))</f>
        <v>11481.4512137992</v>
      </c>
      <c r="L2968" s="51" t="n">
        <f aca="false">IFERROR(K2968/I2968,0)</f>
        <v>0.45925804855197</v>
      </c>
      <c r="M2968" s="49" t="n">
        <f aca="false">IFERROR(I2968/H2968,0)</f>
        <v>246.920005773546</v>
      </c>
      <c r="N2968" s="52" t="str">
        <f aca="false">'Model Inputs &amp; Assumptions'!$L$33</f>
        <v>PRD-SP01</v>
      </c>
      <c r="P2968" s="53" t="n">
        <v>-0.275814</v>
      </c>
      <c r="Q2968" s="53" t="n">
        <v>-1.619829</v>
      </c>
      <c r="R2968" s="53" t="n">
        <v>-1.089569</v>
      </c>
      <c r="S2968" s="53" t="n">
        <v>-1.020983</v>
      </c>
    </row>
    <row r="2969" customFormat="false" ht="15" hidden="false" customHeight="false" outlineLevel="0" collapsed="false">
      <c r="A2969" s="43" t="n">
        <v>466</v>
      </c>
      <c r="B2969" s="44" t="str">
        <f aca="false">'Model Inputs &amp; Assumptions'!$B$33</f>
        <v>Trade Republic — Savings Plan Push</v>
      </c>
      <c r="C2969" s="45" t="n">
        <f aca="false">ROUND(MAX(0,'Model Inputs &amp; Assumptions'!$S$33*EXP('Model Inputs &amp; Assumptions'!$T$33*P2969-'Model Inputs &amp; Assumptions'!$T$33^2/2)),0)</f>
        <v>1606483</v>
      </c>
      <c r="D2969" s="46" t="n">
        <f aca="false">MIN(1,'Model Inputs &amp; Assumptions'!$U$33*EXP('Model Inputs &amp; Assumptions'!$V$33*Q2969-'Model Inputs &amp; Assumptions'!$V$33^2/2))</f>
        <v>0</v>
      </c>
      <c r="E2969" s="45" t="n">
        <f aca="false">ROUND(C2969*D2969,0)</f>
        <v>0</v>
      </c>
      <c r="F2969" s="47" t="n">
        <f aca="false">MIN(1,'Model Inputs &amp; Assumptions'!$W$33*EXP('Model Inputs &amp; Assumptions'!$X$33*R2969-'Model Inputs &amp; Assumptions'!$X$33^2/2))</f>
        <v>0.00305900582228162</v>
      </c>
      <c r="G2969" s="45" t="n">
        <f aca="false">ROUND(C2969*F2969,0)</f>
        <v>4914</v>
      </c>
      <c r="H2969" s="48" t="n">
        <f aca="false">MAX(0,(C2969*'Model Inputs &amp; Assumptions'!$N$33+E2969*'Model Inputs &amp; Assumptions'!$O$33+G2969*'Model Inputs &amp; Assumptions'!$P$33)*EXP('Model Inputs &amp; Assumptions'!$Q$33*S2969-'Model Inputs &amp; Assumptions'!$Q$33^2/2))</f>
        <v>263.60540298631</v>
      </c>
      <c r="I2969" s="49" t="n">
        <f aca="false">IF('Model Inputs &amp; Assumptions'!$H$33="Fixed",'Model Inputs &amp; Assumptions'!$I$33*'Model Inputs &amp; Assumptions'!$K$33,IF('Model Inputs &amp; Assumptions'!$H$33="CPM",'Model Inputs &amp; Assumptions'!$I$33*'Model Inputs &amp; Assumptions'!$K$33*C2969/1000,IF('Model Inputs &amp; Assumptions'!$H$33="CPC",'Model Inputs &amp; Assumptions'!$I$33*'Model Inputs &amp; Assumptions'!$K$33*G2969,0)))</f>
        <v>25000</v>
      </c>
      <c r="J2969" s="50" t="n">
        <f aca="false">H2969*INDEX('Model Inputs &amp; Assumptions'!$D$40:$D$42,MATCH('Model Inputs &amp; Assumptions'!$L$33,'Model Inputs &amp; Assumptions'!$A$40:$A$42,0))*INDEX('Model Inputs &amp; Assumptions'!$H$40:$H$42,MATCH('Model Inputs &amp; Assumptions'!$L$33,'Model Inputs &amp; Assumptions'!$A$40:$A$42,0))</f>
        <v>1423469.17612608</v>
      </c>
      <c r="K2969" s="49" t="n">
        <f aca="false">H2969*INDEX('Model Inputs &amp; Assumptions'!$G$40:$G$42,MATCH('Model Inputs &amp; Assumptions'!$L$33,'Model Inputs &amp; Assumptions'!$A$40:$A$42,0))*INDEX('Model Inputs &amp; Assumptions'!$H$40:$H$42,MATCH('Model Inputs &amp; Assumptions'!$L$33,'Model Inputs &amp; Assumptions'!$A$40:$A$42,0))</f>
        <v>29892.8526986476</v>
      </c>
      <c r="L2969" s="51" t="n">
        <f aca="false">IFERROR(K2969/I2969,0)</f>
        <v>1.1957141079459</v>
      </c>
      <c r="M2969" s="49" t="n">
        <f aca="false">IFERROR(I2969/H2969,0)</f>
        <v>94.8387237772145</v>
      </c>
      <c r="N2969" s="52" t="str">
        <f aca="false">'Model Inputs &amp; Assumptions'!$L$33</f>
        <v>PRD-SP01</v>
      </c>
      <c r="P2969" s="53" t="n">
        <v>1.12242</v>
      </c>
      <c r="Q2969" s="53" t="n">
        <v>0.180232</v>
      </c>
      <c r="R2969" s="53" t="n">
        <v>-0.29891</v>
      </c>
      <c r="S2969" s="53" t="n">
        <v>0.050828</v>
      </c>
    </row>
    <row r="2970" customFormat="false" ht="15" hidden="false" customHeight="false" outlineLevel="0" collapsed="false">
      <c r="A2970" s="43" t="n">
        <v>467</v>
      </c>
      <c r="B2970" s="44" t="str">
        <f aca="false">'Model Inputs &amp; Assumptions'!$B$33</f>
        <v>Trade Republic — Savings Plan Push</v>
      </c>
      <c r="C2970" s="45" t="n">
        <f aca="false">ROUND(MAX(0,'Model Inputs &amp; Assumptions'!$S$33*EXP('Model Inputs &amp; Assumptions'!$T$33*P2970-'Model Inputs &amp; Assumptions'!$T$33^2/2)),0)</f>
        <v>1163977</v>
      </c>
      <c r="D2970" s="46" t="n">
        <f aca="false">MIN(1,'Model Inputs &amp; Assumptions'!$U$33*EXP('Model Inputs &amp; Assumptions'!$V$33*Q2970-'Model Inputs &amp; Assumptions'!$V$33^2/2))</f>
        <v>0</v>
      </c>
      <c r="E2970" s="45" t="n">
        <f aca="false">ROUND(C2970*D2970,0)</f>
        <v>0</v>
      </c>
      <c r="F2970" s="47" t="n">
        <f aca="false">MIN(1,'Model Inputs &amp; Assumptions'!$W$33*EXP('Model Inputs &amp; Assumptions'!$X$33*R2970-'Model Inputs &amp; Assumptions'!$X$33^2/2))</f>
        <v>0.0023244653799611</v>
      </c>
      <c r="G2970" s="45" t="n">
        <f aca="false">ROUND(C2970*F2970,0)</f>
        <v>2706</v>
      </c>
      <c r="H2970" s="48" t="n">
        <f aca="false">MAX(0,(C2970*'Model Inputs &amp; Assumptions'!$N$33+E2970*'Model Inputs &amp; Assumptions'!$O$33+G2970*'Model Inputs &amp; Assumptions'!$P$33)*EXP('Model Inputs &amp; Assumptions'!$Q$33*S2970-'Model Inputs &amp; Assumptions'!$Q$33^2/2))</f>
        <v>195.262880337343</v>
      </c>
      <c r="I2970" s="49" t="n">
        <f aca="false">IF('Model Inputs &amp; Assumptions'!$H$33="Fixed",'Model Inputs &amp; Assumptions'!$I$33*'Model Inputs &amp; Assumptions'!$K$33,IF('Model Inputs &amp; Assumptions'!$H$33="CPM",'Model Inputs &amp; Assumptions'!$I$33*'Model Inputs &amp; Assumptions'!$K$33*C2970/1000,IF('Model Inputs &amp; Assumptions'!$H$33="CPC",'Model Inputs &amp; Assumptions'!$I$33*'Model Inputs &amp; Assumptions'!$K$33*G2970,0)))</f>
        <v>25000</v>
      </c>
      <c r="J2970" s="50" t="n">
        <f aca="false">H2970*INDEX('Model Inputs &amp; Assumptions'!$D$40:$D$42,MATCH('Model Inputs &amp; Assumptions'!$L$33,'Model Inputs &amp; Assumptions'!$A$40:$A$42,0))*INDEX('Model Inputs &amp; Assumptions'!$H$40:$H$42,MATCH('Model Inputs &amp; Assumptions'!$L$33,'Model Inputs &amp; Assumptions'!$A$40:$A$42,0))</f>
        <v>1054419.55382165</v>
      </c>
      <c r="K2970" s="49" t="n">
        <f aca="false">H2970*INDEX('Model Inputs &amp; Assumptions'!$G$40:$G$42,MATCH('Model Inputs &amp; Assumptions'!$L$33,'Model Inputs &amp; Assumptions'!$A$40:$A$42,0))*INDEX('Model Inputs &amp; Assumptions'!$H$40:$H$42,MATCH('Model Inputs &amp; Assumptions'!$L$33,'Model Inputs &amp; Assumptions'!$A$40:$A$42,0))</f>
        <v>22142.8106302546</v>
      </c>
      <c r="L2970" s="51" t="n">
        <f aca="false">IFERROR(K2970/I2970,0)</f>
        <v>0.885712425210186</v>
      </c>
      <c r="M2970" s="49" t="n">
        <f aca="false">IFERROR(I2970/H2970,0)</f>
        <v>128.032527005692</v>
      </c>
      <c r="N2970" s="52" t="str">
        <f aca="false">'Model Inputs &amp; Assumptions'!$L$33</f>
        <v>PRD-SP01</v>
      </c>
      <c r="P2970" s="53" t="n">
        <v>0.048403</v>
      </c>
      <c r="Q2970" s="53" t="n">
        <v>-0.113806</v>
      </c>
      <c r="R2970" s="53" t="n">
        <v>-1.214243</v>
      </c>
      <c r="S2970" s="53" t="n">
        <v>1.109793</v>
      </c>
    </row>
    <row r="2971" customFormat="false" ht="15" hidden="false" customHeight="false" outlineLevel="0" collapsed="false">
      <c r="A2971" s="43" t="n">
        <v>468</v>
      </c>
      <c r="B2971" s="44" t="str">
        <f aca="false">'Model Inputs &amp; Assumptions'!$B$33</f>
        <v>Trade Republic — Savings Plan Push</v>
      </c>
      <c r="C2971" s="45" t="n">
        <f aca="false">ROUND(MAX(0,'Model Inputs &amp; Assumptions'!$S$33*EXP('Model Inputs &amp; Assumptions'!$T$33*P2971-'Model Inputs &amp; Assumptions'!$T$33^2/2)),0)</f>
        <v>942381</v>
      </c>
      <c r="D2971" s="46" t="n">
        <f aca="false">MIN(1,'Model Inputs &amp; Assumptions'!$U$33*EXP('Model Inputs &amp; Assumptions'!$V$33*Q2971-'Model Inputs &amp; Assumptions'!$V$33^2/2))</f>
        <v>0</v>
      </c>
      <c r="E2971" s="45" t="n">
        <f aca="false">ROUND(C2971*D2971,0)</f>
        <v>0</v>
      </c>
      <c r="F2971" s="47" t="n">
        <f aca="false">MIN(1,'Model Inputs &amp; Assumptions'!$W$33*EXP('Model Inputs &amp; Assumptions'!$X$33*R2971-'Model Inputs &amp; Assumptions'!$X$33^2/2))</f>
        <v>0.00352716124839649</v>
      </c>
      <c r="G2971" s="45" t="n">
        <f aca="false">ROUND(C2971*F2971,0)</f>
        <v>3324</v>
      </c>
      <c r="H2971" s="48" t="n">
        <f aca="false">MAX(0,(C2971*'Model Inputs &amp; Assumptions'!$N$33+E2971*'Model Inputs &amp; Assumptions'!$O$33+G2971*'Model Inputs &amp; Assumptions'!$P$33)*EXP('Model Inputs &amp; Assumptions'!$Q$33*S2971-'Model Inputs &amp; Assumptions'!$Q$33^2/2))</f>
        <v>163.203776442025</v>
      </c>
      <c r="I2971" s="49" t="n">
        <f aca="false">IF('Model Inputs &amp; Assumptions'!$H$33="Fixed",'Model Inputs &amp; Assumptions'!$I$33*'Model Inputs &amp; Assumptions'!$K$33,IF('Model Inputs &amp; Assumptions'!$H$33="CPM",'Model Inputs &amp; Assumptions'!$I$33*'Model Inputs &amp; Assumptions'!$K$33*C2971/1000,IF('Model Inputs &amp; Assumptions'!$H$33="CPC",'Model Inputs &amp; Assumptions'!$I$33*'Model Inputs &amp; Assumptions'!$K$33*G2971,0)))</f>
        <v>25000</v>
      </c>
      <c r="J2971" s="50" t="n">
        <f aca="false">H2971*INDEX('Model Inputs &amp; Assumptions'!$D$40:$D$42,MATCH('Model Inputs &amp; Assumptions'!$L$33,'Model Inputs &amp; Assumptions'!$A$40:$A$42,0))*INDEX('Model Inputs &amp; Assumptions'!$H$40:$H$42,MATCH('Model Inputs &amp; Assumptions'!$L$33,'Model Inputs &amp; Assumptions'!$A$40:$A$42,0))</f>
        <v>881300.392786937</v>
      </c>
      <c r="K2971" s="49" t="n">
        <f aca="false">H2971*INDEX('Model Inputs &amp; Assumptions'!$G$40:$G$42,MATCH('Model Inputs &amp; Assumptions'!$L$33,'Model Inputs &amp; Assumptions'!$A$40:$A$42,0))*INDEX('Model Inputs &amp; Assumptions'!$H$40:$H$42,MATCH('Model Inputs &amp; Assumptions'!$L$33,'Model Inputs &amp; Assumptions'!$A$40:$A$42,0))</f>
        <v>18507.3082485257</v>
      </c>
      <c r="L2971" s="51" t="n">
        <f aca="false">IFERROR(K2971/I2971,0)</f>
        <v>0.740292329941027</v>
      </c>
      <c r="M2971" s="49" t="n">
        <f aca="false">IFERROR(I2971/H2971,0)</f>
        <v>153.182729867043</v>
      </c>
      <c r="N2971" s="52" t="str">
        <f aca="false">'Model Inputs &amp; Assumptions'!$L$33</f>
        <v>PRD-SP01</v>
      </c>
      <c r="P2971" s="53" t="n">
        <v>-0.655559</v>
      </c>
      <c r="Q2971" s="53" t="n">
        <v>-1.143587</v>
      </c>
      <c r="R2971" s="53" t="n">
        <v>0.175768</v>
      </c>
      <c r="S2971" s="53" t="n">
        <v>-0.265366</v>
      </c>
    </row>
    <row r="2972" customFormat="false" ht="15" hidden="false" customHeight="false" outlineLevel="0" collapsed="false">
      <c r="A2972" s="43" t="n">
        <v>469</v>
      </c>
      <c r="B2972" s="44" t="str">
        <f aca="false">'Model Inputs &amp; Assumptions'!$B$33</f>
        <v>Trade Republic — Savings Plan Push</v>
      </c>
      <c r="C2972" s="45" t="n">
        <f aca="false">ROUND(MAX(0,'Model Inputs &amp; Assumptions'!$S$33*EXP('Model Inputs &amp; Assumptions'!$T$33*P2972-'Model Inputs &amp; Assumptions'!$T$33^2/2)),0)</f>
        <v>1429974</v>
      </c>
      <c r="D2972" s="46" t="n">
        <f aca="false">MIN(1,'Model Inputs &amp; Assumptions'!$U$33*EXP('Model Inputs &amp; Assumptions'!$V$33*Q2972-'Model Inputs &amp; Assumptions'!$V$33^2/2))</f>
        <v>0</v>
      </c>
      <c r="E2972" s="45" t="n">
        <f aca="false">ROUND(C2972*D2972,0)</f>
        <v>0</v>
      </c>
      <c r="F2972" s="47" t="n">
        <f aca="false">MIN(1,'Model Inputs &amp; Assumptions'!$W$33*EXP('Model Inputs &amp; Assumptions'!$X$33*R2972-'Model Inputs &amp; Assumptions'!$X$33^2/2))</f>
        <v>0.0052664144895918</v>
      </c>
      <c r="G2972" s="45" t="n">
        <f aca="false">ROUND(C2972*F2972,0)</f>
        <v>7531</v>
      </c>
      <c r="H2972" s="48" t="n">
        <f aca="false">MAX(0,(C2972*'Model Inputs &amp; Assumptions'!$N$33+E2972*'Model Inputs &amp; Assumptions'!$O$33+G2972*'Model Inputs &amp; Assumptions'!$P$33)*EXP('Model Inputs &amp; Assumptions'!$Q$33*S2972-'Model Inputs &amp; Assumptions'!$Q$33^2/2))</f>
        <v>322.137483029877</v>
      </c>
      <c r="I2972" s="49" t="n">
        <f aca="false">IF('Model Inputs &amp; Assumptions'!$H$33="Fixed",'Model Inputs &amp; Assumptions'!$I$33*'Model Inputs &amp; Assumptions'!$K$33,IF('Model Inputs &amp; Assumptions'!$H$33="CPM",'Model Inputs &amp; Assumptions'!$I$33*'Model Inputs &amp; Assumptions'!$K$33*C2972/1000,IF('Model Inputs &amp; Assumptions'!$H$33="CPC",'Model Inputs &amp; Assumptions'!$I$33*'Model Inputs &amp; Assumptions'!$K$33*G2972,0)))</f>
        <v>25000</v>
      </c>
      <c r="J2972" s="50" t="n">
        <f aca="false">H2972*INDEX('Model Inputs &amp; Assumptions'!$D$40:$D$42,MATCH('Model Inputs &amp; Assumptions'!$L$33,'Model Inputs &amp; Assumptions'!$A$40:$A$42,0))*INDEX('Model Inputs &amp; Assumptions'!$H$40:$H$42,MATCH('Model Inputs &amp; Assumptions'!$L$33,'Model Inputs &amp; Assumptions'!$A$40:$A$42,0))</f>
        <v>1739542.40836133</v>
      </c>
      <c r="K2972" s="49" t="n">
        <f aca="false">H2972*INDEX('Model Inputs &amp; Assumptions'!$G$40:$G$42,MATCH('Model Inputs &amp; Assumptions'!$L$33,'Model Inputs &amp; Assumptions'!$A$40:$A$42,0))*INDEX('Model Inputs &amp; Assumptions'!$H$40:$H$42,MATCH('Model Inputs &amp; Assumptions'!$L$33,'Model Inputs &amp; Assumptions'!$A$40:$A$42,0))</f>
        <v>36530.390575588</v>
      </c>
      <c r="L2972" s="51" t="n">
        <f aca="false">IFERROR(K2972/I2972,0)</f>
        <v>1.46121562302352</v>
      </c>
      <c r="M2972" s="49" t="n">
        <f aca="false">IFERROR(I2972/H2972,0)</f>
        <v>77.6066161716468</v>
      </c>
      <c r="N2972" s="52" t="str">
        <f aca="false">'Model Inputs &amp; Assumptions'!$L$33</f>
        <v>PRD-SP01</v>
      </c>
      <c r="P2972" s="53" t="n">
        <v>0.734449</v>
      </c>
      <c r="Q2972" s="53" t="n">
        <v>1.180321</v>
      </c>
      <c r="R2972" s="53" t="n">
        <v>1.511956</v>
      </c>
      <c r="S2972" s="53" t="n">
        <v>-0.757795</v>
      </c>
    </row>
    <row r="2973" customFormat="false" ht="15" hidden="false" customHeight="false" outlineLevel="0" collapsed="false">
      <c r="A2973" s="43" t="n">
        <v>470</v>
      </c>
      <c r="B2973" s="44" t="str">
        <f aca="false">'Model Inputs &amp; Assumptions'!$B$33</f>
        <v>Trade Republic — Savings Plan Push</v>
      </c>
      <c r="C2973" s="45" t="n">
        <f aca="false">ROUND(MAX(0,'Model Inputs &amp; Assumptions'!$S$33*EXP('Model Inputs &amp; Assumptions'!$T$33*P2973-'Model Inputs &amp; Assumptions'!$T$33^2/2)),0)</f>
        <v>1589944</v>
      </c>
      <c r="D2973" s="46" t="n">
        <f aca="false">MIN(1,'Model Inputs &amp; Assumptions'!$U$33*EXP('Model Inputs &amp; Assumptions'!$V$33*Q2973-'Model Inputs &amp; Assumptions'!$V$33^2/2))</f>
        <v>0</v>
      </c>
      <c r="E2973" s="45" t="n">
        <f aca="false">ROUND(C2973*D2973,0)</f>
        <v>0</v>
      </c>
      <c r="F2973" s="47" t="n">
        <f aca="false">MIN(1,'Model Inputs &amp; Assumptions'!$W$33*EXP('Model Inputs &amp; Assumptions'!$X$33*R2973-'Model Inputs &amp; Assumptions'!$X$33^2/2))</f>
        <v>0.00428136578997125</v>
      </c>
      <c r="G2973" s="45" t="n">
        <f aca="false">ROUND(C2973*F2973,0)</f>
        <v>6807</v>
      </c>
      <c r="H2973" s="48" t="n">
        <f aca="false">MAX(0,(C2973*'Model Inputs &amp; Assumptions'!$N$33+E2973*'Model Inputs &amp; Assumptions'!$O$33+G2973*'Model Inputs &amp; Assumptions'!$P$33)*EXP('Model Inputs &amp; Assumptions'!$Q$33*S2973-'Model Inputs &amp; Assumptions'!$Q$33^2/2))</f>
        <v>439.538960137595</v>
      </c>
      <c r="I2973" s="49" t="n">
        <f aca="false">IF('Model Inputs &amp; Assumptions'!$H$33="Fixed",'Model Inputs &amp; Assumptions'!$I$33*'Model Inputs &amp; Assumptions'!$K$33,IF('Model Inputs &amp; Assumptions'!$H$33="CPM",'Model Inputs &amp; Assumptions'!$I$33*'Model Inputs &amp; Assumptions'!$K$33*C2973/1000,IF('Model Inputs &amp; Assumptions'!$H$33="CPC",'Model Inputs &amp; Assumptions'!$I$33*'Model Inputs &amp; Assumptions'!$K$33*G2973,0)))</f>
        <v>25000</v>
      </c>
      <c r="J2973" s="50" t="n">
        <f aca="false">H2973*INDEX('Model Inputs &amp; Assumptions'!$D$40:$D$42,MATCH('Model Inputs &amp; Assumptions'!$L$33,'Model Inputs &amp; Assumptions'!$A$40:$A$42,0))*INDEX('Model Inputs &amp; Assumptions'!$H$40:$H$42,MATCH('Model Inputs &amp; Assumptions'!$L$33,'Model Inputs &amp; Assumptions'!$A$40:$A$42,0))</f>
        <v>2373510.38474301</v>
      </c>
      <c r="K2973" s="49" t="n">
        <f aca="false">H2973*INDEX('Model Inputs &amp; Assumptions'!$G$40:$G$42,MATCH('Model Inputs &amp; Assumptions'!$L$33,'Model Inputs &amp; Assumptions'!$A$40:$A$42,0))*INDEX('Model Inputs &amp; Assumptions'!$H$40:$H$42,MATCH('Model Inputs &amp; Assumptions'!$L$33,'Model Inputs &amp; Assumptions'!$A$40:$A$42,0))</f>
        <v>49843.7180796033</v>
      </c>
      <c r="L2973" s="51" t="n">
        <f aca="false">IFERROR(K2973/I2973,0)</f>
        <v>1.99374872318413</v>
      </c>
      <c r="M2973" s="49" t="n">
        <f aca="false">IFERROR(I2973/H2973,0)</f>
        <v>56.8777793717624</v>
      </c>
      <c r="N2973" s="52" t="str">
        <f aca="false">'Model Inputs &amp; Assumptions'!$L$33</f>
        <v>PRD-SP01</v>
      </c>
      <c r="P2973" s="53" t="n">
        <v>1.087925</v>
      </c>
      <c r="Q2973" s="53" t="n">
        <v>-1.012375</v>
      </c>
      <c r="R2973" s="53" t="n">
        <v>0.821697</v>
      </c>
      <c r="S2973" s="53" t="n">
        <v>0.713006</v>
      </c>
    </row>
    <row r="2974" customFormat="false" ht="15" hidden="false" customHeight="false" outlineLevel="0" collapsed="false">
      <c r="A2974" s="43" t="n">
        <v>471</v>
      </c>
      <c r="B2974" s="44" t="str">
        <f aca="false">'Model Inputs &amp; Assumptions'!$B$33</f>
        <v>Trade Republic — Savings Plan Push</v>
      </c>
      <c r="C2974" s="45" t="n">
        <f aca="false">ROUND(MAX(0,'Model Inputs &amp; Assumptions'!$S$33*EXP('Model Inputs &amp; Assumptions'!$T$33*P2974-'Model Inputs &amp; Assumptions'!$T$33^2/2)),0)</f>
        <v>1458841</v>
      </c>
      <c r="D2974" s="46" t="n">
        <f aca="false">MIN(1,'Model Inputs &amp; Assumptions'!$U$33*EXP('Model Inputs &amp; Assumptions'!$V$33*Q2974-'Model Inputs &amp; Assumptions'!$V$33^2/2))</f>
        <v>0</v>
      </c>
      <c r="E2974" s="45" t="n">
        <f aca="false">ROUND(C2974*D2974,0)</f>
        <v>0</v>
      </c>
      <c r="F2974" s="47" t="n">
        <f aca="false">MIN(1,'Model Inputs &amp; Assumptions'!$W$33*EXP('Model Inputs &amp; Assumptions'!$X$33*R2974-'Model Inputs &amp; Assumptions'!$X$33^2/2))</f>
        <v>0.00360471520816898</v>
      </c>
      <c r="G2974" s="45" t="n">
        <f aca="false">ROUND(C2974*F2974,0)</f>
        <v>5259</v>
      </c>
      <c r="H2974" s="48" t="n">
        <f aca="false">MAX(0,(C2974*'Model Inputs &amp; Assumptions'!$N$33+E2974*'Model Inputs &amp; Assumptions'!$O$33+G2974*'Model Inputs &amp; Assumptions'!$P$33)*EXP('Model Inputs &amp; Assumptions'!$Q$33*S2974-'Model Inputs &amp; Assumptions'!$Q$33^2/2))</f>
        <v>314.797407096395</v>
      </c>
      <c r="I2974" s="49" t="n">
        <f aca="false">IF('Model Inputs &amp; Assumptions'!$H$33="Fixed",'Model Inputs &amp; Assumptions'!$I$33*'Model Inputs &amp; Assumptions'!$K$33,IF('Model Inputs &amp; Assumptions'!$H$33="CPM",'Model Inputs &amp; Assumptions'!$I$33*'Model Inputs &amp; Assumptions'!$K$33*C2974/1000,IF('Model Inputs &amp; Assumptions'!$H$33="CPC",'Model Inputs &amp; Assumptions'!$I$33*'Model Inputs &amp; Assumptions'!$K$33*G2974,0)))</f>
        <v>25000</v>
      </c>
      <c r="J2974" s="50" t="n">
        <f aca="false">H2974*INDEX('Model Inputs &amp; Assumptions'!$D$40:$D$42,MATCH('Model Inputs &amp; Assumptions'!$L$33,'Model Inputs &amp; Assumptions'!$A$40:$A$42,0))*INDEX('Model Inputs &amp; Assumptions'!$H$40:$H$42,MATCH('Model Inputs &amp; Assumptions'!$L$33,'Model Inputs &amp; Assumptions'!$A$40:$A$42,0))</f>
        <v>1699905.99832053</v>
      </c>
      <c r="K2974" s="49" t="n">
        <f aca="false">H2974*INDEX('Model Inputs &amp; Assumptions'!$G$40:$G$42,MATCH('Model Inputs &amp; Assumptions'!$L$33,'Model Inputs &amp; Assumptions'!$A$40:$A$42,0))*INDEX('Model Inputs &amp; Assumptions'!$H$40:$H$42,MATCH('Model Inputs &amp; Assumptions'!$L$33,'Model Inputs &amp; Assumptions'!$A$40:$A$42,0))</f>
        <v>35698.0259647312</v>
      </c>
      <c r="L2974" s="51" t="n">
        <f aca="false">IFERROR(K2974/I2974,0)</f>
        <v>1.42792103858925</v>
      </c>
      <c r="M2974" s="49" t="n">
        <f aca="false">IFERROR(I2974/H2974,0)</f>
        <v>79.416156030614</v>
      </c>
      <c r="N2974" s="52" t="str">
        <f aca="false">'Model Inputs &amp; Assumptions'!$L$33</f>
        <v>PRD-SP01</v>
      </c>
      <c r="P2974" s="53" t="n">
        <v>0.801069</v>
      </c>
      <c r="Q2974" s="53" t="n">
        <v>-0.199112</v>
      </c>
      <c r="R2974" s="53" t="n">
        <v>0.248266</v>
      </c>
      <c r="S2974" s="53" t="n">
        <v>0.44234</v>
      </c>
    </row>
    <row r="2975" customFormat="false" ht="15" hidden="false" customHeight="false" outlineLevel="0" collapsed="false">
      <c r="A2975" s="43" t="n">
        <v>472</v>
      </c>
      <c r="B2975" s="44" t="str">
        <f aca="false">'Model Inputs &amp; Assumptions'!$B$33</f>
        <v>Trade Republic — Savings Plan Push</v>
      </c>
      <c r="C2975" s="45" t="n">
        <f aca="false">ROUND(MAX(0,'Model Inputs &amp; Assumptions'!$S$33*EXP('Model Inputs &amp; Assumptions'!$T$33*P2975-'Model Inputs &amp; Assumptions'!$T$33^2/2)),0)</f>
        <v>1057456</v>
      </c>
      <c r="D2975" s="46" t="n">
        <f aca="false">MIN(1,'Model Inputs &amp; Assumptions'!$U$33*EXP('Model Inputs &amp; Assumptions'!$V$33*Q2975-'Model Inputs &amp; Assumptions'!$V$33^2/2))</f>
        <v>0</v>
      </c>
      <c r="E2975" s="45" t="n">
        <f aca="false">ROUND(C2975*D2975,0)</f>
        <v>0</v>
      </c>
      <c r="F2975" s="47" t="n">
        <f aca="false">MIN(1,'Model Inputs &amp; Assumptions'!$W$33*EXP('Model Inputs &amp; Assumptions'!$X$33*R2975-'Model Inputs &amp; Assumptions'!$X$33^2/2))</f>
        <v>0.00285198364651723</v>
      </c>
      <c r="G2975" s="45" t="n">
        <f aca="false">ROUND(C2975*F2975,0)</f>
        <v>3016</v>
      </c>
      <c r="H2975" s="48" t="n">
        <f aca="false">MAX(0,(C2975*'Model Inputs &amp; Assumptions'!$N$33+E2975*'Model Inputs &amp; Assumptions'!$O$33+G2975*'Model Inputs &amp; Assumptions'!$P$33)*EXP('Model Inputs &amp; Assumptions'!$Q$33*S2975-'Model Inputs &amp; Assumptions'!$Q$33^2/2))</f>
        <v>236.500328131252</v>
      </c>
      <c r="I2975" s="49" t="n">
        <f aca="false">IF('Model Inputs &amp; Assumptions'!$H$33="Fixed",'Model Inputs &amp; Assumptions'!$I$33*'Model Inputs &amp; Assumptions'!$K$33,IF('Model Inputs &amp; Assumptions'!$H$33="CPM",'Model Inputs &amp; Assumptions'!$I$33*'Model Inputs &amp; Assumptions'!$K$33*C2975/1000,IF('Model Inputs &amp; Assumptions'!$H$33="CPC",'Model Inputs &amp; Assumptions'!$I$33*'Model Inputs &amp; Assumptions'!$K$33*G2975,0)))</f>
        <v>25000</v>
      </c>
      <c r="J2975" s="50" t="n">
        <f aca="false">H2975*INDEX('Model Inputs &amp; Assumptions'!$D$40:$D$42,MATCH('Model Inputs &amp; Assumptions'!$L$33,'Model Inputs &amp; Assumptions'!$A$40:$A$42,0))*INDEX('Model Inputs &amp; Assumptions'!$H$40:$H$42,MATCH('Model Inputs &amp; Assumptions'!$L$33,'Model Inputs &amp; Assumptions'!$A$40:$A$42,0))</f>
        <v>1277101.77190876</v>
      </c>
      <c r="K2975" s="49" t="n">
        <f aca="false">H2975*INDEX('Model Inputs &amp; Assumptions'!$G$40:$G$42,MATCH('Model Inputs &amp; Assumptions'!$L$33,'Model Inputs &amp; Assumptions'!$A$40:$A$42,0))*INDEX('Model Inputs &amp; Assumptions'!$H$40:$H$42,MATCH('Model Inputs &amp; Assumptions'!$L$33,'Model Inputs &amp; Assumptions'!$A$40:$A$42,0))</f>
        <v>26819.137210084</v>
      </c>
      <c r="L2975" s="51" t="n">
        <f aca="false">IFERROR(K2975/I2975,0)</f>
        <v>1.07276548840336</v>
      </c>
      <c r="M2975" s="49" t="n">
        <f aca="false">IFERROR(I2975/H2975,0)</f>
        <v>105.708098578728</v>
      </c>
      <c r="N2975" s="52" t="str">
        <f aca="false">'Model Inputs &amp; Assumptions'!$L$33</f>
        <v>PRD-SP01</v>
      </c>
      <c r="P2975" s="53" t="n">
        <v>-0.271518</v>
      </c>
      <c r="Q2975" s="53" t="n">
        <v>-0.645007</v>
      </c>
      <c r="R2975" s="53" t="n">
        <v>-0.532494</v>
      </c>
      <c r="S2975" s="53" t="n">
        <v>1.406732</v>
      </c>
    </row>
    <row r="2976" customFormat="false" ht="15" hidden="false" customHeight="false" outlineLevel="0" collapsed="false">
      <c r="A2976" s="43" t="n">
        <v>473</v>
      </c>
      <c r="B2976" s="44" t="str">
        <f aca="false">'Model Inputs &amp; Assumptions'!$B$33</f>
        <v>Trade Republic — Savings Plan Push</v>
      </c>
      <c r="C2976" s="45" t="n">
        <f aca="false">ROUND(MAX(0,'Model Inputs &amp; Assumptions'!$S$33*EXP('Model Inputs &amp; Assumptions'!$T$33*P2976-'Model Inputs &amp; Assumptions'!$T$33^2/2)),0)</f>
        <v>1413111</v>
      </c>
      <c r="D2976" s="46" t="n">
        <f aca="false">MIN(1,'Model Inputs &amp; Assumptions'!$U$33*EXP('Model Inputs &amp; Assumptions'!$V$33*Q2976-'Model Inputs &amp; Assumptions'!$V$33^2/2))</f>
        <v>0</v>
      </c>
      <c r="E2976" s="45" t="n">
        <f aca="false">ROUND(C2976*D2976,0)</f>
        <v>0</v>
      </c>
      <c r="F2976" s="47" t="n">
        <f aca="false">MIN(1,'Model Inputs &amp; Assumptions'!$W$33*EXP('Model Inputs &amp; Assumptions'!$X$33*R2976-'Model Inputs &amp; Assumptions'!$X$33^2/2))</f>
        <v>0.00360161612556995</v>
      </c>
      <c r="G2976" s="45" t="n">
        <f aca="false">ROUND(C2976*F2976,0)</f>
        <v>5089</v>
      </c>
      <c r="H2976" s="48" t="n">
        <f aca="false">MAX(0,(C2976*'Model Inputs &amp; Assumptions'!$N$33+E2976*'Model Inputs &amp; Assumptions'!$O$33+G2976*'Model Inputs &amp; Assumptions'!$P$33)*EXP('Model Inputs &amp; Assumptions'!$Q$33*S2976-'Model Inputs &amp; Assumptions'!$Q$33^2/2))</f>
        <v>271.233798174684</v>
      </c>
      <c r="I2976" s="49" t="n">
        <f aca="false">IF('Model Inputs &amp; Assumptions'!$H$33="Fixed",'Model Inputs &amp; Assumptions'!$I$33*'Model Inputs &amp; Assumptions'!$K$33,IF('Model Inputs &amp; Assumptions'!$H$33="CPM",'Model Inputs &amp; Assumptions'!$I$33*'Model Inputs &amp; Assumptions'!$K$33*C2976/1000,IF('Model Inputs &amp; Assumptions'!$H$33="CPC",'Model Inputs &amp; Assumptions'!$I$33*'Model Inputs &amp; Assumptions'!$K$33*G2976,0)))</f>
        <v>25000</v>
      </c>
      <c r="J2976" s="50" t="n">
        <f aca="false">H2976*INDEX('Model Inputs &amp; Assumptions'!$D$40:$D$42,MATCH('Model Inputs &amp; Assumptions'!$L$33,'Model Inputs &amp; Assumptions'!$A$40:$A$42,0))*INDEX('Model Inputs &amp; Assumptions'!$H$40:$H$42,MATCH('Model Inputs &amp; Assumptions'!$L$33,'Model Inputs &amp; Assumptions'!$A$40:$A$42,0))</f>
        <v>1464662.51014329</v>
      </c>
      <c r="K2976" s="49" t="n">
        <f aca="false">H2976*INDEX('Model Inputs &amp; Assumptions'!$G$40:$G$42,MATCH('Model Inputs &amp; Assumptions'!$L$33,'Model Inputs &amp; Assumptions'!$A$40:$A$42,0))*INDEX('Model Inputs &amp; Assumptions'!$H$40:$H$42,MATCH('Model Inputs &amp; Assumptions'!$L$33,'Model Inputs &amp; Assumptions'!$A$40:$A$42,0))</f>
        <v>30757.9127130091</v>
      </c>
      <c r="L2976" s="51" t="n">
        <f aca="false">IFERROR(K2976/I2976,0)</f>
        <v>1.23031650852036</v>
      </c>
      <c r="M2976" s="49" t="n">
        <f aca="false">IFERROR(I2976/H2976,0)</f>
        <v>92.1714040368198</v>
      </c>
      <c r="N2976" s="52" t="str">
        <f aca="false">'Model Inputs &amp; Assumptions'!$L$33</f>
        <v>PRD-SP01</v>
      </c>
      <c r="P2976" s="53" t="n">
        <v>0.694908</v>
      </c>
      <c r="Q2976" s="53" t="n">
        <v>-0.858647</v>
      </c>
      <c r="R2976" s="53" t="n">
        <v>0.245399</v>
      </c>
      <c r="S2976" s="53" t="n">
        <v>0.027738</v>
      </c>
    </row>
    <row r="2977" customFormat="false" ht="15" hidden="false" customHeight="false" outlineLevel="0" collapsed="false">
      <c r="A2977" s="43" t="n">
        <v>474</v>
      </c>
      <c r="B2977" s="44" t="str">
        <f aca="false">'Model Inputs &amp; Assumptions'!$B$33</f>
        <v>Trade Republic — Savings Plan Push</v>
      </c>
      <c r="C2977" s="45" t="n">
        <f aca="false">ROUND(MAX(0,'Model Inputs &amp; Assumptions'!$S$33*EXP('Model Inputs &amp; Assumptions'!$T$33*P2977-'Model Inputs &amp; Assumptions'!$T$33^2/2)),0)</f>
        <v>1213826</v>
      </c>
      <c r="D2977" s="46" t="n">
        <f aca="false">MIN(1,'Model Inputs &amp; Assumptions'!$U$33*EXP('Model Inputs &amp; Assumptions'!$V$33*Q2977-'Model Inputs &amp; Assumptions'!$V$33^2/2))</f>
        <v>0</v>
      </c>
      <c r="E2977" s="45" t="n">
        <f aca="false">ROUND(C2977*D2977,0)</f>
        <v>0</v>
      </c>
      <c r="F2977" s="47" t="n">
        <f aca="false">MIN(1,'Model Inputs &amp; Assumptions'!$W$33*EXP('Model Inputs &amp; Assumptions'!$X$33*R2977-'Model Inputs &amp; Assumptions'!$X$33^2/2))</f>
        <v>0.00404152690962361</v>
      </c>
      <c r="G2977" s="45" t="n">
        <f aca="false">ROUND(C2977*F2977,0)</f>
        <v>4906</v>
      </c>
      <c r="H2977" s="48" t="n">
        <f aca="false">MAX(0,(C2977*'Model Inputs &amp; Assumptions'!$N$33+E2977*'Model Inputs &amp; Assumptions'!$O$33+G2977*'Model Inputs &amp; Assumptions'!$P$33)*EXP('Model Inputs &amp; Assumptions'!$Q$33*S2977-'Model Inputs &amp; Assumptions'!$Q$33^2/2))</f>
        <v>206.029683087865</v>
      </c>
      <c r="I2977" s="49" t="n">
        <f aca="false">IF('Model Inputs &amp; Assumptions'!$H$33="Fixed",'Model Inputs &amp; Assumptions'!$I$33*'Model Inputs &amp; Assumptions'!$K$33,IF('Model Inputs &amp; Assumptions'!$H$33="CPM",'Model Inputs &amp; Assumptions'!$I$33*'Model Inputs &amp; Assumptions'!$K$33*C2977/1000,IF('Model Inputs &amp; Assumptions'!$H$33="CPC",'Model Inputs &amp; Assumptions'!$I$33*'Model Inputs &amp; Assumptions'!$K$33*G2977,0)))</f>
        <v>25000</v>
      </c>
      <c r="J2977" s="50" t="n">
        <f aca="false">H2977*INDEX('Model Inputs &amp; Assumptions'!$D$40:$D$42,MATCH('Model Inputs &amp; Assumptions'!$L$33,'Model Inputs &amp; Assumptions'!$A$40:$A$42,0))*INDEX('Model Inputs &amp; Assumptions'!$H$40:$H$42,MATCH('Model Inputs &amp; Assumptions'!$L$33,'Model Inputs &amp; Assumptions'!$A$40:$A$42,0))</f>
        <v>1112560.28867447</v>
      </c>
      <c r="K2977" s="49" t="n">
        <f aca="false">H2977*INDEX('Model Inputs &amp; Assumptions'!$G$40:$G$42,MATCH('Model Inputs &amp; Assumptions'!$L$33,'Model Inputs &amp; Assumptions'!$A$40:$A$42,0))*INDEX('Model Inputs &amp; Assumptions'!$H$40:$H$42,MATCH('Model Inputs &amp; Assumptions'!$L$33,'Model Inputs &amp; Assumptions'!$A$40:$A$42,0))</f>
        <v>23363.7660621639</v>
      </c>
      <c r="L2977" s="51" t="n">
        <f aca="false">IFERROR(K2977/I2977,0)</f>
        <v>0.934550642486554</v>
      </c>
      <c r="M2977" s="49" t="n">
        <f aca="false">IFERROR(I2977/H2977,0)</f>
        <v>121.341738847108</v>
      </c>
      <c r="N2977" s="52" t="str">
        <f aca="false">'Model Inputs &amp; Assumptions'!$L$33</f>
        <v>PRD-SP01</v>
      </c>
      <c r="P2977" s="53" t="n">
        <v>0.188185</v>
      </c>
      <c r="Q2977" s="53" t="n">
        <v>-0.005532</v>
      </c>
      <c r="R2977" s="53" t="n">
        <v>0.629532</v>
      </c>
      <c r="S2977" s="53" t="n">
        <v>-0.823471</v>
      </c>
    </row>
    <row r="2978" customFormat="false" ht="15" hidden="false" customHeight="false" outlineLevel="0" collapsed="false">
      <c r="A2978" s="43" t="n">
        <v>475</v>
      </c>
      <c r="B2978" s="44" t="str">
        <f aca="false">'Model Inputs &amp; Assumptions'!$B$33</f>
        <v>Trade Republic — Savings Plan Push</v>
      </c>
      <c r="C2978" s="45" t="n">
        <f aca="false">ROUND(MAX(0,'Model Inputs &amp; Assumptions'!$S$33*EXP('Model Inputs &amp; Assumptions'!$T$33*P2978-'Model Inputs &amp; Assumptions'!$T$33^2/2)),0)</f>
        <v>2341592</v>
      </c>
      <c r="D2978" s="46" t="n">
        <f aca="false">MIN(1,'Model Inputs &amp; Assumptions'!$U$33*EXP('Model Inputs &amp; Assumptions'!$V$33*Q2978-'Model Inputs &amp; Assumptions'!$V$33^2/2))</f>
        <v>0</v>
      </c>
      <c r="E2978" s="45" t="n">
        <f aca="false">ROUND(C2978*D2978,0)</f>
        <v>0</v>
      </c>
      <c r="F2978" s="47" t="n">
        <f aca="false">MIN(1,'Model Inputs &amp; Assumptions'!$W$33*EXP('Model Inputs &amp; Assumptions'!$X$33*R2978-'Model Inputs &amp; Assumptions'!$X$33^2/2))</f>
        <v>0.00277139628857933</v>
      </c>
      <c r="G2978" s="45" t="n">
        <f aca="false">ROUND(C2978*F2978,0)</f>
        <v>6489</v>
      </c>
      <c r="H2978" s="48" t="n">
        <f aca="false">MAX(0,(C2978*'Model Inputs &amp; Assumptions'!$N$33+E2978*'Model Inputs &amp; Assumptions'!$O$33+G2978*'Model Inputs &amp; Assumptions'!$P$33)*EXP('Model Inputs &amp; Assumptions'!$Q$33*S2978-'Model Inputs &amp; Assumptions'!$Q$33^2/2))</f>
        <v>281.968719456224</v>
      </c>
      <c r="I2978" s="49" t="n">
        <f aca="false">IF('Model Inputs &amp; Assumptions'!$H$33="Fixed",'Model Inputs &amp; Assumptions'!$I$33*'Model Inputs &amp; Assumptions'!$K$33,IF('Model Inputs &amp; Assumptions'!$H$33="CPM",'Model Inputs &amp; Assumptions'!$I$33*'Model Inputs &amp; Assumptions'!$K$33*C2978/1000,IF('Model Inputs &amp; Assumptions'!$H$33="CPC",'Model Inputs &amp; Assumptions'!$I$33*'Model Inputs &amp; Assumptions'!$K$33*G2978,0)))</f>
        <v>25000</v>
      </c>
      <c r="J2978" s="50" t="n">
        <f aca="false">H2978*INDEX('Model Inputs &amp; Assumptions'!$D$40:$D$42,MATCH('Model Inputs &amp; Assumptions'!$L$33,'Model Inputs &amp; Assumptions'!$A$40:$A$42,0))*INDEX('Model Inputs &amp; Assumptions'!$H$40:$H$42,MATCH('Model Inputs &amp; Assumptions'!$L$33,'Model Inputs &amp; Assumptions'!$A$40:$A$42,0))</f>
        <v>1522631.08506361</v>
      </c>
      <c r="K2978" s="49" t="n">
        <f aca="false">H2978*INDEX('Model Inputs &amp; Assumptions'!$G$40:$G$42,MATCH('Model Inputs &amp; Assumptions'!$L$33,'Model Inputs &amp; Assumptions'!$A$40:$A$42,0))*INDEX('Model Inputs &amp; Assumptions'!$H$40:$H$42,MATCH('Model Inputs &amp; Assumptions'!$L$33,'Model Inputs &amp; Assumptions'!$A$40:$A$42,0))</f>
        <v>31975.2527863358</v>
      </c>
      <c r="L2978" s="51" t="n">
        <f aca="false">IFERROR(K2978/I2978,0)</f>
        <v>1.27901011145343</v>
      </c>
      <c r="M2978" s="49" t="n">
        <f aca="false">IFERROR(I2978/H2978,0)</f>
        <v>88.6623170407428</v>
      </c>
      <c r="N2978" s="52" t="str">
        <f aca="false">'Model Inputs &amp; Assumptions'!$L$33</f>
        <v>PRD-SP01</v>
      </c>
      <c r="P2978" s="53" t="n">
        <v>2.378365</v>
      </c>
      <c r="Q2978" s="53" t="n">
        <v>0.981086</v>
      </c>
      <c r="R2978" s="53" t="n">
        <v>-0.628039</v>
      </c>
      <c r="S2978" s="53" t="n">
        <v>-0.701591</v>
      </c>
    </row>
    <row r="2979" customFormat="false" ht="15" hidden="false" customHeight="false" outlineLevel="0" collapsed="false">
      <c r="A2979" s="43" t="n">
        <v>476</v>
      </c>
      <c r="B2979" s="44" t="str">
        <f aca="false">'Model Inputs &amp; Assumptions'!$B$33</f>
        <v>Trade Republic — Savings Plan Push</v>
      </c>
      <c r="C2979" s="45" t="n">
        <f aca="false">ROUND(MAX(0,'Model Inputs &amp; Assumptions'!$S$33*EXP('Model Inputs &amp; Assumptions'!$T$33*P2979-'Model Inputs &amp; Assumptions'!$T$33^2/2)),0)</f>
        <v>1104152</v>
      </c>
      <c r="D2979" s="46" t="n">
        <f aca="false">MIN(1,'Model Inputs &amp; Assumptions'!$U$33*EXP('Model Inputs &amp; Assumptions'!$V$33*Q2979-'Model Inputs &amp; Assumptions'!$V$33^2/2))</f>
        <v>0</v>
      </c>
      <c r="E2979" s="45" t="n">
        <f aca="false">ROUND(C2979*D2979,0)</f>
        <v>0</v>
      </c>
      <c r="F2979" s="47" t="n">
        <f aca="false">MIN(1,'Model Inputs &amp; Assumptions'!$W$33*EXP('Model Inputs &amp; Assumptions'!$X$33*R2979-'Model Inputs &amp; Assumptions'!$X$33^2/2))</f>
        <v>0.00385306358601092</v>
      </c>
      <c r="G2979" s="45" t="n">
        <f aca="false">ROUND(C2979*F2979,0)</f>
        <v>4254</v>
      </c>
      <c r="H2979" s="48" t="n">
        <f aca="false">MAX(0,(C2979*'Model Inputs &amp; Assumptions'!$N$33+E2979*'Model Inputs &amp; Assumptions'!$O$33+G2979*'Model Inputs &amp; Assumptions'!$P$33)*EXP('Model Inputs &amp; Assumptions'!$Q$33*S2979-'Model Inputs &amp; Assumptions'!$Q$33^2/2))</f>
        <v>230.54901863323</v>
      </c>
      <c r="I2979" s="49" t="n">
        <f aca="false">IF('Model Inputs &amp; Assumptions'!$H$33="Fixed",'Model Inputs &amp; Assumptions'!$I$33*'Model Inputs &amp; Assumptions'!$K$33,IF('Model Inputs &amp; Assumptions'!$H$33="CPM",'Model Inputs &amp; Assumptions'!$I$33*'Model Inputs &amp; Assumptions'!$K$33*C2979/1000,IF('Model Inputs &amp; Assumptions'!$H$33="CPC",'Model Inputs &amp; Assumptions'!$I$33*'Model Inputs &amp; Assumptions'!$K$33*G2979,0)))</f>
        <v>25000</v>
      </c>
      <c r="J2979" s="50" t="n">
        <f aca="false">H2979*INDEX('Model Inputs &amp; Assumptions'!$D$40:$D$42,MATCH('Model Inputs &amp; Assumptions'!$L$33,'Model Inputs &amp; Assumptions'!$A$40:$A$42,0))*INDEX('Model Inputs &amp; Assumptions'!$H$40:$H$42,MATCH('Model Inputs &amp; Assumptions'!$L$33,'Model Inputs &amp; Assumptions'!$A$40:$A$42,0))</f>
        <v>1244964.70061944</v>
      </c>
      <c r="K2979" s="49" t="n">
        <f aca="false">H2979*INDEX('Model Inputs &amp; Assumptions'!$G$40:$G$42,MATCH('Model Inputs &amp; Assumptions'!$L$33,'Model Inputs &amp; Assumptions'!$A$40:$A$42,0))*INDEX('Model Inputs &amp; Assumptions'!$H$40:$H$42,MATCH('Model Inputs &amp; Assumptions'!$L$33,'Model Inputs &amp; Assumptions'!$A$40:$A$42,0))</f>
        <v>26144.2587130083</v>
      </c>
      <c r="L2979" s="51" t="n">
        <f aca="false">IFERROR(K2979/I2979,0)</f>
        <v>1.04577034852033</v>
      </c>
      <c r="M2979" s="49" t="n">
        <f aca="false">IFERROR(I2979/H2979,0)</f>
        <v>108.43680943952</v>
      </c>
      <c r="N2979" s="52" t="str">
        <f aca="false">'Model Inputs &amp; Assumptions'!$L$33</f>
        <v>PRD-SP01</v>
      </c>
      <c r="P2979" s="53" t="n">
        <v>-0.127481</v>
      </c>
      <c r="Q2979" s="53" t="n">
        <v>1.976697</v>
      </c>
      <c r="R2979" s="53" t="n">
        <v>0.470352</v>
      </c>
      <c r="S2979" s="53" t="n">
        <v>0.087395</v>
      </c>
    </row>
    <row r="2980" customFormat="false" ht="15" hidden="false" customHeight="false" outlineLevel="0" collapsed="false">
      <c r="A2980" s="43" t="n">
        <v>477</v>
      </c>
      <c r="B2980" s="44" t="str">
        <f aca="false">'Model Inputs &amp; Assumptions'!$B$33</f>
        <v>Trade Republic — Savings Plan Push</v>
      </c>
      <c r="C2980" s="45" t="n">
        <f aca="false">ROUND(MAX(0,'Model Inputs &amp; Assumptions'!$S$33*EXP('Model Inputs &amp; Assumptions'!$T$33*P2980-'Model Inputs &amp; Assumptions'!$T$33^2/2)),0)</f>
        <v>828666</v>
      </c>
      <c r="D2980" s="46" t="n">
        <f aca="false">MIN(1,'Model Inputs &amp; Assumptions'!$U$33*EXP('Model Inputs &amp; Assumptions'!$V$33*Q2980-'Model Inputs &amp; Assumptions'!$V$33^2/2))</f>
        <v>0</v>
      </c>
      <c r="E2980" s="45" t="n">
        <f aca="false">ROUND(C2980*D2980,0)</f>
        <v>0</v>
      </c>
      <c r="F2980" s="47" t="n">
        <f aca="false">MIN(1,'Model Inputs &amp; Assumptions'!$W$33*EXP('Model Inputs &amp; Assumptions'!$X$33*R2980-'Model Inputs &amp; Assumptions'!$X$33^2/2))</f>
        <v>0.00371749951353986</v>
      </c>
      <c r="G2980" s="45" t="n">
        <f aca="false">ROUND(C2980*F2980,0)</f>
        <v>3081</v>
      </c>
      <c r="H2980" s="48" t="n">
        <f aca="false">MAX(0,(C2980*'Model Inputs &amp; Assumptions'!$N$33+E2980*'Model Inputs &amp; Assumptions'!$O$33+G2980*'Model Inputs &amp; Assumptions'!$P$33)*EXP('Model Inputs &amp; Assumptions'!$Q$33*S2980-'Model Inputs &amp; Assumptions'!$Q$33^2/2))</f>
        <v>195.800985806648</v>
      </c>
      <c r="I2980" s="49" t="n">
        <f aca="false">IF('Model Inputs &amp; Assumptions'!$H$33="Fixed",'Model Inputs &amp; Assumptions'!$I$33*'Model Inputs &amp; Assumptions'!$K$33,IF('Model Inputs &amp; Assumptions'!$H$33="CPM",'Model Inputs &amp; Assumptions'!$I$33*'Model Inputs &amp; Assumptions'!$K$33*C2980/1000,IF('Model Inputs &amp; Assumptions'!$H$33="CPC",'Model Inputs &amp; Assumptions'!$I$33*'Model Inputs &amp; Assumptions'!$K$33*G2980,0)))</f>
        <v>25000</v>
      </c>
      <c r="J2980" s="50" t="n">
        <f aca="false">H2980*INDEX('Model Inputs &amp; Assumptions'!$D$40:$D$42,MATCH('Model Inputs &amp; Assumptions'!$L$33,'Model Inputs &amp; Assumptions'!$A$40:$A$42,0))*INDEX('Model Inputs &amp; Assumptions'!$H$40:$H$42,MATCH('Model Inputs &amp; Assumptions'!$L$33,'Model Inputs &amp; Assumptions'!$A$40:$A$42,0))</f>
        <v>1057325.3233559</v>
      </c>
      <c r="K2980" s="49" t="n">
        <f aca="false">H2980*INDEX('Model Inputs &amp; Assumptions'!$G$40:$G$42,MATCH('Model Inputs &amp; Assumptions'!$L$33,'Model Inputs &amp; Assumptions'!$A$40:$A$42,0))*INDEX('Model Inputs &amp; Assumptions'!$H$40:$H$42,MATCH('Model Inputs &amp; Assumptions'!$L$33,'Model Inputs &amp; Assumptions'!$A$40:$A$42,0))</f>
        <v>22203.8317904738</v>
      </c>
      <c r="L2980" s="51" t="n">
        <f aca="false">IFERROR(K2980/I2980,0)</f>
        <v>0.888153271618953</v>
      </c>
      <c r="M2980" s="49" t="n">
        <f aca="false">IFERROR(I2980/H2980,0)</f>
        <v>127.680664614668</v>
      </c>
      <c r="N2980" s="52" t="str">
        <f aca="false">'Model Inputs &amp; Assumptions'!$L$33</f>
        <v>PRD-SP01</v>
      </c>
      <c r="P2980" s="53" t="n">
        <v>-1.0842</v>
      </c>
      <c r="Q2980" s="53" t="n">
        <v>-0.644902</v>
      </c>
      <c r="R2980" s="53" t="n">
        <v>0.350961</v>
      </c>
      <c r="S2980" s="53" t="n">
        <v>0.656112</v>
      </c>
    </row>
    <row r="2981" customFormat="false" ht="15" hidden="false" customHeight="false" outlineLevel="0" collapsed="false">
      <c r="A2981" s="43" t="n">
        <v>478</v>
      </c>
      <c r="B2981" s="44" t="str">
        <f aca="false">'Model Inputs &amp; Assumptions'!$B$33</f>
        <v>Trade Republic — Savings Plan Push</v>
      </c>
      <c r="C2981" s="45" t="n">
        <f aca="false">ROUND(MAX(0,'Model Inputs &amp; Assumptions'!$S$33*EXP('Model Inputs &amp; Assumptions'!$T$33*P2981-'Model Inputs &amp; Assumptions'!$T$33^2/2)),0)</f>
        <v>1239749</v>
      </c>
      <c r="D2981" s="46" t="n">
        <f aca="false">MIN(1,'Model Inputs &amp; Assumptions'!$U$33*EXP('Model Inputs &amp; Assumptions'!$V$33*Q2981-'Model Inputs &amp; Assumptions'!$V$33^2/2))</f>
        <v>0</v>
      </c>
      <c r="E2981" s="45" t="n">
        <f aca="false">ROUND(C2981*D2981,0)</f>
        <v>0</v>
      </c>
      <c r="F2981" s="47" t="n">
        <f aca="false">MIN(1,'Model Inputs &amp; Assumptions'!$W$33*EXP('Model Inputs &amp; Assumptions'!$X$33*R2981-'Model Inputs &amp; Assumptions'!$X$33^2/2))</f>
        <v>0.00175501388487351</v>
      </c>
      <c r="G2981" s="45" t="n">
        <f aca="false">ROUND(C2981*F2981,0)</f>
        <v>2176</v>
      </c>
      <c r="H2981" s="48" t="n">
        <f aca="false">MAX(0,(C2981*'Model Inputs &amp; Assumptions'!$N$33+E2981*'Model Inputs &amp; Assumptions'!$O$33+G2981*'Model Inputs &amp; Assumptions'!$P$33)*EXP('Model Inputs &amp; Assumptions'!$Q$33*S2981-'Model Inputs &amp; Assumptions'!$Q$33^2/2))</f>
        <v>130.398010728437</v>
      </c>
      <c r="I2981" s="49" t="n">
        <f aca="false">IF('Model Inputs &amp; Assumptions'!$H$33="Fixed",'Model Inputs &amp; Assumptions'!$I$33*'Model Inputs &amp; Assumptions'!$K$33,IF('Model Inputs &amp; Assumptions'!$H$33="CPM",'Model Inputs &amp; Assumptions'!$I$33*'Model Inputs &amp; Assumptions'!$K$33*C2981/1000,IF('Model Inputs &amp; Assumptions'!$H$33="CPC",'Model Inputs &amp; Assumptions'!$I$33*'Model Inputs &amp; Assumptions'!$K$33*G2981,0)))</f>
        <v>25000</v>
      </c>
      <c r="J2981" s="50" t="n">
        <f aca="false">H2981*INDEX('Model Inputs &amp; Assumptions'!$D$40:$D$42,MATCH('Model Inputs &amp; Assumptions'!$L$33,'Model Inputs &amp; Assumptions'!$A$40:$A$42,0))*INDEX('Model Inputs &amp; Assumptions'!$H$40:$H$42,MATCH('Model Inputs &amp; Assumptions'!$L$33,'Model Inputs &amp; Assumptions'!$A$40:$A$42,0))</f>
        <v>704149.257933559</v>
      </c>
      <c r="K2981" s="49" t="n">
        <f aca="false">H2981*INDEX('Model Inputs &amp; Assumptions'!$G$40:$G$42,MATCH('Model Inputs &amp; Assumptions'!$L$33,'Model Inputs &amp; Assumptions'!$A$40:$A$42,0))*INDEX('Model Inputs &amp; Assumptions'!$H$40:$H$42,MATCH('Model Inputs &amp; Assumptions'!$L$33,'Model Inputs &amp; Assumptions'!$A$40:$A$42,0))</f>
        <v>14787.1344166047</v>
      </c>
      <c r="L2981" s="51" t="n">
        <f aca="false">IFERROR(K2981/I2981,0)</f>
        <v>0.591485376664189</v>
      </c>
      <c r="M2981" s="49" t="n">
        <f aca="false">IFERROR(I2981/H2981,0)</f>
        <v>191.72071613933</v>
      </c>
      <c r="N2981" s="52" t="str">
        <f aca="false">'Model Inputs &amp; Assumptions'!$L$33</f>
        <v>PRD-SP01</v>
      </c>
      <c r="P2981" s="53" t="n">
        <v>0.258625</v>
      </c>
      <c r="Q2981" s="53" t="n">
        <v>-1.720523</v>
      </c>
      <c r="R2981" s="53" t="n">
        <v>-2.150954</v>
      </c>
      <c r="S2981" s="53" t="n">
        <v>0.446321</v>
      </c>
    </row>
    <row r="2982" customFormat="false" ht="15" hidden="false" customHeight="false" outlineLevel="0" collapsed="false">
      <c r="A2982" s="43" t="n">
        <v>479</v>
      </c>
      <c r="B2982" s="44" t="str">
        <f aca="false">'Model Inputs &amp; Assumptions'!$B$33</f>
        <v>Trade Republic — Savings Plan Push</v>
      </c>
      <c r="C2982" s="45" t="n">
        <f aca="false">ROUND(MAX(0,'Model Inputs &amp; Assumptions'!$S$33*EXP('Model Inputs &amp; Assumptions'!$T$33*P2982-'Model Inputs &amp; Assumptions'!$T$33^2/2)),0)</f>
        <v>1263541</v>
      </c>
      <c r="D2982" s="46" t="n">
        <f aca="false">MIN(1,'Model Inputs &amp; Assumptions'!$U$33*EXP('Model Inputs &amp; Assumptions'!$V$33*Q2982-'Model Inputs &amp; Assumptions'!$V$33^2/2))</f>
        <v>0</v>
      </c>
      <c r="E2982" s="45" t="n">
        <f aca="false">ROUND(C2982*D2982,0)</f>
        <v>0</v>
      </c>
      <c r="F2982" s="47" t="n">
        <f aca="false">MIN(1,'Model Inputs &amp; Assumptions'!$W$33*EXP('Model Inputs &amp; Assumptions'!$X$33*R2982-'Model Inputs &amp; Assumptions'!$X$33^2/2))</f>
        <v>0.00390477072545149</v>
      </c>
      <c r="G2982" s="45" t="n">
        <f aca="false">ROUND(C2982*F2982,0)</f>
        <v>4934</v>
      </c>
      <c r="H2982" s="48" t="n">
        <f aca="false">MAX(0,(C2982*'Model Inputs &amp; Assumptions'!$N$33+E2982*'Model Inputs &amp; Assumptions'!$O$33+G2982*'Model Inputs &amp; Assumptions'!$P$33)*EXP('Model Inputs &amp; Assumptions'!$Q$33*S2982-'Model Inputs &amp; Assumptions'!$Q$33^2/2))</f>
        <v>490.208947332459</v>
      </c>
      <c r="I2982" s="49" t="n">
        <f aca="false">IF('Model Inputs &amp; Assumptions'!$H$33="Fixed",'Model Inputs &amp; Assumptions'!$I$33*'Model Inputs &amp; Assumptions'!$K$33,IF('Model Inputs &amp; Assumptions'!$H$33="CPM",'Model Inputs &amp; Assumptions'!$I$33*'Model Inputs &amp; Assumptions'!$K$33*C2982/1000,IF('Model Inputs &amp; Assumptions'!$H$33="CPC",'Model Inputs &amp; Assumptions'!$I$33*'Model Inputs &amp; Assumptions'!$K$33*G2982,0)))</f>
        <v>25000</v>
      </c>
      <c r="J2982" s="50" t="n">
        <f aca="false">H2982*INDEX('Model Inputs &amp; Assumptions'!$D$40:$D$42,MATCH('Model Inputs &amp; Assumptions'!$L$33,'Model Inputs &amp; Assumptions'!$A$40:$A$42,0))*INDEX('Model Inputs &amp; Assumptions'!$H$40:$H$42,MATCH('Model Inputs &amp; Assumptions'!$L$33,'Model Inputs &amp; Assumptions'!$A$40:$A$42,0))</f>
        <v>2647128.31559528</v>
      </c>
      <c r="K2982" s="49" t="n">
        <f aca="false">H2982*INDEX('Model Inputs &amp; Assumptions'!$G$40:$G$42,MATCH('Model Inputs &amp; Assumptions'!$L$33,'Model Inputs &amp; Assumptions'!$A$40:$A$42,0))*INDEX('Model Inputs &amp; Assumptions'!$H$40:$H$42,MATCH('Model Inputs &amp; Assumptions'!$L$33,'Model Inputs &amp; Assumptions'!$A$40:$A$42,0))</f>
        <v>55589.6946275008</v>
      </c>
      <c r="L2982" s="51" t="n">
        <f aca="false">IFERROR(K2982/I2982,0)</f>
        <v>2.22358778510003</v>
      </c>
      <c r="M2982" s="49" t="n">
        <f aca="false">IFERROR(I2982/H2982,0)</f>
        <v>50.9986611546791</v>
      </c>
      <c r="N2982" s="52" t="str">
        <f aca="false">'Model Inputs &amp; Assumptions'!$L$33</f>
        <v>PRD-SP01</v>
      </c>
      <c r="P2982" s="53" t="n">
        <v>0.321989</v>
      </c>
      <c r="Q2982" s="53" t="n">
        <v>-0.624668</v>
      </c>
      <c r="R2982" s="53" t="n">
        <v>0.514787</v>
      </c>
      <c r="S2982" s="53" t="n">
        <v>2.251959</v>
      </c>
    </row>
    <row r="2983" customFormat="false" ht="15" hidden="false" customHeight="false" outlineLevel="0" collapsed="false">
      <c r="A2983" s="43" t="n">
        <v>480</v>
      </c>
      <c r="B2983" s="44" t="str">
        <f aca="false">'Model Inputs &amp; Assumptions'!$B$33</f>
        <v>Trade Republic — Savings Plan Push</v>
      </c>
      <c r="C2983" s="45" t="n">
        <f aca="false">ROUND(MAX(0,'Model Inputs &amp; Assumptions'!$S$33*EXP('Model Inputs &amp; Assumptions'!$T$33*P2983-'Model Inputs &amp; Assumptions'!$T$33^2/2)),0)</f>
        <v>1726373</v>
      </c>
      <c r="D2983" s="46" t="n">
        <f aca="false">MIN(1,'Model Inputs &amp; Assumptions'!$U$33*EXP('Model Inputs &amp; Assumptions'!$V$33*Q2983-'Model Inputs &amp; Assumptions'!$V$33^2/2))</f>
        <v>0</v>
      </c>
      <c r="E2983" s="45" t="n">
        <f aca="false">ROUND(C2983*D2983,0)</f>
        <v>0</v>
      </c>
      <c r="F2983" s="47" t="n">
        <f aca="false">MIN(1,'Model Inputs &amp; Assumptions'!$W$33*EXP('Model Inputs &amp; Assumptions'!$X$33*R2983-'Model Inputs &amp; Assumptions'!$X$33^2/2))</f>
        <v>0.00413158647872084</v>
      </c>
      <c r="G2983" s="45" t="n">
        <f aca="false">ROUND(C2983*F2983,0)</f>
        <v>7133</v>
      </c>
      <c r="H2983" s="48" t="n">
        <f aca="false">MAX(0,(C2983*'Model Inputs &amp; Assumptions'!$N$33+E2983*'Model Inputs &amp; Assumptions'!$O$33+G2983*'Model Inputs &amp; Assumptions'!$P$33)*EXP('Model Inputs &amp; Assumptions'!$Q$33*S2983-'Model Inputs &amp; Assumptions'!$Q$33^2/2))</f>
        <v>243.361854414497</v>
      </c>
      <c r="I2983" s="49" t="n">
        <f aca="false">IF('Model Inputs &amp; Assumptions'!$H$33="Fixed",'Model Inputs &amp; Assumptions'!$I$33*'Model Inputs &amp; Assumptions'!$K$33,IF('Model Inputs &amp; Assumptions'!$H$33="CPM",'Model Inputs &amp; Assumptions'!$I$33*'Model Inputs &amp; Assumptions'!$K$33*C2983/1000,IF('Model Inputs &amp; Assumptions'!$H$33="CPC",'Model Inputs &amp; Assumptions'!$I$33*'Model Inputs &amp; Assumptions'!$K$33*G2983,0)))</f>
        <v>25000</v>
      </c>
      <c r="J2983" s="50" t="n">
        <f aca="false">H2983*INDEX('Model Inputs &amp; Assumptions'!$D$40:$D$42,MATCH('Model Inputs &amp; Assumptions'!$L$33,'Model Inputs &amp; Assumptions'!$A$40:$A$42,0))*INDEX('Model Inputs &amp; Assumptions'!$H$40:$H$42,MATCH('Model Inputs &amp; Assumptions'!$L$33,'Model Inputs &amp; Assumptions'!$A$40:$A$42,0))</f>
        <v>1314154.01383828</v>
      </c>
      <c r="K2983" s="49" t="n">
        <f aca="false">H2983*INDEX('Model Inputs &amp; Assumptions'!$G$40:$G$42,MATCH('Model Inputs &amp; Assumptions'!$L$33,'Model Inputs &amp; Assumptions'!$A$40:$A$42,0))*INDEX('Model Inputs &amp; Assumptions'!$H$40:$H$42,MATCH('Model Inputs &amp; Assumptions'!$L$33,'Model Inputs &amp; Assumptions'!$A$40:$A$42,0))</f>
        <v>27597.234290604</v>
      </c>
      <c r="L2983" s="51" t="n">
        <f aca="false">IFERROR(K2983/I2983,0)</f>
        <v>1.10388937162416</v>
      </c>
      <c r="M2983" s="49" t="n">
        <f aca="false">IFERROR(I2983/H2983,0)</f>
        <v>102.727685323353</v>
      </c>
      <c r="N2983" s="52" t="str">
        <f aca="false">'Model Inputs &amp; Assumptions'!$L$33</f>
        <v>PRD-SP01</v>
      </c>
      <c r="P2983" s="53" t="n">
        <v>1.362337</v>
      </c>
      <c r="Q2983" s="53" t="n">
        <v>-0.868055</v>
      </c>
      <c r="R2983" s="53" t="n">
        <v>0.702995</v>
      </c>
      <c r="S2983" s="53" t="n">
        <v>-1.565413</v>
      </c>
    </row>
    <row r="2984" customFormat="false" ht="15" hidden="false" customHeight="false" outlineLevel="0" collapsed="false">
      <c r="A2984" s="43" t="n">
        <v>481</v>
      </c>
      <c r="B2984" s="44" t="str">
        <f aca="false">'Model Inputs &amp; Assumptions'!$B$33</f>
        <v>Trade Republic — Savings Plan Push</v>
      </c>
      <c r="C2984" s="45" t="n">
        <f aca="false">ROUND(MAX(0,'Model Inputs &amp; Assumptions'!$S$33*EXP('Model Inputs &amp; Assumptions'!$T$33*P2984-'Model Inputs &amp; Assumptions'!$T$33^2/2)),0)</f>
        <v>1222496</v>
      </c>
      <c r="D2984" s="46" t="n">
        <f aca="false">MIN(1,'Model Inputs &amp; Assumptions'!$U$33*EXP('Model Inputs &amp; Assumptions'!$V$33*Q2984-'Model Inputs &amp; Assumptions'!$V$33^2/2))</f>
        <v>0</v>
      </c>
      <c r="E2984" s="45" t="n">
        <f aca="false">ROUND(C2984*D2984,0)</f>
        <v>0</v>
      </c>
      <c r="F2984" s="47" t="n">
        <f aca="false">MIN(1,'Model Inputs &amp; Assumptions'!$W$33*EXP('Model Inputs &amp; Assumptions'!$X$33*R2984-'Model Inputs &amp; Assumptions'!$X$33^2/2))</f>
        <v>0.00294024340428088</v>
      </c>
      <c r="G2984" s="45" t="n">
        <f aca="false">ROUND(C2984*F2984,0)</f>
        <v>3594</v>
      </c>
      <c r="H2984" s="48" t="n">
        <f aca="false">MAX(0,(C2984*'Model Inputs &amp; Assumptions'!$N$33+E2984*'Model Inputs &amp; Assumptions'!$O$33+G2984*'Model Inputs &amp; Assumptions'!$P$33)*EXP('Model Inputs &amp; Assumptions'!$Q$33*S2984-'Model Inputs &amp; Assumptions'!$Q$33^2/2))</f>
        <v>233.1649944378</v>
      </c>
      <c r="I2984" s="49" t="n">
        <f aca="false">IF('Model Inputs &amp; Assumptions'!$H$33="Fixed",'Model Inputs &amp; Assumptions'!$I$33*'Model Inputs &amp; Assumptions'!$K$33,IF('Model Inputs &amp; Assumptions'!$H$33="CPM",'Model Inputs &amp; Assumptions'!$I$33*'Model Inputs &amp; Assumptions'!$K$33*C2984/1000,IF('Model Inputs &amp; Assumptions'!$H$33="CPC",'Model Inputs &amp; Assumptions'!$I$33*'Model Inputs &amp; Assumptions'!$K$33*G2984,0)))</f>
        <v>25000</v>
      </c>
      <c r="J2984" s="50" t="n">
        <f aca="false">H2984*INDEX('Model Inputs &amp; Assumptions'!$D$40:$D$42,MATCH('Model Inputs &amp; Assumptions'!$L$33,'Model Inputs &amp; Assumptions'!$A$40:$A$42,0))*INDEX('Model Inputs &amp; Assumptions'!$H$40:$H$42,MATCH('Model Inputs &amp; Assumptions'!$L$33,'Model Inputs &amp; Assumptions'!$A$40:$A$42,0))</f>
        <v>1259090.96996412</v>
      </c>
      <c r="K2984" s="49" t="n">
        <f aca="false">H2984*INDEX('Model Inputs &amp; Assumptions'!$G$40:$G$42,MATCH('Model Inputs &amp; Assumptions'!$L$33,'Model Inputs &amp; Assumptions'!$A$40:$A$42,0))*INDEX('Model Inputs &amp; Assumptions'!$H$40:$H$42,MATCH('Model Inputs &amp; Assumptions'!$L$33,'Model Inputs &amp; Assumptions'!$A$40:$A$42,0))</f>
        <v>26440.9103692465</v>
      </c>
      <c r="L2984" s="51" t="n">
        <f aca="false">IFERROR(K2984/I2984,0)</f>
        <v>1.05763641476986</v>
      </c>
      <c r="M2984" s="49" t="n">
        <f aca="false">IFERROR(I2984/H2984,0)</f>
        <v>107.220211422728</v>
      </c>
      <c r="N2984" s="52" t="str">
        <f aca="false">'Model Inputs &amp; Assumptions'!$L$33</f>
        <v>PRD-SP01</v>
      </c>
      <c r="P2984" s="53" t="n">
        <v>0.211911</v>
      </c>
      <c r="Q2984" s="53" t="n">
        <v>1.32659</v>
      </c>
      <c r="R2984" s="53" t="n">
        <v>-0.430902</v>
      </c>
      <c r="S2984" s="53" t="n">
        <v>0.729812</v>
      </c>
    </row>
    <row r="2985" customFormat="false" ht="15" hidden="false" customHeight="false" outlineLevel="0" collapsed="false">
      <c r="A2985" s="43" t="n">
        <v>482</v>
      </c>
      <c r="B2985" s="44" t="str">
        <f aca="false">'Model Inputs &amp; Assumptions'!$B$33</f>
        <v>Trade Republic — Savings Plan Push</v>
      </c>
      <c r="C2985" s="45" t="n">
        <f aca="false">ROUND(MAX(0,'Model Inputs &amp; Assumptions'!$S$33*EXP('Model Inputs &amp; Assumptions'!$T$33*P2985-'Model Inputs &amp; Assumptions'!$T$33^2/2)),0)</f>
        <v>941408</v>
      </c>
      <c r="D2985" s="46" t="n">
        <f aca="false">MIN(1,'Model Inputs &amp; Assumptions'!$U$33*EXP('Model Inputs &amp; Assumptions'!$V$33*Q2985-'Model Inputs &amp; Assumptions'!$V$33^2/2))</f>
        <v>0</v>
      </c>
      <c r="E2985" s="45" t="n">
        <f aca="false">ROUND(C2985*D2985,0)</f>
        <v>0</v>
      </c>
      <c r="F2985" s="47" t="n">
        <f aca="false">MIN(1,'Model Inputs &amp; Assumptions'!$W$33*EXP('Model Inputs &amp; Assumptions'!$X$33*R2985-'Model Inputs &amp; Assumptions'!$X$33^2/2))</f>
        <v>0.00347397116826965</v>
      </c>
      <c r="G2985" s="45" t="n">
        <f aca="false">ROUND(C2985*F2985,0)</f>
        <v>3270</v>
      </c>
      <c r="H2985" s="48" t="n">
        <f aca="false">MAX(0,(C2985*'Model Inputs &amp; Assumptions'!$N$33+E2985*'Model Inputs &amp; Assumptions'!$O$33+G2985*'Model Inputs &amp; Assumptions'!$P$33)*EXP('Model Inputs &amp; Assumptions'!$Q$33*S2985-'Model Inputs &amp; Assumptions'!$Q$33^2/2))</f>
        <v>112.638431806638</v>
      </c>
      <c r="I2985" s="49" t="n">
        <f aca="false">IF('Model Inputs &amp; Assumptions'!$H$33="Fixed",'Model Inputs &amp; Assumptions'!$I$33*'Model Inputs &amp; Assumptions'!$K$33,IF('Model Inputs &amp; Assumptions'!$H$33="CPM",'Model Inputs &amp; Assumptions'!$I$33*'Model Inputs &amp; Assumptions'!$K$33*C2985/1000,IF('Model Inputs &amp; Assumptions'!$H$33="CPC",'Model Inputs &amp; Assumptions'!$I$33*'Model Inputs &amp; Assumptions'!$K$33*G2985,0)))</f>
        <v>25000</v>
      </c>
      <c r="J2985" s="50" t="n">
        <f aca="false">H2985*INDEX('Model Inputs &amp; Assumptions'!$D$40:$D$42,MATCH('Model Inputs &amp; Assumptions'!$L$33,'Model Inputs &amp; Assumptions'!$A$40:$A$42,0))*INDEX('Model Inputs &amp; Assumptions'!$H$40:$H$42,MATCH('Model Inputs &amp; Assumptions'!$L$33,'Model Inputs &amp; Assumptions'!$A$40:$A$42,0))</f>
        <v>608247.531755844</v>
      </c>
      <c r="K2985" s="49" t="n">
        <f aca="false">H2985*INDEX('Model Inputs &amp; Assumptions'!$G$40:$G$42,MATCH('Model Inputs &amp; Assumptions'!$L$33,'Model Inputs &amp; Assumptions'!$A$40:$A$42,0))*INDEX('Model Inputs &amp; Assumptions'!$H$40:$H$42,MATCH('Model Inputs &amp; Assumptions'!$L$33,'Model Inputs &amp; Assumptions'!$A$40:$A$42,0))</f>
        <v>12773.1981668727</v>
      </c>
      <c r="L2985" s="51" t="n">
        <f aca="false">IFERROR(K2985/I2985,0)</f>
        <v>0.510927926674909</v>
      </c>
      <c r="M2985" s="49" t="n">
        <f aca="false">IFERROR(I2985/H2985,0)</f>
        <v>221.949112740815</v>
      </c>
      <c r="N2985" s="52" t="str">
        <f aca="false">'Model Inputs &amp; Assumptions'!$L$33</f>
        <v>PRD-SP01</v>
      </c>
      <c r="P2985" s="53" t="n">
        <v>-0.659002</v>
      </c>
      <c r="Q2985" s="53" t="n">
        <v>1.721702</v>
      </c>
      <c r="R2985" s="53" t="n">
        <v>0.125118</v>
      </c>
      <c r="S2985" s="53" t="n">
        <v>-1.531215</v>
      </c>
    </row>
    <row r="2986" customFormat="false" ht="15" hidden="false" customHeight="false" outlineLevel="0" collapsed="false">
      <c r="A2986" s="43" t="n">
        <v>483</v>
      </c>
      <c r="B2986" s="44" t="str">
        <f aca="false">'Model Inputs &amp; Assumptions'!$B$33</f>
        <v>Trade Republic — Savings Plan Push</v>
      </c>
      <c r="C2986" s="45" t="n">
        <f aca="false">ROUND(MAX(0,'Model Inputs &amp; Assumptions'!$S$33*EXP('Model Inputs &amp; Assumptions'!$T$33*P2986-'Model Inputs &amp; Assumptions'!$T$33^2/2)),0)</f>
        <v>857542</v>
      </c>
      <c r="D2986" s="46" t="n">
        <f aca="false">MIN(1,'Model Inputs &amp; Assumptions'!$U$33*EXP('Model Inputs &amp; Assumptions'!$V$33*Q2986-'Model Inputs &amp; Assumptions'!$V$33^2/2))</f>
        <v>0</v>
      </c>
      <c r="E2986" s="45" t="n">
        <f aca="false">ROUND(C2986*D2986,0)</f>
        <v>0</v>
      </c>
      <c r="F2986" s="47" t="n">
        <f aca="false">MIN(1,'Model Inputs &amp; Assumptions'!$W$33*EXP('Model Inputs &amp; Assumptions'!$X$33*R2986-'Model Inputs &amp; Assumptions'!$X$33^2/2))</f>
        <v>0.00262510177965904</v>
      </c>
      <c r="G2986" s="45" t="n">
        <f aca="false">ROUND(C2986*F2986,0)</f>
        <v>2251</v>
      </c>
      <c r="H2986" s="48" t="n">
        <f aca="false">MAX(0,(C2986*'Model Inputs &amp; Assumptions'!$N$33+E2986*'Model Inputs &amp; Assumptions'!$O$33+G2986*'Model Inputs &amp; Assumptions'!$P$33)*EXP('Model Inputs &amp; Assumptions'!$Q$33*S2986-'Model Inputs &amp; Assumptions'!$Q$33^2/2))</f>
        <v>173.675585386142</v>
      </c>
      <c r="I2986" s="49" t="n">
        <f aca="false">IF('Model Inputs &amp; Assumptions'!$H$33="Fixed",'Model Inputs &amp; Assumptions'!$I$33*'Model Inputs &amp; Assumptions'!$K$33,IF('Model Inputs &amp; Assumptions'!$H$33="CPM",'Model Inputs &amp; Assumptions'!$I$33*'Model Inputs &amp; Assumptions'!$K$33*C2986/1000,IF('Model Inputs &amp; Assumptions'!$H$33="CPC",'Model Inputs &amp; Assumptions'!$I$33*'Model Inputs &amp; Assumptions'!$K$33*G2986,0)))</f>
        <v>25000</v>
      </c>
      <c r="J2986" s="50" t="n">
        <f aca="false">H2986*INDEX('Model Inputs &amp; Assumptions'!$D$40:$D$42,MATCH('Model Inputs &amp; Assumptions'!$L$33,'Model Inputs &amp; Assumptions'!$A$40:$A$42,0))*INDEX('Model Inputs &amp; Assumptions'!$H$40:$H$42,MATCH('Model Inputs &amp; Assumptions'!$L$33,'Model Inputs &amp; Assumptions'!$A$40:$A$42,0))</f>
        <v>937848.161085166</v>
      </c>
      <c r="K2986" s="49" t="n">
        <f aca="false">H2986*INDEX('Model Inputs &amp; Assumptions'!$G$40:$G$42,MATCH('Model Inputs &amp; Assumptions'!$L$33,'Model Inputs &amp; Assumptions'!$A$40:$A$42,0))*INDEX('Model Inputs &amp; Assumptions'!$H$40:$H$42,MATCH('Model Inputs &amp; Assumptions'!$L$33,'Model Inputs &amp; Assumptions'!$A$40:$A$42,0))</f>
        <v>19694.8113827885</v>
      </c>
      <c r="L2986" s="51" t="n">
        <f aca="false">IFERROR(K2986/I2986,0)</f>
        <v>0.787792455311539</v>
      </c>
      <c r="M2986" s="49" t="n">
        <f aca="false">IFERROR(I2986/H2986,0)</f>
        <v>143.946542309998</v>
      </c>
      <c r="N2986" s="52" t="str">
        <f aca="false">'Model Inputs &amp; Assumptions'!$L$33</f>
        <v>PRD-SP01</v>
      </c>
      <c r="P2986" s="53" t="n">
        <v>-0.970024</v>
      </c>
      <c r="Q2986" s="53" t="n">
        <v>1.804036</v>
      </c>
      <c r="R2986" s="53" t="n">
        <v>-0.808811</v>
      </c>
      <c r="S2986" s="53" t="n">
        <v>1.348862</v>
      </c>
    </row>
    <row r="2987" customFormat="false" ht="15" hidden="false" customHeight="false" outlineLevel="0" collapsed="false">
      <c r="A2987" s="43" t="n">
        <v>484</v>
      </c>
      <c r="B2987" s="44" t="str">
        <f aca="false">'Model Inputs &amp; Assumptions'!$B$33</f>
        <v>Trade Republic — Savings Plan Push</v>
      </c>
      <c r="C2987" s="45" t="n">
        <f aca="false">ROUND(MAX(0,'Model Inputs &amp; Assumptions'!$S$33*EXP('Model Inputs &amp; Assumptions'!$T$33*P2987-'Model Inputs &amp; Assumptions'!$T$33^2/2)),0)</f>
        <v>1044385</v>
      </c>
      <c r="D2987" s="46" t="n">
        <f aca="false">MIN(1,'Model Inputs &amp; Assumptions'!$U$33*EXP('Model Inputs &amp; Assumptions'!$V$33*Q2987-'Model Inputs &amp; Assumptions'!$V$33^2/2))</f>
        <v>0</v>
      </c>
      <c r="E2987" s="45" t="n">
        <f aca="false">ROUND(C2987*D2987,0)</f>
        <v>0</v>
      </c>
      <c r="F2987" s="47" t="n">
        <f aca="false">MIN(1,'Model Inputs &amp; Assumptions'!$W$33*EXP('Model Inputs &amp; Assumptions'!$X$33*R2987-'Model Inputs &amp; Assumptions'!$X$33^2/2))</f>
        <v>0.00251850927386897</v>
      </c>
      <c r="G2987" s="45" t="n">
        <f aca="false">ROUND(C2987*F2987,0)</f>
        <v>2630</v>
      </c>
      <c r="H2987" s="48" t="n">
        <f aca="false">MAX(0,(C2987*'Model Inputs &amp; Assumptions'!$N$33+E2987*'Model Inputs &amp; Assumptions'!$O$33+G2987*'Model Inputs &amp; Assumptions'!$P$33)*EXP('Model Inputs &amp; Assumptions'!$Q$33*S2987-'Model Inputs &amp; Assumptions'!$Q$33^2/2))</f>
        <v>94.6586167382299</v>
      </c>
      <c r="I2987" s="49" t="n">
        <f aca="false">IF('Model Inputs &amp; Assumptions'!$H$33="Fixed",'Model Inputs &amp; Assumptions'!$I$33*'Model Inputs &amp; Assumptions'!$K$33,IF('Model Inputs &amp; Assumptions'!$H$33="CPM",'Model Inputs &amp; Assumptions'!$I$33*'Model Inputs &amp; Assumptions'!$K$33*C2987/1000,IF('Model Inputs &amp; Assumptions'!$H$33="CPC",'Model Inputs &amp; Assumptions'!$I$33*'Model Inputs &amp; Assumptions'!$K$33*G2987,0)))</f>
        <v>25000</v>
      </c>
      <c r="J2987" s="50" t="n">
        <f aca="false">H2987*INDEX('Model Inputs &amp; Assumptions'!$D$40:$D$42,MATCH('Model Inputs &amp; Assumptions'!$L$33,'Model Inputs &amp; Assumptions'!$A$40:$A$42,0))*INDEX('Model Inputs &amp; Assumptions'!$H$40:$H$42,MATCH('Model Inputs &amp; Assumptions'!$L$33,'Model Inputs &amp; Assumptions'!$A$40:$A$42,0))</f>
        <v>511156.530386442</v>
      </c>
      <c r="K2987" s="49" t="n">
        <f aca="false">H2987*INDEX('Model Inputs &amp; Assumptions'!$G$40:$G$42,MATCH('Model Inputs &amp; Assumptions'!$L$33,'Model Inputs &amp; Assumptions'!$A$40:$A$42,0))*INDEX('Model Inputs &amp; Assumptions'!$H$40:$H$42,MATCH('Model Inputs &amp; Assumptions'!$L$33,'Model Inputs &amp; Assumptions'!$A$40:$A$42,0))</f>
        <v>10734.2871381153</v>
      </c>
      <c r="L2987" s="51" t="n">
        <f aca="false">IFERROR(K2987/I2987,0)</f>
        <v>0.429371485524611</v>
      </c>
      <c r="M2987" s="49" t="n">
        <f aca="false">IFERROR(I2987/H2987,0)</f>
        <v>264.106965234188</v>
      </c>
      <c r="N2987" s="52" t="str">
        <f aca="false">'Model Inputs &amp; Assumptions'!$L$33</f>
        <v>PRD-SP01</v>
      </c>
      <c r="P2987" s="53" t="n">
        <v>-0.312977</v>
      </c>
      <c r="Q2987" s="53" t="n">
        <v>-0.154216</v>
      </c>
      <c r="R2987" s="53" t="n">
        <v>-0.946986</v>
      </c>
      <c r="S2987" s="53" t="n">
        <v>-1.374429</v>
      </c>
    </row>
    <row r="2988" customFormat="false" ht="15" hidden="false" customHeight="false" outlineLevel="0" collapsed="false">
      <c r="A2988" s="43" t="n">
        <v>485</v>
      </c>
      <c r="B2988" s="44" t="str">
        <f aca="false">'Model Inputs &amp; Assumptions'!$B$33</f>
        <v>Trade Republic — Savings Plan Push</v>
      </c>
      <c r="C2988" s="45" t="n">
        <f aca="false">ROUND(MAX(0,'Model Inputs &amp; Assumptions'!$S$33*EXP('Model Inputs &amp; Assumptions'!$T$33*P2988-'Model Inputs &amp; Assumptions'!$T$33^2/2)),0)</f>
        <v>1252409</v>
      </c>
      <c r="D2988" s="46" t="n">
        <f aca="false">MIN(1,'Model Inputs &amp; Assumptions'!$U$33*EXP('Model Inputs &amp; Assumptions'!$V$33*Q2988-'Model Inputs &amp; Assumptions'!$V$33^2/2))</f>
        <v>0</v>
      </c>
      <c r="E2988" s="45" t="n">
        <f aca="false">ROUND(C2988*D2988,0)</f>
        <v>0</v>
      </c>
      <c r="F2988" s="47" t="n">
        <f aca="false">MIN(1,'Model Inputs &amp; Assumptions'!$W$33*EXP('Model Inputs &amp; Assumptions'!$X$33*R2988-'Model Inputs &amp; Assumptions'!$X$33^2/2))</f>
        <v>0.00280679108589627</v>
      </c>
      <c r="G2988" s="45" t="n">
        <f aca="false">ROUND(C2988*F2988,0)</f>
        <v>3515</v>
      </c>
      <c r="H2988" s="48" t="n">
        <f aca="false">MAX(0,(C2988*'Model Inputs &amp; Assumptions'!$N$33+E2988*'Model Inputs &amp; Assumptions'!$O$33+G2988*'Model Inputs &amp; Assumptions'!$P$33)*EXP('Model Inputs &amp; Assumptions'!$Q$33*S2988-'Model Inputs &amp; Assumptions'!$Q$33^2/2))</f>
        <v>175.505375224216</v>
      </c>
      <c r="I2988" s="49" t="n">
        <f aca="false">IF('Model Inputs &amp; Assumptions'!$H$33="Fixed",'Model Inputs &amp; Assumptions'!$I$33*'Model Inputs &amp; Assumptions'!$K$33,IF('Model Inputs &amp; Assumptions'!$H$33="CPM",'Model Inputs &amp; Assumptions'!$I$33*'Model Inputs &amp; Assumptions'!$K$33*C2988/1000,IF('Model Inputs &amp; Assumptions'!$H$33="CPC",'Model Inputs &amp; Assumptions'!$I$33*'Model Inputs &amp; Assumptions'!$K$33*G2988,0)))</f>
        <v>25000</v>
      </c>
      <c r="J2988" s="50" t="n">
        <f aca="false">H2988*INDEX('Model Inputs &amp; Assumptions'!$D$40:$D$42,MATCH('Model Inputs &amp; Assumptions'!$L$33,'Model Inputs &amp; Assumptions'!$A$40:$A$42,0))*INDEX('Model Inputs &amp; Assumptions'!$H$40:$H$42,MATCH('Model Inputs &amp; Assumptions'!$L$33,'Model Inputs &amp; Assumptions'!$A$40:$A$42,0))</f>
        <v>947729.026210764</v>
      </c>
      <c r="K2988" s="49" t="n">
        <f aca="false">H2988*INDEX('Model Inputs &amp; Assumptions'!$G$40:$G$42,MATCH('Model Inputs &amp; Assumptions'!$L$33,'Model Inputs &amp; Assumptions'!$A$40:$A$42,0))*INDEX('Model Inputs &amp; Assumptions'!$H$40:$H$42,MATCH('Model Inputs &amp; Assumptions'!$L$33,'Model Inputs &amp; Assumptions'!$A$40:$A$42,0))</f>
        <v>19902.309550426</v>
      </c>
      <c r="L2988" s="51" t="n">
        <f aca="false">IFERROR(K2988/I2988,0)</f>
        <v>0.796092382017041</v>
      </c>
      <c r="M2988" s="49" t="n">
        <f aca="false">IFERROR(I2988/H2988,0)</f>
        <v>142.445779612513</v>
      </c>
      <c r="N2988" s="52" t="str">
        <f aca="false">'Model Inputs &amp; Assumptions'!$L$33</f>
        <v>PRD-SP01</v>
      </c>
      <c r="P2988" s="53" t="n">
        <v>0.292491</v>
      </c>
      <c r="Q2988" s="53" t="n">
        <v>-0.473974</v>
      </c>
      <c r="R2988" s="53" t="n">
        <v>-0.585737</v>
      </c>
      <c r="S2988" s="53" t="n">
        <v>-0.205368</v>
      </c>
    </row>
    <row r="2989" customFormat="false" ht="15" hidden="false" customHeight="false" outlineLevel="0" collapsed="false">
      <c r="A2989" s="43" t="n">
        <v>486</v>
      </c>
      <c r="B2989" s="44" t="str">
        <f aca="false">'Model Inputs &amp; Assumptions'!$B$33</f>
        <v>Trade Republic — Savings Plan Push</v>
      </c>
      <c r="C2989" s="45" t="n">
        <f aca="false">ROUND(MAX(0,'Model Inputs &amp; Assumptions'!$S$33*EXP('Model Inputs &amp; Assumptions'!$T$33*P2989-'Model Inputs &amp; Assumptions'!$T$33^2/2)),0)</f>
        <v>969663</v>
      </c>
      <c r="D2989" s="46" t="n">
        <f aca="false">MIN(1,'Model Inputs &amp; Assumptions'!$U$33*EXP('Model Inputs &amp; Assumptions'!$V$33*Q2989-'Model Inputs &amp; Assumptions'!$V$33^2/2))</f>
        <v>0</v>
      </c>
      <c r="E2989" s="45" t="n">
        <f aca="false">ROUND(C2989*D2989,0)</f>
        <v>0</v>
      </c>
      <c r="F2989" s="47" t="n">
        <f aca="false">MIN(1,'Model Inputs &amp; Assumptions'!$W$33*EXP('Model Inputs &amp; Assumptions'!$X$33*R2989-'Model Inputs &amp; Assumptions'!$X$33^2/2))</f>
        <v>0.00254088785329867</v>
      </c>
      <c r="G2989" s="45" t="n">
        <f aca="false">ROUND(C2989*F2989,0)</f>
        <v>2464</v>
      </c>
      <c r="H2989" s="48" t="n">
        <f aca="false">MAX(0,(C2989*'Model Inputs &amp; Assumptions'!$N$33+E2989*'Model Inputs &amp; Assumptions'!$O$33+G2989*'Model Inputs &amp; Assumptions'!$P$33)*EXP('Model Inputs &amp; Assumptions'!$Q$33*S2989-'Model Inputs &amp; Assumptions'!$Q$33^2/2))</f>
        <v>112.999802497801</v>
      </c>
      <c r="I2989" s="49" t="n">
        <f aca="false">IF('Model Inputs &amp; Assumptions'!$H$33="Fixed",'Model Inputs &amp; Assumptions'!$I$33*'Model Inputs &amp; Assumptions'!$K$33,IF('Model Inputs &amp; Assumptions'!$H$33="CPM",'Model Inputs &amp; Assumptions'!$I$33*'Model Inputs &amp; Assumptions'!$K$33*C2989/1000,IF('Model Inputs &amp; Assumptions'!$H$33="CPC",'Model Inputs &amp; Assumptions'!$I$33*'Model Inputs &amp; Assumptions'!$K$33*G2989,0)))</f>
        <v>25000</v>
      </c>
      <c r="J2989" s="50" t="n">
        <f aca="false">H2989*INDEX('Model Inputs &amp; Assumptions'!$D$40:$D$42,MATCH('Model Inputs &amp; Assumptions'!$L$33,'Model Inputs &amp; Assumptions'!$A$40:$A$42,0))*INDEX('Model Inputs &amp; Assumptions'!$H$40:$H$42,MATCH('Model Inputs &amp; Assumptions'!$L$33,'Model Inputs &amp; Assumptions'!$A$40:$A$42,0))</f>
        <v>610198.933488127</v>
      </c>
      <c r="K2989" s="49" t="n">
        <f aca="false">H2989*INDEX('Model Inputs &amp; Assumptions'!$G$40:$G$42,MATCH('Model Inputs &amp; Assumptions'!$L$33,'Model Inputs &amp; Assumptions'!$A$40:$A$42,0))*INDEX('Model Inputs &amp; Assumptions'!$H$40:$H$42,MATCH('Model Inputs &amp; Assumptions'!$L$33,'Model Inputs &amp; Assumptions'!$A$40:$A$42,0))</f>
        <v>12814.1776032507</v>
      </c>
      <c r="L2989" s="51" t="n">
        <f aca="false">IFERROR(K2989/I2989,0)</f>
        <v>0.512567104130026</v>
      </c>
      <c r="M2989" s="49" t="n">
        <f aca="false">IFERROR(I2989/H2989,0)</f>
        <v>221.239324736753</v>
      </c>
      <c r="N2989" s="52" t="str">
        <f aca="false">'Model Inputs &amp; Assumptions'!$L$33</f>
        <v>PRD-SP01</v>
      </c>
      <c r="P2989" s="53" t="n">
        <v>-0.560428</v>
      </c>
      <c r="Q2989" s="53" t="n">
        <v>1.250825</v>
      </c>
      <c r="R2989" s="53" t="n">
        <v>-0.917498</v>
      </c>
      <c r="S2989" s="53" t="n">
        <v>-0.509047</v>
      </c>
    </row>
    <row r="2990" customFormat="false" ht="15" hidden="false" customHeight="false" outlineLevel="0" collapsed="false">
      <c r="A2990" s="43" t="n">
        <v>487</v>
      </c>
      <c r="B2990" s="44" t="str">
        <f aca="false">'Model Inputs &amp; Assumptions'!$B$33</f>
        <v>Trade Republic — Savings Plan Push</v>
      </c>
      <c r="C2990" s="45" t="n">
        <f aca="false">ROUND(MAX(0,'Model Inputs &amp; Assumptions'!$S$33*EXP('Model Inputs &amp; Assumptions'!$T$33*P2990-'Model Inputs &amp; Assumptions'!$T$33^2/2)),0)</f>
        <v>1186772</v>
      </c>
      <c r="D2990" s="46" t="n">
        <f aca="false">MIN(1,'Model Inputs &amp; Assumptions'!$U$33*EXP('Model Inputs &amp; Assumptions'!$V$33*Q2990-'Model Inputs &amp; Assumptions'!$V$33^2/2))</f>
        <v>0</v>
      </c>
      <c r="E2990" s="45" t="n">
        <f aca="false">ROUND(C2990*D2990,0)</f>
        <v>0</v>
      </c>
      <c r="F2990" s="47" t="n">
        <f aca="false">MIN(1,'Model Inputs &amp; Assumptions'!$W$33*EXP('Model Inputs &amp; Assumptions'!$X$33*R2990-'Model Inputs &amp; Assumptions'!$X$33^2/2))</f>
        <v>0.00269992897874382</v>
      </c>
      <c r="G2990" s="45" t="n">
        <f aca="false">ROUND(C2990*F2990,0)</f>
        <v>3204</v>
      </c>
      <c r="H2990" s="48" t="n">
        <f aca="false">MAX(0,(C2990*'Model Inputs &amp; Assumptions'!$N$33+E2990*'Model Inputs &amp; Assumptions'!$O$33+G2990*'Model Inputs &amp; Assumptions'!$P$33)*EXP('Model Inputs &amp; Assumptions'!$Q$33*S2990-'Model Inputs &amp; Assumptions'!$Q$33^2/2))</f>
        <v>121.153112041348</v>
      </c>
      <c r="I2990" s="49" t="n">
        <f aca="false">IF('Model Inputs &amp; Assumptions'!$H$33="Fixed",'Model Inputs &amp; Assumptions'!$I$33*'Model Inputs &amp; Assumptions'!$K$33,IF('Model Inputs &amp; Assumptions'!$H$33="CPM",'Model Inputs &amp; Assumptions'!$I$33*'Model Inputs &amp; Assumptions'!$K$33*C2990/1000,IF('Model Inputs &amp; Assumptions'!$H$33="CPC",'Model Inputs &amp; Assumptions'!$I$33*'Model Inputs &amp; Assumptions'!$K$33*G2990,0)))</f>
        <v>25000</v>
      </c>
      <c r="J2990" s="50" t="n">
        <f aca="false">H2990*INDEX('Model Inputs &amp; Assumptions'!$D$40:$D$42,MATCH('Model Inputs &amp; Assumptions'!$L$33,'Model Inputs &amp; Assumptions'!$A$40:$A$42,0))*INDEX('Model Inputs &amp; Assumptions'!$H$40:$H$42,MATCH('Model Inputs &amp; Assumptions'!$L$33,'Model Inputs &amp; Assumptions'!$A$40:$A$42,0))</f>
        <v>654226.805023279</v>
      </c>
      <c r="K2990" s="49" t="n">
        <f aca="false">H2990*INDEX('Model Inputs &amp; Assumptions'!$G$40:$G$42,MATCH('Model Inputs &amp; Assumptions'!$L$33,'Model Inputs &amp; Assumptions'!$A$40:$A$42,0))*INDEX('Model Inputs &amp; Assumptions'!$H$40:$H$42,MATCH('Model Inputs &amp; Assumptions'!$L$33,'Model Inputs &amp; Assumptions'!$A$40:$A$42,0))</f>
        <v>13738.7629054889</v>
      </c>
      <c r="L2990" s="51" t="n">
        <f aca="false">IFERROR(K2990/I2990,0)</f>
        <v>0.549550516219554</v>
      </c>
      <c r="M2990" s="49" t="n">
        <f aca="false">IFERROR(I2990/H2990,0)</f>
        <v>206.350456697042</v>
      </c>
      <c r="N2990" s="52" t="str">
        <f aca="false">'Model Inputs &amp; Assumptions'!$L$33</f>
        <v>PRD-SP01</v>
      </c>
      <c r="P2990" s="53" t="n">
        <v>0.113051</v>
      </c>
      <c r="Q2990" s="53" t="n">
        <v>0.887433</v>
      </c>
      <c r="R2990" s="53" t="n">
        <v>-0.715125</v>
      </c>
      <c r="S2990" s="53" t="n">
        <v>-1.198136</v>
      </c>
    </row>
    <row r="2991" customFormat="false" ht="15" hidden="false" customHeight="false" outlineLevel="0" collapsed="false">
      <c r="A2991" s="43" t="n">
        <v>488</v>
      </c>
      <c r="B2991" s="44" t="str">
        <f aca="false">'Model Inputs &amp; Assumptions'!$B$33</f>
        <v>Trade Republic — Savings Plan Push</v>
      </c>
      <c r="C2991" s="45" t="n">
        <f aca="false">ROUND(MAX(0,'Model Inputs &amp; Assumptions'!$S$33*EXP('Model Inputs &amp; Assumptions'!$T$33*P2991-'Model Inputs &amp; Assumptions'!$T$33^2/2)),0)</f>
        <v>897405</v>
      </c>
      <c r="D2991" s="46" t="n">
        <f aca="false">MIN(1,'Model Inputs &amp; Assumptions'!$U$33*EXP('Model Inputs &amp; Assumptions'!$V$33*Q2991-'Model Inputs &amp; Assumptions'!$V$33^2/2))</f>
        <v>0</v>
      </c>
      <c r="E2991" s="45" t="n">
        <f aca="false">ROUND(C2991*D2991,0)</f>
        <v>0</v>
      </c>
      <c r="F2991" s="47" t="n">
        <f aca="false">MIN(1,'Model Inputs &amp; Assumptions'!$W$33*EXP('Model Inputs &amp; Assumptions'!$X$33*R2991-'Model Inputs &amp; Assumptions'!$X$33^2/2))</f>
        <v>0.00256440752745952</v>
      </c>
      <c r="G2991" s="45" t="n">
        <f aca="false">ROUND(C2991*F2991,0)</f>
        <v>2301</v>
      </c>
      <c r="H2991" s="48" t="n">
        <f aca="false">MAX(0,(C2991*'Model Inputs &amp; Assumptions'!$N$33+E2991*'Model Inputs &amp; Assumptions'!$O$33+G2991*'Model Inputs &amp; Assumptions'!$P$33)*EXP('Model Inputs &amp; Assumptions'!$Q$33*S2991-'Model Inputs &amp; Assumptions'!$Q$33^2/2))</f>
        <v>100.524628410262</v>
      </c>
      <c r="I2991" s="49" t="n">
        <f aca="false">IF('Model Inputs &amp; Assumptions'!$H$33="Fixed",'Model Inputs &amp; Assumptions'!$I$33*'Model Inputs &amp; Assumptions'!$K$33,IF('Model Inputs &amp; Assumptions'!$H$33="CPM",'Model Inputs &amp; Assumptions'!$I$33*'Model Inputs &amp; Assumptions'!$K$33*C2991/1000,IF('Model Inputs &amp; Assumptions'!$H$33="CPC",'Model Inputs &amp; Assumptions'!$I$33*'Model Inputs &amp; Assumptions'!$K$33*G2991,0)))</f>
        <v>25000</v>
      </c>
      <c r="J2991" s="50" t="n">
        <f aca="false">H2991*INDEX('Model Inputs &amp; Assumptions'!$D$40:$D$42,MATCH('Model Inputs &amp; Assumptions'!$L$33,'Model Inputs &amp; Assumptions'!$A$40:$A$42,0))*INDEX('Model Inputs &amp; Assumptions'!$H$40:$H$42,MATCH('Model Inputs &amp; Assumptions'!$L$33,'Model Inputs &amp; Assumptions'!$A$40:$A$42,0))</f>
        <v>542832.993415413</v>
      </c>
      <c r="K2991" s="49" t="n">
        <f aca="false">H2991*INDEX('Model Inputs &amp; Assumptions'!$G$40:$G$42,MATCH('Model Inputs &amp; Assumptions'!$L$33,'Model Inputs &amp; Assumptions'!$A$40:$A$42,0))*INDEX('Model Inputs &amp; Assumptions'!$H$40:$H$42,MATCH('Model Inputs &amp; Assumptions'!$L$33,'Model Inputs &amp; Assumptions'!$A$40:$A$42,0))</f>
        <v>11399.4928617237</v>
      </c>
      <c r="L2991" s="51" t="n">
        <f aca="false">IFERROR(K2991/I2991,0)</f>
        <v>0.455979714468947</v>
      </c>
      <c r="M2991" s="49" t="n">
        <f aca="false">IFERROR(I2991/H2991,0)</f>
        <v>248.695273937943</v>
      </c>
      <c r="N2991" s="52" t="str">
        <f aca="false">'Model Inputs &amp; Assumptions'!$L$33</f>
        <v>PRD-SP01</v>
      </c>
      <c r="P2991" s="53" t="n">
        <v>-0.818567</v>
      </c>
      <c r="Q2991" s="53" t="n">
        <v>-0.227627</v>
      </c>
      <c r="R2991" s="53" t="n">
        <v>-0.886785</v>
      </c>
      <c r="S2991" s="53" t="n">
        <v>-0.682408</v>
      </c>
    </row>
    <row r="2992" customFormat="false" ht="15" hidden="false" customHeight="false" outlineLevel="0" collapsed="false">
      <c r="A2992" s="43" t="n">
        <v>489</v>
      </c>
      <c r="B2992" s="44" t="str">
        <f aca="false">'Model Inputs &amp; Assumptions'!$B$33</f>
        <v>Trade Republic — Savings Plan Push</v>
      </c>
      <c r="C2992" s="45" t="n">
        <f aca="false">ROUND(MAX(0,'Model Inputs &amp; Assumptions'!$S$33*EXP('Model Inputs &amp; Assumptions'!$T$33*P2992-'Model Inputs &amp; Assumptions'!$T$33^2/2)),0)</f>
        <v>1982191</v>
      </c>
      <c r="D2992" s="46" t="n">
        <f aca="false">MIN(1,'Model Inputs &amp; Assumptions'!$U$33*EXP('Model Inputs &amp; Assumptions'!$V$33*Q2992-'Model Inputs &amp; Assumptions'!$V$33^2/2))</f>
        <v>0</v>
      </c>
      <c r="E2992" s="45" t="n">
        <f aca="false">ROUND(C2992*D2992,0)</f>
        <v>0</v>
      </c>
      <c r="F2992" s="47" t="n">
        <f aca="false">MIN(1,'Model Inputs &amp; Assumptions'!$W$33*EXP('Model Inputs &amp; Assumptions'!$X$33*R2992-'Model Inputs &amp; Assumptions'!$X$33^2/2))</f>
        <v>0.00230520767152241</v>
      </c>
      <c r="G2992" s="45" t="n">
        <f aca="false">ROUND(C2992*F2992,0)</f>
        <v>4569</v>
      </c>
      <c r="H2992" s="48" t="n">
        <f aca="false">MAX(0,(C2992*'Model Inputs &amp; Assumptions'!$N$33+E2992*'Model Inputs &amp; Assumptions'!$O$33+G2992*'Model Inputs &amp; Assumptions'!$P$33)*EXP('Model Inputs &amp; Assumptions'!$Q$33*S2992-'Model Inputs &amp; Assumptions'!$Q$33^2/2))</f>
        <v>208.379577370274</v>
      </c>
      <c r="I2992" s="49" t="n">
        <f aca="false">IF('Model Inputs &amp; Assumptions'!$H$33="Fixed",'Model Inputs &amp; Assumptions'!$I$33*'Model Inputs &amp; Assumptions'!$K$33,IF('Model Inputs &amp; Assumptions'!$H$33="CPM",'Model Inputs &amp; Assumptions'!$I$33*'Model Inputs &amp; Assumptions'!$K$33*C2992/1000,IF('Model Inputs &amp; Assumptions'!$H$33="CPC",'Model Inputs &amp; Assumptions'!$I$33*'Model Inputs &amp; Assumptions'!$K$33*G2992,0)))</f>
        <v>25000</v>
      </c>
      <c r="J2992" s="50" t="n">
        <f aca="false">H2992*INDEX('Model Inputs &amp; Assumptions'!$D$40:$D$42,MATCH('Model Inputs &amp; Assumptions'!$L$33,'Model Inputs &amp; Assumptions'!$A$40:$A$42,0))*INDEX('Model Inputs &amp; Assumptions'!$H$40:$H$42,MATCH('Model Inputs &amp; Assumptions'!$L$33,'Model Inputs &amp; Assumptions'!$A$40:$A$42,0))</f>
        <v>1125249.71779948</v>
      </c>
      <c r="K2992" s="49" t="n">
        <f aca="false">H2992*INDEX('Model Inputs &amp; Assumptions'!$G$40:$G$42,MATCH('Model Inputs &amp; Assumptions'!$L$33,'Model Inputs &amp; Assumptions'!$A$40:$A$42,0))*INDEX('Model Inputs &amp; Assumptions'!$H$40:$H$42,MATCH('Model Inputs &amp; Assumptions'!$L$33,'Model Inputs &amp; Assumptions'!$A$40:$A$42,0))</f>
        <v>23630.2440737891</v>
      </c>
      <c r="L2992" s="51" t="n">
        <f aca="false">IFERROR(K2992/I2992,0)</f>
        <v>0.945209762951562</v>
      </c>
      <c r="M2992" s="49" t="n">
        <f aca="false">IFERROR(I2992/H2992,0)</f>
        <v>119.973369345965</v>
      </c>
      <c r="N2992" s="52" t="str">
        <f aca="false">'Model Inputs &amp; Assumptions'!$L$33</f>
        <v>PRD-SP01</v>
      </c>
      <c r="P2992" s="53" t="n">
        <v>1.822937</v>
      </c>
      <c r="Q2992" s="53" t="n">
        <v>1.122652</v>
      </c>
      <c r="R2992" s="53" t="n">
        <v>-1.241974</v>
      </c>
      <c r="S2992" s="53" t="n">
        <v>-0.528808</v>
      </c>
    </row>
    <row r="2993" customFormat="false" ht="15" hidden="false" customHeight="false" outlineLevel="0" collapsed="false">
      <c r="A2993" s="43" t="n">
        <v>490</v>
      </c>
      <c r="B2993" s="44" t="str">
        <f aca="false">'Model Inputs &amp; Assumptions'!$B$33</f>
        <v>Trade Republic — Savings Plan Push</v>
      </c>
      <c r="C2993" s="45" t="n">
        <f aca="false">ROUND(MAX(0,'Model Inputs &amp; Assumptions'!$S$33*EXP('Model Inputs &amp; Assumptions'!$T$33*P2993-'Model Inputs &amp; Assumptions'!$T$33^2/2)),0)</f>
        <v>919305</v>
      </c>
      <c r="D2993" s="46" t="n">
        <f aca="false">MIN(1,'Model Inputs &amp; Assumptions'!$U$33*EXP('Model Inputs &amp; Assumptions'!$V$33*Q2993-'Model Inputs &amp; Assumptions'!$V$33^2/2))</f>
        <v>0</v>
      </c>
      <c r="E2993" s="45" t="n">
        <f aca="false">ROUND(C2993*D2993,0)</f>
        <v>0</v>
      </c>
      <c r="F2993" s="47" t="n">
        <f aca="false">MIN(1,'Model Inputs &amp; Assumptions'!$W$33*EXP('Model Inputs &amp; Assumptions'!$X$33*R2993-'Model Inputs &amp; Assumptions'!$X$33^2/2))</f>
        <v>0.00201857288366774</v>
      </c>
      <c r="G2993" s="45" t="n">
        <f aca="false">ROUND(C2993*F2993,0)</f>
        <v>1856</v>
      </c>
      <c r="H2993" s="48" t="n">
        <f aca="false">MAX(0,(C2993*'Model Inputs &amp; Assumptions'!$N$33+E2993*'Model Inputs &amp; Assumptions'!$O$33+G2993*'Model Inputs &amp; Assumptions'!$P$33)*EXP('Model Inputs &amp; Assumptions'!$Q$33*S2993-'Model Inputs &amp; Assumptions'!$Q$33^2/2))</f>
        <v>40.2848013296674</v>
      </c>
      <c r="I2993" s="49" t="n">
        <f aca="false">IF('Model Inputs &amp; Assumptions'!$H$33="Fixed",'Model Inputs &amp; Assumptions'!$I$33*'Model Inputs &amp; Assumptions'!$K$33,IF('Model Inputs &amp; Assumptions'!$H$33="CPM",'Model Inputs &amp; Assumptions'!$I$33*'Model Inputs &amp; Assumptions'!$K$33*C2993/1000,IF('Model Inputs &amp; Assumptions'!$H$33="CPC",'Model Inputs &amp; Assumptions'!$I$33*'Model Inputs &amp; Assumptions'!$K$33*G2993,0)))</f>
        <v>25000</v>
      </c>
      <c r="J2993" s="50" t="n">
        <f aca="false">H2993*INDEX('Model Inputs &amp; Assumptions'!$D$40:$D$42,MATCH('Model Inputs &amp; Assumptions'!$L$33,'Model Inputs &amp; Assumptions'!$A$40:$A$42,0))*INDEX('Model Inputs &amp; Assumptions'!$H$40:$H$42,MATCH('Model Inputs &amp; Assumptions'!$L$33,'Model Inputs &amp; Assumptions'!$A$40:$A$42,0))</f>
        <v>217537.927180204</v>
      </c>
      <c r="K2993" s="49" t="n">
        <f aca="false">H2993*INDEX('Model Inputs &amp; Assumptions'!$G$40:$G$42,MATCH('Model Inputs &amp; Assumptions'!$L$33,'Model Inputs &amp; Assumptions'!$A$40:$A$42,0))*INDEX('Model Inputs &amp; Assumptions'!$H$40:$H$42,MATCH('Model Inputs &amp; Assumptions'!$L$33,'Model Inputs &amp; Assumptions'!$A$40:$A$42,0))</f>
        <v>4568.29647078428</v>
      </c>
      <c r="L2993" s="51" t="n">
        <f aca="false">IFERROR(K2993/I2993,0)</f>
        <v>0.182731858831371</v>
      </c>
      <c r="M2993" s="49" t="n">
        <f aca="false">IFERROR(I2993/H2993,0)</f>
        <v>620.581439521435</v>
      </c>
      <c r="N2993" s="52" t="str">
        <f aca="false">'Model Inputs &amp; Assumptions'!$L$33</f>
        <v>PRD-SP01</v>
      </c>
      <c r="P2993" s="53" t="n">
        <v>-0.738197</v>
      </c>
      <c r="Q2993" s="53" t="n">
        <v>-2.6E-005</v>
      </c>
      <c r="R2993" s="53" t="n">
        <v>-1.684574</v>
      </c>
      <c r="S2993" s="53" t="n">
        <v>-3.180652</v>
      </c>
    </row>
    <row r="2994" customFormat="false" ht="15" hidden="false" customHeight="false" outlineLevel="0" collapsed="false">
      <c r="A2994" s="43" t="n">
        <v>491</v>
      </c>
      <c r="B2994" s="44" t="str">
        <f aca="false">'Model Inputs &amp; Assumptions'!$B$33</f>
        <v>Trade Republic — Savings Plan Push</v>
      </c>
      <c r="C2994" s="45" t="n">
        <f aca="false">ROUND(MAX(0,'Model Inputs &amp; Assumptions'!$S$33*EXP('Model Inputs &amp; Assumptions'!$T$33*P2994-'Model Inputs &amp; Assumptions'!$T$33^2/2)),0)</f>
        <v>1362029</v>
      </c>
      <c r="D2994" s="46" t="n">
        <f aca="false">MIN(1,'Model Inputs &amp; Assumptions'!$U$33*EXP('Model Inputs &amp; Assumptions'!$V$33*Q2994-'Model Inputs &amp; Assumptions'!$V$33^2/2))</f>
        <v>0</v>
      </c>
      <c r="E2994" s="45" t="n">
        <f aca="false">ROUND(C2994*D2994,0)</f>
        <v>0</v>
      </c>
      <c r="F2994" s="47" t="n">
        <f aca="false">MIN(1,'Model Inputs &amp; Assumptions'!$W$33*EXP('Model Inputs &amp; Assumptions'!$X$33*R2994-'Model Inputs &amp; Assumptions'!$X$33^2/2))</f>
        <v>0.0030663847704898</v>
      </c>
      <c r="G2994" s="45" t="n">
        <f aca="false">ROUND(C2994*F2994,0)</f>
        <v>4177</v>
      </c>
      <c r="H2994" s="48" t="n">
        <f aca="false">MAX(0,(C2994*'Model Inputs &amp; Assumptions'!$N$33+E2994*'Model Inputs &amp; Assumptions'!$O$33+G2994*'Model Inputs &amp; Assumptions'!$P$33)*EXP('Model Inputs &amp; Assumptions'!$Q$33*S2994-'Model Inputs &amp; Assumptions'!$Q$33^2/2))</f>
        <v>184.996974473539</v>
      </c>
      <c r="I2994" s="49" t="n">
        <f aca="false">IF('Model Inputs &amp; Assumptions'!$H$33="Fixed",'Model Inputs &amp; Assumptions'!$I$33*'Model Inputs &amp; Assumptions'!$K$33,IF('Model Inputs &amp; Assumptions'!$H$33="CPM",'Model Inputs &amp; Assumptions'!$I$33*'Model Inputs &amp; Assumptions'!$K$33*C2994/1000,IF('Model Inputs &amp; Assumptions'!$H$33="CPC",'Model Inputs &amp; Assumptions'!$I$33*'Model Inputs &amp; Assumptions'!$K$33*G2994,0)))</f>
        <v>25000</v>
      </c>
      <c r="J2994" s="50" t="n">
        <f aca="false">H2994*INDEX('Model Inputs &amp; Assumptions'!$D$40:$D$42,MATCH('Model Inputs &amp; Assumptions'!$L$33,'Model Inputs &amp; Assumptions'!$A$40:$A$42,0))*INDEX('Model Inputs &amp; Assumptions'!$H$40:$H$42,MATCH('Model Inputs &amp; Assumptions'!$L$33,'Model Inputs &amp; Assumptions'!$A$40:$A$42,0))</f>
        <v>998983.662157113</v>
      </c>
      <c r="K2994" s="49" t="n">
        <f aca="false">H2994*INDEX('Model Inputs &amp; Assumptions'!$G$40:$G$42,MATCH('Model Inputs &amp; Assumptions'!$L$33,'Model Inputs &amp; Assumptions'!$A$40:$A$42,0))*INDEX('Model Inputs &amp; Assumptions'!$H$40:$H$42,MATCH('Model Inputs &amp; Assumptions'!$L$33,'Model Inputs &amp; Assumptions'!$A$40:$A$42,0))</f>
        <v>20978.6569052994</v>
      </c>
      <c r="L2994" s="51" t="n">
        <f aca="false">IFERROR(K2994/I2994,0)</f>
        <v>0.839146276211975</v>
      </c>
      <c r="M2994" s="49" t="n">
        <f aca="false">IFERROR(I2994/H2994,0)</f>
        <v>135.137345197912</v>
      </c>
      <c r="N2994" s="52" t="str">
        <f aca="false">'Model Inputs &amp; Assumptions'!$L$33</f>
        <v>PRD-SP01</v>
      </c>
      <c r="P2994" s="53" t="n">
        <v>0.572179</v>
      </c>
      <c r="Q2994" s="53" t="n">
        <v>0.812417</v>
      </c>
      <c r="R2994" s="53" t="n">
        <v>-0.290879</v>
      </c>
      <c r="S2994" s="53" t="n">
        <v>-0.633525</v>
      </c>
    </row>
    <row r="2995" customFormat="false" ht="15" hidden="false" customHeight="false" outlineLevel="0" collapsed="false">
      <c r="A2995" s="43" t="n">
        <v>492</v>
      </c>
      <c r="B2995" s="44" t="str">
        <f aca="false">'Model Inputs &amp; Assumptions'!$B$33</f>
        <v>Trade Republic — Savings Plan Push</v>
      </c>
      <c r="C2995" s="45" t="n">
        <f aca="false">ROUND(MAX(0,'Model Inputs &amp; Assumptions'!$S$33*EXP('Model Inputs &amp; Assumptions'!$T$33*P2995-'Model Inputs &amp; Assumptions'!$T$33^2/2)),0)</f>
        <v>1519483</v>
      </c>
      <c r="D2995" s="46" t="n">
        <f aca="false">MIN(1,'Model Inputs &amp; Assumptions'!$U$33*EXP('Model Inputs &amp; Assumptions'!$V$33*Q2995-'Model Inputs &amp; Assumptions'!$V$33^2/2))</f>
        <v>0</v>
      </c>
      <c r="E2995" s="45" t="n">
        <f aca="false">ROUND(C2995*D2995,0)</f>
        <v>0</v>
      </c>
      <c r="F2995" s="47" t="n">
        <f aca="false">MIN(1,'Model Inputs &amp; Assumptions'!$W$33*EXP('Model Inputs &amp; Assumptions'!$X$33*R2995-'Model Inputs &amp; Assumptions'!$X$33^2/2))</f>
        <v>0.00450187181192577</v>
      </c>
      <c r="G2995" s="45" t="n">
        <f aca="false">ROUND(C2995*F2995,0)</f>
        <v>6841</v>
      </c>
      <c r="H2995" s="48" t="n">
        <f aca="false">MAX(0,(C2995*'Model Inputs &amp; Assumptions'!$N$33+E2995*'Model Inputs &amp; Assumptions'!$O$33+G2995*'Model Inputs &amp; Assumptions'!$P$33)*EXP('Model Inputs &amp; Assumptions'!$Q$33*S2995-'Model Inputs &amp; Assumptions'!$Q$33^2/2))</f>
        <v>230.427146449197</v>
      </c>
      <c r="I2995" s="49" t="n">
        <f aca="false">IF('Model Inputs &amp; Assumptions'!$H$33="Fixed",'Model Inputs &amp; Assumptions'!$I$33*'Model Inputs &amp; Assumptions'!$K$33,IF('Model Inputs &amp; Assumptions'!$H$33="CPM",'Model Inputs &amp; Assumptions'!$I$33*'Model Inputs &amp; Assumptions'!$K$33*C2995/1000,IF('Model Inputs &amp; Assumptions'!$H$33="CPC",'Model Inputs &amp; Assumptions'!$I$33*'Model Inputs &amp; Assumptions'!$K$33*G2995,0)))</f>
        <v>25000</v>
      </c>
      <c r="J2995" s="50" t="n">
        <f aca="false">H2995*INDEX('Model Inputs &amp; Assumptions'!$D$40:$D$42,MATCH('Model Inputs &amp; Assumptions'!$L$33,'Model Inputs &amp; Assumptions'!$A$40:$A$42,0))*INDEX('Model Inputs &amp; Assumptions'!$H$40:$H$42,MATCH('Model Inputs &amp; Assumptions'!$L$33,'Model Inputs &amp; Assumptions'!$A$40:$A$42,0))</f>
        <v>1244306.59082566</v>
      </c>
      <c r="K2995" s="49" t="n">
        <f aca="false">H2995*INDEX('Model Inputs &amp; Assumptions'!$G$40:$G$42,MATCH('Model Inputs &amp; Assumptions'!$L$33,'Model Inputs &amp; Assumptions'!$A$40:$A$42,0))*INDEX('Model Inputs &amp; Assumptions'!$H$40:$H$42,MATCH('Model Inputs &amp; Assumptions'!$L$33,'Model Inputs &amp; Assumptions'!$A$40:$A$42,0))</f>
        <v>26130.4384073389</v>
      </c>
      <c r="L2995" s="51" t="n">
        <f aca="false">IFERROR(K2995/I2995,0)</f>
        <v>1.04521753629356</v>
      </c>
      <c r="M2995" s="49" t="n">
        <f aca="false">IFERROR(I2995/H2995,0)</f>
        <v>108.494161322749</v>
      </c>
      <c r="N2995" s="52" t="str">
        <f aca="false">'Model Inputs &amp; Assumptions'!$L$33</f>
        <v>PRD-SP01</v>
      </c>
      <c r="P2995" s="53" t="n">
        <v>0.936828</v>
      </c>
      <c r="Q2995" s="53" t="n">
        <v>0.75647</v>
      </c>
      <c r="R2995" s="53" t="n">
        <v>0.989101</v>
      </c>
      <c r="S2995" s="53" t="n">
        <v>-1.611187</v>
      </c>
    </row>
    <row r="2996" customFormat="false" ht="15" hidden="false" customHeight="false" outlineLevel="0" collapsed="false">
      <c r="A2996" s="43" t="n">
        <v>493</v>
      </c>
      <c r="B2996" s="44" t="str">
        <f aca="false">'Model Inputs &amp; Assumptions'!$B$33</f>
        <v>Trade Republic — Savings Plan Push</v>
      </c>
      <c r="C2996" s="45" t="n">
        <f aca="false">ROUND(MAX(0,'Model Inputs &amp; Assumptions'!$S$33*EXP('Model Inputs &amp; Assumptions'!$T$33*P2996-'Model Inputs &amp; Assumptions'!$T$33^2/2)),0)</f>
        <v>1177873</v>
      </c>
      <c r="D2996" s="46" t="n">
        <f aca="false">MIN(1,'Model Inputs &amp; Assumptions'!$U$33*EXP('Model Inputs &amp; Assumptions'!$V$33*Q2996-'Model Inputs &amp; Assumptions'!$V$33^2/2))</f>
        <v>0</v>
      </c>
      <c r="E2996" s="45" t="n">
        <f aca="false">ROUND(C2996*D2996,0)</f>
        <v>0</v>
      </c>
      <c r="F2996" s="47" t="n">
        <f aca="false">MIN(1,'Model Inputs &amp; Assumptions'!$W$33*EXP('Model Inputs &amp; Assumptions'!$X$33*R2996-'Model Inputs &amp; Assumptions'!$X$33^2/2))</f>
        <v>0.00350450950259474</v>
      </c>
      <c r="G2996" s="45" t="n">
        <f aca="false">ROUND(C2996*F2996,0)</f>
        <v>4128</v>
      </c>
      <c r="H2996" s="48" t="n">
        <f aca="false">MAX(0,(C2996*'Model Inputs &amp; Assumptions'!$N$33+E2996*'Model Inputs &amp; Assumptions'!$O$33+G2996*'Model Inputs &amp; Assumptions'!$P$33)*EXP('Model Inputs &amp; Assumptions'!$Q$33*S2996-'Model Inputs &amp; Assumptions'!$Q$33^2/2))</f>
        <v>345.424361126345</v>
      </c>
      <c r="I2996" s="49" t="n">
        <f aca="false">IF('Model Inputs &amp; Assumptions'!$H$33="Fixed",'Model Inputs &amp; Assumptions'!$I$33*'Model Inputs &amp; Assumptions'!$K$33,IF('Model Inputs &amp; Assumptions'!$H$33="CPM",'Model Inputs &amp; Assumptions'!$I$33*'Model Inputs &amp; Assumptions'!$K$33*C2996/1000,IF('Model Inputs &amp; Assumptions'!$H$33="CPC",'Model Inputs &amp; Assumptions'!$I$33*'Model Inputs &amp; Assumptions'!$K$33*G2996,0)))</f>
        <v>25000</v>
      </c>
      <c r="J2996" s="50" t="n">
        <f aca="false">H2996*INDEX('Model Inputs &amp; Assumptions'!$D$40:$D$42,MATCH('Model Inputs &amp; Assumptions'!$L$33,'Model Inputs &amp; Assumptions'!$A$40:$A$42,0))*INDEX('Model Inputs &amp; Assumptions'!$H$40:$H$42,MATCH('Model Inputs &amp; Assumptions'!$L$33,'Model Inputs &amp; Assumptions'!$A$40:$A$42,0))</f>
        <v>1865291.55008226</v>
      </c>
      <c r="K2996" s="49" t="n">
        <f aca="false">H2996*INDEX('Model Inputs &amp; Assumptions'!$G$40:$G$42,MATCH('Model Inputs &amp; Assumptions'!$L$33,'Model Inputs &amp; Assumptions'!$A$40:$A$42,0))*INDEX('Model Inputs &amp; Assumptions'!$H$40:$H$42,MATCH('Model Inputs &amp; Assumptions'!$L$33,'Model Inputs &amp; Assumptions'!$A$40:$A$42,0))</f>
        <v>39171.1225517275</v>
      </c>
      <c r="L2996" s="51" t="n">
        <f aca="false">IFERROR(K2996/I2996,0)</f>
        <v>1.5668449020691</v>
      </c>
      <c r="M2996" s="49" t="n">
        <f aca="false">IFERROR(I2996/H2996,0)</f>
        <v>72.3747448456764</v>
      </c>
      <c r="N2996" s="52" t="str">
        <f aca="false">'Model Inputs &amp; Assumptions'!$L$33</f>
        <v>PRD-SP01</v>
      </c>
      <c r="P2996" s="53" t="n">
        <v>0.087963</v>
      </c>
      <c r="Q2996" s="53" t="n">
        <v>-2.104241</v>
      </c>
      <c r="R2996" s="53" t="n">
        <v>0.154292</v>
      </c>
      <c r="S2996" s="53" t="n">
        <v>1.638741</v>
      </c>
    </row>
    <row r="2997" customFormat="false" ht="15" hidden="false" customHeight="false" outlineLevel="0" collapsed="false">
      <c r="A2997" s="43" t="n">
        <v>494</v>
      </c>
      <c r="B2997" s="44" t="str">
        <f aca="false">'Model Inputs &amp; Assumptions'!$B$33</f>
        <v>Trade Republic — Savings Plan Push</v>
      </c>
      <c r="C2997" s="45" t="n">
        <f aca="false">ROUND(MAX(0,'Model Inputs &amp; Assumptions'!$S$33*EXP('Model Inputs &amp; Assumptions'!$T$33*P2997-'Model Inputs &amp; Assumptions'!$T$33^2/2)),0)</f>
        <v>679674</v>
      </c>
      <c r="D2997" s="46" t="n">
        <f aca="false">MIN(1,'Model Inputs &amp; Assumptions'!$U$33*EXP('Model Inputs &amp; Assumptions'!$V$33*Q2997-'Model Inputs &amp; Assumptions'!$V$33^2/2))</f>
        <v>0</v>
      </c>
      <c r="E2997" s="45" t="n">
        <f aca="false">ROUND(C2997*D2997,0)</f>
        <v>0</v>
      </c>
      <c r="F2997" s="47" t="n">
        <f aca="false">MIN(1,'Model Inputs &amp; Assumptions'!$W$33*EXP('Model Inputs &amp; Assumptions'!$X$33*R2997-'Model Inputs &amp; Assumptions'!$X$33^2/2))</f>
        <v>0.00216178543058806</v>
      </c>
      <c r="G2997" s="45" t="n">
        <f aca="false">ROUND(C2997*F2997,0)</f>
        <v>1469</v>
      </c>
      <c r="H2997" s="48" t="n">
        <f aca="false">MAX(0,(C2997*'Model Inputs &amp; Assumptions'!$N$33+E2997*'Model Inputs &amp; Assumptions'!$O$33+G2997*'Model Inputs &amp; Assumptions'!$P$33)*EXP('Model Inputs &amp; Assumptions'!$Q$33*S2997-'Model Inputs &amp; Assumptions'!$Q$33^2/2))</f>
        <v>62.3082326560048</v>
      </c>
      <c r="I2997" s="49" t="n">
        <f aca="false">IF('Model Inputs &amp; Assumptions'!$H$33="Fixed",'Model Inputs &amp; Assumptions'!$I$33*'Model Inputs &amp; Assumptions'!$K$33,IF('Model Inputs &amp; Assumptions'!$H$33="CPM",'Model Inputs &amp; Assumptions'!$I$33*'Model Inputs &amp; Assumptions'!$K$33*C2997/1000,IF('Model Inputs &amp; Assumptions'!$H$33="CPC",'Model Inputs &amp; Assumptions'!$I$33*'Model Inputs &amp; Assumptions'!$K$33*G2997,0)))</f>
        <v>25000</v>
      </c>
      <c r="J2997" s="50" t="n">
        <f aca="false">H2997*INDEX('Model Inputs &amp; Assumptions'!$D$40:$D$42,MATCH('Model Inputs &amp; Assumptions'!$L$33,'Model Inputs &amp; Assumptions'!$A$40:$A$42,0))*INDEX('Model Inputs &amp; Assumptions'!$H$40:$H$42,MATCH('Model Inputs &amp; Assumptions'!$L$33,'Model Inputs &amp; Assumptions'!$A$40:$A$42,0))</f>
        <v>336464.456342426</v>
      </c>
      <c r="K2997" s="49" t="n">
        <f aca="false">H2997*INDEX('Model Inputs &amp; Assumptions'!$G$40:$G$42,MATCH('Model Inputs &amp; Assumptions'!$L$33,'Model Inputs &amp; Assumptions'!$A$40:$A$42,0))*INDEX('Model Inputs &amp; Assumptions'!$H$40:$H$42,MATCH('Model Inputs &amp; Assumptions'!$L$33,'Model Inputs &amp; Assumptions'!$A$40:$A$42,0))</f>
        <v>7065.75358319095</v>
      </c>
      <c r="L2997" s="51" t="n">
        <f aca="false">IFERROR(K2997/I2997,0)</f>
        <v>0.282630143327638</v>
      </c>
      <c r="M2997" s="49" t="n">
        <f aca="false">IFERROR(I2997/H2997,0)</f>
        <v>401.231088322174</v>
      </c>
      <c r="N2997" s="52" t="str">
        <f aca="false">'Model Inputs &amp; Assumptions'!$L$33</f>
        <v>PRD-SP01</v>
      </c>
      <c r="P2997" s="53" t="n">
        <v>-1.74488</v>
      </c>
      <c r="Q2997" s="53" t="n">
        <v>-0.526253</v>
      </c>
      <c r="R2997" s="53" t="n">
        <v>-1.456095</v>
      </c>
      <c r="S2997" s="53" t="n">
        <v>-0.787934</v>
      </c>
    </row>
    <row r="2998" customFormat="false" ht="15" hidden="false" customHeight="false" outlineLevel="0" collapsed="false">
      <c r="A2998" s="43" t="n">
        <v>495</v>
      </c>
      <c r="B2998" s="44" t="str">
        <f aca="false">'Model Inputs &amp; Assumptions'!$B$33</f>
        <v>Trade Republic — Savings Plan Push</v>
      </c>
      <c r="C2998" s="45" t="n">
        <f aca="false">ROUND(MAX(0,'Model Inputs &amp; Assumptions'!$S$33*EXP('Model Inputs &amp; Assumptions'!$T$33*P2998-'Model Inputs &amp; Assumptions'!$T$33^2/2)),0)</f>
        <v>834115</v>
      </c>
      <c r="D2998" s="46" t="n">
        <f aca="false">MIN(1,'Model Inputs &amp; Assumptions'!$U$33*EXP('Model Inputs &amp; Assumptions'!$V$33*Q2998-'Model Inputs &amp; Assumptions'!$V$33^2/2))</f>
        <v>0</v>
      </c>
      <c r="E2998" s="45" t="n">
        <f aca="false">ROUND(C2998*D2998,0)</f>
        <v>0</v>
      </c>
      <c r="F2998" s="47" t="n">
        <f aca="false">MIN(1,'Model Inputs &amp; Assumptions'!$W$33*EXP('Model Inputs &amp; Assumptions'!$X$33*R2998-'Model Inputs &amp; Assumptions'!$X$33^2/2))</f>
        <v>0.00312744059412842</v>
      </c>
      <c r="G2998" s="45" t="n">
        <f aca="false">ROUND(C2998*F2998,0)</f>
        <v>2609</v>
      </c>
      <c r="H2998" s="48" t="n">
        <f aca="false">MAX(0,(C2998*'Model Inputs &amp; Assumptions'!$N$33+E2998*'Model Inputs &amp; Assumptions'!$O$33+G2998*'Model Inputs &amp; Assumptions'!$P$33)*EXP('Model Inputs &amp; Assumptions'!$Q$33*S2998-'Model Inputs &amp; Assumptions'!$Q$33^2/2))</f>
        <v>106.856258347373</v>
      </c>
      <c r="I2998" s="49" t="n">
        <f aca="false">IF('Model Inputs &amp; Assumptions'!$H$33="Fixed",'Model Inputs &amp; Assumptions'!$I$33*'Model Inputs &amp; Assumptions'!$K$33,IF('Model Inputs &amp; Assumptions'!$H$33="CPM",'Model Inputs &amp; Assumptions'!$I$33*'Model Inputs &amp; Assumptions'!$K$33*C2998/1000,IF('Model Inputs &amp; Assumptions'!$H$33="CPC",'Model Inputs &amp; Assumptions'!$I$33*'Model Inputs &amp; Assumptions'!$K$33*G2998,0)))</f>
        <v>25000</v>
      </c>
      <c r="J2998" s="50" t="n">
        <f aca="false">H2998*INDEX('Model Inputs &amp; Assumptions'!$D$40:$D$42,MATCH('Model Inputs &amp; Assumptions'!$L$33,'Model Inputs &amp; Assumptions'!$A$40:$A$42,0))*INDEX('Model Inputs &amp; Assumptions'!$H$40:$H$42,MATCH('Model Inputs &amp; Assumptions'!$L$33,'Model Inputs &amp; Assumptions'!$A$40:$A$42,0))</f>
        <v>577023.795075816</v>
      </c>
      <c r="K2998" s="49" t="n">
        <f aca="false">H2998*INDEX('Model Inputs &amp; Assumptions'!$G$40:$G$42,MATCH('Model Inputs &amp; Assumptions'!$L$33,'Model Inputs &amp; Assumptions'!$A$40:$A$42,0))*INDEX('Model Inputs &amp; Assumptions'!$H$40:$H$42,MATCH('Model Inputs &amp; Assumptions'!$L$33,'Model Inputs &amp; Assumptions'!$A$40:$A$42,0))</f>
        <v>12117.4996965921</v>
      </c>
      <c r="L2998" s="51" t="n">
        <f aca="false">IFERROR(K2998/I2998,0)</f>
        <v>0.484699987863686</v>
      </c>
      <c r="M2998" s="49" t="n">
        <f aca="false">IFERROR(I2998/H2998,0)</f>
        <v>233.959155847745</v>
      </c>
      <c r="N2998" s="52" t="str">
        <f aca="false">'Model Inputs &amp; Assumptions'!$L$33</f>
        <v>PRD-SP01</v>
      </c>
      <c r="P2998" s="53" t="n">
        <v>-1.062351</v>
      </c>
      <c r="Q2998" s="53" t="n">
        <v>0.000501</v>
      </c>
      <c r="R2998" s="53" t="n">
        <v>-0.22516</v>
      </c>
      <c r="S2998" s="53" t="n">
        <v>-0.912913</v>
      </c>
    </row>
    <row r="2999" customFormat="false" ht="15" hidden="false" customHeight="false" outlineLevel="0" collapsed="false">
      <c r="A2999" s="43" t="n">
        <v>496</v>
      </c>
      <c r="B2999" s="44" t="str">
        <f aca="false">'Model Inputs &amp; Assumptions'!$B$33</f>
        <v>Trade Republic — Savings Plan Push</v>
      </c>
      <c r="C2999" s="45" t="n">
        <f aca="false">ROUND(MAX(0,'Model Inputs &amp; Assumptions'!$S$33*EXP('Model Inputs &amp; Assumptions'!$T$33*P2999-'Model Inputs &amp; Assumptions'!$T$33^2/2)),0)</f>
        <v>1112195</v>
      </c>
      <c r="D2999" s="46" t="n">
        <f aca="false">MIN(1,'Model Inputs &amp; Assumptions'!$U$33*EXP('Model Inputs &amp; Assumptions'!$V$33*Q2999-'Model Inputs &amp; Assumptions'!$V$33^2/2))</f>
        <v>0</v>
      </c>
      <c r="E2999" s="45" t="n">
        <f aca="false">ROUND(C2999*D2999,0)</f>
        <v>0</v>
      </c>
      <c r="F2999" s="47" t="n">
        <f aca="false">MIN(1,'Model Inputs &amp; Assumptions'!$W$33*EXP('Model Inputs &amp; Assumptions'!$X$33*R2999-'Model Inputs &amp; Assumptions'!$X$33^2/2))</f>
        <v>0.0034992356834664</v>
      </c>
      <c r="G2999" s="45" t="n">
        <f aca="false">ROUND(C2999*F2999,0)</f>
        <v>3892</v>
      </c>
      <c r="H2999" s="48" t="n">
        <f aca="false">MAX(0,(C2999*'Model Inputs &amp; Assumptions'!$N$33+E2999*'Model Inputs &amp; Assumptions'!$O$33+G2999*'Model Inputs &amp; Assumptions'!$P$33)*EXP('Model Inputs &amp; Assumptions'!$Q$33*S2999-'Model Inputs &amp; Assumptions'!$Q$33^2/2))</f>
        <v>173.967056278496</v>
      </c>
      <c r="I2999" s="49" t="n">
        <f aca="false">IF('Model Inputs &amp; Assumptions'!$H$33="Fixed",'Model Inputs &amp; Assumptions'!$I$33*'Model Inputs &amp; Assumptions'!$K$33,IF('Model Inputs &amp; Assumptions'!$H$33="CPM",'Model Inputs &amp; Assumptions'!$I$33*'Model Inputs &amp; Assumptions'!$K$33*C2999/1000,IF('Model Inputs &amp; Assumptions'!$H$33="CPC",'Model Inputs &amp; Assumptions'!$I$33*'Model Inputs &amp; Assumptions'!$K$33*G2999,0)))</f>
        <v>25000</v>
      </c>
      <c r="J2999" s="50" t="n">
        <f aca="false">H2999*INDEX('Model Inputs &amp; Assumptions'!$D$40:$D$42,MATCH('Model Inputs &amp; Assumptions'!$L$33,'Model Inputs &amp; Assumptions'!$A$40:$A$42,0))*INDEX('Model Inputs &amp; Assumptions'!$H$40:$H$42,MATCH('Model Inputs &amp; Assumptions'!$L$33,'Model Inputs &amp; Assumptions'!$A$40:$A$42,0))</f>
        <v>939422.103903876</v>
      </c>
      <c r="K2999" s="49" t="n">
        <f aca="false">H2999*INDEX('Model Inputs &amp; Assumptions'!$G$40:$G$42,MATCH('Model Inputs &amp; Assumptions'!$L$33,'Model Inputs &amp; Assumptions'!$A$40:$A$42,0))*INDEX('Model Inputs &amp; Assumptions'!$H$40:$H$42,MATCH('Model Inputs &amp; Assumptions'!$L$33,'Model Inputs &amp; Assumptions'!$A$40:$A$42,0))</f>
        <v>19727.8641819814</v>
      </c>
      <c r="L2999" s="51" t="n">
        <f aca="false">IFERROR(K2999/I2999,0)</f>
        <v>0.789114567279256</v>
      </c>
      <c r="M2999" s="49" t="n">
        <f aca="false">IFERROR(I2999/H2999,0)</f>
        <v>143.705368906046</v>
      </c>
      <c r="N2999" s="52" t="str">
        <f aca="false">'Model Inputs &amp; Assumptions'!$L$33</f>
        <v>PRD-SP01</v>
      </c>
      <c r="P2999" s="53" t="n">
        <v>-0.103286</v>
      </c>
      <c r="Q2999" s="53" t="n">
        <v>0.335836</v>
      </c>
      <c r="R2999" s="53" t="n">
        <v>0.149272</v>
      </c>
      <c r="S2999" s="53" t="n">
        <v>-0.60068</v>
      </c>
    </row>
    <row r="3000" customFormat="false" ht="15" hidden="false" customHeight="false" outlineLevel="0" collapsed="false">
      <c r="A3000" s="43" t="n">
        <v>497</v>
      </c>
      <c r="B3000" s="44" t="str">
        <f aca="false">'Model Inputs &amp; Assumptions'!$B$33</f>
        <v>Trade Republic — Savings Plan Push</v>
      </c>
      <c r="C3000" s="45" t="n">
        <f aca="false">ROUND(MAX(0,'Model Inputs &amp; Assumptions'!$S$33*EXP('Model Inputs &amp; Assumptions'!$T$33*P3000-'Model Inputs &amp; Assumptions'!$T$33^2/2)),0)</f>
        <v>945667</v>
      </c>
      <c r="D3000" s="46" t="n">
        <f aca="false">MIN(1,'Model Inputs &amp; Assumptions'!$U$33*EXP('Model Inputs &amp; Assumptions'!$V$33*Q3000-'Model Inputs &amp; Assumptions'!$V$33^2/2))</f>
        <v>0</v>
      </c>
      <c r="E3000" s="45" t="n">
        <f aca="false">ROUND(C3000*D3000,0)</f>
        <v>0</v>
      </c>
      <c r="F3000" s="47" t="n">
        <f aca="false">MIN(1,'Model Inputs &amp; Assumptions'!$W$33*EXP('Model Inputs &amp; Assumptions'!$X$33*R3000-'Model Inputs &amp; Assumptions'!$X$33^2/2))</f>
        <v>0.00635229502263603</v>
      </c>
      <c r="G3000" s="45" t="n">
        <f aca="false">ROUND(C3000*F3000,0)</f>
        <v>6007</v>
      </c>
      <c r="H3000" s="48" t="n">
        <f aca="false">MAX(0,(C3000*'Model Inputs &amp; Assumptions'!$N$33+E3000*'Model Inputs &amp; Assumptions'!$O$33+G3000*'Model Inputs &amp; Assumptions'!$P$33)*EXP('Model Inputs &amp; Assumptions'!$Q$33*S3000-'Model Inputs &amp; Assumptions'!$Q$33^2/2))</f>
        <v>199.558279422582</v>
      </c>
      <c r="I3000" s="49" t="n">
        <f aca="false">IF('Model Inputs &amp; Assumptions'!$H$33="Fixed",'Model Inputs &amp; Assumptions'!$I$33*'Model Inputs &amp; Assumptions'!$K$33,IF('Model Inputs &amp; Assumptions'!$H$33="CPM",'Model Inputs &amp; Assumptions'!$I$33*'Model Inputs &amp; Assumptions'!$K$33*C3000/1000,IF('Model Inputs &amp; Assumptions'!$H$33="CPC",'Model Inputs &amp; Assumptions'!$I$33*'Model Inputs &amp; Assumptions'!$K$33*G3000,0)))</f>
        <v>25000</v>
      </c>
      <c r="J3000" s="50" t="n">
        <f aca="false">H3000*INDEX('Model Inputs &amp; Assumptions'!$D$40:$D$42,MATCH('Model Inputs &amp; Assumptions'!$L$33,'Model Inputs &amp; Assumptions'!$A$40:$A$42,0))*INDEX('Model Inputs &amp; Assumptions'!$H$40:$H$42,MATCH('Model Inputs &amp; Assumptions'!$L$33,'Model Inputs &amp; Assumptions'!$A$40:$A$42,0))</f>
        <v>1077614.70888194</v>
      </c>
      <c r="K3000" s="49" t="n">
        <f aca="false">H3000*INDEX('Model Inputs &amp; Assumptions'!$G$40:$G$42,MATCH('Model Inputs &amp; Assumptions'!$L$33,'Model Inputs &amp; Assumptions'!$A$40:$A$42,0))*INDEX('Model Inputs &amp; Assumptions'!$H$40:$H$42,MATCH('Model Inputs &amp; Assumptions'!$L$33,'Model Inputs &amp; Assumptions'!$A$40:$A$42,0))</f>
        <v>22629.9088865208</v>
      </c>
      <c r="L3000" s="51" t="n">
        <f aca="false">IFERROR(K3000/I3000,0)</f>
        <v>0.90519635546083</v>
      </c>
      <c r="M3000" s="49" t="n">
        <f aca="false">IFERROR(I3000/H3000,0)</f>
        <v>125.276686451382</v>
      </c>
      <c r="N3000" s="52" t="str">
        <f aca="false">'Model Inputs &amp; Assumptions'!$L$33</f>
        <v>PRD-SP01</v>
      </c>
      <c r="P3000" s="53" t="n">
        <v>-0.643954</v>
      </c>
      <c r="Q3000" s="53" t="n">
        <v>-1.222385</v>
      </c>
      <c r="R3000" s="53" t="n">
        <v>2.136844</v>
      </c>
      <c r="S3000" s="53" t="n">
        <v>-1.660544</v>
      </c>
    </row>
    <row r="3001" customFormat="false" ht="15" hidden="false" customHeight="false" outlineLevel="0" collapsed="false">
      <c r="A3001" s="43" t="n">
        <v>498</v>
      </c>
      <c r="B3001" s="44" t="str">
        <f aca="false">'Model Inputs &amp; Assumptions'!$B$33</f>
        <v>Trade Republic — Savings Plan Push</v>
      </c>
      <c r="C3001" s="45" t="n">
        <f aca="false">ROUND(MAX(0,'Model Inputs &amp; Assumptions'!$S$33*EXP('Model Inputs &amp; Assumptions'!$T$33*P3001-'Model Inputs &amp; Assumptions'!$T$33^2/2)),0)</f>
        <v>1050093</v>
      </c>
      <c r="D3001" s="46" t="n">
        <f aca="false">MIN(1,'Model Inputs &amp; Assumptions'!$U$33*EXP('Model Inputs &amp; Assumptions'!$V$33*Q3001-'Model Inputs &amp; Assumptions'!$V$33^2/2))</f>
        <v>0</v>
      </c>
      <c r="E3001" s="45" t="n">
        <f aca="false">ROUND(C3001*D3001,0)</f>
        <v>0</v>
      </c>
      <c r="F3001" s="47" t="n">
        <f aca="false">MIN(1,'Model Inputs &amp; Assumptions'!$W$33*EXP('Model Inputs &amp; Assumptions'!$X$33*R3001-'Model Inputs &amp; Assumptions'!$X$33^2/2))</f>
        <v>0.00342363574075622</v>
      </c>
      <c r="G3001" s="45" t="n">
        <f aca="false">ROUND(C3001*F3001,0)</f>
        <v>3595</v>
      </c>
      <c r="H3001" s="48" t="n">
        <f aca="false">MAX(0,(C3001*'Model Inputs &amp; Assumptions'!$N$33+E3001*'Model Inputs &amp; Assumptions'!$O$33+G3001*'Model Inputs &amp; Assumptions'!$P$33)*EXP('Model Inputs &amp; Assumptions'!$Q$33*S3001-'Model Inputs &amp; Assumptions'!$Q$33^2/2))</f>
        <v>172.749618872063</v>
      </c>
      <c r="I3001" s="49" t="n">
        <f aca="false">IF('Model Inputs &amp; Assumptions'!$H$33="Fixed",'Model Inputs &amp; Assumptions'!$I$33*'Model Inputs &amp; Assumptions'!$K$33,IF('Model Inputs &amp; Assumptions'!$H$33="CPM",'Model Inputs &amp; Assumptions'!$I$33*'Model Inputs &amp; Assumptions'!$K$33*C3001/1000,IF('Model Inputs &amp; Assumptions'!$H$33="CPC",'Model Inputs &amp; Assumptions'!$I$33*'Model Inputs &amp; Assumptions'!$K$33*G3001,0)))</f>
        <v>25000</v>
      </c>
      <c r="J3001" s="50" t="n">
        <f aca="false">H3001*INDEX('Model Inputs &amp; Assumptions'!$D$40:$D$42,MATCH('Model Inputs &amp; Assumptions'!$L$33,'Model Inputs &amp; Assumptions'!$A$40:$A$42,0))*INDEX('Model Inputs &amp; Assumptions'!$H$40:$H$42,MATCH('Model Inputs &amp; Assumptions'!$L$33,'Model Inputs &amp; Assumptions'!$A$40:$A$42,0))</f>
        <v>932847.941909142</v>
      </c>
      <c r="K3001" s="49" t="n">
        <f aca="false">H3001*INDEX('Model Inputs &amp; Assumptions'!$G$40:$G$42,MATCH('Model Inputs &amp; Assumptions'!$L$33,'Model Inputs &amp; Assumptions'!$A$40:$A$42,0))*INDEX('Model Inputs &amp; Assumptions'!$H$40:$H$42,MATCH('Model Inputs &amp; Assumptions'!$L$33,'Model Inputs &amp; Assumptions'!$A$40:$A$42,0))</f>
        <v>19589.806780092</v>
      </c>
      <c r="L3001" s="51" t="n">
        <f aca="false">IFERROR(K3001/I3001,0)</f>
        <v>0.78359227120368</v>
      </c>
      <c r="M3001" s="49" t="n">
        <f aca="false">IFERROR(I3001/H3001,0)</f>
        <v>144.71811957232</v>
      </c>
      <c r="N3001" s="52" t="str">
        <f aca="false">'Model Inputs &amp; Assumptions'!$L$33</f>
        <v>PRD-SP01</v>
      </c>
      <c r="P3001" s="53" t="n">
        <v>-0.294809</v>
      </c>
      <c r="Q3001" s="53" t="n">
        <v>-3.084053</v>
      </c>
      <c r="R3001" s="53" t="n">
        <v>0.076467</v>
      </c>
      <c r="S3001" s="53" t="n">
        <v>-0.342264</v>
      </c>
    </row>
    <row r="3002" customFormat="false" ht="15" hidden="false" customHeight="false" outlineLevel="0" collapsed="false">
      <c r="A3002" s="43" t="n">
        <v>499</v>
      </c>
      <c r="B3002" s="44" t="str">
        <f aca="false">'Model Inputs &amp; Assumptions'!$B$33</f>
        <v>Trade Republic — Savings Plan Push</v>
      </c>
      <c r="C3002" s="45" t="n">
        <f aca="false">ROUND(MAX(0,'Model Inputs &amp; Assumptions'!$S$33*EXP('Model Inputs &amp; Assumptions'!$T$33*P3002-'Model Inputs &amp; Assumptions'!$T$33^2/2)),0)</f>
        <v>513864</v>
      </c>
      <c r="D3002" s="46" t="n">
        <f aca="false">MIN(1,'Model Inputs &amp; Assumptions'!$U$33*EXP('Model Inputs &amp; Assumptions'!$V$33*Q3002-'Model Inputs &amp; Assumptions'!$V$33^2/2))</f>
        <v>0</v>
      </c>
      <c r="E3002" s="45" t="n">
        <f aca="false">ROUND(C3002*D3002,0)</f>
        <v>0</v>
      </c>
      <c r="F3002" s="47" t="n">
        <f aca="false">MIN(1,'Model Inputs &amp; Assumptions'!$W$33*EXP('Model Inputs &amp; Assumptions'!$X$33*R3002-'Model Inputs &amp; Assumptions'!$X$33^2/2))</f>
        <v>0.00627132068791558</v>
      </c>
      <c r="G3002" s="45" t="n">
        <f aca="false">ROUND(C3002*F3002,0)</f>
        <v>3223</v>
      </c>
      <c r="H3002" s="48" t="n">
        <f aca="false">MAX(0,(C3002*'Model Inputs &amp; Assumptions'!$N$33+E3002*'Model Inputs &amp; Assumptions'!$O$33+G3002*'Model Inputs &amp; Assumptions'!$P$33)*EXP('Model Inputs &amp; Assumptions'!$Q$33*S3002-'Model Inputs &amp; Assumptions'!$Q$33^2/2))</f>
        <v>195.809198502463</v>
      </c>
      <c r="I3002" s="49" t="n">
        <f aca="false">IF('Model Inputs &amp; Assumptions'!$H$33="Fixed",'Model Inputs &amp; Assumptions'!$I$33*'Model Inputs &amp; Assumptions'!$K$33,IF('Model Inputs &amp; Assumptions'!$H$33="CPM",'Model Inputs &amp; Assumptions'!$I$33*'Model Inputs &amp; Assumptions'!$K$33*C3002/1000,IF('Model Inputs &amp; Assumptions'!$H$33="CPC",'Model Inputs &amp; Assumptions'!$I$33*'Model Inputs &amp; Assumptions'!$K$33*G3002,0)))</f>
        <v>25000</v>
      </c>
      <c r="J3002" s="50" t="n">
        <f aca="false">H3002*INDEX('Model Inputs &amp; Assumptions'!$D$40:$D$42,MATCH('Model Inputs &amp; Assumptions'!$L$33,'Model Inputs &amp; Assumptions'!$A$40:$A$42,0))*INDEX('Model Inputs &amp; Assumptions'!$H$40:$H$42,MATCH('Model Inputs &amp; Assumptions'!$L$33,'Model Inputs &amp; Assumptions'!$A$40:$A$42,0))</f>
        <v>1057369.6719133</v>
      </c>
      <c r="K3002" s="49" t="n">
        <f aca="false">H3002*INDEX('Model Inputs &amp; Assumptions'!$G$40:$G$42,MATCH('Model Inputs &amp; Assumptions'!$L$33,'Model Inputs &amp; Assumptions'!$A$40:$A$42,0))*INDEX('Model Inputs &amp; Assumptions'!$H$40:$H$42,MATCH('Model Inputs &amp; Assumptions'!$L$33,'Model Inputs &amp; Assumptions'!$A$40:$A$42,0))</f>
        <v>22204.7631101793</v>
      </c>
      <c r="L3002" s="51" t="n">
        <f aca="false">IFERROR(K3002/I3002,0)</f>
        <v>0.888190524407171</v>
      </c>
      <c r="M3002" s="49" t="n">
        <f aca="false">IFERROR(I3002/H3002,0)</f>
        <v>127.675309388928</v>
      </c>
      <c r="N3002" s="52" t="str">
        <f aca="false">'Model Inputs &amp; Assumptions'!$L$33</f>
        <v>PRD-SP01</v>
      </c>
      <c r="P3002" s="53" t="n">
        <v>-2.677062</v>
      </c>
      <c r="Q3002" s="53" t="n">
        <v>-0.812637</v>
      </c>
      <c r="R3002" s="53" t="n">
        <v>2.09408</v>
      </c>
      <c r="S3002" s="53" t="n">
        <v>0.495339</v>
      </c>
    </row>
    <row r="3003" customFormat="false" ht="15" hidden="false" customHeight="false" outlineLevel="0" collapsed="false">
      <c r="A3003" s="43" t="n">
        <v>500</v>
      </c>
      <c r="B3003" s="44" t="str">
        <f aca="false">'Model Inputs &amp; Assumptions'!$B$33</f>
        <v>Trade Republic — Savings Plan Push</v>
      </c>
      <c r="C3003" s="45" t="n">
        <f aca="false">ROUND(MAX(0,'Model Inputs &amp; Assumptions'!$S$33*EXP('Model Inputs &amp; Assumptions'!$T$33*P3003-'Model Inputs &amp; Assumptions'!$T$33^2/2)),0)</f>
        <v>1184748</v>
      </c>
      <c r="D3003" s="46" t="n">
        <f aca="false">MIN(1,'Model Inputs &amp; Assumptions'!$U$33*EXP('Model Inputs &amp; Assumptions'!$V$33*Q3003-'Model Inputs &amp; Assumptions'!$V$33^2/2))</f>
        <v>0</v>
      </c>
      <c r="E3003" s="45" t="n">
        <f aca="false">ROUND(C3003*D3003,0)</f>
        <v>0</v>
      </c>
      <c r="F3003" s="47" t="n">
        <f aca="false">MIN(1,'Model Inputs &amp; Assumptions'!$W$33*EXP('Model Inputs &amp; Assumptions'!$X$33*R3003-'Model Inputs &amp; Assumptions'!$X$33^2/2))</f>
        <v>0.00254575271485475</v>
      </c>
      <c r="G3003" s="45" t="n">
        <f aca="false">ROUND(C3003*F3003,0)</f>
        <v>3016</v>
      </c>
      <c r="H3003" s="48" t="n">
        <f aca="false">MAX(0,(C3003*'Model Inputs &amp; Assumptions'!$N$33+E3003*'Model Inputs &amp; Assumptions'!$O$33+G3003*'Model Inputs &amp; Assumptions'!$P$33)*EXP('Model Inputs &amp; Assumptions'!$Q$33*S3003-'Model Inputs &amp; Assumptions'!$Q$33^2/2))</f>
        <v>150.635690406298</v>
      </c>
      <c r="I3003" s="49" t="n">
        <f aca="false">IF('Model Inputs &amp; Assumptions'!$H$33="Fixed",'Model Inputs &amp; Assumptions'!$I$33*'Model Inputs &amp; Assumptions'!$K$33,IF('Model Inputs &amp; Assumptions'!$H$33="CPM",'Model Inputs &amp; Assumptions'!$I$33*'Model Inputs &amp; Assumptions'!$K$33*C3003/1000,IF('Model Inputs &amp; Assumptions'!$H$33="CPC",'Model Inputs &amp; Assumptions'!$I$33*'Model Inputs &amp; Assumptions'!$K$33*G3003,0)))</f>
        <v>25000</v>
      </c>
      <c r="J3003" s="50" t="n">
        <f aca="false">H3003*INDEX('Model Inputs &amp; Assumptions'!$D$40:$D$42,MATCH('Model Inputs &amp; Assumptions'!$L$33,'Model Inputs &amp; Assumptions'!$A$40:$A$42,0))*INDEX('Model Inputs &amp; Assumptions'!$H$40:$H$42,MATCH('Model Inputs &amp; Assumptions'!$L$33,'Model Inputs &amp; Assumptions'!$A$40:$A$42,0))</f>
        <v>813432.72819401</v>
      </c>
      <c r="K3003" s="49" t="n">
        <f aca="false">H3003*INDEX('Model Inputs &amp; Assumptions'!$G$40:$G$42,MATCH('Model Inputs &amp; Assumptions'!$L$33,'Model Inputs &amp; Assumptions'!$A$40:$A$42,0))*INDEX('Model Inputs &amp; Assumptions'!$H$40:$H$42,MATCH('Model Inputs &amp; Assumptions'!$L$33,'Model Inputs &amp; Assumptions'!$A$40:$A$42,0))</f>
        <v>17082.0872920742</v>
      </c>
      <c r="L3003" s="51" t="n">
        <f aca="false">IFERROR(K3003/I3003,0)</f>
        <v>0.683283491682968</v>
      </c>
      <c r="M3003" s="49" t="n">
        <f aca="false">IFERROR(I3003/H3003,0)</f>
        <v>165.963324711225</v>
      </c>
      <c r="N3003" s="52" t="str">
        <f aca="false">'Model Inputs &amp; Assumptions'!$L$33</f>
        <v>PRD-SP01</v>
      </c>
      <c r="P3003" s="53" t="n">
        <v>0.107361</v>
      </c>
      <c r="Q3003" s="53" t="n">
        <v>0.147261</v>
      </c>
      <c r="R3003" s="53" t="n">
        <v>-0.911122</v>
      </c>
      <c r="S3003" s="53" t="n">
        <v>-0.204287</v>
      </c>
    </row>
    <row r="3004" customFormat="false" ht="15" hidden="false" customHeight="false" outlineLevel="0" collapsed="false">
      <c r="A3004" s="43" t="n">
        <v>1</v>
      </c>
      <c r="B3004" s="44" t="str">
        <f aca="false">'Model Inputs &amp; Assumptions'!$B$34</f>
        <v>Meta — Lookalike Feed Video</v>
      </c>
      <c r="C3004" s="45" t="n">
        <f aca="false">ROUND(MAX(0,'Model Inputs &amp; Assumptions'!$S$34*EXP('Model Inputs &amp; Assumptions'!$T$34*P3004-'Model Inputs &amp; Assumptions'!$T$34^2/2)),0)</f>
        <v>513120</v>
      </c>
      <c r="D3004" s="46" t="n">
        <f aca="false">MIN(1,'Model Inputs &amp; Assumptions'!$U$34*EXP('Model Inputs &amp; Assumptions'!$V$34*Q3004-'Model Inputs &amp; Assumptions'!$V$34^2/2))</f>
        <v>0.354882642006687</v>
      </c>
      <c r="E3004" s="45" t="n">
        <f aca="false">ROUND(C3004*D3004,0)</f>
        <v>182097</v>
      </c>
      <c r="F3004" s="47" t="n">
        <f aca="false">MIN(1,'Model Inputs &amp; Assumptions'!$W$34*EXP('Model Inputs &amp; Assumptions'!$X$34*R3004-'Model Inputs &amp; Assumptions'!$X$34^2/2))</f>
        <v>0.00540630923947114</v>
      </c>
      <c r="G3004" s="45" t="n">
        <f aca="false">ROUND(C3004*F3004,0)</f>
        <v>2774</v>
      </c>
      <c r="H3004" s="48" t="n">
        <f aca="false">MAX(0,(C3004*'Model Inputs &amp; Assumptions'!$N$34+E3004*'Model Inputs &amp; Assumptions'!$O$34+G3004*'Model Inputs &amp; Assumptions'!$P$34)*EXP('Model Inputs &amp; Assumptions'!$Q$34*S3004-'Model Inputs &amp; Assumptions'!$Q$34^2/2))</f>
        <v>69.1263738916964</v>
      </c>
      <c r="I3004" s="49" t="n">
        <f aca="false">IF('Model Inputs &amp; Assumptions'!$H$34="Fixed",'Model Inputs &amp; Assumptions'!$I$34*'Model Inputs &amp; Assumptions'!$K$34,IF('Model Inputs &amp; Assumptions'!$H$34="CPM",'Model Inputs &amp; Assumptions'!$I$34*'Model Inputs &amp; Assumptions'!$K$34*C3004/1000,IF('Model Inputs &amp; Assumptions'!$H$34="CPC",'Model Inputs &amp; Assumptions'!$I$34*'Model Inputs &amp; Assumptions'!$K$34*G3004,0)))</f>
        <v>5131.9</v>
      </c>
      <c r="J3004" s="50" t="n">
        <f aca="false">H3004*INDEX('Model Inputs &amp; Assumptions'!$D$40:$D$42,MATCH('Model Inputs &amp; Assumptions'!$L$34,'Model Inputs &amp; Assumptions'!$A$40:$A$42,0))*INDEX('Model Inputs &amp; Assumptions'!$H$40:$H$42,MATCH('Model Inputs &amp; Assumptions'!$L$34,'Model Inputs &amp; Assumptions'!$A$40:$A$42,0))</f>
        <v>497709.892020214</v>
      </c>
      <c r="K3004" s="49" t="n">
        <f aca="false">H3004*INDEX('Model Inputs &amp; Assumptions'!$G$40:$G$42,MATCH('Model Inputs &amp; Assumptions'!$L$34,'Model Inputs &amp; Assumptions'!$A$40:$A$42,0))*INDEX('Model Inputs &amp; Assumptions'!$H$40:$H$42,MATCH('Model Inputs &amp; Assumptions'!$L$34,'Model Inputs &amp; Assumptions'!$A$40:$A$42,0))</f>
        <v>10974.5031190457</v>
      </c>
      <c r="L3004" s="51" t="n">
        <f aca="false">IFERROR(K3004/I3004,0)</f>
        <v>2.13848732809402</v>
      </c>
      <c r="M3004" s="49" t="n">
        <f aca="false">IFERROR(I3004/H3004,0)</f>
        <v>74.239392450129</v>
      </c>
      <c r="N3004" s="52" t="str">
        <f aca="false">'Model Inputs &amp; Assumptions'!$L$34</f>
        <v>PRD-USIQ</v>
      </c>
      <c r="P3004" s="53" t="n">
        <v>0.033403</v>
      </c>
      <c r="Q3004" s="53" t="n">
        <v>2.790674</v>
      </c>
      <c r="R3004" s="53" t="n">
        <v>-0.488849</v>
      </c>
      <c r="S3004" s="53" t="n">
        <v>0.118622</v>
      </c>
    </row>
    <row r="3005" customFormat="false" ht="15" hidden="false" customHeight="false" outlineLevel="0" collapsed="false">
      <c r="A3005" s="43" t="n">
        <v>2</v>
      </c>
      <c r="B3005" s="44" t="str">
        <f aca="false">'Model Inputs &amp; Assumptions'!$B$34</f>
        <v>Meta — Lookalike Feed Video</v>
      </c>
      <c r="C3005" s="45" t="n">
        <f aca="false">ROUND(MAX(0,'Model Inputs &amp; Assumptions'!$S$34*EXP('Model Inputs &amp; Assumptions'!$T$34*P3005-'Model Inputs &amp; Assumptions'!$T$34^2/2)),0)</f>
        <v>453519</v>
      </c>
      <c r="D3005" s="46" t="n">
        <f aca="false">MIN(1,'Model Inputs &amp; Assumptions'!$U$34*EXP('Model Inputs &amp; Assumptions'!$V$34*Q3005-'Model Inputs &amp; Assumptions'!$V$34^2/2))</f>
        <v>0.185907914711479</v>
      </c>
      <c r="E3005" s="45" t="n">
        <f aca="false">ROUND(C3005*D3005,0)</f>
        <v>84313</v>
      </c>
      <c r="F3005" s="47" t="n">
        <f aca="false">MIN(1,'Model Inputs &amp; Assumptions'!$W$34*EXP('Model Inputs &amp; Assumptions'!$X$34*R3005-'Model Inputs &amp; Assumptions'!$X$34^2/2))</f>
        <v>0.00628885757882247</v>
      </c>
      <c r="G3005" s="45" t="n">
        <f aca="false">ROUND(C3005*F3005,0)</f>
        <v>2852</v>
      </c>
      <c r="H3005" s="48" t="n">
        <f aca="false">MAX(0,(C3005*'Model Inputs &amp; Assumptions'!$N$34+E3005*'Model Inputs &amp; Assumptions'!$O$34+G3005*'Model Inputs &amp; Assumptions'!$P$34)*EXP('Model Inputs &amp; Assumptions'!$Q$34*S3005-'Model Inputs &amp; Assumptions'!$Q$34^2/2))</f>
        <v>67.7011604000301</v>
      </c>
      <c r="I3005" s="49" t="n">
        <f aca="false">IF('Model Inputs &amp; Assumptions'!$H$34="Fixed",'Model Inputs &amp; Assumptions'!$I$34*'Model Inputs &amp; Assumptions'!$K$34,IF('Model Inputs &amp; Assumptions'!$H$34="CPM",'Model Inputs &amp; Assumptions'!$I$34*'Model Inputs &amp; Assumptions'!$K$34*C3005/1000,IF('Model Inputs &amp; Assumptions'!$H$34="CPC",'Model Inputs &amp; Assumptions'!$I$34*'Model Inputs &amp; Assumptions'!$K$34*G3005,0)))</f>
        <v>5276.2</v>
      </c>
      <c r="J3005" s="50" t="n">
        <f aca="false">H3005*INDEX('Model Inputs &amp; Assumptions'!$D$40:$D$42,MATCH('Model Inputs &amp; Assumptions'!$L$34,'Model Inputs &amp; Assumptions'!$A$40:$A$42,0))*INDEX('Model Inputs &amp; Assumptions'!$H$40:$H$42,MATCH('Model Inputs &amp; Assumptions'!$L$34,'Model Inputs &amp; Assumptions'!$A$40:$A$42,0))</f>
        <v>487448.354880217</v>
      </c>
      <c r="K3005" s="49" t="n">
        <f aca="false">H3005*INDEX('Model Inputs &amp; Assumptions'!$G$40:$G$42,MATCH('Model Inputs &amp; Assumptions'!$L$34,'Model Inputs &amp; Assumptions'!$A$40:$A$42,0))*INDEX('Model Inputs &amp; Assumptions'!$H$40:$H$42,MATCH('Model Inputs &amp; Assumptions'!$L$34,'Model Inputs &amp; Assumptions'!$A$40:$A$42,0))</f>
        <v>10748.2362251088</v>
      </c>
      <c r="L3005" s="51" t="n">
        <f aca="false">IFERROR(K3005/I3005,0)</f>
        <v>2.03711690707494</v>
      </c>
      <c r="M3005" s="49" t="n">
        <f aca="false">IFERROR(I3005/H3005,0)</f>
        <v>77.9336715770333</v>
      </c>
      <c r="N3005" s="52" t="str">
        <f aca="false">'Model Inputs &amp; Assumptions'!$L$34</f>
        <v>PRD-USIQ</v>
      </c>
      <c r="P3005" s="53" t="n">
        <v>-0.583955</v>
      </c>
      <c r="Q3005" s="53" t="n">
        <v>-1.250174</v>
      </c>
      <c r="R3005" s="53" t="n">
        <v>0.351222</v>
      </c>
      <c r="S3005" s="53" t="n">
        <v>0.346202</v>
      </c>
    </row>
    <row r="3006" customFormat="false" ht="15" hidden="false" customHeight="false" outlineLevel="0" collapsed="false">
      <c r="A3006" s="43" t="n">
        <v>3</v>
      </c>
      <c r="B3006" s="44" t="str">
        <f aca="false">'Model Inputs &amp; Assumptions'!$B$34</f>
        <v>Meta — Lookalike Feed Video</v>
      </c>
      <c r="C3006" s="45" t="n">
        <f aca="false">ROUND(MAX(0,'Model Inputs &amp; Assumptions'!$S$34*EXP('Model Inputs &amp; Assumptions'!$T$34*P3006-'Model Inputs &amp; Assumptions'!$T$34^2/2)),0)</f>
        <v>617285</v>
      </c>
      <c r="D3006" s="46" t="n">
        <f aca="false">MIN(1,'Model Inputs &amp; Assumptions'!$U$34*EXP('Model Inputs &amp; Assumptions'!$V$34*Q3006-'Model Inputs &amp; Assumptions'!$V$34^2/2))</f>
        <v>0.262018593532209</v>
      </c>
      <c r="E3006" s="45" t="n">
        <f aca="false">ROUND(C3006*D3006,0)</f>
        <v>161740</v>
      </c>
      <c r="F3006" s="47" t="n">
        <f aca="false">MIN(1,'Model Inputs &amp; Assumptions'!$W$34*EXP('Model Inputs &amp; Assumptions'!$X$34*R3006-'Model Inputs &amp; Assumptions'!$X$34^2/2))</f>
        <v>0.00519334432998714</v>
      </c>
      <c r="G3006" s="45" t="n">
        <f aca="false">ROUND(C3006*F3006,0)</f>
        <v>3206</v>
      </c>
      <c r="H3006" s="48" t="n">
        <f aca="false">MAX(0,(C3006*'Model Inputs &amp; Assumptions'!$N$34+E3006*'Model Inputs &amp; Assumptions'!$O$34+G3006*'Model Inputs &amp; Assumptions'!$P$34)*EXP('Model Inputs &amp; Assumptions'!$Q$34*S3006-'Model Inputs &amp; Assumptions'!$Q$34^2/2))</f>
        <v>108.957890034222</v>
      </c>
      <c r="I3006" s="49" t="n">
        <f aca="false">IF('Model Inputs &amp; Assumptions'!$H$34="Fixed",'Model Inputs &amp; Assumptions'!$I$34*'Model Inputs &amp; Assumptions'!$K$34,IF('Model Inputs &amp; Assumptions'!$H$34="CPM",'Model Inputs &amp; Assumptions'!$I$34*'Model Inputs &amp; Assumptions'!$K$34*C3006/1000,IF('Model Inputs &amp; Assumptions'!$H$34="CPC",'Model Inputs &amp; Assumptions'!$I$34*'Model Inputs &amp; Assumptions'!$K$34*G3006,0)))</f>
        <v>5931.1</v>
      </c>
      <c r="J3006" s="50" t="n">
        <f aca="false">H3006*INDEX('Model Inputs &amp; Assumptions'!$D$40:$D$42,MATCH('Model Inputs &amp; Assumptions'!$L$34,'Model Inputs &amp; Assumptions'!$A$40:$A$42,0))*INDEX('Model Inputs &amp; Assumptions'!$H$40:$H$42,MATCH('Model Inputs &amp; Assumptions'!$L$34,'Model Inputs &amp; Assumptions'!$A$40:$A$42,0))</f>
        <v>784496.808246397</v>
      </c>
      <c r="K3006" s="49" t="n">
        <f aca="false">H3006*INDEX('Model Inputs &amp; Assumptions'!$G$40:$G$42,MATCH('Model Inputs &amp; Assumptions'!$L$34,'Model Inputs &amp; Assumptions'!$A$40:$A$42,0))*INDEX('Model Inputs &amp; Assumptions'!$H$40:$H$42,MATCH('Model Inputs &amp; Assumptions'!$L$34,'Model Inputs &amp; Assumptions'!$A$40:$A$42,0))</f>
        <v>17298.154621833</v>
      </c>
      <c r="L3006" s="51" t="n">
        <f aca="false">IFERROR(K3006/I3006,0)</f>
        <v>2.91651710843403</v>
      </c>
      <c r="M3006" s="49" t="n">
        <f aca="false">IFERROR(I3006/H3006,0)</f>
        <v>54.4347912586885</v>
      </c>
      <c r="N3006" s="52" t="str">
        <f aca="false">'Model Inputs &amp; Assumptions'!$L$34</f>
        <v>PRD-USIQ</v>
      </c>
      <c r="P3006" s="53" t="n">
        <v>0.957509</v>
      </c>
      <c r="Q3006" s="53" t="n">
        <v>0.894601</v>
      </c>
      <c r="R3006" s="53" t="n">
        <v>-0.71212</v>
      </c>
      <c r="S3006" s="53" t="n">
        <v>1.242461</v>
      </c>
    </row>
    <row r="3007" customFormat="false" ht="15" hidden="false" customHeight="false" outlineLevel="0" collapsed="false">
      <c r="A3007" s="43" t="n">
        <v>4</v>
      </c>
      <c r="B3007" s="44" t="str">
        <f aca="false">'Model Inputs &amp; Assumptions'!$B$34</f>
        <v>Meta — Lookalike Feed Video</v>
      </c>
      <c r="C3007" s="45" t="n">
        <f aca="false">ROUND(MAX(0,'Model Inputs &amp; Assumptions'!$S$34*EXP('Model Inputs &amp; Assumptions'!$T$34*P3007-'Model Inputs &amp; Assumptions'!$T$34^2/2)),0)</f>
        <v>520232</v>
      </c>
      <c r="D3007" s="46" t="n">
        <f aca="false">MIN(1,'Model Inputs &amp; Assumptions'!$U$34*EXP('Model Inputs &amp; Assumptions'!$V$34*Q3007-'Model Inputs &amp; Assumptions'!$V$34^2/2))</f>
        <v>0.188307169331354</v>
      </c>
      <c r="E3007" s="45" t="n">
        <f aca="false">ROUND(C3007*D3007,0)</f>
        <v>97963</v>
      </c>
      <c r="F3007" s="47" t="n">
        <f aca="false">MIN(1,'Model Inputs &amp; Assumptions'!$W$34*EXP('Model Inputs &amp; Assumptions'!$X$34*R3007-'Model Inputs &amp; Assumptions'!$X$34^2/2))</f>
        <v>0.00626139891645046</v>
      </c>
      <c r="G3007" s="45" t="n">
        <f aca="false">ROUND(C3007*F3007,0)</f>
        <v>3257</v>
      </c>
      <c r="H3007" s="48" t="n">
        <f aca="false">MAX(0,(C3007*'Model Inputs &amp; Assumptions'!$N$34+E3007*'Model Inputs &amp; Assumptions'!$O$34+G3007*'Model Inputs &amp; Assumptions'!$P$34)*EXP('Model Inputs &amp; Assumptions'!$Q$34*S3007-'Model Inputs &amp; Assumptions'!$Q$34^2/2))</f>
        <v>73.7739723435018</v>
      </c>
      <c r="I3007" s="49" t="n">
        <f aca="false">IF('Model Inputs &amp; Assumptions'!$H$34="Fixed",'Model Inputs &amp; Assumptions'!$I$34*'Model Inputs &amp; Assumptions'!$K$34,IF('Model Inputs &amp; Assumptions'!$H$34="CPM",'Model Inputs &amp; Assumptions'!$I$34*'Model Inputs &amp; Assumptions'!$K$34*C3007/1000,IF('Model Inputs &amp; Assumptions'!$H$34="CPC",'Model Inputs &amp; Assumptions'!$I$34*'Model Inputs &amp; Assumptions'!$K$34*G3007,0)))</f>
        <v>6025.45</v>
      </c>
      <c r="J3007" s="50" t="n">
        <f aca="false">H3007*INDEX('Model Inputs &amp; Assumptions'!$D$40:$D$42,MATCH('Model Inputs &amp; Assumptions'!$L$34,'Model Inputs &amp; Assumptions'!$A$40:$A$42,0))*INDEX('Model Inputs &amp; Assumptions'!$H$40:$H$42,MATCH('Model Inputs &amp; Assumptions'!$L$34,'Model Inputs &amp; Assumptions'!$A$40:$A$42,0))</f>
        <v>531172.600873213</v>
      </c>
      <c r="K3007" s="49" t="n">
        <f aca="false">H3007*INDEX('Model Inputs &amp; Assumptions'!$G$40:$G$42,MATCH('Model Inputs &amp; Assumptions'!$L$34,'Model Inputs &amp; Assumptions'!$A$40:$A$42,0))*INDEX('Model Inputs &amp; Assumptions'!$H$40:$H$42,MATCH('Model Inputs &amp; Assumptions'!$L$34,'Model Inputs &amp; Assumptions'!$A$40:$A$42,0))</f>
        <v>11712.3558492543</v>
      </c>
      <c r="L3007" s="51" t="n">
        <f aca="false">IFERROR(K3007/I3007,0)</f>
        <v>1.94381429590393</v>
      </c>
      <c r="M3007" s="49" t="n">
        <f aca="false">IFERROR(I3007/H3007,0)</f>
        <v>81.6744687671782</v>
      </c>
      <c r="N3007" s="52" t="str">
        <f aca="false">'Model Inputs &amp; Assumptions'!$L$34</f>
        <v>PRD-USIQ</v>
      </c>
      <c r="P3007" s="53" t="n">
        <v>0.102231</v>
      </c>
      <c r="Q3007" s="53" t="n">
        <v>-1.17003</v>
      </c>
      <c r="R3007" s="53" t="n">
        <v>0.326912</v>
      </c>
      <c r="S3007" s="53" t="n">
        <v>0.193941</v>
      </c>
    </row>
    <row r="3008" customFormat="false" ht="15" hidden="false" customHeight="false" outlineLevel="0" collapsed="false">
      <c r="A3008" s="43" t="n">
        <v>5</v>
      </c>
      <c r="B3008" s="44" t="str">
        <f aca="false">'Model Inputs &amp; Assumptions'!$B$34</f>
        <v>Meta — Lookalike Feed Video</v>
      </c>
      <c r="C3008" s="45" t="n">
        <f aca="false">ROUND(MAX(0,'Model Inputs &amp; Assumptions'!$S$34*EXP('Model Inputs &amp; Assumptions'!$T$34*P3008-'Model Inputs &amp; Assumptions'!$T$34^2/2)),0)</f>
        <v>398010</v>
      </c>
      <c r="D3008" s="46" t="n">
        <f aca="false">MIN(1,'Model Inputs &amp; Assumptions'!$U$34*EXP('Model Inputs &amp; Assumptions'!$V$34*Q3008-'Model Inputs &amp; Assumptions'!$V$34^2/2))</f>
        <v>0.256824853563786</v>
      </c>
      <c r="E3008" s="45" t="n">
        <f aca="false">ROUND(C3008*D3008,0)</f>
        <v>102219</v>
      </c>
      <c r="F3008" s="47" t="n">
        <f aca="false">MIN(1,'Model Inputs &amp; Assumptions'!$W$34*EXP('Model Inputs &amp; Assumptions'!$X$34*R3008-'Model Inputs &amp; Assumptions'!$X$34^2/2))</f>
        <v>0.00718985747760235</v>
      </c>
      <c r="G3008" s="45" t="n">
        <f aca="false">ROUND(C3008*F3008,0)</f>
        <v>2862</v>
      </c>
      <c r="H3008" s="48" t="n">
        <f aca="false">MAX(0,(C3008*'Model Inputs &amp; Assumptions'!$N$34+E3008*'Model Inputs &amp; Assumptions'!$O$34+G3008*'Model Inputs &amp; Assumptions'!$P$34)*EXP('Model Inputs &amp; Assumptions'!$Q$34*S3008-'Model Inputs &amp; Assumptions'!$Q$34^2/2))</f>
        <v>88.4725091332524</v>
      </c>
      <c r="I3008" s="49" t="n">
        <f aca="false">IF('Model Inputs &amp; Assumptions'!$H$34="Fixed",'Model Inputs &amp; Assumptions'!$I$34*'Model Inputs &amp; Assumptions'!$K$34,IF('Model Inputs &amp; Assumptions'!$H$34="CPM",'Model Inputs &amp; Assumptions'!$I$34*'Model Inputs &amp; Assumptions'!$K$34*C3008/1000,IF('Model Inputs &amp; Assumptions'!$H$34="CPC",'Model Inputs &amp; Assumptions'!$I$34*'Model Inputs &amp; Assumptions'!$K$34*G3008,0)))</f>
        <v>5294.7</v>
      </c>
      <c r="J3008" s="50" t="n">
        <f aca="false">H3008*INDEX('Model Inputs &amp; Assumptions'!$D$40:$D$42,MATCH('Model Inputs &amp; Assumptions'!$L$34,'Model Inputs &amp; Assumptions'!$A$40:$A$42,0))*INDEX('Model Inputs &amp; Assumptions'!$H$40:$H$42,MATCH('Model Inputs &amp; Assumptions'!$L$34,'Model Inputs &amp; Assumptions'!$A$40:$A$42,0))</f>
        <v>637002.065759418</v>
      </c>
      <c r="K3008" s="49" t="n">
        <f aca="false">H3008*INDEX('Model Inputs &amp; Assumptions'!$G$40:$G$42,MATCH('Model Inputs &amp; Assumptions'!$L$34,'Model Inputs &amp; Assumptions'!$A$40:$A$42,0))*INDEX('Model Inputs &amp; Assumptions'!$H$40:$H$42,MATCH('Model Inputs &amp; Assumptions'!$L$34,'Model Inputs &amp; Assumptions'!$A$40:$A$42,0))</f>
        <v>14045.8955499952</v>
      </c>
      <c r="L3008" s="51" t="n">
        <f aca="false">IFERROR(K3008/I3008,0)</f>
        <v>2.65282179349069</v>
      </c>
      <c r="M3008" s="49" t="n">
        <f aca="false">IFERROR(I3008/H3008,0)</f>
        <v>59.845708592094</v>
      </c>
      <c r="N3008" s="52" t="str">
        <f aca="false">'Model Inputs &amp; Assumptions'!$L$34</f>
        <v>PRD-USIQ</v>
      </c>
      <c r="P3008" s="53" t="n">
        <v>-1.23676</v>
      </c>
      <c r="Q3008" s="53" t="n">
        <v>0.769469</v>
      </c>
      <c r="R3008" s="53" t="n">
        <v>1.095066</v>
      </c>
      <c r="S3008" s="53" t="n">
        <v>1.103443</v>
      </c>
    </row>
    <row r="3009" customFormat="false" ht="15" hidden="false" customHeight="false" outlineLevel="0" collapsed="false">
      <c r="A3009" s="43" t="n">
        <v>6</v>
      </c>
      <c r="B3009" s="44" t="str">
        <f aca="false">'Model Inputs &amp; Assumptions'!$B$34</f>
        <v>Meta — Lookalike Feed Video</v>
      </c>
      <c r="C3009" s="45" t="n">
        <f aca="false">ROUND(MAX(0,'Model Inputs &amp; Assumptions'!$S$34*EXP('Model Inputs &amp; Assumptions'!$T$34*P3009-'Model Inputs &amp; Assumptions'!$T$34^2/2)),0)</f>
        <v>665732</v>
      </c>
      <c r="D3009" s="46" t="n">
        <f aca="false">MIN(1,'Model Inputs &amp; Assumptions'!$U$34*EXP('Model Inputs &amp; Assumptions'!$V$34*Q3009-'Model Inputs &amp; Assumptions'!$V$34^2/2))</f>
        <v>0.203380414602797</v>
      </c>
      <c r="E3009" s="45" t="n">
        <f aca="false">ROUND(C3009*D3009,0)</f>
        <v>135397</v>
      </c>
      <c r="F3009" s="47" t="n">
        <f aca="false">MIN(1,'Model Inputs &amp; Assumptions'!$W$34*EXP('Model Inputs &amp; Assumptions'!$X$34*R3009-'Model Inputs &amp; Assumptions'!$X$34^2/2))</f>
        <v>0.00635539595798295</v>
      </c>
      <c r="G3009" s="45" t="n">
        <f aca="false">ROUND(C3009*F3009,0)</f>
        <v>4231</v>
      </c>
      <c r="H3009" s="48" t="n">
        <f aca="false">MAX(0,(C3009*'Model Inputs &amp; Assumptions'!$N$34+E3009*'Model Inputs &amp; Assumptions'!$O$34+G3009*'Model Inputs &amp; Assumptions'!$P$34)*EXP('Model Inputs &amp; Assumptions'!$Q$34*S3009-'Model Inputs &amp; Assumptions'!$Q$34^2/2))</f>
        <v>96.5150919108157</v>
      </c>
      <c r="I3009" s="49" t="n">
        <f aca="false">IF('Model Inputs &amp; Assumptions'!$H$34="Fixed",'Model Inputs &amp; Assumptions'!$I$34*'Model Inputs &amp; Assumptions'!$K$34,IF('Model Inputs &amp; Assumptions'!$H$34="CPM",'Model Inputs &amp; Assumptions'!$I$34*'Model Inputs &amp; Assumptions'!$K$34*C3009/1000,IF('Model Inputs &amp; Assumptions'!$H$34="CPC",'Model Inputs &amp; Assumptions'!$I$34*'Model Inputs &amp; Assumptions'!$K$34*G3009,0)))</f>
        <v>7827.35</v>
      </c>
      <c r="J3009" s="50" t="n">
        <f aca="false">H3009*INDEX('Model Inputs &amp; Assumptions'!$D$40:$D$42,MATCH('Model Inputs &amp; Assumptions'!$L$34,'Model Inputs &amp; Assumptions'!$A$40:$A$42,0))*INDEX('Model Inputs &amp; Assumptions'!$H$40:$H$42,MATCH('Model Inputs &amp; Assumptions'!$L$34,'Model Inputs &amp; Assumptions'!$A$40:$A$42,0))</f>
        <v>694908.661757873</v>
      </c>
      <c r="K3009" s="49" t="n">
        <f aca="false">H3009*INDEX('Model Inputs &amp; Assumptions'!$G$40:$G$42,MATCH('Model Inputs &amp; Assumptions'!$L$34,'Model Inputs &amp; Assumptions'!$A$40:$A$42,0))*INDEX('Model Inputs &amp; Assumptions'!$H$40:$H$42,MATCH('Model Inputs &amp; Assumptions'!$L$34,'Model Inputs &amp; Assumptions'!$A$40:$A$42,0))</f>
        <v>15322.7359917611</v>
      </c>
      <c r="L3009" s="51" t="n">
        <f aca="false">IFERROR(K3009/I3009,0)</f>
        <v>1.95758922135347</v>
      </c>
      <c r="M3009" s="49" t="n">
        <f aca="false">IFERROR(I3009/H3009,0)</f>
        <v>81.0997518111761</v>
      </c>
      <c r="N3009" s="52" t="str">
        <f aca="false">'Model Inputs &amp; Assumptions'!$L$34</f>
        <v>PRD-USIQ</v>
      </c>
      <c r="P3009" s="53" t="n">
        <v>1.335295</v>
      </c>
      <c r="Q3009" s="53" t="n">
        <v>-0.688757</v>
      </c>
      <c r="R3009" s="53" t="n">
        <v>0.409693</v>
      </c>
      <c r="S3009" s="53" t="n">
        <v>0.19462</v>
      </c>
    </row>
    <row r="3010" customFormat="false" ht="15" hidden="false" customHeight="false" outlineLevel="0" collapsed="false">
      <c r="A3010" s="43" t="n">
        <v>7</v>
      </c>
      <c r="B3010" s="44" t="str">
        <f aca="false">'Model Inputs &amp; Assumptions'!$B$34</f>
        <v>Meta — Lookalike Feed Video</v>
      </c>
      <c r="C3010" s="45" t="n">
        <f aca="false">ROUND(MAX(0,'Model Inputs &amp; Assumptions'!$S$34*EXP('Model Inputs &amp; Assumptions'!$T$34*P3010-'Model Inputs &amp; Assumptions'!$T$34^2/2)),0)</f>
        <v>655672</v>
      </c>
      <c r="D3010" s="46" t="n">
        <f aca="false">MIN(1,'Model Inputs &amp; Assumptions'!$U$34*EXP('Model Inputs &amp; Assumptions'!$V$34*Q3010-'Model Inputs &amp; Assumptions'!$V$34^2/2))</f>
        <v>0.23431788325728</v>
      </c>
      <c r="E3010" s="45" t="n">
        <f aca="false">ROUND(C3010*D3010,0)</f>
        <v>153636</v>
      </c>
      <c r="F3010" s="47" t="n">
        <f aca="false">MIN(1,'Model Inputs &amp; Assumptions'!$W$34*EXP('Model Inputs &amp; Assumptions'!$X$34*R3010-'Model Inputs &amp; Assumptions'!$X$34^2/2))</f>
        <v>0.00459031325595319</v>
      </c>
      <c r="G3010" s="45" t="n">
        <f aca="false">ROUND(C3010*F3010,0)</f>
        <v>3010</v>
      </c>
      <c r="H3010" s="48" t="n">
        <f aca="false">MAX(0,(C3010*'Model Inputs &amp; Assumptions'!$N$34+E3010*'Model Inputs &amp; Assumptions'!$O$34+G3010*'Model Inputs &amp; Assumptions'!$P$34)*EXP('Model Inputs &amp; Assumptions'!$Q$34*S3010-'Model Inputs &amp; Assumptions'!$Q$34^2/2))</f>
        <v>55.5264320672999</v>
      </c>
      <c r="I3010" s="49" t="n">
        <f aca="false">IF('Model Inputs &amp; Assumptions'!$H$34="Fixed",'Model Inputs &amp; Assumptions'!$I$34*'Model Inputs &amp; Assumptions'!$K$34,IF('Model Inputs &amp; Assumptions'!$H$34="CPM",'Model Inputs &amp; Assumptions'!$I$34*'Model Inputs &amp; Assumptions'!$K$34*C3010/1000,IF('Model Inputs &amp; Assumptions'!$H$34="CPC",'Model Inputs &amp; Assumptions'!$I$34*'Model Inputs &amp; Assumptions'!$K$34*G3010,0)))</f>
        <v>5568.5</v>
      </c>
      <c r="J3010" s="50" t="n">
        <f aca="false">H3010*INDEX('Model Inputs &amp; Assumptions'!$D$40:$D$42,MATCH('Model Inputs &amp; Assumptions'!$L$34,'Model Inputs &amp; Assumptions'!$A$40:$A$42,0))*INDEX('Model Inputs &amp; Assumptions'!$H$40:$H$42,MATCH('Model Inputs &amp; Assumptions'!$L$34,'Model Inputs &amp; Assumptions'!$A$40:$A$42,0))</f>
        <v>399790.310884559</v>
      </c>
      <c r="K3010" s="49" t="n">
        <f aca="false">H3010*INDEX('Model Inputs &amp; Assumptions'!$G$40:$G$42,MATCH('Model Inputs &amp; Assumptions'!$L$34,'Model Inputs &amp; Assumptions'!$A$40:$A$42,0))*INDEX('Model Inputs &amp; Assumptions'!$H$40:$H$42,MATCH('Model Inputs &amp; Assumptions'!$L$34,'Model Inputs &amp; Assumptions'!$A$40:$A$42,0))</f>
        <v>8815.37635500453</v>
      </c>
      <c r="L3010" s="51" t="n">
        <f aca="false">IFERROR(K3010/I3010,0)</f>
        <v>1.58307916943603</v>
      </c>
      <c r="M3010" s="49" t="n">
        <f aca="false">IFERROR(I3010/H3010,0)</f>
        <v>100.285571982201</v>
      </c>
      <c r="N3010" s="52" t="str">
        <f aca="false">'Model Inputs &amp; Assumptions'!$L$34</f>
        <v>PRD-USIQ</v>
      </c>
      <c r="P3010" s="53" t="n">
        <v>1.25916</v>
      </c>
      <c r="Q3010" s="53" t="n">
        <v>0.196246</v>
      </c>
      <c r="R3010" s="53" t="n">
        <v>-1.39784</v>
      </c>
      <c r="S3010" s="53" t="n">
        <v>-0.67313</v>
      </c>
    </row>
    <row r="3011" customFormat="false" ht="15" hidden="false" customHeight="false" outlineLevel="0" collapsed="false">
      <c r="A3011" s="43" t="n">
        <v>8</v>
      </c>
      <c r="B3011" s="44" t="str">
        <f aca="false">'Model Inputs &amp; Assumptions'!$B$34</f>
        <v>Meta — Lookalike Feed Video</v>
      </c>
      <c r="C3011" s="45" t="n">
        <f aca="false">ROUND(MAX(0,'Model Inputs &amp; Assumptions'!$S$34*EXP('Model Inputs &amp; Assumptions'!$T$34*P3011-'Model Inputs &amp; Assumptions'!$T$34^2/2)),0)</f>
        <v>422812</v>
      </c>
      <c r="D3011" s="46" t="n">
        <f aca="false">MIN(1,'Model Inputs &amp; Assumptions'!$U$34*EXP('Model Inputs &amp; Assumptions'!$V$34*Q3011-'Model Inputs &amp; Assumptions'!$V$34^2/2))</f>
        <v>0.225949343179196</v>
      </c>
      <c r="E3011" s="45" t="n">
        <f aca="false">ROUND(C3011*D3011,0)</f>
        <v>95534</v>
      </c>
      <c r="F3011" s="47" t="n">
        <f aca="false">MIN(1,'Model Inputs &amp; Assumptions'!$W$34*EXP('Model Inputs &amp; Assumptions'!$X$34*R3011-'Model Inputs &amp; Assumptions'!$X$34^2/2))</f>
        <v>0.00622494837552516</v>
      </c>
      <c r="G3011" s="45" t="n">
        <f aca="false">ROUND(C3011*F3011,0)</f>
        <v>2632</v>
      </c>
      <c r="H3011" s="48" t="n">
        <f aca="false">MAX(0,(C3011*'Model Inputs &amp; Assumptions'!$N$34+E3011*'Model Inputs &amp; Assumptions'!$O$34+G3011*'Model Inputs &amp; Assumptions'!$P$34)*EXP('Model Inputs &amp; Assumptions'!$Q$34*S3011-'Model Inputs &amp; Assumptions'!$Q$34^2/2))</f>
        <v>41.9228127372151</v>
      </c>
      <c r="I3011" s="49" t="n">
        <f aca="false">IF('Model Inputs &amp; Assumptions'!$H$34="Fixed",'Model Inputs &amp; Assumptions'!$I$34*'Model Inputs &amp; Assumptions'!$K$34,IF('Model Inputs &amp; Assumptions'!$H$34="CPM",'Model Inputs &amp; Assumptions'!$I$34*'Model Inputs &amp; Assumptions'!$K$34*C3011/1000,IF('Model Inputs &amp; Assumptions'!$H$34="CPC",'Model Inputs &amp; Assumptions'!$I$34*'Model Inputs &amp; Assumptions'!$K$34*G3011,0)))</f>
        <v>4869.2</v>
      </c>
      <c r="J3011" s="50" t="n">
        <f aca="false">H3011*INDEX('Model Inputs &amp; Assumptions'!$D$40:$D$42,MATCH('Model Inputs &amp; Assumptions'!$L$34,'Model Inputs &amp; Assumptions'!$A$40:$A$42,0))*INDEX('Model Inputs &amp; Assumptions'!$H$40:$H$42,MATCH('Model Inputs &amp; Assumptions'!$L$34,'Model Inputs &amp; Assumptions'!$A$40:$A$42,0))</f>
        <v>301844.251707949</v>
      </c>
      <c r="K3011" s="49" t="n">
        <f aca="false">H3011*INDEX('Model Inputs &amp; Assumptions'!$G$40:$G$42,MATCH('Model Inputs &amp; Assumptions'!$L$34,'Model Inputs &amp; Assumptions'!$A$40:$A$42,0))*INDEX('Model Inputs &amp; Assumptions'!$H$40:$H$42,MATCH('Model Inputs &amp; Assumptions'!$L$34,'Model Inputs &amp; Assumptions'!$A$40:$A$42,0))</f>
        <v>6655.66575016027</v>
      </c>
      <c r="L3011" s="51" t="n">
        <f aca="false">IFERROR(K3011/I3011,0)</f>
        <v>1.36689101909149</v>
      </c>
      <c r="M3011" s="49" t="n">
        <f aca="false">IFERROR(I3011/H3011,0)</f>
        <v>116.146786965885</v>
      </c>
      <c r="N3011" s="52" t="str">
        <f aca="false">'Model Inputs &amp; Assumptions'!$L$34</f>
        <v>PRD-USIQ</v>
      </c>
      <c r="P3011" s="53" t="n">
        <v>-0.934506</v>
      </c>
      <c r="Q3011" s="53" t="n">
        <v>-0.031053</v>
      </c>
      <c r="R3011" s="53" t="n">
        <v>0.294476</v>
      </c>
      <c r="S3011" s="53" t="n">
        <v>-0.975048</v>
      </c>
    </row>
    <row r="3012" customFormat="false" ht="15" hidden="false" customHeight="false" outlineLevel="0" collapsed="false">
      <c r="A3012" s="43" t="n">
        <v>9</v>
      </c>
      <c r="B3012" s="44" t="str">
        <f aca="false">'Model Inputs &amp; Assumptions'!$B$34</f>
        <v>Meta — Lookalike Feed Video</v>
      </c>
      <c r="C3012" s="45" t="n">
        <f aca="false">ROUND(MAX(0,'Model Inputs &amp; Assumptions'!$S$34*EXP('Model Inputs &amp; Assumptions'!$T$34*P3012-'Model Inputs &amp; Assumptions'!$T$34^2/2)),0)</f>
        <v>494043</v>
      </c>
      <c r="D3012" s="46" t="n">
        <f aca="false">MIN(1,'Model Inputs &amp; Assumptions'!$U$34*EXP('Model Inputs &amp; Assumptions'!$V$34*Q3012-'Model Inputs &amp; Assumptions'!$V$34^2/2))</f>
        <v>0.258743667001413</v>
      </c>
      <c r="E3012" s="45" t="n">
        <f aca="false">ROUND(C3012*D3012,0)</f>
        <v>127830</v>
      </c>
      <c r="F3012" s="47" t="n">
        <f aca="false">MIN(1,'Model Inputs &amp; Assumptions'!$W$34*EXP('Model Inputs &amp; Assumptions'!$X$34*R3012-'Model Inputs &amp; Assumptions'!$X$34^2/2))</f>
        <v>0.00506217700658082</v>
      </c>
      <c r="G3012" s="45" t="n">
        <f aca="false">ROUND(C3012*F3012,0)</f>
        <v>2501</v>
      </c>
      <c r="H3012" s="48" t="n">
        <f aca="false">MAX(0,(C3012*'Model Inputs &amp; Assumptions'!$N$34+E3012*'Model Inputs &amp; Assumptions'!$O$34+G3012*'Model Inputs &amp; Assumptions'!$P$34)*EXP('Model Inputs &amp; Assumptions'!$Q$34*S3012-'Model Inputs &amp; Assumptions'!$Q$34^2/2))</f>
        <v>89.9775846214671</v>
      </c>
      <c r="I3012" s="49" t="n">
        <f aca="false">IF('Model Inputs &amp; Assumptions'!$H$34="Fixed",'Model Inputs &amp; Assumptions'!$I$34*'Model Inputs &amp; Assumptions'!$K$34,IF('Model Inputs &amp; Assumptions'!$H$34="CPM",'Model Inputs &amp; Assumptions'!$I$34*'Model Inputs &amp; Assumptions'!$K$34*C3012/1000,IF('Model Inputs &amp; Assumptions'!$H$34="CPC",'Model Inputs &amp; Assumptions'!$I$34*'Model Inputs &amp; Assumptions'!$K$34*G3012,0)))</f>
        <v>4626.85</v>
      </c>
      <c r="J3012" s="50" t="n">
        <f aca="false">H3012*INDEX('Model Inputs &amp; Assumptions'!$D$40:$D$42,MATCH('Model Inputs &amp; Assumptions'!$L$34,'Model Inputs &amp; Assumptions'!$A$40:$A$42,0))*INDEX('Model Inputs &amp; Assumptions'!$H$40:$H$42,MATCH('Model Inputs &amp; Assumptions'!$L$34,'Model Inputs &amp; Assumptions'!$A$40:$A$42,0))</f>
        <v>647838.609274564</v>
      </c>
      <c r="K3012" s="49" t="n">
        <f aca="false">H3012*INDEX('Model Inputs &amp; Assumptions'!$G$40:$G$42,MATCH('Model Inputs &amp; Assumptions'!$L$34,'Model Inputs &amp; Assumptions'!$A$40:$A$42,0))*INDEX('Model Inputs &amp; Assumptions'!$H$40:$H$42,MATCH('Model Inputs &amp; Assumptions'!$L$34,'Model Inputs &amp; Assumptions'!$A$40:$A$42,0))</f>
        <v>14284.8413345041</v>
      </c>
      <c r="L3012" s="51" t="n">
        <f aca="false">IFERROR(K3012/I3012,0)</f>
        <v>3.08737939083915</v>
      </c>
      <c r="M3012" s="49" t="n">
        <f aca="false">IFERROR(I3012/H3012,0)</f>
        <v>51.422251658177</v>
      </c>
      <c r="N3012" s="52" t="str">
        <f aca="false">'Model Inputs &amp; Assumptions'!$L$34</f>
        <v>PRD-USIQ</v>
      </c>
      <c r="P3012" s="53" t="n">
        <v>-0.156034</v>
      </c>
      <c r="Q3012" s="53" t="n">
        <v>0.815991</v>
      </c>
      <c r="R3012" s="53" t="n">
        <v>-0.854238</v>
      </c>
      <c r="S3012" s="53" t="n">
        <v>1.413493</v>
      </c>
    </row>
    <row r="3013" customFormat="false" ht="15" hidden="false" customHeight="false" outlineLevel="0" collapsed="false">
      <c r="A3013" s="43" t="n">
        <v>10</v>
      </c>
      <c r="B3013" s="44" t="str">
        <f aca="false">'Model Inputs &amp; Assumptions'!$B$34</f>
        <v>Meta — Lookalike Feed Video</v>
      </c>
      <c r="C3013" s="45" t="n">
        <f aca="false">ROUND(MAX(0,'Model Inputs &amp; Assumptions'!$S$34*EXP('Model Inputs &amp; Assumptions'!$T$34*P3013-'Model Inputs &amp; Assumptions'!$T$34^2/2)),0)</f>
        <v>578489</v>
      </c>
      <c r="D3013" s="46" t="n">
        <f aca="false">MIN(1,'Model Inputs &amp; Assumptions'!$U$34*EXP('Model Inputs &amp; Assumptions'!$V$34*Q3013-'Model Inputs &amp; Assumptions'!$V$34^2/2))</f>
        <v>0.286119818509281</v>
      </c>
      <c r="E3013" s="45" t="n">
        <f aca="false">ROUND(C3013*D3013,0)</f>
        <v>165517</v>
      </c>
      <c r="F3013" s="47" t="n">
        <f aca="false">MIN(1,'Model Inputs &amp; Assumptions'!$W$34*EXP('Model Inputs &amp; Assumptions'!$X$34*R3013-'Model Inputs &amp; Assumptions'!$X$34^2/2))</f>
        <v>0.0061012447590824</v>
      </c>
      <c r="G3013" s="45" t="n">
        <f aca="false">ROUND(C3013*F3013,0)</f>
        <v>3530</v>
      </c>
      <c r="H3013" s="48" t="n">
        <f aca="false">MAX(0,(C3013*'Model Inputs &amp; Assumptions'!$N$34+E3013*'Model Inputs &amp; Assumptions'!$O$34+G3013*'Model Inputs &amp; Assumptions'!$P$34)*EXP('Model Inputs &amp; Assumptions'!$Q$34*S3013-'Model Inputs &amp; Assumptions'!$Q$34^2/2))</f>
        <v>56.8932850971105</v>
      </c>
      <c r="I3013" s="49" t="n">
        <f aca="false">IF('Model Inputs &amp; Assumptions'!$H$34="Fixed",'Model Inputs &amp; Assumptions'!$I$34*'Model Inputs &amp; Assumptions'!$K$34,IF('Model Inputs &amp; Assumptions'!$H$34="CPM",'Model Inputs &amp; Assumptions'!$I$34*'Model Inputs &amp; Assumptions'!$K$34*C3013/1000,IF('Model Inputs &amp; Assumptions'!$H$34="CPC",'Model Inputs &amp; Assumptions'!$I$34*'Model Inputs &amp; Assumptions'!$K$34*G3013,0)))</f>
        <v>6530.5</v>
      </c>
      <c r="J3013" s="50" t="n">
        <f aca="false">H3013*INDEX('Model Inputs &amp; Assumptions'!$D$40:$D$42,MATCH('Model Inputs &amp; Assumptions'!$L$34,'Model Inputs &amp; Assumptions'!$A$40:$A$42,0))*INDEX('Model Inputs &amp; Assumptions'!$H$40:$H$42,MATCH('Model Inputs &amp; Assumptions'!$L$34,'Model Inputs &amp; Assumptions'!$A$40:$A$42,0))</f>
        <v>409631.652699196</v>
      </c>
      <c r="K3013" s="49" t="n">
        <f aca="false">H3013*INDEX('Model Inputs &amp; Assumptions'!$G$40:$G$42,MATCH('Model Inputs &amp; Assumptions'!$L$34,'Model Inputs &amp; Assumptions'!$A$40:$A$42,0))*INDEX('Model Inputs &amp; Assumptions'!$H$40:$H$42,MATCH('Model Inputs &amp; Assumptions'!$L$34,'Model Inputs &amp; Assumptions'!$A$40:$A$42,0))</f>
        <v>9032.37794201726</v>
      </c>
      <c r="L3013" s="51" t="n">
        <f aca="false">IFERROR(K3013/I3013,0)</f>
        <v>1.38310664451685</v>
      </c>
      <c r="M3013" s="49" t="n">
        <f aca="false">IFERROR(I3013/H3013,0)</f>
        <v>114.785075055047</v>
      </c>
      <c r="N3013" s="52" t="str">
        <f aca="false">'Model Inputs &amp; Assumptions'!$L$34</f>
        <v>PRD-USIQ</v>
      </c>
      <c r="P3013" s="53" t="n">
        <v>0.632951</v>
      </c>
      <c r="Q3013" s="53" t="n">
        <v>1.444571</v>
      </c>
      <c r="R3013" s="53" t="n">
        <v>0.182963</v>
      </c>
      <c r="S3013" s="53" t="n">
        <v>-1.051716</v>
      </c>
    </row>
    <row r="3014" customFormat="false" ht="15" hidden="false" customHeight="false" outlineLevel="0" collapsed="false">
      <c r="A3014" s="43" t="n">
        <v>11</v>
      </c>
      <c r="B3014" s="44" t="str">
        <f aca="false">'Model Inputs &amp; Assumptions'!$B$34</f>
        <v>Meta — Lookalike Feed Video</v>
      </c>
      <c r="C3014" s="45" t="n">
        <f aca="false">ROUND(MAX(0,'Model Inputs &amp; Assumptions'!$S$34*EXP('Model Inputs &amp; Assumptions'!$T$34*P3014-'Model Inputs &amp; Assumptions'!$T$34^2/2)),0)</f>
        <v>690295</v>
      </c>
      <c r="D3014" s="46" t="n">
        <f aca="false">MIN(1,'Model Inputs &amp; Assumptions'!$U$34*EXP('Model Inputs &amp; Assumptions'!$V$34*Q3014-'Model Inputs &amp; Assumptions'!$V$34^2/2))</f>
        <v>0.249133981215355</v>
      </c>
      <c r="E3014" s="45" t="n">
        <f aca="false">ROUND(C3014*D3014,0)</f>
        <v>171976</v>
      </c>
      <c r="F3014" s="47" t="n">
        <f aca="false">MIN(1,'Model Inputs &amp; Assumptions'!$W$34*EXP('Model Inputs &amp; Assumptions'!$X$34*R3014-'Model Inputs &amp; Assumptions'!$X$34^2/2))</f>
        <v>0.00674133993938292</v>
      </c>
      <c r="G3014" s="45" t="n">
        <f aca="false">ROUND(C3014*F3014,0)</f>
        <v>4654</v>
      </c>
      <c r="H3014" s="48" t="n">
        <f aca="false">MAX(0,(C3014*'Model Inputs &amp; Assumptions'!$N$34+E3014*'Model Inputs &amp; Assumptions'!$O$34+G3014*'Model Inputs &amp; Assumptions'!$P$34)*EXP('Model Inputs &amp; Assumptions'!$Q$34*S3014-'Model Inputs &amp; Assumptions'!$Q$34^2/2))</f>
        <v>104.881507957377</v>
      </c>
      <c r="I3014" s="49" t="n">
        <f aca="false">IF('Model Inputs &amp; Assumptions'!$H$34="Fixed",'Model Inputs &amp; Assumptions'!$I$34*'Model Inputs &amp; Assumptions'!$K$34,IF('Model Inputs &amp; Assumptions'!$H$34="CPM",'Model Inputs &amp; Assumptions'!$I$34*'Model Inputs &amp; Assumptions'!$K$34*C3014/1000,IF('Model Inputs &amp; Assumptions'!$H$34="CPC",'Model Inputs &amp; Assumptions'!$I$34*'Model Inputs &amp; Assumptions'!$K$34*G3014,0)))</f>
        <v>8609.9</v>
      </c>
      <c r="J3014" s="50" t="n">
        <f aca="false">H3014*INDEX('Model Inputs &amp; Assumptions'!$D$40:$D$42,MATCH('Model Inputs &amp; Assumptions'!$L$34,'Model Inputs &amp; Assumptions'!$A$40:$A$42,0))*INDEX('Model Inputs &amp; Assumptions'!$H$40:$H$42,MATCH('Model Inputs &amp; Assumptions'!$L$34,'Model Inputs &amp; Assumptions'!$A$40:$A$42,0))</f>
        <v>755146.857293112</v>
      </c>
      <c r="K3014" s="49" t="n">
        <f aca="false">H3014*INDEX('Model Inputs &amp; Assumptions'!$G$40:$G$42,MATCH('Model Inputs &amp; Assumptions'!$L$34,'Model Inputs &amp; Assumptions'!$A$40:$A$42,0))*INDEX('Model Inputs &amp; Assumptions'!$H$40:$H$42,MATCH('Model Inputs &amp; Assumptions'!$L$34,'Model Inputs &amp; Assumptions'!$A$40:$A$42,0))</f>
        <v>16650.9882033131</v>
      </c>
      <c r="L3014" s="51" t="n">
        <f aca="false">IFERROR(K3014/I3014,0)</f>
        <v>1.93393514481157</v>
      </c>
      <c r="M3014" s="49" t="n">
        <f aca="false">IFERROR(I3014/H3014,0)</f>
        <v>82.0916877310633</v>
      </c>
      <c r="N3014" s="52" t="str">
        <f aca="false">'Model Inputs &amp; Assumptions'!$L$34</f>
        <v>PRD-USIQ</v>
      </c>
      <c r="P3014" s="53" t="n">
        <v>1.516449</v>
      </c>
      <c r="Q3014" s="53" t="n">
        <v>0.579447</v>
      </c>
      <c r="R3014" s="53" t="n">
        <v>0.737218</v>
      </c>
      <c r="S3014" s="53" t="n">
        <v>0.10224</v>
      </c>
    </row>
    <row r="3015" customFormat="false" ht="15" hidden="false" customHeight="false" outlineLevel="0" collapsed="false">
      <c r="A3015" s="43" t="n">
        <v>12</v>
      </c>
      <c r="B3015" s="44" t="str">
        <f aca="false">'Model Inputs &amp; Assumptions'!$B$34</f>
        <v>Meta — Lookalike Feed Video</v>
      </c>
      <c r="C3015" s="45" t="n">
        <f aca="false">ROUND(MAX(0,'Model Inputs &amp; Assumptions'!$S$34*EXP('Model Inputs &amp; Assumptions'!$T$34*P3015-'Model Inputs &amp; Assumptions'!$T$34^2/2)),0)</f>
        <v>412138</v>
      </c>
      <c r="D3015" s="46" t="n">
        <f aca="false">MIN(1,'Model Inputs &amp; Assumptions'!$U$34*EXP('Model Inputs &amp; Assumptions'!$V$34*Q3015-'Model Inputs &amp; Assumptions'!$V$34^2/2))</f>
        <v>0.173220700853054</v>
      </c>
      <c r="E3015" s="45" t="n">
        <f aca="false">ROUND(C3015*D3015,0)</f>
        <v>71391</v>
      </c>
      <c r="F3015" s="47" t="n">
        <f aca="false">MIN(1,'Model Inputs &amp; Assumptions'!$W$34*EXP('Model Inputs &amp; Assumptions'!$X$34*R3015-'Model Inputs &amp; Assumptions'!$X$34^2/2))</f>
        <v>0.00406913021093177</v>
      </c>
      <c r="G3015" s="45" t="n">
        <f aca="false">ROUND(C3015*F3015,0)</f>
        <v>1677</v>
      </c>
      <c r="H3015" s="48" t="n">
        <f aca="false">MAX(0,(C3015*'Model Inputs &amp; Assumptions'!$N$34+E3015*'Model Inputs &amp; Assumptions'!$O$34+G3015*'Model Inputs &amp; Assumptions'!$P$34)*EXP('Model Inputs &amp; Assumptions'!$Q$34*S3015-'Model Inputs &amp; Assumptions'!$Q$34^2/2))</f>
        <v>41.5884887053691</v>
      </c>
      <c r="I3015" s="49" t="n">
        <f aca="false">IF('Model Inputs &amp; Assumptions'!$H$34="Fixed",'Model Inputs &amp; Assumptions'!$I$34*'Model Inputs &amp; Assumptions'!$K$34,IF('Model Inputs &amp; Assumptions'!$H$34="CPM",'Model Inputs &amp; Assumptions'!$I$34*'Model Inputs &amp; Assumptions'!$K$34*C3015/1000,IF('Model Inputs &amp; Assumptions'!$H$34="CPC",'Model Inputs &amp; Assumptions'!$I$34*'Model Inputs &amp; Assumptions'!$K$34*G3015,0)))</f>
        <v>3102.45</v>
      </c>
      <c r="J3015" s="50" t="n">
        <f aca="false">H3015*INDEX('Model Inputs &amp; Assumptions'!$D$40:$D$42,MATCH('Model Inputs &amp; Assumptions'!$L$34,'Model Inputs &amp; Assumptions'!$A$40:$A$42,0))*INDEX('Model Inputs &amp; Assumptions'!$H$40:$H$42,MATCH('Model Inputs &amp; Assumptions'!$L$34,'Model Inputs &amp; Assumptions'!$A$40:$A$42,0))</f>
        <v>299437.118678657</v>
      </c>
      <c r="K3015" s="49" t="n">
        <f aca="false">H3015*INDEX('Model Inputs &amp; Assumptions'!$G$40:$G$42,MATCH('Model Inputs &amp; Assumptions'!$L$34,'Model Inputs &amp; Assumptions'!$A$40:$A$42,0))*INDEX('Model Inputs &amp; Assumptions'!$H$40:$H$42,MATCH('Model Inputs &amp; Assumptions'!$L$34,'Model Inputs &amp; Assumptions'!$A$40:$A$42,0))</f>
        <v>6602.5884668644</v>
      </c>
      <c r="L3015" s="51" t="n">
        <f aca="false">IFERROR(K3015/I3015,0)</f>
        <v>2.12818529448159</v>
      </c>
      <c r="M3015" s="49" t="n">
        <f aca="false">IFERROR(I3015/H3015,0)</f>
        <v>74.5987675094208</v>
      </c>
      <c r="N3015" s="52" t="str">
        <f aca="false">'Model Inputs &amp; Assumptions'!$L$34</f>
        <v>PRD-USIQ</v>
      </c>
      <c r="P3015" s="53" t="n">
        <v>-1.062353</v>
      </c>
      <c r="Q3015" s="53" t="n">
        <v>-1.691955</v>
      </c>
      <c r="R3015" s="53" t="n">
        <v>-2.06739</v>
      </c>
      <c r="S3015" s="53" t="n">
        <v>0.340748</v>
      </c>
    </row>
    <row r="3016" customFormat="false" ht="15" hidden="false" customHeight="false" outlineLevel="0" collapsed="false">
      <c r="A3016" s="43" t="n">
        <v>13</v>
      </c>
      <c r="B3016" s="44" t="str">
        <f aca="false">'Model Inputs &amp; Assumptions'!$B$34</f>
        <v>Meta — Lookalike Feed Video</v>
      </c>
      <c r="C3016" s="45" t="n">
        <f aca="false">ROUND(MAX(0,'Model Inputs &amp; Assumptions'!$S$34*EXP('Model Inputs &amp; Assumptions'!$T$34*P3016-'Model Inputs &amp; Assumptions'!$T$34^2/2)),0)</f>
        <v>500695</v>
      </c>
      <c r="D3016" s="46" t="n">
        <f aca="false">MIN(1,'Model Inputs &amp; Assumptions'!$U$34*EXP('Model Inputs &amp; Assumptions'!$V$34*Q3016-'Model Inputs &amp; Assumptions'!$V$34^2/2))</f>
        <v>0.267420163858092</v>
      </c>
      <c r="E3016" s="45" t="n">
        <f aca="false">ROUND(C3016*D3016,0)</f>
        <v>133896</v>
      </c>
      <c r="F3016" s="47" t="n">
        <f aca="false">MIN(1,'Model Inputs &amp; Assumptions'!$W$34*EXP('Model Inputs &amp; Assumptions'!$X$34*R3016-'Model Inputs &amp; Assumptions'!$X$34^2/2))</f>
        <v>0.00476228020986389</v>
      </c>
      <c r="G3016" s="45" t="n">
        <f aca="false">ROUND(C3016*F3016,0)</f>
        <v>2384</v>
      </c>
      <c r="H3016" s="48" t="n">
        <f aca="false">MAX(0,(C3016*'Model Inputs &amp; Assumptions'!$N$34+E3016*'Model Inputs &amp; Assumptions'!$O$34+G3016*'Model Inputs &amp; Assumptions'!$P$34)*EXP('Model Inputs &amp; Assumptions'!$Q$34*S3016-'Model Inputs &amp; Assumptions'!$Q$34^2/2))</f>
        <v>71.9111963634727</v>
      </c>
      <c r="I3016" s="49" t="n">
        <f aca="false">IF('Model Inputs &amp; Assumptions'!$H$34="Fixed",'Model Inputs &amp; Assumptions'!$I$34*'Model Inputs &amp; Assumptions'!$K$34,IF('Model Inputs &amp; Assumptions'!$H$34="CPM",'Model Inputs &amp; Assumptions'!$I$34*'Model Inputs &amp; Assumptions'!$K$34*C3016/1000,IF('Model Inputs &amp; Assumptions'!$H$34="CPC",'Model Inputs &amp; Assumptions'!$I$34*'Model Inputs &amp; Assumptions'!$K$34*G3016,0)))</f>
        <v>4410.4</v>
      </c>
      <c r="J3016" s="50" t="n">
        <f aca="false">H3016*INDEX('Model Inputs &amp; Assumptions'!$D$40:$D$42,MATCH('Model Inputs &amp; Assumptions'!$L$34,'Model Inputs &amp; Assumptions'!$A$40:$A$42,0))*INDEX('Model Inputs &amp; Assumptions'!$H$40:$H$42,MATCH('Model Inputs &amp; Assumptions'!$L$34,'Model Inputs &amp; Assumptions'!$A$40:$A$42,0))</f>
        <v>517760.613817003</v>
      </c>
      <c r="K3016" s="49" t="n">
        <f aca="false">H3016*INDEX('Model Inputs &amp; Assumptions'!$G$40:$G$42,MATCH('Model Inputs &amp; Assumptions'!$L$34,'Model Inputs &amp; Assumptions'!$A$40:$A$42,0))*INDEX('Model Inputs &amp; Assumptions'!$H$40:$H$42,MATCH('Model Inputs &amp; Assumptions'!$L$34,'Model Inputs &amp; Assumptions'!$A$40:$A$42,0))</f>
        <v>11416.6215346649</v>
      </c>
      <c r="L3016" s="51" t="n">
        <f aca="false">IFERROR(K3016/I3016,0)</f>
        <v>2.58856827831147</v>
      </c>
      <c r="M3016" s="49" t="n">
        <f aca="false">IFERROR(I3016/H3016,0)</f>
        <v>61.3312004671398</v>
      </c>
      <c r="N3016" s="52" t="str">
        <f aca="false">'Model Inputs &amp; Assumptions'!$L$34</f>
        <v>PRD-USIQ</v>
      </c>
      <c r="P3016" s="53" t="n">
        <v>-0.089161</v>
      </c>
      <c r="Q3016" s="53" t="n">
        <v>1.022136</v>
      </c>
      <c r="R3016" s="53" t="n">
        <v>-1.193516</v>
      </c>
      <c r="S3016" s="53" t="n">
        <v>0.810808</v>
      </c>
    </row>
    <row r="3017" customFormat="false" ht="15" hidden="false" customHeight="false" outlineLevel="0" collapsed="false">
      <c r="A3017" s="43" t="n">
        <v>14</v>
      </c>
      <c r="B3017" s="44" t="str">
        <f aca="false">'Model Inputs &amp; Assumptions'!$B$34</f>
        <v>Meta — Lookalike Feed Video</v>
      </c>
      <c r="C3017" s="45" t="n">
        <f aca="false">ROUND(MAX(0,'Model Inputs &amp; Assumptions'!$S$34*EXP('Model Inputs &amp; Assumptions'!$T$34*P3017-'Model Inputs &amp; Assumptions'!$T$34^2/2)),0)</f>
        <v>465103</v>
      </c>
      <c r="D3017" s="46" t="n">
        <f aca="false">MIN(1,'Model Inputs &amp; Assumptions'!$U$34*EXP('Model Inputs &amp; Assumptions'!$V$34*Q3017-'Model Inputs &amp; Assumptions'!$V$34^2/2))</f>
        <v>0.33005024779781</v>
      </c>
      <c r="E3017" s="45" t="n">
        <f aca="false">ROUND(C3017*D3017,0)</f>
        <v>153507</v>
      </c>
      <c r="F3017" s="47" t="n">
        <f aca="false">MIN(1,'Model Inputs &amp; Assumptions'!$W$34*EXP('Model Inputs &amp; Assumptions'!$X$34*R3017-'Model Inputs &amp; Assumptions'!$X$34^2/2))</f>
        <v>0.00495210297219479</v>
      </c>
      <c r="G3017" s="45" t="n">
        <f aca="false">ROUND(C3017*F3017,0)</f>
        <v>2303</v>
      </c>
      <c r="H3017" s="48" t="n">
        <f aca="false">MAX(0,(C3017*'Model Inputs &amp; Assumptions'!$N$34+E3017*'Model Inputs &amp; Assumptions'!$O$34+G3017*'Model Inputs &amp; Assumptions'!$P$34)*EXP('Model Inputs &amp; Assumptions'!$Q$34*S3017-'Model Inputs &amp; Assumptions'!$Q$34^2/2))</f>
        <v>69.1768897224168</v>
      </c>
      <c r="I3017" s="49" t="n">
        <f aca="false">IF('Model Inputs &amp; Assumptions'!$H$34="Fixed",'Model Inputs &amp; Assumptions'!$I$34*'Model Inputs &amp; Assumptions'!$K$34,IF('Model Inputs &amp; Assumptions'!$H$34="CPM",'Model Inputs &amp; Assumptions'!$I$34*'Model Inputs &amp; Assumptions'!$K$34*C3017/1000,IF('Model Inputs &amp; Assumptions'!$H$34="CPC",'Model Inputs &amp; Assumptions'!$I$34*'Model Inputs &amp; Assumptions'!$K$34*G3017,0)))</f>
        <v>4260.55</v>
      </c>
      <c r="J3017" s="50" t="n">
        <f aca="false">H3017*INDEX('Model Inputs &amp; Assumptions'!$D$40:$D$42,MATCH('Model Inputs &amp; Assumptions'!$L$34,'Model Inputs &amp; Assumptions'!$A$40:$A$42,0))*INDEX('Model Inputs &amp; Assumptions'!$H$40:$H$42,MATCH('Model Inputs &amp; Assumptions'!$L$34,'Model Inputs &amp; Assumptions'!$A$40:$A$42,0))</f>
        <v>498073.606001401</v>
      </c>
      <c r="K3017" s="49" t="n">
        <f aca="false">H3017*INDEX('Model Inputs &amp; Assumptions'!$G$40:$G$42,MATCH('Model Inputs &amp; Assumptions'!$L$34,'Model Inputs &amp; Assumptions'!$A$40:$A$42,0))*INDEX('Model Inputs &amp; Assumptions'!$H$40:$H$42,MATCH('Model Inputs &amp; Assumptions'!$L$34,'Model Inputs &amp; Assumptions'!$A$40:$A$42,0))</f>
        <v>10982.5230123309</v>
      </c>
      <c r="L3017" s="51" t="n">
        <f aca="false">IFERROR(K3017/I3017,0)</f>
        <v>2.57772424037528</v>
      </c>
      <c r="M3017" s="49" t="n">
        <f aca="false">IFERROR(I3017/H3017,0)</f>
        <v>61.5892101696987</v>
      </c>
      <c r="N3017" s="52" t="str">
        <f aca="false">'Model Inputs &amp; Assumptions'!$L$34</f>
        <v>PRD-USIQ</v>
      </c>
      <c r="P3017" s="53" t="n">
        <v>-0.457853</v>
      </c>
      <c r="Q3017" s="53" t="n">
        <v>2.337285</v>
      </c>
      <c r="R3017" s="53" t="n">
        <v>-0.976373</v>
      </c>
      <c r="S3017" s="53" t="n">
        <v>0.692404</v>
      </c>
    </row>
    <row r="3018" customFormat="false" ht="15" hidden="false" customHeight="false" outlineLevel="0" collapsed="false">
      <c r="A3018" s="43" t="n">
        <v>15</v>
      </c>
      <c r="B3018" s="44" t="str">
        <f aca="false">'Model Inputs &amp; Assumptions'!$B$34</f>
        <v>Meta — Lookalike Feed Video</v>
      </c>
      <c r="C3018" s="45" t="n">
        <f aca="false">ROUND(MAX(0,'Model Inputs &amp; Assumptions'!$S$34*EXP('Model Inputs &amp; Assumptions'!$T$34*P3018-'Model Inputs &amp; Assumptions'!$T$34^2/2)),0)</f>
        <v>704985</v>
      </c>
      <c r="D3018" s="46" t="n">
        <f aca="false">MIN(1,'Model Inputs &amp; Assumptions'!$U$34*EXP('Model Inputs &amp; Assumptions'!$V$34*Q3018-'Model Inputs &amp; Assumptions'!$V$34^2/2))</f>
        <v>0.241173229267472</v>
      </c>
      <c r="E3018" s="45" t="n">
        <f aca="false">ROUND(C3018*D3018,0)</f>
        <v>170024</v>
      </c>
      <c r="F3018" s="47" t="n">
        <f aca="false">MIN(1,'Model Inputs &amp; Assumptions'!$W$34*EXP('Model Inputs &amp; Assumptions'!$X$34*R3018-'Model Inputs &amp; Assumptions'!$X$34^2/2))</f>
        <v>0.00340627932725286</v>
      </c>
      <c r="G3018" s="45" t="n">
        <f aca="false">ROUND(C3018*F3018,0)</f>
        <v>2401</v>
      </c>
      <c r="H3018" s="48" t="n">
        <f aca="false">MAX(0,(C3018*'Model Inputs &amp; Assumptions'!$N$34+E3018*'Model Inputs &amp; Assumptions'!$O$34+G3018*'Model Inputs &amp; Assumptions'!$P$34)*EXP('Model Inputs &amp; Assumptions'!$Q$34*S3018-'Model Inputs &amp; Assumptions'!$Q$34^2/2))</f>
        <v>62.8839680592459</v>
      </c>
      <c r="I3018" s="49" t="n">
        <f aca="false">IF('Model Inputs &amp; Assumptions'!$H$34="Fixed",'Model Inputs &amp; Assumptions'!$I$34*'Model Inputs &amp; Assumptions'!$K$34,IF('Model Inputs &amp; Assumptions'!$H$34="CPM",'Model Inputs &amp; Assumptions'!$I$34*'Model Inputs &amp; Assumptions'!$K$34*C3018/1000,IF('Model Inputs &amp; Assumptions'!$H$34="CPC",'Model Inputs &amp; Assumptions'!$I$34*'Model Inputs &amp; Assumptions'!$K$34*G3018,0)))</f>
        <v>4441.85</v>
      </c>
      <c r="J3018" s="50" t="n">
        <f aca="false">H3018*INDEX('Model Inputs &amp; Assumptions'!$D$40:$D$42,MATCH('Model Inputs &amp; Assumptions'!$L$34,'Model Inputs &amp; Assumptions'!$A$40:$A$42,0))*INDEX('Model Inputs &amp; Assumptions'!$H$40:$H$42,MATCH('Model Inputs &amp; Assumptions'!$L$34,'Model Inputs &amp; Assumptions'!$A$40:$A$42,0))</f>
        <v>452764.57002657</v>
      </c>
      <c r="K3018" s="49" t="n">
        <f aca="false">H3018*INDEX('Model Inputs &amp; Assumptions'!$G$40:$G$42,MATCH('Model Inputs &amp; Assumptions'!$L$34,'Model Inputs &amp; Assumptions'!$A$40:$A$42,0))*INDEX('Model Inputs &amp; Assumptions'!$H$40:$H$42,MATCH('Model Inputs &amp; Assumptions'!$L$34,'Model Inputs &amp; Assumptions'!$A$40:$A$42,0))</f>
        <v>9983.45876908587</v>
      </c>
      <c r="L3018" s="51" t="n">
        <f aca="false">IFERROR(K3018/I3018,0)</f>
        <v>2.24759025385501</v>
      </c>
      <c r="M3018" s="49" t="n">
        <f aca="false">IFERROR(I3018/H3018,0)</f>
        <v>70.6356506608351</v>
      </c>
      <c r="N3018" s="52" t="str">
        <f aca="false">'Model Inputs &amp; Assumptions'!$L$34</f>
        <v>PRD-USIQ</v>
      </c>
      <c r="P3018" s="53" t="n">
        <v>1.62174</v>
      </c>
      <c r="Q3018" s="53" t="n">
        <v>0.376476</v>
      </c>
      <c r="R3018" s="53" t="n">
        <v>-3.055216</v>
      </c>
      <c r="S3018" s="53" t="n">
        <v>0.223355</v>
      </c>
    </row>
    <row r="3019" customFormat="false" ht="15" hidden="false" customHeight="false" outlineLevel="0" collapsed="false">
      <c r="A3019" s="43" t="n">
        <v>16</v>
      </c>
      <c r="B3019" s="44" t="str">
        <f aca="false">'Model Inputs &amp; Assumptions'!$B$34</f>
        <v>Meta — Lookalike Feed Video</v>
      </c>
      <c r="C3019" s="45" t="n">
        <f aca="false">ROUND(MAX(0,'Model Inputs &amp; Assumptions'!$S$34*EXP('Model Inputs &amp; Assumptions'!$T$34*P3019-'Model Inputs &amp; Assumptions'!$T$34^2/2)),0)</f>
        <v>549131</v>
      </c>
      <c r="D3019" s="46" t="n">
        <f aca="false">MIN(1,'Model Inputs &amp; Assumptions'!$U$34*EXP('Model Inputs &amp; Assumptions'!$V$34*Q3019-'Model Inputs &amp; Assumptions'!$V$34^2/2))</f>
        <v>0.235493310827415</v>
      </c>
      <c r="E3019" s="45" t="n">
        <f aca="false">ROUND(C3019*D3019,0)</f>
        <v>129317</v>
      </c>
      <c r="F3019" s="47" t="n">
        <f aca="false">MIN(1,'Model Inputs &amp; Assumptions'!$W$34*EXP('Model Inputs &amp; Assumptions'!$X$34*R3019-'Model Inputs &amp; Assumptions'!$X$34^2/2))</f>
        <v>0.00643660269588801</v>
      </c>
      <c r="G3019" s="45" t="n">
        <f aca="false">ROUND(C3019*F3019,0)</f>
        <v>3535</v>
      </c>
      <c r="H3019" s="48" t="n">
        <f aca="false">MAX(0,(C3019*'Model Inputs &amp; Assumptions'!$N$34+E3019*'Model Inputs &amp; Assumptions'!$O$34+G3019*'Model Inputs &amp; Assumptions'!$P$34)*EXP('Model Inputs &amp; Assumptions'!$Q$34*S3019-'Model Inputs &amp; Assumptions'!$Q$34^2/2))</f>
        <v>98.3323431471443</v>
      </c>
      <c r="I3019" s="49" t="n">
        <f aca="false">IF('Model Inputs &amp; Assumptions'!$H$34="Fixed",'Model Inputs &amp; Assumptions'!$I$34*'Model Inputs &amp; Assumptions'!$K$34,IF('Model Inputs &amp; Assumptions'!$H$34="CPM",'Model Inputs &amp; Assumptions'!$I$34*'Model Inputs &amp; Assumptions'!$K$34*C3019/1000,IF('Model Inputs &amp; Assumptions'!$H$34="CPC",'Model Inputs &amp; Assumptions'!$I$34*'Model Inputs &amp; Assumptions'!$K$34*G3019,0)))</f>
        <v>6539.75</v>
      </c>
      <c r="J3019" s="50" t="n">
        <f aca="false">H3019*INDEX('Model Inputs &amp; Assumptions'!$D$40:$D$42,MATCH('Model Inputs &amp; Assumptions'!$L$34,'Model Inputs &amp; Assumptions'!$A$40:$A$42,0))*INDEX('Model Inputs &amp; Assumptions'!$H$40:$H$42,MATCH('Model Inputs &amp; Assumptions'!$L$34,'Model Inputs &amp; Assumptions'!$A$40:$A$42,0))</f>
        <v>707992.870659439</v>
      </c>
      <c r="K3019" s="49" t="n">
        <f aca="false">H3019*INDEX('Model Inputs &amp; Assumptions'!$G$40:$G$42,MATCH('Model Inputs &amp; Assumptions'!$L$34,'Model Inputs &amp; Assumptions'!$A$40:$A$42,0))*INDEX('Model Inputs &amp; Assumptions'!$H$40:$H$42,MATCH('Model Inputs &amp; Assumptions'!$L$34,'Model Inputs &amp; Assumptions'!$A$40:$A$42,0))</f>
        <v>15611.2427980406</v>
      </c>
      <c r="L3019" s="51" t="n">
        <f aca="false">IFERROR(K3019/I3019,0)</f>
        <v>2.38713143438826</v>
      </c>
      <c r="M3019" s="49" t="n">
        <f aca="false">IFERROR(I3019/H3019,0)</f>
        <v>66.5066019042578</v>
      </c>
      <c r="N3019" s="52" t="str">
        <f aca="false">'Model Inputs &amp; Assumptions'!$L$34</f>
        <v>PRD-USIQ</v>
      </c>
      <c r="P3019" s="53" t="n">
        <v>0.372538</v>
      </c>
      <c r="Q3019" s="53" t="n">
        <v>0.22752</v>
      </c>
      <c r="R3019" s="53" t="n">
        <v>0.48023</v>
      </c>
      <c r="S3019" s="53" t="n">
        <v>0.7642</v>
      </c>
    </row>
    <row r="3020" customFormat="false" ht="15" hidden="false" customHeight="false" outlineLevel="0" collapsed="false">
      <c r="A3020" s="43" t="n">
        <v>17</v>
      </c>
      <c r="B3020" s="44" t="str">
        <f aca="false">'Model Inputs &amp; Assumptions'!$B$34</f>
        <v>Meta — Lookalike Feed Video</v>
      </c>
      <c r="C3020" s="45" t="n">
        <f aca="false">ROUND(MAX(0,'Model Inputs &amp; Assumptions'!$S$34*EXP('Model Inputs &amp; Assumptions'!$T$34*P3020-'Model Inputs &amp; Assumptions'!$T$34^2/2)),0)</f>
        <v>583747</v>
      </c>
      <c r="D3020" s="46" t="n">
        <f aca="false">MIN(1,'Model Inputs &amp; Assumptions'!$U$34*EXP('Model Inputs &amp; Assumptions'!$V$34*Q3020-'Model Inputs &amp; Assumptions'!$V$34^2/2))</f>
        <v>0.275808688819813</v>
      </c>
      <c r="E3020" s="45" t="n">
        <f aca="false">ROUND(C3020*D3020,0)</f>
        <v>161002</v>
      </c>
      <c r="F3020" s="47" t="n">
        <f aca="false">MIN(1,'Model Inputs &amp; Assumptions'!$W$34*EXP('Model Inputs &amp; Assumptions'!$X$34*R3020-'Model Inputs &amp; Assumptions'!$X$34^2/2))</f>
        <v>0.0071640463156217</v>
      </c>
      <c r="G3020" s="45" t="n">
        <f aca="false">ROUND(C3020*F3020,0)</f>
        <v>4182</v>
      </c>
      <c r="H3020" s="48" t="n">
        <f aca="false">MAX(0,(C3020*'Model Inputs &amp; Assumptions'!$N$34+E3020*'Model Inputs &amp; Assumptions'!$O$34+G3020*'Model Inputs &amp; Assumptions'!$P$34)*EXP('Model Inputs &amp; Assumptions'!$Q$34*S3020-'Model Inputs &amp; Assumptions'!$Q$34^2/2))</f>
        <v>188.985501115611</v>
      </c>
      <c r="I3020" s="49" t="n">
        <f aca="false">IF('Model Inputs &amp; Assumptions'!$H$34="Fixed",'Model Inputs &amp; Assumptions'!$I$34*'Model Inputs &amp; Assumptions'!$K$34,IF('Model Inputs &amp; Assumptions'!$H$34="CPM",'Model Inputs &amp; Assumptions'!$I$34*'Model Inputs &amp; Assumptions'!$K$34*C3020/1000,IF('Model Inputs &amp; Assumptions'!$H$34="CPC",'Model Inputs &amp; Assumptions'!$I$34*'Model Inputs &amp; Assumptions'!$K$34*G3020,0)))</f>
        <v>7736.7</v>
      </c>
      <c r="J3020" s="50" t="n">
        <f aca="false">H3020*INDEX('Model Inputs &amp; Assumptions'!$D$40:$D$42,MATCH('Model Inputs &amp; Assumptions'!$L$34,'Model Inputs &amp; Assumptions'!$A$40:$A$42,0))*INDEX('Model Inputs &amp; Assumptions'!$H$40:$H$42,MATCH('Model Inputs &amp; Assumptions'!$L$34,'Model Inputs &amp; Assumptions'!$A$40:$A$42,0))</f>
        <v>1360695.6080324</v>
      </c>
      <c r="K3020" s="49" t="n">
        <f aca="false">H3020*INDEX('Model Inputs &amp; Assumptions'!$G$40:$G$42,MATCH('Model Inputs &amp; Assumptions'!$L$34,'Model Inputs &amp; Assumptions'!$A$40:$A$42,0))*INDEX('Model Inputs &amp; Assumptions'!$H$40:$H$42,MATCH('Model Inputs &amp; Assumptions'!$L$34,'Model Inputs &amp; Assumptions'!$A$40:$A$42,0))</f>
        <v>30003.3381571144</v>
      </c>
      <c r="L3020" s="51" t="n">
        <f aca="false">IFERROR(K3020/I3020,0)</f>
        <v>3.87805371245032</v>
      </c>
      <c r="M3020" s="49" t="n">
        <f aca="false">IFERROR(I3020/H3020,0)</f>
        <v>40.9380611439981</v>
      </c>
      <c r="N3020" s="52" t="str">
        <f aca="false">'Model Inputs &amp; Assumptions'!$L$34</f>
        <v>PRD-USIQ</v>
      </c>
      <c r="P3020" s="53" t="n">
        <v>0.678192</v>
      </c>
      <c r="Q3020" s="53" t="n">
        <v>1.215176</v>
      </c>
      <c r="R3020" s="53" t="n">
        <v>1.075086</v>
      </c>
      <c r="S3020" s="53" t="n">
        <v>2.259745</v>
      </c>
    </row>
    <row r="3021" customFormat="false" ht="15" hidden="false" customHeight="false" outlineLevel="0" collapsed="false">
      <c r="A3021" s="43" t="n">
        <v>18</v>
      </c>
      <c r="B3021" s="44" t="str">
        <f aca="false">'Model Inputs &amp; Assumptions'!$B$34</f>
        <v>Meta — Lookalike Feed Video</v>
      </c>
      <c r="C3021" s="45" t="n">
        <f aca="false">ROUND(MAX(0,'Model Inputs &amp; Assumptions'!$S$34*EXP('Model Inputs &amp; Assumptions'!$T$34*P3021-'Model Inputs &amp; Assumptions'!$T$34^2/2)),0)</f>
        <v>497103</v>
      </c>
      <c r="D3021" s="46" t="n">
        <f aca="false">MIN(1,'Model Inputs &amp; Assumptions'!$U$34*EXP('Model Inputs &amp; Assumptions'!$V$34*Q3021-'Model Inputs &amp; Assumptions'!$V$34^2/2))</f>
        <v>0.168168509413066</v>
      </c>
      <c r="E3021" s="45" t="n">
        <f aca="false">ROUND(C3021*D3021,0)</f>
        <v>83597</v>
      </c>
      <c r="F3021" s="47" t="n">
        <f aca="false">MIN(1,'Model Inputs &amp; Assumptions'!$W$34*EXP('Model Inputs &amp; Assumptions'!$X$34*R3021-'Model Inputs &amp; Assumptions'!$X$34^2/2))</f>
        <v>0.00631575224608308</v>
      </c>
      <c r="G3021" s="45" t="n">
        <f aca="false">ROUND(C3021*F3021,0)</f>
        <v>3140</v>
      </c>
      <c r="H3021" s="48" t="n">
        <f aca="false">MAX(0,(C3021*'Model Inputs &amp; Assumptions'!$N$34+E3021*'Model Inputs &amp; Assumptions'!$O$34+G3021*'Model Inputs &amp; Assumptions'!$P$34)*EXP('Model Inputs &amp; Assumptions'!$Q$34*S3021-'Model Inputs &amp; Assumptions'!$Q$34^2/2))</f>
        <v>70.1116423273271</v>
      </c>
      <c r="I3021" s="49" t="n">
        <f aca="false">IF('Model Inputs &amp; Assumptions'!$H$34="Fixed",'Model Inputs &amp; Assumptions'!$I$34*'Model Inputs &amp; Assumptions'!$K$34,IF('Model Inputs &amp; Assumptions'!$H$34="CPM",'Model Inputs &amp; Assumptions'!$I$34*'Model Inputs &amp; Assumptions'!$K$34*C3021/1000,IF('Model Inputs &amp; Assumptions'!$H$34="CPC",'Model Inputs &amp; Assumptions'!$I$34*'Model Inputs &amp; Assumptions'!$K$34*G3021,0)))</f>
        <v>5809</v>
      </c>
      <c r="J3021" s="50" t="n">
        <f aca="false">H3021*INDEX('Model Inputs &amp; Assumptions'!$D$40:$D$42,MATCH('Model Inputs &amp; Assumptions'!$L$34,'Model Inputs &amp; Assumptions'!$A$40:$A$42,0))*INDEX('Model Inputs &amp; Assumptions'!$H$40:$H$42,MATCH('Model Inputs &amp; Assumptions'!$L$34,'Model Inputs &amp; Assumptions'!$A$40:$A$42,0))</f>
        <v>504803.824756755</v>
      </c>
      <c r="K3021" s="49" t="n">
        <f aca="false">H3021*INDEX('Model Inputs &amp; Assumptions'!$G$40:$G$42,MATCH('Model Inputs &amp; Assumptions'!$L$34,'Model Inputs &amp; Assumptions'!$A$40:$A$42,0))*INDEX('Model Inputs &amp; Assumptions'!$H$40:$H$42,MATCH('Model Inputs &amp; Assumptions'!$L$34,'Model Inputs &amp; Assumptions'!$A$40:$A$42,0))</f>
        <v>11130.9243358864</v>
      </c>
      <c r="L3021" s="51" t="n">
        <f aca="false">IFERROR(K3021/I3021,0)</f>
        <v>1.91615154689042</v>
      </c>
      <c r="M3021" s="49" t="n">
        <f aca="false">IFERROR(I3021/H3021,0)</f>
        <v>82.8535719200498</v>
      </c>
      <c r="N3021" s="52" t="str">
        <f aca="false">'Model Inputs &amp; Assumptions'!$L$34</f>
        <v>PRD-USIQ</v>
      </c>
      <c r="P3021" s="53" t="n">
        <v>-0.125153</v>
      </c>
      <c r="Q3021" s="53" t="n">
        <v>-1.876955</v>
      </c>
      <c r="R3021" s="53" t="n">
        <v>0.37493</v>
      </c>
      <c r="S3021" s="53" t="n">
        <v>0.187932</v>
      </c>
    </row>
    <row r="3022" customFormat="false" ht="15" hidden="false" customHeight="false" outlineLevel="0" collapsed="false">
      <c r="A3022" s="43" t="n">
        <v>19</v>
      </c>
      <c r="B3022" s="44" t="str">
        <f aca="false">'Model Inputs &amp; Assumptions'!$B$34</f>
        <v>Meta — Lookalike Feed Video</v>
      </c>
      <c r="C3022" s="45" t="n">
        <f aca="false">ROUND(MAX(0,'Model Inputs &amp; Assumptions'!$S$34*EXP('Model Inputs &amp; Assumptions'!$T$34*P3022-'Model Inputs &amp; Assumptions'!$T$34^2/2)),0)</f>
        <v>424082</v>
      </c>
      <c r="D3022" s="46" t="n">
        <f aca="false">MIN(1,'Model Inputs &amp; Assumptions'!$U$34*EXP('Model Inputs &amp; Assumptions'!$V$34*Q3022-'Model Inputs &amp; Assumptions'!$V$34^2/2))</f>
        <v>0.219727562991165</v>
      </c>
      <c r="E3022" s="45" t="n">
        <f aca="false">ROUND(C3022*D3022,0)</f>
        <v>93183</v>
      </c>
      <c r="F3022" s="47" t="n">
        <f aca="false">MIN(1,'Model Inputs &amp; Assumptions'!$W$34*EXP('Model Inputs &amp; Assumptions'!$X$34*R3022-'Model Inputs &amp; Assumptions'!$X$34^2/2))</f>
        <v>0.00563701127473629</v>
      </c>
      <c r="G3022" s="45" t="n">
        <f aca="false">ROUND(C3022*F3022,0)</f>
        <v>2391</v>
      </c>
      <c r="H3022" s="48" t="n">
        <f aca="false">MAX(0,(C3022*'Model Inputs &amp; Assumptions'!$N$34+E3022*'Model Inputs &amp; Assumptions'!$O$34+G3022*'Model Inputs &amp; Assumptions'!$P$34)*EXP('Model Inputs &amp; Assumptions'!$Q$34*S3022-'Model Inputs &amp; Assumptions'!$Q$34^2/2))</f>
        <v>49.4634599340206</v>
      </c>
      <c r="I3022" s="49" t="n">
        <f aca="false">IF('Model Inputs &amp; Assumptions'!$H$34="Fixed",'Model Inputs &amp; Assumptions'!$I$34*'Model Inputs &amp; Assumptions'!$K$34,IF('Model Inputs &amp; Assumptions'!$H$34="CPM",'Model Inputs &amp; Assumptions'!$I$34*'Model Inputs &amp; Assumptions'!$K$34*C3022/1000,IF('Model Inputs &amp; Assumptions'!$H$34="CPC",'Model Inputs &amp; Assumptions'!$I$34*'Model Inputs &amp; Assumptions'!$K$34*G3022,0)))</f>
        <v>4423.35</v>
      </c>
      <c r="J3022" s="50" t="n">
        <f aca="false">H3022*INDEX('Model Inputs &amp; Assumptions'!$D$40:$D$42,MATCH('Model Inputs &amp; Assumptions'!$L$34,'Model Inputs &amp; Assumptions'!$A$40:$A$42,0))*INDEX('Model Inputs &amp; Assumptions'!$H$40:$H$42,MATCH('Model Inputs &amp; Assumptions'!$L$34,'Model Inputs &amp; Assumptions'!$A$40:$A$42,0))</f>
        <v>356136.911524948</v>
      </c>
      <c r="K3022" s="49" t="n">
        <f aca="false">H3022*INDEX('Model Inputs &amp; Assumptions'!$G$40:$G$42,MATCH('Model Inputs &amp; Assumptions'!$L$34,'Model Inputs &amp; Assumptions'!$A$40:$A$42,0))*INDEX('Model Inputs &amp; Assumptions'!$H$40:$H$42,MATCH('Model Inputs &amp; Assumptions'!$L$34,'Model Inputs &amp; Assumptions'!$A$40:$A$42,0))</f>
        <v>7852.8188991251</v>
      </c>
      <c r="L3022" s="51" t="n">
        <f aca="false">IFERROR(K3022/I3022,0)</f>
        <v>1.77531031890425</v>
      </c>
      <c r="M3022" s="49" t="n">
        <f aca="false">IFERROR(I3022/H3022,0)</f>
        <v>89.4266192842215</v>
      </c>
      <c r="N3022" s="52" t="str">
        <f aca="false">'Model Inputs &amp; Assumptions'!$L$34</f>
        <v>PRD-USIQ</v>
      </c>
      <c r="P3022" s="53" t="n">
        <v>-0.919506</v>
      </c>
      <c r="Q3022" s="53" t="n">
        <v>-0.205568</v>
      </c>
      <c r="R3022" s="53" t="n">
        <v>-0.256697</v>
      </c>
      <c r="S3022" s="53" t="n">
        <v>-0.187125</v>
      </c>
    </row>
    <row r="3023" customFormat="false" ht="15" hidden="false" customHeight="false" outlineLevel="0" collapsed="false">
      <c r="A3023" s="43" t="n">
        <v>20</v>
      </c>
      <c r="B3023" s="44" t="str">
        <f aca="false">'Model Inputs &amp; Assumptions'!$B$34</f>
        <v>Meta — Lookalike Feed Video</v>
      </c>
      <c r="C3023" s="45" t="n">
        <f aca="false">ROUND(MAX(0,'Model Inputs &amp; Assumptions'!$S$34*EXP('Model Inputs &amp; Assumptions'!$T$34*P3023-'Model Inputs &amp; Assumptions'!$T$34^2/2)),0)</f>
        <v>506016</v>
      </c>
      <c r="D3023" s="46" t="n">
        <f aca="false">MIN(1,'Model Inputs &amp; Assumptions'!$U$34*EXP('Model Inputs &amp; Assumptions'!$V$34*Q3023-'Model Inputs &amp; Assumptions'!$V$34^2/2))</f>
        <v>0.188516532558581</v>
      </c>
      <c r="E3023" s="45" t="n">
        <f aca="false">ROUND(C3023*D3023,0)</f>
        <v>95392</v>
      </c>
      <c r="F3023" s="47" t="n">
        <f aca="false">MIN(1,'Model Inputs &amp; Assumptions'!$W$34*EXP('Model Inputs &amp; Assumptions'!$X$34*R3023-'Model Inputs &amp; Assumptions'!$X$34^2/2))</f>
        <v>0.00720418011604256</v>
      </c>
      <c r="G3023" s="45" t="n">
        <f aca="false">ROUND(C3023*F3023,0)</f>
        <v>3645</v>
      </c>
      <c r="H3023" s="48" t="n">
        <f aca="false">MAX(0,(C3023*'Model Inputs &amp; Assumptions'!$N$34+E3023*'Model Inputs &amp; Assumptions'!$O$34+G3023*'Model Inputs &amp; Assumptions'!$P$34)*EXP('Model Inputs &amp; Assumptions'!$Q$34*S3023-'Model Inputs &amp; Assumptions'!$Q$34^2/2))</f>
        <v>159.340661235103</v>
      </c>
      <c r="I3023" s="49" t="n">
        <f aca="false">IF('Model Inputs &amp; Assumptions'!$H$34="Fixed",'Model Inputs &amp; Assumptions'!$I$34*'Model Inputs &amp; Assumptions'!$K$34,IF('Model Inputs &amp; Assumptions'!$H$34="CPM",'Model Inputs &amp; Assumptions'!$I$34*'Model Inputs &amp; Assumptions'!$K$34*C3023/1000,IF('Model Inputs &amp; Assumptions'!$H$34="CPC",'Model Inputs &amp; Assumptions'!$I$34*'Model Inputs &amp; Assumptions'!$K$34*G3023,0)))</f>
        <v>6743.25</v>
      </c>
      <c r="J3023" s="50" t="n">
        <f aca="false">H3023*INDEX('Model Inputs &amp; Assumptions'!$D$40:$D$42,MATCH('Model Inputs &amp; Assumptions'!$L$34,'Model Inputs &amp; Assumptions'!$A$40:$A$42,0))*INDEX('Model Inputs &amp; Assumptions'!$H$40:$H$42,MATCH('Model Inputs &amp; Assumptions'!$L$34,'Model Inputs &amp; Assumptions'!$A$40:$A$42,0))</f>
        <v>1147252.76089274</v>
      </c>
      <c r="K3023" s="49" t="n">
        <f aca="false">H3023*INDEX('Model Inputs &amp; Assumptions'!$G$40:$G$42,MATCH('Model Inputs &amp; Assumptions'!$L$34,'Model Inputs &amp; Assumptions'!$A$40:$A$42,0))*INDEX('Model Inputs &amp; Assumptions'!$H$40:$H$42,MATCH('Model Inputs &amp; Assumptions'!$L$34,'Model Inputs &amp; Assumptions'!$A$40:$A$42,0))</f>
        <v>25296.9233776849</v>
      </c>
      <c r="L3023" s="51" t="n">
        <f aca="false">IFERROR(K3023/I3023,0)</f>
        <v>3.75144379604566</v>
      </c>
      <c r="M3023" s="49" t="n">
        <f aca="false">IFERROR(I3023/H3023,0)</f>
        <v>42.3197063934015</v>
      </c>
      <c r="N3023" s="52" t="str">
        <f aca="false">'Model Inputs &amp; Assumptions'!$L$34</f>
        <v>PRD-USIQ</v>
      </c>
      <c r="P3023" s="53" t="n">
        <v>-0.036298</v>
      </c>
      <c r="Q3023" s="53" t="n">
        <v>-1.163085</v>
      </c>
      <c r="R3023" s="53" t="n">
        <v>1.106122</v>
      </c>
      <c r="S3023" s="53" t="n">
        <v>2.292493</v>
      </c>
    </row>
    <row r="3024" customFormat="false" ht="15" hidden="false" customHeight="false" outlineLevel="0" collapsed="false">
      <c r="A3024" s="43" t="n">
        <v>21</v>
      </c>
      <c r="B3024" s="44" t="str">
        <f aca="false">'Model Inputs &amp; Assumptions'!$B$34</f>
        <v>Meta — Lookalike Feed Video</v>
      </c>
      <c r="C3024" s="45" t="n">
        <f aca="false">ROUND(MAX(0,'Model Inputs &amp; Assumptions'!$S$34*EXP('Model Inputs &amp; Assumptions'!$T$34*P3024-'Model Inputs &amp; Assumptions'!$T$34^2/2)),0)</f>
        <v>497692</v>
      </c>
      <c r="D3024" s="46" t="n">
        <f aca="false">MIN(1,'Model Inputs &amp; Assumptions'!$U$34*EXP('Model Inputs &amp; Assumptions'!$V$34*Q3024-'Model Inputs &amp; Assumptions'!$V$34^2/2))</f>
        <v>0.285527363581885</v>
      </c>
      <c r="E3024" s="45" t="n">
        <f aca="false">ROUND(C3024*D3024,0)</f>
        <v>142105</v>
      </c>
      <c r="F3024" s="47" t="n">
        <f aca="false">MIN(1,'Model Inputs &amp; Assumptions'!$W$34*EXP('Model Inputs &amp; Assumptions'!$X$34*R3024-'Model Inputs &amp; Assumptions'!$X$34^2/2))</f>
        <v>0.0081304758276075</v>
      </c>
      <c r="G3024" s="45" t="n">
        <f aca="false">ROUND(C3024*F3024,0)</f>
        <v>4046</v>
      </c>
      <c r="H3024" s="48" t="n">
        <f aca="false">MAX(0,(C3024*'Model Inputs &amp; Assumptions'!$N$34+E3024*'Model Inputs &amp; Assumptions'!$O$34+G3024*'Model Inputs &amp; Assumptions'!$P$34)*EXP('Model Inputs &amp; Assumptions'!$Q$34*S3024-'Model Inputs &amp; Assumptions'!$Q$34^2/2))</f>
        <v>114.863232324744</v>
      </c>
      <c r="I3024" s="49" t="n">
        <f aca="false">IF('Model Inputs &amp; Assumptions'!$H$34="Fixed",'Model Inputs &amp; Assumptions'!$I$34*'Model Inputs &amp; Assumptions'!$K$34,IF('Model Inputs &amp; Assumptions'!$H$34="CPM",'Model Inputs &amp; Assumptions'!$I$34*'Model Inputs &amp; Assumptions'!$K$34*C3024/1000,IF('Model Inputs &amp; Assumptions'!$H$34="CPC",'Model Inputs &amp; Assumptions'!$I$34*'Model Inputs &amp; Assumptions'!$K$34*G3024,0)))</f>
        <v>7485.1</v>
      </c>
      <c r="J3024" s="50" t="n">
        <f aca="false">H3024*INDEX('Model Inputs &amp; Assumptions'!$D$40:$D$42,MATCH('Model Inputs &amp; Assumptions'!$L$34,'Model Inputs &amp; Assumptions'!$A$40:$A$42,0))*INDEX('Model Inputs &amp; Assumptions'!$H$40:$H$42,MATCH('Model Inputs &amp; Assumptions'!$L$34,'Model Inputs &amp; Assumptions'!$A$40:$A$42,0))</f>
        <v>827015.27273816</v>
      </c>
      <c r="K3024" s="49" t="n">
        <f aca="false">H3024*INDEX('Model Inputs &amp; Assumptions'!$G$40:$G$42,MATCH('Model Inputs &amp; Assumptions'!$L$34,'Model Inputs &amp; Assumptions'!$A$40:$A$42,0))*INDEX('Model Inputs &amp; Assumptions'!$H$40:$H$42,MATCH('Model Inputs &amp; Assumptions'!$L$34,'Model Inputs &amp; Assumptions'!$A$40:$A$42,0))</f>
        <v>18235.6867638764</v>
      </c>
      <c r="L3024" s="51" t="n">
        <f aca="false">IFERROR(K3024/I3024,0)</f>
        <v>2.43626494821397</v>
      </c>
      <c r="M3024" s="49" t="n">
        <f aca="false">IFERROR(I3024/H3024,0)</f>
        <v>65.1653261753764</v>
      </c>
      <c r="N3024" s="52" t="str">
        <f aca="false">'Model Inputs &amp; Assumptions'!$L$34</f>
        <v>PRD-USIQ</v>
      </c>
      <c r="P3024" s="53" t="n">
        <v>-0.119241</v>
      </c>
      <c r="Q3024" s="53" t="n">
        <v>1.431616</v>
      </c>
      <c r="R3024" s="53" t="n">
        <v>1.778111</v>
      </c>
      <c r="S3024" s="53" t="n">
        <v>0.843824</v>
      </c>
    </row>
    <row r="3025" customFormat="false" ht="15" hidden="false" customHeight="false" outlineLevel="0" collapsed="false">
      <c r="A3025" s="43" t="n">
        <v>22</v>
      </c>
      <c r="B3025" s="44" t="str">
        <f aca="false">'Model Inputs &amp; Assumptions'!$B$34</f>
        <v>Meta — Lookalike Feed Video</v>
      </c>
      <c r="C3025" s="45" t="n">
        <f aca="false">ROUND(MAX(0,'Model Inputs &amp; Assumptions'!$S$34*EXP('Model Inputs &amp; Assumptions'!$T$34*P3025-'Model Inputs &amp; Assumptions'!$T$34^2/2)),0)</f>
        <v>494154</v>
      </c>
      <c r="D3025" s="46" t="n">
        <f aca="false">MIN(1,'Model Inputs &amp; Assumptions'!$U$34*EXP('Model Inputs &amp; Assumptions'!$V$34*Q3025-'Model Inputs &amp; Assumptions'!$V$34^2/2))</f>
        <v>0.225009366206665</v>
      </c>
      <c r="E3025" s="45" t="n">
        <f aca="false">ROUND(C3025*D3025,0)</f>
        <v>111189</v>
      </c>
      <c r="F3025" s="47" t="n">
        <f aca="false">MIN(1,'Model Inputs &amp; Assumptions'!$W$34*EXP('Model Inputs &amp; Assumptions'!$X$34*R3025-'Model Inputs &amp; Assumptions'!$X$34^2/2))</f>
        <v>0.00492732866977946</v>
      </c>
      <c r="G3025" s="45" t="n">
        <f aca="false">ROUND(C3025*F3025,0)</f>
        <v>2435</v>
      </c>
      <c r="H3025" s="48" t="n">
        <f aca="false">MAX(0,(C3025*'Model Inputs &amp; Assumptions'!$N$34+E3025*'Model Inputs &amp; Assumptions'!$O$34+G3025*'Model Inputs &amp; Assumptions'!$P$34)*EXP('Model Inputs &amp; Assumptions'!$Q$34*S3025-'Model Inputs &amp; Assumptions'!$Q$34^2/2))</f>
        <v>60.9051174699359</v>
      </c>
      <c r="I3025" s="49" t="n">
        <f aca="false">IF('Model Inputs &amp; Assumptions'!$H$34="Fixed",'Model Inputs &amp; Assumptions'!$I$34*'Model Inputs &amp; Assumptions'!$K$34,IF('Model Inputs &amp; Assumptions'!$H$34="CPM",'Model Inputs &amp; Assumptions'!$I$34*'Model Inputs &amp; Assumptions'!$K$34*C3025/1000,IF('Model Inputs &amp; Assumptions'!$H$34="CPC",'Model Inputs &amp; Assumptions'!$I$34*'Model Inputs &amp; Assumptions'!$K$34*G3025,0)))</f>
        <v>4504.75</v>
      </c>
      <c r="J3025" s="50" t="n">
        <f aca="false">H3025*INDEX('Model Inputs &amp; Assumptions'!$D$40:$D$42,MATCH('Model Inputs &amp; Assumptions'!$L$34,'Model Inputs &amp; Assumptions'!$A$40:$A$42,0))*INDEX('Model Inputs &amp; Assumptions'!$H$40:$H$42,MATCH('Model Inputs &amp; Assumptions'!$L$34,'Model Inputs &amp; Assumptions'!$A$40:$A$42,0))</f>
        <v>438516.845783539</v>
      </c>
      <c r="K3025" s="49" t="n">
        <f aca="false">H3025*INDEX('Model Inputs &amp; Assumptions'!$G$40:$G$42,MATCH('Model Inputs &amp; Assumptions'!$L$34,'Model Inputs &amp; Assumptions'!$A$40:$A$42,0))*INDEX('Model Inputs &amp; Assumptions'!$H$40:$H$42,MATCH('Model Inputs &amp; Assumptions'!$L$34,'Model Inputs &amp; Assumptions'!$A$40:$A$42,0))</f>
        <v>9669.29644952703</v>
      </c>
      <c r="L3025" s="51" t="n">
        <f aca="false">IFERROR(K3025/I3025,0)</f>
        <v>2.1464668293528</v>
      </c>
      <c r="M3025" s="49" t="n">
        <f aca="false">IFERROR(I3025/H3025,0)</f>
        <v>73.9634071344438</v>
      </c>
      <c r="N3025" s="52" t="str">
        <f aca="false">'Model Inputs &amp; Assumptions'!$L$34</f>
        <v>PRD-USIQ</v>
      </c>
      <c r="P3025" s="53" t="n">
        <v>-0.154906</v>
      </c>
      <c r="Q3025" s="53" t="n">
        <v>-0.057108</v>
      </c>
      <c r="R3025" s="53" t="n">
        <v>-1.004236</v>
      </c>
      <c r="S3025" s="53" t="n">
        <v>0.334623</v>
      </c>
    </row>
    <row r="3026" customFormat="false" ht="15" hidden="false" customHeight="false" outlineLevel="0" collapsed="false">
      <c r="A3026" s="43" t="n">
        <v>23</v>
      </c>
      <c r="B3026" s="44" t="str">
        <f aca="false">'Model Inputs &amp; Assumptions'!$B$34</f>
        <v>Meta — Lookalike Feed Video</v>
      </c>
      <c r="C3026" s="45" t="n">
        <f aca="false">ROUND(MAX(0,'Model Inputs &amp; Assumptions'!$S$34*EXP('Model Inputs &amp; Assumptions'!$T$34*P3026-'Model Inputs &amp; Assumptions'!$T$34^2/2)),0)</f>
        <v>604603</v>
      </c>
      <c r="D3026" s="46" t="n">
        <f aca="false">MIN(1,'Model Inputs &amp; Assumptions'!$U$34*EXP('Model Inputs &amp; Assumptions'!$V$34*Q3026-'Model Inputs &amp; Assumptions'!$V$34^2/2))</f>
        <v>0.288693770572027</v>
      </c>
      <c r="E3026" s="45" t="n">
        <f aca="false">ROUND(C3026*D3026,0)</f>
        <v>174545</v>
      </c>
      <c r="F3026" s="47" t="n">
        <f aca="false">MIN(1,'Model Inputs &amp; Assumptions'!$W$34*EXP('Model Inputs &amp; Assumptions'!$X$34*R3026-'Model Inputs &amp; Assumptions'!$X$34^2/2))</f>
        <v>0.00565789813625779</v>
      </c>
      <c r="G3026" s="45" t="n">
        <f aca="false">ROUND(C3026*F3026,0)</f>
        <v>3421</v>
      </c>
      <c r="H3026" s="48" t="n">
        <f aca="false">MAX(0,(C3026*'Model Inputs &amp; Assumptions'!$N$34+E3026*'Model Inputs &amp; Assumptions'!$O$34+G3026*'Model Inputs &amp; Assumptions'!$P$34)*EXP('Model Inputs &amp; Assumptions'!$Q$34*S3026-'Model Inputs &amp; Assumptions'!$Q$34^2/2))</f>
        <v>63.1974623704437</v>
      </c>
      <c r="I3026" s="49" t="n">
        <f aca="false">IF('Model Inputs &amp; Assumptions'!$H$34="Fixed",'Model Inputs &amp; Assumptions'!$I$34*'Model Inputs &amp; Assumptions'!$K$34,IF('Model Inputs &amp; Assumptions'!$H$34="CPM",'Model Inputs &amp; Assumptions'!$I$34*'Model Inputs &amp; Assumptions'!$K$34*C3026/1000,IF('Model Inputs &amp; Assumptions'!$H$34="CPC",'Model Inputs &amp; Assumptions'!$I$34*'Model Inputs &amp; Assumptions'!$K$34*G3026,0)))</f>
        <v>6328.85</v>
      </c>
      <c r="J3026" s="50" t="n">
        <f aca="false">H3026*INDEX('Model Inputs &amp; Assumptions'!$D$40:$D$42,MATCH('Model Inputs &amp; Assumptions'!$L$34,'Model Inputs &amp; Assumptions'!$A$40:$A$42,0))*INDEX('Model Inputs &amp; Assumptions'!$H$40:$H$42,MATCH('Model Inputs &amp; Assumptions'!$L$34,'Model Inputs &amp; Assumptions'!$A$40:$A$42,0))</f>
        <v>455021.729067195</v>
      </c>
      <c r="K3026" s="49" t="n">
        <f aca="false">H3026*INDEX('Model Inputs &amp; Assumptions'!$G$40:$G$42,MATCH('Model Inputs &amp; Assumptions'!$L$34,'Model Inputs &amp; Assumptions'!$A$40:$A$42,0))*INDEX('Model Inputs &amp; Assumptions'!$H$40:$H$42,MATCH('Model Inputs &amp; Assumptions'!$L$34,'Model Inputs &amp; Assumptions'!$A$40:$A$42,0))</f>
        <v>10033.2291259316</v>
      </c>
      <c r="L3026" s="51" t="n">
        <f aca="false">IFERROR(K3026/I3026,0)</f>
        <v>1.58531630958731</v>
      </c>
      <c r="M3026" s="49" t="n">
        <f aca="false">IFERROR(I3026/H3026,0)</f>
        <v>100.144052666265</v>
      </c>
      <c r="N3026" s="52" t="str">
        <f aca="false">'Model Inputs &amp; Assumptions'!$L$34</f>
        <v>PRD-USIQ</v>
      </c>
      <c r="P3026" s="53" t="n">
        <v>0.853716</v>
      </c>
      <c r="Q3026" s="53" t="n">
        <v>1.500545</v>
      </c>
      <c r="R3026" s="53" t="n">
        <v>-0.23615</v>
      </c>
      <c r="S3026" s="53" t="n">
        <v>-0.668507</v>
      </c>
    </row>
    <row r="3027" customFormat="false" ht="15" hidden="false" customHeight="false" outlineLevel="0" collapsed="false">
      <c r="A3027" s="43" t="n">
        <v>24</v>
      </c>
      <c r="B3027" s="44" t="str">
        <f aca="false">'Model Inputs &amp; Assumptions'!$B$34</f>
        <v>Meta — Lookalike Feed Video</v>
      </c>
      <c r="C3027" s="45" t="n">
        <f aca="false">ROUND(MAX(0,'Model Inputs &amp; Assumptions'!$S$34*EXP('Model Inputs &amp; Assumptions'!$T$34*P3027-'Model Inputs &amp; Assumptions'!$T$34^2/2)),0)</f>
        <v>580783</v>
      </c>
      <c r="D3027" s="46" t="n">
        <f aca="false">MIN(1,'Model Inputs &amp; Assumptions'!$U$34*EXP('Model Inputs &amp; Assumptions'!$V$34*Q3027-'Model Inputs &amp; Assumptions'!$V$34^2/2))</f>
        <v>0.248134790580811</v>
      </c>
      <c r="E3027" s="45" t="n">
        <f aca="false">ROUND(C3027*D3027,0)</f>
        <v>144112</v>
      </c>
      <c r="F3027" s="47" t="n">
        <f aca="false">MIN(1,'Model Inputs &amp; Assumptions'!$W$34*EXP('Model Inputs &amp; Assumptions'!$X$34*R3027-'Model Inputs &amp; Assumptions'!$X$34^2/2))</f>
        <v>0.00614426047046428</v>
      </c>
      <c r="G3027" s="45" t="n">
        <f aca="false">ROUND(C3027*F3027,0)</f>
        <v>3568</v>
      </c>
      <c r="H3027" s="48" t="n">
        <f aca="false">MAX(0,(C3027*'Model Inputs &amp; Assumptions'!$N$34+E3027*'Model Inputs &amp; Assumptions'!$O$34+G3027*'Model Inputs &amp; Assumptions'!$P$34)*EXP('Model Inputs &amp; Assumptions'!$Q$34*S3027-'Model Inputs &amp; Assumptions'!$Q$34^2/2))</f>
        <v>78.4355227292751</v>
      </c>
      <c r="I3027" s="49" t="n">
        <f aca="false">IF('Model Inputs &amp; Assumptions'!$H$34="Fixed",'Model Inputs &amp; Assumptions'!$I$34*'Model Inputs &amp; Assumptions'!$K$34,IF('Model Inputs &amp; Assumptions'!$H$34="CPM",'Model Inputs &amp; Assumptions'!$I$34*'Model Inputs &amp; Assumptions'!$K$34*C3027/1000,IF('Model Inputs &amp; Assumptions'!$H$34="CPC",'Model Inputs &amp; Assumptions'!$I$34*'Model Inputs &amp; Assumptions'!$K$34*G3027,0)))</f>
        <v>6600.8</v>
      </c>
      <c r="J3027" s="50" t="n">
        <f aca="false">H3027*INDEX('Model Inputs &amp; Assumptions'!$D$40:$D$42,MATCH('Model Inputs &amp; Assumptions'!$L$34,'Model Inputs &amp; Assumptions'!$A$40:$A$42,0))*INDEX('Model Inputs &amp; Assumptions'!$H$40:$H$42,MATCH('Model Inputs &amp; Assumptions'!$L$34,'Model Inputs &amp; Assumptions'!$A$40:$A$42,0))</f>
        <v>564735.763650781</v>
      </c>
      <c r="K3027" s="49" t="n">
        <f aca="false">H3027*INDEX('Model Inputs &amp; Assumptions'!$G$40:$G$42,MATCH('Model Inputs &amp; Assumptions'!$L$34,'Model Inputs &amp; Assumptions'!$A$40:$A$42,0))*INDEX('Model Inputs &amp; Assumptions'!$H$40:$H$42,MATCH('Model Inputs &amp; Assumptions'!$L$34,'Model Inputs &amp; Assumptions'!$A$40:$A$42,0))</f>
        <v>12452.4235884997</v>
      </c>
      <c r="L3027" s="51" t="n">
        <f aca="false">IFERROR(K3027/I3027,0)</f>
        <v>1.88650217981149</v>
      </c>
      <c r="M3027" s="49" t="n">
        <f aca="false">IFERROR(I3027/H3027,0)</f>
        <v>84.1557469156298</v>
      </c>
      <c r="N3027" s="52" t="str">
        <f aca="false">'Model Inputs &amp; Assumptions'!$L$34</f>
        <v>PRD-USIQ</v>
      </c>
      <c r="P3027" s="53" t="n">
        <v>0.652742</v>
      </c>
      <c r="Q3027" s="53" t="n">
        <v>0.55433</v>
      </c>
      <c r="R3027" s="53" t="n">
        <v>0.221994</v>
      </c>
      <c r="S3027" s="53" t="n">
        <v>-0.012578</v>
      </c>
    </row>
    <row r="3028" customFormat="false" ht="15" hidden="false" customHeight="false" outlineLevel="0" collapsed="false">
      <c r="A3028" s="43" t="n">
        <v>25</v>
      </c>
      <c r="B3028" s="44" t="str">
        <f aca="false">'Model Inputs &amp; Assumptions'!$B$34</f>
        <v>Meta — Lookalike Feed Video</v>
      </c>
      <c r="C3028" s="45" t="n">
        <f aca="false">ROUND(MAX(0,'Model Inputs &amp; Assumptions'!$S$34*EXP('Model Inputs &amp; Assumptions'!$T$34*P3028-'Model Inputs &amp; Assumptions'!$T$34^2/2)),0)</f>
        <v>435498</v>
      </c>
      <c r="D3028" s="46" t="n">
        <f aca="false">MIN(1,'Model Inputs &amp; Assumptions'!$U$34*EXP('Model Inputs &amp; Assumptions'!$V$34*Q3028-'Model Inputs &amp; Assumptions'!$V$34^2/2))</f>
        <v>0.195604418912591</v>
      </c>
      <c r="E3028" s="45" t="n">
        <f aca="false">ROUND(C3028*D3028,0)</f>
        <v>85185</v>
      </c>
      <c r="F3028" s="47" t="n">
        <f aca="false">MIN(1,'Model Inputs &amp; Assumptions'!$W$34*EXP('Model Inputs &amp; Assumptions'!$X$34*R3028-'Model Inputs &amp; Assumptions'!$X$34^2/2))</f>
        <v>0.00550144216248561</v>
      </c>
      <c r="G3028" s="45" t="n">
        <f aca="false">ROUND(C3028*F3028,0)</f>
        <v>2396</v>
      </c>
      <c r="H3028" s="48" t="n">
        <f aca="false">MAX(0,(C3028*'Model Inputs &amp; Assumptions'!$N$34+E3028*'Model Inputs &amp; Assumptions'!$O$34+G3028*'Model Inputs &amp; Assumptions'!$P$34)*EXP('Model Inputs &amp; Assumptions'!$Q$34*S3028-'Model Inputs &amp; Assumptions'!$Q$34^2/2))</f>
        <v>36.9271267995762</v>
      </c>
      <c r="I3028" s="49" t="n">
        <f aca="false">IF('Model Inputs &amp; Assumptions'!$H$34="Fixed",'Model Inputs &amp; Assumptions'!$I$34*'Model Inputs &amp; Assumptions'!$K$34,IF('Model Inputs &amp; Assumptions'!$H$34="CPM",'Model Inputs &amp; Assumptions'!$I$34*'Model Inputs &amp; Assumptions'!$K$34*C3028/1000,IF('Model Inputs &amp; Assumptions'!$H$34="CPC",'Model Inputs &amp; Assumptions'!$I$34*'Model Inputs &amp; Assumptions'!$K$34*G3028,0)))</f>
        <v>4432.6</v>
      </c>
      <c r="J3028" s="50" t="n">
        <f aca="false">H3028*INDEX('Model Inputs &amp; Assumptions'!$D$40:$D$42,MATCH('Model Inputs &amp; Assumptions'!$L$34,'Model Inputs &amp; Assumptions'!$A$40:$A$42,0))*INDEX('Model Inputs &amp; Assumptions'!$H$40:$H$42,MATCH('Model Inputs &amp; Assumptions'!$L$34,'Model Inputs &amp; Assumptions'!$A$40:$A$42,0))</f>
        <v>265875.312956949</v>
      </c>
      <c r="K3028" s="49" t="n">
        <f aca="false">H3028*INDEX('Model Inputs &amp; Assumptions'!$G$40:$G$42,MATCH('Model Inputs &amp; Assumptions'!$L$34,'Model Inputs &amp; Assumptions'!$A$40:$A$42,0))*INDEX('Model Inputs &amp; Assumptions'!$H$40:$H$42,MATCH('Model Inputs &amp; Assumptions'!$L$34,'Model Inputs &amp; Assumptions'!$A$40:$A$42,0))</f>
        <v>5862.55065070071</v>
      </c>
      <c r="L3028" s="51" t="n">
        <f aca="false">IFERROR(K3028/I3028,0)</f>
        <v>1.32259862173458</v>
      </c>
      <c r="M3028" s="49" t="n">
        <f aca="false">IFERROR(I3028/H3028,0)</f>
        <v>120.036417240317</v>
      </c>
      <c r="N3028" s="52" t="str">
        <f aca="false">'Model Inputs &amp; Assumptions'!$L$34</f>
        <v>PRD-USIQ</v>
      </c>
      <c r="P3028" s="53" t="n">
        <v>-0.786689</v>
      </c>
      <c r="Q3028" s="53" t="n">
        <v>-0.932406</v>
      </c>
      <c r="R3028" s="53" t="n">
        <v>-0.39194</v>
      </c>
      <c r="S3028" s="53" t="n">
        <v>-1.069854</v>
      </c>
    </row>
    <row r="3029" customFormat="false" ht="15" hidden="false" customHeight="false" outlineLevel="0" collapsed="false">
      <c r="A3029" s="43" t="n">
        <v>26</v>
      </c>
      <c r="B3029" s="44" t="str">
        <f aca="false">'Model Inputs &amp; Assumptions'!$B$34</f>
        <v>Meta — Lookalike Feed Video</v>
      </c>
      <c r="C3029" s="45" t="n">
        <f aca="false">ROUND(MAX(0,'Model Inputs &amp; Assumptions'!$S$34*EXP('Model Inputs &amp; Assumptions'!$T$34*P3029-'Model Inputs &amp; Assumptions'!$T$34^2/2)),0)</f>
        <v>379959</v>
      </c>
      <c r="D3029" s="46" t="n">
        <f aca="false">MIN(1,'Model Inputs &amp; Assumptions'!$U$34*EXP('Model Inputs &amp; Assumptions'!$V$34*Q3029-'Model Inputs &amp; Assumptions'!$V$34^2/2))</f>
        <v>0.179439744964127</v>
      </c>
      <c r="E3029" s="45" t="n">
        <f aca="false">ROUND(C3029*D3029,0)</f>
        <v>68180</v>
      </c>
      <c r="F3029" s="47" t="n">
        <f aca="false">MIN(1,'Model Inputs &amp; Assumptions'!$W$34*EXP('Model Inputs &amp; Assumptions'!$X$34*R3029-'Model Inputs &amp; Assumptions'!$X$34^2/2))</f>
        <v>0.00532825562220636</v>
      </c>
      <c r="G3029" s="45" t="n">
        <f aca="false">ROUND(C3029*F3029,0)</f>
        <v>2025</v>
      </c>
      <c r="H3029" s="48" t="n">
        <f aca="false">MAX(0,(C3029*'Model Inputs &amp; Assumptions'!$N$34+E3029*'Model Inputs &amp; Assumptions'!$O$34+G3029*'Model Inputs &amp; Assumptions'!$P$34)*EXP('Model Inputs &amp; Assumptions'!$Q$34*S3029-'Model Inputs &amp; Assumptions'!$Q$34^2/2))</f>
        <v>26.8038860929782</v>
      </c>
      <c r="I3029" s="49" t="n">
        <f aca="false">IF('Model Inputs &amp; Assumptions'!$H$34="Fixed",'Model Inputs &amp; Assumptions'!$I$34*'Model Inputs &amp; Assumptions'!$K$34,IF('Model Inputs &amp; Assumptions'!$H$34="CPM",'Model Inputs &amp; Assumptions'!$I$34*'Model Inputs &amp; Assumptions'!$K$34*C3029/1000,IF('Model Inputs &amp; Assumptions'!$H$34="CPC",'Model Inputs &amp; Assumptions'!$I$34*'Model Inputs &amp; Assumptions'!$K$34*G3029,0)))</f>
        <v>3746.25</v>
      </c>
      <c r="J3029" s="50" t="n">
        <f aca="false">H3029*INDEX('Model Inputs &amp; Assumptions'!$D$40:$D$42,MATCH('Model Inputs &amp; Assumptions'!$L$34,'Model Inputs &amp; Assumptions'!$A$40:$A$42,0))*INDEX('Model Inputs &amp; Assumptions'!$H$40:$H$42,MATCH('Model Inputs &amp; Assumptions'!$L$34,'Model Inputs &amp; Assumptions'!$A$40:$A$42,0))</f>
        <v>192987.979869443</v>
      </c>
      <c r="K3029" s="49" t="n">
        <f aca="false">H3029*INDEX('Model Inputs &amp; Assumptions'!$G$40:$G$42,MATCH('Model Inputs &amp; Assumptions'!$L$34,'Model Inputs &amp; Assumptions'!$A$40:$A$42,0))*INDEX('Model Inputs &amp; Assumptions'!$H$40:$H$42,MATCH('Model Inputs &amp; Assumptions'!$L$34,'Model Inputs &amp; Assumptions'!$A$40:$A$42,0))</f>
        <v>4255.38495612122</v>
      </c>
      <c r="L3029" s="51" t="n">
        <f aca="false">IFERROR(K3029/I3029,0)</f>
        <v>1.13590522685918</v>
      </c>
      <c r="M3029" s="49" t="n">
        <f aca="false">IFERROR(I3029/H3029,0)</f>
        <v>139.76518132501</v>
      </c>
      <c r="N3029" s="52" t="str">
        <f aca="false">'Model Inputs &amp; Assumptions'!$L$34</f>
        <v>PRD-USIQ</v>
      </c>
      <c r="P3029" s="53" t="n">
        <v>-1.468824</v>
      </c>
      <c r="Q3029" s="53" t="n">
        <v>-1.471499</v>
      </c>
      <c r="R3029" s="53" t="n">
        <v>-0.569642</v>
      </c>
      <c r="S3029" s="53" t="n">
        <v>-1.524696</v>
      </c>
    </row>
    <row r="3030" customFormat="false" ht="15" hidden="false" customHeight="false" outlineLevel="0" collapsed="false">
      <c r="A3030" s="43" t="n">
        <v>27</v>
      </c>
      <c r="B3030" s="44" t="str">
        <f aca="false">'Model Inputs &amp; Assumptions'!$B$34</f>
        <v>Meta — Lookalike Feed Video</v>
      </c>
      <c r="C3030" s="45" t="n">
        <f aca="false">ROUND(MAX(0,'Model Inputs &amp; Assumptions'!$S$34*EXP('Model Inputs &amp; Assumptions'!$T$34*P3030-'Model Inputs &amp; Assumptions'!$T$34^2/2)),0)</f>
        <v>414700</v>
      </c>
      <c r="D3030" s="46" t="n">
        <f aca="false">MIN(1,'Model Inputs &amp; Assumptions'!$U$34*EXP('Model Inputs &amp; Assumptions'!$V$34*Q3030-'Model Inputs &amp; Assumptions'!$V$34^2/2))</f>
        <v>0.209226297409138</v>
      </c>
      <c r="E3030" s="45" t="n">
        <f aca="false">ROUND(C3030*D3030,0)</f>
        <v>86766</v>
      </c>
      <c r="F3030" s="47" t="n">
        <f aca="false">MIN(1,'Model Inputs &amp; Assumptions'!$W$34*EXP('Model Inputs &amp; Assumptions'!$X$34*R3030-'Model Inputs &amp; Assumptions'!$X$34^2/2))</f>
        <v>0.00567598053095754</v>
      </c>
      <c r="G3030" s="45" t="n">
        <f aca="false">ROUND(C3030*F3030,0)</f>
        <v>2354</v>
      </c>
      <c r="H3030" s="48" t="n">
        <f aca="false">MAX(0,(C3030*'Model Inputs &amp; Assumptions'!$N$34+E3030*'Model Inputs &amp; Assumptions'!$O$34+G3030*'Model Inputs &amp; Assumptions'!$P$34)*EXP('Model Inputs &amp; Assumptions'!$Q$34*S3030-'Model Inputs &amp; Assumptions'!$Q$34^2/2))</f>
        <v>31.7815789300986</v>
      </c>
      <c r="I3030" s="49" t="n">
        <f aca="false">IF('Model Inputs &amp; Assumptions'!$H$34="Fixed",'Model Inputs &amp; Assumptions'!$I$34*'Model Inputs &amp; Assumptions'!$K$34,IF('Model Inputs &amp; Assumptions'!$H$34="CPM",'Model Inputs &amp; Assumptions'!$I$34*'Model Inputs &amp; Assumptions'!$K$34*C3030/1000,IF('Model Inputs &amp; Assumptions'!$H$34="CPC",'Model Inputs &amp; Assumptions'!$I$34*'Model Inputs &amp; Assumptions'!$K$34*G3030,0)))</f>
        <v>4354.9</v>
      </c>
      <c r="J3030" s="50" t="n">
        <f aca="false">H3030*INDEX('Model Inputs &amp; Assumptions'!$D$40:$D$42,MATCH('Model Inputs &amp; Assumptions'!$L$34,'Model Inputs &amp; Assumptions'!$A$40:$A$42,0))*INDEX('Model Inputs &amp; Assumptions'!$H$40:$H$42,MATCH('Model Inputs &amp; Assumptions'!$L$34,'Model Inputs &amp; Assumptions'!$A$40:$A$42,0))</f>
        <v>228827.36829671</v>
      </c>
      <c r="K3030" s="49" t="n">
        <f aca="false">H3030*INDEX('Model Inputs &amp; Assumptions'!$G$40:$G$42,MATCH('Model Inputs &amp; Assumptions'!$L$34,'Model Inputs &amp; Assumptions'!$A$40:$A$42,0))*INDEX('Model Inputs &amp; Assumptions'!$H$40:$H$42,MATCH('Model Inputs &amp; Assumptions'!$L$34,'Model Inputs &amp; Assumptions'!$A$40:$A$42,0))</f>
        <v>5045.64347094246</v>
      </c>
      <c r="L3030" s="51" t="n">
        <f aca="false">IFERROR(K3030/I3030,0)</f>
        <v>1.1586129350714</v>
      </c>
      <c r="M3030" s="49" t="n">
        <f aca="false">IFERROR(I3030/H3030,0)</f>
        <v>137.025917106834</v>
      </c>
      <c r="N3030" s="52" t="str">
        <f aca="false">'Model Inputs &amp; Assumptions'!$L$34</f>
        <v>PRD-USIQ</v>
      </c>
      <c r="P3030" s="53" t="n">
        <v>-1.031368</v>
      </c>
      <c r="Q3030" s="53" t="n">
        <v>-0.511643</v>
      </c>
      <c r="R3030" s="53" t="n">
        <v>-0.218423</v>
      </c>
      <c r="S3030" s="53" t="n">
        <v>-1.497785</v>
      </c>
    </row>
    <row r="3031" customFormat="false" ht="15" hidden="false" customHeight="false" outlineLevel="0" collapsed="false">
      <c r="A3031" s="43" t="n">
        <v>28</v>
      </c>
      <c r="B3031" s="44" t="str">
        <f aca="false">'Model Inputs &amp; Assumptions'!$B$34</f>
        <v>Meta — Lookalike Feed Video</v>
      </c>
      <c r="C3031" s="45" t="n">
        <f aca="false">ROUND(MAX(0,'Model Inputs &amp; Assumptions'!$S$34*EXP('Model Inputs &amp; Assumptions'!$T$34*P3031-'Model Inputs &amp; Assumptions'!$T$34^2/2)),0)</f>
        <v>625475</v>
      </c>
      <c r="D3031" s="46" t="n">
        <f aca="false">MIN(1,'Model Inputs &amp; Assumptions'!$U$34*EXP('Model Inputs &amp; Assumptions'!$V$34*Q3031-'Model Inputs &amp; Assumptions'!$V$34^2/2))</f>
        <v>0.192933557682899</v>
      </c>
      <c r="E3031" s="45" t="n">
        <f aca="false">ROUND(C3031*D3031,0)</f>
        <v>120675</v>
      </c>
      <c r="F3031" s="47" t="n">
        <f aca="false">MIN(1,'Model Inputs &amp; Assumptions'!$W$34*EXP('Model Inputs &amp; Assumptions'!$X$34*R3031-'Model Inputs &amp; Assumptions'!$X$34^2/2))</f>
        <v>0.00523347162882988</v>
      </c>
      <c r="G3031" s="45" t="n">
        <f aca="false">ROUND(C3031*F3031,0)</f>
        <v>3273</v>
      </c>
      <c r="H3031" s="48" t="n">
        <f aca="false">MAX(0,(C3031*'Model Inputs &amp; Assumptions'!$N$34+E3031*'Model Inputs &amp; Assumptions'!$O$34+G3031*'Model Inputs &amp; Assumptions'!$P$34)*EXP('Model Inputs &amp; Assumptions'!$Q$34*S3031-'Model Inputs &amp; Assumptions'!$Q$34^2/2))</f>
        <v>73.7853763480053</v>
      </c>
      <c r="I3031" s="49" t="n">
        <f aca="false">IF('Model Inputs &amp; Assumptions'!$H$34="Fixed",'Model Inputs &amp; Assumptions'!$I$34*'Model Inputs &amp; Assumptions'!$K$34,IF('Model Inputs &amp; Assumptions'!$H$34="CPM",'Model Inputs &amp; Assumptions'!$I$34*'Model Inputs &amp; Assumptions'!$K$34*C3031/1000,IF('Model Inputs &amp; Assumptions'!$H$34="CPC",'Model Inputs &amp; Assumptions'!$I$34*'Model Inputs &amp; Assumptions'!$K$34*G3031,0)))</f>
        <v>6055.05</v>
      </c>
      <c r="J3031" s="50" t="n">
        <f aca="false">H3031*INDEX('Model Inputs &amp; Assumptions'!$D$40:$D$42,MATCH('Model Inputs &amp; Assumptions'!$L$34,'Model Inputs &amp; Assumptions'!$A$40:$A$42,0))*INDEX('Model Inputs &amp; Assumptions'!$H$40:$H$42,MATCH('Model Inputs &amp; Assumptions'!$L$34,'Model Inputs &amp; Assumptions'!$A$40:$A$42,0))</f>
        <v>531254.709705638</v>
      </c>
      <c r="K3031" s="49" t="n">
        <f aca="false">H3031*INDEX('Model Inputs &amp; Assumptions'!$G$40:$G$42,MATCH('Model Inputs &amp; Assumptions'!$L$34,'Model Inputs &amp; Assumptions'!$A$40:$A$42,0))*INDEX('Model Inputs &amp; Assumptions'!$H$40:$H$42,MATCH('Model Inputs &amp; Assumptions'!$L$34,'Model Inputs &amp; Assumptions'!$A$40:$A$42,0))</f>
        <v>11714.1663490093</v>
      </c>
      <c r="L3031" s="51" t="n">
        <f aca="false">IFERROR(K3031/I3031,0)</f>
        <v>1.93461100222283</v>
      </c>
      <c r="M3031" s="49" t="n">
        <f aca="false">IFERROR(I3031/H3031,0)</f>
        <v>82.0630089550758</v>
      </c>
      <c r="N3031" s="52" t="str">
        <f aca="false">'Model Inputs &amp; Assumptions'!$L$34</f>
        <v>PRD-USIQ</v>
      </c>
      <c r="P3031" s="53" t="n">
        <v>1.023414</v>
      </c>
      <c r="Q3031" s="53" t="n">
        <v>-1.018334</v>
      </c>
      <c r="R3031" s="53" t="n">
        <v>-0.669359</v>
      </c>
      <c r="S3031" s="53" t="n">
        <v>0.10423</v>
      </c>
    </row>
    <row r="3032" customFormat="false" ht="15" hidden="false" customHeight="false" outlineLevel="0" collapsed="false">
      <c r="A3032" s="43" t="n">
        <v>29</v>
      </c>
      <c r="B3032" s="44" t="str">
        <f aca="false">'Model Inputs &amp; Assumptions'!$B$34</f>
        <v>Meta — Lookalike Feed Video</v>
      </c>
      <c r="C3032" s="45" t="n">
        <f aca="false">ROUND(MAX(0,'Model Inputs &amp; Assumptions'!$S$34*EXP('Model Inputs &amp; Assumptions'!$T$34*P3032-'Model Inputs &amp; Assumptions'!$T$34^2/2)),0)</f>
        <v>738174</v>
      </c>
      <c r="D3032" s="46" t="n">
        <f aca="false">MIN(1,'Model Inputs &amp; Assumptions'!$U$34*EXP('Model Inputs &amp; Assumptions'!$V$34*Q3032-'Model Inputs &amp; Assumptions'!$V$34^2/2))</f>
        <v>0.247698774489418</v>
      </c>
      <c r="E3032" s="45" t="n">
        <f aca="false">ROUND(C3032*D3032,0)</f>
        <v>182845</v>
      </c>
      <c r="F3032" s="47" t="n">
        <f aca="false">MIN(1,'Model Inputs &amp; Assumptions'!$W$34*EXP('Model Inputs &amp; Assumptions'!$X$34*R3032-'Model Inputs &amp; Assumptions'!$X$34^2/2))</f>
        <v>0.00679787449617071</v>
      </c>
      <c r="G3032" s="45" t="n">
        <f aca="false">ROUND(C3032*F3032,0)</f>
        <v>5018</v>
      </c>
      <c r="H3032" s="48" t="n">
        <f aca="false">MAX(0,(C3032*'Model Inputs &amp; Assumptions'!$N$34+E3032*'Model Inputs &amp; Assumptions'!$O$34+G3032*'Model Inputs &amp; Assumptions'!$P$34)*EXP('Model Inputs &amp; Assumptions'!$Q$34*S3032-'Model Inputs &amp; Assumptions'!$Q$34^2/2))</f>
        <v>172.336109752945</v>
      </c>
      <c r="I3032" s="49" t="n">
        <f aca="false">IF('Model Inputs &amp; Assumptions'!$H$34="Fixed",'Model Inputs &amp; Assumptions'!$I$34*'Model Inputs &amp; Assumptions'!$K$34,IF('Model Inputs &amp; Assumptions'!$H$34="CPM",'Model Inputs &amp; Assumptions'!$I$34*'Model Inputs &amp; Assumptions'!$K$34*C3032/1000,IF('Model Inputs &amp; Assumptions'!$H$34="CPC",'Model Inputs &amp; Assumptions'!$I$34*'Model Inputs &amp; Assumptions'!$K$34*G3032,0)))</f>
        <v>9283.3</v>
      </c>
      <c r="J3032" s="50" t="n">
        <f aca="false">H3032*INDEX('Model Inputs &amp; Assumptions'!$D$40:$D$42,MATCH('Model Inputs &amp; Assumptions'!$L$34,'Model Inputs &amp; Assumptions'!$A$40:$A$42,0))*INDEX('Model Inputs &amp; Assumptions'!$H$40:$H$42,MATCH('Model Inputs &amp; Assumptions'!$L$34,'Model Inputs &amp; Assumptions'!$A$40:$A$42,0))</f>
        <v>1240819.99022121</v>
      </c>
      <c r="K3032" s="49" t="n">
        <f aca="false">H3032*INDEX('Model Inputs &amp; Assumptions'!$G$40:$G$42,MATCH('Model Inputs &amp; Assumptions'!$L$34,'Model Inputs &amp; Assumptions'!$A$40:$A$42,0))*INDEX('Model Inputs &amp; Assumptions'!$H$40:$H$42,MATCH('Model Inputs &amp; Assumptions'!$L$34,'Model Inputs &amp; Assumptions'!$A$40:$A$42,0))</f>
        <v>27360.0807843776</v>
      </c>
      <c r="L3032" s="51" t="n">
        <f aca="false">IFERROR(K3032/I3032,0)</f>
        <v>2.94723651981274</v>
      </c>
      <c r="M3032" s="49" t="n">
        <f aca="false">IFERROR(I3032/H3032,0)</f>
        <v>53.8674106854808</v>
      </c>
      <c r="N3032" s="52" t="str">
        <f aca="false">'Model Inputs &amp; Assumptions'!$L$34</f>
        <v>PRD-USIQ</v>
      </c>
      <c r="P3032" s="53" t="n">
        <v>1.851757</v>
      </c>
      <c r="Q3032" s="53" t="n">
        <v>0.543338</v>
      </c>
      <c r="R3032" s="53" t="n">
        <v>0.783614</v>
      </c>
      <c r="S3032" s="53" t="n">
        <v>1.424445</v>
      </c>
    </row>
    <row r="3033" customFormat="false" ht="15" hidden="false" customHeight="false" outlineLevel="0" collapsed="false">
      <c r="A3033" s="43" t="n">
        <v>30</v>
      </c>
      <c r="B3033" s="44" t="str">
        <f aca="false">'Model Inputs &amp; Assumptions'!$B$34</f>
        <v>Meta — Lookalike Feed Video</v>
      </c>
      <c r="C3033" s="45" t="n">
        <f aca="false">ROUND(MAX(0,'Model Inputs &amp; Assumptions'!$S$34*EXP('Model Inputs &amp; Assumptions'!$T$34*P3033-'Model Inputs &amp; Assumptions'!$T$34^2/2)),0)</f>
        <v>450490</v>
      </c>
      <c r="D3033" s="46" t="n">
        <f aca="false">MIN(1,'Model Inputs &amp; Assumptions'!$U$34*EXP('Model Inputs &amp; Assumptions'!$V$34*Q3033-'Model Inputs &amp; Assumptions'!$V$34^2/2))</f>
        <v>0.207850848699955</v>
      </c>
      <c r="E3033" s="45" t="n">
        <f aca="false">ROUND(C3033*D3033,0)</f>
        <v>93635</v>
      </c>
      <c r="F3033" s="47" t="n">
        <f aca="false">MIN(1,'Model Inputs &amp; Assumptions'!$W$34*EXP('Model Inputs &amp; Assumptions'!$X$34*R3033-'Model Inputs &amp; Assumptions'!$X$34^2/2))</f>
        <v>0.00569589414149798</v>
      </c>
      <c r="G3033" s="45" t="n">
        <f aca="false">ROUND(C3033*F3033,0)</f>
        <v>2566</v>
      </c>
      <c r="H3033" s="48" t="n">
        <f aca="false">MAX(0,(C3033*'Model Inputs &amp; Assumptions'!$N$34+E3033*'Model Inputs &amp; Assumptions'!$O$34+G3033*'Model Inputs &amp; Assumptions'!$P$34)*EXP('Model Inputs &amp; Assumptions'!$Q$34*S3033-'Model Inputs &amp; Assumptions'!$Q$34^2/2))</f>
        <v>44.5327000325819</v>
      </c>
      <c r="I3033" s="49" t="n">
        <f aca="false">IF('Model Inputs &amp; Assumptions'!$H$34="Fixed",'Model Inputs &amp; Assumptions'!$I$34*'Model Inputs &amp; Assumptions'!$K$34,IF('Model Inputs &amp; Assumptions'!$H$34="CPM",'Model Inputs &amp; Assumptions'!$I$34*'Model Inputs &amp; Assumptions'!$K$34*C3033/1000,IF('Model Inputs &amp; Assumptions'!$H$34="CPC",'Model Inputs &amp; Assumptions'!$I$34*'Model Inputs &amp; Assumptions'!$K$34*G3033,0)))</f>
        <v>4747.1</v>
      </c>
      <c r="J3033" s="50" t="n">
        <f aca="false">H3033*INDEX('Model Inputs &amp; Assumptions'!$D$40:$D$42,MATCH('Model Inputs &amp; Assumptions'!$L$34,'Model Inputs &amp; Assumptions'!$A$40:$A$42,0))*INDEX('Model Inputs &amp; Assumptions'!$H$40:$H$42,MATCH('Model Inputs &amp; Assumptions'!$L$34,'Model Inputs &amp; Assumptions'!$A$40:$A$42,0))</f>
        <v>320635.44023459</v>
      </c>
      <c r="K3033" s="49" t="n">
        <f aca="false">H3033*INDEX('Model Inputs &amp; Assumptions'!$G$40:$G$42,MATCH('Model Inputs &amp; Assumptions'!$L$34,'Model Inputs &amp; Assumptions'!$A$40:$A$42,0))*INDEX('Model Inputs &amp; Assumptions'!$H$40:$H$42,MATCH('Model Inputs &amp; Assumptions'!$L$34,'Model Inputs &amp; Assumptions'!$A$40:$A$42,0))</f>
        <v>7070.01145717271</v>
      </c>
      <c r="L3033" s="51" t="n">
        <f aca="false">IFERROR(K3033/I3033,0)</f>
        <v>1.48933274149959</v>
      </c>
      <c r="M3033" s="49" t="n">
        <f aca="false">IFERROR(I3033/H3033,0)</f>
        <v>106.598072798793</v>
      </c>
      <c r="N3033" s="52" t="str">
        <f aca="false">'Model Inputs &amp; Assumptions'!$L$34</f>
        <v>PRD-USIQ</v>
      </c>
      <c r="P3033" s="53" t="n">
        <v>-0.617463</v>
      </c>
      <c r="Q3033" s="53" t="n">
        <v>-0.552866</v>
      </c>
      <c r="R3033" s="53" t="n">
        <v>-0.198966</v>
      </c>
      <c r="S3033" s="53" t="n">
        <v>-0.709068</v>
      </c>
    </row>
    <row r="3034" customFormat="false" ht="15" hidden="false" customHeight="false" outlineLevel="0" collapsed="false">
      <c r="A3034" s="43" t="n">
        <v>31</v>
      </c>
      <c r="B3034" s="44" t="str">
        <f aca="false">'Model Inputs &amp; Assumptions'!$B$34</f>
        <v>Meta — Lookalike Feed Video</v>
      </c>
      <c r="C3034" s="45" t="n">
        <f aca="false">ROUND(MAX(0,'Model Inputs &amp; Assumptions'!$S$34*EXP('Model Inputs &amp; Assumptions'!$T$34*P3034-'Model Inputs &amp; Assumptions'!$T$34^2/2)),0)</f>
        <v>510512</v>
      </c>
      <c r="D3034" s="46" t="n">
        <f aca="false">MIN(1,'Model Inputs &amp; Assumptions'!$U$34*EXP('Model Inputs &amp; Assumptions'!$V$34*Q3034-'Model Inputs &amp; Assumptions'!$V$34^2/2))</f>
        <v>0.248384996810895</v>
      </c>
      <c r="E3034" s="45" t="n">
        <f aca="false">ROUND(C3034*D3034,0)</f>
        <v>126804</v>
      </c>
      <c r="F3034" s="47" t="n">
        <f aca="false">MIN(1,'Model Inputs &amp; Assumptions'!$W$34*EXP('Model Inputs &amp; Assumptions'!$X$34*R3034-'Model Inputs &amp; Assumptions'!$X$34^2/2))</f>
        <v>0.00645458937778061</v>
      </c>
      <c r="G3034" s="45" t="n">
        <f aca="false">ROUND(C3034*F3034,0)</f>
        <v>3295</v>
      </c>
      <c r="H3034" s="48" t="n">
        <f aca="false">MAX(0,(C3034*'Model Inputs &amp; Assumptions'!$N$34+E3034*'Model Inputs &amp; Assumptions'!$O$34+G3034*'Model Inputs &amp; Assumptions'!$P$34)*EXP('Model Inputs &amp; Assumptions'!$Q$34*S3034-'Model Inputs &amp; Assumptions'!$Q$34^2/2))</f>
        <v>79.1467851413748</v>
      </c>
      <c r="I3034" s="49" t="n">
        <f aca="false">IF('Model Inputs &amp; Assumptions'!$H$34="Fixed",'Model Inputs &amp; Assumptions'!$I$34*'Model Inputs &amp; Assumptions'!$K$34,IF('Model Inputs &amp; Assumptions'!$H$34="CPM",'Model Inputs &amp; Assumptions'!$I$34*'Model Inputs &amp; Assumptions'!$K$34*C3034/1000,IF('Model Inputs &amp; Assumptions'!$H$34="CPC",'Model Inputs &amp; Assumptions'!$I$34*'Model Inputs &amp; Assumptions'!$K$34*G3034,0)))</f>
        <v>6095.75</v>
      </c>
      <c r="J3034" s="50" t="n">
        <f aca="false">H3034*INDEX('Model Inputs &amp; Assumptions'!$D$40:$D$42,MATCH('Model Inputs &amp; Assumptions'!$L$34,'Model Inputs &amp; Assumptions'!$A$40:$A$42,0))*INDEX('Model Inputs &amp; Assumptions'!$H$40:$H$42,MATCH('Model Inputs &amp; Assumptions'!$L$34,'Model Inputs &amp; Assumptions'!$A$40:$A$42,0))</f>
        <v>569856.853017899</v>
      </c>
      <c r="K3034" s="49" t="n">
        <f aca="false">H3034*INDEX('Model Inputs &amp; Assumptions'!$G$40:$G$42,MATCH('Model Inputs &amp; Assumptions'!$L$34,'Model Inputs &amp; Assumptions'!$A$40:$A$42,0))*INDEX('Model Inputs &amp; Assumptions'!$H$40:$H$42,MATCH('Model Inputs &amp; Assumptions'!$L$34,'Model Inputs &amp; Assumptions'!$A$40:$A$42,0))</f>
        <v>12565.3436090447</v>
      </c>
      <c r="L3034" s="51" t="n">
        <f aca="false">IFERROR(K3034/I3034,0)</f>
        <v>2.06132856646757</v>
      </c>
      <c r="M3034" s="49" t="n">
        <f aca="false">IFERROR(I3034/H3034,0)</f>
        <v>77.0182893608572</v>
      </c>
      <c r="N3034" s="52" t="str">
        <f aca="false">'Model Inputs &amp; Assumptions'!$L$34</f>
        <v>PRD-USIQ</v>
      </c>
      <c r="P3034" s="53" t="n">
        <v>0.007924</v>
      </c>
      <c r="Q3034" s="53" t="n">
        <v>0.560629</v>
      </c>
      <c r="R3034" s="53" t="n">
        <v>0.495733</v>
      </c>
      <c r="S3034" s="53" t="n">
        <v>0.284962</v>
      </c>
    </row>
    <row r="3035" customFormat="false" ht="15" hidden="false" customHeight="false" outlineLevel="0" collapsed="false">
      <c r="A3035" s="43" t="n">
        <v>32</v>
      </c>
      <c r="B3035" s="44" t="str">
        <f aca="false">'Model Inputs &amp; Assumptions'!$B$34</f>
        <v>Meta — Lookalike Feed Video</v>
      </c>
      <c r="C3035" s="45" t="n">
        <f aca="false">ROUND(MAX(0,'Model Inputs &amp; Assumptions'!$S$34*EXP('Model Inputs &amp; Assumptions'!$T$34*P3035-'Model Inputs &amp; Assumptions'!$T$34^2/2)),0)</f>
        <v>549401</v>
      </c>
      <c r="D3035" s="46" t="n">
        <f aca="false">MIN(1,'Model Inputs &amp; Assumptions'!$U$34*EXP('Model Inputs &amp; Assumptions'!$V$34*Q3035-'Model Inputs &amp; Assumptions'!$V$34^2/2))</f>
        <v>0.268166127962977</v>
      </c>
      <c r="E3035" s="45" t="n">
        <f aca="false">ROUND(C3035*D3035,0)</f>
        <v>147331</v>
      </c>
      <c r="F3035" s="47" t="n">
        <f aca="false">MIN(1,'Model Inputs &amp; Assumptions'!$W$34*EXP('Model Inputs &amp; Assumptions'!$X$34*R3035-'Model Inputs &amp; Assumptions'!$X$34^2/2))</f>
        <v>0.00537850938193083</v>
      </c>
      <c r="G3035" s="45" t="n">
        <f aca="false">ROUND(C3035*F3035,0)</f>
        <v>2955</v>
      </c>
      <c r="H3035" s="48" t="n">
        <f aca="false">MAX(0,(C3035*'Model Inputs &amp; Assumptions'!$N$34+E3035*'Model Inputs &amp; Assumptions'!$O$34+G3035*'Model Inputs &amp; Assumptions'!$P$34)*EXP('Model Inputs &amp; Assumptions'!$Q$34*S3035-'Model Inputs &amp; Assumptions'!$Q$34^2/2))</f>
        <v>45.6275364708937</v>
      </c>
      <c r="I3035" s="49" t="n">
        <f aca="false">IF('Model Inputs &amp; Assumptions'!$H$34="Fixed",'Model Inputs &amp; Assumptions'!$I$34*'Model Inputs &amp; Assumptions'!$K$34,IF('Model Inputs &amp; Assumptions'!$H$34="CPM",'Model Inputs &amp; Assumptions'!$I$34*'Model Inputs &amp; Assumptions'!$K$34*C3035/1000,IF('Model Inputs &amp; Assumptions'!$H$34="CPC",'Model Inputs &amp; Assumptions'!$I$34*'Model Inputs &amp; Assumptions'!$K$34*G3035,0)))</f>
        <v>5466.75</v>
      </c>
      <c r="J3035" s="50" t="n">
        <f aca="false">H3035*INDEX('Model Inputs &amp; Assumptions'!$D$40:$D$42,MATCH('Model Inputs &amp; Assumptions'!$L$34,'Model Inputs &amp; Assumptions'!$A$40:$A$42,0))*INDEX('Model Inputs &amp; Assumptions'!$H$40:$H$42,MATCH('Model Inputs &amp; Assumptions'!$L$34,'Model Inputs &amp; Assumptions'!$A$40:$A$42,0))</f>
        <v>328518.262590435</v>
      </c>
      <c r="K3035" s="49" t="n">
        <f aca="false">H3035*INDEX('Model Inputs &amp; Assumptions'!$G$40:$G$42,MATCH('Model Inputs &amp; Assumptions'!$L$34,'Model Inputs &amp; Assumptions'!$A$40:$A$42,0))*INDEX('Model Inputs &amp; Assumptions'!$H$40:$H$42,MATCH('Model Inputs &amp; Assumptions'!$L$34,'Model Inputs &amp; Assumptions'!$A$40:$A$42,0))</f>
        <v>7243.82769011908</v>
      </c>
      <c r="L3035" s="51" t="n">
        <f aca="false">IFERROR(K3035/I3035,0)</f>
        <v>1.325070231878</v>
      </c>
      <c r="M3035" s="49" t="n">
        <f aca="false">IFERROR(I3035/H3035,0)</f>
        <v>119.812517239174</v>
      </c>
      <c r="N3035" s="52" t="str">
        <f aca="false">'Model Inputs &amp; Assumptions'!$L$34</f>
        <v>PRD-USIQ</v>
      </c>
      <c r="P3035" s="53" t="n">
        <v>0.375001</v>
      </c>
      <c r="Q3035" s="53" t="n">
        <v>1.039546</v>
      </c>
      <c r="R3035" s="53" t="n">
        <v>-0.51749</v>
      </c>
      <c r="S3035" s="53" t="n">
        <v>-1.216776</v>
      </c>
    </row>
    <row r="3036" customFormat="false" ht="15" hidden="false" customHeight="false" outlineLevel="0" collapsed="false">
      <c r="A3036" s="43" t="n">
        <v>33</v>
      </c>
      <c r="B3036" s="44" t="str">
        <f aca="false">'Model Inputs &amp; Assumptions'!$B$34</f>
        <v>Meta — Lookalike Feed Video</v>
      </c>
      <c r="C3036" s="45" t="n">
        <f aca="false">ROUND(MAX(0,'Model Inputs &amp; Assumptions'!$S$34*EXP('Model Inputs &amp; Assumptions'!$T$34*P3036-'Model Inputs &amp; Assumptions'!$T$34^2/2)),0)</f>
        <v>595354</v>
      </c>
      <c r="D3036" s="46" t="n">
        <f aca="false">MIN(1,'Model Inputs &amp; Assumptions'!$U$34*EXP('Model Inputs &amp; Assumptions'!$V$34*Q3036-'Model Inputs &amp; Assumptions'!$V$34^2/2))</f>
        <v>0.207951572676539</v>
      </c>
      <c r="E3036" s="45" t="n">
        <f aca="false">ROUND(C3036*D3036,0)</f>
        <v>123805</v>
      </c>
      <c r="F3036" s="47" t="n">
        <f aca="false">MIN(1,'Model Inputs &amp; Assumptions'!$W$34*EXP('Model Inputs &amp; Assumptions'!$X$34*R3036-'Model Inputs &amp; Assumptions'!$X$34^2/2))</f>
        <v>0.00652691207912803</v>
      </c>
      <c r="G3036" s="45" t="n">
        <f aca="false">ROUND(C3036*F3036,0)</f>
        <v>3886</v>
      </c>
      <c r="H3036" s="48" t="n">
        <f aca="false">MAX(0,(C3036*'Model Inputs &amp; Assumptions'!$N$34+E3036*'Model Inputs &amp; Assumptions'!$O$34+G3036*'Model Inputs &amp; Assumptions'!$P$34)*EXP('Model Inputs &amp; Assumptions'!$Q$34*S3036-'Model Inputs &amp; Assumptions'!$Q$34^2/2))</f>
        <v>116.890179584174</v>
      </c>
      <c r="I3036" s="49" t="n">
        <f aca="false">IF('Model Inputs &amp; Assumptions'!$H$34="Fixed",'Model Inputs &amp; Assumptions'!$I$34*'Model Inputs &amp; Assumptions'!$K$34,IF('Model Inputs &amp; Assumptions'!$H$34="CPM",'Model Inputs &amp; Assumptions'!$I$34*'Model Inputs &amp; Assumptions'!$K$34*C3036/1000,IF('Model Inputs &amp; Assumptions'!$H$34="CPC",'Model Inputs &amp; Assumptions'!$I$34*'Model Inputs &amp; Assumptions'!$K$34*G3036,0)))</f>
        <v>7189.1</v>
      </c>
      <c r="J3036" s="50" t="n">
        <f aca="false">H3036*INDEX('Model Inputs &amp; Assumptions'!$D$40:$D$42,MATCH('Model Inputs &amp; Assumptions'!$L$34,'Model Inputs &amp; Assumptions'!$A$40:$A$42,0))*INDEX('Model Inputs &amp; Assumptions'!$H$40:$H$42,MATCH('Model Inputs &amp; Assumptions'!$L$34,'Model Inputs &amp; Assumptions'!$A$40:$A$42,0))</f>
        <v>841609.293006049</v>
      </c>
      <c r="K3036" s="49" t="n">
        <f aca="false">H3036*INDEX('Model Inputs &amp; Assumptions'!$G$40:$G$42,MATCH('Model Inputs &amp; Assumptions'!$L$34,'Model Inputs &amp; Assumptions'!$A$40:$A$42,0))*INDEX('Model Inputs &amp; Assumptions'!$H$40:$H$42,MATCH('Model Inputs &amp; Assumptions'!$L$34,'Model Inputs &amp; Assumptions'!$A$40:$A$42,0))</f>
        <v>18557.4849107834</v>
      </c>
      <c r="L3036" s="51" t="n">
        <f aca="false">IFERROR(K3036/I3036,0)</f>
        <v>2.5813363161986</v>
      </c>
      <c r="M3036" s="49" t="n">
        <f aca="false">IFERROR(I3036/H3036,0)</f>
        <v>61.5030281035977</v>
      </c>
      <c r="N3036" s="52" t="str">
        <f aca="false">'Model Inputs &amp; Assumptions'!$L$34</f>
        <v>PRD-USIQ</v>
      </c>
      <c r="P3036" s="53" t="n">
        <v>0.776633</v>
      </c>
      <c r="Q3036" s="53" t="n">
        <v>-0.549838</v>
      </c>
      <c r="R3036" s="53" t="n">
        <v>0.557636</v>
      </c>
      <c r="S3036" s="53" t="n">
        <v>1.060548</v>
      </c>
    </row>
    <row r="3037" customFormat="false" ht="15" hidden="false" customHeight="false" outlineLevel="0" collapsed="false">
      <c r="A3037" s="43" t="n">
        <v>34</v>
      </c>
      <c r="B3037" s="44" t="str">
        <f aca="false">'Model Inputs &amp; Assumptions'!$B$34</f>
        <v>Meta — Lookalike Feed Video</v>
      </c>
      <c r="C3037" s="45" t="n">
        <f aca="false">ROUND(MAX(0,'Model Inputs &amp; Assumptions'!$S$34*EXP('Model Inputs &amp; Assumptions'!$T$34*P3037-'Model Inputs &amp; Assumptions'!$T$34^2/2)),0)</f>
        <v>573219</v>
      </c>
      <c r="D3037" s="46" t="n">
        <f aca="false">MIN(1,'Model Inputs &amp; Assumptions'!$U$34*EXP('Model Inputs &amp; Assumptions'!$V$34*Q3037-'Model Inputs &amp; Assumptions'!$V$34^2/2))</f>
        <v>0.230978785564923</v>
      </c>
      <c r="E3037" s="45" t="n">
        <f aca="false">ROUND(C3037*D3037,0)</f>
        <v>132401</v>
      </c>
      <c r="F3037" s="47" t="n">
        <f aca="false">MIN(1,'Model Inputs &amp; Assumptions'!$W$34*EXP('Model Inputs &amp; Assumptions'!$X$34*R3037-'Model Inputs &amp; Assumptions'!$X$34^2/2))</f>
        <v>0.00486299045786192</v>
      </c>
      <c r="G3037" s="45" t="n">
        <f aca="false">ROUND(C3037*F3037,0)</f>
        <v>2788</v>
      </c>
      <c r="H3037" s="48" t="n">
        <f aca="false">MAX(0,(C3037*'Model Inputs &amp; Assumptions'!$N$34+E3037*'Model Inputs &amp; Assumptions'!$O$34+G3037*'Model Inputs &amp; Assumptions'!$P$34)*EXP('Model Inputs &amp; Assumptions'!$Q$34*S3037-'Model Inputs &amp; Assumptions'!$Q$34^2/2))</f>
        <v>70.6355238897674</v>
      </c>
      <c r="I3037" s="49" t="n">
        <f aca="false">IF('Model Inputs &amp; Assumptions'!$H$34="Fixed",'Model Inputs &amp; Assumptions'!$I$34*'Model Inputs &amp; Assumptions'!$K$34,IF('Model Inputs &amp; Assumptions'!$H$34="CPM",'Model Inputs &amp; Assumptions'!$I$34*'Model Inputs &amp; Assumptions'!$K$34*C3037/1000,IF('Model Inputs &amp; Assumptions'!$H$34="CPC",'Model Inputs &amp; Assumptions'!$I$34*'Model Inputs &amp; Assumptions'!$K$34*G3037,0)))</f>
        <v>5157.8</v>
      </c>
      <c r="J3037" s="50" t="n">
        <f aca="false">H3037*INDEX('Model Inputs &amp; Assumptions'!$D$40:$D$42,MATCH('Model Inputs &amp; Assumptions'!$L$34,'Model Inputs &amp; Assumptions'!$A$40:$A$42,0))*INDEX('Model Inputs &amp; Assumptions'!$H$40:$H$42,MATCH('Model Inputs &amp; Assumptions'!$L$34,'Model Inputs &amp; Assumptions'!$A$40:$A$42,0))</f>
        <v>508575.772006325</v>
      </c>
      <c r="K3037" s="49" t="n">
        <f aca="false">H3037*INDEX('Model Inputs &amp; Assumptions'!$G$40:$G$42,MATCH('Model Inputs &amp; Assumptions'!$L$34,'Model Inputs &amp; Assumptions'!$A$40:$A$42,0))*INDEX('Model Inputs &amp; Assumptions'!$H$40:$H$42,MATCH('Model Inputs &amp; Assumptions'!$L$34,'Model Inputs &amp; Assumptions'!$A$40:$A$42,0))</f>
        <v>11214.0957727395</v>
      </c>
      <c r="L3037" s="51" t="n">
        <f aca="false">IFERROR(K3037/I3037,0)</f>
        <v>2.17420135963773</v>
      </c>
      <c r="M3037" s="49" t="n">
        <f aca="false">IFERROR(I3037/H3037,0)</f>
        <v>73.0199157020365</v>
      </c>
      <c r="N3037" s="52" t="str">
        <f aca="false">'Model Inputs &amp; Assumptions'!$L$34</f>
        <v>PRD-USIQ</v>
      </c>
      <c r="P3037" s="53" t="n">
        <v>0.587196</v>
      </c>
      <c r="Q3037" s="53" t="n">
        <v>0.106541</v>
      </c>
      <c r="R3037" s="53" t="n">
        <v>-1.077255</v>
      </c>
      <c r="S3037" s="53" t="n">
        <v>0.355494</v>
      </c>
    </row>
    <row r="3038" customFormat="false" ht="15" hidden="false" customHeight="false" outlineLevel="0" collapsed="false">
      <c r="A3038" s="43" t="n">
        <v>35</v>
      </c>
      <c r="B3038" s="44" t="str">
        <f aca="false">'Model Inputs &amp; Assumptions'!$B$34</f>
        <v>Meta — Lookalike Feed Video</v>
      </c>
      <c r="C3038" s="45" t="n">
        <f aca="false">ROUND(MAX(0,'Model Inputs &amp; Assumptions'!$S$34*EXP('Model Inputs &amp; Assumptions'!$T$34*P3038-'Model Inputs &amp; Assumptions'!$T$34^2/2)),0)</f>
        <v>600825</v>
      </c>
      <c r="D3038" s="46" t="n">
        <f aca="false">MIN(1,'Model Inputs &amp; Assumptions'!$U$34*EXP('Model Inputs &amp; Assumptions'!$V$34*Q3038-'Model Inputs &amp; Assumptions'!$V$34^2/2))</f>
        <v>0.22493967809924</v>
      </c>
      <c r="E3038" s="45" t="n">
        <f aca="false">ROUND(C3038*D3038,0)</f>
        <v>135149</v>
      </c>
      <c r="F3038" s="47" t="n">
        <f aca="false">MIN(1,'Model Inputs &amp; Assumptions'!$W$34*EXP('Model Inputs &amp; Assumptions'!$X$34*R3038-'Model Inputs &amp; Assumptions'!$X$34^2/2))</f>
        <v>0.00561103609264477</v>
      </c>
      <c r="G3038" s="45" t="n">
        <f aca="false">ROUND(C3038*F3038,0)</f>
        <v>3371</v>
      </c>
      <c r="H3038" s="48" t="n">
        <f aca="false">MAX(0,(C3038*'Model Inputs &amp; Assumptions'!$N$34+E3038*'Model Inputs &amp; Assumptions'!$O$34+G3038*'Model Inputs &amp; Assumptions'!$P$34)*EXP('Model Inputs &amp; Assumptions'!$Q$34*S3038-'Model Inputs &amp; Assumptions'!$Q$34^2/2))</f>
        <v>89.6499774403748</v>
      </c>
      <c r="I3038" s="49" t="n">
        <f aca="false">IF('Model Inputs &amp; Assumptions'!$H$34="Fixed",'Model Inputs &amp; Assumptions'!$I$34*'Model Inputs &amp; Assumptions'!$K$34,IF('Model Inputs &amp; Assumptions'!$H$34="CPM",'Model Inputs &amp; Assumptions'!$I$34*'Model Inputs &amp; Assumptions'!$K$34*C3038/1000,IF('Model Inputs &amp; Assumptions'!$H$34="CPC",'Model Inputs &amp; Assumptions'!$I$34*'Model Inputs &amp; Assumptions'!$K$34*G3038,0)))</f>
        <v>6236.35</v>
      </c>
      <c r="J3038" s="50" t="n">
        <f aca="false">H3038*INDEX('Model Inputs &amp; Assumptions'!$D$40:$D$42,MATCH('Model Inputs &amp; Assumptions'!$L$34,'Model Inputs &amp; Assumptions'!$A$40:$A$42,0))*INDEX('Model Inputs &amp; Assumptions'!$H$40:$H$42,MATCH('Model Inputs &amp; Assumptions'!$L$34,'Model Inputs &amp; Assumptions'!$A$40:$A$42,0))</f>
        <v>645479.837570698</v>
      </c>
      <c r="K3038" s="49" t="n">
        <f aca="false">H3038*INDEX('Model Inputs &amp; Assumptions'!$G$40:$G$42,MATCH('Model Inputs &amp; Assumptions'!$L$34,'Model Inputs &amp; Assumptions'!$A$40:$A$42,0))*INDEX('Model Inputs &amp; Assumptions'!$H$40:$H$42,MATCH('Model Inputs &amp; Assumptions'!$L$34,'Model Inputs &amp; Assumptions'!$A$40:$A$42,0))</f>
        <v>14232.8304184339</v>
      </c>
      <c r="L3038" s="51" t="n">
        <f aca="false">IFERROR(K3038/I3038,0)</f>
        <v>2.28223727315399</v>
      </c>
      <c r="M3038" s="49" t="n">
        <f aca="false">IFERROR(I3038/H3038,0)</f>
        <v>69.5633192339366</v>
      </c>
      <c r="N3038" s="52" t="str">
        <f aca="false">'Model Inputs &amp; Assumptions'!$L$34</f>
        <v>PRD-USIQ</v>
      </c>
      <c r="P3038" s="53" t="n">
        <v>0.822376</v>
      </c>
      <c r="Q3038" s="53" t="n">
        <v>-0.059044</v>
      </c>
      <c r="R3038" s="53" t="n">
        <v>-0.282356</v>
      </c>
      <c r="S3038" s="53" t="n">
        <v>0.585735</v>
      </c>
    </row>
    <row r="3039" customFormat="false" ht="15" hidden="false" customHeight="false" outlineLevel="0" collapsed="false">
      <c r="A3039" s="43" t="n">
        <v>36</v>
      </c>
      <c r="B3039" s="44" t="str">
        <f aca="false">'Model Inputs &amp; Assumptions'!$B$34</f>
        <v>Meta — Lookalike Feed Video</v>
      </c>
      <c r="C3039" s="45" t="n">
        <f aca="false">ROUND(MAX(0,'Model Inputs &amp; Assumptions'!$S$34*EXP('Model Inputs &amp; Assumptions'!$T$34*P3039-'Model Inputs &amp; Assumptions'!$T$34^2/2)),0)</f>
        <v>495006</v>
      </c>
      <c r="D3039" s="46" t="n">
        <f aca="false">MIN(1,'Model Inputs &amp; Assumptions'!$U$34*EXP('Model Inputs &amp; Assumptions'!$V$34*Q3039-'Model Inputs &amp; Assumptions'!$V$34^2/2))</f>
        <v>0.233627944428882</v>
      </c>
      <c r="E3039" s="45" t="n">
        <f aca="false">ROUND(C3039*D3039,0)</f>
        <v>115647</v>
      </c>
      <c r="F3039" s="47" t="n">
        <f aca="false">MIN(1,'Model Inputs &amp; Assumptions'!$W$34*EXP('Model Inputs &amp; Assumptions'!$X$34*R3039-'Model Inputs &amp; Assumptions'!$X$34^2/2))</f>
        <v>0.0055865128278634</v>
      </c>
      <c r="G3039" s="45" t="n">
        <f aca="false">ROUND(C3039*F3039,0)</f>
        <v>2765</v>
      </c>
      <c r="H3039" s="48" t="n">
        <f aca="false">MAX(0,(C3039*'Model Inputs &amp; Assumptions'!$N$34+E3039*'Model Inputs &amp; Assumptions'!$O$34+G3039*'Model Inputs &amp; Assumptions'!$P$34)*EXP('Model Inputs &amp; Assumptions'!$Q$34*S3039-'Model Inputs &amp; Assumptions'!$Q$34^2/2))</f>
        <v>84.736850900473</v>
      </c>
      <c r="I3039" s="49" t="n">
        <f aca="false">IF('Model Inputs &amp; Assumptions'!$H$34="Fixed",'Model Inputs &amp; Assumptions'!$I$34*'Model Inputs &amp; Assumptions'!$K$34,IF('Model Inputs &amp; Assumptions'!$H$34="CPM",'Model Inputs &amp; Assumptions'!$I$34*'Model Inputs &amp; Assumptions'!$K$34*C3039/1000,IF('Model Inputs &amp; Assumptions'!$H$34="CPC",'Model Inputs &amp; Assumptions'!$I$34*'Model Inputs &amp; Assumptions'!$K$34*G3039,0)))</f>
        <v>5115.25</v>
      </c>
      <c r="J3039" s="50" t="n">
        <f aca="false">H3039*INDEX('Model Inputs &amp; Assumptions'!$D$40:$D$42,MATCH('Model Inputs &amp; Assumptions'!$L$34,'Model Inputs &amp; Assumptions'!$A$40:$A$42,0))*INDEX('Model Inputs &amp; Assumptions'!$H$40:$H$42,MATCH('Model Inputs &amp; Assumptions'!$L$34,'Model Inputs &amp; Assumptions'!$A$40:$A$42,0))</f>
        <v>610105.326483406</v>
      </c>
      <c r="K3039" s="49" t="n">
        <f aca="false">H3039*INDEX('Model Inputs &amp; Assumptions'!$G$40:$G$42,MATCH('Model Inputs &amp; Assumptions'!$L$34,'Model Inputs &amp; Assumptions'!$A$40:$A$42,0))*INDEX('Model Inputs &amp; Assumptions'!$H$40:$H$42,MATCH('Model Inputs &amp; Assumptions'!$L$34,'Model Inputs &amp; Assumptions'!$A$40:$A$42,0))</f>
        <v>13452.8224489591</v>
      </c>
      <c r="L3039" s="51" t="n">
        <f aca="false">IFERROR(K3039/I3039,0)</f>
        <v>2.6299442742699</v>
      </c>
      <c r="M3039" s="49" t="n">
        <f aca="false">IFERROR(I3039/H3039,0)</f>
        <v>60.3662980821423</v>
      </c>
      <c r="N3039" s="52" t="str">
        <f aca="false">'Model Inputs &amp; Assumptions'!$L$34</f>
        <v>PRD-USIQ</v>
      </c>
      <c r="P3039" s="53" t="n">
        <v>-0.146296</v>
      </c>
      <c r="Q3039" s="53" t="n">
        <v>0.177816</v>
      </c>
      <c r="R3039" s="53" t="n">
        <v>-0.30669</v>
      </c>
      <c r="S3039" s="53" t="n">
        <v>1.01026</v>
      </c>
    </row>
    <row r="3040" customFormat="false" ht="15" hidden="false" customHeight="false" outlineLevel="0" collapsed="false">
      <c r="A3040" s="43" t="n">
        <v>37</v>
      </c>
      <c r="B3040" s="44" t="str">
        <f aca="false">'Model Inputs &amp; Assumptions'!$B$34</f>
        <v>Meta — Lookalike Feed Video</v>
      </c>
      <c r="C3040" s="45" t="n">
        <f aca="false">ROUND(MAX(0,'Model Inputs &amp; Assumptions'!$S$34*EXP('Model Inputs &amp; Assumptions'!$T$34*P3040-'Model Inputs &amp; Assumptions'!$T$34^2/2)),0)</f>
        <v>564182</v>
      </c>
      <c r="D3040" s="46" t="n">
        <f aca="false">MIN(1,'Model Inputs &amp; Assumptions'!$U$34*EXP('Model Inputs &amp; Assumptions'!$V$34*Q3040-'Model Inputs &amp; Assumptions'!$V$34^2/2))</f>
        <v>0.19701145394945</v>
      </c>
      <c r="E3040" s="45" t="n">
        <f aca="false">ROUND(C3040*D3040,0)</f>
        <v>111150</v>
      </c>
      <c r="F3040" s="47" t="n">
        <f aca="false">MIN(1,'Model Inputs &amp; Assumptions'!$W$34*EXP('Model Inputs &amp; Assumptions'!$X$34*R3040-'Model Inputs &amp; Assumptions'!$X$34^2/2))</f>
        <v>0.00615833007595706</v>
      </c>
      <c r="G3040" s="45" t="n">
        <f aca="false">ROUND(C3040*F3040,0)</f>
        <v>3474</v>
      </c>
      <c r="H3040" s="48" t="n">
        <f aca="false">MAX(0,(C3040*'Model Inputs &amp; Assumptions'!$N$34+E3040*'Model Inputs &amp; Assumptions'!$O$34+G3040*'Model Inputs &amp; Assumptions'!$P$34)*EXP('Model Inputs &amp; Assumptions'!$Q$34*S3040-'Model Inputs &amp; Assumptions'!$Q$34^2/2))</f>
        <v>85.1578881163716</v>
      </c>
      <c r="I3040" s="49" t="n">
        <f aca="false">IF('Model Inputs &amp; Assumptions'!$H$34="Fixed",'Model Inputs &amp; Assumptions'!$I$34*'Model Inputs &amp; Assumptions'!$K$34,IF('Model Inputs &amp; Assumptions'!$H$34="CPM",'Model Inputs &amp; Assumptions'!$I$34*'Model Inputs &amp; Assumptions'!$K$34*C3040/1000,IF('Model Inputs &amp; Assumptions'!$H$34="CPC",'Model Inputs &amp; Assumptions'!$I$34*'Model Inputs &amp; Assumptions'!$K$34*G3040,0)))</f>
        <v>6426.9</v>
      </c>
      <c r="J3040" s="50" t="n">
        <f aca="false">H3040*INDEX('Model Inputs &amp; Assumptions'!$D$40:$D$42,MATCH('Model Inputs &amp; Assumptions'!$L$34,'Model Inputs &amp; Assumptions'!$A$40:$A$42,0))*INDEX('Model Inputs &amp; Assumptions'!$H$40:$H$42,MATCH('Model Inputs &amp; Assumptions'!$L$34,'Model Inputs &amp; Assumptions'!$A$40:$A$42,0))</f>
        <v>613136.794437876</v>
      </c>
      <c r="K3040" s="49" t="n">
        <f aca="false">H3040*INDEX('Model Inputs &amp; Assumptions'!$G$40:$G$42,MATCH('Model Inputs &amp; Assumptions'!$L$34,'Model Inputs &amp; Assumptions'!$A$40:$A$42,0))*INDEX('Model Inputs &amp; Assumptions'!$H$40:$H$42,MATCH('Model Inputs &amp; Assumptions'!$L$34,'Model Inputs &amp; Assumptions'!$A$40:$A$42,0))</f>
        <v>13519.6663173552</v>
      </c>
      <c r="L3040" s="51" t="n">
        <f aca="false">IFERROR(K3040/I3040,0)</f>
        <v>2.10360614251897</v>
      </c>
      <c r="M3040" s="49" t="n">
        <f aca="false">IFERROR(I3040/H3040,0)</f>
        <v>75.4704014173929</v>
      </c>
      <c r="N3040" s="52" t="str">
        <f aca="false">'Model Inputs &amp; Assumptions'!$L$34</f>
        <v>PRD-USIQ</v>
      </c>
      <c r="P3040" s="53" t="n">
        <v>0.50774</v>
      </c>
      <c r="Q3040" s="53" t="n">
        <v>-0.887609</v>
      </c>
      <c r="R3040" s="53" t="n">
        <v>0.234701</v>
      </c>
      <c r="S3040" s="53" t="n">
        <v>0.419501</v>
      </c>
    </row>
    <row r="3041" customFormat="false" ht="15" hidden="false" customHeight="false" outlineLevel="0" collapsed="false">
      <c r="A3041" s="43" t="n">
        <v>38</v>
      </c>
      <c r="B3041" s="44" t="str">
        <f aca="false">'Model Inputs &amp; Assumptions'!$B$34</f>
        <v>Meta — Lookalike Feed Video</v>
      </c>
      <c r="C3041" s="45" t="n">
        <f aca="false">ROUND(MAX(0,'Model Inputs &amp; Assumptions'!$S$34*EXP('Model Inputs &amp; Assumptions'!$T$34*P3041-'Model Inputs &amp; Assumptions'!$T$34^2/2)),0)</f>
        <v>411429</v>
      </c>
      <c r="D3041" s="46" t="n">
        <f aca="false">MIN(1,'Model Inputs &amp; Assumptions'!$U$34*EXP('Model Inputs &amp; Assumptions'!$V$34*Q3041-'Model Inputs &amp; Assumptions'!$V$34^2/2))</f>
        <v>0.218525420542293</v>
      </c>
      <c r="E3041" s="45" t="n">
        <f aca="false">ROUND(C3041*D3041,0)</f>
        <v>89908</v>
      </c>
      <c r="F3041" s="47" t="n">
        <f aca="false">MIN(1,'Model Inputs &amp; Assumptions'!$W$34*EXP('Model Inputs &amp; Assumptions'!$X$34*R3041-'Model Inputs &amp; Assumptions'!$X$34^2/2))</f>
        <v>0.00492162819267359</v>
      </c>
      <c r="G3041" s="45" t="n">
        <f aca="false">ROUND(C3041*F3041,0)</f>
        <v>2025</v>
      </c>
      <c r="H3041" s="48" t="n">
        <f aca="false">MAX(0,(C3041*'Model Inputs &amp; Assumptions'!$N$34+E3041*'Model Inputs &amp; Assumptions'!$O$34+G3041*'Model Inputs &amp; Assumptions'!$P$34)*EXP('Model Inputs &amp; Assumptions'!$Q$34*S3041-'Model Inputs &amp; Assumptions'!$Q$34^2/2))</f>
        <v>85.6519205964608</v>
      </c>
      <c r="I3041" s="49" t="n">
        <f aca="false">IF('Model Inputs &amp; Assumptions'!$H$34="Fixed",'Model Inputs &amp; Assumptions'!$I$34*'Model Inputs &amp; Assumptions'!$K$34,IF('Model Inputs &amp; Assumptions'!$H$34="CPM",'Model Inputs &amp; Assumptions'!$I$34*'Model Inputs &amp; Assumptions'!$K$34*C3041/1000,IF('Model Inputs &amp; Assumptions'!$H$34="CPC",'Model Inputs &amp; Assumptions'!$I$34*'Model Inputs &amp; Assumptions'!$K$34*G3041,0)))</f>
        <v>3746.25</v>
      </c>
      <c r="J3041" s="50" t="n">
        <f aca="false">H3041*INDEX('Model Inputs &amp; Assumptions'!$D$40:$D$42,MATCH('Model Inputs &amp; Assumptions'!$L$34,'Model Inputs &amp; Assumptions'!$A$40:$A$42,0))*INDEX('Model Inputs &amp; Assumptions'!$H$40:$H$42,MATCH('Model Inputs &amp; Assumptions'!$L$34,'Model Inputs &amp; Assumptions'!$A$40:$A$42,0))</f>
        <v>616693.828294518</v>
      </c>
      <c r="K3041" s="49" t="n">
        <f aca="false">H3041*INDEX('Model Inputs &amp; Assumptions'!$G$40:$G$42,MATCH('Model Inputs &amp; Assumptions'!$L$34,'Model Inputs &amp; Assumptions'!$A$40:$A$42,0))*INDEX('Model Inputs &amp; Assumptions'!$H$40:$H$42,MATCH('Model Inputs &amp; Assumptions'!$L$34,'Model Inputs &amp; Assumptions'!$A$40:$A$42,0))</f>
        <v>13598.0989138941</v>
      </c>
      <c r="L3041" s="51" t="n">
        <f aca="false">IFERROR(K3041/I3041,0)</f>
        <v>3.62978949987164</v>
      </c>
      <c r="M3041" s="49" t="n">
        <f aca="false">IFERROR(I3041/H3041,0)</f>
        <v>43.7380735179311</v>
      </c>
      <c r="N3041" s="52" t="str">
        <f aca="false">'Model Inputs &amp; Assumptions'!$L$34</f>
        <v>PRD-USIQ</v>
      </c>
      <c r="P3041" s="53" t="n">
        <v>-1.070958</v>
      </c>
      <c r="Q3041" s="53" t="n">
        <v>-0.239856</v>
      </c>
      <c r="R3041" s="53" t="n">
        <v>-1.010667</v>
      </c>
      <c r="S3041" s="53" t="n">
        <v>1.989733</v>
      </c>
    </row>
    <row r="3042" customFormat="false" ht="15" hidden="false" customHeight="false" outlineLevel="0" collapsed="false">
      <c r="A3042" s="43" t="n">
        <v>39</v>
      </c>
      <c r="B3042" s="44" t="str">
        <f aca="false">'Model Inputs &amp; Assumptions'!$B$34</f>
        <v>Meta — Lookalike Feed Video</v>
      </c>
      <c r="C3042" s="45" t="n">
        <f aca="false">ROUND(MAX(0,'Model Inputs &amp; Assumptions'!$S$34*EXP('Model Inputs &amp; Assumptions'!$T$34*P3042-'Model Inputs &amp; Assumptions'!$T$34^2/2)),0)</f>
        <v>501386</v>
      </c>
      <c r="D3042" s="46" t="n">
        <f aca="false">MIN(1,'Model Inputs &amp; Assumptions'!$U$34*EXP('Model Inputs &amp; Assumptions'!$V$34*Q3042-'Model Inputs &amp; Assumptions'!$V$34^2/2))</f>
        <v>0.242280568585903</v>
      </c>
      <c r="E3042" s="45" t="n">
        <f aca="false">ROUND(C3042*D3042,0)</f>
        <v>121476</v>
      </c>
      <c r="F3042" s="47" t="n">
        <f aca="false">MIN(1,'Model Inputs &amp; Assumptions'!$W$34*EXP('Model Inputs &amp; Assumptions'!$X$34*R3042-'Model Inputs &amp; Assumptions'!$X$34^2/2))</f>
        <v>0.00547940264826912</v>
      </c>
      <c r="G3042" s="45" t="n">
        <f aca="false">ROUND(C3042*F3042,0)</f>
        <v>2747</v>
      </c>
      <c r="H3042" s="48" t="n">
        <f aca="false">MAX(0,(C3042*'Model Inputs &amp; Assumptions'!$N$34+E3042*'Model Inputs &amp; Assumptions'!$O$34+G3042*'Model Inputs &amp; Assumptions'!$P$34)*EXP('Model Inputs &amp; Assumptions'!$Q$34*S3042-'Model Inputs &amp; Assumptions'!$Q$34^2/2))</f>
        <v>52.0317213250658</v>
      </c>
      <c r="I3042" s="49" t="n">
        <f aca="false">IF('Model Inputs &amp; Assumptions'!$H$34="Fixed",'Model Inputs &amp; Assumptions'!$I$34*'Model Inputs &amp; Assumptions'!$K$34,IF('Model Inputs &amp; Assumptions'!$H$34="CPM",'Model Inputs &amp; Assumptions'!$I$34*'Model Inputs &amp; Assumptions'!$K$34*C3042/1000,IF('Model Inputs &amp; Assumptions'!$H$34="CPC",'Model Inputs &amp; Assumptions'!$I$34*'Model Inputs &amp; Assumptions'!$K$34*G3042,0)))</f>
        <v>5081.95</v>
      </c>
      <c r="J3042" s="50" t="n">
        <f aca="false">H3042*INDEX('Model Inputs &amp; Assumptions'!$D$40:$D$42,MATCH('Model Inputs &amp; Assumptions'!$L$34,'Model Inputs &amp; Assumptions'!$A$40:$A$42,0))*INDEX('Model Inputs &amp; Assumptions'!$H$40:$H$42,MATCH('Model Inputs &amp; Assumptions'!$L$34,'Model Inputs &amp; Assumptions'!$A$40:$A$42,0))</f>
        <v>374628.393540474</v>
      </c>
      <c r="K3042" s="49" t="n">
        <f aca="false">H3042*INDEX('Model Inputs &amp; Assumptions'!$G$40:$G$42,MATCH('Model Inputs &amp; Assumptions'!$L$34,'Model Inputs &amp; Assumptions'!$A$40:$A$42,0))*INDEX('Model Inputs &amp; Assumptions'!$H$40:$H$42,MATCH('Model Inputs &amp; Assumptions'!$L$34,'Model Inputs &amp; Assumptions'!$A$40:$A$42,0))</f>
        <v>8260.55607756745</v>
      </c>
      <c r="L3042" s="51" t="n">
        <f aca="false">IFERROR(K3042/I3042,0)</f>
        <v>1.62546976604796</v>
      </c>
      <c r="M3042" s="49" t="n">
        <f aca="false">IFERROR(I3042/H3042,0)</f>
        <v>97.6702263653886</v>
      </c>
      <c r="N3042" s="52" t="str">
        <f aca="false">'Model Inputs &amp; Assumptions'!$L$34</f>
        <v>PRD-USIQ</v>
      </c>
      <c r="P3042" s="53" t="n">
        <v>-0.082262</v>
      </c>
      <c r="Q3042" s="53" t="n">
        <v>0.405107</v>
      </c>
      <c r="R3042" s="53" t="n">
        <v>-0.414241</v>
      </c>
      <c r="S3042" s="53" t="n">
        <v>-0.518936</v>
      </c>
    </row>
    <row r="3043" customFormat="false" ht="15" hidden="false" customHeight="false" outlineLevel="0" collapsed="false">
      <c r="A3043" s="43" t="n">
        <v>40</v>
      </c>
      <c r="B3043" s="44" t="str">
        <f aca="false">'Model Inputs &amp; Assumptions'!$B$34</f>
        <v>Meta — Lookalike Feed Video</v>
      </c>
      <c r="C3043" s="45" t="n">
        <f aca="false">ROUND(MAX(0,'Model Inputs &amp; Assumptions'!$S$34*EXP('Model Inputs &amp; Assumptions'!$T$34*P3043-'Model Inputs &amp; Assumptions'!$T$34^2/2)),0)</f>
        <v>478201</v>
      </c>
      <c r="D3043" s="46" t="n">
        <f aca="false">MIN(1,'Model Inputs &amp; Assumptions'!$U$34*EXP('Model Inputs &amp; Assumptions'!$V$34*Q3043-'Model Inputs &amp; Assumptions'!$V$34^2/2))</f>
        <v>0.182760418928092</v>
      </c>
      <c r="E3043" s="45" t="n">
        <f aca="false">ROUND(C3043*D3043,0)</f>
        <v>87396</v>
      </c>
      <c r="F3043" s="47" t="n">
        <f aca="false">MIN(1,'Model Inputs &amp; Assumptions'!$W$34*EXP('Model Inputs &amp; Assumptions'!$X$34*R3043-'Model Inputs &amp; Assumptions'!$X$34^2/2))</f>
        <v>0.00541642470480663</v>
      </c>
      <c r="G3043" s="45" t="n">
        <f aca="false">ROUND(C3043*F3043,0)</f>
        <v>2590</v>
      </c>
      <c r="H3043" s="48" t="n">
        <f aca="false">MAX(0,(C3043*'Model Inputs &amp; Assumptions'!$N$34+E3043*'Model Inputs &amp; Assumptions'!$O$34+G3043*'Model Inputs &amp; Assumptions'!$P$34)*EXP('Model Inputs &amp; Assumptions'!$Q$34*S3043-'Model Inputs &amp; Assumptions'!$Q$34^2/2))</f>
        <v>54.1500766140384</v>
      </c>
      <c r="I3043" s="49" t="n">
        <f aca="false">IF('Model Inputs &amp; Assumptions'!$H$34="Fixed",'Model Inputs &amp; Assumptions'!$I$34*'Model Inputs &amp; Assumptions'!$K$34,IF('Model Inputs &amp; Assumptions'!$H$34="CPM",'Model Inputs &amp; Assumptions'!$I$34*'Model Inputs &amp; Assumptions'!$K$34*C3043/1000,IF('Model Inputs &amp; Assumptions'!$H$34="CPC",'Model Inputs &amp; Assumptions'!$I$34*'Model Inputs &amp; Assumptions'!$K$34*G3043,0)))</f>
        <v>4791.5</v>
      </c>
      <c r="J3043" s="50" t="n">
        <f aca="false">H3043*INDEX('Model Inputs &amp; Assumptions'!$D$40:$D$42,MATCH('Model Inputs &amp; Assumptions'!$L$34,'Model Inputs &amp; Assumptions'!$A$40:$A$42,0))*INDEX('Model Inputs &amp; Assumptions'!$H$40:$H$42,MATCH('Model Inputs &amp; Assumptions'!$L$34,'Model Inputs &amp; Assumptions'!$A$40:$A$42,0))</f>
        <v>389880.551621077</v>
      </c>
      <c r="K3043" s="49" t="n">
        <f aca="false">H3043*INDEX('Model Inputs &amp; Assumptions'!$G$40:$G$42,MATCH('Model Inputs &amp; Assumptions'!$L$34,'Model Inputs &amp; Assumptions'!$A$40:$A$42,0))*INDEX('Model Inputs &amp; Assumptions'!$H$40:$H$42,MATCH('Model Inputs &amp; Assumptions'!$L$34,'Model Inputs &amp; Assumptions'!$A$40:$A$42,0))</f>
        <v>8596.86616324474</v>
      </c>
      <c r="L3043" s="51" t="n">
        <f aca="false">IFERROR(K3043/I3043,0)</f>
        <v>1.79419099723359</v>
      </c>
      <c r="M3043" s="49" t="n">
        <f aca="false">IFERROR(I3043/H3043,0)</f>
        <v>88.4855627103176</v>
      </c>
      <c r="N3043" s="52" t="str">
        <f aca="false">'Model Inputs &amp; Assumptions'!$L$34</f>
        <v>PRD-USIQ</v>
      </c>
      <c r="P3043" s="53" t="n">
        <v>-0.318985</v>
      </c>
      <c r="Q3043" s="53" t="n">
        <v>-1.356895</v>
      </c>
      <c r="R3043" s="53" t="n">
        <v>-0.478464</v>
      </c>
      <c r="S3043" s="53" t="n">
        <v>-0.097003</v>
      </c>
    </row>
    <row r="3044" customFormat="false" ht="15" hidden="false" customHeight="false" outlineLevel="0" collapsed="false">
      <c r="A3044" s="43" t="n">
        <v>41</v>
      </c>
      <c r="B3044" s="44" t="str">
        <f aca="false">'Model Inputs &amp; Assumptions'!$B$34</f>
        <v>Meta — Lookalike Feed Video</v>
      </c>
      <c r="C3044" s="45" t="n">
        <f aca="false">ROUND(MAX(0,'Model Inputs &amp; Assumptions'!$S$34*EXP('Model Inputs &amp; Assumptions'!$T$34*P3044-'Model Inputs &amp; Assumptions'!$T$34^2/2)),0)</f>
        <v>428652</v>
      </c>
      <c r="D3044" s="46" t="n">
        <f aca="false">MIN(1,'Model Inputs &amp; Assumptions'!$U$34*EXP('Model Inputs &amp; Assumptions'!$V$34*Q3044-'Model Inputs &amp; Assumptions'!$V$34^2/2))</f>
        <v>0.204145845826093</v>
      </c>
      <c r="E3044" s="45" t="n">
        <f aca="false">ROUND(C3044*D3044,0)</f>
        <v>87508</v>
      </c>
      <c r="F3044" s="47" t="n">
        <f aca="false">MIN(1,'Model Inputs &amp; Assumptions'!$W$34*EXP('Model Inputs &amp; Assumptions'!$X$34*R3044-'Model Inputs &amp; Assumptions'!$X$34^2/2))</f>
        <v>0.00632791329916434</v>
      </c>
      <c r="G3044" s="45" t="n">
        <f aca="false">ROUND(C3044*F3044,0)</f>
        <v>2712</v>
      </c>
      <c r="H3044" s="48" t="n">
        <f aca="false">MAX(0,(C3044*'Model Inputs &amp; Assumptions'!$N$34+E3044*'Model Inputs &amp; Assumptions'!$O$34+G3044*'Model Inputs &amp; Assumptions'!$P$34)*EXP('Model Inputs &amp; Assumptions'!$Q$34*S3044-'Model Inputs &amp; Assumptions'!$Q$34^2/2))</f>
        <v>62.7098505538306</v>
      </c>
      <c r="I3044" s="49" t="n">
        <f aca="false">IF('Model Inputs &amp; Assumptions'!$H$34="Fixed",'Model Inputs &amp; Assumptions'!$I$34*'Model Inputs &amp; Assumptions'!$K$34,IF('Model Inputs &amp; Assumptions'!$H$34="CPM",'Model Inputs &amp; Assumptions'!$I$34*'Model Inputs &amp; Assumptions'!$K$34*C3044/1000,IF('Model Inputs &amp; Assumptions'!$H$34="CPC",'Model Inputs &amp; Assumptions'!$I$34*'Model Inputs &amp; Assumptions'!$K$34*G3044,0)))</f>
        <v>5017.2</v>
      </c>
      <c r="J3044" s="50" t="n">
        <f aca="false">H3044*INDEX('Model Inputs &amp; Assumptions'!$D$40:$D$42,MATCH('Model Inputs &amp; Assumptions'!$L$34,'Model Inputs &amp; Assumptions'!$A$40:$A$42,0))*INDEX('Model Inputs &amp; Assumptions'!$H$40:$H$42,MATCH('Model Inputs &amp; Assumptions'!$L$34,'Model Inputs &amp; Assumptions'!$A$40:$A$42,0))</f>
        <v>451510.923987581</v>
      </c>
      <c r="K3044" s="49" t="n">
        <f aca="false">H3044*INDEX('Model Inputs &amp; Assumptions'!$G$40:$G$42,MATCH('Model Inputs &amp; Assumptions'!$L$34,'Model Inputs &amp; Assumptions'!$A$40:$A$42,0))*INDEX('Model Inputs &amp; Assumptions'!$H$40:$H$42,MATCH('Model Inputs &amp; Assumptions'!$L$34,'Model Inputs &amp; Assumptions'!$A$40:$A$42,0))</f>
        <v>9955.81587392615</v>
      </c>
      <c r="L3044" s="51" t="n">
        <f aca="false">IFERROR(K3044/I3044,0)</f>
        <v>1.98433705531495</v>
      </c>
      <c r="M3044" s="49" t="n">
        <f aca="false">IFERROR(I3044/H3044,0)</f>
        <v>80.0065692341779</v>
      </c>
      <c r="N3044" s="52" t="str">
        <f aca="false">'Model Inputs &amp; Assumptions'!$L$34</f>
        <v>PRD-USIQ</v>
      </c>
      <c r="P3044" s="53" t="n">
        <v>-0.865915</v>
      </c>
      <c r="Q3044" s="53" t="n">
        <v>-0.665279</v>
      </c>
      <c r="R3044" s="53" t="n">
        <v>0.385617</v>
      </c>
      <c r="S3044" s="53" t="n">
        <v>0.234086</v>
      </c>
    </row>
    <row r="3045" customFormat="false" ht="15" hidden="false" customHeight="false" outlineLevel="0" collapsed="false">
      <c r="A3045" s="43" t="n">
        <v>42</v>
      </c>
      <c r="B3045" s="44" t="str">
        <f aca="false">'Model Inputs &amp; Assumptions'!$B$34</f>
        <v>Meta — Lookalike Feed Video</v>
      </c>
      <c r="C3045" s="45" t="n">
        <f aca="false">ROUND(MAX(0,'Model Inputs &amp; Assumptions'!$S$34*EXP('Model Inputs &amp; Assumptions'!$T$34*P3045-'Model Inputs &amp; Assumptions'!$T$34^2/2)),0)</f>
        <v>471854</v>
      </c>
      <c r="D3045" s="46" t="n">
        <f aca="false">MIN(1,'Model Inputs &amp; Assumptions'!$U$34*EXP('Model Inputs &amp; Assumptions'!$V$34*Q3045-'Model Inputs &amp; Assumptions'!$V$34^2/2))</f>
        <v>0.189583346097249</v>
      </c>
      <c r="E3045" s="45" t="n">
        <f aca="false">ROUND(C3045*D3045,0)</f>
        <v>89456</v>
      </c>
      <c r="F3045" s="47" t="n">
        <f aca="false">MIN(1,'Model Inputs &amp; Assumptions'!$W$34*EXP('Model Inputs &amp; Assumptions'!$X$34*R3045-'Model Inputs &amp; Assumptions'!$X$34^2/2))</f>
        <v>0.004754651153809</v>
      </c>
      <c r="G3045" s="45" t="n">
        <f aca="false">ROUND(C3045*F3045,0)</f>
        <v>2244</v>
      </c>
      <c r="H3045" s="48" t="n">
        <f aca="false">MAX(0,(C3045*'Model Inputs &amp; Assumptions'!$N$34+E3045*'Model Inputs &amp; Assumptions'!$O$34+G3045*'Model Inputs &amp; Assumptions'!$P$34)*EXP('Model Inputs &amp; Assumptions'!$Q$34*S3045-'Model Inputs &amp; Assumptions'!$Q$34^2/2))</f>
        <v>52.5272903683566</v>
      </c>
      <c r="I3045" s="49" t="n">
        <f aca="false">IF('Model Inputs &amp; Assumptions'!$H$34="Fixed",'Model Inputs &amp; Assumptions'!$I$34*'Model Inputs &amp; Assumptions'!$K$34,IF('Model Inputs &amp; Assumptions'!$H$34="CPM",'Model Inputs &amp; Assumptions'!$I$34*'Model Inputs &amp; Assumptions'!$K$34*C3045/1000,IF('Model Inputs &amp; Assumptions'!$H$34="CPC",'Model Inputs &amp; Assumptions'!$I$34*'Model Inputs &amp; Assumptions'!$K$34*G3045,0)))</f>
        <v>4151.4</v>
      </c>
      <c r="J3045" s="50" t="n">
        <f aca="false">H3045*INDEX('Model Inputs &amp; Assumptions'!$D$40:$D$42,MATCH('Model Inputs &amp; Assumptions'!$L$34,'Model Inputs &amp; Assumptions'!$A$40:$A$42,0))*INDEX('Model Inputs &amp; Assumptions'!$H$40:$H$42,MATCH('Model Inputs &amp; Assumptions'!$L$34,'Model Inputs &amp; Assumptions'!$A$40:$A$42,0))</f>
        <v>378196.490652168</v>
      </c>
      <c r="K3045" s="49" t="n">
        <f aca="false">H3045*INDEX('Model Inputs &amp; Assumptions'!$G$40:$G$42,MATCH('Model Inputs &amp; Assumptions'!$L$34,'Model Inputs &amp; Assumptions'!$A$40:$A$42,0))*INDEX('Model Inputs &amp; Assumptions'!$H$40:$H$42,MATCH('Model Inputs &amp; Assumptions'!$L$34,'Model Inputs &amp; Assumptions'!$A$40:$A$42,0))</f>
        <v>8339.23261888029</v>
      </c>
      <c r="L3045" s="51" t="n">
        <f aca="false">IFERROR(K3045/I3045,0)</f>
        <v>2.00877598373568</v>
      </c>
      <c r="M3045" s="49" t="n">
        <f aca="false">IFERROR(I3045/H3045,0)</f>
        <v>79.0332029481741</v>
      </c>
      <c r="N3045" s="52" t="str">
        <f aca="false">'Model Inputs &amp; Assumptions'!$L$34</f>
        <v>PRD-USIQ</v>
      </c>
      <c r="P3045" s="53" t="n">
        <v>-0.385797</v>
      </c>
      <c r="Q3045" s="53" t="n">
        <v>-1.127816</v>
      </c>
      <c r="R3045" s="53" t="n">
        <v>-1.202423</v>
      </c>
      <c r="S3045" s="53" t="n">
        <v>0.189337</v>
      </c>
    </row>
    <row r="3046" customFormat="false" ht="15" hidden="false" customHeight="false" outlineLevel="0" collapsed="false">
      <c r="A3046" s="43" t="n">
        <v>43</v>
      </c>
      <c r="B3046" s="44" t="str">
        <f aca="false">'Model Inputs &amp; Assumptions'!$B$34</f>
        <v>Meta — Lookalike Feed Video</v>
      </c>
      <c r="C3046" s="45" t="n">
        <f aca="false">ROUND(MAX(0,'Model Inputs &amp; Assumptions'!$S$34*EXP('Model Inputs &amp; Assumptions'!$T$34*P3046-'Model Inputs &amp; Assumptions'!$T$34^2/2)),0)</f>
        <v>366903</v>
      </c>
      <c r="D3046" s="46" t="n">
        <f aca="false">MIN(1,'Model Inputs &amp; Assumptions'!$U$34*EXP('Model Inputs &amp; Assumptions'!$V$34*Q3046-'Model Inputs &amp; Assumptions'!$V$34^2/2))</f>
        <v>0.267662749030859</v>
      </c>
      <c r="E3046" s="45" t="n">
        <f aca="false">ROUND(C3046*D3046,0)</f>
        <v>98206</v>
      </c>
      <c r="F3046" s="47" t="n">
        <f aca="false">MIN(1,'Model Inputs &amp; Assumptions'!$W$34*EXP('Model Inputs &amp; Assumptions'!$X$34*R3046-'Model Inputs &amp; Assumptions'!$X$34^2/2))</f>
        <v>0.00555577789964992</v>
      </c>
      <c r="G3046" s="45" t="n">
        <f aca="false">ROUND(C3046*F3046,0)</f>
        <v>2038</v>
      </c>
      <c r="H3046" s="48" t="n">
        <f aca="false">MAX(0,(C3046*'Model Inputs &amp; Assumptions'!$N$34+E3046*'Model Inputs &amp; Assumptions'!$O$34+G3046*'Model Inputs &amp; Assumptions'!$P$34)*EXP('Model Inputs &amp; Assumptions'!$Q$34*S3046-'Model Inputs &amp; Assumptions'!$Q$34^2/2))</f>
        <v>60.1718219056738</v>
      </c>
      <c r="I3046" s="49" t="n">
        <f aca="false">IF('Model Inputs &amp; Assumptions'!$H$34="Fixed",'Model Inputs &amp; Assumptions'!$I$34*'Model Inputs &amp; Assumptions'!$K$34,IF('Model Inputs &amp; Assumptions'!$H$34="CPM",'Model Inputs &amp; Assumptions'!$I$34*'Model Inputs &amp; Assumptions'!$K$34*C3046/1000,IF('Model Inputs &amp; Assumptions'!$H$34="CPC",'Model Inputs &amp; Assumptions'!$I$34*'Model Inputs &amp; Assumptions'!$K$34*G3046,0)))</f>
        <v>3770.3</v>
      </c>
      <c r="J3046" s="50" t="n">
        <f aca="false">H3046*INDEX('Model Inputs &amp; Assumptions'!$D$40:$D$42,MATCH('Model Inputs &amp; Assumptions'!$L$34,'Model Inputs &amp; Assumptions'!$A$40:$A$42,0))*INDEX('Model Inputs &amp; Assumptions'!$H$40:$H$42,MATCH('Model Inputs &amp; Assumptions'!$L$34,'Model Inputs &amp; Assumptions'!$A$40:$A$42,0))</f>
        <v>433237.117720852</v>
      </c>
      <c r="K3046" s="49" t="n">
        <f aca="false">H3046*INDEX('Model Inputs &amp; Assumptions'!$G$40:$G$42,MATCH('Model Inputs &amp; Assumptions'!$L$34,'Model Inputs &amp; Assumptions'!$A$40:$A$42,0))*INDEX('Model Inputs &amp; Assumptions'!$H$40:$H$42,MATCH('Model Inputs &amp; Assumptions'!$L$34,'Model Inputs &amp; Assumptions'!$A$40:$A$42,0))</f>
        <v>9552.87844574478</v>
      </c>
      <c r="L3046" s="51" t="n">
        <f aca="false">IFERROR(K3046/I3046,0)</f>
        <v>2.53371838998084</v>
      </c>
      <c r="M3046" s="49" t="n">
        <f aca="false">IFERROR(I3046/H3046,0)</f>
        <v>62.6588971480766</v>
      </c>
      <c r="N3046" s="52" t="str">
        <f aca="false">'Model Inputs &amp; Assumptions'!$L$34</f>
        <v>PRD-USIQ</v>
      </c>
      <c r="P3046" s="53" t="n">
        <v>-1.643655</v>
      </c>
      <c r="Q3046" s="53" t="n">
        <v>1.027803</v>
      </c>
      <c r="R3046" s="53" t="n">
        <v>-0.337339</v>
      </c>
      <c r="S3046" s="53" t="n">
        <v>0.82638</v>
      </c>
    </row>
    <row r="3047" customFormat="false" ht="15" hidden="false" customHeight="false" outlineLevel="0" collapsed="false">
      <c r="A3047" s="43" t="n">
        <v>44</v>
      </c>
      <c r="B3047" s="44" t="str">
        <f aca="false">'Model Inputs &amp; Assumptions'!$B$34</f>
        <v>Meta — Lookalike Feed Video</v>
      </c>
      <c r="C3047" s="45" t="n">
        <f aca="false">ROUND(MAX(0,'Model Inputs &amp; Assumptions'!$S$34*EXP('Model Inputs &amp; Assumptions'!$T$34*P3047-'Model Inputs &amp; Assumptions'!$T$34^2/2)),0)</f>
        <v>650397</v>
      </c>
      <c r="D3047" s="46" t="n">
        <f aca="false">MIN(1,'Model Inputs &amp; Assumptions'!$U$34*EXP('Model Inputs &amp; Assumptions'!$V$34*Q3047-'Model Inputs &amp; Assumptions'!$V$34^2/2))</f>
        <v>0.219725242680351</v>
      </c>
      <c r="E3047" s="45" t="n">
        <f aca="false">ROUND(C3047*D3047,0)</f>
        <v>142909</v>
      </c>
      <c r="F3047" s="47" t="n">
        <f aca="false">MIN(1,'Model Inputs &amp; Assumptions'!$W$34*EXP('Model Inputs &amp; Assumptions'!$X$34*R3047-'Model Inputs &amp; Assumptions'!$X$34^2/2))</f>
        <v>0.00746842347410692</v>
      </c>
      <c r="G3047" s="45" t="n">
        <f aca="false">ROUND(C3047*F3047,0)</f>
        <v>4857</v>
      </c>
      <c r="H3047" s="48" t="n">
        <f aca="false">MAX(0,(C3047*'Model Inputs &amp; Assumptions'!$N$34+E3047*'Model Inputs &amp; Assumptions'!$O$34+G3047*'Model Inputs &amp; Assumptions'!$P$34)*EXP('Model Inputs &amp; Assumptions'!$Q$34*S3047-'Model Inputs &amp; Assumptions'!$Q$34^2/2))</f>
        <v>94.1891183910418</v>
      </c>
      <c r="I3047" s="49" t="n">
        <f aca="false">IF('Model Inputs &amp; Assumptions'!$H$34="Fixed",'Model Inputs &amp; Assumptions'!$I$34*'Model Inputs &amp; Assumptions'!$K$34,IF('Model Inputs &amp; Assumptions'!$H$34="CPM",'Model Inputs &amp; Assumptions'!$I$34*'Model Inputs &amp; Assumptions'!$K$34*C3047/1000,IF('Model Inputs &amp; Assumptions'!$H$34="CPC",'Model Inputs &amp; Assumptions'!$I$34*'Model Inputs &amp; Assumptions'!$K$34*G3047,0)))</f>
        <v>8985.45</v>
      </c>
      <c r="J3047" s="50" t="n">
        <f aca="false">H3047*INDEX('Model Inputs &amp; Assumptions'!$D$40:$D$42,MATCH('Model Inputs &amp; Assumptions'!$L$34,'Model Inputs &amp; Assumptions'!$A$40:$A$42,0))*INDEX('Model Inputs &amp; Assumptions'!$H$40:$H$42,MATCH('Model Inputs &amp; Assumptions'!$L$34,'Model Inputs &amp; Assumptions'!$A$40:$A$42,0))</f>
        <v>678161.652415501</v>
      </c>
      <c r="K3047" s="49" t="n">
        <f aca="false">H3047*INDEX('Model Inputs &amp; Assumptions'!$G$40:$G$42,MATCH('Model Inputs &amp; Assumptions'!$L$34,'Model Inputs &amp; Assumptions'!$A$40:$A$42,0))*INDEX('Model Inputs &amp; Assumptions'!$H$40:$H$42,MATCH('Model Inputs &amp; Assumptions'!$L$34,'Model Inputs &amp; Assumptions'!$A$40:$A$42,0))</f>
        <v>14953.4644357618</v>
      </c>
      <c r="L3047" s="51" t="n">
        <f aca="false">IFERROR(K3047/I3047,0)</f>
        <v>1.66418648323254</v>
      </c>
      <c r="M3047" s="49" t="n">
        <f aca="false">IFERROR(I3047/H3047,0)</f>
        <v>95.3979626679954</v>
      </c>
      <c r="N3047" s="52" t="str">
        <f aca="false">'Model Inputs &amp; Assumptions'!$L$34</f>
        <v>PRD-USIQ</v>
      </c>
      <c r="P3047" s="53" t="n">
        <v>1.218771</v>
      </c>
      <c r="Q3047" s="53" t="n">
        <v>-0.205634</v>
      </c>
      <c r="R3047" s="53" t="n">
        <v>1.306247</v>
      </c>
      <c r="S3047" s="53" t="n">
        <v>-0.284111</v>
      </c>
    </row>
    <row r="3048" customFormat="false" ht="15" hidden="false" customHeight="false" outlineLevel="0" collapsed="false">
      <c r="A3048" s="43" t="n">
        <v>45</v>
      </c>
      <c r="B3048" s="44" t="str">
        <f aca="false">'Model Inputs &amp; Assumptions'!$B$34</f>
        <v>Meta — Lookalike Feed Video</v>
      </c>
      <c r="C3048" s="45" t="n">
        <f aca="false">ROUND(MAX(0,'Model Inputs &amp; Assumptions'!$S$34*EXP('Model Inputs &amp; Assumptions'!$T$34*P3048-'Model Inputs &amp; Assumptions'!$T$34^2/2)),0)</f>
        <v>622456</v>
      </c>
      <c r="D3048" s="46" t="n">
        <f aca="false">MIN(1,'Model Inputs &amp; Assumptions'!$U$34*EXP('Model Inputs &amp; Assumptions'!$V$34*Q3048-'Model Inputs &amp; Assumptions'!$V$34^2/2))</f>
        <v>0.271703475742007</v>
      </c>
      <c r="E3048" s="45" t="n">
        <f aca="false">ROUND(C3048*D3048,0)</f>
        <v>169123</v>
      </c>
      <c r="F3048" s="47" t="n">
        <f aca="false">MIN(1,'Model Inputs &amp; Assumptions'!$W$34*EXP('Model Inputs &amp; Assumptions'!$X$34*R3048-'Model Inputs &amp; Assumptions'!$X$34^2/2))</f>
        <v>0.00532578750661929</v>
      </c>
      <c r="G3048" s="45" t="n">
        <f aca="false">ROUND(C3048*F3048,0)</f>
        <v>3315</v>
      </c>
      <c r="H3048" s="48" t="n">
        <f aca="false">MAX(0,(C3048*'Model Inputs &amp; Assumptions'!$N$34+E3048*'Model Inputs &amp; Assumptions'!$O$34+G3048*'Model Inputs &amp; Assumptions'!$P$34)*EXP('Model Inputs &amp; Assumptions'!$Q$34*S3048-'Model Inputs &amp; Assumptions'!$Q$34^2/2))</f>
        <v>80.6762513966299</v>
      </c>
      <c r="I3048" s="49" t="n">
        <f aca="false">IF('Model Inputs &amp; Assumptions'!$H$34="Fixed",'Model Inputs &amp; Assumptions'!$I$34*'Model Inputs &amp; Assumptions'!$K$34,IF('Model Inputs &amp; Assumptions'!$H$34="CPM",'Model Inputs &amp; Assumptions'!$I$34*'Model Inputs &amp; Assumptions'!$K$34*C3048/1000,IF('Model Inputs &amp; Assumptions'!$H$34="CPC",'Model Inputs &amp; Assumptions'!$I$34*'Model Inputs &amp; Assumptions'!$K$34*G3048,0)))</f>
        <v>6132.75</v>
      </c>
      <c r="J3048" s="50" t="n">
        <f aca="false">H3048*INDEX('Model Inputs &amp; Assumptions'!$D$40:$D$42,MATCH('Model Inputs &amp; Assumptions'!$L$34,'Model Inputs &amp; Assumptions'!$A$40:$A$42,0))*INDEX('Model Inputs &amp; Assumptions'!$H$40:$H$42,MATCH('Model Inputs &amp; Assumptions'!$L$34,'Model Inputs &amp; Assumptions'!$A$40:$A$42,0))</f>
        <v>580869.010055735</v>
      </c>
      <c r="K3048" s="49" t="n">
        <f aca="false">H3048*INDEX('Model Inputs &amp; Assumptions'!$G$40:$G$42,MATCH('Model Inputs &amp; Assumptions'!$L$34,'Model Inputs &amp; Assumptions'!$A$40:$A$42,0))*INDEX('Model Inputs &amp; Assumptions'!$H$40:$H$42,MATCH('Model Inputs &amp; Assumptions'!$L$34,'Model Inputs &amp; Assumptions'!$A$40:$A$42,0))</f>
        <v>12808.161671729</v>
      </c>
      <c r="L3048" s="51" t="n">
        <f aca="false">IFERROR(K3048/I3048,0)</f>
        <v>2.08848586225249</v>
      </c>
      <c r="M3048" s="49" t="n">
        <f aca="false">IFERROR(I3048/H3048,0)</f>
        <v>76.0167942093574</v>
      </c>
      <c r="N3048" s="52" t="str">
        <f aca="false">'Model Inputs &amp; Assumptions'!$L$34</f>
        <v>PRD-USIQ</v>
      </c>
      <c r="P3048" s="53" t="n">
        <v>0.999224</v>
      </c>
      <c r="Q3048" s="53" t="n">
        <v>1.12145</v>
      </c>
      <c r="R3048" s="53" t="n">
        <v>-0.572216</v>
      </c>
      <c r="S3048" s="53" t="n">
        <v>0.192959</v>
      </c>
    </row>
    <row r="3049" customFormat="false" ht="15" hidden="false" customHeight="false" outlineLevel="0" collapsed="false">
      <c r="A3049" s="43" t="n">
        <v>46</v>
      </c>
      <c r="B3049" s="44" t="str">
        <f aca="false">'Model Inputs &amp; Assumptions'!$B$34</f>
        <v>Meta — Lookalike Feed Video</v>
      </c>
      <c r="C3049" s="45" t="n">
        <f aca="false">ROUND(MAX(0,'Model Inputs &amp; Assumptions'!$S$34*EXP('Model Inputs &amp; Assumptions'!$T$34*P3049-'Model Inputs &amp; Assumptions'!$T$34^2/2)),0)</f>
        <v>395963</v>
      </c>
      <c r="D3049" s="46" t="n">
        <f aca="false">MIN(1,'Model Inputs &amp; Assumptions'!$U$34*EXP('Model Inputs &amp; Assumptions'!$V$34*Q3049-'Model Inputs &amp; Assumptions'!$V$34^2/2))</f>
        <v>0.175646545035605</v>
      </c>
      <c r="E3049" s="45" t="n">
        <f aca="false">ROUND(C3049*D3049,0)</f>
        <v>69550</v>
      </c>
      <c r="F3049" s="47" t="n">
        <f aca="false">MIN(1,'Model Inputs &amp; Assumptions'!$W$34*EXP('Model Inputs &amp; Assumptions'!$X$34*R3049-'Model Inputs &amp; Assumptions'!$X$34^2/2))</f>
        <v>0.00531510554331038</v>
      </c>
      <c r="G3049" s="45" t="n">
        <f aca="false">ROUND(C3049*F3049,0)</f>
        <v>2105</v>
      </c>
      <c r="H3049" s="48" t="n">
        <f aca="false">MAX(0,(C3049*'Model Inputs &amp; Assumptions'!$N$34+E3049*'Model Inputs &amp; Assumptions'!$O$34+G3049*'Model Inputs &amp; Assumptions'!$P$34)*EXP('Model Inputs &amp; Assumptions'!$Q$34*S3049-'Model Inputs &amp; Assumptions'!$Q$34^2/2))</f>
        <v>48.8214300078615</v>
      </c>
      <c r="I3049" s="49" t="n">
        <f aca="false">IF('Model Inputs &amp; Assumptions'!$H$34="Fixed",'Model Inputs &amp; Assumptions'!$I$34*'Model Inputs &amp; Assumptions'!$K$34,IF('Model Inputs &amp; Assumptions'!$H$34="CPM",'Model Inputs &amp; Assumptions'!$I$34*'Model Inputs &amp; Assumptions'!$K$34*C3049/1000,IF('Model Inputs &amp; Assumptions'!$H$34="CPC",'Model Inputs &amp; Assumptions'!$I$34*'Model Inputs &amp; Assumptions'!$K$34*G3049,0)))</f>
        <v>3894.25</v>
      </c>
      <c r="J3049" s="50" t="n">
        <f aca="false">H3049*INDEX('Model Inputs &amp; Assumptions'!$D$40:$D$42,MATCH('Model Inputs &amp; Assumptions'!$L$34,'Model Inputs &amp; Assumptions'!$A$40:$A$42,0))*INDEX('Model Inputs &amp; Assumptions'!$H$40:$H$42,MATCH('Model Inputs &amp; Assumptions'!$L$34,'Model Inputs &amp; Assumptions'!$A$40:$A$42,0))</f>
        <v>351514.296056603</v>
      </c>
      <c r="K3049" s="49" t="n">
        <f aca="false">H3049*INDEX('Model Inputs &amp; Assumptions'!$G$40:$G$42,MATCH('Model Inputs &amp; Assumptions'!$L$34,'Model Inputs &amp; Assumptions'!$A$40:$A$42,0))*INDEX('Model Inputs &amp; Assumptions'!$H$40:$H$42,MATCH('Model Inputs &amp; Assumptions'!$L$34,'Model Inputs &amp; Assumptions'!$A$40:$A$42,0))</f>
        <v>7750.89022804809</v>
      </c>
      <c r="L3049" s="51" t="n">
        <f aca="false">IFERROR(K3049/I3049,0)</f>
        <v>1.99034222970998</v>
      </c>
      <c r="M3049" s="49" t="n">
        <f aca="false">IFERROR(I3049/H3049,0)</f>
        <v>79.7651768777139</v>
      </c>
      <c r="N3049" s="52" t="str">
        <f aca="false">'Model Inputs &amp; Assumptions'!$L$34</f>
        <v>PRD-USIQ</v>
      </c>
      <c r="P3049" s="53" t="n">
        <v>-1.262536</v>
      </c>
      <c r="Q3049" s="53" t="n">
        <v>-1.605035</v>
      </c>
      <c r="R3049" s="53" t="n">
        <v>-0.58337</v>
      </c>
      <c r="S3049" s="53" t="n">
        <v>0.234978</v>
      </c>
    </row>
    <row r="3050" customFormat="false" ht="15" hidden="false" customHeight="false" outlineLevel="0" collapsed="false">
      <c r="A3050" s="43" t="n">
        <v>47</v>
      </c>
      <c r="B3050" s="44" t="str">
        <f aca="false">'Model Inputs &amp; Assumptions'!$B$34</f>
        <v>Meta — Lookalike Feed Video</v>
      </c>
      <c r="C3050" s="45" t="n">
        <f aca="false">ROUND(MAX(0,'Model Inputs &amp; Assumptions'!$S$34*EXP('Model Inputs &amp; Assumptions'!$T$34*P3050-'Model Inputs &amp; Assumptions'!$T$34^2/2)),0)</f>
        <v>460484</v>
      </c>
      <c r="D3050" s="46" t="n">
        <f aca="false">MIN(1,'Model Inputs &amp; Assumptions'!$U$34*EXP('Model Inputs &amp; Assumptions'!$V$34*Q3050-'Model Inputs &amp; Assumptions'!$V$34^2/2))</f>
        <v>0.242404337720887</v>
      </c>
      <c r="E3050" s="45" t="n">
        <f aca="false">ROUND(C3050*D3050,0)</f>
        <v>111623</v>
      </c>
      <c r="F3050" s="47" t="n">
        <f aca="false">MIN(1,'Model Inputs &amp; Assumptions'!$W$34*EXP('Model Inputs &amp; Assumptions'!$X$34*R3050-'Model Inputs &amp; Assumptions'!$X$34^2/2))</f>
        <v>0.00439686237178615</v>
      </c>
      <c r="G3050" s="45" t="n">
        <f aca="false">ROUND(C3050*F3050,0)</f>
        <v>2025</v>
      </c>
      <c r="H3050" s="48" t="n">
        <f aca="false">MAX(0,(C3050*'Model Inputs &amp; Assumptions'!$N$34+E3050*'Model Inputs &amp; Assumptions'!$O$34+G3050*'Model Inputs &amp; Assumptions'!$P$34)*EXP('Model Inputs &amp; Assumptions'!$Q$34*S3050-'Model Inputs &amp; Assumptions'!$Q$34^2/2))</f>
        <v>31.1532262224007</v>
      </c>
      <c r="I3050" s="49" t="n">
        <f aca="false">IF('Model Inputs &amp; Assumptions'!$H$34="Fixed",'Model Inputs &amp; Assumptions'!$I$34*'Model Inputs &amp; Assumptions'!$K$34,IF('Model Inputs &amp; Assumptions'!$H$34="CPM",'Model Inputs &amp; Assumptions'!$I$34*'Model Inputs &amp; Assumptions'!$K$34*C3050/1000,IF('Model Inputs &amp; Assumptions'!$H$34="CPC",'Model Inputs &amp; Assumptions'!$I$34*'Model Inputs &amp; Assumptions'!$K$34*G3050,0)))</f>
        <v>3746.25</v>
      </c>
      <c r="J3050" s="50" t="n">
        <f aca="false">H3050*INDEX('Model Inputs &amp; Assumptions'!$D$40:$D$42,MATCH('Model Inputs &amp; Assumptions'!$L$34,'Model Inputs &amp; Assumptions'!$A$40:$A$42,0))*INDEX('Model Inputs &amp; Assumptions'!$H$40:$H$42,MATCH('Model Inputs &amp; Assumptions'!$L$34,'Model Inputs &amp; Assumptions'!$A$40:$A$42,0))</f>
        <v>224303.228801285</v>
      </c>
      <c r="K3050" s="49" t="n">
        <f aca="false">H3050*INDEX('Model Inputs &amp; Assumptions'!$G$40:$G$42,MATCH('Model Inputs &amp; Assumptions'!$L$34,'Model Inputs &amp; Assumptions'!$A$40:$A$42,0))*INDEX('Model Inputs &amp; Assumptions'!$H$40:$H$42,MATCH('Model Inputs &amp; Assumptions'!$L$34,'Model Inputs &amp; Assumptions'!$A$40:$A$42,0))</f>
        <v>4945.88619506833</v>
      </c>
      <c r="L3050" s="51" t="n">
        <f aca="false">IFERROR(K3050/I3050,0)</f>
        <v>1.32022320856011</v>
      </c>
      <c r="M3050" s="49" t="n">
        <f aca="false">IFERROR(I3050/H3050,0)</f>
        <v>120.252392906461</v>
      </c>
      <c r="N3050" s="52" t="str">
        <f aca="false">'Model Inputs &amp; Assumptions'!$L$34</f>
        <v>PRD-USIQ</v>
      </c>
      <c r="P3050" s="53" t="n">
        <v>-0.507752</v>
      </c>
      <c r="Q3050" s="53" t="n">
        <v>0.408299</v>
      </c>
      <c r="R3050" s="53" t="n">
        <v>-1.637046</v>
      </c>
      <c r="S3050" s="53" t="n">
        <v>-1.282614</v>
      </c>
    </row>
    <row r="3051" customFormat="false" ht="15" hidden="false" customHeight="false" outlineLevel="0" collapsed="false">
      <c r="A3051" s="43" t="n">
        <v>48</v>
      </c>
      <c r="B3051" s="44" t="str">
        <f aca="false">'Model Inputs &amp; Assumptions'!$B$34</f>
        <v>Meta — Lookalike Feed Video</v>
      </c>
      <c r="C3051" s="45" t="n">
        <f aca="false">ROUND(MAX(0,'Model Inputs &amp; Assumptions'!$S$34*EXP('Model Inputs &amp; Assumptions'!$T$34*P3051-'Model Inputs &amp; Assumptions'!$T$34^2/2)),0)</f>
        <v>360159</v>
      </c>
      <c r="D3051" s="46" t="n">
        <f aca="false">MIN(1,'Model Inputs &amp; Assumptions'!$U$34*EXP('Model Inputs &amp; Assumptions'!$V$34*Q3051-'Model Inputs &amp; Assumptions'!$V$34^2/2))</f>
        <v>0.190856536673283</v>
      </c>
      <c r="E3051" s="45" t="n">
        <f aca="false">ROUND(C3051*D3051,0)</f>
        <v>68739</v>
      </c>
      <c r="F3051" s="47" t="n">
        <f aca="false">MIN(1,'Model Inputs &amp; Assumptions'!$W$34*EXP('Model Inputs &amp; Assumptions'!$X$34*R3051-'Model Inputs &amp; Assumptions'!$X$34^2/2))</f>
        <v>0.00658018900591614</v>
      </c>
      <c r="G3051" s="45" t="n">
        <f aca="false">ROUND(C3051*F3051,0)</f>
        <v>2370</v>
      </c>
      <c r="H3051" s="48" t="n">
        <f aca="false">MAX(0,(C3051*'Model Inputs &amp; Assumptions'!$N$34+E3051*'Model Inputs &amp; Assumptions'!$O$34+G3051*'Model Inputs &amp; Assumptions'!$P$34)*EXP('Model Inputs &amp; Assumptions'!$Q$34*S3051-'Model Inputs &amp; Assumptions'!$Q$34^2/2))</f>
        <v>43.0195999040568</v>
      </c>
      <c r="I3051" s="49" t="n">
        <f aca="false">IF('Model Inputs &amp; Assumptions'!$H$34="Fixed",'Model Inputs &amp; Assumptions'!$I$34*'Model Inputs &amp; Assumptions'!$K$34,IF('Model Inputs &amp; Assumptions'!$H$34="CPM",'Model Inputs &amp; Assumptions'!$I$34*'Model Inputs &amp; Assumptions'!$K$34*C3051/1000,IF('Model Inputs &amp; Assumptions'!$H$34="CPC",'Model Inputs &amp; Assumptions'!$I$34*'Model Inputs &amp; Assumptions'!$K$34*G3051,0)))</f>
        <v>4384.5</v>
      </c>
      <c r="J3051" s="50" t="n">
        <f aca="false">H3051*INDEX('Model Inputs &amp; Assumptions'!$D$40:$D$42,MATCH('Model Inputs &amp; Assumptions'!$L$34,'Model Inputs &amp; Assumptions'!$A$40:$A$42,0))*INDEX('Model Inputs &amp; Assumptions'!$H$40:$H$42,MATCH('Model Inputs &amp; Assumptions'!$L$34,'Model Inputs &amp; Assumptions'!$A$40:$A$42,0))</f>
        <v>309741.119309209</v>
      </c>
      <c r="K3051" s="49" t="n">
        <f aca="false">H3051*INDEX('Model Inputs &amp; Assumptions'!$G$40:$G$42,MATCH('Model Inputs &amp; Assumptions'!$L$34,'Model Inputs &amp; Assumptions'!$A$40:$A$42,0))*INDEX('Model Inputs &amp; Assumptions'!$H$40:$H$42,MATCH('Model Inputs &amp; Assumptions'!$L$34,'Model Inputs &amp; Assumptions'!$A$40:$A$42,0))</f>
        <v>6829.79168076806</v>
      </c>
      <c r="L3051" s="51" t="n">
        <f aca="false">IFERROR(K3051/I3051,0)</f>
        <v>1.5577127792834</v>
      </c>
      <c r="M3051" s="49" t="n">
        <f aca="false">IFERROR(I3051/H3051,0)</f>
        <v>101.918660558871</v>
      </c>
      <c r="N3051" s="52" t="str">
        <f aca="false">'Model Inputs &amp; Assumptions'!$L$34</f>
        <v>PRD-USIQ</v>
      </c>
      <c r="P3051" s="53" t="n">
        <v>-1.736418</v>
      </c>
      <c r="Q3051" s="53" t="n">
        <v>-1.085983</v>
      </c>
      <c r="R3051" s="53" t="n">
        <v>0.6028</v>
      </c>
      <c r="S3051" s="53" t="n">
        <v>-0.486034</v>
      </c>
    </row>
    <row r="3052" customFormat="false" ht="15" hidden="false" customHeight="false" outlineLevel="0" collapsed="false">
      <c r="A3052" s="43" t="n">
        <v>49</v>
      </c>
      <c r="B3052" s="44" t="str">
        <f aca="false">'Model Inputs &amp; Assumptions'!$B$34</f>
        <v>Meta — Lookalike Feed Video</v>
      </c>
      <c r="C3052" s="45" t="n">
        <f aca="false">ROUND(MAX(0,'Model Inputs &amp; Assumptions'!$S$34*EXP('Model Inputs &amp; Assumptions'!$T$34*P3052-'Model Inputs &amp; Assumptions'!$T$34^2/2)),0)</f>
        <v>454285</v>
      </c>
      <c r="D3052" s="46" t="n">
        <f aca="false">MIN(1,'Model Inputs &amp; Assumptions'!$U$34*EXP('Model Inputs &amp; Assumptions'!$V$34*Q3052-'Model Inputs &amp; Assumptions'!$V$34^2/2))</f>
        <v>0.318275814777241</v>
      </c>
      <c r="E3052" s="45" t="n">
        <f aca="false">ROUND(C3052*D3052,0)</f>
        <v>144588</v>
      </c>
      <c r="F3052" s="47" t="n">
        <f aca="false">MIN(1,'Model Inputs &amp; Assumptions'!$W$34*EXP('Model Inputs &amp; Assumptions'!$X$34*R3052-'Model Inputs &amp; Assumptions'!$X$34^2/2))</f>
        <v>0.00631262899489824</v>
      </c>
      <c r="G3052" s="45" t="n">
        <f aca="false">ROUND(C3052*F3052,0)</f>
        <v>2868</v>
      </c>
      <c r="H3052" s="48" t="n">
        <f aca="false">MAX(0,(C3052*'Model Inputs &amp; Assumptions'!$N$34+E3052*'Model Inputs &amp; Assumptions'!$O$34+G3052*'Model Inputs &amp; Assumptions'!$P$34)*EXP('Model Inputs &amp; Assumptions'!$Q$34*S3052-'Model Inputs &amp; Assumptions'!$Q$34^2/2))</f>
        <v>55.8252431817164</v>
      </c>
      <c r="I3052" s="49" t="n">
        <f aca="false">IF('Model Inputs &amp; Assumptions'!$H$34="Fixed",'Model Inputs &amp; Assumptions'!$I$34*'Model Inputs &amp; Assumptions'!$K$34,IF('Model Inputs &amp; Assumptions'!$H$34="CPM",'Model Inputs &amp; Assumptions'!$I$34*'Model Inputs &amp; Assumptions'!$K$34*C3052/1000,IF('Model Inputs &amp; Assumptions'!$H$34="CPC",'Model Inputs &amp; Assumptions'!$I$34*'Model Inputs &amp; Assumptions'!$K$34*G3052,0)))</f>
        <v>5305.8</v>
      </c>
      <c r="J3052" s="50" t="n">
        <f aca="false">H3052*INDEX('Model Inputs &amp; Assumptions'!$D$40:$D$42,MATCH('Model Inputs &amp; Assumptions'!$L$34,'Model Inputs &amp; Assumptions'!$A$40:$A$42,0))*INDEX('Model Inputs &amp; Assumptions'!$H$40:$H$42,MATCH('Model Inputs &amp; Assumptions'!$L$34,'Model Inputs &amp; Assumptions'!$A$40:$A$42,0))</f>
        <v>401941.750908358</v>
      </c>
      <c r="K3052" s="49" t="n">
        <f aca="false">H3052*INDEX('Model Inputs &amp; Assumptions'!$G$40:$G$42,MATCH('Model Inputs &amp; Assumptions'!$L$34,'Model Inputs &amp; Assumptions'!$A$40:$A$42,0))*INDEX('Model Inputs &amp; Assumptions'!$H$40:$H$42,MATCH('Model Inputs &amp; Assumptions'!$L$34,'Model Inputs &amp; Assumptions'!$A$40:$A$42,0))</f>
        <v>8862.81560752929</v>
      </c>
      <c r="L3052" s="51" t="n">
        <f aca="false">IFERROR(K3052/I3052,0)</f>
        <v>1.67040137350245</v>
      </c>
      <c r="M3052" s="49" t="n">
        <f aca="false">IFERROR(I3052/H3052,0)</f>
        <v>95.0430252982352</v>
      </c>
      <c r="N3052" s="52" t="str">
        <f aca="false">'Model Inputs &amp; Assumptions'!$L$34</f>
        <v>PRD-USIQ</v>
      </c>
      <c r="P3052" s="53" t="n">
        <v>-0.575516</v>
      </c>
      <c r="Q3052" s="53" t="n">
        <v>2.110244</v>
      </c>
      <c r="R3052" s="53" t="n">
        <v>0.372182</v>
      </c>
      <c r="S3052" s="53" t="n">
        <v>-0.49882</v>
      </c>
    </row>
    <row r="3053" customFormat="false" ht="15" hidden="false" customHeight="false" outlineLevel="0" collapsed="false">
      <c r="A3053" s="43" t="n">
        <v>50</v>
      </c>
      <c r="B3053" s="44" t="str">
        <f aca="false">'Model Inputs &amp; Assumptions'!$B$34</f>
        <v>Meta — Lookalike Feed Video</v>
      </c>
      <c r="C3053" s="45" t="n">
        <f aca="false">ROUND(MAX(0,'Model Inputs &amp; Assumptions'!$S$34*EXP('Model Inputs &amp; Assumptions'!$T$34*P3053-'Model Inputs &amp; Assumptions'!$T$34^2/2)),0)</f>
        <v>609387</v>
      </c>
      <c r="D3053" s="46" t="n">
        <f aca="false">MIN(1,'Model Inputs &amp; Assumptions'!$U$34*EXP('Model Inputs &amp; Assumptions'!$V$34*Q3053-'Model Inputs &amp; Assumptions'!$V$34^2/2))</f>
        <v>0.289011647169004</v>
      </c>
      <c r="E3053" s="45" t="n">
        <f aca="false">ROUND(C3053*D3053,0)</f>
        <v>176120</v>
      </c>
      <c r="F3053" s="47" t="n">
        <f aca="false">MIN(1,'Model Inputs &amp; Assumptions'!$W$34*EXP('Model Inputs &amp; Assumptions'!$X$34*R3053-'Model Inputs &amp; Assumptions'!$X$34^2/2))</f>
        <v>0.00587565080508118</v>
      </c>
      <c r="G3053" s="45" t="n">
        <f aca="false">ROUND(C3053*F3053,0)</f>
        <v>3581</v>
      </c>
      <c r="H3053" s="48" t="n">
        <f aca="false">MAX(0,(C3053*'Model Inputs &amp; Assumptions'!$N$34+E3053*'Model Inputs &amp; Assumptions'!$O$34+G3053*'Model Inputs &amp; Assumptions'!$P$34)*EXP('Model Inputs &amp; Assumptions'!$Q$34*S3053-'Model Inputs &amp; Assumptions'!$Q$34^2/2))</f>
        <v>70.5018364207251</v>
      </c>
      <c r="I3053" s="49" t="n">
        <f aca="false">IF('Model Inputs &amp; Assumptions'!$H$34="Fixed",'Model Inputs &amp; Assumptions'!$I$34*'Model Inputs &amp; Assumptions'!$K$34,IF('Model Inputs &amp; Assumptions'!$H$34="CPM",'Model Inputs &amp; Assumptions'!$I$34*'Model Inputs &amp; Assumptions'!$K$34*C3053/1000,IF('Model Inputs &amp; Assumptions'!$H$34="CPC",'Model Inputs &amp; Assumptions'!$I$34*'Model Inputs &amp; Assumptions'!$K$34*G3053,0)))</f>
        <v>6624.85</v>
      </c>
      <c r="J3053" s="50" t="n">
        <f aca="false">H3053*INDEX('Model Inputs &amp; Assumptions'!$D$40:$D$42,MATCH('Model Inputs &amp; Assumptions'!$L$34,'Model Inputs &amp; Assumptions'!$A$40:$A$42,0))*INDEX('Model Inputs &amp; Assumptions'!$H$40:$H$42,MATCH('Model Inputs &amp; Assumptions'!$L$34,'Model Inputs &amp; Assumptions'!$A$40:$A$42,0))</f>
        <v>507613.222229221</v>
      </c>
      <c r="K3053" s="49" t="n">
        <f aca="false">H3053*INDEX('Model Inputs &amp; Assumptions'!$G$40:$G$42,MATCH('Model Inputs &amp; Assumptions'!$L$34,'Model Inputs &amp; Assumptions'!$A$40:$A$42,0))*INDEX('Model Inputs &amp; Assumptions'!$H$40:$H$42,MATCH('Model Inputs &amp; Assumptions'!$L$34,'Model Inputs &amp; Assumptions'!$A$40:$A$42,0))</f>
        <v>11192.8715501543</v>
      </c>
      <c r="L3053" s="51" t="n">
        <f aca="false">IFERROR(K3053/I3053,0)</f>
        <v>1.68952829877723</v>
      </c>
      <c r="M3053" s="49" t="n">
        <f aca="false">IFERROR(I3053/H3053,0)</f>
        <v>93.967055843279</v>
      </c>
      <c r="N3053" s="52" t="str">
        <f aca="false">'Model Inputs &amp; Assumptions'!$L$34</f>
        <v>PRD-USIQ</v>
      </c>
      <c r="P3053" s="53" t="n">
        <v>0.89312</v>
      </c>
      <c r="Q3053" s="53" t="n">
        <v>1.507423</v>
      </c>
      <c r="R3053" s="53" t="n">
        <v>-0.026348</v>
      </c>
      <c r="S3053" s="53" t="n">
        <v>-0.450394</v>
      </c>
    </row>
    <row r="3054" customFormat="false" ht="15" hidden="false" customHeight="false" outlineLevel="0" collapsed="false">
      <c r="A3054" s="43" t="n">
        <v>51</v>
      </c>
      <c r="B3054" s="44" t="str">
        <f aca="false">'Model Inputs &amp; Assumptions'!$B$34</f>
        <v>Meta — Lookalike Feed Video</v>
      </c>
      <c r="C3054" s="45" t="n">
        <f aca="false">ROUND(MAX(0,'Model Inputs &amp; Assumptions'!$S$34*EXP('Model Inputs &amp; Assumptions'!$T$34*P3054-'Model Inputs &amp; Assumptions'!$T$34^2/2)),0)</f>
        <v>401185</v>
      </c>
      <c r="D3054" s="46" t="n">
        <f aca="false">MIN(1,'Model Inputs &amp; Assumptions'!$U$34*EXP('Model Inputs &amp; Assumptions'!$V$34*Q3054-'Model Inputs &amp; Assumptions'!$V$34^2/2))</f>
        <v>0.259677030616925</v>
      </c>
      <c r="E3054" s="45" t="n">
        <f aca="false">ROUND(C3054*D3054,0)</f>
        <v>104179</v>
      </c>
      <c r="F3054" s="47" t="n">
        <f aca="false">MIN(1,'Model Inputs &amp; Assumptions'!$W$34*EXP('Model Inputs &amp; Assumptions'!$X$34*R3054-'Model Inputs &amp; Assumptions'!$X$34^2/2))</f>
        <v>0.00656148499960042</v>
      </c>
      <c r="G3054" s="45" t="n">
        <f aca="false">ROUND(C3054*F3054,0)</f>
        <v>2632</v>
      </c>
      <c r="H3054" s="48" t="n">
        <f aca="false">MAX(0,(C3054*'Model Inputs &amp; Assumptions'!$N$34+E3054*'Model Inputs &amp; Assumptions'!$O$34+G3054*'Model Inputs &amp; Assumptions'!$P$34)*EXP('Model Inputs &amp; Assumptions'!$Q$34*S3054-'Model Inputs &amp; Assumptions'!$Q$34^2/2))</f>
        <v>52.5265644907829</v>
      </c>
      <c r="I3054" s="49" t="n">
        <f aca="false">IF('Model Inputs &amp; Assumptions'!$H$34="Fixed",'Model Inputs &amp; Assumptions'!$I$34*'Model Inputs &amp; Assumptions'!$K$34,IF('Model Inputs &amp; Assumptions'!$H$34="CPM",'Model Inputs &amp; Assumptions'!$I$34*'Model Inputs &amp; Assumptions'!$K$34*C3054/1000,IF('Model Inputs &amp; Assumptions'!$H$34="CPC",'Model Inputs &amp; Assumptions'!$I$34*'Model Inputs &amp; Assumptions'!$K$34*G3054,0)))</f>
        <v>4869.2</v>
      </c>
      <c r="J3054" s="50" t="n">
        <f aca="false">H3054*INDEX('Model Inputs &amp; Assumptions'!$D$40:$D$42,MATCH('Model Inputs &amp; Assumptions'!$L$34,'Model Inputs &amp; Assumptions'!$A$40:$A$42,0))*INDEX('Model Inputs &amp; Assumptions'!$H$40:$H$42,MATCH('Model Inputs &amp; Assumptions'!$L$34,'Model Inputs &amp; Assumptions'!$A$40:$A$42,0))</f>
        <v>378191.264333637</v>
      </c>
      <c r="K3054" s="49" t="n">
        <f aca="false">H3054*INDEX('Model Inputs &amp; Assumptions'!$G$40:$G$42,MATCH('Model Inputs &amp; Assumptions'!$L$34,'Model Inputs &amp; Assumptions'!$A$40:$A$42,0))*INDEX('Model Inputs &amp; Assumptions'!$H$40:$H$42,MATCH('Model Inputs &amp; Assumptions'!$L$34,'Model Inputs &amp; Assumptions'!$A$40:$A$42,0))</f>
        <v>8339.11737855669</v>
      </c>
      <c r="L3054" s="51" t="n">
        <f aca="false">IFERROR(K3054/I3054,0)</f>
        <v>1.71262576574318</v>
      </c>
      <c r="M3054" s="49" t="n">
        <f aca="false">IFERROR(I3054/H3054,0)</f>
        <v>92.6997614864842</v>
      </c>
      <c r="N3054" s="52" t="str">
        <f aca="false">'Model Inputs &amp; Assumptions'!$L$34</f>
        <v>PRD-USIQ</v>
      </c>
      <c r="P3054" s="53" t="n">
        <v>-1.197027</v>
      </c>
      <c r="Q3054" s="53" t="n">
        <v>0.838496</v>
      </c>
      <c r="R3054" s="53" t="n">
        <v>0.586986</v>
      </c>
      <c r="S3054" s="53" t="n">
        <v>-0.306043</v>
      </c>
    </row>
    <row r="3055" customFormat="false" ht="15" hidden="false" customHeight="false" outlineLevel="0" collapsed="false">
      <c r="A3055" s="43" t="n">
        <v>52</v>
      </c>
      <c r="B3055" s="44" t="str">
        <f aca="false">'Model Inputs &amp; Assumptions'!$B$34</f>
        <v>Meta — Lookalike Feed Video</v>
      </c>
      <c r="C3055" s="45" t="n">
        <f aca="false">ROUND(MAX(0,'Model Inputs &amp; Assumptions'!$S$34*EXP('Model Inputs &amp; Assumptions'!$T$34*P3055-'Model Inputs &amp; Assumptions'!$T$34^2/2)),0)</f>
        <v>449340</v>
      </c>
      <c r="D3055" s="46" t="n">
        <f aca="false">MIN(1,'Model Inputs &amp; Assumptions'!$U$34*EXP('Model Inputs &amp; Assumptions'!$V$34*Q3055-'Model Inputs &amp; Assumptions'!$V$34^2/2))</f>
        <v>0.253576985921249</v>
      </c>
      <c r="E3055" s="45" t="n">
        <f aca="false">ROUND(C3055*D3055,0)</f>
        <v>113942</v>
      </c>
      <c r="F3055" s="47" t="n">
        <f aca="false">MIN(1,'Model Inputs &amp; Assumptions'!$W$34*EXP('Model Inputs &amp; Assumptions'!$X$34*R3055-'Model Inputs &amp; Assumptions'!$X$34^2/2))</f>
        <v>0.00417827561542994</v>
      </c>
      <c r="G3055" s="45" t="n">
        <f aca="false">ROUND(C3055*F3055,0)</f>
        <v>1877</v>
      </c>
      <c r="H3055" s="48" t="n">
        <f aca="false">MAX(0,(C3055*'Model Inputs &amp; Assumptions'!$N$34+E3055*'Model Inputs &amp; Assumptions'!$O$34+G3055*'Model Inputs &amp; Assumptions'!$P$34)*EXP('Model Inputs &amp; Assumptions'!$Q$34*S3055-'Model Inputs &amp; Assumptions'!$Q$34^2/2))</f>
        <v>69.0348754956877</v>
      </c>
      <c r="I3055" s="49" t="n">
        <f aca="false">IF('Model Inputs &amp; Assumptions'!$H$34="Fixed",'Model Inputs &amp; Assumptions'!$I$34*'Model Inputs &amp; Assumptions'!$K$34,IF('Model Inputs &amp; Assumptions'!$H$34="CPM",'Model Inputs &amp; Assumptions'!$I$34*'Model Inputs &amp; Assumptions'!$K$34*C3055/1000,IF('Model Inputs &amp; Assumptions'!$H$34="CPC",'Model Inputs &amp; Assumptions'!$I$34*'Model Inputs &amp; Assumptions'!$K$34*G3055,0)))</f>
        <v>3472.45</v>
      </c>
      <c r="J3055" s="50" t="n">
        <f aca="false">H3055*INDEX('Model Inputs &amp; Assumptions'!$D$40:$D$42,MATCH('Model Inputs &amp; Assumptions'!$L$34,'Model Inputs &amp; Assumptions'!$A$40:$A$42,0))*INDEX('Model Inputs &amp; Assumptions'!$H$40:$H$42,MATCH('Model Inputs &amp; Assumptions'!$L$34,'Model Inputs &amp; Assumptions'!$A$40:$A$42,0))</f>
        <v>497051.103568952</v>
      </c>
      <c r="K3055" s="49" t="n">
        <f aca="false">H3055*INDEX('Model Inputs &amp; Assumptions'!$G$40:$G$42,MATCH('Model Inputs &amp; Assumptions'!$L$34,'Model Inputs &amp; Assumptions'!$A$40:$A$42,0))*INDEX('Model Inputs &amp; Assumptions'!$H$40:$H$42,MATCH('Model Inputs &amp; Assumptions'!$L$34,'Model Inputs &amp; Assumptions'!$A$40:$A$42,0))</f>
        <v>10959.9768336954</v>
      </c>
      <c r="L3055" s="51" t="n">
        <f aca="false">IFERROR(K3055/I3055,0)</f>
        <v>3.1562662770365</v>
      </c>
      <c r="M3055" s="49" t="n">
        <f aca="false">IFERROR(I3055/H3055,0)</f>
        <v>50.2999386189507</v>
      </c>
      <c r="N3055" s="52" t="str">
        <f aca="false">'Model Inputs &amp; Assumptions'!$L$34</f>
        <v>PRD-USIQ</v>
      </c>
      <c r="P3055" s="53" t="n">
        <v>-0.63024</v>
      </c>
      <c r="Q3055" s="53" t="n">
        <v>0.689926</v>
      </c>
      <c r="R3055" s="53" t="n">
        <v>-1.920338</v>
      </c>
      <c r="S3055" s="53" t="n">
        <v>1.38445</v>
      </c>
    </row>
    <row r="3056" customFormat="false" ht="15" hidden="false" customHeight="false" outlineLevel="0" collapsed="false">
      <c r="A3056" s="43" t="n">
        <v>53</v>
      </c>
      <c r="B3056" s="44" t="str">
        <f aca="false">'Model Inputs &amp; Assumptions'!$B$34</f>
        <v>Meta — Lookalike Feed Video</v>
      </c>
      <c r="C3056" s="45" t="n">
        <f aca="false">ROUND(MAX(0,'Model Inputs &amp; Assumptions'!$S$34*EXP('Model Inputs &amp; Assumptions'!$T$34*P3056-'Model Inputs &amp; Assumptions'!$T$34^2/2)),0)</f>
        <v>454249</v>
      </c>
      <c r="D3056" s="46" t="n">
        <f aca="false">MIN(1,'Model Inputs &amp; Assumptions'!$U$34*EXP('Model Inputs &amp; Assumptions'!$V$34*Q3056-'Model Inputs &amp; Assumptions'!$V$34^2/2))</f>
        <v>0.214573142071549</v>
      </c>
      <c r="E3056" s="45" t="n">
        <f aca="false">ROUND(C3056*D3056,0)</f>
        <v>97470</v>
      </c>
      <c r="F3056" s="47" t="n">
        <f aca="false">MIN(1,'Model Inputs &amp; Assumptions'!$W$34*EXP('Model Inputs &amp; Assumptions'!$X$34*R3056-'Model Inputs &amp; Assumptions'!$X$34^2/2))</f>
        <v>0.00574409556649236</v>
      </c>
      <c r="G3056" s="45" t="n">
        <f aca="false">ROUND(C3056*F3056,0)</f>
        <v>2609</v>
      </c>
      <c r="H3056" s="48" t="n">
        <f aca="false">MAX(0,(C3056*'Model Inputs &amp; Assumptions'!$N$34+E3056*'Model Inputs &amp; Assumptions'!$O$34+G3056*'Model Inputs &amp; Assumptions'!$P$34)*EXP('Model Inputs &amp; Assumptions'!$Q$34*S3056-'Model Inputs &amp; Assumptions'!$Q$34^2/2))</f>
        <v>29.9197177383329</v>
      </c>
      <c r="I3056" s="49" t="n">
        <f aca="false">IF('Model Inputs &amp; Assumptions'!$H$34="Fixed",'Model Inputs &amp; Assumptions'!$I$34*'Model Inputs &amp; Assumptions'!$K$34,IF('Model Inputs &amp; Assumptions'!$H$34="CPM",'Model Inputs &amp; Assumptions'!$I$34*'Model Inputs &amp; Assumptions'!$K$34*C3056/1000,IF('Model Inputs &amp; Assumptions'!$H$34="CPC",'Model Inputs &amp; Assumptions'!$I$34*'Model Inputs &amp; Assumptions'!$K$34*G3056,0)))</f>
        <v>4826.65</v>
      </c>
      <c r="J3056" s="50" t="n">
        <f aca="false">H3056*INDEX('Model Inputs &amp; Assumptions'!$D$40:$D$42,MATCH('Model Inputs &amp; Assumptions'!$L$34,'Model Inputs &amp; Assumptions'!$A$40:$A$42,0))*INDEX('Model Inputs &amp; Assumptions'!$H$40:$H$42,MATCH('Model Inputs &amp; Assumptions'!$L$34,'Model Inputs &amp; Assumptions'!$A$40:$A$42,0))</f>
        <v>215421.967715997</v>
      </c>
      <c r="K3056" s="49" t="n">
        <f aca="false">H3056*INDEX('Model Inputs &amp; Assumptions'!$G$40:$G$42,MATCH('Model Inputs &amp; Assumptions'!$L$34,'Model Inputs &amp; Assumptions'!$A$40:$A$42,0))*INDEX('Model Inputs &amp; Assumptions'!$H$40:$H$42,MATCH('Model Inputs &amp; Assumptions'!$L$34,'Model Inputs &amp; Assumptions'!$A$40:$A$42,0))</f>
        <v>4750.05438813773</v>
      </c>
      <c r="L3056" s="51" t="n">
        <f aca="false">IFERROR(K3056/I3056,0)</f>
        <v>0.984130688601355</v>
      </c>
      <c r="M3056" s="49" t="n">
        <f aca="false">IFERROR(I3056/H3056,0)</f>
        <v>161.320037916539</v>
      </c>
      <c r="N3056" s="52" t="str">
        <f aca="false">'Model Inputs &amp; Assumptions'!$L$34</f>
        <v>PRD-USIQ</v>
      </c>
      <c r="P3056" s="53" t="n">
        <v>-0.575921</v>
      </c>
      <c r="Q3056" s="53" t="n">
        <v>-0.353929</v>
      </c>
      <c r="R3056" s="53" t="n">
        <v>-0.15215</v>
      </c>
      <c r="S3056" s="53" t="n">
        <v>-2.013292</v>
      </c>
    </row>
    <row r="3057" customFormat="false" ht="15" hidden="false" customHeight="false" outlineLevel="0" collapsed="false">
      <c r="A3057" s="43" t="n">
        <v>54</v>
      </c>
      <c r="B3057" s="44" t="str">
        <f aca="false">'Model Inputs &amp; Assumptions'!$B$34</f>
        <v>Meta — Lookalike Feed Video</v>
      </c>
      <c r="C3057" s="45" t="n">
        <f aca="false">ROUND(MAX(0,'Model Inputs &amp; Assumptions'!$S$34*EXP('Model Inputs &amp; Assumptions'!$T$34*P3057-'Model Inputs &amp; Assumptions'!$T$34^2/2)),0)</f>
        <v>451987</v>
      </c>
      <c r="D3057" s="46" t="n">
        <f aca="false">MIN(1,'Model Inputs &amp; Assumptions'!$U$34*EXP('Model Inputs &amp; Assumptions'!$V$34*Q3057-'Model Inputs &amp; Assumptions'!$V$34^2/2))</f>
        <v>0.186188951979514</v>
      </c>
      <c r="E3057" s="45" t="n">
        <f aca="false">ROUND(C3057*D3057,0)</f>
        <v>84155</v>
      </c>
      <c r="F3057" s="47" t="n">
        <f aca="false">MIN(1,'Model Inputs &amp; Assumptions'!$W$34*EXP('Model Inputs &amp; Assumptions'!$X$34*R3057-'Model Inputs &amp; Assumptions'!$X$34^2/2))</f>
        <v>0.00605844077565667</v>
      </c>
      <c r="G3057" s="45" t="n">
        <f aca="false">ROUND(C3057*F3057,0)</f>
        <v>2738</v>
      </c>
      <c r="H3057" s="48" t="n">
        <f aca="false">MAX(0,(C3057*'Model Inputs &amp; Assumptions'!$N$34+E3057*'Model Inputs &amp; Assumptions'!$O$34+G3057*'Model Inputs &amp; Assumptions'!$P$34)*EXP('Model Inputs &amp; Assumptions'!$Q$34*S3057-'Model Inputs &amp; Assumptions'!$Q$34^2/2))</f>
        <v>51.8395945037345</v>
      </c>
      <c r="I3057" s="49" t="n">
        <f aca="false">IF('Model Inputs &amp; Assumptions'!$H$34="Fixed",'Model Inputs &amp; Assumptions'!$I$34*'Model Inputs &amp; Assumptions'!$K$34,IF('Model Inputs &amp; Assumptions'!$H$34="CPM",'Model Inputs &amp; Assumptions'!$I$34*'Model Inputs &amp; Assumptions'!$K$34*C3057/1000,IF('Model Inputs &amp; Assumptions'!$H$34="CPC",'Model Inputs &amp; Assumptions'!$I$34*'Model Inputs &amp; Assumptions'!$K$34*G3057,0)))</f>
        <v>5065.3</v>
      </c>
      <c r="J3057" s="50" t="n">
        <f aca="false">H3057*INDEX('Model Inputs &amp; Assumptions'!$D$40:$D$42,MATCH('Model Inputs &amp; Assumptions'!$L$34,'Model Inputs &amp; Assumptions'!$A$40:$A$42,0))*INDEX('Model Inputs &amp; Assumptions'!$H$40:$H$42,MATCH('Model Inputs &amp; Assumptions'!$L$34,'Model Inputs &amp; Assumptions'!$A$40:$A$42,0))</f>
        <v>373245.080426889</v>
      </c>
      <c r="K3057" s="49" t="n">
        <f aca="false">H3057*INDEX('Model Inputs &amp; Assumptions'!$G$40:$G$42,MATCH('Model Inputs &amp; Assumptions'!$L$34,'Model Inputs &amp; Assumptions'!$A$40:$A$42,0))*INDEX('Model Inputs &amp; Assumptions'!$H$40:$H$42,MATCH('Model Inputs &amp; Assumptions'!$L$34,'Model Inputs &amp; Assumptions'!$A$40:$A$42,0))</f>
        <v>8230.05402341289</v>
      </c>
      <c r="L3057" s="51" t="n">
        <f aca="false">IFERROR(K3057/I3057,0)</f>
        <v>1.62479103378139</v>
      </c>
      <c r="M3057" s="49" t="n">
        <f aca="false">IFERROR(I3057/H3057,0)</f>
        <v>97.7110266484646</v>
      </c>
      <c r="N3057" s="52" t="str">
        <f aca="false">'Model Inputs &amp; Assumptions'!$L$34</f>
        <v>PRD-USIQ</v>
      </c>
      <c r="P3057" s="53" t="n">
        <v>-0.600873</v>
      </c>
      <c r="Q3057" s="53" t="n">
        <v>-1.240733</v>
      </c>
      <c r="R3057" s="53" t="n">
        <v>0.14385</v>
      </c>
      <c r="S3057" s="53" t="n">
        <v>-0.373623</v>
      </c>
    </row>
    <row r="3058" customFormat="false" ht="15" hidden="false" customHeight="false" outlineLevel="0" collapsed="false">
      <c r="A3058" s="43" t="n">
        <v>55</v>
      </c>
      <c r="B3058" s="44" t="str">
        <f aca="false">'Model Inputs &amp; Assumptions'!$B$34</f>
        <v>Meta — Lookalike Feed Video</v>
      </c>
      <c r="C3058" s="45" t="n">
        <f aca="false">ROUND(MAX(0,'Model Inputs &amp; Assumptions'!$S$34*EXP('Model Inputs &amp; Assumptions'!$T$34*P3058-'Model Inputs &amp; Assumptions'!$T$34^2/2)),0)</f>
        <v>462675</v>
      </c>
      <c r="D3058" s="46" t="n">
        <f aca="false">MIN(1,'Model Inputs &amp; Assumptions'!$U$34*EXP('Model Inputs &amp; Assumptions'!$V$34*Q3058-'Model Inputs &amp; Assumptions'!$V$34^2/2))</f>
        <v>0.272378964626314</v>
      </c>
      <c r="E3058" s="45" t="n">
        <f aca="false">ROUND(C3058*D3058,0)</f>
        <v>126023</v>
      </c>
      <c r="F3058" s="47" t="n">
        <f aca="false">MIN(1,'Model Inputs &amp; Assumptions'!$W$34*EXP('Model Inputs &amp; Assumptions'!$X$34*R3058-'Model Inputs &amp; Assumptions'!$X$34^2/2))</f>
        <v>0.00632440152275255</v>
      </c>
      <c r="G3058" s="45" t="n">
        <f aca="false">ROUND(C3058*F3058,0)</f>
        <v>2926</v>
      </c>
      <c r="H3058" s="48" t="n">
        <f aca="false">MAX(0,(C3058*'Model Inputs &amp; Assumptions'!$N$34+E3058*'Model Inputs &amp; Assumptions'!$O$34+G3058*'Model Inputs &amp; Assumptions'!$P$34)*EXP('Model Inputs &amp; Assumptions'!$Q$34*S3058-'Model Inputs &amp; Assumptions'!$Q$34^2/2))</f>
        <v>78.9162273491828</v>
      </c>
      <c r="I3058" s="49" t="n">
        <f aca="false">IF('Model Inputs &amp; Assumptions'!$H$34="Fixed",'Model Inputs &amp; Assumptions'!$I$34*'Model Inputs &amp; Assumptions'!$K$34,IF('Model Inputs &amp; Assumptions'!$H$34="CPM",'Model Inputs &amp; Assumptions'!$I$34*'Model Inputs &amp; Assumptions'!$K$34*C3058/1000,IF('Model Inputs &amp; Assumptions'!$H$34="CPC",'Model Inputs &amp; Assumptions'!$I$34*'Model Inputs &amp; Assumptions'!$K$34*G3058,0)))</f>
        <v>5413.1</v>
      </c>
      <c r="J3058" s="50" t="n">
        <f aca="false">H3058*INDEX('Model Inputs &amp; Assumptions'!$D$40:$D$42,MATCH('Model Inputs &amp; Assumptions'!$L$34,'Model Inputs &amp; Assumptions'!$A$40:$A$42,0))*INDEX('Model Inputs &amp; Assumptions'!$H$40:$H$42,MATCH('Model Inputs &amp; Assumptions'!$L$34,'Model Inputs &amp; Assumptions'!$A$40:$A$42,0))</f>
        <v>568196.836914116</v>
      </c>
      <c r="K3058" s="49" t="n">
        <f aca="false">H3058*INDEX('Model Inputs &amp; Assumptions'!$G$40:$G$42,MATCH('Model Inputs &amp; Assumptions'!$L$34,'Model Inputs &amp; Assumptions'!$A$40:$A$42,0))*INDEX('Model Inputs &amp; Assumptions'!$H$40:$H$42,MATCH('Model Inputs &amp; Assumptions'!$L$34,'Model Inputs &amp; Assumptions'!$A$40:$A$42,0))</f>
        <v>12528.7402539563</v>
      </c>
      <c r="L3058" s="51" t="n">
        <f aca="false">IFERROR(K3058/I3058,0)</f>
        <v>2.3145222245952</v>
      </c>
      <c r="M3058" s="49" t="n">
        <f aca="false">IFERROR(I3058/H3058,0)</f>
        <v>68.5929900836302</v>
      </c>
      <c r="N3058" s="52" t="str">
        <f aca="false">'Model Inputs &amp; Assumptions'!$L$34</f>
        <v>PRD-USIQ</v>
      </c>
      <c r="P3058" s="53" t="n">
        <v>-0.484017</v>
      </c>
      <c r="Q3058" s="53" t="n">
        <v>1.136969</v>
      </c>
      <c r="R3058" s="53" t="n">
        <v>0.382533</v>
      </c>
      <c r="S3058" s="53" t="n">
        <v>0.597711</v>
      </c>
    </row>
    <row r="3059" customFormat="false" ht="15" hidden="false" customHeight="false" outlineLevel="0" collapsed="false">
      <c r="A3059" s="43" t="n">
        <v>56</v>
      </c>
      <c r="B3059" s="44" t="str">
        <f aca="false">'Model Inputs &amp; Assumptions'!$B$34</f>
        <v>Meta — Lookalike Feed Video</v>
      </c>
      <c r="C3059" s="45" t="n">
        <f aca="false">ROUND(MAX(0,'Model Inputs &amp; Assumptions'!$S$34*EXP('Model Inputs &amp; Assumptions'!$T$34*P3059-'Model Inputs &amp; Assumptions'!$T$34^2/2)),0)</f>
        <v>447303</v>
      </c>
      <c r="D3059" s="46" t="n">
        <f aca="false">MIN(1,'Model Inputs &amp; Assumptions'!$U$34*EXP('Model Inputs &amp; Assumptions'!$V$34*Q3059-'Model Inputs &amp; Assumptions'!$V$34^2/2))</f>
        <v>0.209149416688781</v>
      </c>
      <c r="E3059" s="45" t="n">
        <f aca="false">ROUND(C3059*D3059,0)</f>
        <v>93553</v>
      </c>
      <c r="F3059" s="47" t="n">
        <f aca="false">MIN(1,'Model Inputs &amp; Assumptions'!$W$34*EXP('Model Inputs &amp; Assumptions'!$X$34*R3059-'Model Inputs &amp; Assumptions'!$X$34^2/2))</f>
        <v>0.00556713594794847</v>
      </c>
      <c r="G3059" s="45" t="n">
        <f aca="false">ROUND(C3059*F3059,0)</f>
        <v>2490</v>
      </c>
      <c r="H3059" s="48" t="n">
        <f aca="false">MAX(0,(C3059*'Model Inputs &amp; Assumptions'!$N$34+E3059*'Model Inputs &amp; Assumptions'!$O$34+G3059*'Model Inputs &amp; Assumptions'!$P$34)*EXP('Model Inputs &amp; Assumptions'!$Q$34*S3059-'Model Inputs &amp; Assumptions'!$Q$34^2/2))</f>
        <v>51.493188781816</v>
      </c>
      <c r="I3059" s="49" t="n">
        <f aca="false">IF('Model Inputs &amp; Assumptions'!$H$34="Fixed",'Model Inputs &amp; Assumptions'!$I$34*'Model Inputs &amp; Assumptions'!$K$34,IF('Model Inputs &amp; Assumptions'!$H$34="CPM",'Model Inputs &amp; Assumptions'!$I$34*'Model Inputs &amp; Assumptions'!$K$34*C3059/1000,IF('Model Inputs &amp; Assumptions'!$H$34="CPC",'Model Inputs &amp; Assumptions'!$I$34*'Model Inputs &amp; Assumptions'!$K$34*G3059,0)))</f>
        <v>4606.5</v>
      </c>
      <c r="J3059" s="50" t="n">
        <f aca="false">H3059*INDEX('Model Inputs &amp; Assumptions'!$D$40:$D$42,MATCH('Model Inputs &amp; Assumptions'!$L$34,'Model Inputs &amp; Assumptions'!$A$40:$A$42,0))*INDEX('Model Inputs &amp; Assumptions'!$H$40:$H$42,MATCH('Model Inputs &amp; Assumptions'!$L$34,'Model Inputs &amp; Assumptions'!$A$40:$A$42,0))</f>
        <v>370750.959229075</v>
      </c>
      <c r="K3059" s="49" t="n">
        <f aca="false">H3059*INDEX('Model Inputs &amp; Assumptions'!$G$40:$G$42,MATCH('Model Inputs &amp; Assumptions'!$L$34,'Model Inputs &amp; Assumptions'!$A$40:$A$42,0))*INDEX('Model Inputs &amp; Assumptions'!$H$40:$H$42,MATCH('Model Inputs &amp; Assumptions'!$L$34,'Model Inputs &amp; Assumptions'!$A$40:$A$42,0))</f>
        <v>8175.05865100111</v>
      </c>
      <c r="L3059" s="51" t="n">
        <f aca="false">IFERROR(K3059/I3059,0)</f>
        <v>1.774678964724</v>
      </c>
      <c r="M3059" s="49" t="n">
        <f aca="false">IFERROR(I3059/H3059,0)</f>
        <v>89.4584334156969</v>
      </c>
      <c r="N3059" s="52" t="str">
        <f aca="false">'Model Inputs &amp; Assumptions'!$L$34</f>
        <v>PRD-USIQ</v>
      </c>
      <c r="P3059" s="53" t="n">
        <v>-0.652958</v>
      </c>
      <c r="Q3059" s="53" t="n">
        <v>-0.51394</v>
      </c>
      <c r="R3059" s="53" t="n">
        <v>-0.325993</v>
      </c>
      <c r="S3059" s="53" t="n">
        <v>-0.17305</v>
      </c>
    </row>
    <row r="3060" customFormat="false" ht="15" hidden="false" customHeight="false" outlineLevel="0" collapsed="false">
      <c r="A3060" s="43" t="n">
        <v>57</v>
      </c>
      <c r="B3060" s="44" t="str">
        <f aca="false">'Model Inputs &amp; Assumptions'!$B$34</f>
        <v>Meta — Lookalike Feed Video</v>
      </c>
      <c r="C3060" s="45" t="n">
        <f aca="false">ROUND(MAX(0,'Model Inputs &amp; Assumptions'!$S$34*EXP('Model Inputs &amp; Assumptions'!$T$34*P3060-'Model Inputs &amp; Assumptions'!$T$34^2/2)),0)</f>
        <v>596647</v>
      </c>
      <c r="D3060" s="46" t="n">
        <f aca="false">MIN(1,'Model Inputs &amp; Assumptions'!$U$34*EXP('Model Inputs &amp; Assumptions'!$V$34*Q3060-'Model Inputs &amp; Assumptions'!$V$34^2/2))</f>
        <v>0.24162682944517</v>
      </c>
      <c r="E3060" s="45" t="n">
        <f aca="false">ROUND(C3060*D3060,0)</f>
        <v>144166</v>
      </c>
      <c r="F3060" s="47" t="n">
        <f aca="false">MIN(1,'Model Inputs &amp; Assumptions'!$W$34*EXP('Model Inputs &amp; Assumptions'!$X$34*R3060-'Model Inputs &amp; Assumptions'!$X$34^2/2))</f>
        <v>0.00562286842287832</v>
      </c>
      <c r="G3060" s="45" t="n">
        <f aca="false">ROUND(C3060*F3060,0)</f>
        <v>3355</v>
      </c>
      <c r="H3060" s="48" t="n">
        <f aca="false">MAX(0,(C3060*'Model Inputs &amp; Assumptions'!$N$34+E3060*'Model Inputs &amp; Assumptions'!$O$34+G3060*'Model Inputs &amp; Assumptions'!$P$34)*EXP('Model Inputs &amp; Assumptions'!$Q$34*S3060-'Model Inputs &amp; Assumptions'!$Q$34^2/2))</f>
        <v>67.2596686228809</v>
      </c>
      <c r="I3060" s="49" t="n">
        <f aca="false">IF('Model Inputs &amp; Assumptions'!$H$34="Fixed",'Model Inputs &amp; Assumptions'!$I$34*'Model Inputs &amp; Assumptions'!$K$34,IF('Model Inputs &amp; Assumptions'!$H$34="CPM",'Model Inputs &amp; Assumptions'!$I$34*'Model Inputs &amp; Assumptions'!$K$34*C3060/1000,IF('Model Inputs &amp; Assumptions'!$H$34="CPC",'Model Inputs &amp; Assumptions'!$I$34*'Model Inputs &amp; Assumptions'!$K$34*G3060,0)))</f>
        <v>6206.75</v>
      </c>
      <c r="J3060" s="50" t="n">
        <f aca="false">H3060*INDEX('Model Inputs &amp; Assumptions'!$D$40:$D$42,MATCH('Model Inputs &amp; Assumptions'!$L$34,'Model Inputs &amp; Assumptions'!$A$40:$A$42,0))*INDEX('Model Inputs &amp; Assumptions'!$H$40:$H$42,MATCH('Model Inputs &amp; Assumptions'!$L$34,'Model Inputs &amp; Assumptions'!$A$40:$A$42,0))</f>
        <v>484269.614084742</v>
      </c>
      <c r="K3060" s="49" t="n">
        <f aca="false">H3060*INDEX('Model Inputs &amp; Assumptions'!$G$40:$G$42,MATCH('Model Inputs &amp; Assumptions'!$L$34,'Model Inputs &amp; Assumptions'!$A$40:$A$42,0))*INDEX('Model Inputs &amp; Assumptions'!$H$40:$H$42,MATCH('Model Inputs &amp; Assumptions'!$L$34,'Model Inputs &amp; Assumptions'!$A$40:$A$42,0))</f>
        <v>10678.1449905686</v>
      </c>
      <c r="L3060" s="51" t="n">
        <f aca="false">IFERROR(K3060/I3060,0)</f>
        <v>1.72040842479052</v>
      </c>
      <c r="M3060" s="49" t="n">
        <f aca="false">IFERROR(I3060/H3060,0)</f>
        <v>92.2804130183976</v>
      </c>
      <c r="N3060" s="52" t="str">
        <f aca="false">'Model Inputs &amp; Assumptions'!$L$34</f>
        <v>PRD-USIQ</v>
      </c>
      <c r="P3060" s="53" t="n">
        <v>0.787485</v>
      </c>
      <c r="Q3060" s="53" t="n">
        <v>0.38822</v>
      </c>
      <c r="R3060" s="53" t="n">
        <v>-0.270653</v>
      </c>
      <c r="S3060" s="53" t="n">
        <v>-0.328232</v>
      </c>
    </row>
    <row r="3061" customFormat="false" ht="15" hidden="false" customHeight="false" outlineLevel="0" collapsed="false">
      <c r="A3061" s="43" t="n">
        <v>58</v>
      </c>
      <c r="B3061" s="44" t="str">
        <f aca="false">'Model Inputs &amp; Assumptions'!$B$34</f>
        <v>Meta — Lookalike Feed Video</v>
      </c>
      <c r="C3061" s="45" t="n">
        <f aca="false">ROUND(MAX(0,'Model Inputs &amp; Assumptions'!$S$34*EXP('Model Inputs &amp; Assumptions'!$T$34*P3061-'Model Inputs &amp; Assumptions'!$T$34^2/2)),0)</f>
        <v>574738</v>
      </c>
      <c r="D3061" s="46" t="n">
        <f aca="false">MIN(1,'Model Inputs &amp; Assumptions'!$U$34*EXP('Model Inputs &amp; Assumptions'!$V$34*Q3061-'Model Inputs &amp; Assumptions'!$V$34^2/2))</f>
        <v>0.226204936923428</v>
      </c>
      <c r="E3061" s="45" t="n">
        <f aca="false">ROUND(C3061*D3061,0)</f>
        <v>130009</v>
      </c>
      <c r="F3061" s="47" t="n">
        <f aca="false">MIN(1,'Model Inputs &amp; Assumptions'!$W$34*EXP('Model Inputs &amp; Assumptions'!$X$34*R3061-'Model Inputs &amp; Assumptions'!$X$34^2/2))</f>
        <v>0.00535576392021681</v>
      </c>
      <c r="G3061" s="45" t="n">
        <f aca="false">ROUND(C3061*F3061,0)</f>
        <v>3078</v>
      </c>
      <c r="H3061" s="48" t="n">
        <f aca="false">MAX(0,(C3061*'Model Inputs &amp; Assumptions'!$N$34+E3061*'Model Inputs &amp; Assumptions'!$O$34+G3061*'Model Inputs &amp; Assumptions'!$P$34)*EXP('Model Inputs &amp; Assumptions'!$Q$34*S3061-'Model Inputs &amp; Assumptions'!$Q$34^2/2))</f>
        <v>75.5093443325712</v>
      </c>
      <c r="I3061" s="49" t="n">
        <f aca="false">IF('Model Inputs &amp; Assumptions'!$H$34="Fixed",'Model Inputs &amp; Assumptions'!$I$34*'Model Inputs &amp; Assumptions'!$K$34,IF('Model Inputs &amp; Assumptions'!$H$34="CPM",'Model Inputs &amp; Assumptions'!$I$34*'Model Inputs &amp; Assumptions'!$K$34*C3061/1000,IF('Model Inputs &amp; Assumptions'!$H$34="CPC",'Model Inputs &amp; Assumptions'!$I$34*'Model Inputs &amp; Assumptions'!$K$34*G3061,0)))</f>
        <v>5694.3</v>
      </c>
      <c r="J3061" s="50" t="n">
        <f aca="false">H3061*INDEX('Model Inputs &amp; Assumptions'!$D$40:$D$42,MATCH('Model Inputs &amp; Assumptions'!$L$34,'Model Inputs &amp; Assumptions'!$A$40:$A$42,0))*INDEX('Model Inputs &amp; Assumptions'!$H$40:$H$42,MATCH('Model Inputs &amp; Assumptions'!$L$34,'Model Inputs &amp; Assumptions'!$A$40:$A$42,0))</f>
        <v>543667.279194513</v>
      </c>
      <c r="K3061" s="49" t="n">
        <f aca="false">H3061*INDEX('Model Inputs &amp; Assumptions'!$G$40:$G$42,MATCH('Model Inputs &amp; Assumptions'!$L$34,'Model Inputs &amp; Assumptions'!$A$40:$A$42,0))*INDEX('Model Inputs &amp; Assumptions'!$H$40:$H$42,MATCH('Model Inputs &amp; Assumptions'!$L$34,'Model Inputs &amp; Assumptions'!$A$40:$A$42,0))</f>
        <v>11987.863506239</v>
      </c>
      <c r="L3061" s="51" t="n">
        <f aca="false">IFERROR(K3061/I3061,0)</f>
        <v>2.10523918765063</v>
      </c>
      <c r="M3061" s="49" t="n">
        <f aca="false">IFERROR(I3061/H3061,0)</f>
        <v>75.4118586293133</v>
      </c>
      <c r="N3061" s="52" t="str">
        <f aca="false">'Model Inputs &amp; Assumptions'!$L$34</f>
        <v>PRD-USIQ</v>
      </c>
      <c r="P3061" s="53" t="n">
        <v>0.600429</v>
      </c>
      <c r="Q3061" s="53" t="n">
        <v>-0.023987</v>
      </c>
      <c r="R3061" s="53" t="n">
        <v>-0.541034</v>
      </c>
      <c r="S3061" s="53" t="n">
        <v>0.310425</v>
      </c>
    </row>
    <row r="3062" customFormat="false" ht="15" hidden="false" customHeight="false" outlineLevel="0" collapsed="false">
      <c r="A3062" s="43" t="n">
        <v>59</v>
      </c>
      <c r="B3062" s="44" t="str">
        <f aca="false">'Model Inputs &amp; Assumptions'!$B$34</f>
        <v>Meta — Lookalike Feed Video</v>
      </c>
      <c r="C3062" s="45" t="n">
        <f aca="false">ROUND(MAX(0,'Model Inputs &amp; Assumptions'!$S$34*EXP('Model Inputs &amp; Assumptions'!$T$34*P3062-'Model Inputs &amp; Assumptions'!$T$34^2/2)),0)</f>
        <v>752640</v>
      </c>
      <c r="D3062" s="46" t="n">
        <f aca="false">MIN(1,'Model Inputs &amp; Assumptions'!$U$34*EXP('Model Inputs &amp; Assumptions'!$V$34*Q3062-'Model Inputs &amp; Assumptions'!$V$34^2/2))</f>
        <v>0.215157231235261</v>
      </c>
      <c r="E3062" s="45" t="n">
        <f aca="false">ROUND(C3062*D3062,0)</f>
        <v>161936</v>
      </c>
      <c r="F3062" s="47" t="n">
        <f aca="false">MIN(1,'Model Inputs &amp; Assumptions'!$W$34*EXP('Model Inputs &amp; Assumptions'!$X$34*R3062-'Model Inputs &amp; Assumptions'!$X$34^2/2))</f>
        <v>0.00541740559979973</v>
      </c>
      <c r="G3062" s="45" t="n">
        <f aca="false">ROUND(C3062*F3062,0)</f>
        <v>4077</v>
      </c>
      <c r="H3062" s="48" t="n">
        <f aca="false">MAX(0,(C3062*'Model Inputs &amp; Assumptions'!$N$34+E3062*'Model Inputs &amp; Assumptions'!$O$34+G3062*'Model Inputs &amp; Assumptions'!$P$34)*EXP('Model Inputs &amp; Assumptions'!$Q$34*S3062-'Model Inputs &amp; Assumptions'!$Q$34^2/2))</f>
        <v>86.7281863594831</v>
      </c>
      <c r="I3062" s="49" t="n">
        <f aca="false">IF('Model Inputs &amp; Assumptions'!$H$34="Fixed",'Model Inputs &amp; Assumptions'!$I$34*'Model Inputs &amp; Assumptions'!$K$34,IF('Model Inputs &amp; Assumptions'!$H$34="CPM",'Model Inputs &amp; Assumptions'!$I$34*'Model Inputs &amp; Assumptions'!$K$34*C3062/1000,IF('Model Inputs &amp; Assumptions'!$H$34="CPC",'Model Inputs &amp; Assumptions'!$I$34*'Model Inputs &amp; Assumptions'!$K$34*G3062,0)))</f>
        <v>7542.45</v>
      </c>
      <c r="J3062" s="50" t="n">
        <f aca="false">H3062*INDEX('Model Inputs &amp; Assumptions'!$D$40:$D$42,MATCH('Model Inputs &amp; Assumptions'!$L$34,'Model Inputs &amp; Assumptions'!$A$40:$A$42,0))*INDEX('Model Inputs &amp; Assumptions'!$H$40:$H$42,MATCH('Model Inputs &amp; Assumptions'!$L$34,'Model Inputs &amp; Assumptions'!$A$40:$A$42,0))</f>
        <v>624442.941788278</v>
      </c>
      <c r="K3062" s="49" t="n">
        <f aca="false">H3062*INDEX('Model Inputs &amp; Assumptions'!$G$40:$G$42,MATCH('Model Inputs &amp; Assumptions'!$L$34,'Model Inputs &amp; Assumptions'!$A$40:$A$42,0))*INDEX('Model Inputs &amp; Assumptions'!$H$40:$H$42,MATCH('Model Inputs &amp; Assumptions'!$L$34,'Model Inputs &amp; Assumptions'!$A$40:$A$42,0))</f>
        <v>13768.9668664315</v>
      </c>
      <c r="L3062" s="51" t="n">
        <f aca="false">IFERROR(K3062/I3062,0)</f>
        <v>1.82552975046988</v>
      </c>
      <c r="M3062" s="49" t="n">
        <f aca="false">IFERROR(I3062/H3062,0)</f>
        <v>86.9665366774419</v>
      </c>
      <c r="N3062" s="52" t="str">
        <f aca="false">'Model Inputs &amp; Assumptions'!$L$34</f>
        <v>PRD-USIQ</v>
      </c>
      <c r="P3062" s="53" t="n">
        <v>1.948791</v>
      </c>
      <c r="Q3062" s="53" t="n">
        <v>-0.336939</v>
      </c>
      <c r="R3062" s="53" t="n">
        <v>-0.477458</v>
      </c>
      <c r="S3062" s="53" t="n">
        <v>-0.108021</v>
      </c>
    </row>
    <row r="3063" customFormat="false" ht="15" hidden="false" customHeight="false" outlineLevel="0" collapsed="false">
      <c r="A3063" s="43" t="n">
        <v>60</v>
      </c>
      <c r="B3063" s="44" t="str">
        <f aca="false">'Model Inputs &amp; Assumptions'!$B$34</f>
        <v>Meta — Lookalike Feed Video</v>
      </c>
      <c r="C3063" s="45" t="n">
        <f aca="false">ROUND(MAX(0,'Model Inputs &amp; Assumptions'!$S$34*EXP('Model Inputs &amp; Assumptions'!$T$34*P3063-'Model Inputs &amp; Assumptions'!$T$34^2/2)),0)</f>
        <v>642659</v>
      </c>
      <c r="D3063" s="46" t="n">
        <f aca="false">MIN(1,'Model Inputs &amp; Assumptions'!$U$34*EXP('Model Inputs &amp; Assumptions'!$V$34*Q3063-'Model Inputs &amp; Assumptions'!$V$34^2/2))</f>
        <v>0.211906112057357</v>
      </c>
      <c r="E3063" s="45" t="n">
        <f aca="false">ROUND(C3063*D3063,0)</f>
        <v>136183</v>
      </c>
      <c r="F3063" s="47" t="n">
        <f aca="false">MIN(1,'Model Inputs &amp; Assumptions'!$W$34*EXP('Model Inputs &amp; Assumptions'!$X$34*R3063-'Model Inputs &amp; Assumptions'!$X$34^2/2))</f>
        <v>0.00492634162762907</v>
      </c>
      <c r="G3063" s="45" t="n">
        <f aca="false">ROUND(C3063*F3063,0)</f>
        <v>3166</v>
      </c>
      <c r="H3063" s="48" t="n">
        <f aca="false">MAX(0,(C3063*'Model Inputs &amp; Assumptions'!$N$34+E3063*'Model Inputs &amp; Assumptions'!$O$34+G3063*'Model Inputs &amp; Assumptions'!$P$34)*EXP('Model Inputs &amp; Assumptions'!$Q$34*S3063-'Model Inputs &amp; Assumptions'!$Q$34^2/2))</f>
        <v>48.3583175629577</v>
      </c>
      <c r="I3063" s="49" t="n">
        <f aca="false">IF('Model Inputs &amp; Assumptions'!$H$34="Fixed",'Model Inputs &amp; Assumptions'!$I$34*'Model Inputs &amp; Assumptions'!$K$34,IF('Model Inputs &amp; Assumptions'!$H$34="CPM",'Model Inputs &amp; Assumptions'!$I$34*'Model Inputs &amp; Assumptions'!$K$34*C3063/1000,IF('Model Inputs &amp; Assumptions'!$H$34="CPC",'Model Inputs &amp; Assumptions'!$I$34*'Model Inputs &amp; Assumptions'!$K$34*G3063,0)))</f>
        <v>5857.1</v>
      </c>
      <c r="J3063" s="50" t="n">
        <f aca="false">H3063*INDEX('Model Inputs &amp; Assumptions'!$D$40:$D$42,MATCH('Model Inputs &amp; Assumptions'!$L$34,'Model Inputs &amp; Assumptions'!$A$40:$A$42,0))*INDEX('Model Inputs &amp; Assumptions'!$H$40:$H$42,MATCH('Model Inputs &amp; Assumptions'!$L$34,'Model Inputs &amp; Assumptions'!$A$40:$A$42,0))</f>
        <v>348179.886453296</v>
      </c>
      <c r="K3063" s="49" t="n">
        <f aca="false">H3063*INDEX('Model Inputs &amp; Assumptions'!$G$40:$G$42,MATCH('Model Inputs &amp; Assumptions'!$L$34,'Model Inputs &amp; Assumptions'!$A$40:$A$42,0))*INDEX('Model Inputs &amp; Assumptions'!$H$40:$H$42,MATCH('Model Inputs &amp; Assumptions'!$L$34,'Model Inputs &amp; Assumptions'!$A$40:$A$42,0))</f>
        <v>7677.36649629517</v>
      </c>
      <c r="L3063" s="51" t="n">
        <f aca="false">IFERROR(K3063/I3063,0)</f>
        <v>1.31077948068074</v>
      </c>
      <c r="M3063" s="49" t="n">
        <f aca="false">IFERROR(I3063/H3063,0)</f>
        <v>121.118771189147</v>
      </c>
      <c r="N3063" s="52" t="str">
        <f aca="false">'Model Inputs &amp; Assumptions'!$L$34</f>
        <v>PRD-USIQ</v>
      </c>
      <c r="P3063" s="53" t="n">
        <v>1.158927</v>
      </c>
      <c r="Q3063" s="53" t="n">
        <v>-0.4321</v>
      </c>
      <c r="R3063" s="53" t="n">
        <v>-1.005349</v>
      </c>
      <c r="S3063" s="53" t="n">
        <v>-1.17851</v>
      </c>
    </row>
    <row r="3064" customFormat="false" ht="15" hidden="false" customHeight="false" outlineLevel="0" collapsed="false">
      <c r="A3064" s="43" t="n">
        <v>61</v>
      </c>
      <c r="B3064" s="44" t="str">
        <f aca="false">'Model Inputs &amp; Assumptions'!$B$34</f>
        <v>Meta — Lookalike Feed Video</v>
      </c>
      <c r="C3064" s="45" t="n">
        <f aca="false">ROUND(MAX(0,'Model Inputs &amp; Assumptions'!$S$34*EXP('Model Inputs &amp; Assumptions'!$T$34*P3064-'Model Inputs &amp; Assumptions'!$T$34^2/2)),0)</f>
        <v>597852</v>
      </c>
      <c r="D3064" s="46" t="n">
        <f aca="false">MIN(1,'Model Inputs &amp; Assumptions'!$U$34*EXP('Model Inputs &amp; Assumptions'!$V$34*Q3064-'Model Inputs &amp; Assumptions'!$V$34^2/2))</f>
        <v>0.30432681975559</v>
      </c>
      <c r="E3064" s="45" t="n">
        <f aca="false">ROUND(C3064*D3064,0)</f>
        <v>181942</v>
      </c>
      <c r="F3064" s="47" t="n">
        <f aca="false">MIN(1,'Model Inputs &amp; Assumptions'!$W$34*EXP('Model Inputs &amp; Assumptions'!$X$34*R3064-'Model Inputs &amp; Assumptions'!$X$34^2/2))</f>
        <v>0.00492608359261261</v>
      </c>
      <c r="G3064" s="45" t="n">
        <f aca="false">ROUND(C3064*F3064,0)</f>
        <v>2945</v>
      </c>
      <c r="H3064" s="48" t="n">
        <f aca="false">MAX(0,(C3064*'Model Inputs &amp; Assumptions'!$N$34+E3064*'Model Inputs &amp; Assumptions'!$O$34+G3064*'Model Inputs &amp; Assumptions'!$P$34)*EXP('Model Inputs &amp; Assumptions'!$Q$34*S3064-'Model Inputs &amp; Assumptions'!$Q$34^2/2))</f>
        <v>79.4135933729226</v>
      </c>
      <c r="I3064" s="49" t="n">
        <f aca="false">IF('Model Inputs &amp; Assumptions'!$H$34="Fixed",'Model Inputs &amp; Assumptions'!$I$34*'Model Inputs &amp; Assumptions'!$K$34,IF('Model Inputs &amp; Assumptions'!$H$34="CPM",'Model Inputs &amp; Assumptions'!$I$34*'Model Inputs &amp; Assumptions'!$K$34*C3064/1000,IF('Model Inputs &amp; Assumptions'!$H$34="CPC",'Model Inputs &amp; Assumptions'!$I$34*'Model Inputs &amp; Assumptions'!$K$34*G3064,0)))</f>
        <v>5448.25</v>
      </c>
      <c r="J3064" s="50" t="n">
        <f aca="false">H3064*INDEX('Model Inputs &amp; Assumptions'!$D$40:$D$42,MATCH('Model Inputs &amp; Assumptions'!$L$34,'Model Inputs &amp; Assumptions'!$A$40:$A$42,0))*INDEX('Model Inputs &amp; Assumptions'!$H$40:$H$42,MATCH('Model Inputs &amp; Assumptions'!$L$34,'Model Inputs &amp; Assumptions'!$A$40:$A$42,0))</f>
        <v>571777.872285043</v>
      </c>
      <c r="K3064" s="49" t="n">
        <f aca="false">H3064*INDEX('Model Inputs &amp; Assumptions'!$G$40:$G$42,MATCH('Model Inputs &amp; Assumptions'!$L$34,'Model Inputs &amp; Assumptions'!$A$40:$A$42,0))*INDEX('Model Inputs &amp; Assumptions'!$H$40:$H$42,MATCH('Model Inputs &amp; Assumptions'!$L$34,'Model Inputs &amp; Assumptions'!$A$40:$A$42,0))</f>
        <v>12607.7020838852</v>
      </c>
      <c r="L3064" s="51" t="n">
        <f aca="false">IFERROR(K3064/I3064,0)</f>
        <v>2.31408288604326</v>
      </c>
      <c r="M3064" s="49" t="n">
        <f aca="false">IFERROR(I3064/H3064,0)</f>
        <v>68.6060127567237</v>
      </c>
      <c r="N3064" s="52" t="str">
        <f aca="false">'Model Inputs &amp; Assumptions'!$L$34</f>
        <v>PRD-USIQ</v>
      </c>
      <c r="P3064" s="53" t="n">
        <v>0.797574</v>
      </c>
      <c r="Q3064" s="53" t="n">
        <v>1.830143</v>
      </c>
      <c r="R3064" s="53" t="n">
        <v>-1.00564</v>
      </c>
      <c r="S3064" s="53" t="n">
        <v>0.403724</v>
      </c>
    </row>
    <row r="3065" customFormat="false" ht="15" hidden="false" customHeight="false" outlineLevel="0" collapsed="false">
      <c r="A3065" s="43" t="n">
        <v>62</v>
      </c>
      <c r="B3065" s="44" t="str">
        <f aca="false">'Model Inputs &amp; Assumptions'!$B$34</f>
        <v>Meta — Lookalike Feed Video</v>
      </c>
      <c r="C3065" s="45" t="n">
        <f aca="false">ROUND(MAX(0,'Model Inputs &amp; Assumptions'!$S$34*EXP('Model Inputs &amp; Assumptions'!$T$34*P3065-'Model Inputs &amp; Assumptions'!$T$34^2/2)),0)</f>
        <v>707675</v>
      </c>
      <c r="D3065" s="46" t="n">
        <f aca="false">MIN(1,'Model Inputs &amp; Assumptions'!$U$34*EXP('Model Inputs &amp; Assumptions'!$V$34*Q3065-'Model Inputs &amp; Assumptions'!$V$34^2/2))</f>
        <v>0.200980319217266</v>
      </c>
      <c r="E3065" s="45" t="n">
        <f aca="false">ROUND(C3065*D3065,0)</f>
        <v>142229</v>
      </c>
      <c r="F3065" s="47" t="n">
        <f aca="false">MIN(1,'Model Inputs &amp; Assumptions'!$W$34*EXP('Model Inputs &amp; Assumptions'!$X$34*R3065-'Model Inputs &amp; Assumptions'!$X$34^2/2))</f>
        <v>0.00503740419751058</v>
      </c>
      <c r="G3065" s="45" t="n">
        <f aca="false">ROUND(C3065*F3065,0)</f>
        <v>3565</v>
      </c>
      <c r="H3065" s="48" t="n">
        <f aca="false">MAX(0,(C3065*'Model Inputs &amp; Assumptions'!$N$34+E3065*'Model Inputs &amp; Assumptions'!$O$34+G3065*'Model Inputs &amp; Assumptions'!$P$34)*EXP('Model Inputs &amp; Assumptions'!$Q$34*S3065-'Model Inputs &amp; Assumptions'!$Q$34^2/2))</f>
        <v>84.0488666311438</v>
      </c>
      <c r="I3065" s="49" t="n">
        <f aca="false">IF('Model Inputs &amp; Assumptions'!$H$34="Fixed",'Model Inputs &amp; Assumptions'!$I$34*'Model Inputs &amp; Assumptions'!$K$34,IF('Model Inputs &amp; Assumptions'!$H$34="CPM",'Model Inputs &amp; Assumptions'!$I$34*'Model Inputs &amp; Assumptions'!$K$34*C3065/1000,IF('Model Inputs &amp; Assumptions'!$H$34="CPC",'Model Inputs &amp; Assumptions'!$I$34*'Model Inputs &amp; Assumptions'!$K$34*G3065,0)))</f>
        <v>6595.25</v>
      </c>
      <c r="J3065" s="50" t="n">
        <f aca="false">H3065*INDEX('Model Inputs &amp; Assumptions'!$D$40:$D$42,MATCH('Model Inputs &amp; Assumptions'!$L$34,'Model Inputs &amp; Assumptions'!$A$40:$A$42,0))*INDEX('Model Inputs &amp; Assumptions'!$H$40:$H$42,MATCH('Model Inputs &amp; Assumptions'!$L$34,'Model Inputs &amp; Assumptions'!$A$40:$A$42,0))</f>
        <v>605151.839744235</v>
      </c>
      <c r="K3065" s="49" t="n">
        <f aca="false">H3065*INDEX('Model Inputs &amp; Assumptions'!$G$40:$G$42,MATCH('Model Inputs &amp; Assumptions'!$L$34,'Model Inputs &amp; Assumptions'!$A$40:$A$42,0))*INDEX('Model Inputs &amp; Assumptions'!$H$40:$H$42,MATCH('Model Inputs &amp; Assumptions'!$L$34,'Model Inputs &amp; Assumptions'!$A$40:$A$42,0))</f>
        <v>13343.5980663604</v>
      </c>
      <c r="L3065" s="51" t="n">
        <f aca="false">IFERROR(K3065/I3065,0)</f>
        <v>2.02321338332291</v>
      </c>
      <c r="M3065" s="49" t="n">
        <f aca="false">IFERROR(I3065/H3065,0)</f>
        <v>78.4692318213387</v>
      </c>
      <c r="N3065" s="52" t="str">
        <f aca="false">'Model Inputs &amp; Assumptions'!$L$34</f>
        <v>PRD-USIQ</v>
      </c>
      <c r="P3065" s="53" t="n">
        <v>1.640782</v>
      </c>
      <c r="Q3065" s="53" t="n">
        <v>-0.762952</v>
      </c>
      <c r="R3065" s="53" t="n">
        <v>-0.881492</v>
      </c>
      <c r="S3065" s="53" t="n">
        <v>0.211378</v>
      </c>
    </row>
    <row r="3066" customFormat="false" ht="15" hidden="false" customHeight="false" outlineLevel="0" collapsed="false">
      <c r="A3066" s="43" t="n">
        <v>63</v>
      </c>
      <c r="B3066" s="44" t="str">
        <f aca="false">'Model Inputs &amp; Assumptions'!$B$34</f>
        <v>Meta — Lookalike Feed Video</v>
      </c>
      <c r="C3066" s="45" t="n">
        <f aca="false">ROUND(MAX(0,'Model Inputs &amp; Assumptions'!$S$34*EXP('Model Inputs &amp; Assumptions'!$T$34*P3066-'Model Inputs &amp; Assumptions'!$T$34^2/2)),0)</f>
        <v>486312</v>
      </c>
      <c r="D3066" s="46" t="n">
        <f aca="false">MIN(1,'Model Inputs &amp; Assumptions'!$U$34*EXP('Model Inputs &amp; Assumptions'!$V$34*Q3066-'Model Inputs &amp; Assumptions'!$V$34^2/2))</f>
        <v>0.214973376219607</v>
      </c>
      <c r="E3066" s="45" t="n">
        <f aca="false">ROUND(C3066*D3066,0)</f>
        <v>104544</v>
      </c>
      <c r="F3066" s="47" t="n">
        <f aca="false">MIN(1,'Model Inputs &amp; Assumptions'!$W$34*EXP('Model Inputs &amp; Assumptions'!$X$34*R3066-'Model Inputs &amp; Assumptions'!$X$34^2/2))</f>
        <v>0.00707093506451885</v>
      </c>
      <c r="G3066" s="45" t="n">
        <f aca="false">ROUND(C3066*F3066,0)</f>
        <v>3439</v>
      </c>
      <c r="H3066" s="48" t="n">
        <f aca="false">MAX(0,(C3066*'Model Inputs &amp; Assumptions'!$N$34+E3066*'Model Inputs &amp; Assumptions'!$O$34+G3066*'Model Inputs &amp; Assumptions'!$P$34)*EXP('Model Inputs &amp; Assumptions'!$Q$34*S3066-'Model Inputs &amp; Assumptions'!$Q$34^2/2))</f>
        <v>70.1188109856372</v>
      </c>
      <c r="I3066" s="49" t="n">
        <f aca="false">IF('Model Inputs &amp; Assumptions'!$H$34="Fixed",'Model Inputs &amp; Assumptions'!$I$34*'Model Inputs &amp; Assumptions'!$K$34,IF('Model Inputs &amp; Assumptions'!$H$34="CPM",'Model Inputs &amp; Assumptions'!$I$34*'Model Inputs &amp; Assumptions'!$K$34*C3066/1000,IF('Model Inputs &amp; Assumptions'!$H$34="CPC",'Model Inputs &amp; Assumptions'!$I$34*'Model Inputs &amp; Assumptions'!$K$34*G3066,0)))</f>
        <v>6362.15</v>
      </c>
      <c r="J3066" s="50" t="n">
        <f aca="false">H3066*INDEX('Model Inputs &amp; Assumptions'!$D$40:$D$42,MATCH('Model Inputs &amp; Assumptions'!$L$34,'Model Inputs &amp; Assumptions'!$A$40:$A$42,0))*INDEX('Model Inputs &amp; Assumptions'!$H$40:$H$42,MATCH('Model Inputs &amp; Assumptions'!$L$34,'Model Inputs &amp; Assumptions'!$A$40:$A$42,0))</f>
        <v>504855.439096588</v>
      </c>
      <c r="K3066" s="49" t="n">
        <f aca="false">H3066*INDEX('Model Inputs &amp; Assumptions'!$G$40:$G$42,MATCH('Model Inputs &amp; Assumptions'!$L$34,'Model Inputs &amp; Assumptions'!$A$40:$A$42,0))*INDEX('Model Inputs &amp; Assumptions'!$H$40:$H$42,MATCH('Model Inputs &amp; Assumptions'!$L$34,'Model Inputs &amp; Assumptions'!$A$40:$A$42,0))</f>
        <v>11132.0624320798</v>
      </c>
      <c r="L3066" s="51" t="n">
        <f aca="false">IFERROR(K3066/I3066,0)</f>
        <v>1.74973278405567</v>
      </c>
      <c r="M3066" s="49" t="n">
        <f aca="false">IFERROR(I3066/H3066,0)</f>
        <v>90.7338545900784</v>
      </c>
      <c r="N3066" s="52" t="str">
        <f aca="false">'Model Inputs &amp; Assumptions'!$L$34</f>
        <v>PRD-USIQ</v>
      </c>
      <c r="P3066" s="53" t="n">
        <v>-0.234893</v>
      </c>
      <c r="Q3066" s="53" t="n">
        <v>-0.342282</v>
      </c>
      <c r="R3066" s="53" t="n">
        <v>1.002407</v>
      </c>
      <c r="S3066" s="53" t="n">
        <v>-0.138364</v>
      </c>
    </row>
    <row r="3067" customFormat="false" ht="15" hidden="false" customHeight="false" outlineLevel="0" collapsed="false">
      <c r="A3067" s="43" t="n">
        <v>64</v>
      </c>
      <c r="B3067" s="44" t="str">
        <f aca="false">'Model Inputs &amp; Assumptions'!$B$34</f>
        <v>Meta — Lookalike Feed Video</v>
      </c>
      <c r="C3067" s="45" t="n">
        <f aca="false">ROUND(MAX(0,'Model Inputs &amp; Assumptions'!$S$34*EXP('Model Inputs &amp; Assumptions'!$T$34*P3067-'Model Inputs &amp; Assumptions'!$T$34^2/2)),0)</f>
        <v>687070</v>
      </c>
      <c r="D3067" s="46" t="n">
        <f aca="false">MIN(1,'Model Inputs &amp; Assumptions'!$U$34*EXP('Model Inputs &amp; Assumptions'!$V$34*Q3067-'Model Inputs &amp; Assumptions'!$V$34^2/2))</f>
        <v>0.300309289604035</v>
      </c>
      <c r="E3067" s="45" t="n">
        <f aca="false">ROUND(C3067*D3067,0)</f>
        <v>206334</v>
      </c>
      <c r="F3067" s="47" t="n">
        <f aca="false">MIN(1,'Model Inputs &amp; Assumptions'!$W$34*EXP('Model Inputs &amp; Assumptions'!$X$34*R3067-'Model Inputs &amp; Assumptions'!$X$34^2/2))</f>
        <v>0.00448110258660744</v>
      </c>
      <c r="G3067" s="45" t="n">
        <f aca="false">ROUND(C3067*F3067,0)</f>
        <v>3079</v>
      </c>
      <c r="H3067" s="48" t="n">
        <f aca="false">MAX(0,(C3067*'Model Inputs &amp; Assumptions'!$N$34+E3067*'Model Inputs &amp; Assumptions'!$O$34+G3067*'Model Inputs &amp; Assumptions'!$P$34)*EXP('Model Inputs &amp; Assumptions'!$Q$34*S3067-'Model Inputs &amp; Assumptions'!$Q$34^2/2))</f>
        <v>75.9481145595947</v>
      </c>
      <c r="I3067" s="49" t="n">
        <f aca="false">IF('Model Inputs &amp; Assumptions'!$H$34="Fixed",'Model Inputs &amp; Assumptions'!$I$34*'Model Inputs &amp; Assumptions'!$K$34,IF('Model Inputs &amp; Assumptions'!$H$34="CPM",'Model Inputs &amp; Assumptions'!$I$34*'Model Inputs &amp; Assumptions'!$K$34*C3067/1000,IF('Model Inputs &amp; Assumptions'!$H$34="CPC",'Model Inputs &amp; Assumptions'!$I$34*'Model Inputs &amp; Assumptions'!$K$34*G3067,0)))</f>
        <v>5696.15</v>
      </c>
      <c r="J3067" s="50" t="n">
        <f aca="false">H3067*INDEX('Model Inputs &amp; Assumptions'!$D$40:$D$42,MATCH('Model Inputs &amp; Assumptions'!$L$34,'Model Inputs &amp; Assumptions'!$A$40:$A$42,0))*INDEX('Model Inputs &amp; Assumptions'!$H$40:$H$42,MATCH('Model Inputs &amp; Assumptions'!$L$34,'Model Inputs &amp; Assumptions'!$A$40:$A$42,0))</f>
        <v>546826.424829082</v>
      </c>
      <c r="K3067" s="49" t="n">
        <f aca="false">H3067*INDEX('Model Inputs &amp; Assumptions'!$G$40:$G$42,MATCH('Model Inputs &amp; Assumptions'!$L$34,'Model Inputs &amp; Assumptions'!$A$40:$A$42,0))*INDEX('Model Inputs &amp; Assumptions'!$H$40:$H$42,MATCH('Model Inputs &amp; Assumptions'!$L$34,'Model Inputs &amp; Assumptions'!$A$40:$A$42,0))</f>
        <v>12057.5226674813</v>
      </c>
      <c r="L3067" s="51" t="n">
        <f aca="false">IFERROR(K3067/I3067,0)</f>
        <v>2.11678461197146</v>
      </c>
      <c r="M3067" s="49" t="n">
        <f aca="false">IFERROR(I3067/H3067,0)</f>
        <v>75.0005452147251</v>
      </c>
      <c r="N3067" s="52" t="str">
        <f aca="false">'Model Inputs &amp; Assumptions'!$L$34</f>
        <v>PRD-USIQ</v>
      </c>
      <c r="P3067" s="53" t="n">
        <v>1.493035</v>
      </c>
      <c r="Q3067" s="53" t="n">
        <v>1.747085</v>
      </c>
      <c r="R3067" s="53" t="n">
        <v>-1.531613</v>
      </c>
      <c r="S3067" s="53" t="n">
        <v>0.07322</v>
      </c>
    </row>
    <row r="3068" customFormat="false" ht="15" hidden="false" customHeight="false" outlineLevel="0" collapsed="false">
      <c r="A3068" s="43" t="n">
        <v>65</v>
      </c>
      <c r="B3068" s="44" t="str">
        <f aca="false">'Model Inputs &amp; Assumptions'!$B$34</f>
        <v>Meta — Lookalike Feed Video</v>
      </c>
      <c r="C3068" s="45" t="n">
        <f aca="false">ROUND(MAX(0,'Model Inputs &amp; Assumptions'!$S$34*EXP('Model Inputs &amp; Assumptions'!$T$34*P3068-'Model Inputs &amp; Assumptions'!$T$34^2/2)),0)</f>
        <v>510864</v>
      </c>
      <c r="D3068" s="46" t="n">
        <f aca="false">MIN(1,'Model Inputs &amp; Assumptions'!$U$34*EXP('Model Inputs &amp; Assumptions'!$V$34*Q3068-'Model Inputs &amp; Assumptions'!$V$34^2/2))</f>
        <v>0.25907092578048</v>
      </c>
      <c r="E3068" s="45" t="n">
        <f aca="false">ROUND(C3068*D3068,0)</f>
        <v>132350</v>
      </c>
      <c r="F3068" s="47" t="n">
        <f aca="false">MIN(1,'Model Inputs &amp; Assumptions'!$W$34*EXP('Model Inputs &amp; Assumptions'!$X$34*R3068-'Model Inputs &amp; Assumptions'!$X$34^2/2))</f>
        <v>0.00625111850932151</v>
      </c>
      <c r="G3068" s="45" t="n">
        <f aca="false">ROUND(C3068*F3068,0)</f>
        <v>3193</v>
      </c>
      <c r="H3068" s="48" t="n">
        <f aca="false">MAX(0,(C3068*'Model Inputs &amp; Assumptions'!$N$34+E3068*'Model Inputs &amp; Assumptions'!$O$34+G3068*'Model Inputs &amp; Assumptions'!$P$34)*EXP('Model Inputs &amp; Assumptions'!$Q$34*S3068-'Model Inputs &amp; Assumptions'!$Q$34^2/2))</f>
        <v>102.920340427889</v>
      </c>
      <c r="I3068" s="49" t="n">
        <f aca="false">IF('Model Inputs &amp; Assumptions'!$H$34="Fixed",'Model Inputs &amp; Assumptions'!$I$34*'Model Inputs &amp; Assumptions'!$K$34,IF('Model Inputs &amp; Assumptions'!$H$34="CPM",'Model Inputs &amp; Assumptions'!$I$34*'Model Inputs &amp; Assumptions'!$K$34*C3068/1000,IF('Model Inputs &amp; Assumptions'!$H$34="CPC",'Model Inputs &amp; Assumptions'!$I$34*'Model Inputs &amp; Assumptions'!$K$34*G3068,0)))</f>
        <v>5907.05</v>
      </c>
      <c r="J3068" s="50" t="n">
        <f aca="false">H3068*INDEX('Model Inputs &amp; Assumptions'!$D$40:$D$42,MATCH('Model Inputs &amp; Assumptions'!$L$34,'Model Inputs &amp; Assumptions'!$A$40:$A$42,0))*INDEX('Model Inputs &amp; Assumptions'!$H$40:$H$42,MATCH('Model Inputs &amp; Assumptions'!$L$34,'Model Inputs &amp; Assumptions'!$A$40:$A$42,0))</f>
        <v>741026.451080802</v>
      </c>
      <c r="K3068" s="49" t="n">
        <f aca="false">H3068*INDEX('Model Inputs &amp; Assumptions'!$G$40:$G$42,MATCH('Model Inputs &amp; Assumptions'!$L$34,'Model Inputs &amp; Assumptions'!$A$40:$A$42,0))*INDEX('Model Inputs &amp; Assumptions'!$H$40:$H$42,MATCH('Model Inputs &amp; Assumptions'!$L$34,'Model Inputs &amp; Assumptions'!$A$40:$A$42,0))</f>
        <v>16339.6332463317</v>
      </c>
      <c r="L3068" s="51" t="n">
        <f aca="false">IFERROR(K3068/I3068,0)</f>
        <v>2.76612407992681</v>
      </c>
      <c r="M3068" s="49" t="n">
        <f aca="false">IFERROR(I3068/H3068,0)</f>
        <v>57.394388470166</v>
      </c>
      <c r="N3068" s="52" t="str">
        <f aca="false">'Model Inputs &amp; Assumptions'!$L$34</f>
        <v>PRD-USIQ</v>
      </c>
      <c r="P3068" s="53" t="n">
        <v>0.011377</v>
      </c>
      <c r="Q3068" s="53" t="n">
        <v>0.823891</v>
      </c>
      <c r="R3068" s="53" t="n">
        <v>0.317783</v>
      </c>
      <c r="S3068" s="53" t="n">
        <v>1.172045</v>
      </c>
    </row>
    <row r="3069" customFormat="false" ht="15" hidden="false" customHeight="false" outlineLevel="0" collapsed="false">
      <c r="A3069" s="43" t="n">
        <v>66</v>
      </c>
      <c r="B3069" s="44" t="str">
        <f aca="false">'Model Inputs &amp; Assumptions'!$B$34</f>
        <v>Meta — Lookalike Feed Video</v>
      </c>
      <c r="C3069" s="45" t="n">
        <f aca="false">ROUND(MAX(0,'Model Inputs &amp; Assumptions'!$S$34*EXP('Model Inputs &amp; Assumptions'!$T$34*P3069-'Model Inputs &amp; Assumptions'!$T$34^2/2)),0)</f>
        <v>421520</v>
      </c>
      <c r="D3069" s="46" t="n">
        <f aca="false">MIN(1,'Model Inputs &amp; Assumptions'!$U$34*EXP('Model Inputs &amp; Assumptions'!$V$34*Q3069-'Model Inputs &amp; Assumptions'!$V$34^2/2))</f>
        <v>0.216011772588438</v>
      </c>
      <c r="E3069" s="45" t="n">
        <f aca="false">ROUND(C3069*D3069,0)</f>
        <v>91053</v>
      </c>
      <c r="F3069" s="47" t="n">
        <f aca="false">MIN(1,'Model Inputs &amp; Assumptions'!$W$34*EXP('Model Inputs &amp; Assumptions'!$X$34*R3069-'Model Inputs &amp; Assumptions'!$X$34^2/2))</f>
        <v>0.00803944386057433</v>
      </c>
      <c r="G3069" s="45" t="n">
        <f aca="false">ROUND(C3069*F3069,0)</f>
        <v>3389</v>
      </c>
      <c r="H3069" s="48" t="n">
        <f aca="false">MAX(0,(C3069*'Model Inputs &amp; Assumptions'!$N$34+E3069*'Model Inputs &amp; Assumptions'!$O$34+G3069*'Model Inputs &amp; Assumptions'!$P$34)*EXP('Model Inputs &amp; Assumptions'!$Q$34*S3069-'Model Inputs &amp; Assumptions'!$Q$34^2/2))</f>
        <v>75.6183637363771</v>
      </c>
      <c r="I3069" s="49" t="n">
        <f aca="false">IF('Model Inputs &amp; Assumptions'!$H$34="Fixed",'Model Inputs &amp; Assumptions'!$I$34*'Model Inputs &amp; Assumptions'!$K$34,IF('Model Inputs &amp; Assumptions'!$H$34="CPM",'Model Inputs &amp; Assumptions'!$I$34*'Model Inputs &amp; Assumptions'!$K$34*C3069/1000,IF('Model Inputs &amp; Assumptions'!$H$34="CPC",'Model Inputs &amp; Assumptions'!$I$34*'Model Inputs &amp; Assumptions'!$K$34*G3069,0)))</f>
        <v>6269.65</v>
      </c>
      <c r="J3069" s="50" t="n">
        <f aca="false">H3069*INDEX('Model Inputs &amp; Assumptions'!$D$40:$D$42,MATCH('Model Inputs &amp; Assumptions'!$L$34,'Model Inputs &amp; Assumptions'!$A$40:$A$42,0))*INDEX('Model Inputs &amp; Assumptions'!$H$40:$H$42,MATCH('Model Inputs &amp; Assumptions'!$L$34,'Model Inputs &amp; Assumptions'!$A$40:$A$42,0))</f>
        <v>544452.218901915</v>
      </c>
      <c r="K3069" s="49" t="n">
        <f aca="false">H3069*INDEX('Model Inputs &amp; Assumptions'!$G$40:$G$42,MATCH('Model Inputs &amp; Assumptions'!$L$34,'Model Inputs &amp; Assumptions'!$A$40:$A$42,0))*INDEX('Model Inputs &amp; Assumptions'!$H$40:$H$42,MATCH('Model Inputs &amp; Assumptions'!$L$34,'Model Inputs &amp; Assumptions'!$A$40:$A$42,0))</f>
        <v>12005.1714267872</v>
      </c>
      <c r="L3069" s="51" t="n">
        <f aca="false">IFERROR(K3069/I3069,0)</f>
        <v>1.91480727421582</v>
      </c>
      <c r="M3069" s="49" t="n">
        <f aca="false">IFERROR(I3069/H3069,0)</f>
        <v>82.9117385012116</v>
      </c>
      <c r="N3069" s="52" t="str">
        <f aca="false">'Model Inputs &amp; Assumptions'!$L$34</f>
        <v>PRD-USIQ</v>
      </c>
      <c r="P3069" s="53" t="n">
        <v>-0.949804</v>
      </c>
      <c r="Q3069" s="53" t="n">
        <v>-0.312165</v>
      </c>
      <c r="R3069" s="53" t="n">
        <v>1.715558</v>
      </c>
      <c r="S3069" s="53" t="n">
        <v>0.182984</v>
      </c>
    </row>
    <row r="3070" customFormat="false" ht="15" hidden="false" customHeight="false" outlineLevel="0" collapsed="false">
      <c r="A3070" s="43" t="n">
        <v>67</v>
      </c>
      <c r="B3070" s="44" t="str">
        <f aca="false">'Model Inputs &amp; Assumptions'!$B$34</f>
        <v>Meta — Lookalike Feed Video</v>
      </c>
      <c r="C3070" s="45" t="n">
        <f aca="false">ROUND(MAX(0,'Model Inputs &amp; Assumptions'!$S$34*EXP('Model Inputs &amp; Assumptions'!$T$34*P3070-'Model Inputs &amp; Assumptions'!$T$34^2/2)),0)</f>
        <v>412112</v>
      </c>
      <c r="D3070" s="46" t="n">
        <f aca="false">MIN(1,'Model Inputs &amp; Assumptions'!$U$34*EXP('Model Inputs &amp; Assumptions'!$V$34*Q3070-'Model Inputs &amp; Assumptions'!$V$34^2/2))</f>
        <v>0.23355629705417</v>
      </c>
      <c r="E3070" s="45" t="n">
        <f aca="false">ROUND(C3070*D3070,0)</f>
        <v>96251</v>
      </c>
      <c r="F3070" s="47" t="n">
        <f aca="false">MIN(1,'Model Inputs &amp; Assumptions'!$W$34*EXP('Model Inputs &amp; Assumptions'!$X$34*R3070-'Model Inputs &amp; Assumptions'!$X$34^2/2))</f>
        <v>0.00569729379462889</v>
      </c>
      <c r="G3070" s="45" t="n">
        <f aca="false">ROUND(C3070*F3070,0)</f>
        <v>2348</v>
      </c>
      <c r="H3070" s="48" t="n">
        <f aca="false">MAX(0,(C3070*'Model Inputs &amp; Assumptions'!$N$34+E3070*'Model Inputs &amp; Assumptions'!$O$34+G3070*'Model Inputs &amp; Assumptions'!$P$34)*EXP('Model Inputs &amp; Assumptions'!$Q$34*S3070-'Model Inputs &amp; Assumptions'!$Q$34^2/2))</f>
        <v>101.604278359153</v>
      </c>
      <c r="I3070" s="49" t="n">
        <f aca="false">IF('Model Inputs &amp; Assumptions'!$H$34="Fixed",'Model Inputs &amp; Assumptions'!$I$34*'Model Inputs &amp; Assumptions'!$K$34,IF('Model Inputs &amp; Assumptions'!$H$34="CPM",'Model Inputs &amp; Assumptions'!$I$34*'Model Inputs &amp; Assumptions'!$K$34*C3070/1000,IF('Model Inputs &amp; Assumptions'!$H$34="CPC",'Model Inputs &amp; Assumptions'!$I$34*'Model Inputs &amp; Assumptions'!$K$34*G3070,0)))</f>
        <v>4343.8</v>
      </c>
      <c r="J3070" s="50" t="n">
        <f aca="false">H3070*INDEX('Model Inputs &amp; Assumptions'!$D$40:$D$42,MATCH('Model Inputs &amp; Assumptions'!$L$34,'Model Inputs &amp; Assumptions'!$A$40:$A$42,0))*INDEX('Model Inputs &amp; Assumptions'!$H$40:$H$42,MATCH('Model Inputs &amp; Assumptions'!$L$34,'Model Inputs &amp; Assumptions'!$A$40:$A$42,0))</f>
        <v>731550.804185903</v>
      </c>
      <c r="K3070" s="49" t="n">
        <f aca="false">H3070*INDEX('Model Inputs &amp; Assumptions'!$G$40:$G$42,MATCH('Model Inputs &amp; Assumptions'!$L$34,'Model Inputs &amp; Assumptions'!$A$40:$A$42,0))*INDEX('Model Inputs &amp; Assumptions'!$H$40:$H$42,MATCH('Model Inputs &amp; Assumptions'!$L$34,'Model Inputs &amp; Assumptions'!$A$40:$A$42,0))</f>
        <v>16130.6952322992</v>
      </c>
      <c r="L3070" s="51" t="n">
        <f aca="false">IFERROR(K3070/I3070,0)</f>
        <v>3.71349860313531</v>
      </c>
      <c r="M3070" s="49" t="n">
        <f aca="false">IFERROR(I3070/H3070,0)</f>
        <v>42.7521367224856</v>
      </c>
      <c r="N3070" s="52" t="str">
        <f aca="false">'Model Inputs &amp; Assumptions'!$L$34</f>
        <v>PRD-USIQ</v>
      </c>
      <c r="P3070" s="53" t="n">
        <v>-1.062671</v>
      </c>
      <c r="Q3070" s="53" t="n">
        <v>0.175899</v>
      </c>
      <c r="R3070" s="53" t="n">
        <v>-0.197601</v>
      </c>
      <c r="S3070" s="53" t="n">
        <v>2.09735</v>
      </c>
    </row>
    <row r="3071" customFormat="false" ht="15" hidden="false" customHeight="false" outlineLevel="0" collapsed="false">
      <c r="A3071" s="43" t="n">
        <v>68</v>
      </c>
      <c r="B3071" s="44" t="str">
        <f aca="false">'Model Inputs &amp; Assumptions'!$B$34</f>
        <v>Meta — Lookalike Feed Video</v>
      </c>
      <c r="C3071" s="45" t="n">
        <f aca="false">ROUND(MAX(0,'Model Inputs &amp; Assumptions'!$S$34*EXP('Model Inputs &amp; Assumptions'!$T$34*P3071-'Model Inputs &amp; Assumptions'!$T$34^2/2)),0)</f>
        <v>460305</v>
      </c>
      <c r="D3071" s="46" t="n">
        <f aca="false">MIN(1,'Model Inputs &amp; Assumptions'!$U$34*EXP('Model Inputs &amp; Assumptions'!$V$34*Q3071-'Model Inputs &amp; Assumptions'!$V$34^2/2))</f>
        <v>0.207328752323283</v>
      </c>
      <c r="E3071" s="45" t="n">
        <f aca="false">ROUND(C3071*D3071,0)</f>
        <v>95434</v>
      </c>
      <c r="F3071" s="47" t="n">
        <f aca="false">MIN(1,'Model Inputs &amp; Assumptions'!$W$34*EXP('Model Inputs &amp; Assumptions'!$X$34*R3071-'Model Inputs &amp; Assumptions'!$X$34^2/2))</f>
        <v>0.00440264126898135</v>
      </c>
      <c r="G3071" s="45" t="n">
        <f aca="false">ROUND(C3071*F3071,0)</f>
        <v>2027</v>
      </c>
      <c r="H3071" s="48" t="n">
        <f aca="false">MAX(0,(C3071*'Model Inputs &amp; Assumptions'!$N$34+E3071*'Model Inputs &amp; Assumptions'!$O$34+G3071*'Model Inputs &amp; Assumptions'!$P$34)*EXP('Model Inputs &amp; Assumptions'!$Q$34*S3071-'Model Inputs &amp; Assumptions'!$Q$34^2/2))</f>
        <v>32.8812597211237</v>
      </c>
      <c r="I3071" s="49" t="n">
        <f aca="false">IF('Model Inputs &amp; Assumptions'!$H$34="Fixed",'Model Inputs &amp; Assumptions'!$I$34*'Model Inputs &amp; Assumptions'!$K$34,IF('Model Inputs &amp; Assumptions'!$H$34="CPM",'Model Inputs &amp; Assumptions'!$I$34*'Model Inputs &amp; Assumptions'!$K$34*C3071/1000,IF('Model Inputs &amp; Assumptions'!$H$34="CPC",'Model Inputs &amp; Assumptions'!$I$34*'Model Inputs &amp; Assumptions'!$K$34*G3071,0)))</f>
        <v>3749.95</v>
      </c>
      <c r="J3071" s="50" t="n">
        <f aca="false">H3071*INDEX('Model Inputs &amp; Assumptions'!$D$40:$D$42,MATCH('Model Inputs &amp; Assumptions'!$L$34,'Model Inputs &amp; Assumptions'!$A$40:$A$42,0))*INDEX('Model Inputs &amp; Assumptions'!$H$40:$H$42,MATCH('Model Inputs &amp; Assumptions'!$L$34,'Model Inputs &amp; Assumptions'!$A$40:$A$42,0))</f>
        <v>236745.069992091</v>
      </c>
      <c r="K3071" s="49" t="n">
        <f aca="false">H3071*INDEX('Model Inputs &amp; Assumptions'!$G$40:$G$42,MATCH('Model Inputs &amp; Assumptions'!$L$34,'Model Inputs &amp; Assumptions'!$A$40:$A$42,0))*INDEX('Model Inputs &amp; Assumptions'!$H$40:$H$42,MATCH('Model Inputs &amp; Assumptions'!$L$34,'Model Inputs &amp; Assumptions'!$A$40:$A$42,0))</f>
        <v>5220.2287933256</v>
      </c>
      <c r="L3071" s="51" t="n">
        <f aca="false">IFERROR(K3071/I3071,0)</f>
        <v>1.39207957261446</v>
      </c>
      <c r="M3071" s="49" t="n">
        <f aca="false">IFERROR(I3071/H3071,0)</f>
        <v>114.045204831095</v>
      </c>
      <c r="N3071" s="52" t="str">
        <f aca="false">'Model Inputs &amp; Assumptions'!$L$34</f>
        <v>PRD-USIQ</v>
      </c>
      <c r="P3071" s="53" t="n">
        <v>-0.509698</v>
      </c>
      <c r="Q3071" s="53" t="n">
        <v>-0.568585</v>
      </c>
      <c r="R3071" s="53" t="n">
        <v>-1.629749</v>
      </c>
      <c r="S3071" s="53" t="n">
        <v>-1.033536</v>
      </c>
    </row>
    <row r="3072" customFormat="false" ht="15" hidden="false" customHeight="false" outlineLevel="0" collapsed="false">
      <c r="A3072" s="43" t="n">
        <v>69</v>
      </c>
      <c r="B3072" s="44" t="str">
        <f aca="false">'Model Inputs &amp; Assumptions'!$B$34</f>
        <v>Meta — Lookalike Feed Video</v>
      </c>
      <c r="C3072" s="45" t="n">
        <f aca="false">ROUND(MAX(0,'Model Inputs &amp; Assumptions'!$S$34*EXP('Model Inputs &amp; Assumptions'!$T$34*P3072-'Model Inputs &amp; Assumptions'!$T$34^2/2)),0)</f>
        <v>516367</v>
      </c>
      <c r="D3072" s="46" t="n">
        <f aca="false">MIN(1,'Model Inputs &amp; Assumptions'!$U$34*EXP('Model Inputs &amp; Assumptions'!$V$34*Q3072-'Model Inputs &amp; Assumptions'!$V$34^2/2))</f>
        <v>0.280001956017937</v>
      </c>
      <c r="E3072" s="45" t="n">
        <f aca="false">ROUND(C3072*D3072,0)</f>
        <v>144584</v>
      </c>
      <c r="F3072" s="47" t="n">
        <f aca="false">MIN(1,'Model Inputs &amp; Assumptions'!$W$34*EXP('Model Inputs &amp; Assumptions'!$X$34*R3072-'Model Inputs &amp; Assumptions'!$X$34^2/2))</f>
        <v>0.00445312790485933</v>
      </c>
      <c r="G3072" s="45" t="n">
        <f aca="false">ROUND(C3072*F3072,0)</f>
        <v>2299</v>
      </c>
      <c r="H3072" s="48" t="n">
        <f aca="false">MAX(0,(C3072*'Model Inputs &amp; Assumptions'!$N$34+E3072*'Model Inputs &amp; Assumptions'!$O$34+G3072*'Model Inputs &amp; Assumptions'!$P$34)*EXP('Model Inputs &amp; Assumptions'!$Q$34*S3072-'Model Inputs &amp; Assumptions'!$Q$34^2/2))</f>
        <v>61.9816131909241</v>
      </c>
      <c r="I3072" s="49" t="n">
        <f aca="false">IF('Model Inputs &amp; Assumptions'!$H$34="Fixed",'Model Inputs &amp; Assumptions'!$I$34*'Model Inputs &amp; Assumptions'!$K$34,IF('Model Inputs &amp; Assumptions'!$H$34="CPM",'Model Inputs &amp; Assumptions'!$I$34*'Model Inputs &amp; Assumptions'!$K$34*C3072/1000,IF('Model Inputs &amp; Assumptions'!$H$34="CPC",'Model Inputs &amp; Assumptions'!$I$34*'Model Inputs &amp; Assumptions'!$K$34*G3072,0)))</f>
        <v>4253.15</v>
      </c>
      <c r="J3072" s="50" t="n">
        <f aca="false">H3072*INDEX('Model Inputs &amp; Assumptions'!$D$40:$D$42,MATCH('Model Inputs &amp; Assumptions'!$L$34,'Model Inputs &amp; Assumptions'!$A$40:$A$42,0))*INDEX('Model Inputs &amp; Assumptions'!$H$40:$H$42,MATCH('Model Inputs &amp; Assumptions'!$L$34,'Model Inputs &amp; Assumptions'!$A$40:$A$42,0))</f>
        <v>446267.614974654</v>
      </c>
      <c r="K3072" s="49" t="n">
        <f aca="false">H3072*INDEX('Model Inputs &amp; Assumptions'!$G$40:$G$42,MATCH('Model Inputs &amp; Assumptions'!$L$34,'Model Inputs &amp; Assumptions'!$A$40:$A$42,0))*INDEX('Model Inputs &amp; Assumptions'!$H$40:$H$42,MATCH('Model Inputs &amp; Assumptions'!$L$34,'Model Inputs &amp; Assumptions'!$A$40:$A$42,0))</f>
        <v>9840.20091019111</v>
      </c>
      <c r="L3072" s="51" t="n">
        <f aca="false">IFERROR(K3072/I3072,0)</f>
        <v>2.31362658504664</v>
      </c>
      <c r="M3072" s="49" t="n">
        <f aca="false">IFERROR(I3072/H3072,0)</f>
        <v>68.6195434587815</v>
      </c>
      <c r="N3072" s="52" t="str">
        <f aca="false">'Model Inputs &amp; Assumptions'!$L$34</f>
        <v>PRD-USIQ</v>
      </c>
      <c r="P3072" s="53" t="n">
        <v>0.064945</v>
      </c>
      <c r="Q3072" s="53" t="n">
        <v>1.309483</v>
      </c>
      <c r="R3072" s="53" t="n">
        <v>-1.566404</v>
      </c>
      <c r="S3072" s="53" t="n">
        <v>0.392002</v>
      </c>
    </row>
    <row r="3073" customFormat="false" ht="15" hidden="false" customHeight="false" outlineLevel="0" collapsed="false">
      <c r="A3073" s="43" t="n">
        <v>70</v>
      </c>
      <c r="B3073" s="44" t="str">
        <f aca="false">'Model Inputs &amp; Assumptions'!$B$34</f>
        <v>Meta — Lookalike Feed Video</v>
      </c>
      <c r="C3073" s="45" t="n">
        <f aca="false">ROUND(MAX(0,'Model Inputs &amp; Assumptions'!$S$34*EXP('Model Inputs &amp; Assumptions'!$T$34*P3073-'Model Inputs &amp; Assumptions'!$T$34^2/2)),0)</f>
        <v>333830</v>
      </c>
      <c r="D3073" s="46" t="n">
        <f aca="false">MIN(1,'Model Inputs &amp; Assumptions'!$U$34*EXP('Model Inputs &amp; Assumptions'!$V$34*Q3073-'Model Inputs &amp; Assumptions'!$V$34^2/2))</f>
        <v>0.230061464211253</v>
      </c>
      <c r="E3073" s="45" t="n">
        <f aca="false">ROUND(C3073*D3073,0)</f>
        <v>76801</v>
      </c>
      <c r="F3073" s="47" t="n">
        <f aca="false">MIN(1,'Model Inputs &amp; Assumptions'!$W$34*EXP('Model Inputs &amp; Assumptions'!$X$34*R3073-'Model Inputs &amp; Assumptions'!$X$34^2/2))</f>
        <v>0.00618527216691568</v>
      </c>
      <c r="G3073" s="45" t="n">
        <f aca="false">ROUND(C3073*F3073,0)</f>
        <v>2065</v>
      </c>
      <c r="H3073" s="48" t="n">
        <f aca="false">MAX(0,(C3073*'Model Inputs &amp; Assumptions'!$N$34+E3073*'Model Inputs &amp; Assumptions'!$O$34+G3073*'Model Inputs &amp; Assumptions'!$P$34)*EXP('Model Inputs &amp; Assumptions'!$Q$34*S3073-'Model Inputs &amp; Assumptions'!$Q$34^2/2))</f>
        <v>38.8590203678664</v>
      </c>
      <c r="I3073" s="49" t="n">
        <f aca="false">IF('Model Inputs &amp; Assumptions'!$H$34="Fixed",'Model Inputs &amp; Assumptions'!$I$34*'Model Inputs &amp; Assumptions'!$K$34,IF('Model Inputs &amp; Assumptions'!$H$34="CPM",'Model Inputs &amp; Assumptions'!$I$34*'Model Inputs &amp; Assumptions'!$K$34*C3073/1000,IF('Model Inputs &amp; Assumptions'!$H$34="CPC",'Model Inputs &amp; Assumptions'!$I$34*'Model Inputs &amp; Assumptions'!$K$34*G3073,0)))</f>
        <v>3820.25</v>
      </c>
      <c r="J3073" s="50" t="n">
        <f aca="false">H3073*INDEX('Model Inputs &amp; Assumptions'!$D$40:$D$42,MATCH('Model Inputs &amp; Assumptions'!$L$34,'Model Inputs &amp; Assumptions'!$A$40:$A$42,0))*INDEX('Model Inputs &amp; Assumptions'!$H$40:$H$42,MATCH('Model Inputs &amp; Assumptions'!$L$34,'Model Inputs &amp; Assumptions'!$A$40:$A$42,0))</f>
        <v>279784.946648638</v>
      </c>
      <c r="K3073" s="49" t="n">
        <f aca="false">H3073*INDEX('Model Inputs &amp; Assumptions'!$G$40:$G$42,MATCH('Model Inputs &amp; Assumptions'!$L$34,'Model Inputs &amp; Assumptions'!$A$40:$A$42,0))*INDEX('Model Inputs &amp; Assumptions'!$H$40:$H$42,MATCH('Model Inputs &amp; Assumptions'!$L$34,'Model Inputs &amp; Assumptions'!$A$40:$A$42,0))</f>
        <v>6169.25807360248</v>
      </c>
      <c r="L3073" s="51" t="n">
        <f aca="false">IFERROR(K3073/I3073,0)</f>
        <v>1.61488333842091</v>
      </c>
      <c r="M3073" s="49" t="n">
        <f aca="false">IFERROR(I3073/H3073,0)</f>
        <v>98.3105071572794</v>
      </c>
      <c r="N3073" s="52" t="str">
        <f aca="false">'Model Inputs &amp; Assumptions'!$L$34</f>
        <v>PRD-USIQ</v>
      </c>
      <c r="P3073" s="53" t="n">
        <v>-2.115982</v>
      </c>
      <c r="Q3073" s="53" t="n">
        <v>0.08167</v>
      </c>
      <c r="R3073" s="53" t="n">
        <v>0.258953</v>
      </c>
      <c r="S3073" s="53" t="n">
        <v>-0.463786</v>
      </c>
    </row>
    <row r="3074" customFormat="false" ht="15" hidden="false" customHeight="false" outlineLevel="0" collapsed="false">
      <c r="A3074" s="43" t="n">
        <v>71</v>
      </c>
      <c r="B3074" s="44" t="str">
        <f aca="false">'Model Inputs &amp; Assumptions'!$B$34</f>
        <v>Meta — Lookalike Feed Video</v>
      </c>
      <c r="C3074" s="45" t="n">
        <f aca="false">ROUND(MAX(0,'Model Inputs &amp; Assumptions'!$S$34*EXP('Model Inputs &amp; Assumptions'!$T$34*P3074-'Model Inputs &amp; Assumptions'!$T$34^2/2)),0)</f>
        <v>478428</v>
      </c>
      <c r="D3074" s="46" t="n">
        <f aca="false">MIN(1,'Model Inputs &amp; Assumptions'!$U$34*EXP('Model Inputs &amp; Assumptions'!$V$34*Q3074-'Model Inputs &amp; Assumptions'!$V$34^2/2))</f>
        <v>0.20900055530504</v>
      </c>
      <c r="E3074" s="45" t="n">
        <f aca="false">ROUND(C3074*D3074,0)</f>
        <v>99992</v>
      </c>
      <c r="F3074" s="47" t="n">
        <f aca="false">MIN(1,'Model Inputs &amp; Assumptions'!$W$34*EXP('Model Inputs &amp; Assumptions'!$X$34*R3074-'Model Inputs &amp; Assumptions'!$X$34^2/2))</f>
        <v>0.0056097040785853</v>
      </c>
      <c r="G3074" s="45" t="n">
        <f aca="false">ROUND(C3074*F3074,0)</f>
        <v>2684</v>
      </c>
      <c r="H3074" s="48" t="n">
        <f aca="false">MAX(0,(C3074*'Model Inputs &amp; Assumptions'!$N$34+E3074*'Model Inputs &amp; Assumptions'!$O$34+G3074*'Model Inputs &amp; Assumptions'!$P$34)*EXP('Model Inputs &amp; Assumptions'!$Q$34*S3074-'Model Inputs &amp; Assumptions'!$Q$34^2/2))</f>
        <v>43.3366610831875</v>
      </c>
      <c r="I3074" s="49" t="n">
        <f aca="false">IF('Model Inputs &amp; Assumptions'!$H$34="Fixed",'Model Inputs &amp; Assumptions'!$I$34*'Model Inputs &amp; Assumptions'!$K$34,IF('Model Inputs &amp; Assumptions'!$H$34="CPM",'Model Inputs &amp; Assumptions'!$I$34*'Model Inputs &amp; Assumptions'!$K$34*C3074/1000,IF('Model Inputs &amp; Assumptions'!$H$34="CPC",'Model Inputs &amp; Assumptions'!$I$34*'Model Inputs &amp; Assumptions'!$K$34*G3074,0)))</f>
        <v>4965.4</v>
      </c>
      <c r="J3074" s="50" t="n">
        <f aca="false">H3074*INDEX('Model Inputs &amp; Assumptions'!$D$40:$D$42,MATCH('Model Inputs &amp; Assumptions'!$L$34,'Model Inputs &amp; Assumptions'!$A$40:$A$42,0))*INDEX('Model Inputs &amp; Assumptions'!$H$40:$H$42,MATCH('Model Inputs &amp; Assumptions'!$L$34,'Model Inputs &amp; Assumptions'!$A$40:$A$42,0))</f>
        <v>312023.95979895</v>
      </c>
      <c r="K3074" s="49" t="n">
        <f aca="false">H3074*INDEX('Model Inputs &amp; Assumptions'!$G$40:$G$42,MATCH('Model Inputs &amp; Assumptions'!$L$34,'Model Inputs &amp; Assumptions'!$A$40:$A$42,0))*INDEX('Model Inputs &amp; Assumptions'!$H$40:$H$42,MATCH('Model Inputs &amp; Assumptions'!$L$34,'Model Inputs &amp; Assumptions'!$A$40:$A$42,0))</f>
        <v>6880.12831356685</v>
      </c>
      <c r="L3074" s="51" t="n">
        <f aca="false">IFERROR(K3074/I3074,0)</f>
        <v>1.38561411237098</v>
      </c>
      <c r="M3074" s="49" t="n">
        <f aca="false">IFERROR(I3074/H3074,0)</f>
        <v>114.577354966701</v>
      </c>
      <c r="N3074" s="52" t="str">
        <f aca="false">'Model Inputs &amp; Assumptions'!$L$34</f>
        <v>PRD-USIQ</v>
      </c>
      <c r="P3074" s="53" t="n">
        <v>-0.316613</v>
      </c>
      <c r="Q3074" s="53" t="n">
        <v>-0.51839</v>
      </c>
      <c r="R3074" s="53" t="n">
        <v>-0.283675</v>
      </c>
      <c r="S3074" s="53" t="n">
        <v>-0.94297</v>
      </c>
    </row>
    <row r="3075" customFormat="false" ht="15" hidden="false" customHeight="false" outlineLevel="0" collapsed="false">
      <c r="A3075" s="43" t="n">
        <v>72</v>
      </c>
      <c r="B3075" s="44" t="str">
        <f aca="false">'Model Inputs &amp; Assumptions'!$B$34</f>
        <v>Meta — Lookalike Feed Video</v>
      </c>
      <c r="C3075" s="45" t="n">
        <f aca="false">ROUND(MAX(0,'Model Inputs &amp; Assumptions'!$S$34*EXP('Model Inputs &amp; Assumptions'!$T$34*P3075-'Model Inputs &amp; Assumptions'!$T$34^2/2)),0)</f>
        <v>382719</v>
      </c>
      <c r="D3075" s="46" t="n">
        <f aca="false">MIN(1,'Model Inputs &amp; Assumptions'!$U$34*EXP('Model Inputs &amp; Assumptions'!$V$34*Q3075-'Model Inputs &amp; Assumptions'!$V$34^2/2))</f>
        <v>0.211534060679726</v>
      </c>
      <c r="E3075" s="45" t="n">
        <f aca="false">ROUND(C3075*D3075,0)</f>
        <v>80958</v>
      </c>
      <c r="F3075" s="47" t="n">
        <f aca="false">MIN(1,'Model Inputs &amp; Assumptions'!$W$34*EXP('Model Inputs &amp; Assumptions'!$X$34*R3075-'Model Inputs &amp; Assumptions'!$X$34^2/2))</f>
        <v>0.00683536389860811</v>
      </c>
      <c r="G3075" s="45" t="n">
        <f aca="false">ROUND(C3075*F3075,0)</f>
        <v>2616</v>
      </c>
      <c r="H3075" s="48" t="n">
        <f aca="false">MAX(0,(C3075*'Model Inputs &amp; Assumptions'!$N$34+E3075*'Model Inputs &amp; Assumptions'!$O$34+G3075*'Model Inputs &amp; Assumptions'!$P$34)*EXP('Model Inputs &amp; Assumptions'!$Q$34*S3075-'Model Inputs &amp; Assumptions'!$Q$34^2/2))</f>
        <v>59.1534710232667</v>
      </c>
      <c r="I3075" s="49" t="n">
        <f aca="false">IF('Model Inputs &amp; Assumptions'!$H$34="Fixed",'Model Inputs &amp; Assumptions'!$I$34*'Model Inputs &amp; Assumptions'!$K$34,IF('Model Inputs &amp; Assumptions'!$H$34="CPM",'Model Inputs &amp; Assumptions'!$I$34*'Model Inputs &amp; Assumptions'!$K$34*C3075/1000,IF('Model Inputs &amp; Assumptions'!$H$34="CPC",'Model Inputs &amp; Assumptions'!$I$34*'Model Inputs &amp; Assumptions'!$K$34*G3075,0)))</f>
        <v>4839.6</v>
      </c>
      <c r="J3075" s="50" t="n">
        <f aca="false">H3075*INDEX('Model Inputs &amp; Assumptions'!$D$40:$D$42,MATCH('Model Inputs &amp; Assumptions'!$L$34,'Model Inputs &amp; Assumptions'!$A$40:$A$42,0))*INDEX('Model Inputs &amp; Assumptions'!$H$40:$H$42,MATCH('Model Inputs &amp; Assumptions'!$L$34,'Model Inputs &amp; Assumptions'!$A$40:$A$42,0))</f>
        <v>425904.99136752</v>
      </c>
      <c r="K3075" s="49" t="n">
        <f aca="false">H3075*INDEX('Model Inputs &amp; Assumptions'!$G$40:$G$42,MATCH('Model Inputs &amp; Assumptions'!$L$34,'Model Inputs &amp; Assumptions'!$A$40:$A$42,0))*INDEX('Model Inputs &amp; Assumptions'!$H$40:$H$42,MATCH('Model Inputs &amp; Assumptions'!$L$34,'Model Inputs &amp; Assumptions'!$A$40:$A$42,0))</f>
        <v>9391.20505965382</v>
      </c>
      <c r="L3075" s="51" t="n">
        <f aca="false">IFERROR(K3075/I3075,0)</f>
        <v>1.94049199513468</v>
      </c>
      <c r="M3075" s="49" t="n">
        <f aca="false">IFERROR(I3075/H3075,0)</f>
        <v>81.8143029695832</v>
      </c>
      <c r="N3075" s="52" t="str">
        <f aca="false">'Model Inputs &amp; Assumptions'!$L$34</f>
        <v>PRD-USIQ</v>
      </c>
      <c r="P3075" s="53" t="n">
        <v>-1.432639</v>
      </c>
      <c r="Q3075" s="53" t="n">
        <v>-0.443083</v>
      </c>
      <c r="R3075" s="53" t="n">
        <v>0.814168</v>
      </c>
      <c r="S3075" s="53" t="n">
        <v>0.178908</v>
      </c>
    </row>
    <row r="3076" customFormat="false" ht="15" hidden="false" customHeight="false" outlineLevel="0" collapsed="false">
      <c r="A3076" s="43" t="n">
        <v>73</v>
      </c>
      <c r="B3076" s="44" t="str">
        <f aca="false">'Model Inputs &amp; Assumptions'!$B$34</f>
        <v>Meta — Lookalike Feed Video</v>
      </c>
      <c r="C3076" s="45" t="n">
        <f aca="false">ROUND(MAX(0,'Model Inputs &amp; Assumptions'!$S$34*EXP('Model Inputs &amp; Assumptions'!$T$34*P3076-'Model Inputs &amp; Assumptions'!$T$34^2/2)),0)</f>
        <v>558693</v>
      </c>
      <c r="D3076" s="46" t="n">
        <f aca="false">MIN(1,'Model Inputs &amp; Assumptions'!$U$34*EXP('Model Inputs &amp; Assumptions'!$V$34*Q3076-'Model Inputs &amp; Assumptions'!$V$34^2/2))</f>
        <v>0.20006263828187</v>
      </c>
      <c r="E3076" s="45" t="n">
        <f aca="false">ROUND(C3076*D3076,0)</f>
        <v>111774</v>
      </c>
      <c r="F3076" s="47" t="n">
        <f aca="false">MIN(1,'Model Inputs &amp; Assumptions'!$W$34*EXP('Model Inputs &amp; Assumptions'!$X$34*R3076-'Model Inputs &amp; Assumptions'!$X$34^2/2))</f>
        <v>0.00679128484154118</v>
      </c>
      <c r="G3076" s="45" t="n">
        <f aca="false">ROUND(C3076*F3076,0)</f>
        <v>3794</v>
      </c>
      <c r="H3076" s="48" t="n">
        <f aca="false">MAX(0,(C3076*'Model Inputs &amp; Assumptions'!$N$34+E3076*'Model Inputs &amp; Assumptions'!$O$34+G3076*'Model Inputs &amp; Assumptions'!$P$34)*EXP('Model Inputs &amp; Assumptions'!$Q$34*S3076-'Model Inputs &amp; Assumptions'!$Q$34^2/2))</f>
        <v>118.946217832198</v>
      </c>
      <c r="I3076" s="49" t="n">
        <f aca="false">IF('Model Inputs &amp; Assumptions'!$H$34="Fixed",'Model Inputs &amp; Assumptions'!$I$34*'Model Inputs &amp; Assumptions'!$K$34,IF('Model Inputs &amp; Assumptions'!$H$34="CPM",'Model Inputs &amp; Assumptions'!$I$34*'Model Inputs &amp; Assumptions'!$K$34*C3076/1000,IF('Model Inputs &amp; Assumptions'!$H$34="CPC",'Model Inputs &amp; Assumptions'!$I$34*'Model Inputs &amp; Assumptions'!$K$34*G3076,0)))</f>
        <v>7018.9</v>
      </c>
      <c r="J3076" s="50" t="n">
        <f aca="false">H3076*INDEX('Model Inputs &amp; Assumptions'!$D$40:$D$42,MATCH('Model Inputs &amp; Assumptions'!$L$34,'Model Inputs &amp; Assumptions'!$A$40:$A$42,0))*INDEX('Model Inputs &amp; Assumptions'!$H$40:$H$42,MATCH('Model Inputs &amp; Assumptions'!$L$34,'Model Inputs &amp; Assumptions'!$A$40:$A$42,0))</f>
        <v>856412.768391825</v>
      </c>
      <c r="K3076" s="49" t="n">
        <f aca="false">H3076*INDEX('Model Inputs &amp; Assumptions'!$G$40:$G$42,MATCH('Model Inputs &amp; Assumptions'!$L$34,'Model Inputs &amp; Assumptions'!$A$40:$A$42,0))*INDEX('Model Inputs &amp; Assumptions'!$H$40:$H$42,MATCH('Model Inputs &amp; Assumptions'!$L$34,'Model Inputs &amp; Assumptions'!$A$40:$A$42,0))</f>
        <v>18883.9015430397</v>
      </c>
      <c r="L3076" s="51" t="n">
        <f aca="false">IFERROR(K3076/I3076,0)</f>
        <v>2.69043604311783</v>
      </c>
      <c r="M3076" s="49" t="n">
        <f aca="false">IFERROR(I3076/H3076,0)</f>
        <v>59.0090221271419</v>
      </c>
      <c r="N3076" s="52" t="str">
        <f aca="false">'Model Inputs &amp; Assumptions'!$L$34</f>
        <v>PRD-USIQ</v>
      </c>
      <c r="P3076" s="53" t="n">
        <v>0.458855</v>
      </c>
      <c r="Q3076" s="53" t="n">
        <v>-0.791555</v>
      </c>
      <c r="R3076" s="53" t="n">
        <v>0.778226</v>
      </c>
      <c r="S3076" s="53" t="n">
        <v>1.216617</v>
      </c>
    </row>
    <row r="3077" customFormat="false" ht="15" hidden="false" customHeight="false" outlineLevel="0" collapsed="false">
      <c r="A3077" s="43" t="n">
        <v>74</v>
      </c>
      <c r="B3077" s="44" t="str">
        <f aca="false">'Model Inputs &amp; Assumptions'!$B$34</f>
        <v>Meta — Lookalike Feed Video</v>
      </c>
      <c r="C3077" s="45" t="n">
        <f aca="false">ROUND(MAX(0,'Model Inputs &amp; Assumptions'!$S$34*EXP('Model Inputs &amp; Assumptions'!$T$34*P3077-'Model Inputs &amp; Assumptions'!$T$34^2/2)),0)</f>
        <v>498588</v>
      </c>
      <c r="D3077" s="46" t="n">
        <f aca="false">MIN(1,'Model Inputs &amp; Assumptions'!$U$34*EXP('Model Inputs &amp; Assumptions'!$V$34*Q3077-'Model Inputs &amp; Assumptions'!$V$34^2/2))</f>
        <v>0.258258677584267</v>
      </c>
      <c r="E3077" s="45" t="n">
        <f aca="false">ROUND(C3077*D3077,0)</f>
        <v>128765</v>
      </c>
      <c r="F3077" s="47" t="n">
        <f aca="false">MIN(1,'Model Inputs &amp; Assumptions'!$W$34*EXP('Model Inputs &amp; Assumptions'!$X$34*R3077-'Model Inputs &amp; Assumptions'!$X$34^2/2))</f>
        <v>0.00537806405979059</v>
      </c>
      <c r="G3077" s="45" t="n">
        <f aca="false">ROUND(C3077*F3077,0)</f>
        <v>2681</v>
      </c>
      <c r="H3077" s="48" t="n">
        <f aca="false">MAX(0,(C3077*'Model Inputs &amp; Assumptions'!$N$34+E3077*'Model Inputs &amp; Assumptions'!$O$34+G3077*'Model Inputs &amp; Assumptions'!$P$34)*EXP('Model Inputs &amp; Assumptions'!$Q$34*S3077-'Model Inputs &amp; Assumptions'!$Q$34^2/2))</f>
        <v>82.9671971608132</v>
      </c>
      <c r="I3077" s="49" t="n">
        <f aca="false">IF('Model Inputs &amp; Assumptions'!$H$34="Fixed",'Model Inputs &amp; Assumptions'!$I$34*'Model Inputs &amp; Assumptions'!$K$34,IF('Model Inputs &amp; Assumptions'!$H$34="CPM",'Model Inputs &amp; Assumptions'!$I$34*'Model Inputs &amp; Assumptions'!$K$34*C3077/1000,IF('Model Inputs &amp; Assumptions'!$H$34="CPC",'Model Inputs &amp; Assumptions'!$I$34*'Model Inputs &amp; Assumptions'!$K$34*G3077,0)))</f>
        <v>4959.85</v>
      </c>
      <c r="J3077" s="50" t="n">
        <f aca="false">H3077*INDEX('Model Inputs &amp; Assumptions'!$D$40:$D$42,MATCH('Model Inputs &amp; Assumptions'!$L$34,'Model Inputs &amp; Assumptions'!$A$40:$A$42,0))*INDEX('Model Inputs &amp; Assumptions'!$H$40:$H$42,MATCH('Model Inputs &amp; Assumptions'!$L$34,'Model Inputs &amp; Assumptions'!$A$40:$A$42,0))</f>
        <v>597363.819557855</v>
      </c>
      <c r="K3077" s="49" t="n">
        <f aca="false">H3077*INDEX('Model Inputs &amp; Assumptions'!$G$40:$G$42,MATCH('Model Inputs &amp; Assumptions'!$L$34,'Model Inputs &amp; Assumptions'!$A$40:$A$42,0))*INDEX('Model Inputs &amp; Assumptions'!$H$40:$H$42,MATCH('Model Inputs &amp; Assumptions'!$L$34,'Model Inputs &amp; Assumptions'!$A$40:$A$42,0))</f>
        <v>13171.8722212507</v>
      </c>
      <c r="L3077" s="51" t="n">
        <f aca="false">IFERROR(K3077/I3077,0)</f>
        <v>2.65569971294509</v>
      </c>
      <c r="M3077" s="49" t="n">
        <f aca="false">IFERROR(I3077/H3077,0)</f>
        <v>59.7808552021644</v>
      </c>
      <c r="N3077" s="52" t="str">
        <f aca="false">'Model Inputs &amp; Assumptions'!$L$34</f>
        <v>PRD-USIQ</v>
      </c>
      <c r="P3077" s="53" t="n">
        <v>-0.110246</v>
      </c>
      <c r="Q3077" s="53" t="n">
        <v>0.804265</v>
      </c>
      <c r="R3077" s="53" t="n">
        <v>-0.51795</v>
      </c>
      <c r="S3077" s="53" t="n">
        <v>0.974982</v>
      </c>
    </row>
    <row r="3078" customFormat="false" ht="15" hidden="false" customHeight="false" outlineLevel="0" collapsed="false">
      <c r="A3078" s="43" t="n">
        <v>75</v>
      </c>
      <c r="B3078" s="44" t="str">
        <f aca="false">'Model Inputs &amp; Assumptions'!$B$34</f>
        <v>Meta — Lookalike Feed Video</v>
      </c>
      <c r="C3078" s="45" t="n">
        <f aca="false">ROUND(MAX(0,'Model Inputs &amp; Assumptions'!$S$34*EXP('Model Inputs &amp; Assumptions'!$T$34*P3078-'Model Inputs &amp; Assumptions'!$T$34^2/2)),0)</f>
        <v>462885</v>
      </c>
      <c r="D3078" s="46" t="n">
        <f aca="false">MIN(1,'Model Inputs &amp; Assumptions'!$U$34*EXP('Model Inputs &amp; Assumptions'!$V$34*Q3078-'Model Inputs &amp; Assumptions'!$V$34^2/2))</f>
        <v>0.282825525237812</v>
      </c>
      <c r="E3078" s="45" t="n">
        <f aca="false">ROUND(C3078*D3078,0)</f>
        <v>130916</v>
      </c>
      <c r="F3078" s="47" t="n">
        <f aca="false">MIN(1,'Model Inputs &amp; Assumptions'!$W$34*EXP('Model Inputs &amp; Assumptions'!$X$34*R3078-'Model Inputs &amp; Assumptions'!$X$34^2/2))</f>
        <v>0.00519220960436879</v>
      </c>
      <c r="G3078" s="45" t="n">
        <f aca="false">ROUND(C3078*F3078,0)</f>
        <v>2403</v>
      </c>
      <c r="H3078" s="48" t="n">
        <f aca="false">MAX(0,(C3078*'Model Inputs &amp; Assumptions'!$N$34+E3078*'Model Inputs &amp; Assumptions'!$O$34+G3078*'Model Inputs &amp; Assumptions'!$P$34)*EXP('Model Inputs &amp; Assumptions'!$Q$34*S3078-'Model Inputs &amp; Assumptions'!$Q$34^2/2))</f>
        <v>50.2191024581678</v>
      </c>
      <c r="I3078" s="49" t="n">
        <f aca="false">IF('Model Inputs &amp; Assumptions'!$H$34="Fixed",'Model Inputs &amp; Assumptions'!$I$34*'Model Inputs &amp; Assumptions'!$K$34,IF('Model Inputs &amp; Assumptions'!$H$34="CPM",'Model Inputs &amp; Assumptions'!$I$34*'Model Inputs &amp; Assumptions'!$K$34*C3078/1000,IF('Model Inputs &amp; Assumptions'!$H$34="CPC",'Model Inputs &amp; Assumptions'!$I$34*'Model Inputs &amp; Assumptions'!$K$34*G3078,0)))</f>
        <v>4445.55</v>
      </c>
      <c r="J3078" s="50" t="n">
        <f aca="false">H3078*INDEX('Model Inputs &amp; Assumptions'!$D$40:$D$42,MATCH('Model Inputs &amp; Assumptions'!$L$34,'Model Inputs &amp; Assumptions'!$A$40:$A$42,0))*INDEX('Model Inputs &amp; Assumptions'!$H$40:$H$42,MATCH('Model Inputs &amp; Assumptions'!$L$34,'Model Inputs &amp; Assumptions'!$A$40:$A$42,0))</f>
        <v>361577.537698808</v>
      </c>
      <c r="K3078" s="49" t="n">
        <f aca="false">H3078*INDEX('Model Inputs &amp; Assumptions'!$G$40:$G$42,MATCH('Model Inputs &amp; Assumptions'!$L$34,'Model Inputs &amp; Assumptions'!$A$40:$A$42,0))*INDEX('Model Inputs &amp; Assumptions'!$H$40:$H$42,MATCH('Model Inputs &amp; Assumptions'!$L$34,'Model Inputs &amp; Assumptions'!$A$40:$A$42,0))</f>
        <v>7972.78470625872</v>
      </c>
      <c r="L3078" s="51" t="n">
        <f aca="false">IFERROR(K3078/I3078,0)</f>
        <v>1.79343044308549</v>
      </c>
      <c r="M3078" s="49" t="n">
        <f aca="false">IFERROR(I3078/H3078,0)</f>
        <v>88.5230874785769</v>
      </c>
      <c r="N3078" s="52" t="str">
        <f aca="false">'Model Inputs &amp; Assumptions'!$L$34</f>
        <v>PRD-USIQ</v>
      </c>
      <c r="P3078" s="53" t="n">
        <v>-0.481749</v>
      </c>
      <c r="Q3078" s="53" t="n">
        <v>1.372193</v>
      </c>
      <c r="R3078" s="53" t="n">
        <v>-0.713334</v>
      </c>
      <c r="S3078" s="53" t="n">
        <v>-0.31875</v>
      </c>
    </row>
    <row r="3079" customFormat="false" ht="15" hidden="false" customHeight="false" outlineLevel="0" collapsed="false">
      <c r="A3079" s="43" t="n">
        <v>76</v>
      </c>
      <c r="B3079" s="44" t="str">
        <f aca="false">'Model Inputs &amp; Assumptions'!$B$34</f>
        <v>Meta — Lookalike Feed Video</v>
      </c>
      <c r="C3079" s="45" t="n">
        <f aca="false">ROUND(MAX(0,'Model Inputs &amp; Assumptions'!$S$34*EXP('Model Inputs &amp; Assumptions'!$T$34*P3079-'Model Inputs &amp; Assumptions'!$T$34^2/2)),0)</f>
        <v>380924</v>
      </c>
      <c r="D3079" s="46" t="n">
        <f aca="false">MIN(1,'Model Inputs &amp; Assumptions'!$U$34*EXP('Model Inputs &amp; Assumptions'!$V$34*Q3079-'Model Inputs &amp; Assumptions'!$V$34^2/2))</f>
        <v>0.234424794085274</v>
      </c>
      <c r="E3079" s="45" t="n">
        <f aca="false">ROUND(C3079*D3079,0)</f>
        <v>89298</v>
      </c>
      <c r="F3079" s="47" t="n">
        <f aca="false">MIN(1,'Model Inputs &amp; Assumptions'!$W$34*EXP('Model Inputs &amp; Assumptions'!$X$34*R3079-'Model Inputs &amp; Assumptions'!$X$34^2/2))</f>
        <v>0.00599213304193168</v>
      </c>
      <c r="G3079" s="45" t="n">
        <f aca="false">ROUND(C3079*F3079,0)</f>
        <v>2283</v>
      </c>
      <c r="H3079" s="48" t="n">
        <f aca="false">MAX(0,(C3079*'Model Inputs &amp; Assumptions'!$N$34+E3079*'Model Inputs &amp; Assumptions'!$O$34+G3079*'Model Inputs &amp; Assumptions'!$P$34)*EXP('Model Inputs &amp; Assumptions'!$Q$34*S3079-'Model Inputs &amp; Assumptions'!$Q$34^2/2))</f>
        <v>31.7029734237367</v>
      </c>
      <c r="I3079" s="49" t="n">
        <f aca="false">IF('Model Inputs &amp; Assumptions'!$H$34="Fixed",'Model Inputs &amp; Assumptions'!$I$34*'Model Inputs &amp; Assumptions'!$K$34,IF('Model Inputs &amp; Assumptions'!$H$34="CPM",'Model Inputs &amp; Assumptions'!$I$34*'Model Inputs &amp; Assumptions'!$K$34*C3079/1000,IF('Model Inputs &amp; Assumptions'!$H$34="CPC",'Model Inputs &amp; Assumptions'!$I$34*'Model Inputs &amp; Assumptions'!$K$34*G3079,0)))</f>
        <v>4223.55</v>
      </c>
      <c r="J3079" s="50" t="n">
        <f aca="false">H3079*INDEX('Model Inputs &amp; Assumptions'!$D$40:$D$42,MATCH('Model Inputs &amp; Assumptions'!$L$34,'Model Inputs &amp; Assumptions'!$A$40:$A$42,0))*INDEX('Model Inputs &amp; Assumptions'!$H$40:$H$42,MATCH('Model Inputs &amp; Assumptions'!$L$34,'Model Inputs &amp; Assumptions'!$A$40:$A$42,0))</f>
        <v>228261.408650904</v>
      </c>
      <c r="K3079" s="49" t="n">
        <f aca="false">H3079*INDEX('Model Inputs &amp; Assumptions'!$G$40:$G$42,MATCH('Model Inputs &amp; Assumptions'!$L$34,'Model Inputs &amp; Assumptions'!$A$40:$A$42,0))*INDEX('Model Inputs &amp; Assumptions'!$H$40:$H$42,MATCH('Model Inputs &amp; Assumptions'!$L$34,'Model Inputs &amp; Assumptions'!$A$40:$A$42,0))</f>
        <v>5033.16406075243</v>
      </c>
      <c r="L3079" s="51" t="n">
        <f aca="false">IFERROR(K3079/I3079,0)</f>
        <v>1.1916904170076</v>
      </c>
      <c r="M3079" s="49" t="n">
        <f aca="false">IFERROR(I3079/H3079,0)</f>
        <v>133.222519652928</v>
      </c>
      <c r="N3079" s="52" t="str">
        <f aca="false">'Model Inputs &amp; Assumptions'!$L$34</f>
        <v>PRD-USIQ</v>
      </c>
      <c r="P3079" s="53" t="n">
        <v>-1.456147</v>
      </c>
      <c r="Q3079" s="53" t="n">
        <v>0.199097</v>
      </c>
      <c r="R3079" s="53" t="n">
        <v>0.082711</v>
      </c>
      <c r="S3079" s="53" t="n">
        <v>-1.434292</v>
      </c>
    </row>
    <row r="3080" customFormat="false" ht="15" hidden="false" customHeight="false" outlineLevel="0" collapsed="false">
      <c r="A3080" s="43" t="n">
        <v>77</v>
      </c>
      <c r="B3080" s="44" t="str">
        <f aca="false">'Model Inputs &amp; Assumptions'!$B$34</f>
        <v>Meta — Lookalike Feed Video</v>
      </c>
      <c r="C3080" s="45" t="n">
        <f aca="false">ROUND(MAX(0,'Model Inputs &amp; Assumptions'!$S$34*EXP('Model Inputs &amp; Assumptions'!$T$34*P3080-'Model Inputs &amp; Assumptions'!$T$34^2/2)),0)</f>
        <v>587629</v>
      </c>
      <c r="D3080" s="46" t="n">
        <f aca="false">MIN(1,'Model Inputs &amp; Assumptions'!$U$34*EXP('Model Inputs &amp; Assumptions'!$V$34*Q3080-'Model Inputs &amp; Assumptions'!$V$34^2/2))</f>
        <v>0.183554265564407</v>
      </c>
      <c r="E3080" s="45" t="n">
        <f aca="false">ROUND(C3080*D3080,0)</f>
        <v>107862</v>
      </c>
      <c r="F3080" s="47" t="n">
        <f aca="false">MIN(1,'Model Inputs &amp; Assumptions'!$W$34*EXP('Model Inputs &amp; Assumptions'!$X$34*R3080-'Model Inputs &amp; Assumptions'!$X$34^2/2))</f>
        <v>0.00493127260300824</v>
      </c>
      <c r="G3080" s="45" t="n">
        <f aca="false">ROUND(C3080*F3080,0)</f>
        <v>2898</v>
      </c>
      <c r="H3080" s="48" t="n">
        <f aca="false">MAX(0,(C3080*'Model Inputs &amp; Assumptions'!$N$34+E3080*'Model Inputs &amp; Assumptions'!$O$34+G3080*'Model Inputs &amp; Assumptions'!$P$34)*EXP('Model Inputs &amp; Assumptions'!$Q$34*S3080-'Model Inputs &amp; Assumptions'!$Q$34^2/2))</f>
        <v>72.5784058888936</v>
      </c>
      <c r="I3080" s="49" t="n">
        <f aca="false">IF('Model Inputs &amp; Assumptions'!$H$34="Fixed",'Model Inputs &amp; Assumptions'!$I$34*'Model Inputs &amp; Assumptions'!$K$34,IF('Model Inputs &amp; Assumptions'!$H$34="CPM",'Model Inputs &amp; Assumptions'!$I$34*'Model Inputs &amp; Assumptions'!$K$34*C3080/1000,IF('Model Inputs &amp; Assumptions'!$H$34="CPC",'Model Inputs &amp; Assumptions'!$I$34*'Model Inputs &amp; Assumptions'!$K$34*G3080,0)))</f>
        <v>5361.3</v>
      </c>
      <c r="J3080" s="50" t="n">
        <f aca="false">H3080*INDEX('Model Inputs &amp; Assumptions'!$D$40:$D$42,MATCH('Model Inputs &amp; Assumptions'!$L$34,'Model Inputs &amp; Assumptions'!$A$40:$A$42,0))*INDEX('Model Inputs &amp; Assumptions'!$H$40:$H$42,MATCH('Model Inputs &amp; Assumptions'!$L$34,'Model Inputs &amp; Assumptions'!$A$40:$A$42,0))</f>
        <v>522564.522400034</v>
      </c>
      <c r="K3080" s="49" t="n">
        <f aca="false">H3080*INDEX('Model Inputs &amp; Assumptions'!$G$40:$G$42,MATCH('Model Inputs &amp; Assumptions'!$L$34,'Model Inputs &amp; Assumptions'!$A$40:$A$42,0))*INDEX('Model Inputs &amp; Assumptions'!$H$40:$H$42,MATCH('Model Inputs &amp; Assumptions'!$L$34,'Model Inputs &amp; Assumptions'!$A$40:$A$42,0))</f>
        <v>11522.5477189207</v>
      </c>
      <c r="L3080" s="51" t="n">
        <f aca="false">IFERROR(K3080/I3080,0)</f>
        <v>2.14920778895431</v>
      </c>
      <c r="M3080" s="49" t="n">
        <f aca="false">IFERROR(I3080/H3080,0)</f>
        <v>73.8690790234127</v>
      </c>
      <c r="N3080" s="52" t="str">
        <f aca="false">'Model Inputs &amp; Assumptions'!$L$34</f>
        <v>PRD-USIQ</v>
      </c>
      <c r="P3080" s="53" t="n">
        <v>0.711334</v>
      </c>
      <c r="Q3080" s="53" t="n">
        <v>-1.329806</v>
      </c>
      <c r="R3080" s="53" t="n">
        <v>-0.999791</v>
      </c>
      <c r="S3080" s="53" t="n">
        <v>0.429152</v>
      </c>
    </row>
    <row r="3081" customFormat="false" ht="15" hidden="false" customHeight="false" outlineLevel="0" collapsed="false">
      <c r="A3081" s="43" t="n">
        <v>78</v>
      </c>
      <c r="B3081" s="44" t="str">
        <f aca="false">'Model Inputs &amp; Assumptions'!$B$34</f>
        <v>Meta — Lookalike Feed Video</v>
      </c>
      <c r="C3081" s="45" t="n">
        <f aca="false">ROUND(MAX(0,'Model Inputs &amp; Assumptions'!$S$34*EXP('Model Inputs &amp; Assumptions'!$T$34*P3081-'Model Inputs &amp; Assumptions'!$T$34^2/2)),0)</f>
        <v>387787</v>
      </c>
      <c r="D3081" s="46" t="n">
        <f aca="false">MIN(1,'Model Inputs &amp; Assumptions'!$U$34*EXP('Model Inputs &amp; Assumptions'!$V$34*Q3081-'Model Inputs &amp; Assumptions'!$V$34^2/2))</f>
        <v>0.215821109746619</v>
      </c>
      <c r="E3081" s="45" t="n">
        <f aca="false">ROUND(C3081*D3081,0)</f>
        <v>83693</v>
      </c>
      <c r="F3081" s="47" t="n">
        <f aca="false">MIN(1,'Model Inputs &amp; Assumptions'!$W$34*EXP('Model Inputs &amp; Assumptions'!$X$34*R3081-'Model Inputs &amp; Assumptions'!$X$34^2/2))</f>
        <v>0.00374773489404111</v>
      </c>
      <c r="G3081" s="45" t="n">
        <f aca="false">ROUND(C3081*F3081,0)</f>
        <v>1453</v>
      </c>
      <c r="H3081" s="48" t="n">
        <f aca="false">MAX(0,(C3081*'Model Inputs &amp; Assumptions'!$N$34+E3081*'Model Inputs &amp; Assumptions'!$O$34+G3081*'Model Inputs &amp; Assumptions'!$P$34)*EXP('Model Inputs &amp; Assumptions'!$Q$34*S3081-'Model Inputs &amp; Assumptions'!$Q$34^2/2))</f>
        <v>39.9951335473294</v>
      </c>
      <c r="I3081" s="49" t="n">
        <f aca="false">IF('Model Inputs &amp; Assumptions'!$H$34="Fixed",'Model Inputs &amp; Assumptions'!$I$34*'Model Inputs &amp; Assumptions'!$K$34,IF('Model Inputs &amp; Assumptions'!$H$34="CPM",'Model Inputs &amp; Assumptions'!$I$34*'Model Inputs &amp; Assumptions'!$K$34*C3081/1000,IF('Model Inputs &amp; Assumptions'!$H$34="CPC",'Model Inputs &amp; Assumptions'!$I$34*'Model Inputs &amp; Assumptions'!$K$34*G3081,0)))</f>
        <v>2688.05</v>
      </c>
      <c r="J3081" s="50" t="n">
        <f aca="false">H3081*INDEX('Model Inputs &amp; Assumptions'!$D$40:$D$42,MATCH('Model Inputs &amp; Assumptions'!$L$34,'Model Inputs &amp; Assumptions'!$A$40:$A$42,0))*INDEX('Model Inputs &amp; Assumptions'!$H$40:$H$42,MATCH('Model Inputs &amp; Assumptions'!$L$34,'Model Inputs &amp; Assumptions'!$A$40:$A$42,0))</f>
        <v>287964.961540772</v>
      </c>
      <c r="K3081" s="49" t="n">
        <f aca="false">H3081*INDEX('Model Inputs &amp; Assumptions'!$G$40:$G$42,MATCH('Model Inputs &amp; Assumptions'!$L$34,'Model Inputs &amp; Assumptions'!$A$40:$A$42,0))*INDEX('Model Inputs &amp; Assumptions'!$H$40:$H$42,MATCH('Model Inputs &amp; Assumptions'!$L$34,'Model Inputs &amp; Assumptions'!$A$40:$A$42,0))</f>
        <v>6349.62740197402</v>
      </c>
      <c r="L3081" s="51" t="n">
        <f aca="false">IFERROR(K3081/I3081,0)</f>
        <v>2.36216863599041</v>
      </c>
      <c r="M3081" s="49" t="n">
        <f aca="false">IFERROR(I3081/H3081,0)</f>
        <v>67.2094267873619</v>
      </c>
      <c r="N3081" s="52" t="str">
        <f aca="false">'Model Inputs &amp; Assumptions'!$L$34</f>
        <v>PRD-USIQ</v>
      </c>
      <c r="P3081" s="53" t="n">
        <v>-1.366859</v>
      </c>
      <c r="Q3081" s="53" t="n">
        <v>-0.317684</v>
      </c>
      <c r="R3081" s="53" t="n">
        <v>-2.524488</v>
      </c>
      <c r="S3081" s="53" t="n">
        <v>0.510173</v>
      </c>
    </row>
    <row r="3082" customFormat="false" ht="15" hidden="false" customHeight="false" outlineLevel="0" collapsed="false">
      <c r="A3082" s="43" t="n">
        <v>79</v>
      </c>
      <c r="B3082" s="44" t="str">
        <f aca="false">'Model Inputs &amp; Assumptions'!$B$34</f>
        <v>Meta — Lookalike Feed Video</v>
      </c>
      <c r="C3082" s="45" t="n">
        <f aca="false">ROUND(MAX(0,'Model Inputs &amp; Assumptions'!$S$34*EXP('Model Inputs &amp; Assumptions'!$T$34*P3082-'Model Inputs &amp; Assumptions'!$T$34^2/2)),0)</f>
        <v>484211</v>
      </c>
      <c r="D3082" s="46" t="n">
        <f aca="false">MIN(1,'Model Inputs &amp; Assumptions'!$U$34*EXP('Model Inputs &amp; Assumptions'!$V$34*Q3082-'Model Inputs &amp; Assumptions'!$V$34^2/2))</f>
        <v>0.239472979235675</v>
      </c>
      <c r="E3082" s="45" t="n">
        <f aca="false">ROUND(C3082*D3082,0)</f>
        <v>115955</v>
      </c>
      <c r="F3082" s="47" t="n">
        <f aca="false">MIN(1,'Model Inputs &amp; Assumptions'!$W$34*EXP('Model Inputs &amp; Assumptions'!$X$34*R3082-'Model Inputs &amp; Assumptions'!$X$34^2/2))</f>
        <v>0.00378449784836465</v>
      </c>
      <c r="G3082" s="45" t="n">
        <f aca="false">ROUND(C3082*F3082,0)</f>
        <v>1832</v>
      </c>
      <c r="H3082" s="48" t="n">
        <f aca="false">MAX(0,(C3082*'Model Inputs &amp; Assumptions'!$N$34+E3082*'Model Inputs &amp; Assumptions'!$O$34+G3082*'Model Inputs &amp; Assumptions'!$P$34)*EXP('Model Inputs &amp; Assumptions'!$Q$34*S3082-'Model Inputs &amp; Assumptions'!$Q$34^2/2))</f>
        <v>35.8914516566119</v>
      </c>
      <c r="I3082" s="49" t="n">
        <f aca="false">IF('Model Inputs &amp; Assumptions'!$H$34="Fixed",'Model Inputs &amp; Assumptions'!$I$34*'Model Inputs &amp; Assumptions'!$K$34,IF('Model Inputs &amp; Assumptions'!$H$34="CPM",'Model Inputs &amp; Assumptions'!$I$34*'Model Inputs &amp; Assumptions'!$K$34*C3082/1000,IF('Model Inputs &amp; Assumptions'!$H$34="CPC",'Model Inputs &amp; Assumptions'!$I$34*'Model Inputs &amp; Assumptions'!$K$34*G3082,0)))</f>
        <v>3389.2</v>
      </c>
      <c r="J3082" s="50" t="n">
        <f aca="false">H3082*INDEX('Model Inputs &amp; Assumptions'!$D$40:$D$42,MATCH('Model Inputs &amp; Assumptions'!$L$34,'Model Inputs &amp; Assumptions'!$A$40:$A$42,0))*INDEX('Model Inputs &amp; Assumptions'!$H$40:$H$42,MATCH('Model Inputs &amp; Assumptions'!$L$34,'Model Inputs &amp; Assumptions'!$A$40:$A$42,0))</f>
        <v>258418.451927605</v>
      </c>
      <c r="K3082" s="49" t="n">
        <f aca="false">H3082*INDEX('Model Inputs &amp; Assumptions'!$G$40:$G$42,MATCH('Model Inputs &amp; Assumptions'!$L$34,'Model Inputs &amp; Assumptions'!$A$40:$A$42,0))*INDEX('Model Inputs &amp; Assumptions'!$H$40:$H$42,MATCH('Model Inputs &amp; Assumptions'!$L$34,'Model Inputs &amp; Assumptions'!$A$40:$A$42,0))</f>
        <v>5698.1268650037</v>
      </c>
      <c r="L3082" s="51" t="n">
        <f aca="false">IFERROR(K3082/I3082,0)</f>
        <v>1.68126013956205</v>
      </c>
      <c r="M3082" s="49" t="n">
        <f aca="false">IFERROR(I3082/H3082,0)</f>
        <v>94.4291702778104</v>
      </c>
      <c r="N3082" s="52" t="str">
        <f aca="false">'Model Inputs &amp; Assumptions'!$L$34</f>
        <v>PRD-USIQ</v>
      </c>
      <c r="P3082" s="53" t="n">
        <v>-0.256538</v>
      </c>
      <c r="Q3082" s="53" t="n">
        <v>0.332258</v>
      </c>
      <c r="R3082" s="53" t="n">
        <v>-2.470257</v>
      </c>
      <c r="S3082" s="53" t="n">
        <v>-0.60976</v>
      </c>
    </row>
    <row r="3083" customFormat="false" ht="15" hidden="false" customHeight="false" outlineLevel="0" collapsed="false">
      <c r="A3083" s="43" t="n">
        <v>80</v>
      </c>
      <c r="B3083" s="44" t="str">
        <f aca="false">'Model Inputs &amp; Assumptions'!$B$34</f>
        <v>Meta — Lookalike Feed Video</v>
      </c>
      <c r="C3083" s="45" t="n">
        <f aca="false">ROUND(MAX(0,'Model Inputs &amp; Assumptions'!$S$34*EXP('Model Inputs &amp; Assumptions'!$T$34*P3083-'Model Inputs &amp; Assumptions'!$T$34^2/2)),0)</f>
        <v>451573</v>
      </c>
      <c r="D3083" s="46" t="n">
        <f aca="false">MIN(1,'Model Inputs &amp; Assumptions'!$U$34*EXP('Model Inputs &amp; Assumptions'!$V$34*Q3083-'Model Inputs &amp; Assumptions'!$V$34^2/2))</f>
        <v>0.208769845802186</v>
      </c>
      <c r="E3083" s="45" t="n">
        <f aca="false">ROUND(C3083*D3083,0)</f>
        <v>94275</v>
      </c>
      <c r="F3083" s="47" t="n">
        <f aca="false">MIN(1,'Model Inputs &amp; Assumptions'!$W$34*EXP('Model Inputs &amp; Assumptions'!$X$34*R3083-'Model Inputs &amp; Assumptions'!$X$34^2/2))</f>
        <v>0.00663505441680332</v>
      </c>
      <c r="G3083" s="45" t="n">
        <f aca="false">ROUND(C3083*F3083,0)</f>
        <v>2996</v>
      </c>
      <c r="H3083" s="48" t="n">
        <f aca="false">MAX(0,(C3083*'Model Inputs &amp; Assumptions'!$N$34+E3083*'Model Inputs &amp; Assumptions'!$O$34+G3083*'Model Inputs &amp; Assumptions'!$P$34)*EXP('Model Inputs &amp; Assumptions'!$Q$34*S3083-'Model Inputs &amp; Assumptions'!$Q$34^2/2))</f>
        <v>56.018979692406</v>
      </c>
      <c r="I3083" s="49" t="n">
        <f aca="false">IF('Model Inputs &amp; Assumptions'!$H$34="Fixed",'Model Inputs &amp; Assumptions'!$I$34*'Model Inputs &amp; Assumptions'!$K$34,IF('Model Inputs &amp; Assumptions'!$H$34="CPM",'Model Inputs &amp; Assumptions'!$I$34*'Model Inputs &amp; Assumptions'!$K$34*C3083/1000,IF('Model Inputs &amp; Assumptions'!$H$34="CPC",'Model Inputs &amp; Assumptions'!$I$34*'Model Inputs &amp; Assumptions'!$K$34*G3083,0)))</f>
        <v>5542.6</v>
      </c>
      <c r="J3083" s="50" t="n">
        <f aca="false">H3083*INDEX('Model Inputs &amp; Assumptions'!$D$40:$D$42,MATCH('Model Inputs &amp; Assumptions'!$L$34,'Model Inputs &amp; Assumptions'!$A$40:$A$42,0))*INDEX('Model Inputs &amp; Assumptions'!$H$40:$H$42,MATCH('Model Inputs &amp; Assumptions'!$L$34,'Model Inputs &amp; Assumptions'!$A$40:$A$42,0))</f>
        <v>403336.653785323</v>
      </c>
      <c r="K3083" s="49" t="n">
        <f aca="false">H3083*INDEX('Model Inputs &amp; Assumptions'!$G$40:$G$42,MATCH('Model Inputs &amp; Assumptions'!$L$34,'Model Inputs &amp; Assumptions'!$A$40:$A$42,0))*INDEX('Model Inputs &amp; Assumptions'!$H$40:$H$42,MATCH('Model Inputs &amp; Assumptions'!$L$34,'Model Inputs &amp; Assumptions'!$A$40:$A$42,0))</f>
        <v>8893.57321596637</v>
      </c>
      <c r="L3083" s="51" t="n">
        <f aca="false">IFERROR(K3083/I3083,0)</f>
        <v>1.60458507126013</v>
      </c>
      <c r="M3083" s="49" t="n">
        <f aca="false">IFERROR(I3083/H3083,0)</f>
        <v>98.9414664535807</v>
      </c>
      <c r="N3083" s="52" t="str">
        <f aca="false">'Model Inputs &amp; Assumptions'!$L$34</f>
        <v>PRD-USIQ</v>
      </c>
      <c r="P3083" s="53" t="n">
        <v>-0.605463</v>
      </c>
      <c r="Q3083" s="53" t="n">
        <v>-0.525293</v>
      </c>
      <c r="R3083" s="53" t="n">
        <v>0.64893</v>
      </c>
      <c r="S3083" s="53" t="n">
        <v>-0.420856</v>
      </c>
    </row>
    <row r="3084" customFormat="false" ht="15" hidden="false" customHeight="false" outlineLevel="0" collapsed="false">
      <c r="A3084" s="43" t="n">
        <v>81</v>
      </c>
      <c r="B3084" s="44" t="str">
        <f aca="false">'Model Inputs &amp; Assumptions'!$B$34</f>
        <v>Meta — Lookalike Feed Video</v>
      </c>
      <c r="C3084" s="45" t="n">
        <f aca="false">ROUND(MAX(0,'Model Inputs &amp; Assumptions'!$S$34*EXP('Model Inputs &amp; Assumptions'!$T$34*P3084-'Model Inputs &amp; Assumptions'!$T$34^2/2)),0)</f>
        <v>615552</v>
      </c>
      <c r="D3084" s="46" t="n">
        <f aca="false">MIN(1,'Model Inputs &amp; Assumptions'!$U$34*EXP('Model Inputs &amp; Assumptions'!$V$34*Q3084-'Model Inputs &amp; Assumptions'!$V$34^2/2))</f>
        <v>0.254879893654262</v>
      </c>
      <c r="E3084" s="45" t="n">
        <f aca="false">ROUND(C3084*D3084,0)</f>
        <v>156892</v>
      </c>
      <c r="F3084" s="47" t="n">
        <f aca="false">MIN(1,'Model Inputs &amp; Assumptions'!$W$34*EXP('Model Inputs &amp; Assumptions'!$X$34*R3084-'Model Inputs &amp; Assumptions'!$X$34^2/2))</f>
        <v>0.0075014130482404</v>
      </c>
      <c r="G3084" s="45" t="n">
        <f aca="false">ROUND(C3084*F3084,0)</f>
        <v>4618</v>
      </c>
      <c r="H3084" s="48" t="n">
        <f aca="false">MAX(0,(C3084*'Model Inputs &amp; Assumptions'!$N$34+E3084*'Model Inputs &amp; Assumptions'!$O$34+G3084*'Model Inputs &amp; Assumptions'!$P$34)*EXP('Model Inputs &amp; Assumptions'!$Q$34*S3084-'Model Inputs &amp; Assumptions'!$Q$34^2/2))</f>
        <v>96.2286993432836</v>
      </c>
      <c r="I3084" s="49" t="n">
        <f aca="false">IF('Model Inputs &amp; Assumptions'!$H$34="Fixed",'Model Inputs &amp; Assumptions'!$I$34*'Model Inputs &amp; Assumptions'!$K$34,IF('Model Inputs &amp; Assumptions'!$H$34="CPM",'Model Inputs &amp; Assumptions'!$I$34*'Model Inputs &amp; Assumptions'!$K$34*C3084/1000,IF('Model Inputs &amp; Assumptions'!$H$34="CPC",'Model Inputs &amp; Assumptions'!$I$34*'Model Inputs &amp; Assumptions'!$K$34*G3084,0)))</f>
        <v>8543.3</v>
      </c>
      <c r="J3084" s="50" t="n">
        <f aca="false">H3084*INDEX('Model Inputs &amp; Assumptions'!$D$40:$D$42,MATCH('Model Inputs &amp; Assumptions'!$L$34,'Model Inputs &amp; Assumptions'!$A$40:$A$42,0))*INDEX('Model Inputs &amp; Assumptions'!$H$40:$H$42,MATCH('Model Inputs &amp; Assumptions'!$L$34,'Model Inputs &amp; Assumptions'!$A$40:$A$42,0))</f>
        <v>692846.635271642</v>
      </c>
      <c r="K3084" s="49" t="n">
        <f aca="false">H3084*INDEX('Model Inputs &amp; Assumptions'!$G$40:$G$42,MATCH('Model Inputs &amp; Assumptions'!$L$34,'Model Inputs &amp; Assumptions'!$A$40:$A$42,0))*INDEX('Model Inputs &amp; Assumptions'!$H$40:$H$42,MATCH('Model Inputs &amp; Assumptions'!$L$34,'Model Inputs &amp; Assumptions'!$A$40:$A$42,0))</f>
        <v>15277.2683077397</v>
      </c>
      <c r="L3084" s="51" t="n">
        <f aca="false">IFERROR(K3084/I3084,0)</f>
        <v>1.78821629905771</v>
      </c>
      <c r="M3084" s="49" t="n">
        <f aca="false">IFERROR(I3084/H3084,0)</f>
        <v>88.7812062129497</v>
      </c>
      <c r="N3084" s="52" t="str">
        <f aca="false">'Model Inputs &amp; Assumptions'!$L$34</f>
        <v>PRD-USIQ</v>
      </c>
      <c r="P3084" s="53" t="n">
        <v>0.943453</v>
      </c>
      <c r="Q3084" s="53" t="n">
        <v>0.721957</v>
      </c>
      <c r="R3084" s="53" t="n">
        <v>1.330733</v>
      </c>
      <c r="S3084" s="53" t="n">
        <v>-0.109963</v>
      </c>
    </row>
    <row r="3085" customFormat="false" ht="15" hidden="false" customHeight="false" outlineLevel="0" collapsed="false">
      <c r="A3085" s="43" t="n">
        <v>82</v>
      </c>
      <c r="B3085" s="44" t="str">
        <f aca="false">'Model Inputs &amp; Assumptions'!$B$34</f>
        <v>Meta — Lookalike Feed Video</v>
      </c>
      <c r="C3085" s="45" t="n">
        <f aca="false">ROUND(MAX(0,'Model Inputs &amp; Assumptions'!$S$34*EXP('Model Inputs &amp; Assumptions'!$T$34*P3085-'Model Inputs &amp; Assumptions'!$T$34^2/2)),0)</f>
        <v>588894</v>
      </c>
      <c r="D3085" s="46" t="n">
        <f aca="false">MIN(1,'Model Inputs &amp; Assumptions'!$U$34*EXP('Model Inputs &amp; Assumptions'!$V$34*Q3085-'Model Inputs &amp; Assumptions'!$V$34^2/2))</f>
        <v>0.266522841445862</v>
      </c>
      <c r="E3085" s="45" t="n">
        <f aca="false">ROUND(C3085*D3085,0)</f>
        <v>156954</v>
      </c>
      <c r="F3085" s="47" t="n">
        <f aca="false">MIN(1,'Model Inputs &amp; Assumptions'!$W$34*EXP('Model Inputs &amp; Assumptions'!$X$34*R3085-'Model Inputs &amp; Assumptions'!$X$34^2/2))</f>
        <v>0.00788643637420388</v>
      </c>
      <c r="G3085" s="45" t="n">
        <f aca="false">ROUND(C3085*F3085,0)</f>
        <v>4644</v>
      </c>
      <c r="H3085" s="48" t="n">
        <f aca="false">MAX(0,(C3085*'Model Inputs &amp; Assumptions'!$N$34+E3085*'Model Inputs &amp; Assumptions'!$O$34+G3085*'Model Inputs &amp; Assumptions'!$P$34)*EXP('Model Inputs &amp; Assumptions'!$Q$34*S3085-'Model Inputs &amp; Assumptions'!$Q$34^2/2))</f>
        <v>124.852146446348</v>
      </c>
      <c r="I3085" s="49" t="n">
        <f aca="false">IF('Model Inputs &amp; Assumptions'!$H$34="Fixed",'Model Inputs &amp; Assumptions'!$I$34*'Model Inputs &amp; Assumptions'!$K$34,IF('Model Inputs &amp; Assumptions'!$H$34="CPM",'Model Inputs &amp; Assumptions'!$I$34*'Model Inputs &amp; Assumptions'!$K$34*C3085/1000,IF('Model Inputs &amp; Assumptions'!$H$34="CPC",'Model Inputs &amp; Assumptions'!$I$34*'Model Inputs &amp; Assumptions'!$K$34*G3085,0)))</f>
        <v>8591.4</v>
      </c>
      <c r="J3085" s="50" t="n">
        <f aca="false">H3085*INDEX('Model Inputs &amp; Assumptions'!$D$40:$D$42,MATCH('Model Inputs &amp; Assumptions'!$L$34,'Model Inputs &amp; Assumptions'!$A$40:$A$42,0))*INDEX('Model Inputs &amp; Assumptions'!$H$40:$H$42,MATCH('Model Inputs &amp; Assumptions'!$L$34,'Model Inputs &amp; Assumptions'!$A$40:$A$42,0))</f>
        <v>898935.454413706</v>
      </c>
      <c r="K3085" s="49" t="n">
        <f aca="false">H3085*INDEX('Model Inputs &amp; Assumptions'!$G$40:$G$42,MATCH('Model Inputs &amp; Assumptions'!$L$34,'Model Inputs &amp; Assumptions'!$A$40:$A$42,0))*INDEX('Model Inputs &amp; Assumptions'!$H$40:$H$42,MATCH('Model Inputs &amp; Assumptions'!$L$34,'Model Inputs &amp; Assumptions'!$A$40:$A$42,0))</f>
        <v>19821.5267698222</v>
      </c>
      <c r="L3085" s="51" t="n">
        <f aca="false">IFERROR(K3085/I3085,0)</f>
        <v>2.30713582999537</v>
      </c>
      <c r="M3085" s="49" t="n">
        <f aca="false">IFERROR(I3085/H3085,0)</f>
        <v>68.8125934918702</v>
      </c>
      <c r="N3085" s="52" t="str">
        <f aca="false">'Model Inputs &amp; Assumptions'!$L$34</f>
        <v>PRD-USIQ</v>
      </c>
      <c r="P3085" s="53" t="n">
        <v>0.722086</v>
      </c>
      <c r="Q3085" s="53" t="n">
        <v>1.001129</v>
      </c>
      <c r="R3085" s="53" t="n">
        <v>1.608805</v>
      </c>
      <c r="S3085" s="53" t="n">
        <v>0.688197</v>
      </c>
    </row>
    <row r="3086" customFormat="false" ht="15" hidden="false" customHeight="false" outlineLevel="0" collapsed="false">
      <c r="A3086" s="43" t="n">
        <v>83</v>
      </c>
      <c r="B3086" s="44" t="str">
        <f aca="false">'Model Inputs &amp; Assumptions'!$B$34</f>
        <v>Meta — Lookalike Feed Video</v>
      </c>
      <c r="C3086" s="45" t="n">
        <f aca="false">ROUND(MAX(0,'Model Inputs &amp; Assumptions'!$S$34*EXP('Model Inputs &amp; Assumptions'!$T$34*P3086-'Model Inputs &amp; Assumptions'!$T$34^2/2)),0)</f>
        <v>616023</v>
      </c>
      <c r="D3086" s="46" t="n">
        <f aca="false">MIN(1,'Model Inputs &amp; Assumptions'!$U$34*EXP('Model Inputs &amp; Assumptions'!$V$34*Q3086-'Model Inputs &amp; Assumptions'!$V$34^2/2))</f>
        <v>0.24299088902739</v>
      </c>
      <c r="E3086" s="45" t="n">
        <f aca="false">ROUND(C3086*D3086,0)</f>
        <v>149688</v>
      </c>
      <c r="F3086" s="47" t="n">
        <f aca="false">MIN(1,'Model Inputs &amp; Assumptions'!$W$34*EXP('Model Inputs &amp; Assumptions'!$X$34*R3086-'Model Inputs &amp; Assumptions'!$X$34^2/2))</f>
        <v>0.00542436764353099</v>
      </c>
      <c r="G3086" s="45" t="n">
        <f aca="false">ROUND(C3086*F3086,0)</f>
        <v>3342</v>
      </c>
      <c r="H3086" s="48" t="n">
        <f aca="false">MAX(0,(C3086*'Model Inputs &amp; Assumptions'!$N$34+E3086*'Model Inputs &amp; Assumptions'!$O$34+G3086*'Model Inputs &amp; Assumptions'!$P$34)*EXP('Model Inputs &amp; Assumptions'!$Q$34*S3086-'Model Inputs &amp; Assumptions'!$Q$34^2/2))</f>
        <v>97.8155929644172</v>
      </c>
      <c r="I3086" s="49" t="n">
        <f aca="false">IF('Model Inputs &amp; Assumptions'!$H$34="Fixed",'Model Inputs &amp; Assumptions'!$I$34*'Model Inputs &amp; Assumptions'!$K$34,IF('Model Inputs &amp; Assumptions'!$H$34="CPM",'Model Inputs &amp; Assumptions'!$I$34*'Model Inputs &amp; Assumptions'!$K$34*C3086/1000,IF('Model Inputs &amp; Assumptions'!$H$34="CPC",'Model Inputs &amp; Assumptions'!$I$34*'Model Inputs &amp; Assumptions'!$K$34*G3086,0)))</f>
        <v>6182.7</v>
      </c>
      <c r="J3086" s="50" t="n">
        <f aca="false">H3086*INDEX('Model Inputs &amp; Assumptions'!$D$40:$D$42,MATCH('Model Inputs &amp; Assumptions'!$L$34,'Model Inputs &amp; Assumptions'!$A$40:$A$42,0))*INDEX('Model Inputs &amp; Assumptions'!$H$40:$H$42,MATCH('Model Inputs &amp; Assumptions'!$L$34,'Model Inputs &amp; Assumptions'!$A$40:$A$42,0))</f>
        <v>704272.269343804</v>
      </c>
      <c r="K3086" s="49" t="n">
        <f aca="false">H3086*INDEX('Model Inputs &amp; Assumptions'!$G$40:$G$42,MATCH('Model Inputs &amp; Assumptions'!$L$34,'Model Inputs &amp; Assumptions'!$A$40:$A$42,0))*INDEX('Model Inputs &amp; Assumptions'!$H$40:$H$42,MATCH('Model Inputs &amp; Assumptions'!$L$34,'Model Inputs &amp; Assumptions'!$A$40:$A$42,0))</f>
        <v>15529.2035390309</v>
      </c>
      <c r="L3086" s="51" t="n">
        <f aca="false">IFERROR(K3086/I3086,0)</f>
        <v>2.5117187537857</v>
      </c>
      <c r="M3086" s="49" t="n">
        <f aca="false">IFERROR(I3086/H3086,0)</f>
        <v>63.2077137461009</v>
      </c>
      <c r="N3086" s="52" t="str">
        <f aca="false">'Model Inputs &amp; Assumptions'!$L$34</f>
        <v>PRD-USIQ</v>
      </c>
      <c r="P3086" s="53" t="n">
        <v>0.947276</v>
      </c>
      <c r="Q3086" s="53" t="n">
        <v>0.423404</v>
      </c>
      <c r="R3086" s="53" t="n">
        <v>-0.470323</v>
      </c>
      <c r="S3086" s="53" t="n">
        <v>0.834938</v>
      </c>
    </row>
    <row r="3087" customFormat="false" ht="15" hidden="false" customHeight="false" outlineLevel="0" collapsed="false">
      <c r="A3087" s="43" t="n">
        <v>84</v>
      </c>
      <c r="B3087" s="44" t="str">
        <f aca="false">'Model Inputs &amp; Assumptions'!$B$34</f>
        <v>Meta — Lookalike Feed Video</v>
      </c>
      <c r="C3087" s="45" t="n">
        <f aca="false">ROUND(MAX(0,'Model Inputs &amp; Assumptions'!$S$34*EXP('Model Inputs &amp; Assumptions'!$T$34*P3087-'Model Inputs &amp; Assumptions'!$T$34^2/2)),0)</f>
        <v>543903</v>
      </c>
      <c r="D3087" s="46" t="n">
        <f aca="false">MIN(1,'Model Inputs &amp; Assumptions'!$U$34*EXP('Model Inputs &amp; Assumptions'!$V$34*Q3087-'Model Inputs &amp; Assumptions'!$V$34^2/2))</f>
        <v>0.21246240794421</v>
      </c>
      <c r="E3087" s="45" t="n">
        <f aca="false">ROUND(C3087*D3087,0)</f>
        <v>115559</v>
      </c>
      <c r="F3087" s="47" t="n">
        <f aca="false">MIN(1,'Model Inputs &amp; Assumptions'!$W$34*EXP('Model Inputs &amp; Assumptions'!$X$34*R3087-'Model Inputs &amp; Assumptions'!$X$34^2/2))</f>
        <v>0.00512698501086053</v>
      </c>
      <c r="G3087" s="45" t="n">
        <f aca="false">ROUND(C3087*F3087,0)</f>
        <v>2789</v>
      </c>
      <c r="H3087" s="48" t="n">
        <f aca="false">MAX(0,(C3087*'Model Inputs &amp; Assumptions'!$N$34+E3087*'Model Inputs &amp; Assumptions'!$O$34+G3087*'Model Inputs &amp; Assumptions'!$P$34)*EXP('Model Inputs &amp; Assumptions'!$Q$34*S3087-'Model Inputs &amp; Assumptions'!$Q$34^2/2))</f>
        <v>76.9113842555835</v>
      </c>
      <c r="I3087" s="49" t="n">
        <f aca="false">IF('Model Inputs &amp; Assumptions'!$H$34="Fixed",'Model Inputs &amp; Assumptions'!$I$34*'Model Inputs &amp; Assumptions'!$K$34,IF('Model Inputs &amp; Assumptions'!$H$34="CPM",'Model Inputs &amp; Assumptions'!$I$34*'Model Inputs &amp; Assumptions'!$K$34*C3087/1000,IF('Model Inputs &amp; Assumptions'!$H$34="CPC",'Model Inputs &amp; Assumptions'!$I$34*'Model Inputs &amp; Assumptions'!$K$34*G3087,0)))</f>
        <v>5159.65</v>
      </c>
      <c r="J3087" s="50" t="n">
        <f aca="false">H3087*INDEX('Model Inputs &amp; Assumptions'!$D$40:$D$42,MATCH('Model Inputs &amp; Assumptions'!$L$34,'Model Inputs &amp; Assumptions'!$A$40:$A$42,0))*INDEX('Model Inputs &amp; Assumptions'!$H$40:$H$42,MATCH('Model Inputs &amp; Assumptions'!$L$34,'Model Inputs &amp; Assumptions'!$A$40:$A$42,0))</f>
        <v>553761.966640201</v>
      </c>
      <c r="K3087" s="49" t="n">
        <f aca="false">H3087*INDEX('Model Inputs &amp; Assumptions'!$G$40:$G$42,MATCH('Model Inputs &amp; Assumptions'!$L$34,'Model Inputs &amp; Assumptions'!$A$40:$A$42,0))*INDEX('Model Inputs &amp; Assumptions'!$H$40:$H$42,MATCH('Model Inputs &amp; Assumptions'!$L$34,'Model Inputs &amp; Assumptions'!$A$40:$A$42,0))</f>
        <v>12210.4513644164</v>
      </c>
      <c r="L3087" s="51" t="n">
        <f aca="false">IFERROR(K3087/I3087,0)</f>
        <v>2.36652706373813</v>
      </c>
      <c r="M3087" s="49" t="n">
        <f aca="false">IFERROR(I3087/H3087,0)</f>
        <v>67.0856473321819</v>
      </c>
      <c r="N3087" s="52" t="str">
        <f aca="false">'Model Inputs &amp; Assumptions'!$L$34</f>
        <v>PRD-USIQ</v>
      </c>
      <c r="P3087" s="53" t="n">
        <v>0.324715</v>
      </c>
      <c r="Q3087" s="53" t="n">
        <v>-0.415714</v>
      </c>
      <c r="R3087" s="53" t="n">
        <v>-0.783565</v>
      </c>
      <c r="S3087" s="53" t="n">
        <v>0.684645</v>
      </c>
    </row>
    <row r="3088" customFormat="false" ht="15" hidden="false" customHeight="false" outlineLevel="0" collapsed="false">
      <c r="A3088" s="43" t="n">
        <v>85</v>
      </c>
      <c r="B3088" s="44" t="str">
        <f aca="false">'Model Inputs &amp; Assumptions'!$B$34</f>
        <v>Meta — Lookalike Feed Video</v>
      </c>
      <c r="C3088" s="45" t="n">
        <f aca="false">ROUND(MAX(0,'Model Inputs &amp; Assumptions'!$S$34*EXP('Model Inputs &amp; Assumptions'!$T$34*P3088-'Model Inputs &amp; Assumptions'!$T$34^2/2)),0)</f>
        <v>630845</v>
      </c>
      <c r="D3088" s="46" t="n">
        <f aca="false">MIN(1,'Model Inputs &amp; Assumptions'!$U$34*EXP('Model Inputs &amp; Assumptions'!$V$34*Q3088-'Model Inputs &amp; Assumptions'!$V$34^2/2))</f>
        <v>0.241258832011527</v>
      </c>
      <c r="E3088" s="45" t="n">
        <f aca="false">ROUND(C3088*D3088,0)</f>
        <v>152197</v>
      </c>
      <c r="F3088" s="47" t="n">
        <f aca="false">MIN(1,'Model Inputs &amp; Assumptions'!$W$34*EXP('Model Inputs &amp; Assumptions'!$X$34*R3088-'Model Inputs &amp; Assumptions'!$X$34^2/2))</f>
        <v>0.00814034717200201</v>
      </c>
      <c r="G3088" s="45" t="n">
        <f aca="false">ROUND(C3088*F3088,0)</f>
        <v>5135</v>
      </c>
      <c r="H3088" s="48" t="n">
        <f aca="false">MAX(0,(C3088*'Model Inputs &amp; Assumptions'!$N$34+E3088*'Model Inputs &amp; Assumptions'!$O$34+G3088*'Model Inputs &amp; Assumptions'!$P$34)*EXP('Model Inputs &amp; Assumptions'!$Q$34*S3088-'Model Inputs &amp; Assumptions'!$Q$34^2/2))</f>
        <v>140.218723830212</v>
      </c>
      <c r="I3088" s="49" t="n">
        <f aca="false">IF('Model Inputs &amp; Assumptions'!$H$34="Fixed",'Model Inputs &amp; Assumptions'!$I$34*'Model Inputs &amp; Assumptions'!$K$34,IF('Model Inputs &amp; Assumptions'!$H$34="CPM",'Model Inputs &amp; Assumptions'!$I$34*'Model Inputs &amp; Assumptions'!$K$34*C3088/1000,IF('Model Inputs &amp; Assumptions'!$H$34="CPC",'Model Inputs &amp; Assumptions'!$I$34*'Model Inputs &amp; Assumptions'!$K$34*G3088,0)))</f>
        <v>9499.75</v>
      </c>
      <c r="J3088" s="50" t="n">
        <f aca="false">H3088*INDEX('Model Inputs &amp; Assumptions'!$D$40:$D$42,MATCH('Model Inputs &amp; Assumptions'!$L$34,'Model Inputs &amp; Assumptions'!$A$40:$A$42,0))*INDEX('Model Inputs &amp; Assumptions'!$H$40:$H$42,MATCH('Model Inputs &amp; Assumptions'!$L$34,'Model Inputs &amp; Assumptions'!$A$40:$A$42,0))</f>
        <v>1009574.81157753</v>
      </c>
      <c r="K3088" s="49" t="n">
        <f aca="false">H3088*INDEX('Model Inputs &amp; Assumptions'!$G$40:$G$42,MATCH('Model Inputs &amp; Assumptions'!$L$34,'Model Inputs &amp; Assumptions'!$A$40:$A$42,0))*INDEX('Model Inputs &amp; Assumptions'!$H$40:$H$42,MATCH('Model Inputs &amp; Assumptions'!$L$34,'Model Inputs &amp; Assumptions'!$A$40:$A$42,0))</f>
        <v>22261.1245952844</v>
      </c>
      <c r="L3088" s="51" t="n">
        <f aca="false">IFERROR(K3088/I3088,0)</f>
        <v>2.34333793997573</v>
      </c>
      <c r="M3088" s="49" t="n">
        <f aca="false">IFERROR(I3088/H3088,0)</f>
        <v>67.7495111958304</v>
      </c>
      <c r="N3088" s="52" t="str">
        <f aca="false">'Model Inputs &amp; Assumptions'!$L$34</f>
        <v>PRD-USIQ</v>
      </c>
      <c r="P3088" s="53" t="n">
        <v>1.06616</v>
      </c>
      <c r="Q3088" s="53" t="n">
        <v>0.378694</v>
      </c>
      <c r="R3088" s="53" t="n">
        <v>1.784852</v>
      </c>
      <c r="S3088" s="53" t="n">
        <v>0.782976</v>
      </c>
    </row>
    <row r="3089" customFormat="false" ht="15" hidden="false" customHeight="false" outlineLevel="0" collapsed="false">
      <c r="A3089" s="43" t="n">
        <v>86</v>
      </c>
      <c r="B3089" s="44" t="str">
        <f aca="false">'Model Inputs &amp; Assumptions'!$B$34</f>
        <v>Meta — Lookalike Feed Video</v>
      </c>
      <c r="C3089" s="45" t="n">
        <f aca="false">ROUND(MAX(0,'Model Inputs &amp; Assumptions'!$S$34*EXP('Model Inputs &amp; Assumptions'!$T$34*P3089-'Model Inputs &amp; Assumptions'!$T$34^2/2)),0)</f>
        <v>691387</v>
      </c>
      <c r="D3089" s="46" t="n">
        <f aca="false">MIN(1,'Model Inputs &amp; Assumptions'!$U$34*EXP('Model Inputs &amp; Assumptions'!$V$34*Q3089-'Model Inputs &amp; Assumptions'!$V$34^2/2))</f>
        <v>0.205144216910193</v>
      </c>
      <c r="E3089" s="45" t="n">
        <f aca="false">ROUND(C3089*D3089,0)</f>
        <v>141834</v>
      </c>
      <c r="F3089" s="47" t="n">
        <f aca="false">MIN(1,'Model Inputs &amp; Assumptions'!$W$34*EXP('Model Inputs &amp; Assumptions'!$X$34*R3089-'Model Inputs &amp; Assumptions'!$X$34^2/2))</f>
        <v>0.00695998674038945</v>
      </c>
      <c r="G3089" s="45" t="n">
        <f aca="false">ROUND(C3089*F3089,0)</f>
        <v>4812</v>
      </c>
      <c r="H3089" s="48" t="n">
        <f aca="false">MAX(0,(C3089*'Model Inputs &amp; Assumptions'!$N$34+E3089*'Model Inputs &amp; Assumptions'!$O$34+G3089*'Model Inputs &amp; Assumptions'!$P$34)*EXP('Model Inputs &amp; Assumptions'!$Q$34*S3089-'Model Inputs &amp; Assumptions'!$Q$34^2/2))</f>
        <v>104.027235018553</v>
      </c>
      <c r="I3089" s="49" t="n">
        <f aca="false">IF('Model Inputs &amp; Assumptions'!$H$34="Fixed",'Model Inputs &amp; Assumptions'!$I$34*'Model Inputs &amp; Assumptions'!$K$34,IF('Model Inputs &amp; Assumptions'!$H$34="CPM",'Model Inputs &amp; Assumptions'!$I$34*'Model Inputs &amp; Assumptions'!$K$34*C3089/1000,IF('Model Inputs &amp; Assumptions'!$H$34="CPC",'Model Inputs &amp; Assumptions'!$I$34*'Model Inputs &amp; Assumptions'!$K$34*G3089,0)))</f>
        <v>8902.2</v>
      </c>
      <c r="J3089" s="50" t="n">
        <f aca="false">H3089*INDEX('Model Inputs &amp; Assumptions'!$D$40:$D$42,MATCH('Model Inputs &amp; Assumptions'!$L$34,'Model Inputs &amp; Assumptions'!$A$40:$A$42,0))*INDEX('Model Inputs &amp; Assumptions'!$H$40:$H$42,MATCH('Model Inputs &amp; Assumptions'!$L$34,'Model Inputs &amp; Assumptions'!$A$40:$A$42,0))</f>
        <v>748996.092133584</v>
      </c>
      <c r="K3089" s="49" t="n">
        <f aca="false">H3089*INDEX('Model Inputs &amp; Assumptions'!$G$40:$G$42,MATCH('Model Inputs &amp; Assumptions'!$L$34,'Model Inputs &amp; Assumptions'!$A$40:$A$42,0))*INDEX('Model Inputs &amp; Assumptions'!$H$40:$H$42,MATCH('Model Inputs &amp; Assumptions'!$L$34,'Model Inputs &amp; Assumptions'!$A$40:$A$42,0))</f>
        <v>16515.3638315455</v>
      </c>
      <c r="L3089" s="51" t="n">
        <f aca="false">IFERROR(K3089/I3089,0)</f>
        <v>1.85520026864657</v>
      </c>
      <c r="M3089" s="49" t="n">
        <f aca="false">IFERROR(I3089/H3089,0)</f>
        <v>85.5756667800724</v>
      </c>
      <c r="N3089" s="52" t="str">
        <f aca="false">'Model Inputs &amp; Assumptions'!$L$34</f>
        <v>PRD-USIQ</v>
      </c>
      <c r="P3089" s="53" t="n">
        <v>1.524353</v>
      </c>
      <c r="Q3089" s="53" t="n">
        <v>-0.634788</v>
      </c>
      <c r="R3089" s="53" t="n">
        <v>0.914545</v>
      </c>
      <c r="S3089" s="53" t="n">
        <v>0.054861</v>
      </c>
    </row>
    <row r="3090" customFormat="false" ht="15" hidden="false" customHeight="false" outlineLevel="0" collapsed="false">
      <c r="A3090" s="43" t="n">
        <v>87</v>
      </c>
      <c r="B3090" s="44" t="str">
        <f aca="false">'Model Inputs &amp; Assumptions'!$B$34</f>
        <v>Meta — Lookalike Feed Video</v>
      </c>
      <c r="C3090" s="45" t="n">
        <f aca="false">ROUND(MAX(0,'Model Inputs &amp; Assumptions'!$S$34*EXP('Model Inputs &amp; Assumptions'!$T$34*P3090-'Model Inputs &amp; Assumptions'!$T$34^2/2)),0)</f>
        <v>425842</v>
      </c>
      <c r="D3090" s="46" t="n">
        <f aca="false">MIN(1,'Model Inputs &amp; Assumptions'!$U$34*EXP('Model Inputs &amp; Assumptions'!$V$34*Q3090-'Model Inputs &amp; Assumptions'!$V$34^2/2))</f>
        <v>0.206361249007326</v>
      </c>
      <c r="E3090" s="45" t="n">
        <f aca="false">ROUND(C3090*D3090,0)</f>
        <v>87877</v>
      </c>
      <c r="F3090" s="47" t="n">
        <f aca="false">MIN(1,'Model Inputs &amp; Assumptions'!$W$34*EXP('Model Inputs &amp; Assumptions'!$X$34*R3090-'Model Inputs &amp; Assumptions'!$X$34^2/2))</f>
        <v>0.00719584164037628</v>
      </c>
      <c r="G3090" s="45" t="n">
        <f aca="false">ROUND(C3090*F3090,0)</f>
        <v>3064</v>
      </c>
      <c r="H3090" s="48" t="n">
        <f aca="false">MAX(0,(C3090*'Model Inputs &amp; Assumptions'!$N$34+E3090*'Model Inputs &amp; Assumptions'!$O$34+G3090*'Model Inputs &amp; Assumptions'!$P$34)*EXP('Model Inputs &amp; Assumptions'!$Q$34*S3090-'Model Inputs &amp; Assumptions'!$Q$34^2/2))</f>
        <v>35.0553398369216</v>
      </c>
      <c r="I3090" s="49" t="n">
        <f aca="false">IF('Model Inputs &amp; Assumptions'!$H$34="Fixed",'Model Inputs &amp; Assumptions'!$I$34*'Model Inputs &amp; Assumptions'!$K$34,IF('Model Inputs &amp; Assumptions'!$H$34="CPM",'Model Inputs &amp; Assumptions'!$I$34*'Model Inputs &amp; Assumptions'!$K$34*C3090/1000,IF('Model Inputs &amp; Assumptions'!$H$34="CPC",'Model Inputs &amp; Assumptions'!$I$34*'Model Inputs &amp; Assumptions'!$K$34*G3090,0)))</f>
        <v>5668.4</v>
      </c>
      <c r="J3090" s="50" t="n">
        <f aca="false">H3090*INDEX('Model Inputs &amp; Assumptions'!$D$40:$D$42,MATCH('Model Inputs &amp; Assumptions'!$L$34,'Model Inputs &amp; Assumptions'!$A$40:$A$42,0))*INDEX('Model Inputs &amp; Assumptions'!$H$40:$H$42,MATCH('Model Inputs &amp; Assumptions'!$L$34,'Model Inputs &amp; Assumptions'!$A$40:$A$42,0))</f>
        <v>252398.446825835</v>
      </c>
      <c r="K3090" s="49" t="n">
        <f aca="false">H3090*INDEX('Model Inputs &amp; Assumptions'!$G$40:$G$42,MATCH('Model Inputs &amp; Assumptions'!$L$34,'Model Inputs &amp; Assumptions'!$A$40:$A$42,0))*INDEX('Model Inputs &amp; Assumptions'!$H$40:$H$42,MATCH('Model Inputs &amp; Assumptions'!$L$34,'Model Inputs &amp; Assumptions'!$A$40:$A$42,0))</f>
        <v>5565.38575250967</v>
      </c>
      <c r="L3090" s="51" t="n">
        <f aca="false">IFERROR(K3090/I3090,0)</f>
        <v>0.981826574079047</v>
      </c>
      <c r="M3090" s="49" t="n">
        <f aca="false">IFERROR(I3090/H3090,0)</f>
        <v>161.698617853073</v>
      </c>
      <c r="N3090" s="52" t="str">
        <f aca="false">'Model Inputs &amp; Assumptions'!$L$34</f>
        <v>PRD-USIQ</v>
      </c>
      <c r="P3090" s="53" t="n">
        <v>-0.898803</v>
      </c>
      <c r="Q3090" s="53" t="n">
        <v>-0.597819</v>
      </c>
      <c r="R3090" s="53" t="n">
        <v>1.099688</v>
      </c>
      <c r="S3090" s="53" t="n">
        <v>-1.924783</v>
      </c>
    </row>
    <row r="3091" customFormat="false" ht="15" hidden="false" customHeight="false" outlineLevel="0" collapsed="false">
      <c r="A3091" s="43" t="n">
        <v>88</v>
      </c>
      <c r="B3091" s="44" t="str">
        <f aca="false">'Model Inputs &amp; Assumptions'!$B$34</f>
        <v>Meta — Lookalike Feed Video</v>
      </c>
      <c r="C3091" s="45" t="n">
        <f aca="false">ROUND(MAX(0,'Model Inputs &amp; Assumptions'!$S$34*EXP('Model Inputs &amp; Assumptions'!$T$34*P3091-'Model Inputs &amp; Assumptions'!$T$34^2/2)),0)</f>
        <v>781471</v>
      </c>
      <c r="D3091" s="46" t="n">
        <f aca="false">MIN(1,'Model Inputs &amp; Assumptions'!$U$34*EXP('Model Inputs &amp; Assumptions'!$V$34*Q3091-'Model Inputs &amp; Assumptions'!$V$34^2/2))</f>
        <v>0.416326125610623</v>
      </c>
      <c r="E3091" s="45" t="n">
        <f aca="false">ROUND(C3091*D3091,0)</f>
        <v>325347</v>
      </c>
      <c r="F3091" s="47" t="n">
        <f aca="false">MIN(1,'Model Inputs &amp; Assumptions'!$W$34*EXP('Model Inputs &amp; Assumptions'!$X$34*R3091-'Model Inputs &amp; Assumptions'!$X$34^2/2))</f>
        <v>0.00619123033852654</v>
      </c>
      <c r="G3091" s="45" t="n">
        <f aca="false">ROUND(C3091*F3091,0)</f>
        <v>4838</v>
      </c>
      <c r="H3091" s="48" t="n">
        <f aca="false">MAX(0,(C3091*'Model Inputs &amp; Assumptions'!$N$34+E3091*'Model Inputs &amp; Assumptions'!$O$34+G3091*'Model Inputs &amp; Assumptions'!$P$34)*EXP('Model Inputs &amp; Assumptions'!$Q$34*S3091-'Model Inputs &amp; Assumptions'!$Q$34^2/2))</f>
        <v>155.804593525578</v>
      </c>
      <c r="I3091" s="49" t="n">
        <f aca="false">IF('Model Inputs &amp; Assumptions'!$H$34="Fixed",'Model Inputs &amp; Assumptions'!$I$34*'Model Inputs &amp; Assumptions'!$K$34,IF('Model Inputs &amp; Assumptions'!$H$34="CPM",'Model Inputs &amp; Assumptions'!$I$34*'Model Inputs &amp; Assumptions'!$K$34*C3091/1000,IF('Model Inputs &amp; Assumptions'!$H$34="CPC",'Model Inputs &amp; Assumptions'!$I$34*'Model Inputs &amp; Assumptions'!$K$34*G3091,0)))</f>
        <v>8950.3</v>
      </c>
      <c r="J3091" s="50" t="n">
        <f aca="false">H3091*INDEX('Model Inputs &amp; Assumptions'!$D$40:$D$42,MATCH('Model Inputs &amp; Assumptions'!$L$34,'Model Inputs &amp; Assumptions'!$A$40:$A$42,0))*INDEX('Model Inputs &amp; Assumptions'!$H$40:$H$42,MATCH('Model Inputs &amp; Assumptions'!$L$34,'Model Inputs &amp; Assumptions'!$A$40:$A$42,0))</f>
        <v>1121793.07338416</v>
      </c>
      <c r="K3091" s="49" t="n">
        <f aca="false">H3091*INDEX('Model Inputs &amp; Assumptions'!$G$40:$G$42,MATCH('Model Inputs &amp; Assumptions'!$L$34,'Model Inputs &amp; Assumptions'!$A$40:$A$42,0))*INDEX('Model Inputs &amp; Assumptions'!$H$40:$H$42,MATCH('Model Inputs &amp; Assumptions'!$L$34,'Model Inputs &amp; Assumptions'!$A$40:$A$42,0))</f>
        <v>24735.5372681208</v>
      </c>
      <c r="L3091" s="51" t="n">
        <f aca="false">IFERROR(K3091/I3091,0)</f>
        <v>2.76365454433045</v>
      </c>
      <c r="M3091" s="49" t="n">
        <f aca="false">IFERROR(I3091/H3091,0)</f>
        <v>57.4456747228742</v>
      </c>
      <c r="N3091" s="52" t="str">
        <f aca="false">'Model Inputs &amp; Assumptions'!$L$34</f>
        <v>PRD-USIQ</v>
      </c>
      <c r="P3091" s="53" t="n">
        <v>2.136744</v>
      </c>
      <c r="Q3091" s="53" t="n">
        <v>3.788685</v>
      </c>
      <c r="R3091" s="53" t="n">
        <v>0.264302</v>
      </c>
      <c r="S3091" s="53" t="n">
        <v>0.904204</v>
      </c>
    </row>
    <row r="3092" customFormat="false" ht="15" hidden="false" customHeight="false" outlineLevel="0" collapsed="false">
      <c r="A3092" s="43" t="n">
        <v>89</v>
      </c>
      <c r="B3092" s="44" t="str">
        <f aca="false">'Model Inputs &amp; Assumptions'!$B$34</f>
        <v>Meta — Lookalike Feed Video</v>
      </c>
      <c r="C3092" s="45" t="n">
        <f aca="false">ROUND(MAX(0,'Model Inputs &amp; Assumptions'!$S$34*EXP('Model Inputs &amp; Assumptions'!$T$34*P3092-'Model Inputs &amp; Assumptions'!$T$34^2/2)),0)</f>
        <v>521537</v>
      </c>
      <c r="D3092" s="46" t="n">
        <f aca="false">MIN(1,'Model Inputs &amp; Assumptions'!$U$34*EXP('Model Inputs &amp; Assumptions'!$V$34*Q3092-'Model Inputs &amp; Assumptions'!$V$34^2/2))</f>
        <v>0.221942892751693</v>
      </c>
      <c r="E3092" s="45" t="n">
        <f aca="false">ROUND(C3092*D3092,0)</f>
        <v>115751</v>
      </c>
      <c r="F3092" s="47" t="n">
        <f aca="false">MIN(1,'Model Inputs &amp; Assumptions'!$W$34*EXP('Model Inputs &amp; Assumptions'!$X$34*R3092-'Model Inputs &amp; Assumptions'!$X$34^2/2))</f>
        <v>0.00483291269924105</v>
      </c>
      <c r="G3092" s="45" t="n">
        <f aca="false">ROUND(C3092*F3092,0)</f>
        <v>2521</v>
      </c>
      <c r="H3092" s="48" t="n">
        <f aca="false">MAX(0,(C3092*'Model Inputs &amp; Assumptions'!$N$34+E3092*'Model Inputs &amp; Assumptions'!$O$34+G3092*'Model Inputs &amp; Assumptions'!$P$34)*EXP('Model Inputs &amp; Assumptions'!$Q$34*S3092-'Model Inputs &amp; Assumptions'!$Q$34^2/2))</f>
        <v>92.7040403068033</v>
      </c>
      <c r="I3092" s="49" t="n">
        <f aca="false">IF('Model Inputs &amp; Assumptions'!$H$34="Fixed",'Model Inputs &amp; Assumptions'!$I$34*'Model Inputs &amp; Assumptions'!$K$34,IF('Model Inputs &amp; Assumptions'!$H$34="CPM",'Model Inputs &amp; Assumptions'!$I$34*'Model Inputs &amp; Assumptions'!$K$34*C3092/1000,IF('Model Inputs &amp; Assumptions'!$H$34="CPC",'Model Inputs &amp; Assumptions'!$I$34*'Model Inputs &amp; Assumptions'!$K$34*G3092,0)))</f>
        <v>4663.85</v>
      </c>
      <c r="J3092" s="50" t="n">
        <f aca="false">H3092*INDEX('Model Inputs &amp; Assumptions'!$D$40:$D$42,MATCH('Model Inputs &amp; Assumptions'!$L$34,'Model Inputs &amp; Assumptions'!$A$40:$A$42,0))*INDEX('Model Inputs &amp; Assumptions'!$H$40:$H$42,MATCH('Model Inputs &amp; Assumptions'!$L$34,'Model Inputs &amp; Assumptions'!$A$40:$A$42,0))</f>
        <v>667469.090208983</v>
      </c>
      <c r="K3092" s="49" t="n">
        <f aca="false">H3092*INDEX('Model Inputs &amp; Assumptions'!$G$40:$G$42,MATCH('Model Inputs &amp; Assumptions'!$L$34,'Model Inputs &amp; Assumptions'!$A$40:$A$42,0))*INDEX('Model Inputs &amp; Assumptions'!$H$40:$H$42,MATCH('Model Inputs &amp; Assumptions'!$L$34,'Model Inputs &amp; Assumptions'!$A$40:$A$42,0))</f>
        <v>14717.6934391081</v>
      </c>
      <c r="L3092" s="51" t="n">
        <f aca="false">IFERROR(K3092/I3092,0)</f>
        <v>3.15569613926436</v>
      </c>
      <c r="M3092" s="49" t="n">
        <f aca="false">IFERROR(I3092/H3092,0)</f>
        <v>50.3090262793836</v>
      </c>
      <c r="N3092" s="52" t="str">
        <f aca="false">'Model Inputs &amp; Assumptions'!$L$34</f>
        <v>PRD-USIQ</v>
      </c>
      <c r="P3092" s="53" t="n">
        <v>0.114754</v>
      </c>
      <c r="Q3092" s="53" t="n">
        <v>-0.14287</v>
      </c>
      <c r="R3092" s="53" t="n">
        <v>-1.111723</v>
      </c>
      <c r="S3092" s="53" t="n">
        <v>1.536293</v>
      </c>
    </row>
    <row r="3093" customFormat="false" ht="15" hidden="false" customHeight="false" outlineLevel="0" collapsed="false">
      <c r="A3093" s="43" t="n">
        <v>90</v>
      </c>
      <c r="B3093" s="44" t="str">
        <f aca="false">'Model Inputs &amp; Assumptions'!$B$34</f>
        <v>Meta — Lookalike Feed Video</v>
      </c>
      <c r="C3093" s="45" t="n">
        <f aca="false">ROUND(MAX(0,'Model Inputs &amp; Assumptions'!$S$34*EXP('Model Inputs &amp; Assumptions'!$T$34*P3093-'Model Inputs &amp; Assumptions'!$T$34^2/2)),0)</f>
        <v>533774</v>
      </c>
      <c r="D3093" s="46" t="n">
        <f aca="false">MIN(1,'Model Inputs &amp; Assumptions'!$U$34*EXP('Model Inputs &amp; Assumptions'!$V$34*Q3093-'Model Inputs &amp; Assumptions'!$V$34^2/2))</f>
        <v>0.240867307102542</v>
      </c>
      <c r="E3093" s="45" t="n">
        <f aca="false">ROUND(C3093*D3093,0)</f>
        <v>128569</v>
      </c>
      <c r="F3093" s="47" t="n">
        <f aca="false">MIN(1,'Model Inputs &amp; Assumptions'!$W$34*EXP('Model Inputs &amp; Assumptions'!$X$34*R3093-'Model Inputs &amp; Assumptions'!$X$34^2/2))</f>
        <v>0.00631521113561214</v>
      </c>
      <c r="G3093" s="45" t="n">
        <f aca="false">ROUND(C3093*F3093,0)</f>
        <v>3371</v>
      </c>
      <c r="H3093" s="48" t="n">
        <f aca="false">MAX(0,(C3093*'Model Inputs &amp; Assumptions'!$N$34+E3093*'Model Inputs &amp; Assumptions'!$O$34+G3093*'Model Inputs &amp; Assumptions'!$P$34)*EXP('Model Inputs &amp; Assumptions'!$Q$34*S3093-'Model Inputs &amp; Assumptions'!$Q$34^2/2))</f>
        <v>139.788797928342</v>
      </c>
      <c r="I3093" s="49" t="n">
        <f aca="false">IF('Model Inputs &amp; Assumptions'!$H$34="Fixed",'Model Inputs &amp; Assumptions'!$I$34*'Model Inputs &amp; Assumptions'!$K$34,IF('Model Inputs &amp; Assumptions'!$H$34="CPM",'Model Inputs &amp; Assumptions'!$I$34*'Model Inputs &amp; Assumptions'!$K$34*C3093/1000,IF('Model Inputs &amp; Assumptions'!$H$34="CPC",'Model Inputs &amp; Assumptions'!$I$34*'Model Inputs &amp; Assumptions'!$K$34*G3093,0)))</f>
        <v>6236.35</v>
      </c>
      <c r="J3093" s="50" t="n">
        <f aca="false">H3093*INDEX('Model Inputs &amp; Assumptions'!$D$40:$D$42,MATCH('Model Inputs &amp; Assumptions'!$L$34,'Model Inputs &amp; Assumptions'!$A$40:$A$42,0))*INDEX('Model Inputs &amp; Assumptions'!$H$40:$H$42,MATCH('Model Inputs &amp; Assumptions'!$L$34,'Model Inputs &amp; Assumptions'!$A$40:$A$42,0))</f>
        <v>1006479.34508406</v>
      </c>
      <c r="K3093" s="49" t="n">
        <f aca="false">H3093*INDEX('Model Inputs &amp; Assumptions'!$G$40:$G$42,MATCH('Model Inputs &amp; Assumptions'!$L$34,'Model Inputs &amp; Assumptions'!$A$40:$A$42,0))*INDEX('Model Inputs &amp; Assumptions'!$H$40:$H$42,MATCH('Model Inputs &amp; Assumptions'!$L$34,'Model Inputs &amp; Assumptions'!$A$40:$A$42,0))</f>
        <v>22192.8695591036</v>
      </c>
      <c r="L3093" s="51" t="n">
        <f aca="false">IFERROR(K3093/I3093,0)</f>
        <v>3.55863117995359</v>
      </c>
      <c r="M3093" s="49" t="n">
        <f aca="false">IFERROR(I3093/H3093,0)</f>
        <v>44.6126591860162</v>
      </c>
      <c r="N3093" s="52" t="str">
        <f aca="false">'Model Inputs &amp; Assumptions'!$L$34</f>
        <v>PRD-USIQ</v>
      </c>
      <c r="P3093" s="53" t="n">
        <v>0.230717</v>
      </c>
      <c r="Q3093" s="53" t="n">
        <v>0.368543</v>
      </c>
      <c r="R3093" s="53" t="n">
        <v>0.374454</v>
      </c>
      <c r="S3093" s="53" t="n">
        <v>1.99502</v>
      </c>
    </row>
    <row r="3094" customFormat="false" ht="15" hidden="false" customHeight="false" outlineLevel="0" collapsed="false">
      <c r="A3094" s="43" t="n">
        <v>91</v>
      </c>
      <c r="B3094" s="44" t="str">
        <f aca="false">'Model Inputs &amp; Assumptions'!$B$34</f>
        <v>Meta — Lookalike Feed Video</v>
      </c>
      <c r="C3094" s="45" t="n">
        <f aca="false">ROUND(MAX(0,'Model Inputs &amp; Assumptions'!$S$34*EXP('Model Inputs &amp; Assumptions'!$T$34*P3094-'Model Inputs &amp; Assumptions'!$T$34^2/2)),0)</f>
        <v>446696</v>
      </c>
      <c r="D3094" s="46" t="n">
        <f aca="false">MIN(1,'Model Inputs &amp; Assumptions'!$U$34*EXP('Model Inputs &amp; Assumptions'!$V$34*Q3094-'Model Inputs &amp; Assumptions'!$V$34^2/2))</f>
        <v>0.221305466590505</v>
      </c>
      <c r="E3094" s="45" t="n">
        <f aca="false">ROUND(C3094*D3094,0)</f>
        <v>98856</v>
      </c>
      <c r="F3094" s="47" t="n">
        <f aca="false">MIN(1,'Model Inputs &amp; Assumptions'!$W$34*EXP('Model Inputs &amp; Assumptions'!$X$34*R3094-'Model Inputs &amp; Assumptions'!$X$34^2/2))</f>
        <v>0.00711169156647728</v>
      </c>
      <c r="G3094" s="45" t="n">
        <f aca="false">ROUND(C3094*F3094,0)</f>
        <v>3177</v>
      </c>
      <c r="H3094" s="48" t="n">
        <f aca="false">MAX(0,(C3094*'Model Inputs &amp; Assumptions'!$N$34+E3094*'Model Inputs &amp; Assumptions'!$O$34+G3094*'Model Inputs &amp; Assumptions'!$P$34)*EXP('Model Inputs &amp; Assumptions'!$Q$34*S3094-'Model Inputs &amp; Assumptions'!$Q$34^2/2))</f>
        <v>58.652098266631</v>
      </c>
      <c r="I3094" s="49" t="n">
        <f aca="false">IF('Model Inputs &amp; Assumptions'!$H$34="Fixed",'Model Inputs &amp; Assumptions'!$I$34*'Model Inputs &amp; Assumptions'!$K$34,IF('Model Inputs &amp; Assumptions'!$H$34="CPM",'Model Inputs &amp; Assumptions'!$I$34*'Model Inputs &amp; Assumptions'!$K$34*C3094/1000,IF('Model Inputs &amp; Assumptions'!$H$34="CPC",'Model Inputs &amp; Assumptions'!$I$34*'Model Inputs &amp; Assumptions'!$K$34*G3094,0)))</f>
        <v>5877.45</v>
      </c>
      <c r="J3094" s="50" t="n">
        <f aca="false">H3094*INDEX('Model Inputs &amp; Assumptions'!$D$40:$D$42,MATCH('Model Inputs &amp; Assumptions'!$L$34,'Model Inputs &amp; Assumptions'!$A$40:$A$42,0))*INDEX('Model Inputs &amp; Assumptions'!$H$40:$H$42,MATCH('Model Inputs &amp; Assumptions'!$L$34,'Model Inputs &amp; Assumptions'!$A$40:$A$42,0))</f>
        <v>422295.107519743</v>
      </c>
      <c r="K3094" s="49" t="n">
        <f aca="false">H3094*INDEX('Model Inputs &amp; Assumptions'!$G$40:$G$42,MATCH('Model Inputs &amp; Assumptions'!$L$34,'Model Inputs &amp; Assumptions'!$A$40:$A$42,0))*INDEX('Model Inputs &amp; Assumptions'!$H$40:$H$42,MATCH('Model Inputs &amp; Assumptions'!$L$34,'Model Inputs &amp; Assumptions'!$A$40:$A$42,0))</f>
        <v>9311.60712081033</v>
      </c>
      <c r="L3094" s="51" t="n">
        <f aca="false">IFERROR(K3094/I3094,0)</f>
        <v>1.58429371935284</v>
      </c>
      <c r="M3094" s="49" t="n">
        <f aca="false">IFERROR(I3094/H3094,0)</f>
        <v>100.208691141471</v>
      </c>
      <c r="N3094" s="52" t="str">
        <f aca="false">'Model Inputs &amp; Assumptions'!$L$34</f>
        <v>PRD-USIQ</v>
      </c>
      <c r="P3094" s="53" t="n">
        <v>-0.65975</v>
      </c>
      <c r="Q3094" s="53" t="n">
        <v>-0.160846</v>
      </c>
      <c r="R3094" s="53" t="n">
        <v>1.034337</v>
      </c>
      <c r="S3094" s="53" t="n">
        <v>-0.456729</v>
      </c>
    </row>
    <row r="3095" customFormat="false" ht="15" hidden="false" customHeight="false" outlineLevel="0" collapsed="false">
      <c r="A3095" s="43" t="n">
        <v>92</v>
      </c>
      <c r="B3095" s="44" t="str">
        <f aca="false">'Model Inputs &amp; Assumptions'!$B$34</f>
        <v>Meta — Lookalike Feed Video</v>
      </c>
      <c r="C3095" s="45" t="n">
        <f aca="false">ROUND(MAX(0,'Model Inputs &amp; Assumptions'!$S$34*EXP('Model Inputs &amp; Assumptions'!$T$34*P3095-'Model Inputs &amp; Assumptions'!$T$34^2/2)),0)</f>
        <v>585183</v>
      </c>
      <c r="D3095" s="46" t="n">
        <f aca="false">MIN(1,'Model Inputs &amp; Assumptions'!$U$34*EXP('Model Inputs &amp; Assumptions'!$V$34*Q3095-'Model Inputs &amp; Assumptions'!$V$34^2/2))</f>
        <v>0.187539271020631</v>
      </c>
      <c r="E3095" s="45" t="n">
        <f aca="false">ROUND(C3095*D3095,0)</f>
        <v>109745</v>
      </c>
      <c r="F3095" s="47" t="n">
        <f aca="false">MIN(1,'Model Inputs &amp; Assumptions'!$W$34*EXP('Model Inputs &amp; Assumptions'!$X$34*R3095-'Model Inputs &amp; Assumptions'!$X$34^2/2))</f>
        <v>0.00431246897974093</v>
      </c>
      <c r="G3095" s="45" t="n">
        <f aca="false">ROUND(C3095*F3095,0)</f>
        <v>2524</v>
      </c>
      <c r="H3095" s="48" t="n">
        <f aca="false">MAX(0,(C3095*'Model Inputs &amp; Assumptions'!$N$34+E3095*'Model Inputs &amp; Assumptions'!$O$34+G3095*'Model Inputs &amp; Assumptions'!$P$34)*EXP('Model Inputs &amp; Assumptions'!$Q$34*S3095-'Model Inputs &amp; Assumptions'!$Q$34^2/2))</f>
        <v>84.9805589595174</v>
      </c>
      <c r="I3095" s="49" t="n">
        <f aca="false">IF('Model Inputs &amp; Assumptions'!$H$34="Fixed",'Model Inputs &amp; Assumptions'!$I$34*'Model Inputs &amp; Assumptions'!$K$34,IF('Model Inputs &amp; Assumptions'!$H$34="CPM",'Model Inputs &amp; Assumptions'!$I$34*'Model Inputs &amp; Assumptions'!$K$34*C3095/1000,IF('Model Inputs &amp; Assumptions'!$H$34="CPC",'Model Inputs &amp; Assumptions'!$I$34*'Model Inputs &amp; Assumptions'!$K$34*G3095,0)))</f>
        <v>4669.4</v>
      </c>
      <c r="J3095" s="50" t="n">
        <f aca="false">H3095*INDEX('Model Inputs &amp; Assumptions'!$D$40:$D$42,MATCH('Model Inputs &amp; Assumptions'!$L$34,'Model Inputs &amp; Assumptions'!$A$40:$A$42,0))*INDEX('Model Inputs &amp; Assumptions'!$H$40:$H$42,MATCH('Model Inputs &amp; Assumptions'!$L$34,'Model Inputs &amp; Assumptions'!$A$40:$A$42,0))</f>
        <v>611860.024508525</v>
      </c>
      <c r="K3095" s="49" t="n">
        <f aca="false">H3095*INDEX('Model Inputs &amp; Assumptions'!$G$40:$G$42,MATCH('Model Inputs &amp; Assumptions'!$L$34,'Model Inputs &amp; Assumptions'!$A$40:$A$42,0))*INDEX('Model Inputs &amp; Assumptions'!$H$40:$H$42,MATCH('Model Inputs &amp; Assumptions'!$L$34,'Model Inputs &amp; Assumptions'!$A$40:$A$42,0))</f>
        <v>13491.513540413</v>
      </c>
      <c r="L3095" s="51" t="n">
        <f aca="false">IFERROR(K3095/I3095,0)</f>
        <v>2.88934628440763</v>
      </c>
      <c r="M3095" s="49" t="n">
        <f aca="false">IFERROR(I3095/H3095,0)</f>
        <v>54.9466849497235</v>
      </c>
      <c r="N3095" s="52" t="str">
        <f aca="false">'Model Inputs &amp; Assumptions'!$L$34</f>
        <v>PRD-USIQ</v>
      </c>
      <c r="P3095" s="53" t="n">
        <v>0.690477</v>
      </c>
      <c r="Q3095" s="53" t="n">
        <v>-1.195569</v>
      </c>
      <c r="R3095" s="53" t="n">
        <v>-1.744716</v>
      </c>
      <c r="S3095" s="53" t="n">
        <v>1.286546</v>
      </c>
    </row>
    <row r="3096" customFormat="false" ht="15" hidden="false" customHeight="false" outlineLevel="0" collapsed="false">
      <c r="A3096" s="43" t="n">
        <v>93</v>
      </c>
      <c r="B3096" s="44" t="str">
        <f aca="false">'Model Inputs &amp; Assumptions'!$B$34</f>
        <v>Meta — Lookalike Feed Video</v>
      </c>
      <c r="C3096" s="45" t="n">
        <f aca="false">ROUND(MAX(0,'Model Inputs &amp; Assumptions'!$S$34*EXP('Model Inputs &amp; Assumptions'!$T$34*P3096-'Model Inputs &amp; Assumptions'!$T$34^2/2)),0)</f>
        <v>460577</v>
      </c>
      <c r="D3096" s="46" t="n">
        <f aca="false">MIN(1,'Model Inputs &amp; Assumptions'!$U$34*EXP('Model Inputs &amp; Assumptions'!$V$34*Q3096-'Model Inputs &amp; Assumptions'!$V$34^2/2))</f>
        <v>0.211818655266624</v>
      </c>
      <c r="E3096" s="45" t="n">
        <f aca="false">ROUND(C3096*D3096,0)</f>
        <v>97559</v>
      </c>
      <c r="F3096" s="47" t="n">
        <f aca="false">MIN(1,'Model Inputs &amp; Assumptions'!$W$34*EXP('Model Inputs &amp; Assumptions'!$X$34*R3096-'Model Inputs &amp; Assumptions'!$X$34^2/2))</f>
        <v>0.00555584990299808</v>
      </c>
      <c r="G3096" s="45" t="n">
        <f aca="false">ROUND(C3096*F3096,0)</f>
        <v>2559</v>
      </c>
      <c r="H3096" s="48" t="n">
        <f aca="false">MAX(0,(C3096*'Model Inputs &amp; Assumptions'!$N$34+E3096*'Model Inputs &amp; Assumptions'!$O$34+G3096*'Model Inputs &amp; Assumptions'!$P$34)*EXP('Model Inputs &amp; Assumptions'!$Q$34*S3096-'Model Inputs &amp; Assumptions'!$Q$34^2/2))</f>
        <v>47.4354551157791</v>
      </c>
      <c r="I3096" s="49" t="n">
        <f aca="false">IF('Model Inputs &amp; Assumptions'!$H$34="Fixed",'Model Inputs &amp; Assumptions'!$I$34*'Model Inputs &amp; Assumptions'!$K$34,IF('Model Inputs &amp; Assumptions'!$H$34="CPM",'Model Inputs &amp; Assumptions'!$I$34*'Model Inputs &amp; Assumptions'!$K$34*C3096/1000,IF('Model Inputs &amp; Assumptions'!$H$34="CPC",'Model Inputs &amp; Assumptions'!$I$34*'Model Inputs &amp; Assumptions'!$K$34*G3096,0)))</f>
        <v>4734.15</v>
      </c>
      <c r="J3096" s="50" t="n">
        <f aca="false">H3096*INDEX('Model Inputs &amp; Assumptions'!$D$40:$D$42,MATCH('Model Inputs &amp; Assumptions'!$L$34,'Model Inputs &amp; Assumptions'!$A$40:$A$42,0))*INDEX('Model Inputs &amp; Assumptions'!$H$40:$H$42,MATCH('Model Inputs &amp; Assumptions'!$L$34,'Model Inputs &amp; Assumptions'!$A$40:$A$42,0))</f>
        <v>341535.276833609</v>
      </c>
      <c r="K3096" s="49" t="n">
        <f aca="false">H3096*INDEX('Model Inputs &amp; Assumptions'!$G$40:$G$42,MATCH('Model Inputs &amp; Assumptions'!$L$34,'Model Inputs &amp; Assumptions'!$A$40:$A$42,0))*INDEX('Model Inputs &amp; Assumptions'!$H$40:$H$42,MATCH('Model Inputs &amp; Assumptions'!$L$34,'Model Inputs &amp; Assumptions'!$A$40:$A$42,0))</f>
        <v>7530.85285418108</v>
      </c>
      <c r="L3096" s="51" t="n">
        <f aca="false">IFERROR(K3096/I3096,0)</f>
        <v>1.59075079035964</v>
      </c>
      <c r="M3096" s="49" t="n">
        <f aca="false">IFERROR(I3096/H3096,0)</f>
        <v>99.8019306117129</v>
      </c>
      <c r="N3096" s="52" t="str">
        <f aca="false">'Model Inputs &amp; Assumptions'!$L$34</f>
        <v>PRD-USIQ</v>
      </c>
      <c r="P3096" s="53" t="n">
        <v>-0.50674</v>
      </c>
      <c r="Q3096" s="53" t="n">
        <v>-0.43468</v>
      </c>
      <c r="R3096" s="53" t="n">
        <v>-0.337267</v>
      </c>
      <c r="S3096" s="53" t="n">
        <v>-0.520964</v>
      </c>
    </row>
    <row r="3097" customFormat="false" ht="15" hidden="false" customHeight="false" outlineLevel="0" collapsed="false">
      <c r="A3097" s="43" t="n">
        <v>94</v>
      </c>
      <c r="B3097" s="44" t="str">
        <f aca="false">'Model Inputs &amp; Assumptions'!$B$34</f>
        <v>Meta — Lookalike Feed Video</v>
      </c>
      <c r="C3097" s="45" t="n">
        <f aca="false">ROUND(MAX(0,'Model Inputs &amp; Assumptions'!$S$34*EXP('Model Inputs &amp; Assumptions'!$T$34*P3097-'Model Inputs &amp; Assumptions'!$T$34^2/2)),0)</f>
        <v>519926</v>
      </c>
      <c r="D3097" s="46" t="n">
        <f aca="false">MIN(1,'Model Inputs &amp; Assumptions'!$U$34*EXP('Model Inputs &amp; Assumptions'!$V$34*Q3097-'Model Inputs &amp; Assumptions'!$V$34^2/2))</f>
        <v>0.25590591794976</v>
      </c>
      <c r="E3097" s="45" t="n">
        <f aca="false">ROUND(C3097*D3097,0)</f>
        <v>133052</v>
      </c>
      <c r="F3097" s="47" t="n">
        <f aca="false">MIN(1,'Model Inputs &amp; Assumptions'!$W$34*EXP('Model Inputs &amp; Assumptions'!$X$34*R3097-'Model Inputs &amp; Assumptions'!$X$34^2/2))</f>
        <v>0.00611780534974555</v>
      </c>
      <c r="G3097" s="45" t="n">
        <f aca="false">ROUND(C3097*F3097,0)</f>
        <v>3181</v>
      </c>
      <c r="H3097" s="48" t="n">
        <f aca="false">MAX(0,(C3097*'Model Inputs &amp; Assumptions'!$N$34+E3097*'Model Inputs &amp; Assumptions'!$O$34+G3097*'Model Inputs &amp; Assumptions'!$P$34)*EXP('Model Inputs &amp; Assumptions'!$Q$34*S3097-'Model Inputs &amp; Assumptions'!$Q$34^2/2))</f>
        <v>96.6156548494404</v>
      </c>
      <c r="I3097" s="49" t="n">
        <f aca="false">IF('Model Inputs &amp; Assumptions'!$H$34="Fixed",'Model Inputs &amp; Assumptions'!$I$34*'Model Inputs &amp; Assumptions'!$K$34,IF('Model Inputs &amp; Assumptions'!$H$34="CPM",'Model Inputs &amp; Assumptions'!$I$34*'Model Inputs &amp; Assumptions'!$K$34*C3097/1000,IF('Model Inputs &amp; Assumptions'!$H$34="CPC",'Model Inputs &amp; Assumptions'!$I$34*'Model Inputs &amp; Assumptions'!$K$34*G3097,0)))</f>
        <v>5884.85</v>
      </c>
      <c r="J3097" s="50" t="n">
        <f aca="false">H3097*INDEX('Model Inputs &amp; Assumptions'!$D$40:$D$42,MATCH('Model Inputs &amp; Assumptions'!$L$34,'Model Inputs &amp; Assumptions'!$A$40:$A$42,0))*INDEX('Model Inputs &amp; Assumptions'!$H$40:$H$42,MATCH('Model Inputs &amp; Assumptions'!$L$34,'Model Inputs &amp; Assumptions'!$A$40:$A$42,0))</f>
        <v>695632.714915971</v>
      </c>
      <c r="K3097" s="49" t="n">
        <f aca="false">H3097*INDEX('Model Inputs &amp; Assumptions'!$G$40:$G$42,MATCH('Model Inputs &amp; Assumptions'!$L$34,'Model Inputs &amp; Assumptions'!$A$40:$A$42,0))*INDEX('Model Inputs &amp; Assumptions'!$H$40:$H$42,MATCH('Model Inputs &amp; Assumptions'!$L$34,'Model Inputs &amp; Assumptions'!$A$40:$A$42,0))</f>
        <v>15338.7013638972</v>
      </c>
      <c r="L3097" s="51" t="n">
        <f aca="false">IFERROR(K3097/I3097,0)</f>
        <v>2.60647278416564</v>
      </c>
      <c r="M3097" s="49" t="n">
        <f aca="false">IFERROR(I3097/H3097,0)</f>
        <v>60.909901290537</v>
      </c>
      <c r="N3097" s="52" t="str">
        <f aca="false">'Model Inputs &amp; Assumptions'!$L$34</f>
        <v>PRD-USIQ</v>
      </c>
      <c r="P3097" s="53" t="n">
        <v>0.099291</v>
      </c>
      <c r="Q3097" s="53" t="n">
        <v>0.747066</v>
      </c>
      <c r="R3097" s="53" t="n">
        <v>0.198022</v>
      </c>
      <c r="S3097" s="53" t="n">
        <v>0.982226</v>
      </c>
    </row>
    <row r="3098" customFormat="false" ht="15" hidden="false" customHeight="false" outlineLevel="0" collapsed="false">
      <c r="A3098" s="43" t="n">
        <v>95</v>
      </c>
      <c r="B3098" s="44" t="str">
        <f aca="false">'Model Inputs &amp; Assumptions'!$B$34</f>
        <v>Meta — Lookalike Feed Video</v>
      </c>
      <c r="C3098" s="45" t="n">
        <f aca="false">ROUND(MAX(0,'Model Inputs &amp; Assumptions'!$S$34*EXP('Model Inputs &amp; Assumptions'!$T$34*P3098-'Model Inputs &amp; Assumptions'!$T$34^2/2)),0)</f>
        <v>403829</v>
      </c>
      <c r="D3098" s="46" t="n">
        <f aca="false">MIN(1,'Model Inputs &amp; Assumptions'!$U$34*EXP('Model Inputs &amp; Assumptions'!$V$34*Q3098-'Model Inputs &amp; Assumptions'!$V$34^2/2))</f>
        <v>0.231915385837429</v>
      </c>
      <c r="E3098" s="45" t="n">
        <f aca="false">ROUND(C3098*D3098,0)</f>
        <v>93654</v>
      </c>
      <c r="F3098" s="47" t="n">
        <f aca="false">MIN(1,'Model Inputs &amp; Assumptions'!$W$34*EXP('Model Inputs &amp; Assumptions'!$X$34*R3098-'Model Inputs &amp; Assumptions'!$X$34^2/2))</f>
        <v>0.00751667156714014</v>
      </c>
      <c r="G3098" s="45" t="n">
        <f aca="false">ROUND(C3098*F3098,0)</f>
        <v>3035</v>
      </c>
      <c r="H3098" s="48" t="n">
        <f aca="false">MAX(0,(C3098*'Model Inputs &amp; Assumptions'!$N$34+E3098*'Model Inputs &amp; Assumptions'!$O$34+G3098*'Model Inputs &amp; Assumptions'!$P$34)*EXP('Model Inputs &amp; Assumptions'!$Q$34*S3098-'Model Inputs &amp; Assumptions'!$Q$34^2/2))</f>
        <v>50.1876865387916</v>
      </c>
      <c r="I3098" s="49" t="n">
        <f aca="false">IF('Model Inputs &amp; Assumptions'!$H$34="Fixed",'Model Inputs &amp; Assumptions'!$I$34*'Model Inputs &amp; Assumptions'!$K$34,IF('Model Inputs &amp; Assumptions'!$H$34="CPM",'Model Inputs &amp; Assumptions'!$I$34*'Model Inputs &amp; Assumptions'!$K$34*C3098/1000,IF('Model Inputs &amp; Assumptions'!$H$34="CPC",'Model Inputs &amp; Assumptions'!$I$34*'Model Inputs &amp; Assumptions'!$K$34*G3098,0)))</f>
        <v>5614.75</v>
      </c>
      <c r="J3098" s="50" t="n">
        <f aca="false">H3098*INDEX('Model Inputs &amp; Assumptions'!$D$40:$D$42,MATCH('Model Inputs &amp; Assumptions'!$L$34,'Model Inputs &amp; Assumptions'!$A$40:$A$42,0))*INDEX('Model Inputs &amp; Assumptions'!$H$40:$H$42,MATCH('Model Inputs &amp; Assumptions'!$L$34,'Model Inputs &amp; Assumptions'!$A$40:$A$42,0))</f>
        <v>361351.343079299</v>
      </c>
      <c r="K3098" s="49" t="n">
        <f aca="false">H3098*INDEX('Model Inputs &amp; Assumptions'!$G$40:$G$42,MATCH('Model Inputs &amp; Assumptions'!$L$34,'Model Inputs &amp; Assumptions'!$A$40:$A$42,0))*INDEX('Model Inputs &amp; Assumptions'!$H$40:$H$42,MATCH('Model Inputs &amp; Assumptions'!$L$34,'Model Inputs &amp; Assumptions'!$A$40:$A$42,0))</f>
        <v>7967.79711489855</v>
      </c>
      <c r="L3098" s="51" t="n">
        <f aca="false">IFERROR(K3098/I3098,0)</f>
        <v>1.41908314972146</v>
      </c>
      <c r="M3098" s="49" t="n">
        <f aca="false">IFERROR(I3098/H3098,0)</f>
        <v>111.875051177348</v>
      </c>
      <c r="N3098" s="52" t="str">
        <f aca="false">'Model Inputs &amp; Assumptions'!$L$34</f>
        <v>PRD-USIQ</v>
      </c>
      <c r="P3098" s="53" t="n">
        <v>-1.164184</v>
      </c>
      <c r="Q3098" s="53" t="n">
        <v>0.131833</v>
      </c>
      <c r="R3098" s="53" t="n">
        <v>1.342022</v>
      </c>
      <c r="S3098" s="53" t="n">
        <v>-0.798007</v>
      </c>
    </row>
    <row r="3099" customFormat="false" ht="15" hidden="false" customHeight="false" outlineLevel="0" collapsed="false">
      <c r="A3099" s="43" t="n">
        <v>96</v>
      </c>
      <c r="B3099" s="44" t="str">
        <f aca="false">'Model Inputs &amp; Assumptions'!$B$34</f>
        <v>Meta — Lookalike Feed Video</v>
      </c>
      <c r="C3099" s="45" t="n">
        <f aca="false">ROUND(MAX(0,'Model Inputs &amp; Assumptions'!$S$34*EXP('Model Inputs &amp; Assumptions'!$T$34*P3099-'Model Inputs &amp; Assumptions'!$T$34^2/2)),0)</f>
        <v>359338</v>
      </c>
      <c r="D3099" s="46" t="n">
        <f aca="false">MIN(1,'Model Inputs &amp; Assumptions'!$U$34*EXP('Model Inputs &amp; Assumptions'!$V$34*Q3099-'Model Inputs &amp; Assumptions'!$V$34^2/2))</f>
        <v>0.312913861228923</v>
      </c>
      <c r="E3099" s="45" t="n">
        <f aca="false">ROUND(C3099*D3099,0)</f>
        <v>112442</v>
      </c>
      <c r="F3099" s="47" t="n">
        <f aca="false">MIN(1,'Model Inputs &amp; Assumptions'!$W$34*EXP('Model Inputs &amp; Assumptions'!$X$34*R3099-'Model Inputs &amp; Assumptions'!$X$34^2/2))</f>
        <v>0.00506148363706442</v>
      </c>
      <c r="G3099" s="45" t="n">
        <f aca="false">ROUND(C3099*F3099,0)</f>
        <v>1819</v>
      </c>
      <c r="H3099" s="48" t="n">
        <f aca="false">MAX(0,(C3099*'Model Inputs &amp; Assumptions'!$N$34+E3099*'Model Inputs &amp; Assumptions'!$O$34+G3099*'Model Inputs &amp; Assumptions'!$P$34)*EXP('Model Inputs &amp; Assumptions'!$Q$34*S3099-'Model Inputs &amp; Assumptions'!$Q$34^2/2))</f>
        <v>33.7127069270158</v>
      </c>
      <c r="I3099" s="49" t="n">
        <f aca="false">IF('Model Inputs &amp; Assumptions'!$H$34="Fixed",'Model Inputs &amp; Assumptions'!$I$34*'Model Inputs &amp; Assumptions'!$K$34,IF('Model Inputs &amp; Assumptions'!$H$34="CPM",'Model Inputs &amp; Assumptions'!$I$34*'Model Inputs &amp; Assumptions'!$K$34*C3099/1000,IF('Model Inputs &amp; Assumptions'!$H$34="CPC",'Model Inputs &amp; Assumptions'!$I$34*'Model Inputs &amp; Assumptions'!$K$34*G3099,0)))</f>
        <v>3365.15</v>
      </c>
      <c r="J3099" s="50" t="n">
        <f aca="false">H3099*INDEX('Model Inputs &amp; Assumptions'!$D$40:$D$42,MATCH('Model Inputs &amp; Assumptions'!$L$34,'Model Inputs &amp; Assumptions'!$A$40:$A$42,0))*INDEX('Model Inputs &amp; Assumptions'!$H$40:$H$42,MATCH('Model Inputs &amp; Assumptions'!$L$34,'Model Inputs &amp; Assumptions'!$A$40:$A$42,0))</f>
        <v>242731.489874514</v>
      </c>
      <c r="K3099" s="49" t="n">
        <f aca="false">H3099*INDEX('Model Inputs &amp; Assumptions'!$G$40:$G$42,MATCH('Model Inputs &amp; Assumptions'!$L$34,'Model Inputs &amp; Assumptions'!$A$40:$A$42,0))*INDEX('Model Inputs &amp; Assumptions'!$H$40:$H$42,MATCH('Model Inputs &amp; Assumptions'!$L$34,'Model Inputs &amp; Assumptions'!$A$40:$A$42,0))</f>
        <v>5352.22935173303</v>
      </c>
      <c r="L3099" s="51" t="n">
        <f aca="false">IFERROR(K3099/I3099,0)</f>
        <v>1.59048760136488</v>
      </c>
      <c r="M3099" s="49" t="n">
        <f aca="false">IFERROR(I3099/H3099,0)</f>
        <v>99.8184455281259</v>
      </c>
      <c r="N3099" s="52" t="str">
        <f aca="false">'Model Inputs &amp; Assumptions'!$L$34</f>
        <v>PRD-USIQ</v>
      </c>
      <c r="P3099" s="53" t="n">
        <v>-1.747829</v>
      </c>
      <c r="Q3099" s="53" t="n">
        <v>2.004054</v>
      </c>
      <c r="R3099" s="53" t="n">
        <v>-0.854999</v>
      </c>
      <c r="S3099" s="53" t="n">
        <v>-0.76842</v>
      </c>
    </row>
    <row r="3100" customFormat="false" ht="15" hidden="false" customHeight="false" outlineLevel="0" collapsed="false">
      <c r="A3100" s="43" t="n">
        <v>97</v>
      </c>
      <c r="B3100" s="44" t="str">
        <f aca="false">'Model Inputs &amp; Assumptions'!$B$34</f>
        <v>Meta — Lookalike Feed Video</v>
      </c>
      <c r="C3100" s="45" t="n">
        <f aca="false">ROUND(MAX(0,'Model Inputs &amp; Assumptions'!$S$34*EXP('Model Inputs &amp; Assumptions'!$T$34*P3100-'Model Inputs &amp; Assumptions'!$T$34^2/2)),0)</f>
        <v>468442</v>
      </c>
      <c r="D3100" s="46" t="n">
        <f aca="false">MIN(1,'Model Inputs &amp; Assumptions'!$U$34*EXP('Model Inputs &amp; Assumptions'!$V$34*Q3100-'Model Inputs &amp; Assumptions'!$V$34^2/2))</f>
        <v>0.212656398144339</v>
      </c>
      <c r="E3100" s="45" t="n">
        <f aca="false">ROUND(C3100*D3100,0)</f>
        <v>99617</v>
      </c>
      <c r="F3100" s="47" t="n">
        <f aca="false">MIN(1,'Model Inputs &amp; Assumptions'!$W$34*EXP('Model Inputs &amp; Assumptions'!$X$34*R3100-'Model Inputs &amp; Assumptions'!$X$34^2/2))</f>
        <v>0.00583512162302896</v>
      </c>
      <c r="G3100" s="45" t="n">
        <f aca="false">ROUND(C3100*F3100,0)</f>
        <v>2733</v>
      </c>
      <c r="H3100" s="48" t="n">
        <f aca="false">MAX(0,(C3100*'Model Inputs &amp; Assumptions'!$N$34+E3100*'Model Inputs &amp; Assumptions'!$O$34+G3100*'Model Inputs &amp; Assumptions'!$P$34)*EXP('Model Inputs &amp; Assumptions'!$Q$34*S3100-'Model Inputs &amp; Assumptions'!$Q$34^2/2))</f>
        <v>54.0600409175861</v>
      </c>
      <c r="I3100" s="49" t="n">
        <f aca="false">IF('Model Inputs &amp; Assumptions'!$H$34="Fixed",'Model Inputs &amp; Assumptions'!$I$34*'Model Inputs &amp; Assumptions'!$K$34,IF('Model Inputs &amp; Assumptions'!$H$34="CPM",'Model Inputs &amp; Assumptions'!$I$34*'Model Inputs &amp; Assumptions'!$K$34*C3100/1000,IF('Model Inputs &amp; Assumptions'!$H$34="CPC",'Model Inputs &amp; Assumptions'!$I$34*'Model Inputs &amp; Assumptions'!$K$34*G3100,0)))</f>
        <v>5056.05</v>
      </c>
      <c r="J3100" s="50" t="n">
        <f aca="false">H3100*INDEX('Model Inputs &amp; Assumptions'!$D$40:$D$42,MATCH('Model Inputs &amp; Assumptions'!$L$34,'Model Inputs &amp; Assumptions'!$A$40:$A$42,0))*INDEX('Model Inputs &amp; Assumptions'!$H$40:$H$42,MATCH('Model Inputs &amp; Assumptions'!$L$34,'Model Inputs &amp; Assumptions'!$A$40:$A$42,0))</f>
        <v>389232.29460662</v>
      </c>
      <c r="K3100" s="49" t="n">
        <f aca="false">H3100*INDEX('Model Inputs &amp; Assumptions'!$G$40:$G$42,MATCH('Model Inputs &amp; Assumptions'!$L$34,'Model Inputs &amp; Assumptions'!$A$40:$A$42,0))*INDEX('Model Inputs &amp; Assumptions'!$H$40:$H$42,MATCH('Model Inputs &amp; Assumptions'!$L$34,'Model Inputs &amp; Assumptions'!$A$40:$A$42,0))</f>
        <v>8582.57209607597</v>
      </c>
      <c r="L3100" s="51" t="n">
        <f aca="false">IFERROR(K3100/I3100,0)</f>
        <v>1.69748560557668</v>
      </c>
      <c r="M3100" s="49" t="n">
        <f aca="false">IFERROR(I3100/H3100,0)</f>
        <v>93.5265662804046</v>
      </c>
      <c r="N3100" s="52" t="str">
        <f aca="false">'Model Inputs &amp; Assumptions'!$L$34</f>
        <v>PRD-USIQ</v>
      </c>
      <c r="P3100" s="53" t="n">
        <v>-0.422086</v>
      </c>
      <c r="Q3100" s="53" t="n">
        <v>-0.41001</v>
      </c>
      <c r="R3100" s="53" t="n">
        <v>-0.064802</v>
      </c>
      <c r="S3100" s="53" t="n">
        <v>-0.299809</v>
      </c>
    </row>
    <row r="3101" customFormat="false" ht="15" hidden="false" customHeight="false" outlineLevel="0" collapsed="false">
      <c r="A3101" s="43" t="n">
        <v>98</v>
      </c>
      <c r="B3101" s="44" t="str">
        <f aca="false">'Model Inputs &amp; Assumptions'!$B$34</f>
        <v>Meta — Lookalike Feed Video</v>
      </c>
      <c r="C3101" s="45" t="n">
        <f aca="false">ROUND(MAX(0,'Model Inputs &amp; Assumptions'!$S$34*EXP('Model Inputs &amp; Assumptions'!$T$34*P3101-'Model Inputs &amp; Assumptions'!$T$34^2/2)),0)</f>
        <v>585320</v>
      </c>
      <c r="D3101" s="46" t="n">
        <f aca="false">MIN(1,'Model Inputs &amp; Assumptions'!$U$34*EXP('Model Inputs &amp; Assumptions'!$V$34*Q3101-'Model Inputs &amp; Assumptions'!$V$34^2/2))</f>
        <v>0.18348535020696</v>
      </c>
      <c r="E3101" s="45" t="n">
        <f aca="false">ROUND(C3101*D3101,0)</f>
        <v>107398</v>
      </c>
      <c r="F3101" s="47" t="n">
        <f aca="false">MIN(1,'Model Inputs &amp; Assumptions'!$W$34*EXP('Model Inputs &amp; Assumptions'!$X$34*R3101-'Model Inputs &amp; Assumptions'!$X$34^2/2))</f>
        <v>0.00677818203270511</v>
      </c>
      <c r="G3101" s="45" t="n">
        <f aca="false">ROUND(C3101*F3101,0)</f>
        <v>3967</v>
      </c>
      <c r="H3101" s="48" t="n">
        <f aca="false">MAX(0,(C3101*'Model Inputs &amp; Assumptions'!$N$34+E3101*'Model Inputs &amp; Assumptions'!$O$34+G3101*'Model Inputs &amp; Assumptions'!$P$34)*EXP('Model Inputs &amp; Assumptions'!$Q$34*S3101-'Model Inputs &amp; Assumptions'!$Q$34^2/2))</f>
        <v>121.35630996793</v>
      </c>
      <c r="I3101" s="49" t="n">
        <f aca="false">IF('Model Inputs &amp; Assumptions'!$H$34="Fixed",'Model Inputs &amp; Assumptions'!$I$34*'Model Inputs &amp; Assumptions'!$K$34,IF('Model Inputs &amp; Assumptions'!$H$34="CPM",'Model Inputs &amp; Assumptions'!$I$34*'Model Inputs &amp; Assumptions'!$K$34*C3101/1000,IF('Model Inputs &amp; Assumptions'!$H$34="CPC",'Model Inputs &amp; Assumptions'!$I$34*'Model Inputs &amp; Assumptions'!$K$34*G3101,0)))</f>
        <v>7338.95</v>
      </c>
      <c r="J3101" s="50" t="n">
        <f aca="false">H3101*INDEX('Model Inputs &amp; Assumptions'!$D$40:$D$42,MATCH('Model Inputs &amp; Assumptions'!$L$34,'Model Inputs &amp; Assumptions'!$A$40:$A$42,0))*INDEX('Model Inputs &amp; Assumptions'!$H$40:$H$42,MATCH('Model Inputs &amp; Assumptions'!$L$34,'Model Inputs &amp; Assumptions'!$A$40:$A$42,0))</f>
        <v>873765.431769094</v>
      </c>
      <c r="K3101" s="49" t="n">
        <f aca="false">H3101*INDEX('Model Inputs &amp; Assumptions'!$G$40:$G$42,MATCH('Model Inputs &amp; Assumptions'!$L$34,'Model Inputs &amp; Assumptions'!$A$40:$A$42,0))*INDEX('Model Inputs &amp; Assumptions'!$H$40:$H$42,MATCH('Model Inputs &amp; Assumptions'!$L$34,'Model Inputs &amp; Assumptions'!$A$40:$A$42,0))</f>
        <v>19266.5277705085</v>
      </c>
      <c r="L3101" s="51" t="n">
        <f aca="false">IFERROR(K3101/I3101,0)</f>
        <v>2.62524308933955</v>
      </c>
      <c r="M3101" s="49" t="n">
        <f aca="false">IFERROR(I3101/H3101,0)</f>
        <v>60.4743997402313</v>
      </c>
      <c r="N3101" s="52" t="str">
        <f aca="false">'Model Inputs &amp; Assumptions'!$L$34</f>
        <v>PRD-USIQ</v>
      </c>
      <c r="P3101" s="53" t="n">
        <v>0.691653</v>
      </c>
      <c r="Q3101" s="53" t="n">
        <v>-1.332153</v>
      </c>
      <c r="R3101" s="53" t="n">
        <v>0.767497</v>
      </c>
      <c r="S3101" s="53" t="n">
        <v>1.166778</v>
      </c>
    </row>
    <row r="3102" customFormat="false" ht="15" hidden="false" customHeight="false" outlineLevel="0" collapsed="false">
      <c r="A3102" s="43" t="n">
        <v>99</v>
      </c>
      <c r="B3102" s="44" t="str">
        <f aca="false">'Model Inputs &amp; Assumptions'!$B$34</f>
        <v>Meta — Lookalike Feed Video</v>
      </c>
      <c r="C3102" s="45" t="n">
        <f aca="false">ROUND(MAX(0,'Model Inputs &amp; Assumptions'!$S$34*EXP('Model Inputs &amp; Assumptions'!$T$34*P3102-'Model Inputs &amp; Assumptions'!$T$34^2/2)),0)</f>
        <v>388008</v>
      </c>
      <c r="D3102" s="46" t="n">
        <f aca="false">MIN(1,'Model Inputs &amp; Assumptions'!$U$34*EXP('Model Inputs &amp; Assumptions'!$V$34*Q3102-'Model Inputs &amp; Assumptions'!$V$34^2/2))</f>
        <v>0.16257729478963</v>
      </c>
      <c r="E3102" s="45" t="n">
        <f aca="false">ROUND(C3102*D3102,0)</f>
        <v>63081</v>
      </c>
      <c r="F3102" s="47" t="n">
        <f aca="false">MIN(1,'Model Inputs &amp; Assumptions'!$W$34*EXP('Model Inputs &amp; Assumptions'!$X$34*R3102-'Model Inputs &amp; Assumptions'!$X$34^2/2))</f>
        <v>0.00597471124365527</v>
      </c>
      <c r="G3102" s="45" t="n">
        <f aca="false">ROUND(C3102*F3102,0)</f>
        <v>2318</v>
      </c>
      <c r="H3102" s="48" t="n">
        <f aca="false">MAX(0,(C3102*'Model Inputs &amp; Assumptions'!$N$34+E3102*'Model Inputs &amp; Assumptions'!$O$34+G3102*'Model Inputs &amp; Assumptions'!$P$34)*EXP('Model Inputs &amp; Assumptions'!$Q$34*S3102-'Model Inputs &amp; Assumptions'!$Q$34^2/2))</f>
        <v>71.0028086389424</v>
      </c>
      <c r="I3102" s="49" t="n">
        <f aca="false">IF('Model Inputs &amp; Assumptions'!$H$34="Fixed",'Model Inputs &amp; Assumptions'!$I$34*'Model Inputs &amp; Assumptions'!$K$34,IF('Model Inputs &amp; Assumptions'!$H$34="CPM",'Model Inputs &amp; Assumptions'!$I$34*'Model Inputs &amp; Assumptions'!$K$34*C3102/1000,IF('Model Inputs &amp; Assumptions'!$H$34="CPC",'Model Inputs &amp; Assumptions'!$I$34*'Model Inputs &amp; Assumptions'!$K$34*G3102,0)))</f>
        <v>4288.3</v>
      </c>
      <c r="J3102" s="50" t="n">
        <f aca="false">H3102*INDEX('Model Inputs &amp; Assumptions'!$D$40:$D$42,MATCH('Model Inputs &amp; Assumptions'!$L$34,'Model Inputs &amp; Assumptions'!$A$40:$A$42,0))*INDEX('Model Inputs &amp; Assumptions'!$H$40:$H$42,MATCH('Model Inputs &amp; Assumptions'!$L$34,'Model Inputs &amp; Assumptions'!$A$40:$A$42,0))</f>
        <v>511220.222200385</v>
      </c>
      <c r="K3102" s="49" t="n">
        <f aca="false">H3102*INDEX('Model Inputs &amp; Assumptions'!$G$40:$G$42,MATCH('Model Inputs &amp; Assumptions'!$L$34,'Model Inputs &amp; Assumptions'!$A$40:$A$42,0))*INDEX('Model Inputs &amp; Assumptions'!$H$40:$H$42,MATCH('Model Inputs &amp; Assumptions'!$L$34,'Model Inputs &amp; Assumptions'!$A$40:$A$42,0))</f>
        <v>11272.4058995185</v>
      </c>
      <c r="L3102" s="51" t="n">
        <f aca="false">IFERROR(K3102/I3102,0)</f>
        <v>2.62864209582317</v>
      </c>
      <c r="M3102" s="49" t="n">
        <f aca="false">IFERROR(I3102/H3102,0)</f>
        <v>60.3962023785074</v>
      </c>
      <c r="N3102" s="52" t="str">
        <f aca="false">'Model Inputs &amp; Assumptions'!$L$34</f>
        <v>PRD-USIQ</v>
      </c>
      <c r="P3102" s="53" t="n">
        <v>-1.364016</v>
      </c>
      <c r="Q3102" s="53" t="n">
        <v>-2.088286</v>
      </c>
      <c r="R3102" s="53" t="n">
        <v>0.066535</v>
      </c>
      <c r="S3102" s="53" t="n">
        <v>1.169235</v>
      </c>
    </row>
    <row r="3103" customFormat="false" ht="15" hidden="false" customHeight="false" outlineLevel="0" collapsed="false">
      <c r="A3103" s="43" t="n">
        <v>100</v>
      </c>
      <c r="B3103" s="44" t="str">
        <f aca="false">'Model Inputs &amp; Assumptions'!$B$34</f>
        <v>Meta — Lookalike Feed Video</v>
      </c>
      <c r="C3103" s="45" t="n">
        <f aca="false">ROUND(MAX(0,'Model Inputs &amp; Assumptions'!$S$34*EXP('Model Inputs &amp; Assumptions'!$T$34*P3103-'Model Inputs &amp; Assumptions'!$T$34^2/2)),0)</f>
        <v>483014</v>
      </c>
      <c r="D3103" s="46" t="n">
        <f aca="false">MIN(1,'Model Inputs &amp; Assumptions'!$U$34*EXP('Model Inputs &amp; Assumptions'!$V$34*Q3103-'Model Inputs &amp; Assumptions'!$V$34^2/2))</f>
        <v>0.221158851619389</v>
      </c>
      <c r="E3103" s="45" t="n">
        <f aca="false">ROUND(C3103*D3103,0)</f>
        <v>106823</v>
      </c>
      <c r="F3103" s="47" t="n">
        <f aca="false">MIN(1,'Model Inputs &amp; Assumptions'!$W$34*EXP('Model Inputs &amp; Assumptions'!$X$34*R3103-'Model Inputs &amp; Assumptions'!$X$34^2/2))</f>
        <v>0.00598096717137176</v>
      </c>
      <c r="G3103" s="45" t="n">
        <f aca="false">ROUND(C3103*F3103,0)</f>
        <v>2889</v>
      </c>
      <c r="H3103" s="48" t="n">
        <f aca="false">MAX(0,(C3103*'Model Inputs &amp; Assumptions'!$N$34+E3103*'Model Inputs &amp; Assumptions'!$O$34+G3103*'Model Inputs &amp; Assumptions'!$P$34)*EXP('Model Inputs &amp; Assumptions'!$Q$34*S3103-'Model Inputs &amp; Assumptions'!$Q$34^2/2))</f>
        <v>81.8346841087868</v>
      </c>
      <c r="I3103" s="49" t="n">
        <f aca="false">IF('Model Inputs &amp; Assumptions'!$H$34="Fixed",'Model Inputs &amp; Assumptions'!$I$34*'Model Inputs &amp; Assumptions'!$K$34,IF('Model Inputs &amp; Assumptions'!$H$34="CPM",'Model Inputs &amp; Assumptions'!$I$34*'Model Inputs &amp; Assumptions'!$K$34*C3103/1000,IF('Model Inputs &amp; Assumptions'!$H$34="CPC",'Model Inputs &amp; Assumptions'!$I$34*'Model Inputs &amp; Assumptions'!$K$34*G3103,0)))</f>
        <v>5344.65</v>
      </c>
      <c r="J3103" s="50" t="n">
        <f aca="false">H3103*INDEX('Model Inputs &amp; Assumptions'!$D$40:$D$42,MATCH('Model Inputs &amp; Assumptions'!$L$34,'Model Inputs &amp; Assumptions'!$A$40:$A$42,0))*INDEX('Model Inputs &amp; Assumptions'!$H$40:$H$42,MATCH('Model Inputs &amp; Assumptions'!$L$34,'Model Inputs &amp; Assumptions'!$A$40:$A$42,0))</f>
        <v>589209.725583265</v>
      </c>
      <c r="K3103" s="49" t="n">
        <f aca="false">H3103*INDEX('Model Inputs &amp; Assumptions'!$G$40:$G$42,MATCH('Model Inputs &amp; Assumptions'!$L$34,'Model Inputs &amp; Assumptions'!$A$40:$A$42,0))*INDEX('Model Inputs &amp; Assumptions'!$H$40:$H$42,MATCH('Model Inputs &amp; Assumptions'!$L$34,'Model Inputs &amp; Assumptions'!$A$40:$A$42,0))</f>
        <v>12992.074449111</v>
      </c>
      <c r="L3103" s="51" t="n">
        <f aca="false">IFERROR(K3103/I3103,0)</f>
        <v>2.43085598666161</v>
      </c>
      <c r="M3103" s="49" t="n">
        <f aca="false">IFERROR(I3103/H3103,0)</f>
        <v>65.3103272555571</v>
      </c>
      <c r="N3103" s="52" t="str">
        <f aca="false">'Model Inputs &amp; Assumptions'!$L$34</f>
        <v>PRD-USIQ</v>
      </c>
      <c r="P3103" s="53" t="n">
        <v>-0.26892</v>
      </c>
      <c r="Q3103" s="53" t="n">
        <v>-0.164988</v>
      </c>
      <c r="R3103" s="53" t="n">
        <v>0.072349</v>
      </c>
      <c r="S3103" s="53" t="n">
        <v>0.81663</v>
      </c>
    </row>
    <row r="3104" customFormat="false" ht="15" hidden="false" customHeight="false" outlineLevel="0" collapsed="false">
      <c r="A3104" s="43" t="n">
        <v>101</v>
      </c>
      <c r="B3104" s="44" t="str">
        <f aca="false">'Model Inputs &amp; Assumptions'!$B$34</f>
        <v>Meta — Lookalike Feed Video</v>
      </c>
      <c r="C3104" s="45" t="n">
        <f aca="false">ROUND(MAX(0,'Model Inputs &amp; Assumptions'!$S$34*EXP('Model Inputs &amp; Assumptions'!$T$34*P3104-'Model Inputs &amp; Assumptions'!$T$34^2/2)),0)</f>
        <v>376323</v>
      </c>
      <c r="D3104" s="46" t="n">
        <f aca="false">MIN(1,'Model Inputs &amp; Assumptions'!$U$34*EXP('Model Inputs &amp; Assumptions'!$V$34*Q3104-'Model Inputs &amp; Assumptions'!$V$34^2/2))</f>
        <v>0.195141213626929</v>
      </c>
      <c r="E3104" s="45" t="n">
        <f aca="false">ROUND(C3104*D3104,0)</f>
        <v>73436</v>
      </c>
      <c r="F3104" s="47" t="n">
        <f aca="false">MIN(1,'Model Inputs &amp; Assumptions'!$W$34*EXP('Model Inputs &amp; Assumptions'!$X$34*R3104-'Model Inputs &amp; Assumptions'!$X$34^2/2))</f>
        <v>0.00699691787994158</v>
      </c>
      <c r="G3104" s="45" t="n">
        <f aca="false">ROUND(C3104*F3104,0)</f>
        <v>2633</v>
      </c>
      <c r="H3104" s="48" t="n">
        <f aca="false">MAX(0,(C3104*'Model Inputs &amp; Assumptions'!$N$34+E3104*'Model Inputs &amp; Assumptions'!$O$34+G3104*'Model Inputs &amp; Assumptions'!$P$34)*EXP('Model Inputs &amp; Assumptions'!$Q$34*S3104-'Model Inputs &amp; Assumptions'!$Q$34^2/2))</f>
        <v>89.405783803378</v>
      </c>
      <c r="I3104" s="49" t="n">
        <f aca="false">IF('Model Inputs &amp; Assumptions'!$H$34="Fixed",'Model Inputs &amp; Assumptions'!$I$34*'Model Inputs &amp; Assumptions'!$K$34,IF('Model Inputs &amp; Assumptions'!$H$34="CPM",'Model Inputs &amp; Assumptions'!$I$34*'Model Inputs &amp; Assumptions'!$K$34*C3104/1000,IF('Model Inputs &amp; Assumptions'!$H$34="CPC",'Model Inputs &amp; Assumptions'!$I$34*'Model Inputs &amp; Assumptions'!$K$34*G3104,0)))</f>
        <v>4871.05</v>
      </c>
      <c r="J3104" s="50" t="n">
        <f aca="false">H3104*INDEX('Model Inputs &amp; Assumptions'!$D$40:$D$42,MATCH('Model Inputs &amp; Assumptions'!$L$34,'Model Inputs &amp; Assumptions'!$A$40:$A$42,0))*INDEX('Model Inputs &amp; Assumptions'!$H$40:$H$42,MATCH('Model Inputs &amp; Assumptions'!$L$34,'Model Inputs &amp; Assumptions'!$A$40:$A$42,0))</f>
        <v>643721.643384321</v>
      </c>
      <c r="K3104" s="49" t="n">
        <f aca="false">H3104*INDEX('Model Inputs &amp; Assumptions'!$G$40:$G$42,MATCH('Model Inputs &amp; Assumptions'!$L$34,'Model Inputs &amp; Assumptions'!$A$40:$A$42,0))*INDEX('Model Inputs &amp; Assumptions'!$H$40:$H$42,MATCH('Model Inputs &amp; Assumptions'!$L$34,'Model Inputs &amp; Assumptions'!$A$40:$A$42,0))</f>
        <v>14194.0622366243</v>
      </c>
      <c r="L3104" s="51" t="n">
        <f aca="false">IFERROR(K3104/I3104,0)</f>
        <v>2.91396356773679</v>
      </c>
      <c r="M3104" s="49" t="n">
        <f aca="false">IFERROR(I3104/H3104,0)</f>
        <v>54.48249310931</v>
      </c>
      <c r="N3104" s="52" t="str">
        <f aca="false">'Model Inputs &amp; Assumptions'!$L$34</f>
        <v>PRD-USIQ</v>
      </c>
      <c r="P3104" s="53" t="n">
        <v>-1.51691</v>
      </c>
      <c r="Q3104" s="53" t="n">
        <v>-0.947224</v>
      </c>
      <c r="R3104" s="53" t="n">
        <v>0.943946</v>
      </c>
      <c r="S3104" s="53" t="n">
        <v>1.483633</v>
      </c>
    </row>
    <row r="3105" customFormat="false" ht="15" hidden="false" customHeight="false" outlineLevel="0" collapsed="false">
      <c r="A3105" s="43" t="n">
        <v>102</v>
      </c>
      <c r="B3105" s="44" t="str">
        <f aca="false">'Model Inputs &amp; Assumptions'!$B$34</f>
        <v>Meta — Lookalike Feed Video</v>
      </c>
      <c r="C3105" s="45" t="n">
        <f aca="false">ROUND(MAX(0,'Model Inputs &amp; Assumptions'!$S$34*EXP('Model Inputs &amp; Assumptions'!$T$34*P3105-'Model Inputs &amp; Assumptions'!$T$34^2/2)),0)</f>
        <v>361406</v>
      </c>
      <c r="D3105" s="46" t="n">
        <f aca="false">MIN(1,'Model Inputs &amp; Assumptions'!$U$34*EXP('Model Inputs &amp; Assumptions'!$V$34*Q3105-'Model Inputs &amp; Assumptions'!$V$34^2/2))</f>
        <v>0.251466160281723</v>
      </c>
      <c r="E3105" s="45" t="n">
        <f aca="false">ROUND(C3105*D3105,0)</f>
        <v>90881</v>
      </c>
      <c r="F3105" s="47" t="n">
        <f aca="false">MIN(1,'Model Inputs &amp; Assumptions'!$W$34*EXP('Model Inputs &amp; Assumptions'!$X$34*R3105-'Model Inputs &amp; Assumptions'!$X$34^2/2))</f>
        <v>0.00825230891130706</v>
      </c>
      <c r="G3105" s="45" t="n">
        <f aca="false">ROUND(C3105*F3105,0)</f>
        <v>2982</v>
      </c>
      <c r="H3105" s="48" t="n">
        <f aca="false">MAX(0,(C3105*'Model Inputs &amp; Assumptions'!$N$34+E3105*'Model Inputs &amp; Assumptions'!$O$34+G3105*'Model Inputs &amp; Assumptions'!$P$34)*EXP('Model Inputs &amp; Assumptions'!$Q$34*S3105-'Model Inputs &amp; Assumptions'!$Q$34^2/2))</f>
        <v>90.8731925806432</v>
      </c>
      <c r="I3105" s="49" t="n">
        <f aca="false">IF('Model Inputs &amp; Assumptions'!$H$34="Fixed",'Model Inputs &amp; Assumptions'!$I$34*'Model Inputs &amp; Assumptions'!$K$34,IF('Model Inputs &amp; Assumptions'!$H$34="CPM",'Model Inputs &amp; Assumptions'!$I$34*'Model Inputs &amp; Assumptions'!$K$34*C3105/1000,IF('Model Inputs &amp; Assumptions'!$H$34="CPC",'Model Inputs &amp; Assumptions'!$I$34*'Model Inputs &amp; Assumptions'!$K$34*G3105,0)))</f>
        <v>5516.7</v>
      </c>
      <c r="J3105" s="50" t="n">
        <f aca="false">H3105*INDEX('Model Inputs &amp; Assumptions'!$D$40:$D$42,MATCH('Model Inputs &amp; Assumptions'!$L$34,'Model Inputs &amp; Assumptions'!$A$40:$A$42,0))*INDEX('Model Inputs &amp; Assumptions'!$H$40:$H$42,MATCH('Model Inputs &amp; Assumptions'!$L$34,'Model Inputs &amp; Assumptions'!$A$40:$A$42,0))</f>
        <v>654286.986580631</v>
      </c>
      <c r="K3105" s="49" t="n">
        <f aca="false">H3105*INDEX('Model Inputs &amp; Assumptions'!$G$40:$G$42,MATCH('Model Inputs &amp; Assumptions'!$L$34,'Model Inputs &amp; Assumptions'!$A$40:$A$42,0))*INDEX('Model Inputs &amp; Assumptions'!$H$40:$H$42,MATCH('Model Inputs &amp; Assumptions'!$L$34,'Model Inputs &amp; Assumptions'!$A$40:$A$42,0))</f>
        <v>14427.0280541029</v>
      </c>
      <c r="L3105" s="51" t="n">
        <f aca="false">IFERROR(K3105/I3105,0)</f>
        <v>2.61515544693438</v>
      </c>
      <c r="M3105" s="49" t="n">
        <f aca="false">IFERROR(I3105/H3105,0)</f>
        <v>60.7076723435719</v>
      </c>
      <c r="N3105" s="52" t="str">
        <f aca="false">'Model Inputs &amp; Assumptions'!$L$34</f>
        <v>PRD-USIQ</v>
      </c>
      <c r="P3105" s="53" t="n">
        <v>-1.719137</v>
      </c>
      <c r="Q3105" s="53" t="n">
        <v>0.637682</v>
      </c>
      <c r="R3105" s="53" t="n">
        <v>1.860742</v>
      </c>
      <c r="S3105" s="53" t="n">
        <v>1.116592</v>
      </c>
    </row>
    <row r="3106" customFormat="false" ht="15" hidden="false" customHeight="false" outlineLevel="0" collapsed="false">
      <c r="A3106" s="43" t="n">
        <v>103</v>
      </c>
      <c r="B3106" s="44" t="str">
        <f aca="false">'Model Inputs &amp; Assumptions'!$B$34</f>
        <v>Meta — Lookalike Feed Video</v>
      </c>
      <c r="C3106" s="45" t="n">
        <f aca="false">ROUND(MAX(0,'Model Inputs &amp; Assumptions'!$S$34*EXP('Model Inputs &amp; Assumptions'!$T$34*P3106-'Model Inputs &amp; Assumptions'!$T$34^2/2)),0)</f>
        <v>450495</v>
      </c>
      <c r="D3106" s="46" t="n">
        <f aca="false">MIN(1,'Model Inputs &amp; Assumptions'!$U$34*EXP('Model Inputs &amp; Assumptions'!$V$34*Q3106-'Model Inputs &amp; Assumptions'!$V$34^2/2))</f>
        <v>0.219604760823211</v>
      </c>
      <c r="E3106" s="45" t="n">
        <f aca="false">ROUND(C3106*D3106,0)</f>
        <v>98931</v>
      </c>
      <c r="F3106" s="47" t="n">
        <f aca="false">MIN(1,'Model Inputs &amp; Assumptions'!$W$34*EXP('Model Inputs &amp; Assumptions'!$X$34*R3106-'Model Inputs &amp; Assumptions'!$X$34^2/2))</f>
        <v>0.00377911399472791</v>
      </c>
      <c r="G3106" s="45" t="n">
        <f aca="false">ROUND(C3106*F3106,0)</f>
        <v>1702</v>
      </c>
      <c r="H3106" s="48" t="n">
        <f aca="false">MAX(0,(C3106*'Model Inputs &amp; Assumptions'!$N$34+E3106*'Model Inputs &amp; Assumptions'!$O$34+G3106*'Model Inputs &amp; Assumptions'!$P$34)*EXP('Model Inputs &amp; Assumptions'!$Q$34*S3106-'Model Inputs &amp; Assumptions'!$Q$34^2/2))</f>
        <v>18.8203697574636</v>
      </c>
      <c r="I3106" s="49" t="n">
        <f aca="false">IF('Model Inputs &amp; Assumptions'!$H$34="Fixed",'Model Inputs &amp; Assumptions'!$I$34*'Model Inputs &amp; Assumptions'!$K$34,IF('Model Inputs &amp; Assumptions'!$H$34="CPM",'Model Inputs &amp; Assumptions'!$I$34*'Model Inputs &amp; Assumptions'!$K$34*C3106/1000,IF('Model Inputs &amp; Assumptions'!$H$34="CPC",'Model Inputs &amp; Assumptions'!$I$34*'Model Inputs &amp; Assumptions'!$K$34*G3106,0)))</f>
        <v>3148.7</v>
      </c>
      <c r="J3106" s="50" t="n">
        <f aca="false">H3106*INDEX('Model Inputs &amp; Assumptions'!$D$40:$D$42,MATCH('Model Inputs &amp; Assumptions'!$L$34,'Model Inputs &amp; Assumptions'!$A$40:$A$42,0))*INDEX('Model Inputs &amp; Assumptions'!$H$40:$H$42,MATCH('Model Inputs &amp; Assumptions'!$L$34,'Model Inputs &amp; Assumptions'!$A$40:$A$42,0))</f>
        <v>135506.662253738</v>
      </c>
      <c r="K3106" s="49" t="n">
        <f aca="false">H3106*INDEX('Model Inputs &amp; Assumptions'!$G$40:$G$42,MATCH('Model Inputs &amp; Assumptions'!$L$34,'Model Inputs &amp; Assumptions'!$A$40:$A$42,0))*INDEX('Model Inputs &amp; Assumptions'!$H$40:$H$42,MATCH('Model Inputs &amp; Assumptions'!$L$34,'Model Inputs &amp; Assumptions'!$A$40:$A$42,0))</f>
        <v>2987.92190269492</v>
      </c>
      <c r="L3106" s="51" t="n">
        <f aca="false">IFERROR(K3106/I3106,0)</f>
        <v>0.948938261090266</v>
      </c>
      <c r="M3106" s="49" t="n">
        <f aca="false">IFERROR(I3106/H3106,0)</f>
        <v>167.30277038002</v>
      </c>
      <c r="N3106" s="52" t="str">
        <f aca="false">'Model Inputs &amp; Assumptions'!$L$34</f>
        <v>PRD-USIQ</v>
      </c>
      <c r="P3106" s="53" t="n">
        <v>-0.617408</v>
      </c>
      <c r="Q3106" s="53" t="n">
        <v>-0.209062</v>
      </c>
      <c r="R3106" s="53" t="n">
        <v>-2.478166</v>
      </c>
      <c r="S3106" s="53" t="n">
        <v>-2.345142</v>
      </c>
    </row>
    <row r="3107" customFormat="false" ht="15" hidden="false" customHeight="false" outlineLevel="0" collapsed="false">
      <c r="A3107" s="43" t="n">
        <v>104</v>
      </c>
      <c r="B3107" s="44" t="str">
        <f aca="false">'Model Inputs &amp; Assumptions'!$B$34</f>
        <v>Meta — Lookalike Feed Video</v>
      </c>
      <c r="C3107" s="45" t="n">
        <f aca="false">ROUND(MAX(0,'Model Inputs &amp; Assumptions'!$S$34*EXP('Model Inputs &amp; Assumptions'!$T$34*P3107-'Model Inputs &amp; Assumptions'!$T$34^2/2)),0)</f>
        <v>453483</v>
      </c>
      <c r="D3107" s="46" t="n">
        <f aca="false">MIN(1,'Model Inputs &amp; Assumptions'!$U$34*EXP('Model Inputs &amp; Assumptions'!$V$34*Q3107-'Model Inputs &amp; Assumptions'!$V$34^2/2))</f>
        <v>0.212050867922977</v>
      </c>
      <c r="E3107" s="45" t="n">
        <f aca="false">ROUND(C3107*D3107,0)</f>
        <v>96161</v>
      </c>
      <c r="F3107" s="47" t="n">
        <f aca="false">MIN(1,'Model Inputs &amp; Assumptions'!$W$34*EXP('Model Inputs &amp; Assumptions'!$X$34*R3107-'Model Inputs &amp; Assumptions'!$X$34^2/2))</f>
        <v>0.00522102628675509</v>
      </c>
      <c r="G3107" s="45" t="n">
        <f aca="false">ROUND(C3107*F3107,0)</f>
        <v>2368</v>
      </c>
      <c r="H3107" s="48" t="n">
        <f aca="false">MAX(0,(C3107*'Model Inputs &amp; Assumptions'!$N$34+E3107*'Model Inputs &amp; Assumptions'!$O$34+G3107*'Model Inputs &amp; Assumptions'!$P$34)*EXP('Model Inputs &amp; Assumptions'!$Q$34*S3107-'Model Inputs &amp; Assumptions'!$Q$34^2/2))</f>
        <v>65.4278662967274</v>
      </c>
      <c r="I3107" s="49" t="n">
        <f aca="false">IF('Model Inputs &amp; Assumptions'!$H$34="Fixed",'Model Inputs &amp; Assumptions'!$I$34*'Model Inputs &amp; Assumptions'!$K$34,IF('Model Inputs &amp; Assumptions'!$H$34="CPM",'Model Inputs &amp; Assumptions'!$I$34*'Model Inputs &amp; Assumptions'!$K$34*C3107/1000,IF('Model Inputs &amp; Assumptions'!$H$34="CPC",'Model Inputs &amp; Assumptions'!$I$34*'Model Inputs &amp; Assumptions'!$K$34*G3107,0)))</f>
        <v>4380.8</v>
      </c>
      <c r="J3107" s="50" t="n">
        <f aca="false">H3107*INDEX('Model Inputs &amp; Assumptions'!$D$40:$D$42,MATCH('Model Inputs &amp; Assumptions'!$L$34,'Model Inputs &amp; Assumptions'!$A$40:$A$42,0))*INDEX('Model Inputs &amp; Assumptions'!$H$40:$H$42,MATCH('Model Inputs &amp; Assumptions'!$L$34,'Model Inputs &amp; Assumptions'!$A$40:$A$42,0))</f>
        <v>471080.637336438</v>
      </c>
      <c r="K3107" s="49" t="n">
        <f aca="false">H3107*INDEX('Model Inputs &amp; Assumptions'!$G$40:$G$42,MATCH('Model Inputs &amp; Assumptions'!$L$34,'Model Inputs &amp; Assumptions'!$A$40:$A$42,0))*INDEX('Model Inputs &amp; Assumptions'!$H$40:$H$42,MATCH('Model Inputs &amp; Assumptions'!$L$34,'Model Inputs &amp; Assumptions'!$A$40:$A$42,0))</f>
        <v>10387.3280532684</v>
      </c>
      <c r="L3107" s="51" t="n">
        <f aca="false">IFERROR(K3107/I3107,0)</f>
        <v>2.3711030070463</v>
      </c>
      <c r="M3107" s="49" t="n">
        <f aca="false">IFERROR(I3107/H3107,0)</f>
        <v>66.9561801103564</v>
      </c>
      <c r="N3107" s="52" t="str">
        <f aca="false">'Model Inputs &amp; Assumptions'!$L$34</f>
        <v>PRD-USIQ</v>
      </c>
      <c r="P3107" s="53" t="n">
        <v>-0.584354</v>
      </c>
      <c r="Q3107" s="53" t="n">
        <v>-0.427832</v>
      </c>
      <c r="R3107" s="53" t="n">
        <v>-0.682586</v>
      </c>
      <c r="S3107" s="53" t="n">
        <v>0.699544</v>
      </c>
    </row>
    <row r="3108" customFormat="false" ht="15" hidden="false" customHeight="false" outlineLevel="0" collapsed="false">
      <c r="A3108" s="43" t="n">
        <v>105</v>
      </c>
      <c r="B3108" s="44" t="str">
        <f aca="false">'Model Inputs &amp; Assumptions'!$B$34</f>
        <v>Meta — Lookalike Feed Video</v>
      </c>
      <c r="C3108" s="45" t="n">
        <f aca="false">ROUND(MAX(0,'Model Inputs &amp; Assumptions'!$S$34*EXP('Model Inputs &amp; Assumptions'!$T$34*P3108-'Model Inputs &amp; Assumptions'!$T$34^2/2)),0)</f>
        <v>480483</v>
      </c>
      <c r="D3108" s="46" t="n">
        <f aca="false">MIN(1,'Model Inputs &amp; Assumptions'!$U$34*EXP('Model Inputs &amp; Assumptions'!$V$34*Q3108-'Model Inputs &amp; Assumptions'!$V$34^2/2))</f>
        <v>0.25132662523147</v>
      </c>
      <c r="E3108" s="45" t="n">
        <f aca="false">ROUND(C3108*D3108,0)</f>
        <v>120758</v>
      </c>
      <c r="F3108" s="47" t="n">
        <f aca="false">MIN(1,'Model Inputs &amp; Assumptions'!$W$34*EXP('Model Inputs &amp; Assumptions'!$X$34*R3108-'Model Inputs &amp; Assumptions'!$X$34^2/2))</f>
        <v>0.00540241226318942</v>
      </c>
      <c r="G3108" s="45" t="n">
        <f aca="false">ROUND(C3108*F3108,0)</f>
        <v>2596</v>
      </c>
      <c r="H3108" s="48" t="n">
        <f aca="false">MAX(0,(C3108*'Model Inputs &amp; Assumptions'!$N$34+E3108*'Model Inputs &amp; Assumptions'!$O$34+G3108*'Model Inputs &amp; Assumptions'!$P$34)*EXP('Model Inputs &amp; Assumptions'!$Q$34*S3108-'Model Inputs &amp; Assumptions'!$Q$34^2/2))</f>
        <v>55.0568394106535</v>
      </c>
      <c r="I3108" s="49" t="n">
        <f aca="false">IF('Model Inputs &amp; Assumptions'!$H$34="Fixed",'Model Inputs &amp; Assumptions'!$I$34*'Model Inputs &amp; Assumptions'!$K$34,IF('Model Inputs &amp; Assumptions'!$H$34="CPM",'Model Inputs &amp; Assumptions'!$I$34*'Model Inputs &amp; Assumptions'!$K$34*C3108/1000,IF('Model Inputs &amp; Assumptions'!$H$34="CPC",'Model Inputs &amp; Assumptions'!$I$34*'Model Inputs &amp; Assumptions'!$K$34*G3108,0)))</f>
        <v>4802.6</v>
      </c>
      <c r="J3108" s="50" t="n">
        <f aca="false">H3108*INDEX('Model Inputs &amp; Assumptions'!$D$40:$D$42,MATCH('Model Inputs &amp; Assumptions'!$L$34,'Model Inputs &amp; Assumptions'!$A$40:$A$42,0))*INDEX('Model Inputs &amp; Assumptions'!$H$40:$H$42,MATCH('Model Inputs &amp; Assumptions'!$L$34,'Model Inputs &amp; Assumptions'!$A$40:$A$42,0))</f>
        <v>396409.243756705</v>
      </c>
      <c r="K3108" s="49" t="n">
        <f aca="false">H3108*INDEX('Model Inputs &amp; Assumptions'!$G$40:$G$42,MATCH('Model Inputs &amp; Assumptions'!$L$34,'Model Inputs &amp; Assumptions'!$A$40:$A$42,0))*INDEX('Model Inputs &amp; Assumptions'!$H$40:$H$42,MATCH('Model Inputs &amp; Assumptions'!$L$34,'Model Inputs &amp; Assumptions'!$A$40:$A$42,0))</f>
        <v>8740.82382483535</v>
      </c>
      <c r="L3108" s="51" t="n">
        <f aca="false">IFERROR(K3108/I3108,0)</f>
        <v>1.82001911981746</v>
      </c>
      <c r="M3108" s="49" t="n">
        <f aca="false">IFERROR(I3108/H3108,0)</f>
        <v>87.2298528467781</v>
      </c>
      <c r="N3108" s="52" t="str">
        <f aca="false">'Model Inputs &amp; Assumptions'!$L$34</f>
        <v>PRD-USIQ</v>
      </c>
      <c r="P3108" s="53" t="n">
        <v>-0.295185</v>
      </c>
      <c r="Q3108" s="53" t="n">
        <v>0.634213</v>
      </c>
      <c r="R3108" s="53" t="n">
        <v>-0.492855</v>
      </c>
      <c r="S3108" s="53" t="n">
        <v>-0.189942</v>
      </c>
    </row>
    <row r="3109" customFormat="false" ht="15" hidden="false" customHeight="false" outlineLevel="0" collapsed="false">
      <c r="A3109" s="43" t="n">
        <v>106</v>
      </c>
      <c r="B3109" s="44" t="str">
        <f aca="false">'Model Inputs &amp; Assumptions'!$B$34</f>
        <v>Meta — Lookalike Feed Video</v>
      </c>
      <c r="C3109" s="45" t="n">
        <f aca="false">ROUND(MAX(0,'Model Inputs &amp; Assumptions'!$S$34*EXP('Model Inputs &amp; Assumptions'!$T$34*P3109-'Model Inputs &amp; Assumptions'!$T$34^2/2)),0)</f>
        <v>507702</v>
      </c>
      <c r="D3109" s="46" t="n">
        <f aca="false">MIN(1,'Model Inputs &amp; Assumptions'!$U$34*EXP('Model Inputs &amp; Assumptions'!$V$34*Q3109-'Model Inputs &amp; Assumptions'!$V$34^2/2))</f>
        <v>0.198449057304037</v>
      </c>
      <c r="E3109" s="45" t="n">
        <f aca="false">ROUND(C3109*D3109,0)</f>
        <v>100753</v>
      </c>
      <c r="F3109" s="47" t="n">
        <f aca="false">MIN(1,'Model Inputs &amp; Assumptions'!$W$34*EXP('Model Inputs &amp; Assumptions'!$X$34*R3109-'Model Inputs &amp; Assumptions'!$X$34^2/2))</f>
        <v>0.00459677913050719</v>
      </c>
      <c r="G3109" s="45" t="n">
        <f aca="false">ROUND(C3109*F3109,0)</f>
        <v>2334</v>
      </c>
      <c r="H3109" s="48" t="n">
        <f aca="false">MAX(0,(C3109*'Model Inputs &amp; Assumptions'!$N$34+E3109*'Model Inputs &amp; Assumptions'!$O$34+G3109*'Model Inputs &amp; Assumptions'!$P$34)*EXP('Model Inputs &amp; Assumptions'!$Q$34*S3109-'Model Inputs &amp; Assumptions'!$Q$34^2/2))</f>
        <v>49.9010621431776</v>
      </c>
      <c r="I3109" s="49" t="n">
        <f aca="false">IF('Model Inputs &amp; Assumptions'!$H$34="Fixed",'Model Inputs &amp; Assumptions'!$I$34*'Model Inputs &amp; Assumptions'!$K$34,IF('Model Inputs &amp; Assumptions'!$H$34="CPM",'Model Inputs &amp; Assumptions'!$I$34*'Model Inputs &amp; Assumptions'!$K$34*C3109/1000,IF('Model Inputs &amp; Assumptions'!$H$34="CPC",'Model Inputs &amp; Assumptions'!$I$34*'Model Inputs &amp; Assumptions'!$K$34*G3109,0)))</f>
        <v>4317.9</v>
      </c>
      <c r="J3109" s="50" t="n">
        <f aca="false">H3109*INDEX('Model Inputs &amp; Assumptions'!$D$40:$D$42,MATCH('Model Inputs &amp; Assumptions'!$L$34,'Model Inputs &amp; Assumptions'!$A$40:$A$42,0))*INDEX('Model Inputs &amp; Assumptions'!$H$40:$H$42,MATCH('Model Inputs &amp; Assumptions'!$L$34,'Model Inputs &amp; Assumptions'!$A$40:$A$42,0))</f>
        <v>359287.647430879</v>
      </c>
      <c r="K3109" s="49" t="n">
        <f aca="false">H3109*INDEX('Model Inputs &amp; Assumptions'!$G$40:$G$42,MATCH('Model Inputs &amp; Assumptions'!$L$34,'Model Inputs &amp; Assumptions'!$A$40:$A$42,0))*INDEX('Model Inputs &amp; Assumptions'!$H$40:$H$42,MATCH('Model Inputs &amp; Assumptions'!$L$34,'Model Inputs &amp; Assumptions'!$A$40:$A$42,0))</f>
        <v>7922.29262585088</v>
      </c>
      <c r="L3109" s="51" t="n">
        <f aca="false">IFERROR(K3109/I3109,0)</f>
        <v>1.83475592900504</v>
      </c>
      <c r="M3109" s="49" t="n">
        <f aca="false">IFERROR(I3109/H3109,0)</f>
        <v>86.5292203122041</v>
      </c>
      <c r="N3109" s="52" t="str">
        <f aca="false">'Model Inputs &amp; Assumptions'!$L$34</f>
        <v>PRD-USIQ</v>
      </c>
      <c r="P3109" s="53" t="n">
        <v>-0.019666</v>
      </c>
      <c r="Q3109" s="53" t="n">
        <v>-0.842168</v>
      </c>
      <c r="R3109" s="53" t="n">
        <v>-1.39002</v>
      </c>
      <c r="S3109" s="53" t="n">
        <v>-0.12924</v>
      </c>
    </row>
    <row r="3110" customFormat="false" ht="15" hidden="false" customHeight="false" outlineLevel="0" collapsed="false">
      <c r="A3110" s="43" t="n">
        <v>107</v>
      </c>
      <c r="B3110" s="44" t="str">
        <f aca="false">'Model Inputs &amp; Assumptions'!$B$34</f>
        <v>Meta — Lookalike Feed Video</v>
      </c>
      <c r="C3110" s="45" t="n">
        <f aca="false">ROUND(MAX(0,'Model Inputs &amp; Assumptions'!$S$34*EXP('Model Inputs &amp; Assumptions'!$T$34*P3110-'Model Inputs &amp; Assumptions'!$T$34^2/2)),0)</f>
        <v>627269</v>
      </c>
      <c r="D3110" s="46" t="n">
        <f aca="false">MIN(1,'Model Inputs &amp; Assumptions'!$U$34*EXP('Model Inputs &amp; Assumptions'!$V$34*Q3110-'Model Inputs &amp; Assumptions'!$V$34^2/2))</f>
        <v>0.273899231069055</v>
      </c>
      <c r="E3110" s="45" t="n">
        <f aca="false">ROUND(C3110*D3110,0)</f>
        <v>171808</v>
      </c>
      <c r="F3110" s="47" t="n">
        <f aca="false">MIN(1,'Model Inputs &amp; Assumptions'!$W$34*EXP('Model Inputs &amp; Assumptions'!$X$34*R3110-'Model Inputs &amp; Assumptions'!$X$34^2/2))</f>
        <v>0.00507281357394003</v>
      </c>
      <c r="G3110" s="45" t="n">
        <f aca="false">ROUND(C3110*F3110,0)</f>
        <v>3182</v>
      </c>
      <c r="H3110" s="48" t="n">
        <f aca="false">MAX(0,(C3110*'Model Inputs &amp; Assumptions'!$N$34+E3110*'Model Inputs &amp; Assumptions'!$O$34+G3110*'Model Inputs &amp; Assumptions'!$P$34)*EXP('Model Inputs &amp; Assumptions'!$Q$34*S3110-'Model Inputs &amp; Assumptions'!$Q$34^2/2))</f>
        <v>53.6057571213668</v>
      </c>
      <c r="I3110" s="49" t="n">
        <f aca="false">IF('Model Inputs &amp; Assumptions'!$H$34="Fixed",'Model Inputs &amp; Assumptions'!$I$34*'Model Inputs &amp; Assumptions'!$K$34,IF('Model Inputs &amp; Assumptions'!$H$34="CPM",'Model Inputs &amp; Assumptions'!$I$34*'Model Inputs &amp; Assumptions'!$K$34*C3110/1000,IF('Model Inputs &amp; Assumptions'!$H$34="CPC",'Model Inputs &amp; Assumptions'!$I$34*'Model Inputs &amp; Assumptions'!$K$34*G3110,0)))</f>
        <v>5886.7</v>
      </c>
      <c r="J3110" s="50" t="n">
        <f aca="false">H3110*INDEX('Model Inputs &amp; Assumptions'!$D$40:$D$42,MATCH('Model Inputs &amp; Assumptions'!$L$34,'Model Inputs &amp; Assumptions'!$A$40:$A$42,0))*INDEX('Model Inputs &amp; Assumptions'!$H$40:$H$42,MATCH('Model Inputs &amp; Assumptions'!$L$34,'Model Inputs &amp; Assumptions'!$A$40:$A$42,0))</f>
        <v>385961.451273841</v>
      </c>
      <c r="K3110" s="49" t="n">
        <f aca="false">H3110*INDEX('Model Inputs &amp; Assumptions'!$G$40:$G$42,MATCH('Model Inputs &amp; Assumptions'!$L$34,'Model Inputs &amp; Assumptions'!$A$40:$A$42,0))*INDEX('Model Inputs &amp; Assumptions'!$H$40:$H$42,MATCH('Model Inputs &amp; Assumptions'!$L$34,'Model Inputs &amp; Assumptions'!$A$40:$A$42,0))</f>
        <v>8510.45000058819</v>
      </c>
      <c r="L3110" s="51" t="n">
        <f aca="false">IFERROR(K3110/I3110,0)</f>
        <v>1.44570812179798</v>
      </c>
      <c r="M3110" s="49" t="n">
        <f aca="false">IFERROR(I3110/H3110,0)</f>
        <v>109.814697452592</v>
      </c>
      <c r="N3110" s="52" t="str">
        <f aca="false">'Model Inputs &amp; Assumptions'!$L$34</f>
        <v>PRD-USIQ</v>
      </c>
      <c r="P3110" s="53" t="n">
        <v>1.037732</v>
      </c>
      <c r="Q3110" s="53" t="n">
        <v>1.171756</v>
      </c>
      <c r="R3110" s="53" t="n">
        <v>-0.842577</v>
      </c>
      <c r="S3110" s="53" t="n">
        <v>-0.987287</v>
      </c>
    </row>
    <row r="3111" customFormat="false" ht="15" hidden="false" customHeight="false" outlineLevel="0" collapsed="false">
      <c r="A3111" s="43" t="n">
        <v>108</v>
      </c>
      <c r="B3111" s="44" t="str">
        <f aca="false">'Model Inputs &amp; Assumptions'!$B$34</f>
        <v>Meta — Lookalike Feed Video</v>
      </c>
      <c r="C3111" s="45" t="n">
        <f aca="false">ROUND(MAX(0,'Model Inputs &amp; Assumptions'!$S$34*EXP('Model Inputs &amp; Assumptions'!$T$34*P3111-'Model Inputs &amp; Assumptions'!$T$34^2/2)),0)</f>
        <v>609653</v>
      </c>
      <c r="D3111" s="46" t="n">
        <f aca="false">MIN(1,'Model Inputs &amp; Assumptions'!$U$34*EXP('Model Inputs &amp; Assumptions'!$V$34*Q3111-'Model Inputs &amp; Assumptions'!$V$34^2/2))</f>
        <v>0.202270685768914</v>
      </c>
      <c r="E3111" s="45" t="n">
        <f aca="false">ROUND(C3111*D3111,0)</f>
        <v>123315</v>
      </c>
      <c r="F3111" s="47" t="n">
        <f aca="false">MIN(1,'Model Inputs &amp; Assumptions'!$W$34*EXP('Model Inputs &amp; Assumptions'!$X$34*R3111-'Model Inputs &amp; Assumptions'!$X$34^2/2))</f>
        <v>0.00387596517506985</v>
      </c>
      <c r="G3111" s="45" t="n">
        <f aca="false">ROUND(C3111*F3111,0)</f>
        <v>2363</v>
      </c>
      <c r="H3111" s="48" t="n">
        <f aca="false">MAX(0,(C3111*'Model Inputs &amp; Assumptions'!$N$34+E3111*'Model Inputs &amp; Assumptions'!$O$34+G3111*'Model Inputs &amp; Assumptions'!$P$34)*EXP('Model Inputs &amp; Assumptions'!$Q$34*S3111-'Model Inputs &amp; Assumptions'!$Q$34^2/2))</f>
        <v>53.9210117481033</v>
      </c>
      <c r="I3111" s="49" t="n">
        <f aca="false">IF('Model Inputs &amp; Assumptions'!$H$34="Fixed",'Model Inputs &amp; Assumptions'!$I$34*'Model Inputs &amp; Assumptions'!$K$34,IF('Model Inputs &amp; Assumptions'!$H$34="CPM",'Model Inputs &amp; Assumptions'!$I$34*'Model Inputs &amp; Assumptions'!$K$34*C3111/1000,IF('Model Inputs &amp; Assumptions'!$H$34="CPC",'Model Inputs &amp; Assumptions'!$I$34*'Model Inputs &amp; Assumptions'!$K$34*G3111,0)))</f>
        <v>4371.55</v>
      </c>
      <c r="J3111" s="50" t="n">
        <f aca="false">H3111*INDEX('Model Inputs &amp; Assumptions'!$D$40:$D$42,MATCH('Model Inputs &amp; Assumptions'!$L$34,'Model Inputs &amp; Assumptions'!$A$40:$A$42,0))*INDEX('Model Inputs &amp; Assumptions'!$H$40:$H$42,MATCH('Model Inputs &amp; Assumptions'!$L$34,'Model Inputs &amp; Assumptions'!$A$40:$A$42,0))</f>
        <v>388231.284586344</v>
      </c>
      <c r="K3111" s="49" t="n">
        <f aca="false">H3111*INDEX('Model Inputs &amp; Assumptions'!$G$40:$G$42,MATCH('Model Inputs &amp; Assumptions'!$L$34,'Model Inputs &amp; Assumptions'!$A$40:$A$42,0))*INDEX('Model Inputs &amp; Assumptions'!$H$40:$H$42,MATCH('Model Inputs &amp; Assumptions'!$L$34,'Model Inputs &amp; Assumptions'!$A$40:$A$42,0))</f>
        <v>8560.49982512888</v>
      </c>
      <c r="L3111" s="51" t="n">
        <f aca="false">IFERROR(K3111/I3111,0)</f>
        <v>1.95822987844789</v>
      </c>
      <c r="M3111" s="49" t="n">
        <f aca="false">IFERROR(I3111/H3111,0)</f>
        <v>81.0732191083891</v>
      </c>
      <c r="N3111" s="52" t="str">
        <f aca="false">'Model Inputs &amp; Assumptions'!$L$34</f>
        <v>PRD-USIQ</v>
      </c>
      <c r="P3111" s="53" t="n">
        <v>0.895307</v>
      </c>
      <c r="Q3111" s="53" t="n">
        <v>-0.722953</v>
      </c>
      <c r="R3111" s="53" t="n">
        <v>-2.337582</v>
      </c>
      <c r="S3111" s="53" t="n">
        <v>-0.020391</v>
      </c>
    </row>
    <row r="3112" customFormat="false" ht="15" hidden="false" customHeight="false" outlineLevel="0" collapsed="false">
      <c r="A3112" s="43" t="n">
        <v>109</v>
      </c>
      <c r="B3112" s="44" t="str">
        <f aca="false">'Model Inputs &amp; Assumptions'!$B$34</f>
        <v>Meta — Lookalike Feed Video</v>
      </c>
      <c r="C3112" s="45" t="n">
        <f aca="false">ROUND(MAX(0,'Model Inputs &amp; Assumptions'!$S$34*EXP('Model Inputs &amp; Assumptions'!$T$34*P3112-'Model Inputs &amp; Assumptions'!$T$34^2/2)),0)</f>
        <v>675392</v>
      </c>
      <c r="D3112" s="46" t="n">
        <f aca="false">MIN(1,'Model Inputs &amp; Assumptions'!$U$34*EXP('Model Inputs &amp; Assumptions'!$V$34*Q3112-'Model Inputs &amp; Assumptions'!$V$34^2/2))</f>
        <v>0.220629201012608</v>
      </c>
      <c r="E3112" s="45" t="n">
        <f aca="false">ROUND(C3112*D3112,0)</f>
        <v>149011</v>
      </c>
      <c r="F3112" s="47" t="n">
        <f aca="false">MIN(1,'Model Inputs &amp; Assumptions'!$W$34*EXP('Model Inputs &amp; Assumptions'!$X$34*R3112-'Model Inputs &amp; Assumptions'!$X$34^2/2))</f>
        <v>0.00524852323901513</v>
      </c>
      <c r="G3112" s="45" t="n">
        <f aca="false">ROUND(C3112*F3112,0)</f>
        <v>3545</v>
      </c>
      <c r="H3112" s="48" t="n">
        <f aca="false">MAX(0,(C3112*'Model Inputs &amp; Assumptions'!$N$34+E3112*'Model Inputs &amp; Assumptions'!$O$34+G3112*'Model Inputs &amp; Assumptions'!$P$34)*EXP('Model Inputs &amp; Assumptions'!$Q$34*S3112-'Model Inputs &amp; Assumptions'!$Q$34^2/2))</f>
        <v>153.825340090101</v>
      </c>
      <c r="I3112" s="49" t="n">
        <f aca="false">IF('Model Inputs &amp; Assumptions'!$H$34="Fixed",'Model Inputs &amp; Assumptions'!$I$34*'Model Inputs &amp; Assumptions'!$K$34,IF('Model Inputs &amp; Assumptions'!$H$34="CPM",'Model Inputs &amp; Assumptions'!$I$34*'Model Inputs &amp; Assumptions'!$K$34*C3112/1000,IF('Model Inputs &amp; Assumptions'!$H$34="CPC",'Model Inputs &amp; Assumptions'!$I$34*'Model Inputs &amp; Assumptions'!$K$34*G3112,0)))</f>
        <v>6558.25</v>
      </c>
      <c r="J3112" s="50" t="n">
        <f aca="false">H3112*INDEX('Model Inputs &amp; Assumptions'!$D$40:$D$42,MATCH('Model Inputs &amp; Assumptions'!$L$34,'Model Inputs &amp; Assumptions'!$A$40:$A$42,0))*INDEX('Model Inputs &amp; Assumptions'!$H$40:$H$42,MATCH('Model Inputs &amp; Assumptions'!$L$34,'Model Inputs &amp; Assumptions'!$A$40:$A$42,0))</f>
        <v>1107542.44864872</v>
      </c>
      <c r="K3112" s="49" t="n">
        <f aca="false">H3112*INDEX('Model Inputs &amp; Assumptions'!$G$40:$G$42,MATCH('Model Inputs &amp; Assumptions'!$L$34,'Model Inputs &amp; Assumptions'!$A$40:$A$42,0))*INDEX('Model Inputs &amp; Assumptions'!$H$40:$H$42,MATCH('Model Inputs &amp; Assumptions'!$L$34,'Model Inputs &amp; Assumptions'!$A$40:$A$42,0))</f>
        <v>24421.3109927044</v>
      </c>
      <c r="L3112" s="51" t="n">
        <f aca="false">IFERROR(K3112/I3112,0)</f>
        <v>3.72375420160933</v>
      </c>
      <c r="M3112" s="49" t="n">
        <f aca="false">IFERROR(I3112/H3112,0)</f>
        <v>42.6343929820576</v>
      </c>
      <c r="N3112" s="52" t="str">
        <f aca="false">'Model Inputs &amp; Assumptions'!$L$34</f>
        <v>PRD-USIQ</v>
      </c>
      <c r="P3112" s="53" t="n">
        <v>1.407325</v>
      </c>
      <c r="Q3112" s="53" t="n">
        <v>-0.179974</v>
      </c>
      <c r="R3112" s="53" t="n">
        <v>-0.653404</v>
      </c>
      <c r="S3112" s="53" t="n">
        <v>2.094805</v>
      </c>
    </row>
    <row r="3113" customFormat="false" ht="15" hidden="false" customHeight="false" outlineLevel="0" collapsed="false">
      <c r="A3113" s="43" t="n">
        <v>110</v>
      </c>
      <c r="B3113" s="44" t="str">
        <f aca="false">'Model Inputs &amp; Assumptions'!$B$34</f>
        <v>Meta — Lookalike Feed Video</v>
      </c>
      <c r="C3113" s="45" t="n">
        <f aca="false">ROUND(MAX(0,'Model Inputs &amp; Assumptions'!$S$34*EXP('Model Inputs &amp; Assumptions'!$T$34*P3113-'Model Inputs &amp; Assumptions'!$T$34^2/2)),0)</f>
        <v>566115</v>
      </c>
      <c r="D3113" s="46" t="n">
        <f aca="false">MIN(1,'Model Inputs &amp; Assumptions'!$U$34*EXP('Model Inputs &amp; Assumptions'!$V$34*Q3113-'Model Inputs &amp; Assumptions'!$V$34^2/2))</f>
        <v>0.240893630520148</v>
      </c>
      <c r="E3113" s="45" t="n">
        <f aca="false">ROUND(C3113*D3113,0)</f>
        <v>136373</v>
      </c>
      <c r="F3113" s="47" t="n">
        <f aca="false">MIN(1,'Model Inputs &amp; Assumptions'!$W$34*EXP('Model Inputs &amp; Assumptions'!$X$34*R3113-'Model Inputs &amp; Assumptions'!$X$34^2/2))</f>
        <v>0.0068213582521166</v>
      </c>
      <c r="G3113" s="45" t="n">
        <f aca="false">ROUND(C3113*F3113,0)</f>
        <v>3862</v>
      </c>
      <c r="H3113" s="48" t="n">
        <f aca="false">MAX(0,(C3113*'Model Inputs &amp; Assumptions'!$N$34+E3113*'Model Inputs &amp; Assumptions'!$O$34+G3113*'Model Inputs &amp; Assumptions'!$P$34)*EXP('Model Inputs &amp; Assumptions'!$Q$34*S3113-'Model Inputs &amp; Assumptions'!$Q$34^2/2))</f>
        <v>66.7048573263986</v>
      </c>
      <c r="I3113" s="49" t="n">
        <f aca="false">IF('Model Inputs &amp; Assumptions'!$H$34="Fixed",'Model Inputs &amp; Assumptions'!$I$34*'Model Inputs &amp; Assumptions'!$K$34,IF('Model Inputs &amp; Assumptions'!$H$34="CPM",'Model Inputs &amp; Assumptions'!$I$34*'Model Inputs &amp; Assumptions'!$K$34*C3113/1000,IF('Model Inputs &amp; Assumptions'!$H$34="CPC",'Model Inputs &amp; Assumptions'!$I$34*'Model Inputs &amp; Assumptions'!$K$34*G3113,0)))</f>
        <v>7144.7</v>
      </c>
      <c r="J3113" s="50" t="n">
        <f aca="false">H3113*INDEX('Model Inputs &amp; Assumptions'!$D$40:$D$42,MATCH('Model Inputs &amp; Assumptions'!$L$34,'Model Inputs &amp; Assumptions'!$A$40:$A$42,0))*INDEX('Model Inputs &amp; Assumptions'!$H$40:$H$42,MATCH('Model Inputs &amp; Assumptions'!$L$34,'Model Inputs &amp; Assumptions'!$A$40:$A$42,0))</f>
        <v>480274.97275007</v>
      </c>
      <c r="K3113" s="49" t="n">
        <f aca="false">H3113*INDEX('Model Inputs &amp; Assumptions'!$G$40:$G$42,MATCH('Model Inputs &amp; Assumptions'!$L$34,'Model Inputs &amp; Assumptions'!$A$40:$A$42,0))*INDEX('Model Inputs &amp; Assumptions'!$H$40:$H$42,MATCH('Model Inputs &amp; Assumptions'!$L$34,'Model Inputs &amp; Assumptions'!$A$40:$A$42,0))</f>
        <v>10590.063149139</v>
      </c>
      <c r="L3113" s="51" t="n">
        <f aca="false">IFERROR(K3113/I3113,0)</f>
        <v>1.48222642646144</v>
      </c>
      <c r="M3113" s="49" t="n">
        <f aca="false">IFERROR(I3113/H3113,0)</f>
        <v>107.10914146836</v>
      </c>
      <c r="N3113" s="52" t="str">
        <f aca="false">'Model Inputs &amp; Assumptions'!$L$34</f>
        <v>PRD-USIQ</v>
      </c>
      <c r="P3113" s="53" t="n">
        <v>0.52484</v>
      </c>
      <c r="Q3113" s="53" t="n">
        <v>0.369226</v>
      </c>
      <c r="R3113" s="53" t="n">
        <v>0.802773</v>
      </c>
      <c r="S3113" s="53" t="n">
        <v>-0.711126</v>
      </c>
    </row>
    <row r="3114" customFormat="false" ht="15" hidden="false" customHeight="false" outlineLevel="0" collapsed="false">
      <c r="A3114" s="43" t="n">
        <v>111</v>
      </c>
      <c r="B3114" s="44" t="str">
        <f aca="false">'Model Inputs &amp; Assumptions'!$B$34</f>
        <v>Meta — Lookalike Feed Video</v>
      </c>
      <c r="C3114" s="45" t="n">
        <f aca="false">ROUND(MAX(0,'Model Inputs &amp; Assumptions'!$S$34*EXP('Model Inputs &amp; Assumptions'!$T$34*P3114-'Model Inputs &amp; Assumptions'!$T$34^2/2)),0)</f>
        <v>533145</v>
      </c>
      <c r="D3114" s="46" t="n">
        <f aca="false">MIN(1,'Model Inputs &amp; Assumptions'!$U$34*EXP('Model Inputs &amp; Assumptions'!$V$34*Q3114-'Model Inputs &amp; Assumptions'!$V$34^2/2))</f>
        <v>0.268680039905574</v>
      </c>
      <c r="E3114" s="45" t="n">
        <f aca="false">ROUND(C3114*D3114,0)</f>
        <v>143245</v>
      </c>
      <c r="F3114" s="47" t="n">
        <f aca="false">MIN(1,'Model Inputs &amp; Assumptions'!$W$34*EXP('Model Inputs &amp; Assumptions'!$X$34*R3114-'Model Inputs &amp; Assumptions'!$X$34^2/2))</f>
        <v>0.00434897101667557</v>
      </c>
      <c r="G3114" s="45" t="n">
        <f aca="false">ROUND(C3114*F3114,0)</f>
        <v>2319</v>
      </c>
      <c r="H3114" s="48" t="n">
        <f aca="false">MAX(0,(C3114*'Model Inputs &amp; Assumptions'!$N$34+E3114*'Model Inputs &amp; Assumptions'!$O$34+G3114*'Model Inputs &amp; Assumptions'!$P$34)*EXP('Model Inputs &amp; Assumptions'!$Q$34*S3114-'Model Inputs &amp; Assumptions'!$Q$34^2/2))</f>
        <v>37.5406513636516</v>
      </c>
      <c r="I3114" s="49" t="n">
        <f aca="false">IF('Model Inputs &amp; Assumptions'!$H$34="Fixed",'Model Inputs &amp; Assumptions'!$I$34*'Model Inputs &amp; Assumptions'!$K$34,IF('Model Inputs &amp; Assumptions'!$H$34="CPM",'Model Inputs &amp; Assumptions'!$I$34*'Model Inputs &amp; Assumptions'!$K$34*C3114/1000,IF('Model Inputs &amp; Assumptions'!$H$34="CPC",'Model Inputs &amp; Assumptions'!$I$34*'Model Inputs &amp; Assumptions'!$K$34*G3114,0)))</f>
        <v>4290.15</v>
      </c>
      <c r="J3114" s="50" t="n">
        <f aca="false">H3114*INDEX('Model Inputs &amp; Assumptions'!$D$40:$D$42,MATCH('Model Inputs &amp; Assumptions'!$L$34,'Model Inputs &amp; Assumptions'!$A$40:$A$42,0))*INDEX('Model Inputs &amp; Assumptions'!$H$40:$H$42,MATCH('Model Inputs &amp; Assumptions'!$L$34,'Model Inputs &amp; Assumptions'!$A$40:$A$42,0))</f>
        <v>270292.689818292</v>
      </c>
      <c r="K3114" s="49" t="n">
        <f aca="false">H3114*INDEX('Model Inputs &amp; Assumptions'!$G$40:$G$42,MATCH('Model Inputs &amp; Assumptions'!$L$34,'Model Inputs &amp; Assumptions'!$A$40:$A$42,0))*INDEX('Model Inputs &amp; Assumptions'!$H$40:$H$42,MATCH('Model Inputs &amp; Assumptions'!$L$34,'Model Inputs &amp; Assumptions'!$A$40:$A$42,0))</f>
        <v>5959.95381049333</v>
      </c>
      <c r="L3114" s="51" t="n">
        <f aca="false">IFERROR(K3114/I3114,0)</f>
        <v>1.38921804843498</v>
      </c>
      <c r="M3114" s="49" t="n">
        <f aca="false">IFERROR(I3114/H3114,0)</f>
        <v>114.280116198354</v>
      </c>
      <c r="N3114" s="52" t="str">
        <f aca="false">'Model Inputs &amp; Assumptions'!$L$34</f>
        <v>PRD-USIQ</v>
      </c>
      <c r="P3114" s="53" t="n">
        <v>0.224826</v>
      </c>
      <c r="Q3114" s="53" t="n">
        <v>1.051512</v>
      </c>
      <c r="R3114" s="53" t="n">
        <v>-1.69789</v>
      </c>
      <c r="S3114" s="53" t="n">
        <v>-1.190779</v>
      </c>
    </row>
    <row r="3115" customFormat="false" ht="15" hidden="false" customHeight="false" outlineLevel="0" collapsed="false">
      <c r="A3115" s="43" t="n">
        <v>112</v>
      </c>
      <c r="B3115" s="44" t="str">
        <f aca="false">'Model Inputs &amp; Assumptions'!$B$34</f>
        <v>Meta — Lookalike Feed Video</v>
      </c>
      <c r="C3115" s="45" t="n">
        <f aca="false">ROUND(MAX(0,'Model Inputs &amp; Assumptions'!$S$34*EXP('Model Inputs &amp; Assumptions'!$T$34*P3115-'Model Inputs &amp; Assumptions'!$T$34^2/2)),0)</f>
        <v>541684</v>
      </c>
      <c r="D3115" s="46" t="n">
        <f aca="false">MIN(1,'Model Inputs &amp; Assumptions'!$U$34*EXP('Model Inputs &amp; Assumptions'!$V$34*Q3115-'Model Inputs &amp; Assumptions'!$V$34^2/2))</f>
        <v>0.196082935281401</v>
      </c>
      <c r="E3115" s="45" t="n">
        <f aca="false">ROUND(C3115*D3115,0)</f>
        <v>106215</v>
      </c>
      <c r="F3115" s="47" t="n">
        <f aca="false">MIN(1,'Model Inputs &amp; Assumptions'!$W$34*EXP('Model Inputs &amp; Assumptions'!$X$34*R3115-'Model Inputs &amp; Assumptions'!$X$34^2/2))</f>
        <v>0.0076049674774148</v>
      </c>
      <c r="G3115" s="45" t="n">
        <f aca="false">ROUND(C3115*F3115,0)</f>
        <v>4119</v>
      </c>
      <c r="H3115" s="48" t="n">
        <f aca="false">MAX(0,(C3115*'Model Inputs &amp; Assumptions'!$N$34+E3115*'Model Inputs &amp; Assumptions'!$O$34+G3115*'Model Inputs &amp; Assumptions'!$P$34)*EXP('Model Inputs &amp; Assumptions'!$Q$34*S3115-'Model Inputs &amp; Assumptions'!$Q$34^2/2))</f>
        <v>95.7165964103583</v>
      </c>
      <c r="I3115" s="49" t="n">
        <f aca="false">IF('Model Inputs &amp; Assumptions'!$H$34="Fixed",'Model Inputs &amp; Assumptions'!$I$34*'Model Inputs &amp; Assumptions'!$K$34,IF('Model Inputs &amp; Assumptions'!$H$34="CPM",'Model Inputs &amp; Assumptions'!$I$34*'Model Inputs &amp; Assumptions'!$K$34*C3115/1000,IF('Model Inputs &amp; Assumptions'!$H$34="CPC",'Model Inputs &amp; Assumptions'!$I$34*'Model Inputs &amp; Assumptions'!$K$34*G3115,0)))</f>
        <v>7620.15</v>
      </c>
      <c r="J3115" s="50" t="n">
        <f aca="false">H3115*INDEX('Model Inputs &amp; Assumptions'!$D$40:$D$42,MATCH('Model Inputs &amp; Assumptions'!$L$34,'Model Inputs &amp; Assumptions'!$A$40:$A$42,0))*INDEX('Model Inputs &amp; Assumptions'!$H$40:$H$42,MATCH('Model Inputs &amp; Assumptions'!$L$34,'Model Inputs &amp; Assumptions'!$A$40:$A$42,0))</f>
        <v>689159.49415458</v>
      </c>
      <c r="K3115" s="49" t="n">
        <f aca="false">H3115*INDEX('Model Inputs &amp; Assumptions'!$G$40:$G$42,MATCH('Model Inputs &amp; Assumptions'!$L$34,'Model Inputs &amp; Assumptions'!$A$40:$A$42,0))*INDEX('Model Inputs &amp; Assumptions'!$H$40:$H$42,MATCH('Model Inputs &amp; Assumptions'!$L$34,'Model Inputs &amp; Assumptions'!$A$40:$A$42,0))</f>
        <v>15195.9668461085</v>
      </c>
      <c r="L3115" s="51" t="n">
        <f aca="false">IFERROR(K3115/I3115,0)</f>
        <v>1.99418211532693</v>
      </c>
      <c r="M3115" s="49" t="n">
        <f aca="false">IFERROR(I3115/H3115,0)</f>
        <v>79.6115855115734</v>
      </c>
      <c r="N3115" s="52" t="str">
        <f aca="false">'Model Inputs &amp; Assumptions'!$L$34</f>
        <v>PRD-USIQ</v>
      </c>
      <c r="P3115" s="53" t="n">
        <v>0.304274</v>
      </c>
      <c r="Q3115" s="53" t="n">
        <v>-0.917135</v>
      </c>
      <c r="R3115" s="53" t="n">
        <v>1.406901</v>
      </c>
      <c r="S3115" s="53" t="n">
        <v>0.322133</v>
      </c>
    </row>
    <row r="3116" customFormat="false" ht="15" hidden="false" customHeight="false" outlineLevel="0" collapsed="false">
      <c r="A3116" s="43" t="n">
        <v>113</v>
      </c>
      <c r="B3116" s="44" t="str">
        <f aca="false">'Model Inputs &amp; Assumptions'!$B$34</f>
        <v>Meta — Lookalike Feed Video</v>
      </c>
      <c r="C3116" s="45" t="n">
        <f aca="false">ROUND(MAX(0,'Model Inputs &amp; Assumptions'!$S$34*EXP('Model Inputs &amp; Assumptions'!$T$34*P3116-'Model Inputs &amp; Assumptions'!$T$34^2/2)),0)</f>
        <v>608651</v>
      </c>
      <c r="D3116" s="46" t="n">
        <f aca="false">MIN(1,'Model Inputs &amp; Assumptions'!$U$34*EXP('Model Inputs &amp; Assumptions'!$V$34*Q3116-'Model Inputs &amp; Assumptions'!$V$34^2/2))</f>
        <v>0.255746650743322</v>
      </c>
      <c r="E3116" s="45" t="n">
        <f aca="false">ROUND(C3116*D3116,0)</f>
        <v>155660</v>
      </c>
      <c r="F3116" s="47" t="n">
        <f aca="false">MIN(1,'Model Inputs &amp; Assumptions'!$W$34*EXP('Model Inputs &amp; Assumptions'!$X$34*R3116-'Model Inputs &amp; Assumptions'!$X$34^2/2))</f>
        <v>0.00574987507926507</v>
      </c>
      <c r="G3116" s="45" t="n">
        <f aca="false">ROUND(C3116*F3116,0)</f>
        <v>3500</v>
      </c>
      <c r="H3116" s="48" t="n">
        <f aca="false">MAX(0,(C3116*'Model Inputs &amp; Assumptions'!$N$34+E3116*'Model Inputs &amp; Assumptions'!$O$34+G3116*'Model Inputs &amp; Assumptions'!$P$34)*EXP('Model Inputs &amp; Assumptions'!$Q$34*S3116-'Model Inputs &amp; Assumptions'!$Q$34^2/2))</f>
        <v>68.0042802742517</v>
      </c>
      <c r="I3116" s="49" t="n">
        <f aca="false">IF('Model Inputs &amp; Assumptions'!$H$34="Fixed",'Model Inputs &amp; Assumptions'!$I$34*'Model Inputs &amp; Assumptions'!$K$34,IF('Model Inputs &amp; Assumptions'!$H$34="CPM",'Model Inputs &amp; Assumptions'!$I$34*'Model Inputs &amp; Assumptions'!$K$34*C3116/1000,IF('Model Inputs &amp; Assumptions'!$H$34="CPC",'Model Inputs &amp; Assumptions'!$I$34*'Model Inputs &amp; Assumptions'!$K$34*G3116,0)))</f>
        <v>6475</v>
      </c>
      <c r="J3116" s="50" t="n">
        <f aca="false">H3116*INDEX('Model Inputs &amp; Assumptions'!$D$40:$D$42,MATCH('Model Inputs &amp; Assumptions'!$L$34,'Model Inputs &amp; Assumptions'!$A$40:$A$42,0))*INDEX('Model Inputs &amp; Assumptions'!$H$40:$H$42,MATCH('Model Inputs &amp; Assumptions'!$L$34,'Model Inputs &amp; Assumptions'!$A$40:$A$42,0))</f>
        <v>489630.817974612</v>
      </c>
      <c r="K3116" s="49" t="n">
        <f aca="false">H3116*INDEX('Model Inputs &amp; Assumptions'!$G$40:$G$42,MATCH('Model Inputs &amp; Assumptions'!$L$34,'Model Inputs &amp; Assumptions'!$A$40:$A$42,0))*INDEX('Model Inputs &amp; Assumptions'!$H$40:$H$42,MATCH('Model Inputs &amp; Assumptions'!$L$34,'Model Inputs &amp; Assumptions'!$A$40:$A$42,0))</f>
        <v>10796.3595363402</v>
      </c>
      <c r="L3116" s="51" t="n">
        <f aca="false">IFERROR(K3116/I3116,0)</f>
        <v>1.66739143418381</v>
      </c>
      <c r="M3116" s="49" t="n">
        <f aca="false">IFERROR(I3116/H3116,0)</f>
        <v>95.2145949326607</v>
      </c>
      <c r="N3116" s="52" t="str">
        <f aca="false">'Model Inputs &amp; Assumptions'!$L$34</f>
        <v>PRD-USIQ</v>
      </c>
      <c r="P3116" s="53" t="n">
        <v>0.887081</v>
      </c>
      <c r="Q3116" s="53" t="n">
        <v>0.743175</v>
      </c>
      <c r="R3116" s="53" t="n">
        <v>-0.146563</v>
      </c>
      <c r="S3116" s="53" t="n">
        <v>-0.442048</v>
      </c>
    </row>
    <row r="3117" customFormat="false" ht="15" hidden="false" customHeight="false" outlineLevel="0" collapsed="false">
      <c r="A3117" s="43" t="n">
        <v>114</v>
      </c>
      <c r="B3117" s="44" t="str">
        <f aca="false">'Model Inputs &amp; Assumptions'!$B$34</f>
        <v>Meta — Lookalike Feed Video</v>
      </c>
      <c r="C3117" s="45" t="n">
        <f aca="false">ROUND(MAX(0,'Model Inputs &amp; Assumptions'!$S$34*EXP('Model Inputs &amp; Assumptions'!$T$34*P3117-'Model Inputs &amp; Assumptions'!$T$34^2/2)),0)</f>
        <v>528119</v>
      </c>
      <c r="D3117" s="46" t="n">
        <f aca="false">MIN(1,'Model Inputs &amp; Assumptions'!$U$34*EXP('Model Inputs &amp; Assumptions'!$V$34*Q3117-'Model Inputs &amp; Assumptions'!$V$34^2/2))</f>
        <v>0.220322404573011</v>
      </c>
      <c r="E3117" s="45" t="n">
        <f aca="false">ROUND(C3117*D3117,0)</f>
        <v>116356</v>
      </c>
      <c r="F3117" s="47" t="n">
        <f aca="false">MIN(1,'Model Inputs &amp; Assumptions'!$W$34*EXP('Model Inputs &amp; Assumptions'!$X$34*R3117-'Model Inputs &amp; Assumptions'!$X$34^2/2))</f>
        <v>0.00532079436655267</v>
      </c>
      <c r="G3117" s="45" t="n">
        <f aca="false">ROUND(C3117*F3117,0)</f>
        <v>2810</v>
      </c>
      <c r="H3117" s="48" t="n">
        <f aca="false">MAX(0,(C3117*'Model Inputs &amp; Assumptions'!$N$34+E3117*'Model Inputs &amp; Assumptions'!$O$34+G3117*'Model Inputs &amp; Assumptions'!$P$34)*EXP('Model Inputs &amp; Assumptions'!$Q$34*S3117-'Model Inputs &amp; Assumptions'!$Q$34^2/2))</f>
        <v>76.2647103810254</v>
      </c>
      <c r="I3117" s="49" t="n">
        <f aca="false">IF('Model Inputs &amp; Assumptions'!$H$34="Fixed",'Model Inputs &amp; Assumptions'!$I$34*'Model Inputs &amp; Assumptions'!$K$34,IF('Model Inputs &amp; Assumptions'!$H$34="CPM",'Model Inputs &amp; Assumptions'!$I$34*'Model Inputs &amp; Assumptions'!$K$34*C3117/1000,IF('Model Inputs &amp; Assumptions'!$H$34="CPC",'Model Inputs &amp; Assumptions'!$I$34*'Model Inputs &amp; Assumptions'!$K$34*G3117,0)))</f>
        <v>5198.5</v>
      </c>
      <c r="J3117" s="50" t="n">
        <f aca="false">H3117*INDEX('Model Inputs &amp; Assumptions'!$D$40:$D$42,MATCH('Model Inputs &amp; Assumptions'!$L$34,'Model Inputs &amp; Assumptions'!$A$40:$A$42,0))*INDEX('Model Inputs &amp; Assumptions'!$H$40:$H$42,MATCH('Model Inputs &amp; Assumptions'!$L$34,'Model Inputs &amp; Assumptions'!$A$40:$A$42,0))</f>
        <v>549105.914743383</v>
      </c>
      <c r="K3117" s="49" t="n">
        <f aca="false">H3117*INDEX('Model Inputs &amp; Assumptions'!$G$40:$G$42,MATCH('Model Inputs &amp; Assumptions'!$L$34,'Model Inputs &amp; Assumptions'!$A$40:$A$42,0))*INDEX('Model Inputs &amp; Assumptions'!$H$40:$H$42,MATCH('Model Inputs &amp; Assumptions'!$L$34,'Model Inputs &amp; Assumptions'!$A$40:$A$42,0))</f>
        <v>12107.7854200916</v>
      </c>
      <c r="L3117" s="51" t="n">
        <f aca="false">IFERROR(K3117/I3117,0)</f>
        <v>2.32909212659259</v>
      </c>
      <c r="M3117" s="49" t="n">
        <f aca="false">IFERROR(I3117/H3117,0)</f>
        <v>68.1638987944467</v>
      </c>
      <c r="N3117" s="52" t="str">
        <f aca="false">'Model Inputs &amp; Assumptions'!$L$34</f>
        <v>PRD-USIQ</v>
      </c>
      <c r="P3117" s="53" t="n">
        <v>0.177464</v>
      </c>
      <c r="Q3117" s="53" t="n">
        <v>-0.188671</v>
      </c>
      <c r="R3117" s="53" t="n">
        <v>-0.577427</v>
      </c>
      <c r="S3117" s="53" t="n">
        <v>0.635096</v>
      </c>
    </row>
    <row r="3118" customFormat="false" ht="15" hidden="false" customHeight="false" outlineLevel="0" collapsed="false">
      <c r="A3118" s="43" t="n">
        <v>115</v>
      </c>
      <c r="B3118" s="44" t="str">
        <f aca="false">'Model Inputs &amp; Assumptions'!$B$34</f>
        <v>Meta — Lookalike Feed Video</v>
      </c>
      <c r="C3118" s="45" t="n">
        <f aca="false">ROUND(MAX(0,'Model Inputs &amp; Assumptions'!$S$34*EXP('Model Inputs &amp; Assumptions'!$T$34*P3118-'Model Inputs &amp; Assumptions'!$T$34^2/2)),0)</f>
        <v>402093</v>
      </c>
      <c r="D3118" s="46" t="n">
        <f aca="false">MIN(1,'Model Inputs &amp; Assumptions'!$U$34*EXP('Model Inputs &amp; Assumptions'!$V$34*Q3118-'Model Inputs &amp; Assumptions'!$V$34^2/2))</f>
        <v>0.204480003626254</v>
      </c>
      <c r="E3118" s="45" t="n">
        <f aca="false">ROUND(C3118*D3118,0)</f>
        <v>82220</v>
      </c>
      <c r="F3118" s="47" t="n">
        <f aca="false">MIN(1,'Model Inputs &amp; Assumptions'!$W$34*EXP('Model Inputs &amp; Assumptions'!$X$34*R3118-'Model Inputs &amp; Assumptions'!$X$34^2/2))</f>
        <v>0.00796985906316081</v>
      </c>
      <c r="G3118" s="45" t="n">
        <f aca="false">ROUND(C3118*F3118,0)</f>
        <v>3205</v>
      </c>
      <c r="H3118" s="48" t="n">
        <f aca="false">MAX(0,(C3118*'Model Inputs &amp; Assumptions'!$N$34+E3118*'Model Inputs &amp; Assumptions'!$O$34+G3118*'Model Inputs &amp; Assumptions'!$P$34)*EXP('Model Inputs &amp; Assumptions'!$Q$34*S3118-'Model Inputs &amp; Assumptions'!$Q$34^2/2))</f>
        <v>57.7626914726776</v>
      </c>
      <c r="I3118" s="49" t="n">
        <f aca="false">IF('Model Inputs &amp; Assumptions'!$H$34="Fixed",'Model Inputs &amp; Assumptions'!$I$34*'Model Inputs &amp; Assumptions'!$K$34,IF('Model Inputs &amp; Assumptions'!$H$34="CPM",'Model Inputs &amp; Assumptions'!$I$34*'Model Inputs &amp; Assumptions'!$K$34*C3118/1000,IF('Model Inputs &amp; Assumptions'!$H$34="CPC",'Model Inputs &amp; Assumptions'!$I$34*'Model Inputs &amp; Assumptions'!$K$34*G3118,0)))</f>
        <v>5929.25</v>
      </c>
      <c r="J3118" s="50" t="n">
        <f aca="false">H3118*INDEX('Model Inputs &amp; Assumptions'!$D$40:$D$42,MATCH('Model Inputs &amp; Assumptions'!$L$34,'Model Inputs &amp; Assumptions'!$A$40:$A$42,0))*INDEX('Model Inputs &amp; Assumptions'!$H$40:$H$42,MATCH('Model Inputs &amp; Assumptions'!$L$34,'Model Inputs &amp; Assumptions'!$A$40:$A$42,0))</f>
        <v>415891.378603279</v>
      </c>
      <c r="K3118" s="49" t="n">
        <f aca="false">H3118*INDEX('Model Inputs &amp; Assumptions'!$G$40:$G$42,MATCH('Model Inputs &amp; Assumptions'!$L$34,'Model Inputs &amp; Assumptions'!$A$40:$A$42,0))*INDEX('Model Inputs &amp; Assumptions'!$H$40:$H$42,MATCH('Model Inputs &amp; Assumptions'!$L$34,'Model Inputs &amp; Assumptions'!$A$40:$A$42,0))</f>
        <v>9170.4048982023</v>
      </c>
      <c r="L3118" s="51" t="n">
        <f aca="false">IFERROR(K3118/I3118,0)</f>
        <v>1.54663825917313</v>
      </c>
      <c r="M3118" s="49" t="n">
        <f aca="false">IFERROR(I3118/H3118,0)</f>
        <v>102.648437059146</v>
      </c>
      <c r="N3118" s="52" t="str">
        <f aca="false">'Model Inputs &amp; Assumptions'!$L$34</f>
        <v>PRD-USIQ</v>
      </c>
      <c r="P3118" s="53" t="n">
        <v>-1.185725</v>
      </c>
      <c r="Q3118" s="53" t="n">
        <v>-0.655057</v>
      </c>
      <c r="R3118" s="53" t="n">
        <v>1.667263</v>
      </c>
      <c r="S3118" s="53" t="n">
        <v>-0.47058</v>
      </c>
    </row>
    <row r="3119" customFormat="false" ht="15" hidden="false" customHeight="false" outlineLevel="0" collapsed="false">
      <c r="A3119" s="43" t="n">
        <v>116</v>
      </c>
      <c r="B3119" s="44" t="str">
        <f aca="false">'Model Inputs &amp; Assumptions'!$B$34</f>
        <v>Meta — Lookalike Feed Video</v>
      </c>
      <c r="C3119" s="45" t="n">
        <f aca="false">ROUND(MAX(0,'Model Inputs &amp; Assumptions'!$S$34*EXP('Model Inputs &amp; Assumptions'!$T$34*P3119-'Model Inputs &amp; Assumptions'!$T$34^2/2)),0)</f>
        <v>705536</v>
      </c>
      <c r="D3119" s="46" t="n">
        <f aca="false">MIN(1,'Model Inputs &amp; Assumptions'!$U$34*EXP('Model Inputs &amp; Assumptions'!$V$34*Q3119-'Model Inputs &amp; Assumptions'!$V$34^2/2))</f>
        <v>0.223209365314936</v>
      </c>
      <c r="E3119" s="45" t="n">
        <f aca="false">ROUND(C3119*D3119,0)</f>
        <v>157482</v>
      </c>
      <c r="F3119" s="47" t="n">
        <f aca="false">MIN(1,'Model Inputs &amp; Assumptions'!$W$34*EXP('Model Inputs &amp; Assumptions'!$X$34*R3119-'Model Inputs &amp; Assumptions'!$X$34^2/2))</f>
        <v>0.00579900197359576</v>
      </c>
      <c r="G3119" s="45" t="n">
        <f aca="false">ROUND(C3119*F3119,0)</f>
        <v>4091</v>
      </c>
      <c r="H3119" s="48" t="n">
        <f aca="false">MAX(0,(C3119*'Model Inputs &amp; Assumptions'!$N$34+E3119*'Model Inputs &amp; Assumptions'!$O$34+G3119*'Model Inputs &amp; Assumptions'!$P$34)*EXP('Model Inputs &amp; Assumptions'!$Q$34*S3119-'Model Inputs &amp; Assumptions'!$Q$34^2/2))</f>
        <v>108.199911014552</v>
      </c>
      <c r="I3119" s="49" t="n">
        <f aca="false">IF('Model Inputs &amp; Assumptions'!$H$34="Fixed",'Model Inputs &amp; Assumptions'!$I$34*'Model Inputs &amp; Assumptions'!$K$34,IF('Model Inputs &amp; Assumptions'!$H$34="CPM",'Model Inputs &amp; Assumptions'!$I$34*'Model Inputs &amp; Assumptions'!$K$34*C3119/1000,IF('Model Inputs &amp; Assumptions'!$H$34="CPC",'Model Inputs &amp; Assumptions'!$I$34*'Model Inputs &amp; Assumptions'!$K$34*G3119,0)))</f>
        <v>7568.35</v>
      </c>
      <c r="J3119" s="50" t="n">
        <f aca="false">H3119*INDEX('Model Inputs &amp; Assumptions'!$D$40:$D$42,MATCH('Model Inputs &amp; Assumptions'!$L$34,'Model Inputs &amp; Assumptions'!$A$40:$A$42,0))*INDEX('Model Inputs &amp; Assumptions'!$H$40:$H$42,MATCH('Model Inputs &amp; Assumptions'!$L$34,'Model Inputs &amp; Assumptions'!$A$40:$A$42,0))</f>
        <v>779039.359304772</v>
      </c>
      <c r="K3119" s="49" t="n">
        <f aca="false">H3119*INDEX('Model Inputs &amp; Assumptions'!$G$40:$G$42,MATCH('Model Inputs &amp; Assumptions'!$L$34,'Model Inputs &amp; Assumptions'!$A$40:$A$42,0))*INDEX('Model Inputs &amp; Assumptions'!$H$40:$H$42,MATCH('Model Inputs &amp; Assumptions'!$L$34,'Model Inputs &amp; Assumptions'!$A$40:$A$42,0))</f>
        <v>17177.8178726702</v>
      </c>
      <c r="L3119" s="51" t="n">
        <f aca="false">IFERROR(K3119/I3119,0)</f>
        <v>2.26969126330973</v>
      </c>
      <c r="M3119" s="49" t="n">
        <f aca="false">IFERROR(I3119/H3119,0)</f>
        <v>69.9478394116437</v>
      </c>
      <c r="N3119" s="52" t="str">
        <f aca="false">'Model Inputs &amp; Assumptions'!$L$34</f>
        <v>PRD-USIQ</v>
      </c>
      <c r="P3119" s="53" t="n">
        <v>1.625645</v>
      </c>
      <c r="Q3119" s="53" t="n">
        <v>-0.107307</v>
      </c>
      <c r="R3119" s="53" t="n">
        <v>-0.099298</v>
      </c>
      <c r="S3119" s="53" t="n">
        <v>0.585759</v>
      </c>
    </row>
    <row r="3120" customFormat="false" ht="15" hidden="false" customHeight="false" outlineLevel="0" collapsed="false">
      <c r="A3120" s="43" t="n">
        <v>117</v>
      </c>
      <c r="B3120" s="44" t="str">
        <f aca="false">'Model Inputs &amp; Assumptions'!$B$34</f>
        <v>Meta — Lookalike Feed Video</v>
      </c>
      <c r="C3120" s="45" t="n">
        <f aca="false">ROUND(MAX(0,'Model Inputs &amp; Assumptions'!$S$34*EXP('Model Inputs &amp; Assumptions'!$T$34*P3120-'Model Inputs &amp; Assumptions'!$T$34^2/2)),0)</f>
        <v>433743</v>
      </c>
      <c r="D3120" s="46" t="n">
        <f aca="false">MIN(1,'Model Inputs &amp; Assumptions'!$U$34*EXP('Model Inputs &amp; Assumptions'!$V$34*Q3120-'Model Inputs &amp; Assumptions'!$V$34^2/2))</f>
        <v>0.284926652906404</v>
      </c>
      <c r="E3120" s="45" t="n">
        <f aca="false">ROUND(C3120*D3120,0)</f>
        <v>123585</v>
      </c>
      <c r="F3120" s="47" t="n">
        <f aca="false">MIN(1,'Model Inputs &amp; Assumptions'!$W$34*EXP('Model Inputs &amp; Assumptions'!$X$34*R3120-'Model Inputs &amp; Assumptions'!$X$34^2/2))</f>
        <v>0.00490829234086422</v>
      </c>
      <c r="G3120" s="45" t="n">
        <f aca="false">ROUND(C3120*F3120,0)</f>
        <v>2129</v>
      </c>
      <c r="H3120" s="48" t="n">
        <f aca="false">MAX(0,(C3120*'Model Inputs &amp; Assumptions'!$N$34+E3120*'Model Inputs &amp; Assumptions'!$O$34+G3120*'Model Inputs &amp; Assumptions'!$P$34)*EXP('Model Inputs &amp; Assumptions'!$Q$34*S3120-'Model Inputs &amp; Assumptions'!$Q$34^2/2))</f>
        <v>54.4043410073819</v>
      </c>
      <c r="I3120" s="49" t="n">
        <f aca="false">IF('Model Inputs &amp; Assumptions'!$H$34="Fixed",'Model Inputs &amp; Assumptions'!$I$34*'Model Inputs &amp; Assumptions'!$K$34,IF('Model Inputs &amp; Assumptions'!$H$34="CPM",'Model Inputs &amp; Assumptions'!$I$34*'Model Inputs &amp; Assumptions'!$K$34*C3120/1000,IF('Model Inputs &amp; Assumptions'!$H$34="CPC",'Model Inputs &amp; Assumptions'!$I$34*'Model Inputs &amp; Assumptions'!$K$34*G3120,0)))</f>
        <v>3938.65</v>
      </c>
      <c r="J3120" s="50" t="n">
        <f aca="false">H3120*INDEX('Model Inputs &amp; Assumptions'!$D$40:$D$42,MATCH('Model Inputs &amp; Assumptions'!$L$34,'Model Inputs &amp; Assumptions'!$A$40:$A$42,0))*INDEX('Model Inputs &amp; Assumptions'!$H$40:$H$42,MATCH('Model Inputs &amp; Assumptions'!$L$34,'Model Inputs &amp; Assumptions'!$A$40:$A$42,0))</f>
        <v>391711.255253149</v>
      </c>
      <c r="K3120" s="49" t="n">
        <f aca="false">H3120*INDEX('Model Inputs &amp; Assumptions'!$G$40:$G$42,MATCH('Model Inputs &amp; Assumptions'!$L$34,'Model Inputs &amp; Assumptions'!$A$40:$A$42,0))*INDEX('Model Inputs &amp; Assumptions'!$H$40:$H$42,MATCH('Model Inputs &amp; Assumptions'!$L$34,'Model Inputs &amp; Assumptions'!$A$40:$A$42,0))</f>
        <v>8637.23317833194</v>
      </c>
      <c r="L3120" s="51" t="n">
        <f aca="false">IFERROR(K3120/I3120,0)</f>
        <v>2.19294255095831</v>
      </c>
      <c r="M3120" s="49" t="n">
        <f aca="false">IFERROR(I3120/H3120,0)</f>
        <v>72.3958773706235</v>
      </c>
      <c r="N3120" s="52" t="str">
        <f aca="false">'Model Inputs &amp; Assumptions'!$L$34</f>
        <v>PRD-USIQ</v>
      </c>
      <c r="P3120" s="53" t="n">
        <v>-0.806882</v>
      </c>
      <c r="Q3120" s="53" t="n">
        <v>1.418453</v>
      </c>
      <c r="R3120" s="53" t="n">
        <v>-1.025741</v>
      </c>
      <c r="S3120" s="53" t="n">
        <v>0.273323</v>
      </c>
    </row>
    <row r="3121" customFormat="false" ht="15" hidden="false" customHeight="false" outlineLevel="0" collapsed="false">
      <c r="A3121" s="43" t="n">
        <v>118</v>
      </c>
      <c r="B3121" s="44" t="str">
        <f aca="false">'Model Inputs &amp; Assumptions'!$B$34</f>
        <v>Meta — Lookalike Feed Video</v>
      </c>
      <c r="C3121" s="45" t="n">
        <f aca="false">ROUND(MAX(0,'Model Inputs &amp; Assumptions'!$S$34*EXP('Model Inputs &amp; Assumptions'!$T$34*P3121-'Model Inputs &amp; Assumptions'!$T$34^2/2)),0)</f>
        <v>402596</v>
      </c>
      <c r="D3121" s="46" t="n">
        <f aca="false">MIN(1,'Model Inputs &amp; Assumptions'!$U$34*EXP('Model Inputs &amp; Assumptions'!$V$34*Q3121-'Model Inputs &amp; Assumptions'!$V$34^2/2))</f>
        <v>0.2216108662119</v>
      </c>
      <c r="E3121" s="45" t="n">
        <f aca="false">ROUND(C3121*D3121,0)</f>
        <v>89220</v>
      </c>
      <c r="F3121" s="47" t="n">
        <f aca="false">MIN(1,'Model Inputs &amp; Assumptions'!$W$34*EXP('Model Inputs &amp; Assumptions'!$X$34*R3121-'Model Inputs &amp; Assumptions'!$X$34^2/2))</f>
        <v>0.00638368163198893</v>
      </c>
      <c r="G3121" s="45" t="n">
        <f aca="false">ROUND(C3121*F3121,0)</f>
        <v>2570</v>
      </c>
      <c r="H3121" s="48" t="n">
        <f aca="false">MAX(0,(C3121*'Model Inputs &amp; Assumptions'!$N$34+E3121*'Model Inputs &amp; Assumptions'!$O$34+G3121*'Model Inputs &amp; Assumptions'!$P$34)*EXP('Model Inputs &amp; Assumptions'!$Q$34*S3121-'Model Inputs &amp; Assumptions'!$Q$34^2/2))</f>
        <v>105.866247658871</v>
      </c>
      <c r="I3121" s="49" t="n">
        <f aca="false">IF('Model Inputs &amp; Assumptions'!$H$34="Fixed",'Model Inputs &amp; Assumptions'!$I$34*'Model Inputs &amp; Assumptions'!$K$34,IF('Model Inputs &amp; Assumptions'!$H$34="CPM",'Model Inputs &amp; Assumptions'!$I$34*'Model Inputs &amp; Assumptions'!$K$34*C3121/1000,IF('Model Inputs &amp; Assumptions'!$H$34="CPC",'Model Inputs &amp; Assumptions'!$I$34*'Model Inputs &amp; Assumptions'!$K$34*G3121,0)))</f>
        <v>4754.5</v>
      </c>
      <c r="J3121" s="50" t="n">
        <f aca="false">H3121*INDEX('Model Inputs &amp; Assumptions'!$D$40:$D$42,MATCH('Model Inputs &amp; Assumptions'!$L$34,'Model Inputs &amp; Assumptions'!$A$40:$A$42,0))*INDEX('Model Inputs &amp; Assumptions'!$H$40:$H$42,MATCH('Model Inputs &amp; Assumptions'!$L$34,'Model Inputs &amp; Assumptions'!$A$40:$A$42,0))</f>
        <v>762236.983143874</v>
      </c>
      <c r="K3121" s="49" t="n">
        <f aca="false">H3121*INDEX('Model Inputs &amp; Assumptions'!$G$40:$G$42,MATCH('Model Inputs &amp; Assumptions'!$L$34,'Model Inputs &amp; Assumptions'!$A$40:$A$42,0))*INDEX('Model Inputs &amp; Assumptions'!$H$40:$H$42,MATCH('Model Inputs &amp; Assumptions'!$L$34,'Model Inputs &amp; Assumptions'!$A$40:$A$42,0))</f>
        <v>16807.3254783224</v>
      </c>
      <c r="L3121" s="51" t="n">
        <f aca="false">IFERROR(K3121/I3121,0)</f>
        <v>3.53503533038646</v>
      </c>
      <c r="M3121" s="49" t="n">
        <f aca="false">IFERROR(I3121/H3121,0)</f>
        <v>44.910442233867</v>
      </c>
      <c r="N3121" s="52" t="str">
        <f aca="false">'Model Inputs &amp; Assumptions'!$L$34</f>
        <v>PRD-USIQ</v>
      </c>
      <c r="P3121" s="53" t="n">
        <v>-1.17948</v>
      </c>
      <c r="Q3121" s="53" t="n">
        <v>-0.152227</v>
      </c>
      <c r="R3121" s="53" t="n">
        <v>0.434364</v>
      </c>
      <c r="S3121" s="53" t="n">
        <v>2.011585</v>
      </c>
    </row>
    <row r="3122" customFormat="false" ht="15" hidden="false" customHeight="false" outlineLevel="0" collapsed="false">
      <c r="A3122" s="43" t="n">
        <v>119</v>
      </c>
      <c r="B3122" s="44" t="str">
        <f aca="false">'Model Inputs &amp; Assumptions'!$B$34</f>
        <v>Meta — Lookalike Feed Video</v>
      </c>
      <c r="C3122" s="45" t="n">
        <f aca="false">ROUND(MAX(0,'Model Inputs &amp; Assumptions'!$S$34*EXP('Model Inputs &amp; Assumptions'!$T$34*P3122-'Model Inputs &amp; Assumptions'!$T$34^2/2)),0)</f>
        <v>579620</v>
      </c>
      <c r="D3122" s="46" t="n">
        <f aca="false">MIN(1,'Model Inputs &amp; Assumptions'!$U$34*EXP('Model Inputs &amp; Assumptions'!$V$34*Q3122-'Model Inputs &amp; Assumptions'!$V$34^2/2))</f>
        <v>0.213487650717507</v>
      </c>
      <c r="E3122" s="45" t="n">
        <f aca="false">ROUND(C3122*D3122,0)</f>
        <v>123742</v>
      </c>
      <c r="F3122" s="47" t="n">
        <f aca="false">MIN(1,'Model Inputs &amp; Assumptions'!$W$34*EXP('Model Inputs &amp; Assumptions'!$X$34*R3122-'Model Inputs &amp; Assumptions'!$X$34^2/2))</f>
        <v>0.00439143647676648</v>
      </c>
      <c r="G3122" s="45" t="n">
        <f aca="false">ROUND(C3122*F3122,0)</f>
        <v>2545</v>
      </c>
      <c r="H3122" s="48" t="n">
        <f aca="false">MAX(0,(C3122*'Model Inputs &amp; Assumptions'!$N$34+E3122*'Model Inputs &amp; Assumptions'!$O$34+G3122*'Model Inputs &amp; Assumptions'!$P$34)*EXP('Model Inputs &amp; Assumptions'!$Q$34*S3122-'Model Inputs &amp; Assumptions'!$Q$34^2/2))</f>
        <v>43.6194618122334</v>
      </c>
      <c r="I3122" s="49" t="n">
        <f aca="false">IF('Model Inputs &amp; Assumptions'!$H$34="Fixed",'Model Inputs &amp; Assumptions'!$I$34*'Model Inputs &amp; Assumptions'!$K$34,IF('Model Inputs &amp; Assumptions'!$H$34="CPM",'Model Inputs &amp; Assumptions'!$I$34*'Model Inputs &amp; Assumptions'!$K$34*C3122/1000,IF('Model Inputs &amp; Assumptions'!$H$34="CPC",'Model Inputs &amp; Assumptions'!$I$34*'Model Inputs &amp; Assumptions'!$K$34*G3122,0)))</f>
        <v>4708.25</v>
      </c>
      <c r="J3122" s="50" t="n">
        <f aca="false">H3122*INDEX('Model Inputs &amp; Assumptions'!$D$40:$D$42,MATCH('Model Inputs &amp; Assumptions'!$L$34,'Model Inputs &amp; Assumptions'!$A$40:$A$42,0))*INDEX('Model Inputs &amp; Assumptions'!$H$40:$H$42,MATCH('Model Inputs &amp; Assumptions'!$L$34,'Model Inputs &amp; Assumptions'!$A$40:$A$42,0))</f>
        <v>314060.12504808</v>
      </c>
      <c r="K3122" s="49" t="n">
        <f aca="false">H3122*INDEX('Model Inputs &amp; Assumptions'!$G$40:$G$42,MATCH('Model Inputs &amp; Assumptions'!$L$34,'Model Inputs &amp; Assumptions'!$A$40:$A$42,0))*INDEX('Model Inputs &amp; Assumptions'!$H$40:$H$42,MATCH('Model Inputs &amp; Assumptions'!$L$34,'Model Inputs &amp; Assumptions'!$A$40:$A$42,0))</f>
        <v>6925.02575731017</v>
      </c>
      <c r="L3122" s="51" t="n">
        <f aca="false">IFERROR(K3122/I3122,0)</f>
        <v>1.47082796310947</v>
      </c>
      <c r="M3122" s="49" t="n">
        <f aca="false">IFERROR(I3122/H3122,0)</f>
        <v>107.939204299846</v>
      </c>
      <c r="N3122" s="52" t="str">
        <f aca="false">'Model Inputs &amp; Assumptions'!$L$34</f>
        <v>PRD-USIQ</v>
      </c>
      <c r="P3122" s="53" t="n">
        <v>0.642716</v>
      </c>
      <c r="Q3122" s="53" t="n">
        <v>-0.385627</v>
      </c>
      <c r="R3122" s="53" t="n">
        <v>-1.643906</v>
      </c>
      <c r="S3122" s="53" t="n">
        <v>-0.877737</v>
      </c>
    </row>
    <row r="3123" customFormat="false" ht="15" hidden="false" customHeight="false" outlineLevel="0" collapsed="false">
      <c r="A3123" s="43" t="n">
        <v>120</v>
      </c>
      <c r="B3123" s="44" t="str">
        <f aca="false">'Model Inputs &amp; Assumptions'!$B$34</f>
        <v>Meta — Lookalike Feed Video</v>
      </c>
      <c r="C3123" s="45" t="n">
        <f aca="false">ROUND(MAX(0,'Model Inputs &amp; Assumptions'!$S$34*EXP('Model Inputs &amp; Assumptions'!$T$34*P3123-'Model Inputs &amp; Assumptions'!$T$34^2/2)),0)</f>
        <v>466624</v>
      </c>
      <c r="D3123" s="46" t="n">
        <f aca="false">MIN(1,'Model Inputs &amp; Assumptions'!$U$34*EXP('Model Inputs &amp; Assumptions'!$V$34*Q3123-'Model Inputs &amp; Assumptions'!$V$34^2/2))</f>
        <v>0.177249614217737</v>
      </c>
      <c r="E3123" s="45" t="n">
        <f aca="false">ROUND(C3123*D3123,0)</f>
        <v>82709</v>
      </c>
      <c r="F3123" s="47" t="n">
        <f aca="false">MIN(1,'Model Inputs &amp; Assumptions'!$W$34*EXP('Model Inputs &amp; Assumptions'!$X$34*R3123-'Model Inputs &amp; Assumptions'!$X$34^2/2))</f>
        <v>0.00617628506915731</v>
      </c>
      <c r="G3123" s="45" t="n">
        <f aca="false">ROUND(C3123*F3123,0)</f>
        <v>2882</v>
      </c>
      <c r="H3123" s="48" t="n">
        <f aca="false">MAX(0,(C3123*'Model Inputs &amp; Assumptions'!$N$34+E3123*'Model Inputs &amp; Assumptions'!$O$34+G3123*'Model Inputs &amp; Assumptions'!$P$34)*EXP('Model Inputs &amp; Assumptions'!$Q$34*S3123-'Model Inputs &amp; Assumptions'!$Q$34^2/2))</f>
        <v>60.0793861231095</v>
      </c>
      <c r="I3123" s="49" t="n">
        <f aca="false">IF('Model Inputs &amp; Assumptions'!$H$34="Fixed",'Model Inputs &amp; Assumptions'!$I$34*'Model Inputs &amp; Assumptions'!$K$34,IF('Model Inputs &amp; Assumptions'!$H$34="CPM",'Model Inputs &amp; Assumptions'!$I$34*'Model Inputs &amp; Assumptions'!$K$34*C3123/1000,IF('Model Inputs &amp; Assumptions'!$H$34="CPC",'Model Inputs &amp; Assumptions'!$I$34*'Model Inputs &amp; Assumptions'!$K$34*G3123,0)))</f>
        <v>5331.7</v>
      </c>
      <c r="J3123" s="50" t="n">
        <f aca="false">H3123*INDEX('Model Inputs &amp; Assumptions'!$D$40:$D$42,MATCH('Model Inputs &amp; Assumptions'!$L$34,'Model Inputs &amp; Assumptions'!$A$40:$A$42,0))*INDEX('Model Inputs &amp; Assumptions'!$H$40:$H$42,MATCH('Model Inputs &amp; Assumptions'!$L$34,'Model Inputs &amp; Assumptions'!$A$40:$A$42,0))</f>
        <v>432571.580086389</v>
      </c>
      <c r="K3123" s="49" t="n">
        <f aca="false">H3123*INDEX('Model Inputs &amp; Assumptions'!$G$40:$G$42,MATCH('Model Inputs &amp; Assumptions'!$L$34,'Model Inputs &amp; Assumptions'!$A$40:$A$42,0))*INDEX('Model Inputs &amp; Assumptions'!$H$40:$H$42,MATCH('Model Inputs &amp; Assumptions'!$L$34,'Model Inputs &amp; Assumptions'!$A$40:$A$42,0))</f>
        <v>9538.20334090487</v>
      </c>
      <c r="L3123" s="51" t="n">
        <f aca="false">IFERROR(K3123/I3123,0)</f>
        <v>1.7889609957246</v>
      </c>
      <c r="M3123" s="49" t="n">
        <f aca="false">IFERROR(I3123/H3123,0)</f>
        <v>88.7442489687684</v>
      </c>
      <c r="N3123" s="52" t="str">
        <f aca="false">'Model Inputs &amp; Assumptions'!$L$34</f>
        <v>PRD-USIQ</v>
      </c>
      <c r="P3123" s="53" t="n">
        <v>-0.441529</v>
      </c>
      <c r="Q3123" s="53" t="n">
        <v>-1.548252</v>
      </c>
      <c r="R3123" s="53" t="n">
        <v>0.250875</v>
      </c>
      <c r="S3123" s="53" t="n">
        <v>-0.050061</v>
      </c>
    </row>
    <row r="3124" customFormat="false" ht="15" hidden="false" customHeight="false" outlineLevel="0" collapsed="false">
      <c r="A3124" s="43" t="n">
        <v>121</v>
      </c>
      <c r="B3124" s="44" t="str">
        <f aca="false">'Model Inputs &amp; Assumptions'!$B$34</f>
        <v>Meta — Lookalike Feed Video</v>
      </c>
      <c r="C3124" s="45" t="n">
        <f aca="false">ROUND(MAX(0,'Model Inputs &amp; Assumptions'!$S$34*EXP('Model Inputs &amp; Assumptions'!$T$34*P3124-'Model Inputs &amp; Assumptions'!$T$34^2/2)),0)</f>
        <v>491804</v>
      </c>
      <c r="D3124" s="46" t="n">
        <f aca="false">MIN(1,'Model Inputs &amp; Assumptions'!$U$34*EXP('Model Inputs &amp; Assumptions'!$V$34*Q3124-'Model Inputs &amp; Assumptions'!$V$34^2/2))</f>
        <v>0.182770946231406</v>
      </c>
      <c r="E3124" s="45" t="n">
        <f aca="false">ROUND(C3124*D3124,0)</f>
        <v>89887</v>
      </c>
      <c r="F3124" s="47" t="n">
        <f aca="false">MIN(1,'Model Inputs &amp; Assumptions'!$W$34*EXP('Model Inputs &amp; Assumptions'!$X$34*R3124-'Model Inputs &amp; Assumptions'!$X$34^2/2))</f>
        <v>0.00406102574894917</v>
      </c>
      <c r="G3124" s="45" t="n">
        <f aca="false">ROUND(C3124*F3124,0)</f>
        <v>1997</v>
      </c>
      <c r="H3124" s="48" t="n">
        <f aca="false">MAX(0,(C3124*'Model Inputs &amp; Assumptions'!$N$34+E3124*'Model Inputs &amp; Assumptions'!$O$34+G3124*'Model Inputs &amp; Assumptions'!$P$34)*EXP('Model Inputs &amp; Assumptions'!$Q$34*S3124-'Model Inputs &amp; Assumptions'!$Q$34^2/2))</f>
        <v>43.2466956766696</v>
      </c>
      <c r="I3124" s="49" t="n">
        <f aca="false">IF('Model Inputs &amp; Assumptions'!$H$34="Fixed",'Model Inputs &amp; Assumptions'!$I$34*'Model Inputs &amp; Assumptions'!$K$34,IF('Model Inputs &amp; Assumptions'!$H$34="CPM",'Model Inputs &amp; Assumptions'!$I$34*'Model Inputs &amp; Assumptions'!$K$34*C3124/1000,IF('Model Inputs &amp; Assumptions'!$H$34="CPC",'Model Inputs &amp; Assumptions'!$I$34*'Model Inputs &amp; Assumptions'!$K$34*G3124,0)))</f>
        <v>3694.45</v>
      </c>
      <c r="J3124" s="50" t="n">
        <f aca="false">H3124*INDEX('Model Inputs &amp; Assumptions'!$D$40:$D$42,MATCH('Model Inputs &amp; Assumptions'!$L$34,'Model Inputs &amp; Assumptions'!$A$40:$A$42,0))*INDEX('Model Inputs &amp; Assumptions'!$H$40:$H$42,MATCH('Model Inputs &amp; Assumptions'!$L$34,'Model Inputs &amp; Assumptions'!$A$40:$A$42,0))</f>
        <v>311376.208872021</v>
      </c>
      <c r="K3124" s="49" t="n">
        <f aca="false">H3124*INDEX('Model Inputs &amp; Assumptions'!$G$40:$G$42,MATCH('Model Inputs &amp; Assumptions'!$L$34,'Model Inputs &amp; Assumptions'!$A$40:$A$42,0))*INDEX('Model Inputs &amp; Assumptions'!$H$40:$H$42,MATCH('Model Inputs &amp; Assumptions'!$L$34,'Model Inputs &amp; Assumptions'!$A$40:$A$42,0))</f>
        <v>6865.84540562807</v>
      </c>
      <c r="L3124" s="51" t="n">
        <f aca="false">IFERROR(K3124/I3124,0)</f>
        <v>1.85842152570154</v>
      </c>
      <c r="M3124" s="49" t="n">
        <f aca="false">IFERROR(I3124/H3124,0)</f>
        <v>85.4273359431031</v>
      </c>
      <c r="N3124" s="52" t="str">
        <f aca="false">'Model Inputs &amp; Assumptions'!$L$34</f>
        <v>PRD-USIQ</v>
      </c>
      <c r="P3124" s="53" t="n">
        <v>-0.178744</v>
      </c>
      <c r="Q3124" s="53" t="n">
        <v>-1.356535</v>
      </c>
      <c r="R3124" s="53" t="n">
        <v>-2.078466</v>
      </c>
      <c r="S3124" s="53" t="n">
        <v>-0.108779</v>
      </c>
    </row>
    <row r="3125" customFormat="false" ht="15" hidden="false" customHeight="false" outlineLevel="0" collapsed="false">
      <c r="A3125" s="43" t="n">
        <v>122</v>
      </c>
      <c r="B3125" s="44" t="str">
        <f aca="false">'Model Inputs &amp; Assumptions'!$B$34</f>
        <v>Meta — Lookalike Feed Video</v>
      </c>
      <c r="C3125" s="45" t="n">
        <f aca="false">ROUND(MAX(0,'Model Inputs &amp; Assumptions'!$S$34*EXP('Model Inputs &amp; Assumptions'!$T$34*P3125-'Model Inputs &amp; Assumptions'!$T$34^2/2)),0)</f>
        <v>567614</v>
      </c>
      <c r="D3125" s="46" t="n">
        <f aca="false">MIN(1,'Model Inputs &amp; Assumptions'!$U$34*EXP('Model Inputs &amp; Assumptions'!$V$34*Q3125-'Model Inputs &amp; Assumptions'!$V$34^2/2))</f>
        <v>0.213025344932314</v>
      </c>
      <c r="E3125" s="45" t="n">
        <f aca="false">ROUND(C3125*D3125,0)</f>
        <v>120916</v>
      </c>
      <c r="F3125" s="47" t="n">
        <f aca="false">MIN(1,'Model Inputs &amp; Assumptions'!$W$34*EXP('Model Inputs &amp; Assumptions'!$X$34*R3125-'Model Inputs &amp; Assumptions'!$X$34^2/2))</f>
        <v>0.00474143147579857</v>
      </c>
      <c r="G3125" s="45" t="n">
        <f aca="false">ROUND(C3125*F3125,0)</f>
        <v>2691</v>
      </c>
      <c r="H3125" s="48" t="n">
        <f aca="false">MAX(0,(C3125*'Model Inputs &amp; Assumptions'!$N$34+E3125*'Model Inputs &amp; Assumptions'!$O$34+G3125*'Model Inputs &amp; Assumptions'!$P$34)*EXP('Model Inputs &amp; Assumptions'!$Q$34*S3125-'Model Inputs &amp; Assumptions'!$Q$34^2/2))</f>
        <v>79.1010440282788</v>
      </c>
      <c r="I3125" s="49" t="n">
        <f aca="false">IF('Model Inputs &amp; Assumptions'!$H$34="Fixed",'Model Inputs &amp; Assumptions'!$I$34*'Model Inputs &amp; Assumptions'!$K$34,IF('Model Inputs &amp; Assumptions'!$H$34="CPM",'Model Inputs &amp; Assumptions'!$I$34*'Model Inputs &amp; Assumptions'!$K$34*C3125/1000,IF('Model Inputs &amp; Assumptions'!$H$34="CPC",'Model Inputs &amp; Assumptions'!$I$34*'Model Inputs &amp; Assumptions'!$K$34*G3125,0)))</f>
        <v>4978.35</v>
      </c>
      <c r="J3125" s="50" t="n">
        <f aca="false">H3125*INDEX('Model Inputs &amp; Assumptions'!$D$40:$D$42,MATCH('Model Inputs &amp; Assumptions'!$L$34,'Model Inputs &amp; Assumptions'!$A$40:$A$42,0))*INDEX('Model Inputs &amp; Assumptions'!$H$40:$H$42,MATCH('Model Inputs &amp; Assumptions'!$L$34,'Model Inputs &amp; Assumptions'!$A$40:$A$42,0))</f>
        <v>569527.517003608</v>
      </c>
      <c r="K3125" s="49" t="n">
        <f aca="false">H3125*INDEX('Model Inputs &amp; Assumptions'!$G$40:$G$42,MATCH('Model Inputs &amp; Assumptions'!$L$34,'Model Inputs &amp; Assumptions'!$A$40:$A$42,0))*INDEX('Model Inputs &amp; Assumptions'!$H$40:$H$42,MATCH('Model Inputs &amp; Assumptions'!$L$34,'Model Inputs &amp; Assumptions'!$A$40:$A$42,0))</f>
        <v>12558.0817499295</v>
      </c>
      <c r="L3125" s="51" t="n">
        <f aca="false">IFERROR(K3125/I3125,0)</f>
        <v>2.52253894361175</v>
      </c>
      <c r="M3125" s="49" t="n">
        <f aca="false">IFERROR(I3125/H3125,0)</f>
        <v>62.9365902960804</v>
      </c>
      <c r="N3125" s="52" t="str">
        <f aca="false">'Model Inputs &amp; Assumptions'!$L$34</f>
        <v>PRD-USIQ</v>
      </c>
      <c r="P3125" s="53" t="n">
        <v>0.538064</v>
      </c>
      <c r="Q3125" s="53" t="n">
        <v>-0.399176</v>
      </c>
      <c r="R3125" s="53" t="n">
        <v>-1.217891</v>
      </c>
      <c r="S3125" s="53" t="n">
        <v>0.84685</v>
      </c>
    </row>
    <row r="3126" customFormat="false" ht="15" hidden="false" customHeight="false" outlineLevel="0" collapsed="false">
      <c r="A3126" s="43" t="n">
        <v>123</v>
      </c>
      <c r="B3126" s="44" t="str">
        <f aca="false">'Model Inputs &amp; Assumptions'!$B$34</f>
        <v>Meta — Lookalike Feed Video</v>
      </c>
      <c r="C3126" s="45" t="n">
        <f aca="false">ROUND(MAX(0,'Model Inputs &amp; Assumptions'!$S$34*EXP('Model Inputs &amp; Assumptions'!$T$34*P3126-'Model Inputs &amp; Assumptions'!$T$34^2/2)),0)</f>
        <v>612648</v>
      </c>
      <c r="D3126" s="46" t="n">
        <f aca="false">MIN(1,'Model Inputs &amp; Assumptions'!$U$34*EXP('Model Inputs &amp; Assumptions'!$V$34*Q3126-'Model Inputs &amp; Assumptions'!$V$34^2/2))</f>
        <v>0.235086391248859</v>
      </c>
      <c r="E3126" s="45" t="n">
        <f aca="false">ROUND(C3126*D3126,0)</f>
        <v>144025</v>
      </c>
      <c r="F3126" s="47" t="n">
        <f aca="false">MIN(1,'Model Inputs &amp; Assumptions'!$W$34*EXP('Model Inputs &amp; Assumptions'!$X$34*R3126-'Model Inputs &amp; Assumptions'!$X$34^2/2))</f>
        <v>0.00617049788547463</v>
      </c>
      <c r="G3126" s="45" t="n">
        <f aca="false">ROUND(C3126*F3126,0)</f>
        <v>3780</v>
      </c>
      <c r="H3126" s="48" t="n">
        <f aca="false">MAX(0,(C3126*'Model Inputs &amp; Assumptions'!$N$34+E3126*'Model Inputs &amp; Assumptions'!$O$34+G3126*'Model Inputs &amp; Assumptions'!$P$34)*EXP('Model Inputs &amp; Assumptions'!$Q$34*S3126-'Model Inputs &amp; Assumptions'!$Q$34^2/2))</f>
        <v>104.675921489183</v>
      </c>
      <c r="I3126" s="49" t="n">
        <f aca="false">IF('Model Inputs &amp; Assumptions'!$H$34="Fixed",'Model Inputs &amp; Assumptions'!$I$34*'Model Inputs &amp; Assumptions'!$K$34,IF('Model Inputs &amp; Assumptions'!$H$34="CPM",'Model Inputs &amp; Assumptions'!$I$34*'Model Inputs &amp; Assumptions'!$K$34*C3126/1000,IF('Model Inputs &amp; Assumptions'!$H$34="CPC",'Model Inputs &amp; Assumptions'!$I$34*'Model Inputs &amp; Assumptions'!$K$34*G3126,0)))</f>
        <v>6993</v>
      </c>
      <c r="J3126" s="50" t="n">
        <f aca="false">H3126*INDEX('Model Inputs &amp; Assumptions'!$D$40:$D$42,MATCH('Model Inputs &amp; Assumptions'!$L$34,'Model Inputs &amp; Assumptions'!$A$40:$A$42,0))*INDEX('Model Inputs &amp; Assumptions'!$H$40:$H$42,MATCH('Model Inputs &amp; Assumptions'!$L$34,'Model Inputs &amp; Assumptions'!$A$40:$A$42,0))</f>
        <v>753666.634722121</v>
      </c>
      <c r="K3126" s="49" t="n">
        <f aca="false">H3126*INDEX('Model Inputs &amp; Assumptions'!$G$40:$G$42,MATCH('Model Inputs &amp; Assumptions'!$L$34,'Model Inputs &amp; Assumptions'!$A$40:$A$42,0))*INDEX('Model Inputs &amp; Assumptions'!$H$40:$H$42,MATCH('Model Inputs &amp; Assumptions'!$L$34,'Model Inputs &amp; Assumptions'!$A$40:$A$42,0))</f>
        <v>16618.3492956228</v>
      </c>
      <c r="L3126" s="51" t="n">
        <f aca="false">IFERROR(K3126/I3126,0)</f>
        <v>2.37642632570038</v>
      </c>
      <c r="M3126" s="49" t="n">
        <f aca="false">IFERROR(I3126/H3126,0)</f>
        <v>66.806194782079</v>
      </c>
      <c r="N3126" s="52" t="str">
        <f aca="false">'Model Inputs &amp; Assumptions'!$L$34</f>
        <v>PRD-USIQ</v>
      </c>
      <c r="P3126" s="53" t="n">
        <v>0.91981</v>
      </c>
      <c r="Q3126" s="53" t="n">
        <v>0.216711</v>
      </c>
      <c r="R3126" s="53" t="n">
        <v>0.245667</v>
      </c>
      <c r="S3126" s="53" t="n">
        <v>0.733624</v>
      </c>
    </row>
    <row r="3127" customFormat="false" ht="15" hidden="false" customHeight="false" outlineLevel="0" collapsed="false">
      <c r="A3127" s="43" t="n">
        <v>124</v>
      </c>
      <c r="B3127" s="44" t="str">
        <f aca="false">'Model Inputs &amp; Assumptions'!$B$34</f>
        <v>Meta — Lookalike Feed Video</v>
      </c>
      <c r="C3127" s="45" t="n">
        <f aca="false">ROUND(MAX(0,'Model Inputs &amp; Assumptions'!$S$34*EXP('Model Inputs &amp; Assumptions'!$T$34*P3127-'Model Inputs &amp; Assumptions'!$T$34^2/2)),0)</f>
        <v>361557</v>
      </c>
      <c r="D3127" s="46" t="n">
        <f aca="false">MIN(1,'Model Inputs &amp; Assumptions'!$U$34*EXP('Model Inputs &amp; Assumptions'!$V$34*Q3127-'Model Inputs &amp; Assumptions'!$V$34^2/2))</f>
        <v>0.18071911027488</v>
      </c>
      <c r="E3127" s="45" t="n">
        <f aca="false">ROUND(C3127*D3127,0)</f>
        <v>65340</v>
      </c>
      <c r="F3127" s="47" t="n">
        <f aca="false">MIN(1,'Model Inputs &amp; Assumptions'!$W$34*EXP('Model Inputs &amp; Assumptions'!$X$34*R3127-'Model Inputs &amp; Assumptions'!$X$34^2/2))</f>
        <v>0.00623268232082046</v>
      </c>
      <c r="G3127" s="45" t="n">
        <f aca="false">ROUND(C3127*F3127,0)</f>
        <v>2253</v>
      </c>
      <c r="H3127" s="48" t="n">
        <f aca="false">MAX(0,(C3127*'Model Inputs &amp; Assumptions'!$N$34+E3127*'Model Inputs &amp; Assumptions'!$O$34+G3127*'Model Inputs &amp; Assumptions'!$P$34)*EXP('Model Inputs &amp; Assumptions'!$Q$34*S3127-'Model Inputs &amp; Assumptions'!$Q$34^2/2))</f>
        <v>28.6861633009372</v>
      </c>
      <c r="I3127" s="49" t="n">
        <f aca="false">IF('Model Inputs &amp; Assumptions'!$H$34="Fixed",'Model Inputs &amp; Assumptions'!$I$34*'Model Inputs &amp; Assumptions'!$K$34,IF('Model Inputs &amp; Assumptions'!$H$34="CPM",'Model Inputs &amp; Assumptions'!$I$34*'Model Inputs &amp; Assumptions'!$K$34*C3127/1000,IF('Model Inputs &amp; Assumptions'!$H$34="CPC",'Model Inputs &amp; Assumptions'!$I$34*'Model Inputs &amp; Assumptions'!$K$34*G3127,0)))</f>
        <v>4168.05</v>
      </c>
      <c r="J3127" s="50" t="n">
        <f aca="false">H3127*INDEX('Model Inputs &amp; Assumptions'!$D$40:$D$42,MATCH('Model Inputs &amp; Assumptions'!$L$34,'Model Inputs &amp; Assumptions'!$A$40:$A$42,0))*INDEX('Model Inputs &amp; Assumptions'!$H$40:$H$42,MATCH('Model Inputs &amp; Assumptions'!$L$34,'Model Inputs &amp; Assumptions'!$A$40:$A$42,0))</f>
        <v>206540.375766748</v>
      </c>
      <c r="K3127" s="49" t="n">
        <f aca="false">H3127*INDEX('Model Inputs &amp; Assumptions'!$G$40:$G$42,MATCH('Model Inputs &amp; Assumptions'!$L$34,'Model Inputs &amp; Assumptions'!$A$40:$A$42,0))*INDEX('Model Inputs &amp; Assumptions'!$H$40:$H$42,MATCH('Model Inputs &amp; Assumptions'!$L$34,'Model Inputs &amp; Assumptions'!$A$40:$A$42,0))</f>
        <v>4554.21528565678</v>
      </c>
      <c r="L3127" s="51" t="n">
        <f aca="false">IFERROR(K3127/I3127,0)</f>
        <v>1.0926489091198</v>
      </c>
      <c r="M3127" s="49" t="n">
        <f aca="false">IFERROR(I3127/H3127,0)</f>
        <v>145.298273466352</v>
      </c>
      <c r="N3127" s="52" t="str">
        <f aca="false">'Model Inputs &amp; Assumptions'!$L$34</f>
        <v>PRD-USIQ</v>
      </c>
      <c r="P3127" s="53" t="n">
        <v>-1.717051</v>
      </c>
      <c r="Q3127" s="53" t="n">
        <v>-1.427096</v>
      </c>
      <c r="R3127" s="53" t="n">
        <v>0.301374</v>
      </c>
      <c r="S3127" s="53" t="n">
        <v>-1.594174</v>
      </c>
    </row>
    <row r="3128" customFormat="false" ht="15" hidden="false" customHeight="false" outlineLevel="0" collapsed="false">
      <c r="A3128" s="43" t="n">
        <v>125</v>
      </c>
      <c r="B3128" s="44" t="str">
        <f aca="false">'Model Inputs &amp; Assumptions'!$B$34</f>
        <v>Meta — Lookalike Feed Video</v>
      </c>
      <c r="C3128" s="45" t="n">
        <f aca="false">ROUND(MAX(0,'Model Inputs &amp; Assumptions'!$S$34*EXP('Model Inputs &amp; Assumptions'!$T$34*P3128-'Model Inputs &amp; Assumptions'!$T$34^2/2)),0)</f>
        <v>811402</v>
      </c>
      <c r="D3128" s="46" t="n">
        <f aca="false">MIN(1,'Model Inputs &amp; Assumptions'!$U$34*EXP('Model Inputs &amp; Assumptions'!$V$34*Q3128-'Model Inputs &amp; Assumptions'!$V$34^2/2))</f>
        <v>0.297551639752679</v>
      </c>
      <c r="E3128" s="45" t="n">
        <f aca="false">ROUND(C3128*D3128,0)</f>
        <v>241434</v>
      </c>
      <c r="F3128" s="47" t="n">
        <f aca="false">MIN(1,'Model Inputs &amp; Assumptions'!$W$34*EXP('Model Inputs &amp; Assumptions'!$X$34*R3128-'Model Inputs &amp; Assumptions'!$X$34^2/2))</f>
        <v>0.00609611491582638</v>
      </c>
      <c r="G3128" s="45" t="n">
        <f aca="false">ROUND(C3128*F3128,0)</f>
        <v>4946</v>
      </c>
      <c r="H3128" s="48" t="n">
        <f aca="false">MAX(0,(C3128*'Model Inputs &amp; Assumptions'!$N$34+E3128*'Model Inputs &amp; Assumptions'!$O$34+G3128*'Model Inputs &amp; Assumptions'!$P$34)*EXP('Model Inputs &amp; Assumptions'!$Q$34*S3128-'Model Inputs &amp; Assumptions'!$Q$34^2/2))</f>
        <v>130.648835821853</v>
      </c>
      <c r="I3128" s="49" t="n">
        <f aca="false">IF('Model Inputs &amp; Assumptions'!$H$34="Fixed",'Model Inputs &amp; Assumptions'!$I$34*'Model Inputs &amp; Assumptions'!$K$34,IF('Model Inputs &amp; Assumptions'!$H$34="CPM",'Model Inputs &amp; Assumptions'!$I$34*'Model Inputs &amp; Assumptions'!$K$34*C3128/1000,IF('Model Inputs &amp; Assumptions'!$H$34="CPC",'Model Inputs &amp; Assumptions'!$I$34*'Model Inputs &amp; Assumptions'!$K$34*G3128,0)))</f>
        <v>9150.1</v>
      </c>
      <c r="J3128" s="50" t="n">
        <f aca="false">H3128*INDEX('Model Inputs &amp; Assumptions'!$D$40:$D$42,MATCH('Model Inputs &amp; Assumptions'!$L$34,'Model Inputs &amp; Assumptions'!$A$40:$A$42,0))*INDEX('Model Inputs &amp; Assumptions'!$H$40:$H$42,MATCH('Model Inputs &amp; Assumptions'!$L$34,'Model Inputs &amp; Assumptions'!$A$40:$A$42,0))</f>
        <v>940671.617917343</v>
      </c>
      <c r="K3128" s="49" t="n">
        <f aca="false">H3128*INDEX('Model Inputs &amp; Assumptions'!$G$40:$G$42,MATCH('Model Inputs &amp; Assumptions'!$L$34,'Model Inputs &amp; Assumptions'!$A$40:$A$42,0))*INDEX('Model Inputs &amp; Assumptions'!$H$40:$H$42,MATCH('Model Inputs &amp; Assumptions'!$L$34,'Model Inputs &amp; Assumptions'!$A$40:$A$42,0))</f>
        <v>20741.8091750774</v>
      </c>
      <c r="L3128" s="51" t="n">
        <f aca="false">IFERROR(K3128/I3128,0)</f>
        <v>2.26683961651538</v>
      </c>
      <c r="M3128" s="49" t="n">
        <f aca="false">IFERROR(I3128/H3128,0)</f>
        <v>70.0358326382385</v>
      </c>
      <c r="N3128" s="52" t="str">
        <f aca="false">'Model Inputs &amp; Assumptions'!$L$34</f>
        <v>PRD-USIQ</v>
      </c>
      <c r="P3128" s="53" t="n">
        <v>2.324672</v>
      </c>
      <c r="Q3128" s="53" t="n">
        <v>1.689428</v>
      </c>
      <c r="R3128" s="53" t="n">
        <v>0.17829</v>
      </c>
      <c r="S3128" s="53" t="n">
        <v>0.472004</v>
      </c>
    </row>
    <row r="3129" customFormat="false" ht="15" hidden="false" customHeight="false" outlineLevel="0" collapsed="false">
      <c r="A3129" s="43" t="n">
        <v>126</v>
      </c>
      <c r="B3129" s="44" t="str">
        <f aca="false">'Model Inputs &amp; Assumptions'!$B$34</f>
        <v>Meta — Lookalike Feed Video</v>
      </c>
      <c r="C3129" s="45" t="n">
        <f aca="false">ROUND(MAX(0,'Model Inputs &amp; Assumptions'!$S$34*EXP('Model Inputs &amp; Assumptions'!$T$34*P3129-'Model Inputs &amp; Assumptions'!$T$34^2/2)),0)</f>
        <v>536782</v>
      </c>
      <c r="D3129" s="46" t="n">
        <f aca="false">MIN(1,'Model Inputs &amp; Assumptions'!$U$34*EXP('Model Inputs &amp; Assumptions'!$V$34*Q3129-'Model Inputs &amp; Assumptions'!$V$34^2/2))</f>
        <v>0.177752097505008</v>
      </c>
      <c r="E3129" s="45" t="n">
        <f aca="false">ROUND(C3129*D3129,0)</f>
        <v>95414</v>
      </c>
      <c r="F3129" s="47" t="n">
        <f aca="false">MIN(1,'Model Inputs &amp; Assumptions'!$W$34*EXP('Model Inputs &amp; Assumptions'!$X$34*R3129-'Model Inputs &amp; Assumptions'!$X$34^2/2))</f>
        <v>0.00638885105886264</v>
      </c>
      <c r="G3129" s="45" t="n">
        <f aca="false">ROUND(C3129*F3129,0)</f>
        <v>3429</v>
      </c>
      <c r="H3129" s="48" t="n">
        <f aca="false">MAX(0,(C3129*'Model Inputs &amp; Assumptions'!$N$34+E3129*'Model Inputs &amp; Assumptions'!$O$34+G3129*'Model Inputs &amp; Assumptions'!$P$34)*EXP('Model Inputs &amp; Assumptions'!$Q$34*S3129-'Model Inputs &amp; Assumptions'!$Q$34^2/2))</f>
        <v>55.1020756665867</v>
      </c>
      <c r="I3129" s="49" t="n">
        <f aca="false">IF('Model Inputs &amp; Assumptions'!$H$34="Fixed",'Model Inputs &amp; Assumptions'!$I$34*'Model Inputs &amp; Assumptions'!$K$34,IF('Model Inputs &amp; Assumptions'!$H$34="CPM",'Model Inputs &amp; Assumptions'!$I$34*'Model Inputs &amp; Assumptions'!$K$34*C3129/1000,IF('Model Inputs &amp; Assumptions'!$H$34="CPC",'Model Inputs &amp; Assumptions'!$I$34*'Model Inputs &amp; Assumptions'!$K$34*G3129,0)))</f>
        <v>6343.65</v>
      </c>
      <c r="J3129" s="50" t="n">
        <f aca="false">H3129*INDEX('Model Inputs &amp; Assumptions'!$D$40:$D$42,MATCH('Model Inputs &amp; Assumptions'!$L$34,'Model Inputs &amp; Assumptions'!$A$40:$A$42,0))*INDEX('Model Inputs &amp; Assumptions'!$H$40:$H$42,MATCH('Model Inputs &amp; Assumptions'!$L$34,'Model Inputs &amp; Assumptions'!$A$40:$A$42,0))</f>
        <v>396734.944799424</v>
      </c>
      <c r="K3129" s="49" t="n">
        <f aca="false">H3129*INDEX('Model Inputs &amp; Assumptions'!$G$40:$G$42,MATCH('Model Inputs &amp; Assumptions'!$L$34,'Model Inputs &amp; Assumptions'!$A$40:$A$42,0))*INDEX('Model Inputs &amp; Assumptions'!$H$40:$H$42,MATCH('Model Inputs &amp; Assumptions'!$L$34,'Model Inputs &amp; Assumptions'!$A$40:$A$42,0))</f>
        <v>8748.0055328273</v>
      </c>
      <c r="L3129" s="51" t="n">
        <f aca="false">IFERROR(K3129/I3129,0)</f>
        <v>1.37901768427125</v>
      </c>
      <c r="M3129" s="49" t="n">
        <f aca="false">IFERROR(I3129/H3129,0)</f>
        <v>115.125427186888</v>
      </c>
      <c r="N3129" s="52" t="str">
        <f aca="false">'Model Inputs &amp; Assumptions'!$L$34</f>
        <v>PRD-USIQ</v>
      </c>
      <c r="P3129" s="53" t="n">
        <v>0.258815</v>
      </c>
      <c r="Q3129" s="53" t="n">
        <v>-1.530559</v>
      </c>
      <c r="R3129" s="53" t="n">
        <v>0.438861</v>
      </c>
      <c r="S3129" s="53" t="n">
        <v>-0.853582</v>
      </c>
    </row>
    <row r="3130" customFormat="false" ht="15" hidden="false" customHeight="false" outlineLevel="0" collapsed="false">
      <c r="A3130" s="43" t="n">
        <v>127</v>
      </c>
      <c r="B3130" s="44" t="str">
        <f aca="false">'Model Inputs &amp; Assumptions'!$B$34</f>
        <v>Meta — Lookalike Feed Video</v>
      </c>
      <c r="C3130" s="45" t="n">
        <f aca="false">ROUND(MAX(0,'Model Inputs &amp; Assumptions'!$S$34*EXP('Model Inputs &amp; Assumptions'!$T$34*P3130-'Model Inputs &amp; Assumptions'!$T$34^2/2)),0)</f>
        <v>567519</v>
      </c>
      <c r="D3130" s="46" t="n">
        <f aca="false">MIN(1,'Model Inputs &amp; Assumptions'!$U$34*EXP('Model Inputs &amp; Assumptions'!$V$34*Q3130-'Model Inputs &amp; Assumptions'!$V$34^2/2))</f>
        <v>0.168890785930323</v>
      </c>
      <c r="E3130" s="45" t="n">
        <f aca="false">ROUND(C3130*D3130,0)</f>
        <v>95849</v>
      </c>
      <c r="F3130" s="47" t="n">
        <f aca="false">MIN(1,'Model Inputs &amp; Assumptions'!$W$34*EXP('Model Inputs &amp; Assumptions'!$X$34*R3130-'Model Inputs &amp; Assumptions'!$X$34^2/2))</f>
        <v>0.00618053334316009</v>
      </c>
      <c r="G3130" s="45" t="n">
        <f aca="false">ROUND(C3130*F3130,0)</f>
        <v>3508</v>
      </c>
      <c r="H3130" s="48" t="n">
        <f aca="false">MAX(0,(C3130*'Model Inputs &amp; Assumptions'!$N$34+E3130*'Model Inputs &amp; Assumptions'!$O$34+G3130*'Model Inputs &amp; Assumptions'!$P$34)*EXP('Model Inputs &amp; Assumptions'!$Q$34*S3130-'Model Inputs &amp; Assumptions'!$Q$34^2/2))</f>
        <v>68.7228229398516</v>
      </c>
      <c r="I3130" s="49" t="n">
        <f aca="false">IF('Model Inputs &amp; Assumptions'!$H$34="Fixed",'Model Inputs &amp; Assumptions'!$I$34*'Model Inputs &amp; Assumptions'!$K$34,IF('Model Inputs &amp; Assumptions'!$H$34="CPM",'Model Inputs &amp; Assumptions'!$I$34*'Model Inputs &amp; Assumptions'!$K$34*C3130/1000,IF('Model Inputs &amp; Assumptions'!$H$34="CPC",'Model Inputs &amp; Assumptions'!$I$34*'Model Inputs &amp; Assumptions'!$K$34*G3130,0)))</f>
        <v>6489.8</v>
      </c>
      <c r="J3130" s="50" t="n">
        <f aca="false">H3130*INDEX('Model Inputs &amp; Assumptions'!$D$40:$D$42,MATCH('Model Inputs &amp; Assumptions'!$L$34,'Model Inputs &amp; Assumptions'!$A$40:$A$42,0))*INDEX('Model Inputs &amp; Assumptions'!$H$40:$H$42,MATCH('Model Inputs &amp; Assumptions'!$L$34,'Model Inputs &amp; Assumptions'!$A$40:$A$42,0))</f>
        <v>494804.325166932</v>
      </c>
      <c r="K3130" s="49" t="n">
        <f aca="false">H3130*INDEX('Model Inputs &amp; Assumptions'!$G$40:$G$42,MATCH('Model Inputs &amp; Assumptions'!$L$34,'Model Inputs &amp; Assumptions'!$A$40:$A$42,0))*INDEX('Model Inputs &amp; Assumptions'!$H$40:$H$42,MATCH('Model Inputs &amp; Assumptions'!$L$34,'Model Inputs &amp; Assumptions'!$A$40:$A$42,0))</f>
        <v>10910.4353699308</v>
      </c>
      <c r="L3130" s="51" t="n">
        <f aca="false">IFERROR(K3130/I3130,0)</f>
        <v>1.68116665689711</v>
      </c>
      <c r="M3130" s="49" t="n">
        <f aca="false">IFERROR(I3130/H3130,0)</f>
        <v>94.434421090066</v>
      </c>
      <c r="N3130" s="52" t="str">
        <f aca="false">'Model Inputs &amp; Assumptions'!$L$34</f>
        <v>PRD-USIQ</v>
      </c>
      <c r="P3130" s="53" t="n">
        <v>0.537223</v>
      </c>
      <c r="Q3130" s="53" t="n">
        <v>-1.850169</v>
      </c>
      <c r="R3130" s="53" t="n">
        <v>0.254695</v>
      </c>
      <c r="S3130" s="53" t="n">
        <v>-0.228809</v>
      </c>
    </row>
    <row r="3131" customFormat="false" ht="15" hidden="false" customHeight="false" outlineLevel="0" collapsed="false">
      <c r="A3131" s="43" t="n">
        <v>128</v>
      </c>
      <c r="B3131" s="44" t="str">
        <f aca="false">'Model Inputs &amp; Assumptions'!$B$34</f>
        <v>Meta — Lookalike Feed Video</v>
      </c>
      <c r="C3131" s="45" t="n">
        <f aca="false">ROUND(MAX(0,'Model Inputs &amp; Assumptions'!$S$34*EXP('Model Inputs &amp; Assumptions'!$T$34*P3131-'Model Inputs &amp; Assumptions'!$T$34^2/2)),0)</f>
        <v>492390</v>
      </c>
      <c r="D3131" s="46" t="n">
        <f aca="false">MIN(1,'Model Inputs &amp; Assumptions'!$U$34*EXP('Model Inputs &amp; Assumptions'!$V$34*Q3131-'Model Inputs &amp; Assumptions'!$V$34^2/2))</f>
        <v>0.293060991339641</v>
      </c>
      <c r="E3131" s="45" t="n">
        <f aca="false">ROUND(C3131*D3131,0)</f>
        <v>144300</v>
      </c>
      <c r="F3131" s="47" t="n">
        <f aca="false">MIN(1,'Model Inputs &amp; Assumptions'!$W$34*EXP('Model Inputs &amp; Assumptions'!$X$34*R3131-'Model Inputs &amp; Assumptions'!$X$34^2/2))</f>
        <v>0.00521586190616097</v>
      </c>
      <c r="G3131" s="45" t="n">
        <f aca="false">ROUND(C3131*F3131,0)</f>
        <v>2568</v>
      </c>
      <c r="H3131" s="48" t="n">
        <f aca="false">MAX(0,(C3131*'Model Inputs &amp; Assumptions'!$N$34+E3131*'Model Inputs &amp; Assumptions'!$O$34+G3131*'Model Inputs &amp; Assumptions'!$P$34)*EXP('Model Inputs &amp; Assumptions'!$Q$34*S3131-'Model Inputs &amp; Assumptions'!$Q$34^2/2))</f>
        <v>62.1996040947818</v>
      </c>
      <c r="I3131" s="49" t="n">
        <f aca="false">IF('Model Inputs &amp; Assumptions'!$H$34="Fixed",'Model Inputs &amp; Assumptions'!$I$34*'Model Inputs &amp; Assumptions'!$K$34,IF('Model Inputs &amp; Assumptions'!$H$34="CPM",'Model Inputs &amp; Assumptions'!$I$34*'Model Inputs &amp; Assumptions'!$K$34*C3131/1000,IF('Model Inputs &amp; Assumptions'!$H$34="CPC",'Model Inputs &amp; Assumptions'!$I$34*'Model Inputs &amp; Assumptions'!$K$34*G3131,0)))</f>
        <v>4750.8</v>
      </c>
      <c r="J3131" s="50" t="n">
        <f aca="false">H3131*INDEX('Model Inputs &amp; Assumptions'!$D$40:$D$42,MATCH('Model Inputs &amp; Assumptions'!$L$34,'Model Inputs &amp; Assumptions'!$A$40:$A$42,0))*INDEX('Model Inputs &amp; Assumptions'!$H$40:$H$42,MATCH('Model Inputs &amp; Assumptions'!$L$34,'Model Inputs &amp; Assumptions'!$A$40:$A$42,0))</f>
        <v>447837.149482429</v>
      </c>
      <c r="K3131" s="49" t="n">
        <f aca="false">H3131*INDEX('Model Inputs &amp; Assumptions'!$G$40:$G$42,MATCH('Model Inputs &amp; Assumptions'!$L$34,'Model Inputs &amp; Assumptions'!$A$40:$A$42,0))*INDEX('Model Inputs &amp; Assumptions'!$H$40:$H$42,MATCH('Model Inputs &amp; Assumptions'!$L$34,'Model Inputs &amp; Assumptions'!$A$40:$A$42,0))</f>
        <v>9874.80914608756</v>
      </c>
      <c r="L3131" s="51" t="n">
        <f aca="false">IFERROR(K3131/I3131,0)</f>
        <v>2.0785571158726</v>
      </c>
      <c r="M3131" s="49" t="n">
        <f aca="false">IFERROR(I3131/H3131,0)</f>
        <v>76.3799073826993</v>
      </c>
      <c r="N3131" s="52" t="str">
        <f aca="false">'Model Inputs &amp; Assumptions'!$L$34</f>
        <v>PRD-USIQ</v>
      </c>
      <c r="P3131" s="53" t="n">
        <v>-0.172784</v>
      </c>
      <c r="Q3131" s="53" t="n">
        <v>1.594384</v>
      </c>
      <c r="R3131" s="53" t="n">
        <v>-0.688084</v>
      </c>
      <c r="S3131" s="53" t="n">
        <v>0.124809</v>
      </c>
    </row>
    <row r="3132" customFormat="false" ht="15" hidden="false" customHeight="false" outlineLevel="0" collapsed="false">
      <c r="A3132" s="43" t="n">
        <v>129</v>
      </c>
      <c r="B3132" s="44" t="str">
        <f aca="false">'Model Inputs &amp; Assumptions'!$B$34</f>
        <v>Meta — Lookalike Feed Video</v>
      </c>
      <c r="C3132" s="45" t="n">
        <f aca="false">ROUND(MAX(0,'Model Inputs &amp; Assumptions'!$S$34*EXP('Model Inputs &amp; Assumptions'!$T$34*P3132-'Model Inputs &amp; Assumptions'!$T$34^2/2)),0)</f>
        <v>661304</v>
      </c>
      <c r="D3132" s="46" t="n">
        <f aca="false">MIN(1,'Model Inputs &amp; Assumptions'!$U$34*EXP('Model Inputs &amp; Assumptions'!$V$34*Q3132-'Model Inputs &amp; Assumptions'!$V$34^2/2))</f>
        <v>0.228461080302484</v>
      </c>
      <c r="E3132" s="45" t="n">
        <f aca="false">ROUND(C3132*D3132,0)</f>
        <v>151082</v>
      </c>
      <c r="F3132" s="47" t="n">
        <f aca="false">MIN(1,'Model Inputs &amp; Assumptions'!$W$34*EXP('Model Inputs &amp; Assumptions'!$X$34*R3132-'Model Inputs &amp; Assumptions'!$X$34^2/2))</f>
        <v>0.00579920552213729</v>
      </c>
      <c r="G3132" s="45" t="n">
        <f aca="false">ROUND(C3132*F3132,0)</f>
        <v>3835</v>
      </c>
      <c r="H3132" s="48" t="n">
        <f aca="false">MAX(0,(C3132*'Model Inputs &amp; Assumptions'!$N$34+E3132*'Model Inputs &amp; Assumptions'!$O$34+G3132*'Model Inputs &amp; Assumptions'!$P$34)*EXP('Model Inputs &amp; Assumptions'!$Q$34*S3132-'Model Inputs &amp; Assumptions'!$Q$34^2/2))</f>
        <v>103.437487755134</v>
      </c>
      <c r="I3132" s="49" t="n">
        <f aca="false">IF('Model Inputs &amp; Assumptions'!$H$34="Fixed",'Model Inputs &amp; Assumptions'!$I$34*'Model Inputs &amp; Assumptions'!$K$34,IF('Model Inputs &amp; Assumptions'!$H$34="CPM",'Model Inputs &amp; Assumptions'!$I$34*'Model Inputs &amp; Assumptions'!$K$34*C3132/1000,IF('Model Inputs &amp; Assumptions'!$H$34="CPC",'Model Inputs &amp; Assumptions'!$I$34*'Model Inputs &amp; Assumptions'!$K$34*G3132,0)))</f>
        <v>7094.75</v>
      </c>
      <c r="J3132" s="50" t="n">
        <f aca="false">H3132*INDEX('Model Inputs &amp; Assumptions'!$D$40:$D$42,MATCH('Model Inputs &amp; Assumptions'!$L$34,'Model Inputs &amp; Assumptions'!$A$40:$A$42,0))*INDEX('Model Inputs &amp; Assumptions'!$H$40:$H$42,MATCH('Model Inputs &amp; Assumptions'!$L$34,'Model Inputs &amp; Assumptions'!$A$40:$A$42,0))</f>
        <v>744749.911836962</v>
      </c>
      <c r="K3132" s="49" t="n">
        <f aca="false">H3132*INDEX('Model Inputs &amp; Assumptions'!$G$40:$G$42,MATCH('Model Inputs &amp; Assumptions'!$L$34,'Model Inputs &amp; Assumptions'!$A$40:$A$42,0))*INDEX('Model Inputs &amp; Assumptions'!$H$40:$H$42,MATCH('Model Inputs &amp; Assumptions'!$L$34,'Model Inputs &amp; Assumptions'!$A$40:$A$42,0))</f>
        <v>16421.735556005</v>
      </c>
      <c r="L3132" s="51" t="n">
        <f aca="false">IFERROR(K3132/I3132,0)</f>
        <v>2.31463202452588</v>
      </c>
      <c r="M3132" s="49" t="n">
        <f aca="false">IFERROR(I3132/H3132,0)</f>
        <v>68.5897362162867</v>
      </c>
      <c r="N3132" s="52" t="str">
        <f aca="false">'Model Inputs &amp; Assumptions'!$L$34</f>
        <v>PRD-USIQ</v>
      </c>
      <c r="P3132" s="53" t="n">
        <v>1.301926</v>
      </c>
      <c r="Q3132" s="53" t="n">
        <v>0.038041</v>
      </c>
      <c r="R3132" s="53" t="n">
        <v>-0.099103</v>
      </c>
      <c r="S3132" s="53" t="n">
        <v>0.637288</v>
      </c>
    </row>
    <row r="3133" customFormat="false" ht="15" hidden="false" customHeight="false" outlineLevel="0" collapsed="false">
      <c r="A3133" s="43" t="n">
        <v>130</v>
      </c>
      <c r="B3133" s="44" t="str">
        <f aca="false">'Model Inputs &amp; Assumptions'!$B$34</f>
        <v>Meta — Lookalike Feed Video</v>
      </c>
      <c r="C3133" s="45" t="n">
        <f aca="false">ROUND(MAX(0,'Model Inputs &amp; Assumptions'!$S$34*EXP('Model Inputs &amp; Assumptions'!$T$34*P3133-'Model Inputs &amp; Assumptions'!$T$34^2/2)),0)</f>
        <v>528926</v>
      </c>
      <c r="D3133" s="46" t="n">
        <f aca="false">MIN(1,'Model Inputs &amp; Assumptions'!$U$34*EXP('Model Inputs &amp; Assumptions'!$V$34*Q3133-'Model Inputs &amp; Assumptions'!$V$34^2/2))</f>
        <v>0.264751536730395</v>
      </c>
      <c r="E3133" s="45" t="n">
        <f aca="false">ROUND(C3133*D3133,0)</f>
        <v>140034</v>
      </c>
      <c r="F3133" s="47" t="n">
        <f aca="false">MIN(1,'Model Inputs &amp; Assumptions'!$W$34*EXP('Model Inputs &amp; Assumptions'!$X$34*R3133-'Model Inputs &amp; Assumptions'!$X$34^2/2))</f>
        <v>0.00611331848447947</v>
      </c>
      <c r="G3133" s="45" t="n">
        <f aca="false">ROUND(C3133*F3133,0)</f>
        <v>3233</v>
      </c>
      <c r="H3133" s="48" t="n">
        <f aca="false">MAX(0,(C3133*'Model Inputs &amp; Assumptions'!$N$34+E3133*'Model Inputs &amp; Assumptions'!$O$34+G3133*'Model Inputs &amp; Assumptions'!$P$34)*EXP('Model Inputs &amp; Assumptions'!$Q$34*S3133-'Model Inputs &amp; Assumptions'!$Q$34^2/2))</f>
        <v>137.275436257397</v>
      </c>
      <c r="I3133" s="49" t="n">
        <f aca="false">IF('Model Inputs &amp; Assumptions'!$H$34="Fixed",'Model Inputs &amp; Assumptions'!$I$34*'Model Inputs &amp; Assumptions'!$K$34,IF('Model Inputs &amp; Assumptions'!$H$34="CPM",'Model Inputs &amp; Assumptions'!$I$34*'Model Inputs &amp; Assumptions'!$K$34*C3133/1000,IF('Model Inputs &amp; Assumptions'!$H$34="CPC",'Model Inputs &amp; Assumptions'!$I$34*'Model Inputs &amp; Assumptions'!$K$34*G3133,0)))</f>
        <v>5981.05</v>
      </c>
      <c r="J3133" s="50" t="n">
        <f aca="false">H3133*INDEX('Model Inputs &amp; Assumptions'!$D$40:$D$42,MATCH('Model Inputs &amp; Assumptions'!$L$34,'Model Inputs &amp; Assumptions'!$A$40:$A$42,0))*INDEX('Model Inputs &amp; Assumptions'!$H$40:$H$42,MATCH('Model Inputs &amp; Assumptions'!$L$34,'Model Inputs &amp; Assumptions'!$A$40:$A$42,0))</f>
        <v>988383.141053261</v>
      </c>
      <c r="K3133" s="49" t="n">
        <f aca="false">H3133*INDEX('Model Inputs &amp; Assumptions'!$G$40:$G$42,MATCH('Model Inputs &amp; Assumptions'!$L$34,'Model Inputs &amp; Assumptions'!$A$40:$A$42,0))*INDEX('Model Inputs &amp; Assumptions'!$H$40:$H$42,MATCH('Model Inputs &amp; Assumptions'!$L$34,'Model Inputs &amp; Assumptions'!$A$40:$A$42,0))</f>
        <v>21793.8482602244</v>
      </c>
      <c r="L3133" s="51" t="n">
        <f aca="false">IFERROR(K3133/I3133,0)</f>
        <v>3.64381643026298</v>
      </c>
      <c r="M3133" s="49" t="n">
        <f aca="false">IFERROR(I3133/H3133,0)</f>
        <v>43.5697030952083</v>
      </c>
      <c r="N3133" s="52" t="str">
        <f aca="false">'Model Inputs &amp; Assumptions'!$L$34</f>
        <v>PRD-USIQ</v>
      </c>
      <c r="P3133" s="53" t="n">
        <v>0.185095</v>
      </c>
      <c r="Q3133" s="53" t="n">
        <v>0.959453</v>
      </c>
      <c r="R3133" s="53" t="n">
        <v>0.193946</v>
      </c>
      <c r="S3133" s="53" t="n">
        <v>2.013325</v>
      </c>
    </row>
    <row r="3134" customFormat="false" ht="15" hidden="false" customHeight="false" outlineLevel="0" collapsed="false">
      <c r="A3134" s="43" t="n">
        <v>131</v>
      </c>
      <c r="B3134" s="44" t="str">
        <f aca="false">'Model Inputs &amp; Assumptions'!$B$34</f>
        <v>Meta — Lookalike Feed Video</v>
      </c>
      <c r="C3134" s="45" t="n">
        <f aca="false">ROUND(MAX(0,'Model Inputs &amp; Assumptions'!$S$34*EXP('Model Inputs &amp; Assumptions'!$T$34*P3134-'Model Inputs &amp; Assumptions'!$T$34^2/2)),0)</f>
        <v>430313</v>
      </c>
      <c r="D3134" s="46" t="n">
        <f aca="false">MIN(1,'Model Inputs &amp; Assumptions'!$U$34*EXP('Model Inputs &amp; Assumptions'!$V$34*Q3134-'Model Inputs &amp; Assumptions'!$V$34^2/2))</f>
        <v>0.220502049344526</v>
      </c>
      <c r="E3134" s="45" t="n">
        <f aca="false">ROUND(C3134*D3134,0)</f>
        <v>94885</v>
      </c>
      <c r="F3134" s="47" t="n">
        <f aca="false">MIN(1,'Model Inputs &amp; Assumptions'!$W$34*EXP('Model Inputs &amp; Assumptions'!$X$34*R3134-'Model Inputs &amp; Assumptions'!$X$34^2/2))</f>
        <v>0.00565604593049117</v>
      </c>
      <c r="G3134" s="45" t="n">
        <f aca="false">ROUND(C3134*F3134,0)</f>
        <v>2434</v>
      </c>
      <c r="H3134" s="48" t="n">
        <f aca="false">MAX(0,(C3134*'Model Inputs &amp; Assumptions'!$N$34+E3134*'Model Inputs &amp; Assumptions'!$O$34+G3134*'Model Inputs &amp; Assumptions'!$P$34)*EXP('Model Inputs &amp; Assumptions'!$Q$34*S3134-'Model Inputs &amp; Assumptions'!$Q$34^2/2))</f>
        <v>32.9624815025033</v>
      </c>
      <c r="I3134" s="49" t="n">
        <f aca="false">IF('Model Inputs &amp; Assumptions'!$H$34="Fixed",'Model Inputs &amp; Assumptions'!$I$34*'Model Inputs &amp; Assumptions'!$K$34,IF('Model Inputs &amp; Assumptions'!$H$34="CPM",'Model Inputs &amp; Assumptions'!$I$34*'Model Inputs &amp; Assumptions'!$K$34*C3134/1000,IF('Model Inputs &amp; Assumptions'!$H$34="CPC",'Model Inputs &amp; Assumptions'!$I$34*'Model Inputs &amp; Assumptions'!$K$34*G3134,0)))</f>
        <v>4502.9</v>
      </c>
      <c r="J3134" s="50" t="n">
        <f aca="false">H3134*INDEX('Model Inputs &amp; Assumptions'!$D$40:$D$42,MATCH('Model Inputs &amp; Assumptions'!$L$34,'Model Inputs &amp; Assumptions'!$A$40:$A$42,0))*INDEX('Model Inputs &amp; Assumptions'!$H$40:$H$42,MATCH('Model Inputs &amp; Assumptions'!$L$34,'Model Inputs &amp; Assumptions'!$A$40:$A$42,0))</f>
        <v>237329.866818024</v>
      </c>
      <c r="K3134" s="49" t="n">
        <f aca="false">H3134*INDEX('Model Inputs &amp; Assumptions'!$G$40:$G$42,MATCH('Model Inputs &amp; Assumptions'!$L$34,'Model Inputs &amp; Assumptions'!$A$40:$A$42,0))*INDEX('Model Inputs &amp; Assumptions'!$H$40:$H$42,MATCH('Model Inputs &amp; Assumptions'!$L$34,'Model Inputs &amp; Assumptions'!$A$40:$A$42,0))</f>
        <v>5233.12356333743</v>
      </c>
      <c r="L3134" s="51" t="n">
        <f aca="false">IFERROR(K3134/I3134,0)</f>
        <v>1.16216739508704</v>
      </c>
      <c r="M3134" s="49" t="n">
        <f aca="false">IFERROR(I3134/H3134,0)</f>
        <v>136.60682675417</v>
      </c>
      <c r="N3134" s="52" t="str">
        <f aca="false">'Model Inputs &amp; Assumptions'!$L$34</f>
        <v>PRD-USIQ</v>
      </c>
      <c r="P3134" s="53" t="n">
        <v>-0.84658</v>
      </c>
      <c r="Q3134" s="53" t="n">
        <v>-0.183577</v>
      </c>
      <c r="R3134" s="53" t="n">
        <v>-0.237969</v>
      </c>
      <c r="S3134" s="53" t="n">
        <v>-1.511268</v>
      </c>
    </row>
    <row r="3135" customFormat="false" ht="15" hidden="false" customHeight="false" outlineLevel="0" collapsed="false">
      <c r="A3135" s="43" t="n">
        <v>132</v>
      </c>
      <c r="B3135" s="44" t="str">
        <f aca="false">'Model Inputs &amp; Assumptions'!$B$34</f>
        <v>Meta — Lookalike Feed Video</v>
      </c>
      <c r="C3135" s="45" t="n">
        <f aca="false">ROUND(MAX(0,'Model Inputs &amp; Assumptions'!$S$34*EXP('Model Inputs &amp; Assumptions'!$T$34*P3135-'Model Inputs &amp; Assumptions'!$T$34^2/2)),0)</f>
        <v>596570</v>
      </c>
      <c r="D3135" s="46" t="n">
        <f aca="false">MIN(1,'Model Inputs &amp; Assumptions'!$U$34*EXP('Model Inputs &amp; Assumptions'!$V$34*Q3135-'Model Inputs &amp; Assumptions'!$V$34^2/2))</f>
        <v>0.213778123036385</v>
      </c>
      <c r="E3135" s="45" t="n">
        <f aca="false">ROUND(C3135*D3135,0)</f>
        <v>127534</v>
      </c>
      <c r="F3135" s="47" t="n">
        <f aca="false">MIN(1,'Model Inputs &amp; Assumptions'!$W$34*EXP('Model Inputs &amp; Assumptions'!$X$34*R3135-'Model Inputs &amp; Assumptions'!$X$34^2/2))</f>
        <v>0.00568664764953336</v>
      </c>
      <c r="G3135" s="45" t="n">
        <f aca="false">ROUND(C3135*F3135,0)</f>
        <v>3392</v>
      </c>
      <c r="H3135" s="48" t="n">
        <f aca="false">MAX(0,(C3135*'Model Inputs &amp; Assumptions'!$N$34+E3135*'Model Inputs &amp; Assumptions'!$O$34+G3135*'Model Inputs &amp; Assumptions'!$P$34)*EXP('Model Inputs &amp; Assumptions'!$Q$34*S3135-'Model Inputs &amp; Assumptions'!$Q$34^2/2))</f>
        <v>44.0783480987443</v>
      </c>
      <c r="I3135" s="49" t="n">
        <f aca="false">IF('Model Inputs &amp; Assumptions'!$H$34="Fixed",'Model Inputs &amp; Assumptions'!$I$34*'Model Inputs &amp; Assumptions'!$K$34,IF('Model Inputs &amp; Assumptions'!$H$34="CPM",'Model Inputs &amp; Assumptions'!$I$34*'Model Inputs &amp; Assumptions'!$K$34*C3135/1000,IF('Model Inputs &amp; Assumptions'!$H$34="CPC",'Model Inputs &amp; Assumptions'!$I$34*'Model Inputs &amp; Assumptions'!$K$34*G3135,0)))</f>
        <v>6275.2</v>
      </c>
      <c r="J3135" s="50" t="n">
        <f aca="false">H3135*INDEX('Model Inputs &amp; Assumptions'!$D$40:$D$42,MATCH('Model Inputs &amp; Assumptions'!$L$34,'Model Inputs &amp; Assumptions'!$A$40:$A$42,0))*INDEX('Model Inputs &amp; Assumptions'!$H$40:$H$42,MATCH('Model Inputs &amp; Assumptions'!$L$34,'Model Inputs &amp; Assumptions'!$A$40:$A$42,0))</f>
        <v>317364.106310959</v>
      </c>
      <c r="K3135" s="49" t="n">
        <f aca="false">H3135*INDEX('Model Inputs &amp; Assumptions'!$G$40:$G$42,MATCH('Model Inputs &amp; Assumptions'!$L$34,'Model Inputs &amp; Assumptions'!$A$40:$A$42,0))*INDEX('Model Inputs &amp; Assumptions'!$H$40:$H$42,MATCH('Model Inputs &amp; Assumptions'!$L$34,'Model Inputs &amp; Assumptions'!$A$40:$A$42,0))</f>
        <v>6997.87854415665</v>
      </c>
      <c r="L3135" s="51" t="n">
        <f aca="false">IFERROR(K3135/I3135,0)</f>
        <v>1.11516422491023</v>
      </c>
      <c r="M3135" s="49" t="n">
        <f aca="false">IFERROR(I3135/H3135,0)</f>
        <v>142.364681769432</v>
      </c>
      <c r="N3135" s="52" t="str">
        <f aca="false">'Model Inputs &amp; Assumptions'!$L$34</f>
        <v>PRD-USIQ</v>
      </c>
      <c r="P3135" s="53" t="n">
        <v>0.786838</v>
      </c>
      <c r="Q3135" s="53" t="n">
        <v>-0.377129</v>
      </c>
      <c r="R3135" s="53" t="n">
        <v>-0.207992</v>
      </c>
      <c r="S3135" s="53" t="n">
        <v>-1.625274</v>
      </c>
    </row>
    <row r="3136" customFormat="false" ht="15" hidden="false" customHeight="false" outlineLevel="0" collapsed="false">
      <c r="A3136" s="43" t="n">
        <v>133</v>
      </c>
      <c r="B3136" s="44" t="str">
        <f aca="false">'Model Inputs &amp; Assumptions'!$B$34</f>
        <v>Meta — Lookalike Feed Video</v>
      </c>
      <c r="C3136" s="45" t="n">
        <f aca="false">ROUND(MAX(0,'Model Inputs &amp; Assumptions'!$S$34*EXP('Model Inputs &amp; Assumptions'!$T$34*P3136-'Model Inputs &amp; Assumptions'!$T$34^2/2)),0)</f>
        <v>504853</v>
      </c>
      <c r="D3136" s="46" t="n">
        <f aca="false">MIN(1,'Model Inputs &amp; Assumptions'!$U$34*EXP('Model Inputs &amp; Assumptions'!$V$34*Q3136-'Model Inputs &amp; Assumptions'!$V$34^2/2))</f>
        <v>0.28019071853441</v>
      </c>
      <c r="E3136" s="45" t="n">
        <f aca="false">ROUND(C3136*D3136,0)</f>
        <v>141455</v>
      </c>
      <c r="F3136" s="47" t="n">
        <f aca="false">MIN(1,'Model Inputs &amp; Assumptions'!$W$34*EXP('Model Inputs &amp; Assumptions'!$X$34*R3136-'Model Inputs &amp; Assumptions'!$X$34^2/2))</f>
        <v>0.00591280873167185</v>
      </c>
      <c r="G3136" s="45" t="n">
        <f aca="false">ROUND(C3136*F3136,0)</f>
        <v>2985</v>
      </c>
      <c r="H3136" s="48" t="n">
        <f aca="false">MAX(0,(C3136*'Model Inputs &amp; Assumptions'!$N$34+E3136*'Model Inputs &amp; Assumptions'!$O$34+G3136*'Model Inputs &amp; Assumptions'!$P$34)*EXP('Model Inputs &amp; Assumptions'!$Q$34*S3136-'Model Inputs &amp; Assumptions'!$Q$34^2/2))</f>
        <v>78.2154091648482</v>
      </c>
      <c r="I3136" s="49" t="n">
        <f aca="false">IF('Model Inputs &amp; Assumptions'!$H$34="Fixed",'Model Inputs &amp; Assumptions'!$I$34*'Model Inputs &amp; Assumptions'!$K$34,IF('Model Inputs &amp; Assumptions'!$H$34="CPM",'Model Inputs &amp; Assumptions'!$I$34*'Model Inputs &amp; Assumptions'!$K$34*C3136/1000,IF('Model Inputs &amp; Assumptions'!$H$34="CPC",'Model Inputs &amp; Assumptions'!$I$34*'Model Inputs &amp; Assumptions'!$K$34*G3136,0)))</f>
        <v>5522.25</v>
      </c>
      <c r="J3136" s="50" t="n">
        <f aca="false">H3136*INDEX('Model Inputs &amp; Assumptions'!$D$40:$D$42,MATCH('Model Inputs &amp; Assumptions'!$L$34,'Model Inputs &amp; Assumptions'!$A$40:$A$42,0))*INDEX('Model Inputs &amp; Assumptions'!$H$40:$H$42,MATCH('Model Inputs &amp; Assumptions'!$L$34,'Model Inputs &amp; Assumptions'!$A$40:$A$42,0))</f>
        <v>563150.945986907</v>
      </c>
      <c r="K3136" s="49" t="n">
        <f aca="false">H3136*INDEX('Model Inputs &amp; Assumptions'!$G$40:$G$42,MATCH('Model Inputs &amp; Assumptions'!$L$34,'Model Inputs &amp; Assumptions'!$A$40:$A$42,0))*INDEX('Model Inputs &amp; Assumptions'!$H$40:$H$42,MATCH('Model Inputs &amp; Assumptions'!$L$34,'Model Inputs &amp; Assumptions'!$A$40:$A$42,0))</f>
        <v>12417.4783590113</v>
      </c>
      <c r="L3136" s="51" t="n">
        <f aca="false">IFERROR(K3136/I3136,0)</f>
        <v>2.24862662121623</v>
      </c>
      <c r="M3136" s="49" t="n">
        <f aca="false">IFERROR(I3136/H3136,0)</f>
        <v>70.6030954637238</v>
      </c>
      <c r="N3136" s="52" t="str">
        <f aca="false">'Model Inputs &amp; Assumptions'!$L$34</f>
        <v>PRD-USIQ</v>
      </c>
      <c r="P3136" s="53" t="n">
        <v>-0.047803</v>
      </c>
      <c r="Q3136" s="53" t="n">
        <v>1.313695</v>
      </c>
      <c r="R3136" s="53" t="n">
        <v>0.008675</v>
      </c>
      <c r="S3136" s="53" t="n">
        <v>0.461737</v>
      </c>
    </row>
    <row r="3137" customFormat="false" ht="15" hidden="false" customHeight="false" outlineLevel="0" collapsed="false">
      <c r="A3137" s="43" t="n">
        <v>134</v>
      </c>
      <c r="B3137" s="44" t="str">
        <f aca="false">'Model Inputs &amp; Assumptions'!$B$34</f>
        <v>Meta — Lookalike Feed Video</v>
      </c>
      <c r="C3137" s="45" t="n">
        <f aca="false">ROUND(MAX(0,'Model Inputs &amp; Assumptions'!$S$34*EXP('Model Inputs &amp; Assumptions'!$T$34*P3137-'Model Inputs &amp; Assumptions'!$T$34^2/2)),0)</f>
        <v>420402</v>
      </c>
      <c r="D3137" s="46" t="n">
        <f aca="false">MIN(1,'Model Inputs &amp; Assumptions'!$U$34*EXP('Model Inputs &amp; Assumptions'!$V$34*Q3137-'Model Inputs &amp; Assumptions'!$V$34^2/2))</f>
        <v>0.207349287179783</v>
      </c>
      <c r="E3137" s="45" t="n">
        <f aca="false">ROUND(C3137*D3137,0)</f>
        <v>87170</v>
      </c>
      <c r="F3137" s="47" t="n">
        <f aca="false">MIN(1,'Model Inputs &amp; Assumptions'!$W$34*EXP('Model Inputs &amp; Assumptions'!$X$34*R3137-'Model Inputs &amp; Assumptions'!$X$34^2/2))</f>
        <v>0.00826595927466329</v>
      </c>
      <c r="G3137" s="45" t="n">
        <f aca="false">ROUND(C3137*F3137,0)</f>
        <v>3475</v>
      </c>
      <c r="H3137" s="48" t="n">
        <f aca="false">MAX(0,(C3137*'Model Inputs &amp; Assumptions'!$N$34+E3137*'Model Inputs &amp; Assumptions'!$O$34+G3137*'Model Inputs &amp; Assumptions'!$P$34)*EXP('Model Inputs &amp; Assumptions'!$Q$34*S3137-'Model Inputs &amp; Assumptions'!$Q$34^2/2))</f>
        <v>141.337507910926</v>
      </c>
      <c r="I3137" s="49" t="n">
        <f aca="false">IF('Model Inputs &amp; Assumptions'!$H$34="Fixed",'Model Inputs &amp; Assumptions'!$I$34*'Model Inputs &amp; Assumptions'!$K$34,IF('Model Inputs &amp; Assumptions'!$H$34="CPM",'Model Inputs &amp; Assumptions'!$I$34*'Model Inputs &amp; Assumptions'!$K$34*C3137/1000,IF('Model Inputs &amp; Assumptions'!$H$34="CPC",'Model Inputs &amp; Assumptions'!$I$34*'Model Inputs &amp; Assumptions'!$K$34*G3137,0)))</f>
        <v>6428.75</v>
      </c>
      <c r="J3137" s="50" t="n">
        <f aca="false">H3137*INDEX('Model Inputs &amp; Assumptions'!$D$40:$D$42,MATCH('Model Inputs &amp; Assumptions'!$L$34,'Model Inputs &amp; Assumptions'!$A$40:$A$42,0))*INDEX('Model Inputs &amp; Assumptions'!$H$40:$H$42,MATCH('Model Inputs &amp; Assumptions'!$L$34,'Model Inputs &amp; Assumptions'!$A$40:$A$42,0))</f>
        <v>1017630.05695867</v>
      </c>
      <c r="K3137" s="49" t="n">
        <f aca="false">H3137*INDEX('Model Inputs &amp; Assumptions'!$G$40:$G$42,MATCH('Model Inputs &amp; Assumptions'!$L$34,'Model Inputs &amp; Assumptions'!$A$40:$A$42,0))*INDEX('Model Inputs &amp; Assumptions'!$H$40:$H$42,MATCH('Model Inputs &amp; Assumptions'!$L$34,'Model Inputs &amp; Assumptions'!$A$40:$A$42,0))</f>
        <v>22438.7427559386</v>
      </c>
      <c r="L3137" s="51" t="n">
        <f aca="false">IFERROR(K3137/I3137,0)</f>
        <v>3.49037414053099</v>
      </c>
      <c r="M3137" s="49" t="n">
        <f aca="false">IFERROR(I3137/H3137,0)</f>
        <v>45.4850951811854</v>
      </c>
      <c r="N3137" s="52" t="str">
        <f aca="false">'Model Inputs &amp; Assumptions'!$L$34</f>
        <v>PRD-USIQ</v>
      </c>
      <c r="P3137" s="53" t="n">
        <v>-0.963084</v>
      </c>
      <c r="Q3137" s="53" t="n">
        <v>-0.567966</v>
      </c>
      <c r="R3137" s="53" t="n">
        <v>1.869924</v>
      </c>
      <c r="S3137" s="53" t="n">
        <v>2.079391</v>
      </c>
    </row>
    <row r="3138" customFormat="false" ht="15" hidden="false" customHeight="false" outlineLevel="0" collapsed="false">
      <c r="A3138" s="43" t="n">
        <v>135</v>
      </c>
      <c r="B3138" s="44" t="str">
        <f aca="false">'Model Inputs &amp; Assumptions'!$B$34</f>
        <v>Meta — Lookalike Feed Video</v>
      </c>
      <c r="C3138" s="45" t="n">
        <f aca="false">ROUND(MAX(0,'Model Inputs &amp; Assumptions'!$S$34*EXP('Model Inputs &amp; Assumptions'!$T$34*P3138-'Model Inputs &amp; Assumptions'!$T$34^2/2)),0)</f>
        <v>443311</v>
      </c>
      <c r="D3138" s="46" t="n">
        <f aca="false">MIN(1,'Model Inputs &amp; Assumptions'!$U$34*EXP('Model Inputs &amp; Assumptions'!$V$34*Q3138-'Model Inputs &amp; Assumptions'!$V$34^2/2))</f>
        <v>0.185723882660463</v>
      </c>
      <c r="E3138" s="45" t="n">
        <f aca="false">ROUND(C3138*D3138,0)</f>
        <v>82333</v>
      </c>
      <c r="F3138" s="47" t="n">
        <f aca="false">MIN(1,'Model Inputs &amp; Assumptions'!$W$34*EXP('Model Inputs &amp; Assumptions'!$X$34*R3138-'Model Inputs &amp; Assumptions'!$X$34^2/2))</f>
        <v>0.00525025900266733</v>
      </c>
      <c r="G3138" s="45" t="n">
        <f aca="false">ROUND(C3138*F3138,0)</f>
        <v>2327</v>
      </c>
      <c r="H3138" s="48" t="n">
        <f aca="false">MAX(0,(C3138*'Model Inputs &amp; Assumptions'!$N$34+E3138*'Model Inputs &amp; Assumptions'!$O$34+G3138*'Model Inputs &amp; Assumptions'!$P$34)*EXP('Model Inputs &amp; Assumptions'!$Q$34*S3138-'Model Inputs &amp; Assumptions'!$Q$34^2/2))</f>
        <v>40.3776178308341</v>
      </c>
      <c r="I3138" s="49" t="n">
        <f aca="false">IF('Model Inputs &amp; Assumptions'!$H$34="Fixed",'Model Inputs &amp; Assumptions'!$I$34*'Model Inputs &amp; Assumptions'!$K$34,IF('Model Inputs &amp; Assumptions'!$H$34="CPM",'Model Inputs &amp; Assumptions'!$I$34*'Model Inputs &amp; Assumptions'!$K$34*C3138/1000,IF('Model Inputs &amp; Assumptions'!$H$34="CPC",'Model Inputs &amp; Assumptions'!$I$34*'Model Inputs &amp; Assumptions'!$K$34*G3138,0)))</f>
        <v>4304.95</v>
      </c>
      <c r="J3138" s="50" t="n">
        <f aca="false">H3138*INDEX('Model Inputs &amp; Assumptions'!$D$40:$D$42,MATCH('Model Inputs &amp; Assumptions'!$L$34,'Model Inputs &amp; Assumptions'!$A$40:$A$42,0))*INDEX('Model Inputs &amp; Assumptions'!$H$40:$H$42,MATCH('Model Inputs &amp; Assumptions'!$L$34,'Model Inputs &amp; Assumptions'!$A$40:$A$42,0))</f>
        <v>290718.848382006</v>
      </c>
      <c r="K3138" s="49" t="n">
        <f aca="false">H3138*INDEX('Model Inputs &amp; Assumptions'!$G$40:$G$42,MATCH('Model Inputs &amp; Assumptions'!$L$34,'Model Inputs &amp; Assumptions'!$A$40:$A$42,0))*INDEX('Model Inputs &amp; Assumptions'!$H$40:$H$42,MATCH('Model Inputs &amp; Assumptions'!$L$34,'Model Inputs &amp; Assumptions'!$A$40:$A$42,0))</f>
        <v>6410.35060682322</v>
      </c>
      <c r="L3138" s="51" t="n">
        <f aca="false">IFERROR(K3138/I3138,0)</f>
        <v>1.48906505460533</v>
      </c>
      <c r="M3138" s="49" t="n">
        <f aca="false">IFERROR(I3138/H3138,0)</f>
        <v>106.617235767499</v>
      </c>
      <c r="N3138" s="52" t="str">
        <f aca="false">'Model Inputs &amp; Assumptions'!$L$34</f>
        <v>PRD-USIQ</v>
      </c>
      <c r="P3138" s="53" t="n">
        <v>-0.697784</v>
      </c>
      <c r="Q3138" s="53" t="n">
        <v>-1.256364</v>
      </c>
      <c r="R3138" s="53" t="n">
        <v>-0.651567</v>
      </c>
      <c r="S3138" s="53" t="n">
        <v>-0.697509</v>
      </c>
    </row>
    <row r="3139" customFormat="false" ht="15" hidden="false" customHeight="false" outlineLevel="0" collapsed="false">
      <c r="A3139" s="43" t="n">
        <v>136</v>
      </c>
      <c r="B3139" s="44" t="str">
        <f aca="false">'Model Inputs &amp; Assumptions'!$B$34</f>
        <v>Meta — Lookalike Feed Video</v>
      </c>
      <c r="C3139" s="45" t="n">
        <f aca="false">ROUND(MAX(0,'Model Inputs &amp; Assumptions'!$S$34*EXP('Model Inputs &amp; Assumptions'!$T$34*P3139-'Model Inputs &amp; Assumptions'!$T$34^2/2)),0)</f>
        <v>418381</v>
      </c>
      <c r="D3139" s="46" t="n">
        <f aca="false">MIN(1,'Model Inputs &amp; Assumptions'!$U$34*EXP('Model Inputs &amp; Assumptions'!$V$34*Q3139-'Model Inputs &amp; Assumptions'!$V$34^2/2))</f>
        <v>0.279255593705481</v>
      </c>
      <c r="E3139" s="45" t="n">
        <f aca="false">ROUND(C3139*D3139,0)</f>
        <v>116835</v>
      </c>
      <c r="F3139" s="47" t="n">
        <f aca="false">MIN(1,'Model Inputs &amp; Assumptions'!$W$34*EXP('Model Inputs &amp; Assumptions'!$X$34*R3139-'Model Inputs &amp; Assumptions'!$X$34^2/2))</f>
        <v>0.00704149249075186</v>
      </c>
      <c r="G3139" s="45" t="n">
        <f aca="false">ROUND(C3139*F3139,0)</f>
        <v>2946</v>
      </c>
      <c r="H3139" s="48" t="n">
        <f aca="false">MAX(0,(C3139*'Model Inputs &amp; Assumptions'!$N$34+E3139*'Model Inputs &amp; Assumptions'!$O$34+G3139*'Model Inputs &amp; Assumptions'!$P$34)*EXP('Model Inputs &amp; Assumptions'!$Q$34*S3139-'Model Inputs &amp; Assumptions'!$Q$34^2/2))</f>
        <v>71.2369096187599</v>
      </c>
      <c r="I3139" s="49" t="n">
        <f aca="false">IF('Model Inputs &amp; Assumptions'!$H$34="Fixed",'Model Inputs &amp; Assumptions'!$I$34*'Model Inputs &amp; Assumptions'!$K$34,IF('Model Inputs &amp; Assumptions'!$H$34="CPM",'Model Inputs &amp; Assumptions'!$I$34*'Model Inputs &amp; Assumptions'!$K$34*C3139/1000,IF('Model Inputs &amp; Assumptions'!$H$34="CPC",'Model Inputs &amp; Assumptions'!$I$34*'Model Inputs &amp; Assumptions'!$K$34*G3139,0)))</f>
        <v>5450.1</v>
      </c>
      <c r="J3139" s="50" t="n">
        <f aca="false">H3139*INDEX('Model Inputs &amp; Assumptions'!$D$40:$D$42,MATCH('Model Inputs &amp; Assumptions'!$L$34,'Model Inputs &amp; Assumptions'!$A$40:$A$42,0))*INDEX('Model Inputs &amp; Assumptions'!$H$40:$H$42,MATCH('Model Inputs &amp; Assumptions'!$L$34,'Model Inputs &amp; Assumptions'!$A$40:$A$42,0))</f>
        <v>512905.749255071</v>
      </c>
      <c r="K3139" s="49" t="n">
        <f aca="false">H3139*INDEX('Model Inputs &amp; Assumptions'!$G$40:$G$42,MATCH('Model Inputs &amp; Assumptions'!$L$34,'Model Inputs &amp; Assumptions'!$A$40:$A$42,0))*INDEX('Model Inputs &amp; Assumptions'!$H$40:$H$42,MATCH('Model Inputs &amp; Assumptions'!$L$34,'Model Inputs &amp; Assumptions'!$A$40:$A$42,0))</f>
        <v>11309.5717710743</v>
      </c>
      <c r="L3139" s="51" t="n">
        <f aca="false">IFERROR(K3139/I3139,0)</f>
        <v>2.07511270822083</v>
      </c>
      <c r="M3139" s="49" t="n">
        <f aca="false">IFERROR(I3139/H3139,0)</f>
        <v>76.5066877432979</v>
      </c>
      <c r="N3139" s="52" t="str">
        <f aca="false">'Model Inputs &amp; Assumptions'!$L$34</f>
        <v>PRD-USIQ</v>
      </c>
      <c r="P3139" s="53" t="n">
        <v>-0.987176</v>
      </c>
      <c r="Q3139" s="53" t="n">
        <v>1.292801</v>
      </c>
      <c r="R3139" s="53" t="n">
        <v>0.979226</v>
      </c>
      <c r="S3139" s="53" t="n">
        <v>0.293086</v>
      </c>
    </row>
    <row r="3140" customFormat="false" ht="15" hidden="false" customHeight="false" outlineLevel="0" collapsed="false">
      <c r="A3140" s="43" t="n">
        <v>137</v>
      </c>
      <c r="B3140" s="44" t="str">
        <f aca="false">'Model Inputs &amp; Assumptions'!$B$34</f>
        <v>Meta — Lookalike Feed Video</v>
      </c>
      <c r="C3140" s="45" t="n">
        <f aca="false">ROUND(MAX(0,'Model Inputs &amp; Assumptions'!$S$34*EXP('Model Inputs &amp; Assumptions'!$T$34*P3140-'Model Inputs &amp; Assumptions'!$T$34^2/2)),0)</f>
        <v>347847</v>
      </c>
      <c r="D3140" s="46" t="n">
        <f aca="false">MIN(1,'Model Inputs &amp; Assumptions'!$U$34*EXP('Model Inputs &amp; Assumptions'!$V$34*Q3140-'Model Inputs &amp; Assumptions'!$V$34^2/2))</f>
        <v>0.211609820359378</v>
      </c>
      <c r="E3140" s="45" t="n">
        <f aca="false">ROUND(C3140*D3140,0)</f>
        <v>73608</v>
      </c>
      <c r="F3140" s="47" t="n">
        <f aca="false">MIN(1,'Model Inputs &amp; Assumptions'!$W$34*EXP('Model Inputs &amp; Assumptions'!$X$34*R3140-'Model Inputs &amp; Assumptions'!$X$34^2/2))</f>
        <v>0.00468497776287676</v>
      </c>
      <c r="G3140" s="45" t="n">
        <f aca="false">ROUND(C3140*F3140,0)</f>
        <v>1630</v>
      </c>
      <c r="H3140" s="48" t="n">
        <f aca="false">MAX(0,(C3140*'Model Inputs &amp; Assumptions'!$N$34+E3140*'Model Inputs &amp; Assumptions'!$O$34+G3140*'Model Inputs &amp; Assumptions'!$P$34)*EXP('Model Inputs &amp; Assumptions'!$Q$34*S3140-'Model Inputs &amp; Assumptions'!$Q$34^2/2))</f>
        <v>47.3177293431557</v>
      </c>
      <c r="I3140" s="49" t="n">
        <f aca="false">IF('Model Inputs &amp; Assumptions'!$H$34="Fixed",'Model Inputs &amp; Assumptions'!$I$34*'Model Inputs &amp; Assumptions'!$K$34,IF('Model Inputs &amp; Assumptions'!$H$34="CPM",'Model Inputs &amp; Assumptions'!$I$34*'Model Inputs &amp; Assumptions'!$K$34*C3140/1000,IF('Model Inputs &amp; Assumptions'!$H$34="CPC",'Model Inputs &amp; Assumptions'!$I$34*'Model Inputs &amp; Assumptions'!$K$34*G3140,0)))</f>
        <v>3015.5</v>
      </c>
      <c r="J3140" s="50" t="n">
        <f aca="false">H3140*INDEX('Model Inputs &amp; Assumptions'!$D$40:$D$42,MATCH('Model Inputs &amp; Assumptions'!$L$34,'Model Inputs &amp; Assumptions'!$A$40:$A$42,0))*INDEX('Model Inputs &amp; Assumptions'!$H$40:$H$42,MATCH('Model Inputs &amp; Assumptions'!$L$34,'Model Inputs &amp; Assumptions'!$A$40:$A$42,0))</f>
        <v>340687.651270721</v>
      </c>
      <c r="K3140" s="49" t="n">
        <f aca="false">H3140*INDEX('Model Inputs &amp; Assumptions'!$G$40:$G$42,MATCH('Model Inputs &amp; Assumptions'!$L$34,'Model Inputs &amp; Assumptions'!$A$40:$A$42,0))*INDEX('Model Inputs &amp; Assumptions'!$H$40:$H$42,MATCH('Model Inputs &amp; Assumptions'!$L$34,'Model Inputs &amp; Assumptions'!$A$40:$A$42,0))</f>
        <v>7512.1627105194</v>
      </c>
      <c r="L3140" s="51" t="n">
        <f aca="false">IFERROR(K3140/I3140,0)</f>
        <v>2.4911831240323</v>
      </c>
      <c r="M3140" s="49" t="n">
        <f aca="false">IFERROR(I3140/H3140,0)</f>
        <v>63.7287554128203</v>
      </c>
      <c r="N3140" s="52" t="str">
        <f aca="false">'Model Inputs &amp; Assumptions'!$L$34</f>
        <v>PRD-USIQ</v>
      </c>
      <c r="P3140" s="53" t="n">
        <v>-1.910334</v>
      </c>
      <c r="Q3140" s="53" t="n">
        <v>-0.440845</v>
      </c>
      <c r="R3140" s="53" t="n">
        <v>-1.284435</v>
      </c>
      <c r="S3140" s="53" t="n">
        <v>0.805381</v>
      </c>
    </row>
    <row r="3141" customFormat="false" ht="15" hidden="false" customHeight="false" outlineLevel="0" collapsed="false">
      <c r="A3141" s="43" t="n">
        <v>138</v>
      </c>
      <c r="B3141" s="44" t="str">
        <f aca="false">'Model Inputs &amp; Assumptions'!$B$34</f>
        <v>Meta — Lookalike Feed Video</v>
      </c>
      <c r="C3141" s="45" t="n">
        <f aca="false">ROUND(MAX(0,'Model Inputs &amp; Assumptions'!$S$34*EXP('Model Inputs &amp; Assumptions'!$T$34*P3141-'Model Inputs &amp; Assumptions'!$T$34^2/2)),0)</f>
        <v>517154</v>
      </c>
      <c r="D3141" s="46" t="n">
        <f aca="false">MIN(1,'Model Inputs &amp; Assumptions'!$U$34*EXP('Model Inputs &amp; Assumptions'!$V$34*Q3141-'Model Inputs &amp; Assumptions'!$V$34^2/2))</f>
        <v>0.20153288900239</v>
      </c>
      <c r="E3141" s="45" t="n">
        <f aca="false">ROUND(C3141*D3141,0)</f>
        <v>104224</v>
      </c>
      <c r="F3141" s="47" t="n">
        <f aca="false">MIN(1,'Model Inputs &amp; Assumptions'!$W$34*EXP('Model Inputs &amp; Assumptions'!$X$34*R3141-'Model Inputs &amp; Assumptions'!$X$34^2/2))</f>
        <v>0.00561335449048674</v>
      </c>
      <c r="G3141" s="45" t="n">
        <f aca="false">ROUND(C3141*F3141,0)</f>
        <v>2903</v>
      </c>
      <c r="H3141" s="48" t="n">
        <f aca="false">MAX(0,(C3141*'Model Inputs &amp; Assumptions'!$N$34+E3141*'Model Inputs &amp; Assumptions'!$O$34+G3141*'Model Inputs &amp; Assumptions'!$P$34)*EXP('Model Inputs &amp; Assumptions'!$Q$34*S3141-'Model Inputs &amp; Assumptions'!$Q$34^2/2))</f>
        <v>96.6836173358766</v>
      </c>
      <c r="I3141" s="49" t="n">
        <f aca="false">IF('Model Inputs &amp; Assumptions'!$H$34="Fixed",'Model Inputs &amp; Assumptions'!$I$34*'Model Inputs &amp; Assumptions'!$K$34,IF('Model Inputs &amp; Assumptions'!$H$34="CPM",'Model Inputs &amp; Assumptions'!$I$34*'Model Inputs &amp; Assumptions'!$K$34*C3141/1000,IF('Model Inputs &amp; Assumptions'!$H$34="CPC",'Model Inputs &amp; Assumptions'!$I$34*'Model Inputs &amp; Assumptions'!$K$34*G3141,0)))</f>
        <v>5370.55</v>
      </c>
      <c r="J3141" s="50" t="n">
        <f aca="false">H3141*INDEX('Model Inputs &amp; Assumptions'!$D$40:$D$42,MATCH('Model Inputs &amp; Assumptions'!$L$34,'Model Inputs &amp; Assumptions'!$A$40:$A$42,0))*INDEX('Model Inputs &amp; Assumptions'!$H$40:$H$42,MATCH('Model Inputs &amp; Assumptions'!$L$34,'Model Inputs &amp; Assumptions'!$A$40:$A$42,0))</f>
        <v>696122.044818311</v>
      </c>
      <c r="K3141" s="49" t="n">
        <f aca="false">H3141*INDEX('Model Inputs &amp; Assumptions'!$G$40:$G$42,MATCH('Model Inputs &amp; Assumptions'!$L$34,'Model Inputs &amp; Assumptions'!$A$40:$A$42,0))*INDEX('Model Inputs &amp; Assumptions'!$H$40:$H$42,MATCH('Model Inputs &amp; Assumptions'!$L$34,'Model Inputs &amp; Assumptions'!$A$40:$A$42,0))</f>
        <v>15349.4910882438</v>
      </c>
      <c r="L3141" s="51" t="n">
        <f aca="false">IFERROR(K3141/I3141,0)</f>
        <v>2.85808550115794</v>
      </c>
      <c r="M3141" s="49" t="n">
        <f aca="false">IFERROR(I3141/H3141,0)</f>
        <v>55.5476734113375</v>
      </c>
      <c r="N3141" s="52" t="str">
        <f aca="false">'Model Inputs &amp; Assumptions'!$L$34</f>
        <v>PRD-USIQ</v>
      </c>
      <c r="P3141" s="53" t="n">
        <v>0.072558</v>
      </c>
      <c r="Q3141" s="53" t="n">
        <v>-0.745792</v>
      </c>
      <c r="R3141" s="53" t="n">
        <v>-0.280061</v>
      </c>
      <c r="S3141" s="53" t="n">
        <v>1.334307</v>
      </c>
    </row>
    <row r="3142" customFormat="false" ht="15" hidden="false" customHeight="false" outlineLevel="0" collapsed="false">
      <c r="A3142" s="43" t="n">
        <v>139</v>
      </c>
      <c r="B3142" s="44" t="str">
        <f aca="false">'Model Inputs &amp; Assumptions'!$B$34</f>
        <v>Meta — Lookalike Feed Video</v>
      </c>
      <c r="C3142" s="45" t="n">
        <f aca="false">ROUND(MAX(0,'Model Inputs &amp; Assumptions'!$S$34*EXP('Model Inputs &amp; Assumptions'!$T$34*P3142-'Model Inputs &amp; Assumptions'!$T$34^2/2)),0)</f>
        <v>546894</v>
      </c>
      <c r="D3142" s="46" t="n">
        <f aca="false">MIN(1,'Model Inputs &amp; Assumptions'!$U$34*EXP('Model Inputs &amp; Assumptions'!$V$34*Q3142-'Model Inputs &amp; Assumptions'!$V$34^2/2))</f>
        <v>0.177067183600997</v>
      </c>
      <c r="E3142" s="45" t="n">
        <f aca="false">ROUND(C3142*D3142,0)</f>
        <v>96837</v>
      </c>
      <c r="F3142" s="47" t="n">
        <f aca="false">MIN(1,'Model Inputs &amp; Assumptions'!$W$34*EXP('Model Inputs &amp; Assumptions'!$X$34*R3142-'Model Inputs &amp; Assumptions'!$X$34^2/2))</f>
        <v>0.00535689003439637</v>
      </c>
      <c r="G3142" s="45" t="n">
        <f aca="false">ROUND(C3142*F3142,0)</f>
        <v>2930</v>
      </c>
      <c r="H3142" s="48" t="n">
        <f aca="false">MAX(0,(C3142*'Model Inputs &amp; Assumptions'!$N$34+E3142*'Model Inputs &amp; Assumptions'!$O$34+G3142*'Model Inputs &amp; Assumptions'!$P$34)*EXP('Model Inputs &amp; Assumptions'!$Q$34*S3142-'Model Inputs &amp; Assumptions'!$Q$34^2/2))</f>
        <v>62.7170877304364</v>
      </c>
      <c r="I3142" s="49" t="n">
        <f aca="false">IF('Model Inputs &amp; Assumptions'!$H$34="Fixed",'Model Inputs &amp; Assumptions'!$I$34*'Model Inputs &amp; Assumptions'!$K$34,IF('Model Inputs &amp; Assumptions'!$H$34="CPM",'Model Inputs &amp; Assumptions'!$I$34*'Model Inputs &amp; Assumptions'!$K$34*C3142/1000,IF('Model Inputs &amp; Assumptions'!$H$34="CPC",'Model Inputs &amp; Assumptions'!$I$34*'Model Inputs &amp; Assumptions'!$K$34*G3142,0)))</f>
        <v>5420.5</v>
      </c>
      <c r="J3142" s="50" t="n">
        <f aca="false">H3142*INDEX('Model Inputs &amp; Assumptions'!$D$40:$D$42,MATCH('Model Inputs &amp; Assumptions'!$L$34,'Model Inputs &amp; Assumptions'!$A$40:$A$42,0))*INDEX('Model Inputs &amp; Assumptions'!$H$40:$H$42,MATCH('Model Inputs &amp; Assumptions'!$L$34,'Model Inputs &amp; Assumptions'!$A$40:$A$42,0))</f>
        <v>451563.031659142</v>
      </c>
      <c r="K3142" s="49" t="n">
        <f aca="false">H3142*INDEX('Model Inputs &amp; Assumptions'!$G$40:$G$42,MATCH('Model Inputs &amp; Assumptions'!$L$34,'Model Inputs &amp; Assumptions'!$A$40:$A$42,0))*INDEX('Model Inputs &amp; Assumptions'!$H$40:$H$42,MATCH('Model Inputs &amp; Assumptions'!$L$34,'Model Inputs &amp; Assumptions'!$A$40:$A$42,0))</f>
        <v>9956.96484808409</v>
      </c>
      <c r="L3142" s="51" t="n">
        <f aca="false">IFERROR(K3142/I3142,0)</f>
        <v>1.83690892871213</v>
      </c>
      <c r="M3142" s="49" t="n">
        <f aca="false">IFERROR(I3142/H3142,0)</f>
        <v>86.4278013561119</v>
      </c>
      <c r="N3142" s="52" t="str">
        <f aca="false">'Model Inputs &amp; Assumptions'!$L$34</f>
        <v>PRD-USIQ</v>
      </c>
      <c r="P3142" s="53" t="n">
        <v>0.35213</v>
      </c>
      <c r="Q3142" s="53" t="n">
        <v>-1.554688</v>
      </c>
      <c r="R3142" s="53" t="n">
        <v>-0.539866</v>
      </c>
      <c r="S3142" s="53" t="n">
        <v>-0.015825</v>
      </c>
    </row>
    <row r="3143" customFormat="false" ht="15" hidden="false" customHeight="false" outlineLevel="0" collapsed="false">
      <c r="A3143" s="43" t="n">
        <v>140</v>
      </c>
      <c r="B3143" s="44" t="str">
        <f aca="false">'Model Inputs &amp; Assumptions'!$B$34</f>
        <v>Meta — Lookalike Feed Video</v>
      </c>
      <c r="C3143" s="45" t="n">
        <f aca="false">ROUND(MAX(0,'Model Inputs &amp; Assumptions'!$S$34*EXP('Model Inputs &amp; Assumptions'!$T$34*P3143-'Model Inputs &amp; Assumptions'!$T$34^2/2)),0)</f>
        <v>789831</v>
      </c>
      <c r="D3143" s="46" t="n">
        <f aca="false">MIN(1,'Model Inputs &amp; Assumptions'!$U$34*EXP('Model Inputs &amp; Assumptions'!$V$34*Q3143-'Model Inputs &amp; Assumptions'!$V$34^2/2))</f>
        <v>0.215254469845115</v>
      </c>
      <c r="E3143" s="45" t="n">
        <f aca="false">ROUND(C3143*D3143,0)</f>
        <v>170015</v>
      </c>
      <c r="F3143" s="47" t="n">
        <f aca="false">MIN(1,'Model Inputs &amp; Assumptions'!$W$34*EXP('Model Inputs &amp; Assumptions'!$X$34*R3143-'Model Inputs &amp; Assumptions'!$X$34^2/2))</f>
        <v>0.00586033957128357</v>
      </c>
      <c r="G3143" s="45" t="n">
        <f aca="false">ROUND(C3143*F3143,0)</f>
        <v>4629</v>
      </c>
      <c r="H3143" s="48" t="n">
        <f aca="false">MAX(0,(C3143*'Model Inputs &amp; Assumptions'!$N$34+E3143*'Model Inputs &amp; Assumptions'!$O$34+G3143*'Model Inputs &amp; Assumptions'!$P$34)*EXP('Model Inputs &amp; Assumptions'!$Q$34*S3143-'Model Inputs &amp; Assumptions'!$Q$34^2/2))</f>
        <v>93.8744816772599</v>
      </c>
      <c r="I3143" s="49" t="n">
        <f aca="false">IF('Model Inputs &amp; Assumptions'!$H$34="Fixed",'Model Inputs &amp; Assumptions'!$I$34*'Model Inputs &amp; Assumptions'!$K$34,IF('Model Inputs &amp; Assumptions'!$H$34="CPM",'Model Inputs &amp; Assumptions'!$I$34*'Model Inputs &amp; Assumptions'!$K$34*C3143/1000,IF('Model Inputs &amp; Assumptions'!$H$34="CPC",'Model Inputs &amp; Assumptions'!$I$34*'Model Inputs &amp; Assumptions'!$K$34*G3143,0)))</f>
        <v>8563.65</v>
      </c>
      <c r="J3143" s="50" t="n">
        <f aca="false">H3143*INDEX('Model Inputs &amp; Assumptions'!$D$40:$D$42,MATCH('Model Inputs &amp; Assumptions'!$L$34,'Model Inputs &amp; Assumptions'!$A$40:$A$42,0))*INDEX('Model Inputs &amp; Assumptions'!$H$40:$H$42,MATCH('Model Inputs &amp; Assumptions'!$L$34,'Model Inputs &amp; Assumptions'!$A$40:$A$42,0))</f>
        <v>675896.268076271</v>
      </c>
      <c r="K3143" s="49" t="n">
        <f aca="false">H3143*INDEX('Model Inputs &amp; Assumptions'!$G$40:$G$42,MATCH('Model Inputs &amp; Assumptions'!$L$34,'Model Inputs &amp; Assumptions'!$A$40:$A$42,0))*INDEX('Model Inputs &amp; Assumptions'!$H$40:$H$42,MATCH('Model Inputs &amp; Assumptions'!$L$34,'Model Inputs &amp; Assumptions'!$A$40:$A$42,0))</f>
        <v>14903.5127110818</v>
      </c>
      <c r="L3143" s="51" t="n">
        <f aca="false">IFERROR(K3143/I3143,0)</f>
        <v>1.74032249228796</v>
      </c>
      <c r="M3143" s="49" t="n">
        <f aca="false">IFERROR(I3143/H3143,0)</f>
        <v>91.2244717306861</v>
      </c>
      <c r="N3143" s="52" t="str">
        <f aca="false">'Model Inputs &amp; Assumptions'!$L$34</f>
        <v>PRD-USIQ</v>
      </c>
      <c r="P3143" s="53" t="n">
        <v>2.189953</v>
      </c>
      <c r="Q3143" s="53" t="n">
        <v>-0.334115</v>
      </c>
      <c r="R3143" s="53" t="n">
        <v>-0.040844</v>
      </c>
      <c r="S3143" s="53" t="n">
        <v>-0.224964</v>
      </c>
    </row>
    <row r="3144" customFormat="false" ht="15" hidden="false" customHeight="false" outlineLevel="0" collapsed="false">
      <c r="A3144" s="43" t="n">
        <v>141</v>
      </c>
      <c r="B3144" s="44" t="str">
        <f aca="false">'Model Inputs &amp; Assumptions'!$B$34</f>
        <v>Meta — Lookalike Feed Video</v>
      </c>
      <c r="C3144" s="45" t="n">
        <f aca="false">ROUND(MAX(0,'Model Inputs &amp; Assumptions'!$S$34*EXP('Model Inputs &amp; Assumptions'!$T$34*P3144-'Model Inputs &amp; Assumptions'!$T$34^2/2)),0)</f>
        <v>668995</v>
      </c>
      <c r="D3144" s="46" t="n">
        <f aca="false">MIN(1,'Model Inputs &amp; Assumptions'!$U$34*EXP('Model Inputs &amp; Assumptions'!$V$34*Q3144-'Model Inputs &amp; Assumptions'!$V$34^2/2))</f>
        <v>0.189668814362683</v>
      </c>
      <c r="E3144" s="45" t="n">
        <f aca="false">ROUND(C3144*D3144,0)</f>
        <v>126887</v>
      </c>
      <c r="F3144" s="47" t="n">
        <f aca="false">MIN(1,'Model Inputs &amp; Assumptions'!$W$34*EXP('Model Inputs &amp; Assumptions'!$X$34*R3144-'Model Inputs &amp; Assumptions'!$X$34^2/2))</f>
        <v>0.00538470511804125</v>
      </c>
      <c r="G3144" s="45" t="n">
        <f aca="false">ROUND(C3144*F3144,0)</f>
        <v>3602</v>
      </c>
      <c r="H3144" s="48" t="n">
        <f aca="false">MAX(0,(C3144*'Model Inputs &amp; Assumptions'!$N$34+E3144*'Model Inputs &amp; Assumptions'!$O$34+G3144*'Model Inputs &amp; Assumptions'!$P$34)*EXP('Model Inputs &amp; Assumptions'!$Q$34*S3144-'Model Inputs &amp; Assumptions'!$Q$34^2/2))</f>
        <v>26.5015886524742</v>
      </c>
      <c r="I3144" s="49" t="n">
        <f aca="false">IF('Model Inputs &amp; Assumptions'!$H$34="Fixed",'Model Inputs &amp; Assumptions'!$I$34*'Model Inputs &amp; Assumptions'!$K$34,IF('Model Inputs &amp; Assumptions'!$H$34="CPM",'Model Inputs &amp; Assumptions'!$I$34*'Model Inputs &amp; Assumptions'!$K$34*C3144/1000,IF('Model Inputs &amp; Assumptions'!$H$34="CPC",'Model Inputs &amp; Assumptions'!$I$34*'Model Inputs &amp; Assumptions'!$K$34*G3144,0)))</f>
        <v>6663.7</v>
      </c>
      <c r="J3144" s="50" t="n">
        <f aca="false">H3144*INDEX('Model Inputs &amp; Assumptions'!$D$40:$D$42,MATCH('Model Inputs &amp; Assumptions'!$L$34,'Model Inputs &amp; Assumptions'!$A$40:$A$42,0))*INDEX('Model Inputs &amp; Assumptions'!$H$40:$H$42,MATCH('Model Inputs &amp; Assumptions'!$L$34,'Model Inputs &amp; Assumptions'!$A$40:$A$42,0))</f>
        <v>190811.438297814</v>
      </c>
      <c r="K3144" s="49" t="n">
        <f aca="false">H3144*INDEX('Model Inputs &amp; Assumptions'!$G$40:$G$42,MATCH('Model Inputs &amp; Assumptions'!$L$34,'Model Inputs &amp; Assumptions'!$A$40:$A$42,0))*INDEX('Model Inputs &amp; Assumptions'!$H$40:$H$42,MATCH('Model Inputs &amp; Assumptions'!$L$34,'Model Inputs &amp; Assumptions'!$A$40:$A$42,0))</f>
        <v>4207.3922144668</v>
      </c>
      <c r="L3144" s="51" t="n">
        <f aca="false">IFERROR(K3144/I3144,0)</f>
        <v>0.631389800631301</v>
      </c>
      <c r="M3144" s="49" t="n">
        <f aca="false">IFERROR(I3144/H3144,0)</f>
        <v>251.445303426286</v>
      </c>
      <c r="N3144" s="52" t="str">
        <f aca="false">'Model Inputs &amp; Assumptions'!$L$34</f>
        <v>PRD-USIQ</v>
      </c>
      <c r="P3144" s="53" t="n">
        <v>1.359742</v>
      </c>
      <c r="Q3144" s="53" t="n">
        <v>-1.124999</v>
      </c>
      <c r="R3144" s="53" t="n">
        <v>-0.511094</v>
      </c>
      <c r="S3144" s="53" t="n">
        <v>-3.377002</v>
      </c>
    </row>
    <row r="3145" customFormat="false" ht="15" hidden="false" customHeight="false" outlineLevel="0" collapsed="false">
      <c r="A3145" s="43" t="n">
        <v>142</v>
      </c>
      <c r="B3145" s="44" t="str">
        <f aca="false">'Model Inputs &amp; Assumptions'!$B$34</f>
        <v>Meta — Lookalike Feed Video</v>
      </c>
      <c r="C3145" s="45" t="n">
        <f aca="false">ROUND(MAX(0,'Model Inputs &amp; Assumptions'!$S$34*EXP('Model Inputs &amp; Assumptions'!$T$34*P3145-'Model Inputs &amp; Assumptions'!$T$34^2/2)),0)</f>
        <v>559966</v>
      </c>
      <c r="D3145" s="46" t="n">
        <f aca="false">MIN(1,'Model Inputs &amp; Assumptions'!$U$34*EXP('Model Inputs &amp; Assumptions'!$V$34*Q3145-'Model Inputs &amp; Assumptions'!$V$34^2/2))</f>
        <v>0.235330443480821</v>
      </c>
      <c r="E3145" s="45" t="n">
        <f aca="false">ROUND(C3145*D3145,0)</f>
        <v>131777</v>
      </c>
      <c r="F3145" s="47" t="n">
        <f aca="false">MIN(1,'Model Inputs &amp; Assumptions'!$W$34*EXP('Model Inputs &amp; Assumptions'!$X$34*R3145-'Model Inputs &amp; Assumptions'!$X$34^2/2))</f>
        <v>0.00399190024427553</v>
      </c>
      <c r="G3145" s="45" t="n">
        <f aca="false">ROUND(C3145*F3145,0)</f>
        <v>2235</v>
      </c>
      <c r="H3145" s="48" t="n">
        <f aca="false">MAX(0,(C3145*'Model Inputs &amp; Assumptions'!$N$34+E3145*'Model Inputs &amp; Assumptions'!$O$34+G3145*'Model Inputs &amp; Assumptions'!$P$34)*EXP('Model Inputs &amp; Assumptions'!$Q$34*S3145-'Model Inputs &amp; Assumptions'!$Q$34^2/2))</f>
        <v>54.3347958834434</v>
      </c>
      <c r="I3145" s="49" t="n">
        <f aca="false">IF('Model Inputs &amp; Assumptions'!$H$34="Fixed",'Model Inputs &amp; Assumptions'!$I$34*'Model Inputs &amp; Assumptions'!$K$34,IF('Model Inputs &amp; Assumptions'!$H$34="CPM",'Model Inputs &amp; Assumptions'!$I$34*'Model Inputs &amp; Assumptions'!$K$34*C3145/1000,IF('Model Inputs &amp; Assumptions'!$H$34="CPC",'Model Inputs &amp; Assumptions'!$I$34*'Model Inputs &amp; Assumptions'!$K$34*G3145,0)))</f>
        <v>4134.75</v>
      </c>
      <c r="J3145" s="50" t="n">
        <f aca="false">H3145*INDEX('Model Inputs &amp; Assumptions'!$D$40:$D$42,MATCH('Model Inputs &amp; Assumptions'!$L$34,'Model Inputs &amp; Assumptions'!$A$40:$A$42,0))*INDEX('Model Inputs &amp; Assumptions'!$H$40:$H$42,MATCH('Model Inputs &amp; Assumptions'!$L$34,'Model Inputs &amp; Assumptions'!$A$40:$A$42,0))</f>
        <v>391210.530360792</v>
      </c>
      <c r="K3145" s="49" t="n">
        <f aca="false">H3145*INDEX('Model Inputs &amp; Assumptions'!$G$40:$G$42,MATCH('Model Inputs &amp; Assumptions'!$L$34,'Model Inputs &amp; Assumptions'!$A$40:$A$42,0))*INDEX('Model Inputs &amp; Assumptions'!$H$40:$H$42,MATCH('Model Inputs &amp; Assumptions'!$L$34,'Model Inputs &amp; Assumptions'!$A$40:$A$42,0))</f>
        <v>8626.19219445547</v>
      </c>
      <c r="L3145" s="51" t="n">
        <f aca="false">IFERROR(K3145/I3145,0)</f>
        <v>2.08626693136356</v>
      </c>
      <c r="M3145" s="49" t="n">
        <f aca="false">IFERROR(I3145/H3145,0)</f>
        <v>76.0976448475059</v>
      </c>
      <c r="N3145" s="52" t="str">
        <f aca="false">'Model Inputs &amp; Assumptions'!$L$34</f>
        <v>PRD-USIQ</v>
      </c>
      <c r="P3145" s="53" t="n">
        <v>0.470232</v>
      </c>
      <c r="Q3145" s="53" t="n">
        <v>0.223196</v>
      </c>
      <c r="R3145" s="53" t="n">
        <v>-2.173845</v>
      </c>
      <c r="S3145" s="53" t="n">
        <v>0.108245</v>
      </c>
    </row>
    <row r="3146" customFormat="false" ht="15" hidden="false" customHeight="false" outlineLevel="0" collapsed="false">
      <c r="A3146" s="43" t="n">
        <v>143</v>
      </c>
      <c r="B3146" s="44" t="str">
        <f aca="false">'Model Inputs &amp; Assumptions'!$B$34</f>
        <v>Meta — Lookalike Feed Video</v>
      </c>
      <c r="C3146" s="45" t="n">
        <f aca="false">ROUND(MAX(0,'Model Inputs &amp; Assumptions'!$S$34*EXP('Model Inputs &amp; Assumptions'!$T$34*P3146-'Model Inputs &amp; Assumptions'!$T$34^2/2)),0)</f>
        <v>600559</v>
      </c>
      <c r="D3146" s="46" t="n">
        <f aca="false">MIN(1,'Model Inputs &amp; Assumptions'!$U$34*EXP('Model Inputs &amp; Assumptions'!$V$34*Q3146-'Model Inputs &amp; Assumptions'!$V$34^2/2))</f>
        <v>0.272690962618594</v>
      </c>
      <c r="E3146" s="45" t="n">
        <f aca="false">ROUND(C3146*D3146,0)</f>
        <v>163767</v>
      </c>
      <c r="F3146" s="47" t="n">
        <f aca="false">MIN(1,'Model Inputs &amp; Assumptions'!$W$34*EXP('Model Inputs &amp; Assumptions'!$X$34*R3146-'Model Inputs &amp; Assumptions'!$X$34^2/2))</f>
        <v>0.00598139350990626</v>
      </c>
      <c r="G3146" s="45" t="n">
        <f aca="false">ROUND(C3146*F3146,0)</f>
        <v>3592</v>
      </c>
      <c r="H3146" s="48" t="n">
        <f aca="false">MAX(0,(C3146*'Model Inputs &amp; Assumptions'!$N$34+E3146*'Model Inputs &amp; Assumptions'!$O$34+G3146*'Model Inputs &amp; Assumptions'!$P$34)*EXP('Model Inputs &amp; Assumptions'!$Q$34*S3146-'Model Inputs &amp; Assumptions'!$Q$34^2/2))</f>
        <v>99.5298994549512</v>
      </c>
      <c r="I3146" s="49" t="n">
        <f aca="false">IF('Model Inputs &amp; Assumptions'!$H$34="Fixed",'Model Inputs &amp; Assumptions'!$I$34*'Model Inputs &amp; Assumptions'!$K$34,IF('Model Inputs &amp; Assumptions'!$H$34="CPM",'Model Inputs &amp; Assumptions'!$I$34*'Model Inputs &amp; Assumptions'!$K$34*C3146/1000,IF('Model Inputs &amp; Assumptions'!$H$34="CPC",'Model Inputs &amp; Assumptions'!$I$34*'Model Inputs &amp; Assumptions'!$K$34*G3146,0)))</f>
        <v>6645.2</v>
      </c>
      <c r="J3146" s="50" t="n">
        <f aca="false">H3146*INDEX('Model Inputs &amp; Assumptions'!$D$40:$D$42,MATCH('Model Inputs &amp; Assumptions'!$L$34,'Model Inputs &amp; Assumptions'!$A$40:$A$42,0))*INDEX('Model Inputs &amp; Assumptions'!$H$40:$H$42,MATCH('Model Inputs &amp; Assumptions'!$L$34,'Model Inputs &amp; Assumptions'!$A$40:$A$42,0))</f>
        <v>716615.276075649</v>
      </c>
      <c r="K3146" s="49" t="n">
        <f aca="false">H3146*INDEX('Model Inputs &amp; Assumptions'!$G$40:$G$42,MATCH('Model Inputs &amp; Assumptions'!$L$34,'Model Inputs &amp; Assumptions'!$A$40:$A$42,0))*INDEX('Model Inputs &amp; Assumptions'!$H$40:$H$42,MATCH('Model Inputs &amp; Assumptions'!$L$34,'Model Inputs &amp; Assumptions'!$A$40:$A$42,0))</f>
        <v>15801.3668374681</v>
      </c>
      <c r="L3146" s="51" t="n">
        <f aca="false">IFERROR(K3146/I3146,0)</f>
        <v>2.37786174042437</v>
      </c>
      <c r="M3146" s="49" t="n">
        <f aca="false">IFERROR(I3146/H3146,0)</f>
        <v>66.7658667032787</v>
      </c>
      <c r="N3146" s="52" t="str">
        <f aca="false">'Model Inputs &amp; Assumptions'!$L$34</f>
        <v>PRD-USIQ</v>
      </c>
      <c r="P3146" s="53" t="n">
        <v>0.820158</v>
      </c>
      <c r="Q3146" s="53" t="n">
        <v>1.144124</v>
      </c>
      <c r="R3146" s="53" t="n">
        <v>0.072745</v>
      </c>
      <c r="S3146" s="53" t="n">
        <v>0.655303</v>
      </c>
    </row>
    <row r="3147" customFormat="false" ht="15" hidden="false" customHeight="false" outlineLevel="0" collapsed="false">
      <c r="A3147" s="43" t="n">
        <v>144</v>
      </c>
      <c r="B3147" s="44" t="str">
        <f aca="false">'Model Inputs &amp; Assumptions'!$B$34</f>
        <v>Meta — Lookalike Feed Video</v>
      </c>
      <c r="C3147" s="45" t="n">
        <f aca="false">ROUND(MAX(0,'Model Inputs &amp; Assumptions'!$S$34*EXP('Model Inputs &amp; Assumptions'!$T$34*P3147-'Model Inputs &amp; Assumptions'!$T$34^2/2)),0)</f>
        <v>578510</v>
      </c>
      <c r="D3147" s="46" t="n">
        <f aca="false">MIN(1,'Model Inputs &amp; Assumptions'!$U$34*EXP('Model Inputs &amp; Assumptions'!$V$34*Q3147-'Model Inputs &amp; Assumptions'!$V$34^2/2))</f>
        <v>0.175000149625008</v>
      </c>
      <c r="E3147" s="45" t="n">
        <f aca="false">ROUND(C3147*D3147,0)</f>
        <v>101239</v>
      </c>
      <c r="F3147" s="47" t="n">
        <f aca="false">MIN(1,'Model Inputs &amp; Assumptions'!$W$34*EXP('Model Inputs &amp; Assumptions'!$X$34*R3147-'Model Inputs &amp; Assumptions'!$X$34^2/2))</f>
        <v>0.00688805208795983</v>
      </c>
      <c r="G3147" s="45" t="n">
        <f aca="false">ROUND(C3147*F3147,0)</f>
        <v>3985</v>
      </c>
      <c r="H3147" s="48" t="n">
        <f aca="false">MAX(0,(C3147*'Model Inputs &amp; Assumptions'!$N$34+E3147*'Model Inputs &amp; Assumptions'!$O$34+G3147*'Model Inputs &amp; Assumptions'!$P$34)*EXP('Model Inputs &amp; Assumptions'!$Q$34*S3147-'Model Inputs &amp; Assumptions'!$Q$34^2/2))</f>
        <v>103.311308011071</v>
      </c>
      <c r="I3147" s="49" t="n">
        <f aca="false">IF('Model Inputs &amp; Assumptions'!$H$34="Fixed",'Model Inputs &amp; Assumptions'!$I$34*'Model Inputs &amp; Assumptions'!$K$34,IF('Model Inputs &amp; Assumptions'!$H$34="CPM",'Model Inputs &amp; Assumptions'!$I$34*'Model Inputs &amp; Assumptions'!$K$34*C3147/1000,IF('Model Inputs &amp; Assumptions'!$H$34="CPC",'Model Inputs &amp; Assumptions'!$I$34*'Model Inputs &amp; Assumptions'!$K$34*G3147,0)))</f>
        <v>7372.25</v>
      </c>
      <c r="J3147" s="50" t="n">
        <f aca="false">H3147*INDEX('Model Inputs &amp; Assumptions'!$D$40:$D$42,MATCH('Model Inputs &amp; Assumptions'!$L$34,'Model Inputs &amp; Assumptions'!$A$40:$A$42,0))*INDEX('Model Inputs &amp; Assumptions'!$H$40:$H$42,MATCH('Model Inputs &amp; Assumptions'!$L$34,'Model Inputs &amp; Assumptions'!$A$40:$A$42,0))</f>
        <v>743841.41767971</v>
      </c>
      <c r="K3147" s="49" t="n">
        <f aca="false">H3147*INDEX('Model Inputs &amp; Assumptions'!$G$40:$G$42,MATCH('Model Inputs &amp; Assumptions'!$L$34,'Model Inputs &amp; Assumptions'!$A$40:$A$42,0))*INDEX('Model Inputs &amp; Assumptions'!$H$40:$H$42,MATCH('Model Inputs &amp; Assumptions'!$L$34,'Model Inputs &amp; Assumptions'!$A$40:$A$42,0))</f>
        <v>16401.7032598376</v>
      </c>
      <c r="L3147" s="51" t="n">
        <f aca="false">IFERROR(K3147/I3147,0)</f>
        <v>2.22478934651397</v>
      </c>
      <c r="M3147" s="49" t="n">
        <f aca="false">IFERROR(I3147/H3147,0)</f>
        <v>71.3595650072497</v>
      </c>
      <c r="N3147" s="52" t="str">
        <f aca="false">'Model Inputs &amp; Assumptions'!$L$34</f>
        <v>PRD-USIQ</v>
      </c>
      <c r="P3147" s="53" t="n">
        <v>0.633132</v>
      </c>
      <c r="Q3147" s="53" t="n">
        <v>-1.628078</v>
      </c>
      <c r="R3147" s="53" t="n">
        <v>0.856827</v>
      </c>
      <c r="S3147" s="53" t="n">
        <v>0.668423</v>
      </c>
    </row>
    <row r="3148" customFormat="false" ht="15" hidden="false" customHeight="false" outlineLevel="0" collapsed="false">
      <c r="A3148" s="43" t="n">
        <v>145</v>
      </c>
      <c r="B3148" s="44" t="str">
        <f aca="false">'Model Inputs &amp; Assumptions'!$B$34</f>
        <v>Meta — Lookalike Feed Video</v>
      </c>
      <c r="C3148" s="45" t="n">
        <f aca="false">ROUND(MAX(0,'Model Inputs &amp; Assumptions'!$S$34*EXP('Model Inputs &amp; Assumptions'!$T$34*P3148-'Model Inputs &amp; Assumptions'!$T$34^2/2)),0)</f>
        <v>479829</v>
      </c>
      <c r="D3148" s="46" t="n">
        <f aca="false">MIN(1,'Model Inputs &amp; Assumptions'!$U$34*EXP('Model Inputs &amp; Assumptions'!$V$34*Q3148-'Model Inputs &amp; Assumptions'!$V$34^2/2))</f>
        <v>0.206535260101823</v>
      </c>
      <c r="E3148" s="45" t="n">
        <f aca="false">ROUND(C3148*D3148,0)</f>
        <v>99102</v>
      </c>
      <c r="F3148" s="47" t="n">
        <f aca="false">MIN(1,'Model Inputs &amp; Assumptions'!$W$34*EXP('Model Inputs &amp; Assumptions'!$X$34*R3148-'Model Inputs &amp; Assumptions'!$X$34^2/2))</f>
        <v>0.00472145497366332</v>
      </c>
      <c r="G3148" s="45" t="n">
        <f aca="false">ROUND(C3148*F3148,0)</f>
        <v>2265</v>
      </c>
      <c r="H3148" s="48" t="n">
        <f aca="false">MAX(0,(C3148*'Model Inputs &amp; Assumptions'!$N$34+E3148*'Model Inputs &amp; Assumptions'!$O$34+G3148*'Model Inputs &amp; Assumptions'!$P$34)*EXP('Model Inputs &amp; Assumptions'!$Q$34*S3148-'Model Inputs &amp; Assumptions'!$Q$34^2/2))</f>
        <v>32.1055894008049</v>
      </c>
      <c r="I3148" s="49" t="n">
        <f aca="false">IF('Model Inputs &amp; Assumptions'!$H$34="Fixed",'Model Inputs &amp; Assumptions'!$I$34*'Model Inputs &amp; Assumptions'!$K$34,IF('Model Inputs &amp; Assumptions'!$H$34="CPM",'Model Inputs &amp; Assumptions'!$I$34*'Model Inputs &amp; Assumptions'!$K$34*C3148/1000,IF('Model Inputs &amp; Assumptions'!$H$34="CPC",'Model Inputs &amp; Assumptions'!$I$34*'Model Inputs &amp; Assumptions'!$K$34*G3148,0)))</f>
        <v>4190.25</v>
      </c>
      <c r="J3148" s="50" t="n">
        <f aca="false">H3148*INDEX('Model Inputs &amp; Assumptions'!$D$40:$D$42,MATCH('Model Inputs &amp; Assumptions'!$L$34,'Model Inputs &amp; Assumptions'!$A$40:$A$42,0))*INDEX('Model Inputs &amp; Assumptions'!$H$40:$H$42,MATCH('Model Inputs &amp; Assumptions'!$L$34,'Model Inputs &amp; Assumptions'!$A$40:$A$42,0))</f>
        <v>231160.243685796</v>
      </c>
      <c r="K3148" s="49" t="n">
        <f aca="false">H3148*INDEX('Model Inputs &amp; Assumptions'!$G$40:$G$42,MATCH('Model Inputs &amp; Assumptions'!$L$34,'Model Inputs &amp; Assumptions'!$A$40:$A$42,0))*INDEX('Model Inputs &amp; Assumptions'!$H$40:$H$42,MATCH('Model Inputs &amp; Assumptions'!$L$34,'Model Inputs &amp; Assumptions'!$A$40:$A$42,0))</f>
        <v>5097.08337327179</v>
      </c>
      <c r="L3148" s="51" t="n">
        <f aca="false">IFERROR(K3148/I3148,0)</f>
        <v>1.21641510011856</v>
      </c>
      <c r="M3148" s="49" t="n">
        <f aca="false">IFERROR(I3148/H3148,0)</f>
        <v>130.514657360408</v>
      </c>
      <c r="N3148" s="52" t="str">
        <f aca="false">'Model Inputs &amp; Assumptions'!$L$34</f>
        <v>PRD-USIQ</v>
      </c>
      <c r="P3148" s="53" t="n">
        <v>-0.301999</v>
      </c>
      <c r="Q3148" s="53" t="n">
        <v>-0.592551</v>
      </c>
      <c r="R3148" s="53" t="n">
        <v>-1.241347</v>
      </c>
      <c r="S3148" s="53" t="n">
        <v>-1.419867</v>
      </c>
    </row>
    <row r="3149" customFormat="false" ht="15" hidden="false" customHeight="false" outlineLevel="0" collapsed="false">
      <c r="A3149" s="43" t="n">
        <v>146</v>
      </c>
      <c r="B3149" s="44" t="str">
        <f aca="false">'Model Inputs &amp; Assumptions'!$B$34</f>
        <v>Meta — Lookalike Feed Video</v>
      </c>
      <c r="C3149" s="45" t="n">
        <f aca="false">ROUND(MAX(0,'Model Inputs &amp; Assumptions'!$S$34*EXP('Model Inputs &amp; Assumptions'!$T$34*P3149-'Model Inputs &amp; Assumptions'!$T$34^2/2)),0)</f>
        <v>510442</v>
      </c>
      <c r="D3149" s="46" t="n">
        <f aca="false">MIN(1,'Model Inputs &amp; Assumptions'!$U$34*EXP('Model Inputs &amp; Assumptions'!$V$34*Q3149-'Model Inputs &amp; Assumptions'!$V$34^2/2))</f>
        <v>0.262676308741615</v>
      </c>
      <c r="E3149" s="45" t="n">
        <f aca="false">ROUND(C3149*D3149,0)</f>
        <v>134081</v>
      </c>
      <c r="F3149" s="47" t="n">
        <f aca="false">MIN(1,'Model Inputs &amp; Assumptions'!$W$34*EXP('Model Inputs &amp; Assumptions'!$X$34*R3149-'Model Inputs &amp; Assumptions'!$X$34^2/2))</f>
        <v>0.00576002266288125</v>
      </c>
      <c r="G3149" s="45" t="n">
        <f aca="false">ROUND(C3149*F3149,0)</f>
        <v>2940</v>
      </c>
      <c r="H3149" s="48" t="n">
        <f aca="false">MAX(0,(C3149*'Model Inputs &amp; Assumptions'!$N$34+E3149*'Model Inputs &amp; Assumptions'!$O$34+G3149*'Model Inputs &amp; Assumptions'!$P$34)*EXP('Model Inputs &amp; Assumptions'!$Q$34*S3149-'Model Inputs &amp; Assumptions'!$Q$34^2/2))</f>
        <v>114.806433952818</v>
      </c>
      <c r="I3149" s="49" t="n">
        <f aca="false">IF('Model Inputs &amp; Assumptions'!$H$34="Fixed",'Model Inputs &amp; Assumptions'!$I$34*'Model Inputs &amp; Assumptions'!$K$34,IF('Model Inputs &amp; Assumptions'!$H$34="CPM",'Model Inputs &amp; Assumptions'!$I$34*'Model Inputs &amp; Assumptions'!$K$34*C3149/1000,IF('Model Inputs &amp; Assumptions'!$H$34="CPC",'Model Inputs &amp; Assumptions'!$I$34*'Model Inputs &amp; Assumptions'!$K$34*G3149,0)))</f>
        <v>5439</v>
      </c>
      <c r="J3149" s="50" t="n">
        <f aca="false">H3149*INDEX('Model Inputs &amp; Assumptions'!$D$40:$D$42,MATCH('Model Inputs &amp; Assumptions'!$L$34,'Model Inputs &amp; Assumptions'!$A$40:$A$42,0))*INDEX('Model Inputs &amp; Assumptions'!$H$40:$H$42,MATCH('Model Inputs &amp; Assumptions'!$L$34,'Model Inputs &amp; Assumptions'!$A$40:$A$42,0))</f>
        <v>826606.324460287</v>
      </c>
      <c r="K3149" s="49" t="n">
        <f aca="false">H3149*INDEX('Model Inputs &amp; Assumptions'!$G$40:$G$42,MATCH('Model Inputs &amp; Assumptions'!$L$34,'Model Inputs &amp; Assumptions'!$A$40:$A$42,0))*INDEX('Model Inputs &amp; Assumptions'!$H$40:$H$42,MATCH('Model Inputs &amp; Assumptions'!$L$34,'Model Inputs &amp; Assumptions'!$A$40:$A$42,0))</f>
        <v>18226.6694543493</v>
      </c>
      <c r="L3149" s="51" t="n">
        <f aca="false">IFERROR(K3149/I3149,0)</f>
        <v>3.35110672078495</v>
      </c>
      <c r="M3149" s="49" t="n">
        <f aca="false">IFERROR(I3149/H3149,0)</f>
        <v>47.3753936319918</v>
      </c>
      <c r="N3149" s="52" t="str">
        <f aca="false">'Model Inputs &amp; Assumptions'!$L$34</f>
        <v>PRD-USIQ</v>
      </c>
      <c r="P3149" s="53" t="n">
        <v>0.00724</v>
      </c>
      <c r="Q3149" s="53" t="n">
        <v>0.91027</v>
      </c>
      <c r="R3149" s="53" t="n">
        <v>-0.136767</v>
      </c>
      <c r="S3149" s="53" t="n">
        <v>1.727312</v>
      </c>
    </row>
    <row r="3150" customFormat="false" ht="15" hidden="false" customHeight="false" outlineLevel="0" collapsed="false">
      <c r="A3150" s="43" t="n">
        <v>147</v>
      </c>
      <c r="B3150" s="44" t="str">
        <f aca="false">'Model Inputs &amp; Assumptions'!$B$34</f>
        <v>Meta — Lookalike Feed Video</v>
      </c>
      <c r="C3150" s="45" t="n">
        <f aca="false">ROUND(MAX(0,'Model Inputs &amp; Assumptions'!$S$34*EXP('Model Inputs &amp; Assumptions'!$T$34*P3150-'Model Inputs &amp; Assumptions'!$T$34^2/2)),0)</f>
        <v>534925</v>
      </c>
      <c r="D3150" s="46" t="n">
        <f aca="false">MIN(1,'Model Inputs &amp; Assumptions'!$U$34*EXP('Model Inputs &amp; Assumptions'!$V$34*Q3150-'Model Inputs &amp; Assumptions'!$V$34^2/2))</f>
        <v>0.26738709137747</v>
      </c>
      <c r="E3150" s="45" t="n">
        <f aca="false">ROUND(C3150*D3150,0)</f>
        <v>143032</v>
      </c>
      <c r="F3150" s="47" t="n">
        <f aca="false">MIN(1,'Model Inputs &amp; Assumptions'!$W$34*EXP('Model Inputs &amp; Assumptions'!$X$34*R3150-'Model Inputs &amp; Assumptions'!$X$34^2/2))</f>
        <v>0.00657650289564252</v>
      </c>
      <c r="G3150" s="45" t="n">
        <f aca="false">ROUND(C3150*F3150,0)</f>
        <v>3518</v>
      </c>
      <c r="H3150" s="48" t="n">
        <f aca="false">MAX(0,(C3150*'Model Inputs &amp; Assumptions'!$N$34+E3150*'Model Inputs &amp; Assumptions'!$O$34+G3150*'Model Inputs &amp; Assumptions'!$P$34)*EXP('Model Inputs &amp; Assumptions'!$Q$34*S3150-'Model Inputs &amp; Assumptions'!$Q$34^2/2))</f>
        <v>101.074866928349</v>
      </c>
      <c r="I3150" s="49" t="n">
        <f aca="false">IF('Model Inputs &amp; Assumptions'!$H$34="Fixed",'Model Inputs &amp; Assumptions'!$I$34*'Model Inputs &amp; Assumptions'!$K$34,IF('Model Inputs &amp; Assumptions'!$H$34="CPM",'Model Inputs &amp; Assumptions'!$I$34*'Model Inputs &amp; Assumptions'!$K$34*C3150/1000,IF('Model Inputs &amp; Assumptions'!$H$34="CPC",'Model Inputs &amp; Assumptions'!$I$34*'Model Inputs &amp; Assumptions'!$K$34*G3150,0)))</f>
        <v>6508.3</v>
      </c>
      <c r="J3150" s="50" t="n">
        <f aca="false">H3150*INDEX('Model Inputs &amp; Assumptions'!$D$40:$D$42,MATCH('Model Inputs &amp; Assumptions'!$L$34,'Model Inputs &amp; Assumptions'!$A$40:$A$42,0))*INDEX('Model Inputs &amp; Assumptions'!$H$40:$H$42,MATCH('Model Inputs &amp; Assumptions'!$L$34,'Model Inputs &amp; Assumptions'!$A$40:$A$42,0))</f>
        <v>727739.041884115</v>
      </c>
      <c r="K3150" s="49" t="n">
        <f aca="false">H3150*INDEX('Model Inputs &amp; Assumptions'!$G$40:$G$42,MATCH('Model Inputs &amp; Assumptions'!$L$34,'Model Inputs &amp; Assumptions'!$A$40:$A$42,0))*INDEX('Model Inputs &amp; Assumptions'!$H$40:$H$42,MATCH('Model Inputs &amp; Assumptions'!$L$34,'Model Inputs &amp; Assumptions'!$A$40:$A$42,0))</f>
        <v>16046.6458735447</v>
      </c>
      <c r="L3150" s="51" t="n">
        <f aca="false">IFERROR(K3150/I3150,0)</f>
        <v>2.46556641112806</v>
      </c>
      <c r="M3150" s="49" t="n">
        <f aca="false">IFERROR(I3150/H3150,0)</f>
        <v>64.3908836863832</v>
      </c>
      <c r="N3150" s="52" t="str">
        <f aca="false">'Model Inputs &amp; Assumptions'!$L$34</f>
        <v>PRD-USIQ</v>
      </c>
      <c r="P3150" s="53" t="n">
        <v>0.241485</v>
      </c>
      <c r="Q3150" s="53" t="n">
        <v>1.021363</v>
      </c>
      <c r="R3150" s="53" t="n">
        <v>0.599687</v>
      </c>
      <c r="S3150" s="53" t="n">
        <v>0.821103</v>
      </c>
    </row>
    <row r="3151" customFormat="false" ht="15" hidden="false" customHeight="false" outlineLevel="0" collapsed="false">
      <c r="A3151" s="43" t="n">
        <v>148</v>
      </c>
      <c r="B3151" s="44" t="str">
        <f aca="false">'Model Inputs &amp; Assumptions'!$B$34</f>
        <v>Meta — Lookalike Feed Video</v>
      </c>
      <c r="C3151" s="45" t="n">
        <f aca="false">ROUND(MAX(0,'Model Inputs &amp; Assumptions'!$S$34*EXP('Model Inputs &amp; Assumptions'!$T$34*P3151-'Model Inputs &amp; Assumptions'!$T$34^2/2)),0)</f>
        <v>581599</v>
      </c>
      <c r="D3151" s="46" t="n">
        <f aca="false">MIN(1,'Model Inputs &amp; Assumptions'!$U$34*EXP('Model Inputs &amp; Assumptions'!$V$34*Q3151-'Model Inputs &amp; Assumptions'!$V$34^2/2))</f>
        <v>0.208696338357239</v>
      </c>
      <c r="E3151" s="45" t="n">
        <f aca="false">ROUND(C3151*D3151,0)</f>
        <v>121378</v>
      </c>
      <c r="F3151" s="47" t="n">
        <f aca="false">MIN(1,'Model Inputs &amp; Assumptions'!$W$34*EXP('Model Inputs &amp; Assumptions'!$X$34*R3151-'Model Inputs &amp; Assumptions'!$X$34^2/2))</f>
        <v>0.00571215127970094</v>
      </c>
      <c r="G3151" s="45" t="n">
        <f aca="false">ROUND(C3151*F3151,0)</f>
        <v>3322</v>
      </c>
      <c r="H3151" s="48" t="n">
        <f aca="false">MAX(0,(C3151*'Model Inputs &amp; Assumptions'!$N$34+E3151*'Model Inputs &amp; Assumptions'!$O$34+G3151*'Model Inputs &amp; Assumptions'!$P$34)*EXP('Model Inputs &amp; Assumptions'!$Q$34*S3151-'Model Inputs &amp; Assumptions'!$Q$34^2/2))</f>
        <v>43.7496210481934</v>
      </c>
      <c r="I3151" s="49" t="n">
        <f aca="false">IF('Model Inputs &amp; Assumptions'!$H$34="Fixed",'Model Inputs &amp; Assumptions'!$I$34*'Model Inputs &amp; Assumptions'!$K$34,IF('Model Inputs &amp; Assumptions'!$H$34="CPM",'Model Inputs &amp; Assumptions'!$I$34*'Model Inputs &amp; Assumptions'!$K$34*C3151/1000,IF('Model Inputs &amp; Assumptions'!$H$34="CPC",'Model Inputs &amp; Assumptions'!$I$34*'Model Inputs &amp; Assumptions'!$K$34*G3151,0)))</f>
        <v>6145.7</v>
      </c>
      <c r="J3151" s="50" t="n">
        <f aca="false">H3151*INDEX('Model Inputs &amp; Assumptions'!$D$40:$D$42,MATCH('Model Inputs &amp; Assumptions'!$L$34,'Model Inputs &amp; Assumptions'!$A$40:$A$42,0))*INDEX('Model Inputs &amp; Assumptions'!$H$40:$H$42,MATCH('Model Inputs &amp; Assumptions'!$L$34,'Model Inputs &amp; Assumptions'!$A$40:$A$42,0))</f>
        <v>314997.271546993</v>
      </c>
      <c r="K3151" s="49" t="n">
        <f aca="false">H3151*INDEX('Model Inputs &amp; Assumptions'!$G$40:$G$42,MATCH('Model Inputs &amp; Assumptions'!$L$34,'Model Inputs &amp; Assumptions'!$A$40:$A$42,0))*INDEX('Model Inputs &amp; Assumptions'!$H$40:$H$42,MATCH('Model Inputs &amp; Assumptions'!$L$34,'Model Inputs &amp; Assumptions'!$A$40:$A$42,0))</f>
        <v>6945.68983761119</v>
      </c>
      <c r="L3151" s="51" t="n">
        <f aca="false">IFERROR(K3151/I3151,0)</f>
        <v>1.13017066202567</v>
      </c>
      <c r="M3151" s="49" t="n">
        <f aca="false">IFERROR(I3151/H3151,0)</f>
        <v>140.474359611711</v>
      </c>
      <c r="N3151" s="52" t="str">
        <f aca="false">'Model Inputs &amp; Assumptions'!$L$34</f>
        <v>PRD-USIQ</v>
      </c>
      <c r="P3151" s="53" t="n">
        <v>0.659766</v>
      </c>
      <c r="Q3151" s="53" t="n">
        <v>-0.527494</v>
      </c>
      <c r="R3151" s="53" t="n">
        <v>-0.183132</v>
      </c>
      <c r="S3151" s="53" t="n">
        <v>-1.571954</v>
      </c>
    </row>
    <row r="3152" customFormat="false" ht="15" hidden="false" customHeight="false" outlineLevel="0" collapsed="false">
      <c r="A3152" s="43" t="n">
        <v>149</v>
      </c>
      <c r="B3152" s="44" t="str">
        <f aca="false">'Model Inputs &amp; Assumptions'!$B$34</f>
        <v>Meta — Lookalike Feed Video</v>
      </c>
      <c r="C3152" s="45" t="n">
        <f aca="false">ROUND(MAX(0,'Model Inputs &amp; Assumptions'!$S$34*EXP('Model Inputs &amp; Assumptions'!$T$34*P3152-'Model Inputs &amp; Assumptions'!$T$34^2/2)),0)</f>
        <v>563920</v>
      </c>
      <c r="D3152" s="46" t="n">
        <f aca="false">MIN(1,'Model Inputs &amp; Assumptions'!$U$34*EXP('Model Inputs &amp; Assumptions'!$V$34*Q3152-'Model Inputs &amp; Assumptions'!$V$34^2/2))</f>
        <v>0.223628821134112</v>
      </c>
      <c r="E3152" s="45" t="n">
        <f aca="false">ROUND(C3152*D3152,0)</f>
        <v>126109</v>
      </c>
      <c r="F3152" s="47" t="n">
        <f aca="false">MIN(1,'Model Inputs &amp; Assumptions'!$W$34*EXP('Model Inputs &amp; Assumptions'!$X$34*R3152-'Model Inputs &amp; Assumptions'!$X$34^2/2))</f>
        <v>0.00514618029516465</v>
      </c>
      <c r="G3152" s="45" t="n">
        <f aca="false">ROUND(C3152*F3152,0)</f>
        <v>2902</v>
      </c>
      <c r="H3152" s="48" t="n">
        <f aca="false">MAX(0,(C3152*'Model Inputs &amp; Assumptions'!$N$34+E3152*'Model Inputs &amp; Assumptions'!$O$34+G3152*'Model Inputs &amp; Assumptions'!$P$34)*EXP('Model Inputs &amp; Assumptions'!$Q$34*S3152-'Model Inputs &amp; Assumptions'!$Q$34^2/2))</f>
        <v>66.9500846824297</v>
      </c>
      <c r="I3152" s="49" t="n">
        <f aca="false">IF('Model Inputs &amp; Assumptions'!$H$34="Fixed",'Model Inputs &amp; Assumptions'!$I$34*'Model Inputs &amp; Assumptions'!$K$34,IF('Model Inputs &amp; Assumptions'!$H$34="CPM",'Model Inputs &amp; Assumptions'!$I$34*'Model Inputs &amp; Assumptions'!$K$34*C3152/1000,IF('Model Inputs &amp; Assumptions'!$H$34="CPC",'Model Inputs &amp; Assumptions'!$I$34*'Model Inputs &amp; Assumptions'!$K$34*G3152,0)))</f>
        <v>5368.7</v>
      </c>
      <c r="J3152" s="50" t="n">
        <f aca="false">H3152*INDEX('Model Inputs &amp; Assumptions'!$D$40:$D$42,MATCH('Model Inputs &amp; Assumptions'!$L$34,'Model Inputs &amp; Assumptions'!$A$40:$A$42,0))*INDEX('Model Inputs &amp; Assumptions'!$H$40:$H$42,MATCH('Model Inputs &amp; Assumptions'!$L$34,'Model Inputs &amp; Assumptions'!$A$40:$A$42,0))</f>
        <v>482040.609713494</v>
      </c>
      <c r="K3152" s="49" t="n">
        <f aca="false">H3152*INDEX('Model Inputs &amp; Assumptions'!$G$40:$G$42,MATCH('Model Inputs &amp; Assumptions'!$L$34,'Model Inputs &amp; Assumptions'!$A$40:$A$42,0))*INDEX('Model Inputs &amp; Assumptions'!$H$40:$H$42,MATCH('Model Inputs &amp; Assumptions'!$L$34,'Model Inputs &amp; Assumptions'!$A$40:$A$42,0))</f>
        <v>10628.9954441825</v>
      </c>
      <c r="L3152" s="51" t="n">
        <f aca="false">IFERROR(K3152/I3152,0)</f>
        <v>1.97980804369448</v>
      </c>
      <c r="M3152" s="49" t="n">
        <f aca="false">IFERROR(I3152/H3152,0)</f>
        <v>80.1895923726733</v>
      </c>
      <c r="N3152" s="52" t="str">
        <f aca="false">'Model Inputs &amp; Assumptions'!$L$34</f>
        <v>PRD-USIQ</v>
      </c>
      <c r="P3152" s="53" t="n">
        <v>0.505419</v>
      </c>
      <c r="Q3152" s="53" t="n">
        <v>-0.095573</v>
      </c>
      <c r="R3152" s="53" t="n">
        <v>-0.762804</v>
      </c>
      <c r="S3152" s="53" t="n">
        <v>0.105464</v>
      </c>
    </row>
    <row r="3153" customFormat="false" ht="15" hidden="false" customHeight="false" outlineLevel="0" collapsed="false">
      <c r="A3153" s="43" t="n">
        <v>150</v>
      </c>
      <c r="B3153" s="44" t="str">
        <f aca="false">'Model Inputs &amp; Assumptions'!$B$34</f>
        <v>Meta — Lookalike Feed Video</v>
      </c>
      <c r="C3153" s="45" t="n">
        <f aca="false">ROUND(MAX(0,'Model Inputs &amp; Assumptions'!$S$34*EXP('Model Inputs &amp; Assumptions'!$T$34*P3153-'Model Inputs &amp; Assumptions'!$T$34^2/2)),0)</f>
        <v>432406</v>
      </c>
      <c r="D3153" s="46" t="n">
        <f aca="false">MIN(1,'Model Inputs &amp; Assumptions'!$U$34*EXP('Model Inputs &amp; Assumptions'!$V$34*Q3153-'Model Inputs &amp; Assumptions'!$V$34^2/2))</f>
        <v>0.252058708073272</v>
      </c>
      <c r="E3153" s="45" t="n">
        <f aca="false">ROUND(C3153*D3153,0)</f>
        <v>108992</v>
      </c>
      <c r="F3153" s="47" t="n">
        <f aca="false">MIN(1,'Model Inputs &amp; Assumptions'!$W$34*EXP('Model Inputs &amp; Assumptions'!$X$34*R3153-'Model Inputs &amp; Assumptions'!$X$34^2/2))</f>
        <v>0.0059496822170261</v>
      </c>
      <c r="G3153" s="45" t="n">
        <f aca="false">ROUND(C3153*F3153,0)</f>
        <v>2573</v>
      </c>
      <c r="H3153" s="48" t="n">
        <f aca="false">MAX(0,(C3153*'Model Inputs &amp; Assumptions'!$N$34+E3153*'Model Inputs &amp; Assumptions'!$O$34+G3153*'Model Inputs &amp; Assumptions'!$P$34)*EXP('Model Inputs &amp; Assumptions'!$Q$34*S3153-'Model Inputs &amp; Assumptions'!$Q$34^2/2))</f>
        <v>32.3867981865024</v>
      </c>
      <c r="I3153" s="49" t="n">
        <f aca="false">IF('Model Inputs &amp; Assumptions'!$H$34="Fixed",'Model Inputs &amp; Assumptions'!$I$34*'Model Inputs &amp; Assumptions'!$K$34,IF('Model Inputs &amp; Assumptions'!$H$34="CPM",'Model Inputs &amp; Assumptions'!$I$34*'Model Inputs &amp; Assumptions'!$K$34*C3153/1000,IF('Model Inputs &amp; Assumptions'!$H$34="CPC",'Model Inputs &amp; Assumptions'!$I$34*'Model Inputs &amp; Assumptions'!$K$34*G3153,0)))</f>
        <v>4760.05</v>
      </c>
      <c r="J3153" s="50" t="n">
        <f aca="false">H3153*INDEX('Model Inputs &amp; Assumptions'!$D$40:$D$42,MATCH('Model Inputs &amp; Assumptions'!$L$34,'Model Inputs &amp; Assumptions'!$A$40:$A$42,0))*INDEX('Model Inputs &amp; Assumptions'!$H$40:$H$42,MATCH('Model Inputs &amp; Assumptions'!$L$34,'Model Inputs &amp; Assumptions'!$A$40:$A$42,0))</f>
        <v>233184.946942818</v>
      </c>
      <c r="K3153" s="49" t="n">
        <f aca="false">H3153*INDEX('Model Inputs &amp; Assumptions'!$G$40:$G$42,MATCH('Model Inputs &amp; Assumptions'!$L$34,'Model Inputs &amp; Assumptions'!$A$40:$A$42,0))*INDEX('Model Inputs &amp; Assumptions'!$H$40:$H$42,MATCH('Model Inputs &amp; Assumptions'!$L$34,'Model Inputs &amp; Assumptions'!$A$40:$A$42,0))</f>
        <v>5141.72808008913</v>
      </c>
      <c r="L3153" s="51" t="n">
        <f aca="false">IFERROR(K3153/I3153,0)</f>
        <v>1.08018362834196</v>
      </c>
      <c r="M3153" s="49" t="n">
        <f aca="false">IFERROR(I3153/H3153,0)</f>
        <v>146.975010391234</v>
      </c>
      <c r="N3153" s="52" t="str">
        <f aca="false">'Model Inputs &amp; Assumptions'!$L$34</f>
        <v>PRD-USIQ</v>
      </c>
      <c r="P3153" s="53" t="n">
        <v>-0.822321</v>
      </c>
      <c r="Q3153" s="53" t="n">
        <v>0.652392</v>
      </c>
      <c r="R3153" s="53" t="n">
        <v>0.043213</v>
      </c>
      <c r="S3153" s="53" t="n">
        <v>-1.776183</v>
      </c>
    </row>
    <row r="3154" customFormat="false" ht="15" hidden="false" customHeight="false" outlineLevel="0" collapsed="false">
      <c r="A3154" s="43" t="n">
        <v>151</v>
      </c>
      <c r="B3154" s="44" t="str">
        <f aca="false">'Model Inputs &amp; Assumptions'!$B$34</f>
        <v>Meta — Lookalike Feed Video</v>
      </c>
      <c r="C3154" s="45" t="n">
        <f aca="false">ROUND(MAX(0,'Model Inputs &amp; Assumptions'!$S$34*EXP('Model Inputs &amp; Assumptions'!$T$34*P3154-'Model Inputs &amp; Assumptions'!$T$34^2/2)),0)</f>
        <v>383428</v>
      </c>
      <c r="D3154" s="46" t="n">
        <f aca="false">MIN(1,'Model Inputs &amp; Assumptions'!$U$34*EXP('Model Inputs &amp; Assumptions'!$V$34*Q3154-'Model Inputs &amp; Assumptions'!$V$34^2/2))</f>
        <v>0.228388422958098</v>
      </c>
      <c r="E3154" s="45" t="n">
        <f aca="false">ROUND(C3154*D3154,0)</f>
        <v>87571</v>
      </c>
      <c r="F3154" s="47" t="n">
        <f aca="false">MIN(1,'Model Inputs &amp; Assumptions'!$W$34*EXP('Model Inputs &amp; Assumptions'!$X$34*R3154-'Model Inputs &amp; Assumptions'!$X$34^2/2))</f>
        <v>0.00801690076752891</v>
      </c>
      <c r="G3154" s="45" t="n">
        <f aca="false">ROUND(C3154*F3154,0)</f>
        <v>3074</v>
      </c>
      <c r="H3154" s="48" t="n">
        <f aca="false">MAX(0,(C3154*'Model Inputs &amp; Assumptions'!$N$34+E3154*'Model Inputs &amp; Assumptions'!$O$34+G3154*'Model Inputs &amp; Assumptions'!$P$34)*EXP('Model Inputs &amp; Assumptions'!$Q$34*S3154-'Model Inputs &amp; Assumptions'!$Q$34^2/2))</f>
        <v>55.7052965077967</v>
      </c>
      <c r="I3154" s="49" t="n">
        <f aca="false">IF('Model Inputs &amp; Assumptions'!$H$34="Fixed",'Model Inputs &amp; Assumptions'!$I$34*'Model Inputs &amp; Assumptions'!$K$34,IF('Model Inputs &amp; Assumptions'!$H$34="CPM",'Model Inputs &amp; Assumptions'!$I$34*'Model Inputs &amp; Assumptions'!$K$34*C3154/1000,IF('Model Inputs &amp; Assumptions'!$H$34="CPC",'Model Inputs &amp; Assumptions'!$I$34*'Model Inputs &amp; Assumptions'!$K$34*G3154,0)))</f>
        <v>5686.9</v>
      </c>
      <c r="J3154" s="50" t="n">
        <f aca="false">H3154*INDEX('Model Inputs &amp; Assumptions'!$D$40:$D$42,MATCH('Model Inputs &amp; Assumptions'!$L$34,'Model Inputs &amp; Assumptions'!$A$40:$A$42,0))*INDEX('Model Inputs &amp; Assumptions'!$H$40:$H$42,MATCH('Model Inputs &amp; Assumptions'!$L$34,'Model Inputs &amp; Assumptions'!$A$40:$A$42,0))</f>
        <v>401078.134856136</v>
      </c>
      <c r="K3154" s="49" t="n">
        <f aca="false">H3154*INDEX('Model Inputs &amp; Assumptions'!$G$40:$G$42,MATCH('Model Inputs &amp; Assumptions'!$L$34,'Model Inputs &amp; Assumptions'!$A$40:$A$42,0))*INDEX('Model Inputs &amp; Assumptions'!$H$40:$H$42,MATCH('Model Inputs &amp; Assumptions'!$L$34,'Model Inputs &amp; Assumptions'!$A$40:$A$42,0))</f>
        <v>8843.7728735778</v>
      </c>
      <c r="L3154" s="51" t="n">
        <f aca="false">IFERROR(K3154/I3154,0)</f>
        <v>1.55511313256393</v>
      </c>
      <c r="M3154" s="49" t="n">
        <f aca="false">IFERROR(I3154/H3154,0)</f>
        <v>102.089035630643</v>
      </c>
      <c r="N3154" s="52" t="str">
        <f aca="false">'Model Inputs &amp; Assumptions'!$L$34</f>
        <v>PRD-USIQ</v>
      </c>
      <c r="P3154" s="53" t="n">
        <v>-1.423387</v>
      </c>
      <c r="Q3154" s="53" t="n">
        <v>0.036053</v>
      </c>
      <c r="R3154" s="53" t="n">
        <v>1.699958</v>
      </c>
      <c r="S3154" s="53" t="n">
        <v>-0.485467</v>
      </c>
    </row>
    <row r="3155" customFormat="false" ht="15" hidden="false" customHeight="false" outlineLevel="0" collapsed="false">
      <c r="A3155" s="43" t="n">
        <v>152</v>
      </c>
      <c r="B3155" s="44" t="str">
        <f aca="false">'Model Inputs &amp; Assumptions'!$B$34</f>
        <v>Meta — Lookalike Feed Video</v>
      </c>
      <c r="C3155" s="45" t="n">
        <f aca="false">ROUND(MAX(0,'Model Inputs &amp; Assumptions'!$S$34*EXP('Model Inputs &amp; Assumptions'!$T$34*P3155-'Model Inputs &amp; Assumptions'!$T$34^2/2)),0)</f>
        <v>594125</v>
      </c>
      <c r="D3155" s="46" t="n">
        <f aca="false">MIN(1,'Model Inputs &amp; Assumptions'!$U$34*EXP('Model Inputs &amp; Assumptions'!$V$34*Q3155-'Model Inputs &amp; Assumptions'!$V$34^2/2))</f>
        <v>0.202616005446389</v>
      </c>
      <c r="E3155" s="45" t="n">
        <f aca="false">ROUND(C3155*D3155,0)</f>
        <v>120379</v>
      </c>
      <c r="F3155" s="47" t="n">
        <f aca="false">MIN(1,'Model Inputs &amp; Assumptions'!$W$34*EXP('Model Inputs &amp; Assumptions'!$X$34*R3155-'Model Inputs &amp; Assumptions'!$X$34^2/2))</f>
        <v>0.00699668614585893</v>
      </c>
      <c r="G3155" s="45" t="n">
        <f aca="false">ROUND(C3155*F3155,0)</f>
        <v>4157</v>
      </c>
      <c r="H3155" s="48" t="n">
        <f aca="false">MAX(0,(C3155*'Model Inputs &amp; Assumptions'!$N$34+E3155*'Model Inputs &amp; Assumptions'!$O$34+G3155*'Model Inputs &amp; Assumptions'!$P$34)*EXP('Model Inputs &amp; Assumptions'!$Q$34*S3155-'Model Inputs &amp; Assumptions'!$Q$34^2/2))</f>
        <v>98.5107304723472</v>
      </c>
      <c r="I3155" s="49" t="n">
        <f aca="false">IF('Model Inputs &amp; Assumptions'!$H$34="Fixed",'Model Inputs &amp; Assumptions'!$I$34*'Model Inputs &amp; Assumptions'!$K$34,IF('Model Inputs &amp; Assumptions'!$H$34="CPM",'Model Inputs &amp; Assumptions'!$I$34*'Model Inputs &amp; Assumptions'!$K$34*C3155/1000,IF('Model Inputs &amp; Assumptions'!$H$34="CPC",'Model Inputs &amp; Assumptions'!$I$34*'Model Inputs &amp; Assumptions'!$K$34*G3155,0)))</f>
        <v>7690.45</v>
      </c>
      <c r="J3155" s="50" t="n">
        <f aca="false">H3155*INDEX('Model Inputs &amp; Assumptions'!$D$40:$D$42,MATCH('Model Inputs &amp; Assumptions'!$L$34,'Model Inputs &amp; Assumptions'!$A$40:$A$42,0))*INDEX('Model Inputs &amp; Assumptions'!$H$40:$H$42,MATCH('Model Inputs &amp; Assumptions'!$L$34,'Model Inputs &amp; Assumptions'!$A$40:$A$42,0))</f>
        <v>709277.2594009</v>
      </c>
      <c r="K3155" s="49" t="n">
        <f aca="false">H3155*INDEX('Model Inputs &amp; Assumptions'!$G$40:$G$42,MATCH('Model Inputs &amp; Assumptions'!$L$34,'Model Inputs &amp; Assumptions'!$A$40:$A$42,0))*INDEX('Model Inputs &amp; Assumptions'!$H$40:$H$42,MATCH('Model Inputs &amp; Assumptions'!$L$34,'Model Inputs &amp; Assumptions'!$A$40:$A$42,0))</f>
        <v>15639.5635697898</v>
      </c>
      <c r="L3155" s="51" t="n">
        <f aca="false">IFERROR(K3155/I3155,0)</f>
        <v>2.03363438677709</v>
      </c>
      <c r="M3155" s="49" t="n">
        <f aca="false">IFERROR(I3155/H3155,0)</f>
        <v>78.0671299778736</v>
      </c>
      <c r="N3155" s="52" t="str">
        <f aca="false">'Model Inputs &amp; Assumptions'!$L$34</f>
        <v>PRD-USIQ</v>
      </c>
      <c r="P3155" s="53" t="n">
        <v>0.766305</v>
      </c>
      <c r="Q3155" s="53" t="n">
        <v>-0.712292</v>
      </c>
      <c r="R3155" s="53" t="n">
        <v>0.943762</v>
      </c>
      <c r="S3155" s="53" t="n">
        <v>0.347621</v>
      </c>
    </row>
    <row r="3156" customFormat="false" ht="15" hidden="false" customHeight="false" outlineLevel="0" collapsed="false">
      <c r="A3156" s="43" t="n">
        <v>153</v>
      </c>
      <c r="B3156" s="44" t="str">
        <f aca="false">'Model Inputs &amp; Assumptions'!$B$34</f>
        <v>Meta — Lookalike Feed Video</v>
      </c>
      <c r="C3156" s="45" t="n">
        <f aca="false">ROUND(MAX(0,'Model Inputs &amp; Assumptions'!$S$34*EXP('Model Inputs &amp; Assumptions'!$T$34*P3156-'Model Inputs &amp; Assumptions'!$T$34^2/2)),0)</f>
        <v>580984</v>
      </c>
      <c r="D3156" s="46" t="n">
        <f aca="false">MIN(1,'Model Inputs &amp; Assumptions'!$U$34*EXP('Model Inputs &amp; Assumptions'!$V$34*Q3156-'Model Inputs &amp; Assumptions'!$V$34^2/2))</f>
        <v>0.209063933881115</v>
      </c>
      <c r="E3156" s="45" t="n">
        <f aca="false">ROUND(C3156*D3156,0)</f>
        <v>121463</v>
      </c>
      <c r="F3156" s="47" t="n">
        <f aca="false">MIN(1,'Model Inputs &amp; Assumptions'!$W$34*EXP('Model Inputs &amp; Assumptions'!$X$34*R3156-'Model Inputs &amp; Assumptions'!$X$34^2/2))</f>
        <v>0.00800630574423128</v>
      </c>
      <c r="G3156" s="45" t="n">
        <f aca="false">ROUND(C3156*F3156,0)</f>
        <v>4652</v>
      </c>
      <c r="H3156" s="48" t="n">
        <f aca="false">MAX(0,(C3156*'Model Inputs &amp; Assumptions'!$N$34+E3156*'Model Inputs &amp; Assumptions'!$O$34+G3156*'Model Inputs &amp; Assumptions'!$P$34)*EXP('Model Inputs &amp; Assumptions'!$Q$34*S3156-'Model Inputs &amp; Assumptions'!$Q$34^2/2))</f>
        <v>110.557068742227</v>
      </c>
      <c r="I3156" s="49" t="n">
        <f aca="false">IF('Model Inputs &amp; Assumptions'!$H$34="Fixed",'Model Inputs &amp; Assumptions'!$I$34*'Model Inputs &amp; Assumptions'!$K$34,IF('Model Inputs &amp; Assumptions'!$H$34="CPM",'Model Inputs &amp; Assumptions'!$I$34*'Model Inputs &amp; Assumptions'!$K$34*C3156/1000,IF('Model Inputs &amp; Assumptions'!$H$34="CPC",'Model Inputs &amp; Assumptions'!$I$34*'Model Inputs &amp; Assumptions'!$K$34*G3156,0)))</f>
        <v>8606.2</v>
      </c>
      <c r="J3156" s="50" t="n">
        <f aca="false">H3156*INDEX('Model Inputs &amp; Assumptions'!$D$40:$D$42,MATCH('Model Inputs &amp; Assumptions'!$L$34,'Model Inputs &amp; Assumptions'!$A$40:$A$42,0))*INDEX('Model Inputs &amp; Assumptions'!$H$40:$H$42,MATCH('Model Inputs &amp; Assumptions'!$L$34,'Model Inputs &amp; Assumptions'!$A$40:$A$42,0))</f>
        <v>796010.894944035</v>
      </c>
      <c r="K3156" s="49" t="n">
        <f aca="false">H3156*INDEX('Model Inputs &amp; Assumptions'!$G$40:$G$42,MATCH('Model Inputs &amp; Assumptions'!$L$34,'Model Inputs &amp; Assumptions'!$A$40:$A$42,0))*INDEX('Model Inputs &amp; Assumptions'!$H$40:$H$42,MATCH('Model Inputs &amp; Assumptions'!$L$34,'Model Inputs &amp; Assumptions'!$A$40:$A$42,0))</f>
        <v>17552.040233516</v>
      </c>
      <c r="L3156" s="51" t="n">
        <f aca="false">IFERROR(K3156/I3156,0)</f>
        <v>2.03946459918617</v>
      </c>
      <c r="M3156" s="49" t="n">
        <f aca="false">IFERROR(I3156/H3156,0)</f>
        <v>77.8439596663517</v>
      </c>
      <c r="N3156" s="52" t="str">
        <f aca="false">'Model Inputs &amp; Assumptions'!$L$34</f>
        <v>PRD-USIQ</v>
      </c>
      <c r="P3156" s="53" t="n">
        <v>0.654468</v>
      </c>
      <c r="Q3156" s="53" t="n">
        <v>-0.516495</v>
      </c>
      <c r="R3156" s="53" t="n">
        <v>1.692611</v>
      </c>
      <c r="S3156" s="53" t="n">
        <v>0.388639</v>
      </c>
    </row>
    <row r="3157" customFormat="false" ht="15" hidden="false" customHeight="false" outlineLevel="0" collapsed="false">
      <c r="A3157" s="43" t="n">
        <v>154</v>
      </c>
      <c r="B3157" s="44" t="str">
        <f aca="false">'Model Inputs &amp; Assumptions'!$B$34</f>
        <v>Meta — Lookalike Feed Video</v>
      </c>
      <c r="C3157" s="45" t="n">
        <f aca="false">ROUND(MAX(0,'Model Inputs &amp; Assumptions'!$S$34*EXP('Model Inputs &amp; Assumptions'!$T$34*P3157-'Model Inputs &amp; Assumptions'!$T$34^2/2)),0)</f>
        <v>581212</v>
      </c>
      <c r="D3157" s="46" t="n">
        <f aca="false">MIN(1,'Model Inputs &amp; Assumptions'!$U$34*EXP('Model Inputs &amp; Assumptions'!$V$34*Q3157-'Model Inputs &amp; Assumptions'!$V$34^2/2))</f>
        <v>0.230905992524498</v>
      </c>
      <c r="E3157" s="45" t="n">
        <f aca="false">ROUND(C3157*D3157,0)</f>
        <v>134205</v>
      </c>
      <c r="F3157" s="47" t="n">
        <f aca="false">MIN(1,'Model Inputs &amp; Assumptions'!$W$34*EXP('Model Inputs &amp; Assumptions'!$X$34*R3157-'Model Inputs &amp; Assumptions'!$X$34^2/2))</f>
        <v>0.00703346132297735</v>
      </c>
      <c r="G3157" s="45" t="n">
        <f aca="false">ROUND(C3157*F3157,0)</f>
        <v>4088</v>
      </c>
      <c r="H3157" s="48" t="n">
        <f aca="false">MAX(0,(C3157*'Model Inputs &amp; Assumptions'!$N$34+E3157*'Model Inputs &amp; Assumptions'!$O$34+G3157*'Model Inputs &amp; Assumptions'!$P$34)*EXP('Model Inputs &amp; Assumptions'!$Q$34*S3157-'Model Inputs &amp; Assumptions'!$Q$34^2/2))</f>
        <v>73.2184768311669</v>
      </c>
      <c r="I3157" s="49" t="n">
        <f aca="false">IF('Model Inputs &amp; Assumptions'!$H$34="Fixed",'Model Inputs &amp; Assumptions'!$I$34*'Model Inputs &amp; Assumptions'!$K$34,IF('Model Inputs &amp; Assumptions'!$H$34="CPM",'Model Inputs &amp; Assumptions'!$I$34*'Model Inputs &amp; Assumptions'!$K$34*C3157/1000,IF('Model Inputs &amp; Assumptions'!$H$34="CPC",'Model Inputs &amp; Assumptions'!$I$34*'Model Inputs &amp; Assumptions'!$K$34*G3157,0)))</f>
        <v>7562.8</v>
      </c>
      <c r="J3157" s="50" t="n">
        <f aca="false">H3157*INDEX('Model Inputs &amp; Assumptions'!$D$40:$D$42,MATCH('Model Inputs &amp; Assumptions'!$L$34,'Model Inputs &amp; Assumptions'!$A$40:$A$42,0))*INDEX('Model Inputs &amp; Assumptions'!$H$40:$H$42,MATCH('Model Inputs &amp; Assumptions'!$L$34,'Model Inputs &amp; Assumptions'!$A$40:$A$42,0))</f>
        <v>527173.033184402</v>
      </c>
      <c r="K3157" s="49" t="n">
        <f aca="false">H3157*INDEX('Model Inputs &amp; Assumptions'!$G$40:$G$42,MATCH('Model Inputs &amp; Assumptions'!$L$34,'Model Inputs &amp; Assumptions'!$A$40:$A$42,0))*INDEX('Model Inputs &amp; Assumptions'!$H$40:$H$42,MATCH('Model Inputs &amp; Assumptions'!$L$34,'Model Inputs &amp; Assumptions'!$A$40:$A$42,0))</f>
        <v>11624.1653817161</v>
      </c>
      <c r="L3157" s="51" t="n">
        <f aca="false">IFERROR(K3157/I3157,0)</f>
        <v>1.53701874725182</v>
      </c>
      <c r="M3157" s="49" t="n">
        <f aca="false">IFERROR(I3157/H3157,0)</f>
        <v>103.29086765133</v>
      </c>
      <c r="N3157" s="52" t="str">
        <f aca="false">'Model Inputs &amp; Assumptions'!$L$34</f>
        <v>PRD-USIQ</v>
      </c>
      <c r="P3157" s="53" t="n">
        <v>0.65643</v>
      </c>
      <c r="Q3157" s="53" t="n">
        <v>0.104571</v>
      </c>
      <c r="R3157" s="53" t="n">
        <v>0.972886</v>
      </c>
      <c r="S3157" s="53" t="n">
        <v>-0.570381</v>
      </c>
    </row>
    <row r="3158" customFormat="false" ht="15" hidden="false" customHeight="false" outlineLevel="0" collapsed="false">
      <c r="A3158" s="43" t="n">
        <v>155</v>
      </c>
      <c r="B3158" s="44" t="str">
        <f aca="false">'Model Inputs &amp; Assumptions'!$B$34</f>
        <v>Meta — Lookalike Feed Video</v>
      </c>
      <c r="C3158" s="45" t="n">
        <f aca="false">ROUND(MAX(0,'Model Inputs &amp; Assumptions'!$S$34*EXP('Model Inputs &amp; Assumptions'!$T$34*P3158-'Model Inputs &amp; Assumptions'!$T$34^2/2)),0)</f>
        <v>749556</v>
      </c>
      <c r="D3158" s="46" t="n">
        <f aca="false">MIN(1,'Model Inputs &amp; Assumptions'!$U$34*EXP('Model Inputs &amp; Assumptions'!$V$34*Q3158-'Model Inputs &amp; Assumptions'!$V$34^2/2))</f>
        <v>0.194852212950999</v>
      </c>
      <c r="E3158" s="45" t="n">
        <f aca="false">ROUND(C3158*D3158,0)</f>
        <v>146053</v>
      </c>
      <c r="F3158" s="47" t="n">
        <f aca="false">MIN(1,'Model Inputs &amp; Assumptions'!$W$34*EXP('Model Inputs &amp; Assumptions'!$X$34*R3158-'Model Inputs &amp; Assumptions'!$X$34^2/2))</f>
        <v>0.00643611263161573</v>
      </c>
      <c r="G3158" s="45" t="n">
        <f aca="false">ROUND(C3158*F3158,0)</f>
        <v>4824</v>
      </c>
      <c r="H3158" s="48" t="n">
        <f aca="false">MAX(0,(C3158*'Model Inputs &amp; Assumptions'!$N$34+E3158*'Model Inputs &amp; Assumptions'!$O$34+G3158*'Model Inputs &amp; Assumptions'!$P$34)*EXP('Model Inputs &amp; Assumptions'!$Q$34*S3158-'Model Inputs &amp; Assumptions'!$Q$34^2/2))</f>
        <v>112.455619750952</v>
      </c>
      <c r="I3158" s="49" t="n">
        <f aca="false">IF('Model Inputs &amp; Assumptions'!$H$34="Fixed",'Model Inputs &amp; Assumptions'!$I$34*'Model Inputs &amp; Assumptions'!$K$34,IF('Model Inputs &amp; Assumptions'!$H$34="CPM",'Model Inputs &amp; Assumptions'!$I$34*'Model Inputs &amp; Assumptions'!$K$34*C3158/1000,IF('Model Inputs &amp; Assumptions'!$H$34="CPC",'Model Inputs &amp; Assumptions'!$I$34*'Model Inputs &amp; Assumptions'!$K$34*G3158,0)))</f>
        <v>8924.4</v>
      </c>
      <c r="J3158" s="50" t="n">
        <f aca="false">H3158*INDEX('Model Inputs &amp; Assumptions'!$D$40:$D$42,MATCH('Model Inputs &amp; Assumptions'!$L$34,'Model Inputs &amp; Assumptions'!$A$40:$A$42,0))*INDEX('Model Inputs &amp; Assumptions'!$H$40:$H$42,MATCH('Model Inputs &amp; Assumptions'!$L$34,'Model Inputs &amp; Assumptions'!$A$40:$A$42,0))</f>
        <v>809680.462206853</v>
      </c>
      <c r="K3158" s="49" t="n">
        <f aca="false">H3158*INDEX('Model Inputs &amp; Assumptions'!$G$40:$G$42,MATCH('Model Inputs &amp; Assumptions'!$L$34,'Model Inputs &amp; Assumptions'!$A$40:$A$42,0))*INDEX('Model Inputs &amp; Assumptions'!$H$40:$H$42,MATCH('Model Inputs &amp; Assumptions'!$L$34,'Model Inputs &amp; Assumptions'!$A$40:$A$42,0))</f>
        <v>17853.4541916611</v>
      </c>
      <c r="L3158" s="51" t="n">
        <f aca="false">IFERROR(K3158/I3158,0)</f>
        <v>2.00052151311697</v>
      </c>
      <c r="M3158" s="49" t="n">
        <f aca="false">IFERROR(I3158/H3158,0)</f>
        <v>79.3593065403426</v>
      </c>
      <c r="N3158" s="52" t="str">
        <f aca="false">'Model Inputs &amp; Assumptions'!$L$34</f>
        <v>PRD-USIQ</v>
      </c>
      <c r="P3158" s="53" t="n">
        <v>1.928262</v>
      </c>
      <c r="Q3158" s="53" t="n">
        <v>-0.956487</v>
      </c>
      <c r="R3158" s="53" t="n">
        <v>0.479807</v>
      </c>
      <c r="S3158" s="53" t="n">
        <v>0.281587</v>
      </c>
    </row>
    <row r="3159" customFormat="false" ht="15" hidden="false" customHeight="false" outlineLevel="0" collapsed="false">
      <c r="A3159" s="43" t="n">
        <v>156</v>
      </c>
      <c r="B3159" s="44" t="str">
        <f aca="false">'Model Inputs &amp; Assumptions'!$B$34</f>
        <v>Meta — Lookalike Feed Video</v>
      </c>
      <c r="C3159" s="45" t="n">
        <f aca="false">ROUND(MAX(0,'Model Inputs &amp; Assumptions'!$S$34*EXP('Model Inputs &amp; Assumptions'!$T$34*P3159-'Model Inputs &amp; Assumptions'!$T$34^2/2)),0)</f>
        <v>383842</v>
      </c>
      <c r="D3159" s="46" t="n">
        <f aca="false">MIN(1,'Model Inputs &amp; Assumptions'!$U$34*EXP('Model Inputs &amp; Assumptions'!$V$34*Q3159-'Model Inputs &amp; Assumptions'!$V$34^2/2))</f>
        <v>0.186794168779412</v>
      </c>
      <c r="E3159" s="45" t="n">
        <f aca="false">ROUND(C3159*D3159,0)</f>
        <v>71699</v>
      </c>
      <c r="F3159" s="47" t="n">
        <f aca="false">MIN(1,'Model Inputs &amp; Assumptions'!$W$34*EXP('Model Inputs &amp; Assumptions'!$X$34*R3159-'Model Inputs &amp; Assumptions'!$X$34^2/2))</f>
        <v>0.00570270902356029</v>
      </c>
      <c r="G3159" s="45" t="n">
        <f aca="false">ROUND(C3159*F3159,0)</f>
        <v>2189</v>
      </c>
      <c r="H3159" s="48" t="n">
        <f aca="false">MAX(0,(C3159*'Model Inputs &amp; Assumptions'!$N$34+E3159*'Model Inputs &amp; Assumptions'!$O$34+G3159*'Model Inputs &amp; Assumptions'!$P$34)*EXP('Model Inputs &amp; Assumptions'!$Q$34*S3159-'Model Inputs &amp; Assumptions'!$Q$34^2/2))</f>
        <v>45.4827709600741</v>
      </c>
      <c r="I3159" s="49" t="n">
        <f aca="false">IF('Model Inputs &amp; Assumptions'!$H$34="Fixed",'Model Inputs &amp; Assumptions'!$I$34*'Model Inputs &amp; Assumptions'!$K$34,IF('Model Inputs &amp; Assumptions'!$H$34="CPM",'Model Inputs &amp; Assumptions'!$I$34*'Model Inputs &amp; Assumptions'!$K$34*C3159/1000,IF('Model Inputs &amp; Assumptions'!$H$34="CPC",'Model Inputs &amp; Assumptions'!$I$34*'Model Inputs &amp; Assumptions'!$K$34*G3159,0)))</f>
        <v>4049.65</v>
      </c>
      <c r="J3159" s="50" t="n">
        <f aca="false">H3159*INDEX('Model Inputs &amp; Assumptions'!$D$40:$D$42,MATCH('Model Inputs &amp; Assumptions'!$L$34,'Model Inputs &amp; Assumptions'!$A$40:$A$42,0))*INDEX('Model Inputs &amp; Assumptions'!$H$40:$H$42,MATCH('Model Inputs &amp; Assumptions'!$L$34,'Model Inputs &amp; Assumptions'!$A$40:$A$42,0))</f>
        <v>327475.950912533</v>
      </c>
      <c r="K3159" s="49" t="n">
        <f aca="false">H3159*INDEX('Model Inputs &amp; Assumptions'!$G$40:$G$42,MATCH('Model Inputs &amp; Assumptions'!$L$34,'Model Inputs &amp; Assumptions'!$A$40:$A$42,0))*INDEX('Model Inputs &amp; Assumptions'!$H$40:$H$42,MATCH('Model Inputs &amp; Assumptions'!$L$34,'Model Inputs &amp; Assumptions'!$A$40:$A$42,0))</f>
        <v>7220.84471762136</v>
      </c>
      <c r="L3159" s="51" t="n">
        <f aca="false">IFERROR(K3159/I3159,0)</f>
        <v>1.78307871485718</v>
      </c>
      <c r="M3159" s="49" t="n">
        <f aca="false">IFERROR(I3159/H3159,0)</f>
        <v>89.0370114774864</v>
      </c>
      <c r="N3159" s="52" t="str">
        <f aca="false">'Model Inputs &amp; Assumptions'!$L$34</f>
        <v>PRD-USIQ</v>
      </c>
      <c r="P3159" s="53" t="n">
        <v>-1.41799</v>
      </c>
      <c r="Q3159" s="53" t="n">
        <v>-1.22045</v>
      </c>
      <c r="R3159" s="53" t="n">
        <v>-0.192323</v>
      </c>
      <c r="S3159" s="53" t="n">
        <v>-0.105502</v>
      </c>
    </row>
    <row r="3160" customFormat="false" ht="15" hidden="false" customHeight="false" outlineLevel="0" collapsed="false">
      <c r="A3160" s="43" t="n">
        <v>157</v>
      </c>
      <c r="B3160" s="44" t="str">
        <f aca="false">'Model Inputs &amp; Assumptions'!$B$34</f>
        <v>Meta — Lookalike Feed Video</v>
      </c>
      <c r="C3160" s="45" t="n">
        <f aca="false">ROUND(MAX(0,'Model Inputs &amp; Assumptions'!$S$34*EXP('Model Inputs &amp; Assumptions'!$T$34*P3160-'Model Inputs &amp; Assumptions'!$T$34^2/2)),0)</f>
        <v>555531</v>
      </c>
      <c r="D3160" s="46" t="n">
        <f aca="false">MIN(1,'Model Inputs &amp; Assumptions'!$U$34*EXP('Model Inputs &amp; Assumptions'!$V$34*Q3160-'Model Inputs &amp; Assumptions'!$V$34^2/2))</f>
        <v>0.243535019376479</v>
      </c>
      <c r="E3160" s="45" t="n">
        <f aca="false">ROUND(C3160*D3160,0)</f>
        <v>135291</v>
      </c>
      <c r="F3160" s="47" t="n">
        <f aca="false">MIN(1,'Model Inputs &amp; Assumptions'!$W$34*EXP('Model Inputs &amp; Assumptions'!$X$34*R3160-'Model Inputs &amp; Assumptions'!$X$34^2/2))</f>
        <v>0.00569081316530077</v>
      </c>
      <c r="G3160" s="45" t="n">
        <f aca="false">ROUND(C3160*F3160,0)</f>
        <v>3161</v>
      </c>
      <c r="H3160" s="48" t="n">
        <f aca="false">MAX(0,(C3160*'Model Inputs &amp; Assumptions'!$N$34+E3160*'Model Inputs &amp; Assumptions'!$O$34+G3160*'Model Inputs &amp; Assumptions'!$P$34)*EXP('Model Inputs &amp; Assumptions'!$Q$34*S3160-'Model Inputs &amp; Assumptions'!$Q$34^2/2))</f>
        <v>77.4080969670978</v>
      </c>
      <c r="I3160" s="49" t="n">
        <f aca="false">IF('Model Inputs &amp; Assumptions'!$H$34="Fixed",'Model Inputs &amp; Assumptions'!$I$34*'Model Inputs &amp; Assumptions'!$K$34,IF('Model Inputs &amp; Assumptions'!$H$34="CPM",'Model Inputs &amp; Assumptions'!$I$34*'Model Inputs &amp; Assumptions'!$K$34*C3160/1000,IF('Model Inputs &amp; Assumptions'!$H$34="CPC",'Model Inputs &amp; Assumptions'!$I$34*'Model Inputs &amp; Assumptions'!$K$34*G3160,0)))</f>
        <v>5847.85</v>
      </c>
      <c r="J3160" s="50" t="n">
        <f aca="false">H3160*INDEX('Model Inputs &amp; Assumptions'!$D$40:$D$42,MATCH('Model Inputs &amp; Assumptions'!$L$34,'Model Inputs &amp; Assumptions'!$A$40:$A$42,0))*INDEX('Model Inputs &amp; Assumptions'!$H$40:$H$42,MATCH('Model Inputs &amp; Assumptions'!$L$34,'Model Inputs &amp; Assumptions'!$A$40:$A$42,0))</f>
        <v>557338.298163104</v>
      </c>
      <c r="K3160" s="49" t="n">
        <f aca="false">H3160*INDEX('Model Inputs &amp; Assumptions'!$G$40:$G$42,MATCH('Model Inputs &amp; Assumptions'!$L$34,'Model Inputs &amp; Assumptions'!$A$40:$A$42,0))*INDEX('Model Inputs &amp; Assumptions'!$H$40:$H$42,MATCH('Model Inputs &amp; Assumptions'!$L$34,'Model Inputs &amp; Assumptions'!$A$40:$A$42,0))</f>
        <v>12289.3094744964</v>
      </c>
      <c r="L3160" s="51" t="n">
        <f aca="false">IFERROR(K3160/I3160,0)</f>
        <v>2.10150901177295</v>
      </c>
      <c r="M3160" s="49" t="n">
        <f aca="false">IFERROR(I3160/H3160,0)</f>
        <v>75.5457145844268</v>
      </c>
      <c r="N3160" s="52" t="str">
        <f aca="false">'Model Inputs &amp; Assumptions'!$L$34</f>
        <v>PRD-USIQ</v>
      </c>
      <c r="P3160" s="53" t="n">
        <v>0.430474</v>
      </c>
      <c r="Q3160" s="53" t="n">
        <v>0.437384</v>
      </c>
      <c r="R3160" s="53" t="n">
        <v>-0.203924</v>
      </c>
      <c r="S3160" s="53" t="n">
        <v>0.29888</v>
      </c>
    </row>
    <row r="3161" customFormat="false" ht="15" hidden="false" customHeight="false" outlineLevel="0" collapsed="false">
      <c r="A3161" s="43" t="n">
        <v>158</v>
      </c>
      <c r="B3161" s="44" t="str">
        <f aca="false">'Model Inputs &amp; Assumptions'!$B$34</f>
        <v>Meta — Lookalike Feed Video</v>
      </c>
      <c r="C3161" s="45" t="n">
        <f aca="false">ROUND(MAX(0,'Model Inputs &amp; Assumptions'!$S$34*EXP('Model Inputs &amp; Assumptions'!$T$34*P3161-'Model Inputs &amp; Assumptions'!$T$34^2/2)),0)</f>
        <v>509700</v>
      </c>
      <c r="D3161" s="46" t="n">
        <f aca="false">MIN(1,'Model Inputs &amp; Assumptions'!$U$34*EXP('Model Inputs &amp; Assumptions'!$V$34*Q3161-'Model Inputs &amp; Assumptions'!$V$34^2/2))</f>
        <v>0.191317744371752</v>
      </c>
      <c r="E3161" s="45" t="n">
        <f aca="false">ROUND(C3161*D3161,0)</f>
        <v>97515</v>
      </c>
      <c r="F3161" s="47" t="n">
        <f aca="false">MIN(1,'Model Inputs &amp; Assumptions'!$W$34*EXP('Model Inputs &amp; Assumptions'!$X$34*R3161-'Model Inputs &amp; Assumptions'!$X$34^2/2))</f>
        <v>0.00546671194761506</v>
      </c>
      <c r="G3161" s="45" t="n">
        <f aca="false">ROUND(C3161*F3161,0)</f>
        <v>2786</v>
      </c>
      <c r="H3161" s="48" t="n">
        <f aca="false">MAX(0,(C3161*'Model Inputs &amp; Assumptions'!$N$34+E3161*'Model Inputs &amp; Assumptions'!$O$34+G3161*'Model Inputs &amp; Assumptions'!$P$34)*EXP('Model Inputs &amp; Assumptions'!$Q$34*S3161-'Model Inputs &amp; Assumptions'!$Q$34^2/2))</f>
        <v>39.575763910974</v>
      </c>
      <c r="I3161" s="49" t="n">
        <f aca="false">IF('Model Inputs &amp; Assumptions'!$H$34="Fixed",'Model Inputs &amp; Assumptions'!$I$34*'Model Inputs &amp; Assumptions'!$K$34,IF('Model Inputs &amp; Assumptions'!$H$34="CPM",'Model Inputs &amp; Assumptions'!$I$34*'Model Inputs &amp; Assumptions'!$K$34*C3161/1000,IF('Model Inputs &amp; Assumptions'!$H$34="CPC",'Model Inputs &amp; Assumptions'!$I$34*'Model Inputs &amp; Assumptions'!$K$34*G3161,0)))</f>
        <v>5154.1</v>
      </c>
      <c r="J3161" s="50" t="n">
        <f aca="false">H3161*INDEX('Model Inputs &amp; Assumptions'!$D$40:$D$42,MATCH('Model Inputs &amp; Assumptions'!$L$34,'Model Inputs &amp; Assumptions'!$A$40:$A$42,0))*INDEX('Model Inputs &amp; Assumptions'!$H$40:$H$42,MATCH('Model Inputs &amp; Assumptions'!$L$34,'Model Inputs &amp; Assumptions'!$A$40:$A$42,0))</f>
        <v>284945.500159012</v>
      </c>
      <c r="K3161" s="49" t="n">
        <f aca="false">H3161*INDEX('Model Inputs &amp; Assumptions'!$G$40:$G$42,MATCH('Model Inputs &amp; Assumptions'!$L$34,'Model Inputs &amp; Assumptions'!$A$40:$A$42,0))*INDEX('Model Inputs &amp; Assumptions'!$H$40:$H$42,MATCH('Model Inputs &amp; Assumptions'!$L$34,'Model Inputs &amp; Assumptions'!$A$40:$A$42,0))</f>
        <v>6283.04827850623</v>
      </c>
      <c r="L3161" s="51" t="n">
        <f aca="false">IFERROR(K3161/I3161,0)</f>
        <v>1.21903887749679</v>
      </c>
      <c r="M3161" s="49" t="n">
        <f aca="false">IFERROR(I3161/H3161,0)</f>
        <v>130.233746380593</v>
      </c>
      <c r="N3161" s="52" t="str">
        <f aca="false">'Model Inputs &amp; Assumptions'!$L$34</f>
        <v>PRD-USIQ</v>
      </c>
      <c r="P3161" s="53" t="n">
        <v>-2.8E-005</v>
      </c>
      <c r="Q3161" s="53" t="n">
        <v>-1.070898</v>
      </c>
      <c r="R3161" s="53" t="n">
        <v>-0.427123</v>
      </c>
      <c r="S3161" s="53" t="n">
        <v>-1.318615</v>
      </c>
    </row>
    <row r="3162" customFormat="false" ht="15" hidden="false" customHeight="false" outlineLevel="0" collapsed="false">
      <c r="A3162" s="43" t="n">
        <v>159</v>
      </c>
      <c r="B3162" s="44" t="str">
        <f aca="false">'Model Inputs &amp; Assumptions'!$B$34</f>
        <v>Meta — Lookalike Feed Video</v>
      </c>
      <c r="C3162" s="45" t="n">
        <f aca="false">ROUND(MAX(0,'Model Inputs &amp; Assumptions'!$S$34*EXP('Model Inputs &amp; Assumptions'!$T$34*P3162-'Model Inputs &amp; Assumptions'!$T$34^2/2)),0)</f>
        <v>634742</v>
      </c>
      <c r="D3162" s="46" t="n">
        <f aca="false">MIN(1,'Model Inputs &amp; Assumptions'!$U$34*EXP('Model Inputs &amp; Assumptions'!$V$34*Q3162-'Model Inputs &amp; Assumptions'!$V$34^2/2))</f>
        <v>0.179466792160713</v>
      </c>
      <c r="E3162" s="45" t="n">
        <f aca="false">ROUND(C3162*D3162,0)</f>
        <v>113915</v>
      </c>
      <c r="F3162" s="47" t="n">
        <f aca="false">MIN(1,'Model Inputs &amp; Assumptions'!$W$34*EXP('Model Inputs &amp; Assumptions'!$X$34*R3162-'Model Inputs &amp; Assumptions'!$X$34^2/2))</f>
        <v>0.00570410521761643</v>
      </c>
      <c r="G3162" s="45" t="n">
        <f aca="false">ROUND(C3162*F3162,0)</f>
        <v>3621</v>
      </c>
      <c r="H3162" s="48" t="n">
        <f aca="false">MAX(0,(C3162*'Model Inputs &amp; Assumptions'!$N$34+E3162*'Model Inputs &amp; Assumptions'!$O$34+G3162*'Model Inputs &amp; Assumptions'!$P$34)*EXP('Model Inputs &amp; Assumptions'!$Q$34*S3162-'Model Inputs &amp; Assumptions'!$Q$34^2/2))</f>
        <v>111.189565197413</v>
      </c>
      <c r="I3162" s="49" t="n">
        <f aca="false">IF('Model Inputs &amp; Assumptions'!$H$34="Fixed",'Model Inputs &amp; Assumptions'!$I$34*'Model Inputs &amp; Assumptions'!$K$34,IF('Model Inputs &amp; Assumptions'!$H$34="CPM",'Model Inputs &amp; Assumptions'!$I$34*'Model Inputs &amp; Assumptions'!$K$34*C3162/1000,IF('Model Inputs &amp; Assumptions'!$H$34="CPC",'Model Inputs &amp; Assumptions'!$I$34*'Model Inputs &amp; Assumptions'!$K$34*G3162,0)))</f>
        <v>6698.85</v>
      </c>
      <c r="J3162" s="50" t="n">
        <f aca="false">H3162*INDEX('Model Inputs &amp; Assumptions'!$D$40:$D$42,MATCH('Model Inputs &amp; Assumptions'!$L$34,'Model Inputs &amp; Assumptions'!$A$40:$A$42,0))*INDEX('Model Inputs &amp; Assumptions'!$H$40:$H$42,MATCH('Model Inputs &amp; Assumptions'!$L$34,'Model Inputs &amp; Assumptions'!$A$40:$A$42,0))</f>
        <v>800564.869421376</v>
      </c>
      <c r="K3162" s="49" t="n">
        <f aca="false">H3162*INDEX('Model Inputs &amp; Assumptions'!$G$40:$G$42,MATCH('Model Inputs &amp; Assumptions'!$L$34,'Model Inputs &amp; Assumptions'!$A$40:$A$42,0))*INDEX('Model Inputs &amp; Assumptions'!$H$40:$H$42,MATCH('Model Inputs &amp; Assumptions'!$L$34,'Model Inputs &amp; Assumptions'!$A$40:$A$42,0))</f>
        <v>17652.4553707413</v>
      </c>
      <c r="L3162" s="51" t="n">
        <f aca="false">IFERROR(K3162/I3162,0)</f>
        <v>2.63514713282748</v>
      </c>
      <c r="M3162" s="49" t="n">
        <f aca="false">IFERROR(I3162/H3162,0)</f>
        <v>60.2471103120731</v>
      </c>
      <c r="N3162" s="52" t="str">
        <f aca="false">'Model Inputs &amp; Assumptions'!$L$34</f>
        <v>PRD-USIQ</v>
      </c>
      <c r="P3162" s="53" t="n">
        <v>1.096951</v>
      </c>
      <c r="Q3162" s="53" t="n">
        <v>-1.470557</v>
      </c>
      <c r="R3162" s="53" t="n">
        <v>-0.190963</v>
      </c>
      <c r="S3162" s="53" t="n">
        <v>1.129457</v>
      </c>
    </row>
    <row r="3163" customFormat="false" ht="15" hidden="false" customHeight="false" outlineLevel="0" collapsed="false">
      <c r="A3163" s="43" t="n">
        <v>160</v>
      </c>
      <c r="B3163" s="44" t="str">
        <f aca="false">'Model Inputs &amp; Assumptions'!$B$34</f>
        <v>Meta — Lookalike Feed Video</v>
      </c>
      <c r="C3163" s="45" t="n">
        <f aca="false">ROUND(MAX(0,'Model Inputs &amp; Assumptions'!$S$34*EXP('Model Inputs &amp; Assumptions'!$T$34*P3163-'Model Inputs &amp; Assumptions'!$T$34^2/2)),0)</f>
        <v>807741</v>
      </c>
      <c r="D3163" s="46" t="n">
        <f aca="false">MIN(1,'Model Inputs &amp; Assumptions'!$U$34*EXP('Model Inputs &amp; Assumptions'!$V$34*Q3163-'Model Inputs &amp; Assumptions'!$V$34^2/2))</f>
        <v>0.215339314043194</v>
      </c>
      <c r="E3163" s="45" t="n">
        <f aca="false">ROUND(C3163*D3163,0)</f>
        <v>173938</v>
      </c>
      <c r="F3163" s="47" t="n">
        <f aca="false">MIN(1,'Model Inputs &amp; Assumptions'!$W$34*EXP('Model Inputs &amp; Assumptions'!$X$34*R3163-'Model Inputs &amp; Assumptions'!$X$34^2/2))</f>
        <v>0.00548477761793044</v>
      </c>
      <c r="G3163" s="45" t="n">
        <f aca="false">ROUND(C3163*F3163,0)</f>
        <v>4430</v>
      </c>
      <c r="H3163" s="48" t="n">
        <f aca="false">MAX(0,(C3163*'Model Inputs &amp; Assumptions'!$N$34+E3163*'Model Inputs &amp; Assumptions'!$O$34+G3163*'Model Inputs &amp; Assumptions'!$P$34)*EXP('Model Inputs &amp; Assumptions'!$Q$34*S3163-'Model Inputs &amp; Assumptions'!$Q$34^2/2))</f>
        <v>51.7605563882641</v>
      </c>
      <c r="I3163" s="49" t="n">
        <f aca="false">IF('Model Inputs &amp; Assumptions'!$H$34="Fixed",'Model Inputs &amp; Assumptions'!$I$34*'Model Inputs &amp; Assumptions'!$K$34,IF('Model Inputs &amp; Assumptions'!$H$34="CPM",'Model Inputs &amp; Assumptions'!$I$34*'Model Inputs &amp; Assumptions'!$K$34*C3163/1000,IF('Model Inputs &amp; Assumptions'!$H$34="CPC",'Model Inputs &amp; Assumptions'!$I$34*'Model Inputs &amp; Assumptions'!$K$34*G3163,0)))</f>
        <v>8195.5</v>
      </c>
      <c r="J3163" s="50" t="n">
        <f aca="false">H3163*INDEX('Model Inputs &amp; Assumptions'!$D$40:$D$42,MATCH('Model Inputs &amp; Assumptions'!$L$34,'Model Inputs &amp; Assumptions'!$A$40:$A$42,0))*INDEX('Model Inputs &amp; Assumptions'!$H$40:$H$42,MATCH('Model Inputs &amp; Assumptions'!$L$34,'Model Inputs &amp; Assumptions'!$A$40:$A$42,0))</f>
        <v>372676.005995502</v>
      </c>
      <c r="K3163" s="49" t="n">
        <f aca="false">H3163*INDEX('Model Inputs &amp; Assumptions'!$G$40:$G$42,MATCH('Model Inputs &amp; Assumptions'!$L$34,'Model Inputs &amp; Assumptions'!$A$40:$A$42,0))*INDEX('Model Inputs &amp; Assumptions'!$H$40:$H$42,MATCH('Model Inputs &amp; Assumptions'!$L$34,'Model Inputs &amp; Assumptions'!$A$40:$A$42,0))</f>
        <v>8217.50593220082</v>
      </c>
      <c r="L3163" s="51" t="n">
        <f aca="false">IFERROR(K3163/I3163,0)</f>
        <v>1.00268512381195</v>
      </c>
      <c r="M3163" s="49" t="n">
        <f aca="false">IFERROR(I3163/H3163,0)</f>
        <v>158.334851320458</v>
      </c>
      <c r="N3163" s="52" t="str">
        <f aca="false">'Model Inputs &amp; Assumptions'!$L$34</f>
        <v>PRD-USIQ</v>
      </c>
      <c r="P3163" s="53" t="n">
        <v>2.302064</v>
      </c>
      <c r="Q3163" s="53" t="n">
        <v>-0.331652</v>
      </c>
      <c r="R3163" s="53" t="n">
        <v>-0.408794</v>
      </c>
      <c r="S3163" s="53" t="n">
        <v>-1.975566</v>
      </c>
    </row>
    <row r="3164" customFormat="false" ht="15" hidden="false" customHeight="false" outlineLevel="0" collapsed="false">
      <c r="A3164" s="43" t="n">
        <v>161</v>
      </c>
      <c r="B3164" s="44" t="str">
        <f aca="false">'Model Inputs &amp; Assumptions'!$B$34</f>
        <v>Meta — Lookalike Feed Video</v>
      </c>
      <c r="C3164" s="45" t="n">
        <f aca="false">ROUND(MAX(0,'Model Inputs &amp; Assumptions'!$S$34*EXP('Model Inputs &amp; Assumptions'!$T$34*P3164-'Model Inputs &amp; Assumptions'!$T$34^2/2)),0)</f>
        <v>556971</v>
      </c>
      <c r="D3164" s="46" t="n">
        <f aca="false">MIN(1,'Model Inputs &amp; Assumptions'!$U$34*EXP('Model Inputs &amp; Assumptions'!$V$34*Q3164-'Model Inputs &amp; Assumptions'!$V$34^2/2))</f>
        <v>0.273774755727479</v>
      </c>
      <c r="E3164" s="45" t="n">
        <f aca="false">ROUND(C3164*D3164,0)</f>
        <v>152485</v>
      </c>
      <c r="F3164" s="47" t="n">
        <f aca="false">MIN(1,'Model Inputs &amp; Assumptions'!$W$34*EXP('Model Inputs &amp; Assumptions'!$X$34*R3164-'Model Inputs &amp; Assumptions'!$X$34^2/2))</f>
        <v>0.0044761020484953</v>
      </c>
      <c r="G3164" s="45" t="n">
        <f aca="false">ROUND(C3164*F3164,0)</f>
        <v>2493</v>
      </c>
      <c r="H3164" s="48" t="n">
        <f aca="false">MAX(0,(C3164*'Model Inputs &amp; Assumptions'!$N$34+E3164*'Model Inputs &amp; Assumptions'!$O$34+G3164*'Model Inputs &amp; Assumptions'!$P$34)*EXP('Model Inputs &amp; Assumptions'!$Q$34*S3164-'Model Inputs &amp; Assumptions'!$Q$34^2/2))</f>
        <v>64.3663591196447</v>
      </c>
      <c r="I3164" s="49" t="n">
        <f aca="false">IF('Model Inputs &amp; Assumptions'!$H$34="Fixed",'Model Inputs &amp; Assumptions'!$I$34*'Model Inputs &amp; Assumptions'!$K$34,IF('Model Inputs &amp; Assumptions'!$H$34="CPM",'Model Inputs &amp; Assumptions'!$I$34*'Model Inputs &amp; Assumptions'!$K$34*C3164/1000,IF('Model Inputs &amp; Assumptions'!$H$34="CPC",'Model Inputs &amp; Assumptions'!$I$34*'Model Inputs &amp; Assumptions'!$K$34*G3164,0)))</f>
        <v>4612.05</v>
      </c>
      <c r="J3164" s="50" t="n">
        <f aca="false">H3164*INDEX('Model Inputs &amp; Assumptions'!$D$40:$D$42,MATCH('Model Inputs &amp; Assumptions'!$L$34,'Model Inputs &amp; Assumptions'!$A$40:$A$42,0))*INDEX('Model Inputs &amp; Assumptions'!$H$40:$H$42,MATCH('Model Inputs &amp; Assumptions'!$L$34,'Model Inputs &amp; Assumptions'!$A$40:$A$42,0))</f>
        <v>463437.785661442</v>
      </c>
      <c r="K3164" s="49" t="n">
        <f aca="false">H3164*INDEX('Model Inputs &amp; Assumptions'!$G$40:$G$42,MATCH('Model Inputs &amp; Assumptions'!$L$34,'Model Inputs &amp; Assumptions'!$A$40:$A$42,0))*INDEX('Model Inputs &amp; Assumptions'!$H$40:$H$42,MATCH('Model Inputs &amp; Assumptions'!$L$34,'Model Inputs &amp; Assumptions'!$A$40:$A$42,0))</f>
        <v>10218.8031738348</v>
      </c>
      <c r="L3164" s="51" t="n">
        <f aca="false">IFERROR(K3164/I3164,0)</f>
        <v>2.21567484607383</v>
      </c>
      <c r="M3164" s="49" t="n">
        <f aca="false">IFERROR(I3164/H3164,0)</f>
        <v>71.6531129472009</v>
      </c>
      <c r="N3164" s="52" t="str">
        <f aca="false">'Model Inputs &amp; Assumptions'!$L$34</f>
        <v>PRD-USIQ</v>
      </c>
      <c r="P3164" s="53" t="n">
        <v>0.44342</v>
      </c>
      <c r="Q3164" s="53" t="n">
        <v>1.168915</v>
      </c>
      <c r="R3164" s="53" t="n">
        <v>-1.537816</v>
      </c>
      <c r="S3164" s="53" t="n">
        <v>0.27409</v>
      </c>
    </row>
    <row r="3165" customFormat="false" ht="15" hidden="false" customHeight="false" outlineLevel="0" collapsed="false">
      <c r="A3165" s="43" t="n">
        <v>162</v>
      </c>
      <c r="B3165" s="44" t="str">
        <f aca="false">'Model Inputs &amp; Assumptions'!$B$34</f>
        <v>Meta — Lookalike Feed Video</v>
      </c>
      <c r="C3165" s="45" t="n">
        <f aca="false">ROUND(MAX(0,'Model Inputs &amp; Assumptions'!$S$34*EXP('Model Inputs &amp; Assumptions'!$T$34*P3165-'Model Inputs &amp; Assumptions'!$T$34^2/2)),0)</f>
        <v>498542</v>
      </c>
      <c r="D3165" s="46" t="n">
        <f aca="false">MIN(1,'Model Inputs &amp; Assumptions'!$U$34*EXP('Model Inputs &amp; Assumptions'!$V$34*Q3165-'Model Inputs &amp; Assumptions'!$V$34^2/2))</f>
        <v>0.271840579291541</v>
      </c>
      <c r="E3165" s="45" t="n">
        <f aca="false">ROUND(C3165*D3165,0)</f>
        <v>135524</v>
      </c>
      <c r="F3165" s="47" t="n">
        <f aca="false">MIN(1,'Model Inputs &amp; Assumptions'!$W$34*EXP('Model Inputs &amp; Assumptions'!$X$34*R3165-'Model Inputs &amp; Assumptions'!$X$34^2/2))</f>
        <v>0.00641242560729514</v>
      </c>
      <c r="G3165" s="45" t="n">
        <f aca="false">ROUND(C3165*F3165,0)</f>
        <v>3197</v>
      </c>
      <c r="H3165" s="48" t="n">
        <f aca="false">MAX(0,(C3165*'Model Inputs &amp; Assumptions'!$N$34+E3165*'Model Inputs &amp; Assumptions'!$O$34+G3165*'Model Inputs &amp; Assumptions'!$P$34)*EXP('Model Inputs &amp; Assumptions'!$Q$34*S3165-'Model Inputs &amp; Assumptions'!$Q$34^2/2))</f>
        <v>78.2510106141461</v>
      </c>
      <c r="I3165" s="49" t="n">
        <f aca="false">IF('Model Inputs &amp; Assumptions'!$H$34="Fixed",'Model Inputs &amp; Assumptions'!$I$34*'Model Inputs &amp; Assumptions'!$K$34,IF('Model Inputs &amp; Assumptions'!$H$34="CPM",'Model Inputs &amp; Assumptions'!$I$34*'Model Inputs &amp; Assumptions'!$K$34*C3165/1000,IF('Model Inputs &amp; Assumptions'!$H$34="CPC",'Model Inputs &amp; Assumptions'!$I$34*'Model Inputs &amp; Assumptions'!$K$34*G3165,0)))</f>
        <v>5914.45</v>
      </c>
      <c r="J3165" s="50" t="n">
        <f aca="false">H3165*INDEX('Model Inputs &amp; Assumptions'!$D$40:$D$42,MATCH('Model Inputs &amp; Assumptions'!$L$34,'Model Inputs &amp; Assumptions'!$A$40:$A$42,0))*INDEX('Model Inputs &amp; Assumptions'!$H$40:$H$42,MATCH('Model Inputs &amp; Assumptions'!$L$34,'Model Inputs &amp; Assumptions'!$A$40:$A$42,0))</f>
        <v>563407.276421852</v>
      </c>
      <c r="K3165" s="49" t="n">
        <f aca="false">H3165*INDEX('Model Inputs &amp; Assumptions'!$G$40:$G$42,MATCH('Model Inputs &amp; Assumptions'!$L$34,'Model Inputs &amp; Assumptions'!$A$40:$A$42,0))*INDEX('Model Inputs &amp; Assumptions'!$H$40:$H$42,MATCH('Model Inputs &amp; Assumptions'!$L$34,'Model Inputs &amp; Assumptions'!$A$40:$A$42,0))</f>
        <v>12423.1304451018</v>
      </c>
      <c r="L3165" s="51" t="n">
        <f aca="false">IFERROR(K3165/I3165,0)</f>
        <v>2.10047095589646</v>
      </c>
      <c r="M3165" s="49" t="n">
        <f aca="false">IFERROR(I3165/H3165,0)</f>
        <v>75.5830493891512</v>
      </c>
      <c r="N3165" s="52" t="str">
        <f aca="false">'Model Inputs &amp; Assumptions'!$L$34</f>
        <v>PRD-USIQ</v>
      </c>
      <c r="P3165" s="53" t="n">
        <v>-0.110703</v>
      </c>
      <c r="Q3165" s="53" t="n">
        <v>1.124603</v>
      </c>
      <c r="R3165" s="53" t="n">
        <v>0.459323</v>
      </c>
      <c r="S3165" s="53" t="n">
        <v>0.301705</v>
      </c>
    </row>
    <row r="3166" customFormat="false" ht="15" hidden="false" customHeight="false" outlineLevel="0" collapsed="false">
      <c r="A3166" s="43" t="n">
        <v>163</v>
      </c>
      <c r="B3166" s="44" t="str">
        <f aca="false">'Model Inputs &amp; Assumptions'!$B$34</f>
        <v>Meta — Lookalike Feed Video</v>
      </c>
      <c r="C3166" s="45" t="n">
        <f aca="false">ROUND(MAX(0,'Model Inputs &amp; Assumptions'!$S$34*EXP('Model Inputs &amp; Assumptions'!$T$34*P3166-'Model Inputs &amp; Assumptions'!$T$34^2/2)),0)</f>
        <v>489044</v>
      </c>
      <c r="D3166" s="46" t="n">
        <f aca="false">MIN(1,'Model Inputs &amp; Assumptions'!$U$34*EXP('Model Inputs &amp; Assumptions'!$V$34*Q3166-'Model Inputs &amp; Assumptions'!$V$34^2/2))</f>
        <v>0.191353776722072</v>
      </c>
      <c r="E3166" s="45" t="n">
        <f aca="false">ROUND(C3166*D3166,0)</f>
        <v>93580</v>
      </c>
      <c r="F3166" s="47" t="n">
        <f aca="false">MIN(1,'Model Inputs &amp; Assumptions'!$W$34*EXP('Model Inputs &amp; Assumptions'!$X$34*R3166-'Model Inputs &amp; Assumptions'!$X$34^2/2))</f>
        <v>0.00572179867268389</v>
      </c>
      <c r="G3166" s="45" t="n">
        <f aca="false">ROUND(C3166*F3166,0)</f>
        <v>2798</v>
      </c>
      <c r="H3166" s="48" t="n">
        <f aca="false">MAX(0,(C3166*'Model Inputs &amp; Assumptions'!$N$34+E3166*'Model Inputs &amp; Assumptions'!$O$34+G3166*'Model Inputs &amp; Assumptions'!$P$34)*EXP('Model Inputs &amp; Assumptions'!$Q$34*S3166-'Model Inputs &amp; Assumptions'!$Q$34^2/2))</f>
        <v>35.9073846523063</v>
      </c>
      <c r="I3166" s="49" t="n">
        <f aca="false">IF('Model Inputs &amp; Assumptions'!$H$34="Fixed",'Model Inputs &amp; Assumptions'!$I$34*'Model Inputs &amp; Assumptions'!$K$34,IF('Model Inputs &amp; Assumptions'!$H$34="CPM",'Model Inputs &amp; Assumptions'!$I$34*'Model Inputs &amp; Assumptions'!$K$34*C3166/1000,IF('Model Inputs &amp; Assumptions'!$H$34="CPC",'Model Inputs &amp; Assumptions'!$I$34*'Model Inputs &amp; Assumptions'!$K$34*G3166,0)))</f>
        <v>5176.3</v>
      </c>
      <c r="J3166" s="50" t="n">
        <f aca="false">H3166*INDEX('Model Inputs &amp; Assumptions'!$D$40:$D$42,MATCH('Model Inputs &amp; Assumptions'!$L$34,'Model Inputs &amp; Assumptions'!$A$40:$A$42,0))*INDEX('Model Inputs &amp; Assumptions'!$H$40:$H$42,MATCH('Model Inputs &amp; Assumptions'!$L$34,'Model Inputs &amp; Assumptions'!$A$40:$A$42,0))</f>
        <v>258533.169496605</v>
      </c>
      <c r="K3166" s="49" t="n">
        <f aca="false">H3166*INDEX('Model Inputs &amp; Assumptions'!$G$40:$G$42,MATCH('Model Inputs &amp; Assumptions'!$L$34,'Model Inputs &amp; Assumptions'!$A$40:$A$42,0))*INDEX('Model Inputs &amp; Assumptions'!$H$40:$H$42,MATCH('Model Inputs &amp; Assumptions'!$L$34,'Model Inputs &amp; Assumptions'!$A$40:$A$42,0))</f>
        <v>5700.65638740015</v>
      </c>
      <c r="L3166" s="51" t="n">
        <f aca="false">IFERROR(K3166/I3166,0)</f>
        <v>1.10129945857082</v>
      </c>
      <c r="M3166" s="49" t="n">
        <f aca="false">IFERROR(I3166/H3166,0)</f>
        <v>144.156976346857</v>
      </c>
      <c r="N3166" s="52" t="str">
        <f aca="false">'Model Inputs &amp; Assumptions'!$L$34</f>
        <v>PRD-USIQ</v>
      </c>
      <c r="P3166" s="53" t="n">
        <v>-0.206881</v>
      </c>
      <c r="Q3166" s="53" t="n">
        <v>-1.069721</v>
      </c>
      <c r="R3166" s="53" t="n">
        <v>-0.173757</v>
      </c>
      <c r="S3166" s="53" t="n">
        <v>-1.618914</v>
      </c>
    </row>
    <row r="3167" customFormat="false" ht="15" hidden="false" customHeight="false" outlineLevel="0" collapsed="false">
      <c r="A3167" s="43" t="n">
        <v>164</v>
      </c>
      <c r="B3167" s="44" t="str">
        <f aca="false">'Model Inputs &amp; Assumptions'!$B$34</f>
        <v>Meta — Lookalike Feed Video</v>
      </c>
      <c r="C3167" s="45" t="n">
        <f aca="false">ROUND(MAX(0,'Model Inputs &amp; Assumptions'!$S$34*EXP('Model Inputs &amp; Assumptions'!$T$34*P3167-'Model Inputs &amp; Assumptions'!$T$34^2/2)),0)</f>
        <v>527357</v>
      </c>
      <c r="D3167" s="46" t="n">
        <f aca="false">MIN(1,'Model Inputs &amp; Assumptions'!$U$34*EXP('Model Inputs &amp; Assumptions'!$V$34*Q3167-'Model Inputs &amp; Assumptions'!$V$34^2/2))</f>
        <v>0.22601272633941</v>
      </c>
      <c r="E3167" s="45" t="n">
        <f aca="false">ROUND(C3167*D3167,0)</f>
        <v>119189</v>
      </c>
      <c r="F3167" s="47" t="n">
        <f aca="false">MIN(1,'Model Inputs &amp; Assumptions'!$W$34*EXP('Model Inputs &amp; Assumptions'!$X$34*R3167-'Model Inputs &amp; Assumptions'!$X$34^2/2))</f>
        <v>0.0060577134429198</v>
      </c>
      <c r="G3167" s="45" t="n">
        <f aca="false">ROUND(C3167*F3167,0)</f>
        <v>3195</v>
      </c>
      <c r="H3167" s="48" t="n">
        <f aca="false">MAX(0,(C3167*'Model Inputs &amp; Assumptions'!$N$34+E3167*'Model Inputs &amp; Assumptions'!$O$34+G3167*'Model Inputs &amp; Assumptions'!$P$34)*EXP('Model Inputs &amp; Assumptions'!$Q$34*S3167-'Model Inputs &amp; Assumptions'!$Q$34^2/2))</f>
        <v>91.2550465236988</v>
      </c>
      <c r="I3167" s="49" t="n">
        <f aca="false">IF('Model Inputs &amp; Assumptions'!$H$34="Fixed",'Model Inputs &amp; Assumptions'!$I$34*'Model Inputs &amp; Assumptions'!$K$34,IF('Model Inputs &amp; Assumptions'!$H$34="CPM",'Model Inputs &amp; Assumptions'!$I$34*'Model Inputs &amp; Assumptions'!$K$34*C3167/1000,IF('Model Inputs &amp; Assumptions'!$H$34="CPC",'Model Inputs &amp; Assumptions'!$I$34*'Model Inputs &amp; Assumptions'!$K$34*G3167,0)))</f>
        <v>5910.75</v>
      </c>
      <c r="J3167" s="50" t="n">
        <f aca="false">H3167*INDEX('Model Inputs &amp; Assumptions'!$D$40:$D$42,MATCH('Model Inputs &amp; Assumptions'!$L$34,'Model Inputs &amp; Assumptions'!$A$40:$A$42,0))*INDEX('Model Inputs &amp; Assumptions'!$H$40:$H$42,MATCH('Model Inputs &amp; Assumptions'!$L$34,'Model Inputs &amp; Assumptions'!$A$40:$A$42,0))</f>
        <v>657036.334970631</v>
      </c>
      <c r="K3167" s="49" t="n">
        <f aca="false">H3167*INDEX('Model Inputs &amp; Assumptions'!$G$40:$G$42,MATCH('Model Inputs &amp; Assumptions'!$L$34,'Model Inputs &amp; Assumptions'!$A$40:$A$42,0))*INDEX('Model Inputs &amp; Assumptions'!$H$40:$H$42,MATCH('Model Inputs &amp; Assumptions'!$L$34,'Model Inputs &amp; Assumptions'!$A$40:$A$42,0))</f>
        <v>14487.6511861024</v>
      </c>
      <c r="L3167" s="51" t="n">
        <f aca="false">IFERROR(K3167/I3167,0)</f>
        <v>2.45106817004651</v>
      </c>
      <c r="M3167" s="49" t="n">
        <f aca="false">IFERROR(I3167/H3167,0)</f>
        <v>64.7717603044012</v>
      </c>
      <c r="N3167" s="52" t="str">
        <f aca="false">'Model Inputs &amp; Assumptions'!$L$34</f>
        <v>PRD-USIQ</v>
      </c>
      <c r="P3167" s="53" t="n">
        <v>0.170244</v>
      </c>
      <c r="Q3167" s="53" t="n">
        <v>-0.0293</v>
      </c>
      <c r="R3167" s="53" t="n">
        <v>0.143183</v>
      </c>
      <c r="S3167" s="53" t="n">
        <v>0.838925</v>
      </c>
    </row>
    <row r="3168" customFormat="false" ht="15" hidden="false" customHeight="false" outlineLevel="0" collapsed="false">
      <c r="A3168" s="43" t="n">
        <v>165</v>
      </c>
      <c r="B3168" s="44" t="str">
        <f aca="false">'Model Inputs &amp; Assumptions'!$B$34</f>
        <v>Meta — Lookalike Feed Video</v>
      </c>
      <c r="C3168" s="45" t="n">
        <f aca="false">ROUND(MAX(0,'Model Inputs &amp; Assumptions'!$S$34*EXP('Model Inputs &amp; Assumptions'!$T$34*P3168-'Model Inputs &amp; Assumptions'!$T$34^2/2)),0)</f>
        <v>462309</v>
      </c>
      <c r="D3168" s="46" t="n">
        <f aca="false">MIN(1,'Model Inputs &amp; Assumptions'!$U$34*EXP('Model Inputs &amp; Assumptions'!$V$34*Q3168-'Model Inputs &amp; Assumptions'!$V$34^2/2))</f>
        <v>0.288831960926423</v>
      </c>
      <c r="E3168" s="45" t="n">
        <f aca="false">ROUND(C3168*D3168,0)</f>
        <v>133530</v>
      </c>
      <c r="F3168" s="47" t="n">
        <f aca="false">MIN(1,'Model Inputs &amp; Assumptions'!$W$34*EXP('Model Inputs &amp; Assumptions'!$X$34*R3168-'Model Inputs &amp; Assumptions'!$X$34^2/2))</f>
        <v>0.00593297865281694</v>
      </c>
      <c r="G3168" s="45" t="n">
        <f aca="false">ROUND(C3168*F3168,0)</f>
        <v>2743</v>
      </c>
      <c r="H3168" s="48" t="n">
        <f aca="false">MAX(0,(C3168*'Model Inputs &amp; Assumptions'!$N$34+E3168*'Model Inputs &amp; Assumptions'!$O$34+G3168*'Model Inputs &amp; Assumptions'!$P$34)*EXP('Model Inputs &amp; Assumptions'!$Q$34*S3168-'Model Inputs &amp; Assumptions'!$Q$34^2/2))</f>
        <v>56.1997496047894</v>
      </c>
      <c r="I3168" s="49" t="n">
        <f aca="false">IF('Model Inputs &amp; Assumptions'!$H$34="Fixed",'Model Inputs &amp; Assumptions'!$I$34*'Model Inputs &amp; Assumptions'!$K$34,IF('Model Inputs &amp; Assumptions'!$H$34="CPM",'Model Inputs &amp; Assumptions'!$I$34*'Model Inputs &amp; Assumptions'!$K$34*C3168/1000,IF('Model Inputs &amp; Assumptions'!$H$34="CPC",'Model Inputs &amp; Assumptions'!$I$34*'Model Inputs &amp; Assumptions'!$K$34*G3168,0)))</f>
        <v>5074.55</v>
      </c>
      <c r="J3168" s="50" t="n">
        <f aca="false">H3168*INDEX('Model Inputs &amp; Assumptions'!$D$40:$D$42,MATCH('Model Inputs &amp; Assumptions'!$L$34,'Model Inputs &amp; Assumptions'!$A$40:$A$42,0))*INDEX('Model Inputs &amp; Assumptions'!$H$40:$H$42,MATCH('Model Inputs &amp; Assumptions'!$L$34,'Model Inputs &amp; Assumptions'!$A$40:$A$42,0))</f>
        <v>404638.197154484</v>
      </c>
      <c r="K3168" s="49" t="n">
        <f aca="false">H3168*INDEX('Model Inputs &amp; Assumptions'!$G$40:$G$42,MATCH('Model Inputs &amp; Assumptions'!$L$34,'Model Inputs &amp; Assumptions'!$A$40:$A$42,0))*INDEX('Model Inputs &amp; Assumptions'!$H$40:$H$42,MATCH('Model Inputs &amp; Assumptions'!$L$34,'Model Inputs &amp; Assumptions'!$A$40:$A$42,0))</f>
        <v>8922.27224725637</v>
      </c>
      <c r="L3168" s="51" t="n">
        <f aca="false">IFERROR(K3168/I3168,0)</f>
        <v>1.7582391044046</v>
      </c>
      <c r="M3168" s="49" t="n">
        <f aca="false">IFERROR(I3168/H3168,0)</f>
        <v>90.294886288382</v>
      </c>
      <c r="N3168" s="52" t="str">
        <f aca="false">'Model Inputs &amp; Assumptions'!$L$34</f>
        <v>PRD-USIQ</v>
      </c>
      <c r="P3168" s="53" t="n">
        <v>-0.487978</v>
      </c>
      <c r="Q3168" s="53" t="n">
        <v>1.503536</v>
      </c>
      <c r="R3168" s="53" t="n">
        <v>0.027594</v>
      </c>
      <c r="S3168" s="53" t="n">
        <v>-0.320578</v>
      </c>
    </row>
    <row r="3169" customFormat="false" ht="15" hidden="false" customHeight="false" outlineLevel="0" collapsed="false">
      <c r="A3169" s="43" t="n">
        <v>166</v>
      </c>
      <c r="B3169" s="44" t="str">
        <f aca="false">'Model Inputs &amp; Assumptions'!$B$34</f>
        <v>Meta — Lookalike Feed Video</v>
      </c>
      <c r="C3169" s="45" t="n">
        <f aca="false">ROUND(MAX(0,'Model Inputs &amp; Assumptions'!$S$34*EXP('Model Inputs &amp; Assumptions'!$T$34*P3169-'Model Inputs &amp; Assumptions'!$T$34^2/2)),0)</f>
        <v>360491</v>
      </c>
      <c r="D3169" s="46" t="n">
        <f aca="false">MIN(1,'Model Inputs &amp; Assumptions'!$U$34*EXP('Model Inputs &amp; Assumptions'!$V$34*Q3169-'Model Inputs &amp; Assumptions'!$V$34^2/2))</f>
        <v>0.298091053628345</v>
      </c>
      <c r="E3169" s="45" t="n">
        <f aca="false">ROUND(C3169*D3169,0)</f>
        <v>107459</v>
      </c>
      <c r="F3169" s="47" t="n">
        <f aca="false">MIN(1,'Model Inputs &amp; Assumptions'!$W$34*EXP('Model Inputs &amp; Assumptions'!$X$34*R3169-'Model Inputs &amp; Assumptions'!$X$34^2/2))</f>
        <v>0.00461347278592763</v>
      </c>
      <c r="G3169" s="45" t="n">
        <f aca="false">ROUND(C3169*F3169,0)</f>
        <v>1663</v>
      </c>
      <c r="H3169" s="48" t="n">
        <f aca="false">MAX(0,(C3169*'Model Inputs &amp; Assumptions'!$N$34+E3169*'Model Inputs &amp; Assumptions'!$O$34+G3169*'Model Inputs &amp; Assumptions'!$P$34)*EXP('Model Inputs &amp; Assumptions'!$Q$34*S3169-'Model Inputs &amp; Assumptions'!$Q$34^2/2))</f>
        <v>46.9186193400245</v>
      </c>
      <c r="I3169" s="49" t="n">
        <f aca="false">IF('Model Inputs &amp; Assumptions'!$H$34="Fixed",'Model Inputs &amp; Assumptions'!$I$34*'Model Inputs &amp; Assumptions'!$K$34,IF('Model Inputs &amp; Assumptions'!$H$34="CPM",'Model Inputs &amp; Assumptions'!$I$34*'Model Inputs &amp; Assumptions'!$K$34*C3169/1000,IF('Model Inputs &amp; Assumptions'!$H$34="CPC",'Model Inputs &amp; Assumptions'!$I$34*'Model Inputs &amp; Assumptions'!$K$34*G3169,0)))</f>
        <v>3076.55</v>
      </c>
      <c r="J3169" s="50" t="n">
        <f aca="false">H3169*INDEX('Model Inputs &amp; Assumptions'!$D$40:$D$42,MATCH('Model Inputs &amp; Assumptions'!$L$34,'Model Inputs &amp; Assumptions'!$A$40:$A$42,0))*INDEX('Model Inputs &amp; Assumptions'!$H$40:$H$42,MATCH('Model Inputs &amp; Assumptions'!$L$34,'Model Inputs &amp; Assumptions'!$A$40:$A$42,0))</f>
        <v>337814.059248176</v>
      </c>
      <c r="K3169" s="49" t="n">
        <f aca="false">H3169*INDEX('Model Inputs &amp; Assumptions'!$G$40:$G$42,MATCH('Model Inputs &amp; Assumptions'!$L$34,'Model Inputs &amp; Assumptions'!$A$40:$A$42,0))*INDEX('Model Inputs &amp; Assumptions'!$H$40:$H$42,MATCH('Model Inputs &amp; Assumptions'!$L$34,'Model Inputs &amp; Assumptions'!$A$40:$A$42,0))</f>
        <v>7448.80000642228</v>
      </c>
      <c r="L3169" s="51" t="n">
        <f aca="false">IFERROR(K3169/I3169,0)</f>
        <v>2.42115356695724</v>
      </c>
      <c r="M3169" s="49" t="n">
        <f aca="false">IFERROR(I3169/H3169,0)</f>
        <v>65.5720488640959</v>
      </c>
      <c r="N3169" s="52" t="str">
        <f aca="false">'Model Inputs &amp; Assumptions'!$L$34</f>
        <v>PRD-USIQ</v>
      </c>
      <c r="P3169" s="53" t="n">
        <v>-1.731813</v>
      </c>
      <c r="Q3169" s="53" t="n">
        <v>1.700748</v>
      </c>
      <c r="R3169" s="53" t="n">
        <v>-1.369881</v>
      </c>
      <c r="S3169" s="53" t="n">
        <v>0.516757</v>
      </c>
    </row>
    <row r="3170" customFormat="false" ht="15" hidden="false" customHeight="false" outlineLevel="0" collapsed="false">
      <c r="A3170" s="43" t="n">
        <v>167</v>
      </c>
      <c r="B3170" s="44" t="str">
        <f aca="false">'Model Inputs &amp; Assumptions'!$B$34</f>
        <v>Meta — Lookalike Feed Video</v>
      </c>
      <c r="C3170" s="45" t="n">
        <f aca="false">ROUND(MAX(0,'Model Inputs &amp; Assumptions'!$S$34*EXP('Model Inputs &amp; Assumptions'!$T$34*P3170-'Model Inputs &amp; Assumptions'!$T$34^2/2)),0)</f>
        <v>575621</v>
      </c>
      <c r="D3170" s="46" t="n">
        <f aca="false">MIN(1,'Model Inputs &amp; Assumptions'!$U$34*EXP('Model Inputs &amp; Assumptions'!$V$34*Q3170-'Model Inputs &amp; Assumptions'!$V$34^2/2))</f>
        <v>0.204097444501818</v>
      </c>
      <c r="E3170" s="45" t="n">
        <f aca="false">ROUND(C3170*D3170,0)</f>
        <v>117483</v>
      </c>
      <c r="F3170" s="47" t="n">
        <f aca="false">MIN(1,'Model Inputs &amp; Assumptions'!$W$34*EXP('Model Inputs &amp; Assumptions'!$X$34*R3170-'Model Inputs &amp; Assumptions'!$X$34^2/2))</f>
        <v>0.00664359325000849</v>
      </c>
      <c r="G3170" s="45" t="n">
        <f aca="false">ROUND(C3170*F3170,0)</f>
        <v>3824</v>
      </c>
      <c r="H3170" s="48" t="n">
        <f aca="false">MAX(0,(C3170*'Model Inputs &amp; Assumptions'!$N$34+E3170*'Model Inputs &amp; Assumptions'!$O$34+G3170*'Model Inputs &amp; Assumptions'!$P$34)*EXP('Model Inputs &amp; Assumptions'!$Q$34*S3170-'Model Inputs &amp; Assumptions'!$Q$34^2/2))</f>
        <v>65.2546753712381</v>
      </c>
      <c r="I3170" s="49" t="n">
        <f aca="false">IF('Model Inputs &amp; Assumptions'!$H$34="Fixed",'Model Inputs &amp; Assumptions'!$I$34*'Model Inputs &amp; Assumptions'!$K$34,IF('Model Inputs &amp; Assumptions'!$H$34="CPM",'Model Inputs &amp; Assumptions'!$I$34*'Model Inputs &amp; Assumptions'!$K$34*C3170/1000,IF('Model Inputs &amp; Assumptions'!$H$34="CPC",'Model Inputs &amp; Assumptions'!$I$34*'Model Inputs &amp; Assumptions'!$K$34*G3170,0)))</f>
        <v>7074.4</v>
      </c>
      <c r="J3170" s="50" t="n">
        <f aca="false">H3170*INDEX('Model Inputs &amp; Assumptions'!$D$40:$D$42,MATCH('Model Inputs &amp; Assumptions'!$L$34,'Model Inputs &amp; Assumptions'!$A$40:$A$42,0))*INDEX('Model Inputs &amp; Assumptions'!$H$40:$H$42,MATCH('Model Inputs &amp; Assumptions'!$L$34,'Model Inputs &amp; Assumptions'!$A$40:$A$42,0))</f>
        <v>469833.662672914</v>
      </c>
      <c r="K3170" s="49" t="n">
        <f aca="false">H3170*INDEX('Model Inputs &amp; Assumptions'!$G$40:$G$42,MATCH('Model Inputs &amp; Assumptions'!$L$34,'Model Inputs &amp; Assumptions'!$A$40:$A$42,0))*INDEX('Model Inputs &amp; Assumptions'!$H$40:$H$42,MATCH('Model Inputs &amp; Assumptions'!$L$34,'Model Inputs &amp; Assumptions'!$A$40:$A$42,0))</f>
        <v>10359.8322619378</v>
      </c>
      <c r="L3170" s="51" t="n">
        <f aca="false">IFERROR(K3170/I3170,0)</f>
        <v>1.46441143587269</v>
      </c>
      <c r="M3170" s="49" t="n">
        <f aca="false">IFERROR(I3170/H3170,0)</f>
        <v>108.412155293905</v>
      </c>
      <c r="N3170" s="52" t="str">
        <f aca="false">'Model Inputs &amp; Assumptions'!$L$34</f>
        <v>PRD-USIQ</v>
      </c>
      <c r="P3170" s="53" t="n">
        <v>0.608104</v>
      </c>
      <c r="Q3170" s="53" t="n">
        <v>-0.666761</v>
      </c>
      <c r="R3170" s="53" t="n">
        <v>0.656075</v>
      </c>
      <c r="S3170" s="53" t="n">
        <v>-0.698242</v>
      </c>
    </row>
    <row r="3171" customFormat="false" ht="15" hidden="false" customHeight="false" outlineLevel="0" collapsed="false">
      <c r="A3171" s="43" t="n">
        <v>168</v>
      </c>
      <c r="B3171" s="44" t="str">
        <f aca="false">'Model Inputs &amp; Assumptions'!$B$34</f>
        <v>Meta — Lookalike Feed Video</v>
      </c>
      <c r="C3171" s="45" t="n">
        <f aca="false">ROUND(MAX(0,'Model Inputs &amp; Assumptions'!$S$34*EXP('Model Inputs &amp; Assumptions'!$T$34*P3171-'Model Inputs &amp; Assumptions'!$T$34^2/2)),0)</f>
        <v>441920</v>
      </c>
      <c r="D3171" s="46" t="n">
        <f aca="false">MIN(1,'Model Inputs &amp; Assumptions'!$U$34*EXP('Model Inputs &amp; Assumptions'!$V$34*Q3171-'Model Inputs &amp; Assumptions'!$V$34^2/2))</f>
        <v>0.238871490083191</v>
      </c>
      <c r="E3171" s="45" t="n">
        <f aca="false">ROUND(C3171*D3171,0)</f>
        <v>105562</v>
      </c>
      <c r="F3171" s="47" t="n">
        <f aca="false">MIN(1,'Model Inputs &amp; Assumptions'!$W$34*EXP('Model Inputs &amp; Assumptions'!$X$34*R3171-'Model Inputs &amp; Assumptions'!$X$34^2/2))</f>
        <v>0.00527914983802418</v>
      </c>
      <c r="G3171" s="45" t="n">
        <f aca="false">ROUND(C3171*F3171,0)</f>
        <v>2333</v>
      </c>
      <c r="H3171" s="48" t="n">
        <f aca="false">MAX(0,(C3171*'Model Inputs &amp; Assumptions'!$N$34+E3171*'Model Inputs &amp; Assumptions'!$O$34+G3171*'Model Inputs &amp; Assumptions'!$P$34)*EXP('Model Inputs &amp; Assumptions'!$Q$34*S3171-'Model Inputs &amp; Assumptions'!$Q$34^2/2))</f>
        <v>52.9325239947494</v>
      </c>
      <c r="I3171" s="49" t="n">
        <f aca="false">IF('Model Inputs &amp; Assumptions'!$H$34="Fixed",'Model Inputs &amp; Assumptions'!$I$34*'Model Inputs &amp; Assumptions'!$K$34,IF('Model Inputs &amp; Assumptions'!$H$34="CPM",'Model Inputs &amp; Assumptions'!$I$34*'Model Inputs &amp; Assumptions'!$K$34*C3171/1000,IF('Model Inputs &amp; Assumptions'!$H$34="CPC",'Model Inputs &amp; Assumptions'!$I$34*'Model Inputs &amp; Assumptions'!$K$34*G3171,0)))</f>
        <v>4316.05</v>
      </c>
      <c r="J3171" s="50" t="n">
        <f aca="false">H3171*INDEX('Model Inputs &amp; Assumptions'!$D$40:$D$42,MATCH('Model Inputs &amp; Assumptions'!$L$34,'Model Inputs &amp; Assumptions'!$A$40:$A$42,0))*INDEX('Model Inputs &amp; Assumptions'!$H$40:$H$42,MATCH('Model Inputs &amp; Assumptions'!$L$34,'Model Inputs &amp; Assumptions'!$A$40:$A$42,0))</f>
        <v>381114.172762196</v>
      </c>
      <c r="K3171" s="49" t="n">
        <f aca="false">H3171*INDEX('Model Inputs &amp; Assumptions'!$G$40:$G$42,MATCH('Model Inputs &amp; Assumptions'!$L$34,'Model Inputs &amp; Assumptions'!$A$40:$A$42,0))*INDEX('Model Inputs &amp; Assumptions'!$H$40:$H$42,MATCH('Model Inputs &amp; Assumptions'!$L$34,'Model Inputs &amp; Assumptions'!$A$40:$A$42,0))</f>
        <v>8403.56750940641</v>
      </c>
      <c r="L3171" s="51" t="n">
        <f aca="false">IFERROR(K3171/I3171,0)</f>
        <v>1.9470505460795</v>
      </c>
      <c r="M3171" s="49" t="n">
        <f aca="false">IFERROR(I3171/H3171,0)</f>
        <v>81.5387152221974</v>
      </c>
      <c r="N3171" s="52" t="str">
        <f aca="false">'Model Inputs &amp; Assumptions'!$L$34</f>
        <v>PRD-USIQ</v>
      </c>
      <c r="P3171" s="53" t="n">
        <v>-0.713504</v>
      </c>
      <c r="Q3171" s="53" t="n">
        <v>0.31654</v>
      </c>
      <c r="R3171" s="53" t="n">
        <v>-0.62108</v>
      </c>
      <c r="S3171" s="53" t="n">
        <v>0.034307</v>
      </c>
    </row>
    <row r="3172" customFormat="false" ht="15" hidden="false" customHeight="false" outlineLevel="0" collapsed="false">
      <c r="A3172" s="43" t="n">
        <v>169</v>
      </c>
      <c r="B3172" s="44" t="str">
        <f aca="false">'Model Inputs &amp; Assumptions'!$B$34</f>
        <v>Meta — Lookalike Feed Video</v>
      </c>
      <c r="C3172" s="45" t="n">
        <f aca="false">ROUND(MAX(0,'Model Inputs &amp; Assumptions'!$S$34*EXP('Model Inputs &amp; Assumptions'!$T$34*P3172-'Model Inputs &amp; Assumptions'!$T$34^2/2)),0)</f>
        <v>688208</v>
      </c>
      <c r="D3172" s="46" t="n">
        <f aca="false">MIN(1,'Model Inputs &amp; Assumptions'!$U$34*EXP('Model Inputs &amp; Assumptions'!$V$34*Q3172-'Model Inputs &amp; Assumptions'!$V$34^2/2))</f>
        <v>0.198592468696992</v>
      </c>
      <c r="E3172" s="45" t="n">
        <f aca="false">ROUND(C3172*D3172,0)</f>
        <v>136673</v>
      </c>
      <c r="F3172" s="47" t="n">
        <f aca="false">MIN(1,'Model Inputs &amp; Assumptions'!$W$34*EXP('Model Inputs &amp; Assumptions'!$X$34*R3172-'Model Inputs &amp; Assumptions'!$X$34^2/2))</f>
        <v>0.0050419362718538</v>
      </c>
      <c r="G3172" s="45" t="n">
        <f aca="false">ROUND(C3172*F3172,0)</f>
        <v>3470</v>
      </c>
      <c r="H3172" s="48" t="n">
        <f aca="false">MAX(0,(C3172*'Model Inputs &amp; Assumptions'!$N$34+E3172*'Model Inputs &amp; Assumptions'!$O$34+G3172*'Model Inputs &amp; Assumptions'!$P$34)*EXP('Model Inputs &amp; Assumptions'!$Q$34*S3172-'Model Inputs &amp; Assumptions'!$Q$34^2/2))</f>
        <v>50.2276821446542</v>
      </c>
      <c r="I3172" s="49" t="n">
        <f aca="false">IF('Model Inputs &amp; Assumptions'!$H$34="Fixed",'Model Inputs &amp; Assumptions'!$I$34*'Model Inputs &amp; Assumptions'!$K$34,IF('Model Inputs &amp; Assumptions'!$H$34="CPM",'Model Inputs &amp; Assumptions'!$I$34*'Model Inputs &amp; Assumptions'!$K$34*C3172/1000,IF('Model Inputs &amp; Assumptions'!$H$34="CPC",'Model Inputs &amp; Assumptions'!$I$34*'Model Inputs &amp; Assumptions'!$K$34*G3172,0)))</f>
        <v>6419.5</v>
      </c>
      <c r="J3172" s="50" t="n">
        <f aca="false">H3172*INDEX('Model Inputs &amp; Assumptions'!$D$40:$D$42,MATCH('Model Inputs &amp; Assumptions'!$L$34,'Model Inputs &amp; Assumptions'!$A$40:$A$42,0))*INDEX('Model Inputs &amp; Assumptions'!$H$40:$H$42,MATCH('Model Inputs &amp; Assumptions'!$L$34,'Model Inputs &amp; Assumptions'!$A$40:$A$42,0))</f>
        <v>361639.31144151</v>
      </c>
      <c r="K3172" s="49" t="n">
        <f aca="false">H3172*INDEX('Model Inputs &amp; Assumptions'!$G$40:$G$42,MATCH('Model Inputs &amp; Assumptions'!$L$34,'Model Inputs &amp; Assumptions'!$A$40:$A$42,0))*INDEX('Model Inputs &amp; Assumptions'!$H$40:$H$42,MATCH('Model Inputs &amp; Assumptions'!$L$34,'Model Inputs &amp; Assumptions'!$A$40:$A$42,0))</f>
        <v>7974.1468172853</v>
      </c>
      <c r="L3172" s="51" t="n">
        <f aca="false">IFERROR(K3172/I3172,0)</f>
        <v>1.24217568615707</v>
      </c>
      <c r="M3172" s="49" t="n">
        <f aca="false">IFERROR(I3172/H3172,0)</f>
        <v>127.808007972815</v>
      </c>
      <c r="N3172" s="52" t="str">
        <f aca="false">'Model Inputs &amp; Assumptions'!$L$34</f>
        <v>PRD-USIQ</v>
      </c>
      <c r="P3172" s="53" t="n">
        <v>1.501313</v>
      </c>
      <c r="Q3172" s="53" t="n">
        <v>-0.837653</v>
      </c>
      <c r="R3172" s="53" t="n">
        <v>-0.876496</v>
      </c>
      <c r="S3172" s="53" t="n">
        <v>-1.307577</v>
      </c>
    </row>
    <row r="3173" customFormat="false" ht="15" hidden="false" customHeight="false" outlineLevel="0" collapsed="false">
      <c r="A3173" s="43" t="n">
        <v>170</v>
      </c>
      <c r="B3173" s="44" t="str">
        <f aca="false">'Model Inputs &amp; Assumptions'!$B$34</f>
        <v>Meta — Lookalike Feed Video</v>
      </c>
      <c r="C3173" s="45" t="n">
        <f aca="false">ROUND(MAX(0,'Model Inputs &amp; Assumptions'!$S$34*EXP('Model Inputs &amp; Assumptions'!$T$34*P3173-'Model Inputs &amp; Assumptions'!$T$34^2/2)),0)</f>
        <v>410923</v>
      </c>
      <c r="D3173" s="46" t="n">
        <f aca="false">MIN(1,'Model Inputs &amp; Assumptions'!$U$34*EXP('Model Inputs &amp; Assumptions'!$V$34*Q3173-'Model Inputs &amp; Assumptions'!$V$34^2/2))</f>
        <v>0.192596758484374</v>
      </c>
      <c r="E3173" s="45" t="n">
        <f aca="false">ROUND(C3173*D3173,0)</f>
        <v>79142</v>
      </c>
      <c r="F3173" s="47" t="n">
        <f aca="false">MIN(1,'Model Inputs &amp; Assumptions'!$W$34*EXP('Model Inputs &amp; Assumptions'!$X$34*R3173-'Model Inputs &amp; Assumptions'!$X$34^2/2))</f>
        <v>0.00557229506365831</v>
      </c>
      <c r="G3173" s="45" t="n">
        <f aca="false">ROUND(C3173*F3173,0)</f>
        <v>2290</v>
      </c>
      <c r="H3173" s="48" t="n">
        <f aca="false">MAX(0,(C3173*'Model Inputs &amp; Assumptions'!$N$34+E3173*'Model Inputs &amp; Assumptions'!$O$34+G3173*'Model Inputs &amp; Assumptions'!$P$34)*EXP('Model Inputs &amp; Assumptions'!$Q$34*S3173-'Model Inputs &amp; Assumptions'!$Q$34^2/2))</f>
        <v>74.3887177402851</v>
      </c>
      <c r="I3173" s="49" t="n">
        <f aca="false">IF('Model Inputs &amp; Assumptions'!$H$34="Fixed",'Model Inputs &amp; Assumptions'!$I$34*'Model Inputs &amp; Assumptions'!$K$34,IF('Model Inputs &amp; Assumptions'!$H$34="CPM",'Model Inputs &amp; Assumptions'!$I$34*'Model Inputs &amp; Assumptions'!$K$34*C3173/1000,IF('Model Inputs &amp; Assumptions'!$H$34="CPC",'Model Inputs &amp; Assumptions'!$I$34*'Model Inputs &amp; Assumptions'!$K$34*G3173,0)))</f>
        <v>4236.5</v>
      </c>
      <c r="J3173" s="50" t="n">
        <f aca="false">H3173*INDEX('Model Inputs &amp; Assumptions'!$D$40:$D$42,MATCH('Model Inputs &amp; Assumptions'!$L$34,'Model Inputs &amp; Assumptions'!$A$40:$A$42,0))*INDEX('Model Inputs &amp; Assumptions'!$H$40:$H$42,MATCH('Model Inputs &amp; Assumptions'!$L$34,'Model Inputs &amp; Assumptions'!$A$40:$A$42,0))</f>
        <v>535598.767730053</v>
      </c>
      <c r="K3173" s="49" t="n">
        <f aca="false">H3173*INDEX('Model Inputs &amp; Assumptions'!$G$40:$G$42,MATCH('Model Inputs &amp; Assumptions'!$L$34,'Model Inputs &amp; Assumptions'!$A$40:$A$42,0))*INDEX('Model Inputs &amp; Assumptions'!$H$40:$H$42,MATCH('Model Inputs &amp; Assumptions'!$L$34,'Model Inputs &amp; Assumptions'!$A$40:$A$42,0))</f>
        <v>11809.9528284477</v>
      </c>
      <c r="L3173" s="51" t="n">
        <f aca="false">IFERROR(K3173/I3173,0)</f>
        <v>2.78766737364515</v>
      </c>
      <c r="M3173" s="49" t="n">
        <f aca="false">IFERROR(I3173/H3173,0)</f>
        <v>56.9508405130867</v>
      </c>
      <c r="N3173" s="52" t="str">
        <f aca="false">'Model Inputs &amp; Assumptions'!$L$34</f>
        <v>PRD-USIQ</v>
      </c>
      <c r="P3173" s="53" t="n">
        <v>-1.077119</v>
      </c>
      <c r="Q3173" s="53" t="n">
        <v>-1.029254</v>
      </c>
      <c r="R3173" s="53" t="n">
        <v>-0.320847</v>
      </c>
      <c r="S3173" s="53" t="n">
        <v>1.271055</v>
      </c>
    </row>
    <row r="3174" customFormat="false" ht="15" hidden="false" customHeight="false" outlineLevel="0" collapsed="false">
      <c r="A3174" s="43" t="n">
        <v>171</v>
      </c>
      <c r="B3174" s="44" t="str">
        <f aca="false">'Model Inputs &amp; Assumptions'!$B$34</f>
        <v>Meta — Lookalike Feed Video</v>
      </c>
      <c r="C3174" s="45" t="n">
        <f aca="false">ROUND(MAX(0,'Model Inputs &amp; Assumptions'!$S$34*EXP('Model Inputs &amp; Assumptions'!$T$34*P3174-'Model Inputs &amp; Assumptions'!$T$34^2/2)),0)</f>
        <v>491449</v>
      </c>
      <c r="D3174" s="46" t="n">
        <f aca="false">MIN(1,'Model Inputs &amp; Assumptions'!$U$34*EXP('Model Inputs &amp; Assumptions'!$V$34*Q3174-'Model Inputs &amp; Assumptions'!$V$34^2/2))</f>
        <v>0.23636757367381</v>
      </c>
      <c r="E3174" s="45" t="n">
        <f aca="false">ROUND(C3174*D3174,0)</f>
        <v>116163</v>
      </c>
      <c r="F3174" s="47" t="n">
        <f aca="false">MIN(1,'Model Inputs &amp; Assumptions'!$W$34*EXP('Model Inputs &amp; Assumptions'!$X$34*R3174-'Model Inputs &amp; Assumptions'!$X$34^2/2))</f>
        <v>0.00909308877070286</v>
      </c>
      <c r="G3174" s="45" t="n">
        <f aca="false">ROUND(C3174*F3174,0)</f>
        <v>4469</v>
      </c>
      <c r="H3174" s="48" t="n">
        <f aca="false">MAX(0,(C3174*'Model Inputs &amp; Assumptions'!$N$34+E3174*'Model Inputs &amp; Assumptions'!$O$34+G3174*'Model Inputs &amp; Assumptions'!$P$34)*EXP('Model Inputs &amp; Assumptions'!$Q$34*S3174-'Model Inputs &amp; Assumptions'!$Q$34^2/2))</f>
        <v>118.645844390059</v>
      </c>
      <c r="I3174" s="49" t="n">
        <f aca="false">IF('Model Inputs &amp; Assumptions'!$H$34="Fixed",'Model Inputs &amp; Assumptions'!$I$34*'Model Inputs &amp; Assumptions'!$K$34,IF('Model Inputs &amp; Assumptions'!$H$34="CPM",'Model Inputs &amp; Assumptions'!$I$34*'Model Inputs &amp; Assumptions'!$K$34*C3174/1000,IF('Model Inputs &amp; Assumptions'!$H$34="CPC",'Model Inputs &amp; Assumptions'!$I$34*'Model Inputs &amp; Assumptions'!$K$34*G3174,0)))</f>
        <v>8267.65</v>
      </c>
      <c r="J3174" s="50" t="n">
        <f aca="false">H3174*INDEX('Model Inputs &amp; Assumptions'!$D$40:$D$42,MATCH('Model Inputs &amp; Assumptions'!$L$34,'Model Inputs &amp; Assumptions'!$A$40:$A$42,0))*INDEX('Model Inputs &amp; Assumptions'!$H$40:$H$42,MATCH('Model Inputs &amp; Assumptions'!$L$34,'Model Inputs &amp; Assumptions'!$A$40:$A$42,0))</f>
        <v>854250.079608426</v>
      </c>
      <c r="K3174" s="49" t="n">
        <f aca="false">H3174*INDEX('Model Inputs &amp; Assumptions'!$G$40:$G$42,MATCH('Model Inputs &amp; Assumptions'!$L$34,'Model Inputs &amp; Assumptions'!$A$40:$A$42,0))*INDEX('Model Inputs &amp; Assumptions'!$H$40:$H$42,MATCH('Model Inputs &amp; Assumptions'!$L$34,'Model Inputs &amp; Assumptions'!$A$40:$A$42,0))</f>
        <v>18836.2142553658</v>
      </c>
      <c r="L3174" s="51" t="n">
        <f aca="false">IFERROR(K3174/I3174,0)</f>
        <v>2.27830329723268</v>
      </c>
      <c r="M3174" s="49" t="n">
        <f aca="false">IFERROR(I3174/H3174,0)</f>
        <v>69.683435121582</v>
      </c>
      <c r="N3174" s="52" t="str">
        <f aca="false">'Model Inputs &amp; Assumptions'!$L$34</f>
        <v>PRD-USIQ</v>
      </c>
      <c r="P3174" s="53" t="n">
        <v>-0.18235</v>
      </c>
      <c r="Q3174" s="53" t="n">
        <v>0.25068</v>
      </c>
      <c r="R3174" s="53" t="n">
        <v>2.399751</v>
      </c>
      <c r="S3174" s="53" t="n">
        <v>0.736035</v>
      </c>
    </row>
    <row r="3175" customFormat="false" ht="15" hidden="false" customHeight="false" outlineLevel="0" collapsed="false">
      <c r="A3175" s="43" t="n">
        <v>172</v>
      </c>
      <c r="B3175" s="44" t="str">
        <f aca="false">'Model Inputs &amp; Assumptions'!$B$34</f>
        <v>Meta — Lookalike Feed Video</v>
      </c>
      <c r="C3175" s="45" t="n">
        <f aca="false">ROUND(MAX(0,'Model Inputs &amp; Assumptions'!$S$34*EXP('Model Inputs &amp; Assumptions'!$T$34*P3175-'Model Inputs &amp; Assumptions'!$T$34^2/2)),0)</f>
        <v>531504</v>
      </c>
      <c r="D3175" s="46" t="n">
        <f aca="false">MIN(1,'Model Inputs &amp; Assumptions'!$U$34*EXP('Model Inputs &amp; Assumptions'!$V$34*Q3175-'Model Inputs &amp; Assumptions'!$V$34^2/2))</f>
        <v>0.219665098930767</v>
      </c>
      <c r="E3175" s="45" t="n">
        <f aca="false">ROUND(C3175*D3175,0)</f>
        <v>116753</v>
      </c>
      <c r="F3175" s="47" t="n">
        <f aca="false">MIN(1,'Model Inputs &amp; Assumptions'!$W$34*EXP('Model Inputs &amp; Assumptions'!$X$34*R3175-'Model Inputs &amp; Assumptions'!$X$34^2/2))</f>
        <v>0.00643896433236585</v>
      </c>
      <c r="G3175" s="45" t="n">
        <f aca="false">ROUND(C3175*F3175,0)</f>
        <v>3422</v>
      </c>
      <c r="H3175" s="48" t="n">
        <f aca="false">MAX(0,(C3175*'Model Inputs &amp; Assumptions'!$N$34+E3175*'Model Inputs &amp; Assumptions'!$O$34+G3175*'Model Inputs &amp; Assumptions'!$P$34)*EXP('Model Inputs &amp; Assumptions'!$Q$34*S3175-'Model Inputs &amp; Assumptions'!$Q$34^2/2))</f>
        <v>67.6997802753174</v>
      </c>
      <c r="I3175" s="49" t="n">
        <f aca="false">IF('Model Inputs &amp; Assumptions'!$H$34="Fixed",'Model Inputs &amp; Assumptions'!$I$34*'Model Inputs &amp; Assumptions'!$K$34,IF('Model Inputs &amp; Assumptions'!$H$34="CPM",'Model Inputs &amp; Assumptions'!$I$34*'Model Inputs &amp; Assumptions'!$K$34*C3175/1000,IF('Model Inputs &amp; Assumptions'!$H$34="CPC",'Model Inputs &amp; Assumptions'!$I$34*'Model Inputs &amp; Assumptions'!$K$34*G3175,0)))</f>
        <v>6330.7</v>
      </c>
      <c r="J3175" s="50" t="n">
        <f aca="false">H3175*INDEX('Model Inputs &amp; Assumptions'!$D$40:$D$42,MATCH('Model Inputs &amp; Assumptions'!$L$34,'Model Inputs &amp; Assumptions'!$A$40:$A$42,0))*INDEX('Model Inputs &amp; Assumptions'!$H$40:$H$42,MATCH('Model Inputs &amp; Assumptions'!$L$34,'Model Inputs &amp; Assumptions'!$A$40:$A$42,0))</f>
        <v>487438.417982285</v>
      </c>
      <c r="K3175" s="49" t="n">
        <f aca="false">H3175*INDEX('Model Inputs &amp; Assumptions'!$G$40:$G$42,MATCH('Model Inputs &amp; Assumptions'!$L$34,'Model Inputs &amp; Assumptions'!$A$40:$A$42,0))*INDEX('Model Inputs &amp; Assumptions'!$H$40:$H$42,MATCH('Model Inputs &amp; Assumptions'!$L$34,'Model Inputs &amp; Assumptions'!$A$40:$A$42,0))</f>
        <v>10748.0171165094</v>
      </c>
      <c r="L3175" s="51" t="n">
        <f aca="false">IFERROR(K3175/I3175,0)</f>
        <v>1.69776124544038</v>
      </c>
      <c r="M3175" s="49" t="n">
        <f aca="false">IFERROR(I3175/H3175,0)</f>
        <v>93.5113817837324</v>
      </c>
      <c r="N3175" s="52" t="str">
        <f aca="false">'Model Inputs &amp; Assumptions'!$L$34</f>
        <v>PRD-USIQ</v>
      </c>
      <c r="P3175" s="53" t="n">
        <v>0.209406</v>
      </c>
      <c r="Q3175" s="53" t="n">
        <v>-0.207345</v>
      </c>
      <c r="R3175" s="53" t="n">
        <v>0.482268</v>
      </c>
      <c r="S3175" s="53" t="n">
        <v>-0.273764</v>
      </c>
    </row>
    <row r="3176" customFormat="false" ht="15" hidden="false" customHeight="false" outlineLevel="0" collapsed="false">
      <c r="A3176" s="43" t="n">
        <v>173</v>
      </c>
      <c r="B3176" s="44" t="str">
        <f aca="false">'Model Inputs &amp; Assumptions'!$B$34</f>
        <v>Meta — Lookalike Feed Video</v>
      </c>
      <c r="C3176" s="45" t="n">
        <f aca="false">ROUND(MAX(0,'Model Inputs &amp; Assumptions'!$S$34*EXP('Model Inputs &amp; Assumptions'!$T$34*P3176-'Model Inputs &amp; Assumptions'!$T$34^2/2)),0)</f>
        <v>530810</v>
      </c>
      <c r="D3176" s="46" t="n">
        <f aca="false">MIN(1,'Model Inputs &amp; Assumptions'!$U$34*EXP('Model Inputs &amp; Assumptions'!$V$34*Q3176-'Model Inputs &amp; Assumptions'!$V$34^2/2))</f>
        <v>0.231902102104578</v>
      </c>
      <c r="E3176" s="45" t="n">
        <f aca="false">ROUND(C3176*D3176,0)</f>
        <v>123096</v>
      </c>
      <c r="F3176" s="47" t="n">
        <f aca="false">MIN(1,'Model Inputs &amp; Assumptions'!$W$34*EXP('Model Inputs &amp; Assumptions'!$X$34*R3176-'Model Inputs &amp; Assumptions'!$X$34^2/2))</f>
        <v>0.0054351772309289</v>
      </c>
      <c r="G3176" s="45" t="n">
        <f aca="false">ROUND(C3176*F3176,0)</f>
        <v>2885</v>
      </c>
      <c r="H3176" s="48" t="n">
        <f aca="false">MAX(0,(C3176*'Model Inputs &amp; Assumptions'!$N$34+E3176*'Model Inputs &amp; Assumptions'!$O$34+G3176*'Model Inputs &amp; Assumptions'!$P$34)*EXP('Model Inputs &amp; Assumptions'!$Q$34*S3176-'Model Inputs &amp; Assumptions'!$Q$34^2/2))</f>
        <v>35.464639118248</v>
      </c>
      <c r="I3176" s="49" t="n">
        <f aca="false">IF('Model Inputs &amp; Assumptions'!$H$34="Fixed",'Model Inputs &amp; Assumptions'!$I$34*'Model Inputs &amp; Assumptions'!$K$34,IF('Model Inputs &amp; Assumptions'!$H$34="CPM",'Model Inputs &amp; Assumptions'!$I$34*'Model Inputs &amp; Assumptions'!$K$34*C3176/1000,IF('Model Inputs &amp; Assumptions'!$H$34="CPC",'Model Inputs &amp; Assumptions'!$I$34*'Model Inputs &amp; Assumptions'!$K$34*G3176,0)))</f>
        <v>5337.25</v>
      </c>
      <c r="J3176" s="50" t="n">
        <f aca="false">H3176*INDEX('Model Inputs &amp; Assumptions'!$D$40:$D$42,MATCH('Model Inputs &amp; Assumptions'!$L$34,'Model Inputs &amp; Assumptions'!$A$40:$A$42,0))*INDEX('Model Inputs &amp; Assumptions'!$H$40:$H$42,MATCH('Model Inputs &amp; Assumptions'!$L$34,'Model Inputs &amp; Assumptions'!$A$40:$A$42,0))</f>
        <v>255345.401651385</v>
      </c>
      <c r="K3176" s="49" t="n">
        <f aca="false">H3176*INDEX('Model Inputs &amp; Assumptions'!$G$40:$G$42,MATCH('Model Inputs &amp; Assumptions'!$L$34,'Model Inputs &amp; Assumptions'!$A$40:$A$42,0))*INDEX('Model Inputs &amp; Assumptions'!$H$40:$H$42,MATCH('Model Inputs &amp; Assumptions'!$L$34,'Model Inputs &amp; Assumptions'!$A$40:$A$42,0))</f>
        <v>5630.36610641305</v>
      </c>
      <c r="L3176" s="51" t="n">
        <f aca="false">IFERROR(K3176/I3176,0)</f>
        <v>1.05491893885672</v>
      </c>
      <c r="M3176" s="49" t="n">
        <f aca="false">IFERROR(I3176/H3176,0)</f>
        <v>150.494975634865</v>
      </c>
      <c r="N3176" s="52" t="str">
        <f aca="false">'Model Inputs &amp; Assumptions'!$L$34</f>
        <v>PRD-USIQ</v>
      </c>
      <c r="P3176" s="53" t="n">
        <v>0.202877</v>
      </c>
      <c r="Q3176" s="53" t="n">
        <v>0.131475</v>
      </c>
      <c r="R3176" s="53" t="n">
        <v>-0.459263</v>
      </c>
      <c r="S3176" s="53" t="n">
        <v>-1.85343</v>
      </c>
    </row>
    <row r="3177" customFormat="false" ht="15" hidden="false" customHeight="false" outlineLevel="0" collapsed="false">
      <c r="A3177" s="43" t="n">
        <v>174</v>
      </c>
      <c r="B3177" s="44" t="str">
        <f aca="false">'Model Inputs &amp; Assumptions'!$B$34</f>
        <v>Meta — Lookalike Feed Video</v>
      </c>
      <c r="C3177" s="45" t="n">
        <f aca="false">ROUND(MAX(0,'Model Inputs &amp; Assumptions'!$S$34*EXP('Model Inputs &amp; Assumptions'!$T$34*P3177-'Model Inputs &amp; Assumptions'!$T$34^2/2)),0)</f>
        <v>508885</v>
      </c>
      <c r="D3177" s="46" t="n">
        <f aca="false">MIN(1,'Model Inputs &amp; Assumptions'!$U$34*EXP('Model Inputs &amp; Assumptions'!$V$34*Q3177-'Model Inputs &amp; Assumptions'!$V$34^2/2))</f>
        <v>0.203913186913197</v>
      </c>
      <c r="E3177" s="45" t="n">
        <f aca="false">ROUND(C3177*D3177,0)</f>
        <v>103768</v>
      </c>
      <c r="F3177" s="47" t="n">
        <f aca="false">MIN(1,'Model Inputs &amp; Assumptions'!$W$34*EXP('Model Inputs &amp; Assumptions'!$X$34*R3177-'Model Inputs &amp; Assumptions'!$X$34^2/2))</f>
        <v>0.00554878802050899</v>
      </c>
      <c r="G3177" s="45" t="n">
        <f aca="false">ROUND(C3177*F3177,0)</f>
        <v>2824</v>
      </c>
      <c r="H3177" s="48" t="n">
        <f aca="false">MAX(0,(C3177*'Model Inputs &amp; Assumptions'!$N$34+E3177*'Model Inputs &amp; Assumptions'!$O$34+G3177*'Model Inputs &amp; Assumptions'!$P$34)*EXP('Model Inputs &amp; Assumptions'!$Q$34*S3177-'Model Inputs &amp; Assumptions'!$Q$34^2/2))</f>
        <v>70.9799684395181</v>
      </c>
      <c r="I3177" s="49" t="n">
        <f aca="false">IF('Model Inputs &amp; Assumptions'!$H$34="Fixed",'Model Inputs &amp; Assumptions'!$I$34*'Model Inputs &amp; Assumptions'!$K$34,IF('Model Inputs &amp; Assumptions'!$H$34="CPM",'Model Inputs &amp; Assumptions'!$I$34*'Model Inputs &amp; Assumptions'!$K$34*C3177/1000,IF('Model Inputs &amp; Assumptions'!$H$34="CPC",'Model Inputs &amp; Assumptions'!$I$34*'Model Inputs &amp; Assumptions'!$K$34*G3177,0)))</f>
        <v>5224.4</v>
      </c>
      <c r="J3177" s="50" t="n">
        <f aca="false">H3177*INDEX('Model Inputs &amp; Assumptions'!$D$40:$D$42,MATCH('Model Inputs &amp; Assumptions'!$L$34,'Model Inputs &amp; Assumptions'!$A$40:$A$42,0))*INDEX('Model Inputs &amp; Assumptions'!$H$40:$H$42,MATCH('Model Inputs &amp; Assumptions'!$L$34,'Model Inputs &amp; Assumptions'!$A$40:$A$42,0))</f>
        <v>511055.77276453</v>
      </c>
      <c r="K3177" s="49" t="n">
        <f aca="false">H3177*INDEX('Model Inputs &amp; Assumptions'!$G$40:$G$42,MATCH('Model Inputs &amp; Assumptions'!$L$34,'Model Inputs &amp; Assumptions'!$A$40:$A$42,0))*INDEX('Model Inputs &amp; Assumptions'!$H$40:$H$42,MATCH('Model Inputs &amp; Assumptions'!$L$34,'Model Inputs &amp; Assumptions'!$A$40:$A$42,0))</f>
        <v>11268.7797894579</v>
      </c>
      <c r="L3177" s="51" t="n">
        <f aca="false">IFERROR(K3177/I3177,0)</f>
        <v>2.15695195418764</v>
      </c>
      <c r="M3177" s="49" t="n">
        <f aca="false">IFERROR(I3177/H3177,0)</f>
        <v>73.6038647925253</v>
      </c>
      <c r="N3177" s="52" t="str">
        <f aca="false">'Model Inputs &amp; Assumptions'!$L$34</f>
        <v>PRD-USIQ</v>
      </c>
      <c r="P3177" s="53" t="n">
        <v>-0.008035</v>
      </c>
      <c r="Q3177" s="53" t="n">
        <v>-0.672406</v>
      </c>
      <c r="R3177" s="53" t="n">
        <v>-0.344333</v>
      </c>
      <c r="S3177" s="53" t="n">
        <v>0.445558</v>
      </c>
    </row>
    <row r="3178" customFormat="false" ht="15" hidden="false" customHeight="false" outlineLevel="0" collapsed="false">
      <c r="A3178" s="43" t="n">
        <v>175</v>
      </c>
      <c r="B3178" s="44" t="str">
        <f aca="false">'Model Inputs &amp; Assumptions'!$B$34</f>
        <v>Meta — Lookalike Feed Video</v>
      </c>
      <c r="C3178" s="45" t="n">
        <f aca="false">ROUND(MAX(0,'Model Inputs &amp; Assumptions'!$S$34*EXP('Model Inputs &amp; Assumptions'!$T$34*P3178-'Model Inputs &amp; Assumptions'!$T$34^2/2)),0)</f>
        <v>385726</v>
      </c>
      <c r="D3178" s="46" t="n">
        <f aca="false">MIN(1,'Model Inputs &amp; Assumptions'!$U$34*EXP('Model Inputs &amp; Assumptions'!$V$34*Q3178-'Model Inputs &amp; Assumptions'!$V$34^2/2))</f>
        <v>0.243109108544468</v>
      </c>
      <c r="E3178" s="45" t="n">
        <f aca="false">ROUND(C3178*D3178,0)</f>
        <v>93774</v>
      </c>
      <c r="F3178" s="47" t="n">
        <f aca="false">MIN(1,'Model Inputs &amp; Assumptions'!$W$34*EXP('Model Inputs &amp; Assumptions'!$X$34*R3178-'Model Inputs &amp; Assumptions'!$X$34^2/2))</f>
        <v>0.00562789481352741</v>
      </c>
      <c r="G3178" s="45" t="n">
        <f aca="false">ROUND(C3178*F3178,0)</f>
        <v>2171</v>
      </c>
      <c r="H3178" s="48" t="n">
        <f aca="false">MAX(0,(C3178*'Model Inputs &amp; Assumptions'!$N$34+E3178*'Model Inputs &amp; Assumptions'!$O$34+G3178*'Model Inputs &amp; Assumptions'!$P$34)*EXP('Model Inputs &amp; Assumptions'!$Q$34*S3178-'Model Inputs &amp; Assumptions'!$Q$34^2/2))</f>
        <v>41.6790831225683</v>
      </c>
      <c r="I3178" s="49" t="n">
        <f aca="false">IF('Model Inputs &amp; Assumptions'!$H$34="Fixed",'Model Inputs &amp; Assumptions'!$I$34*'Model Inputs &amp; Assumptions'!$K$34,IF('Model Inputs &amp; Assumptions'!$H$34="CPM",'Model Inputs &amp; Assumptions'!$I$34*'Model Inputs &amp; Assumptions'!$K$34*C3178/1000,IF('Model Inputs &amp; Assumptions'!$H$34="CPC",'Model Inputs &amp; Assumptions'!$I$34*'Model Inputs &amp; Assumptions'!$K$34*G3178,0)))</f>
        <v>4016.35</v>
      </c>
      <c r="J3178" s="50" t="n">
        <f aca="false">H3178*INDEX('Model Inputs &amp; Assumptions'!$D$40:$D$42,MATCH('Model Inputs &amp; Assumptions'!$L$34,'Model Inputs &amp; Assumptions'!$A$40:$A$42,0))*INDEX('Model Inputs &amp; Assumptions'!$H$40:$H$42,MATCH('Model Inputs &amp; Assumptions'!$L$34,'Model Inputs &amp; Assumptions'!$A$40:$A$42,0))</f>
        <v>300089.398482492</v>
      </c>
      <c r="K3178" s="49" t="n">
        <f aca="false">H3178*INDEX('Model Inputs &amp; Assumptions'!$G$40:$G$42,MATCH('Model Inputs &amp; Assumptions'!$L$34,'Model Inputs &amp; Assumptions'!$A$40:$A$42,0))*INDEX('Model Inputs &amp; Assumptions'!$H$40:$H$42,MATCH('Model Inputs &amp; Assumptions'!$L$34,'Model Inputs &amp; Assumptions'!$A$40:$A$42,0))</f>
        <v>6616.97123653895</v>
      </c>
      <c r="L3178" s="51" t="n">
        <f aca="false">IFERROR(K3178/I3178,0)</f>
        <v>1.64750861766005</v>
      </c>
      <c r="M3178" s="49" t="n">
        <f aca="false">IFERROR(I3178/H3178,0)</f>
        <v>96.3636841095776</v>
      </c>
      <c r="N3178" s="52" t="str">
        <f aca="false">'Model Inputs &amp; Assumptions'!$L$34</f>
        <v>PRD-USIQ</v>
      </c>
      <c r="P3178" s="53" t="n">
        <v>-1.393504</v>
      </c>
      <c r="Q3178" s="53" t="n">
        <v>0.426444</v>
      </c>
      <c r="R3178" s="53" t="n">
        <v>-0.265689</v>
      </c>
      <c r="S3178" s="53" t="n">
        <v>-0.465919</v>
      </c>
    </row>
    <row r="3179" customFormat="false" ht="15" hidden="false" customHeight="false" outlineLevel="0" collapsed="false">
      <c r="A3179" s="43" t="n">
        <v>176</v>
      </c>
      <c r="B3179" s="44" t="str">
        <f aca="false">'Model Inputs &amp; Assumptions'!$B$34</f>
        <v>Meta — Lookalike Feed Video</v>
      </c>
      <c r="C3179" s="45" t="n">
        <f aca="false">ROUND(MAX(0,'Model Inputs &amp; Assumptions'!$S$34*EXP('Model Inputs &amp; Assumptions'!$T$34*P3179-'Model Inputs &amp; Assumptions'!$T$34^2/2)),0)</f>
        <v>389208</v>
      </c>
      <c r="D3179" s="46" t="n">
        <f aca="false">MIN(1,'Model Inputs &amp; Assumptions'!$U$34*EXP('Model Inputs &amp; Assumptions'!$V$34*Q3179-'Model Inputs &amp; Assumptions'!$V$34^2/2))</f>
        <v>0.198318187600724</v>
      </c>
      <c r="E3179" s="45" t="n">
        <f aca="false">ROUND(C3179*D3179,0)</f>
        <v>77187</v>
      </c>
      <c r="F3179" s="47" t="n">
        <f aca="false">MIN(1,'Model Inputs &amp; Assumptions'!$W$34*EXP('Model Inputs &amp; Assumptions'!$X$34*R3179-'Model Inputs &amp; Assumptions'!$X$34^2/2))</f>
        <v>0.00835559362028201</v>
      </c>
      <c r="G3179" s="45" t="n">
        <f aca="false">ROUND(C3179*F3179,0)</f>
        <v>3252</v>
      </c>
      <c r="H3179" s="48" t="n">
        <f aca="false">MAX(0,(C3179*'Model Inputs &amp; Assumptions'!$N$34+E3179*'Model Inputs &amp; Assumptions'!$O$34+G3179*'Model Inputs &amp; Assumptions'!$P$34)*EXP('Model Inputs &amp; Assumptions'!$Q$34*S3179-'Model Inputs &amp; Assumptions'!$Q$34^2/2))</f>
        <v>98.0154371992921</v>
      </c>
      <c r="I3179" s="49" t="n">
        <f aca="false">IF('Model Inputs &amp; Assumptions'!$H$34="Fixed",'Model Inputs &amp; Assumptions'!$I$34*'Model Inputs &amp; Assumptions'!$K$34,IF('Model Inputs &amp; Assumptions'!$H$34="CPM",'Model Inputs &amp; Assumptions'!$I$34*'Model Inputs &amp; Assumptions'!$K$34*C3179/1000,IF('Model Inputs &amp; Assumptions'!$H$34="CPC",'Model Inputs &amp; Assumptions'!$I$34*'Model Inputs &amp; Assumptions'!$K$34*G3179,0)))</f>
        <v>6016.2</v>
      </c>
      <c r="J3179" s="50" t="n">
        <f aca="false">H3179*INDEX('Model Inputs &amp; Assumptions'!$D$40:$D$42,MATCH('Model Inputs &amp; Assumptions'!$L$34,'Model Inputs &amp; Assumptions'!$A$40:$A$42,0))*INDEX('Model Inputs &amp; Assumptions'!$H$40:$H$42,MATCH('Model Inputs &amp; Assumptions'!$L$34,'Model Inputs &amp; Assumptions'!$A$40:$A$42,0))</f>
        <v>705711.147834903</v>
      </c>
      <c r="K3179" s="49" t="n">
        <f aca="false">H3179*INDEX('Model Inputs &amp; Assumptions'!$G$40:$G$42,MATCH('Model Inputs &amp; Assumptions'!$L$34,'Model Inputs &amp; Assumptions'!$A$40:$A$42,0))*INDEX('Model Inputs &amp; Assumptions'!$H$40:$H$42,MATCH('Model Inputs &amp; Assumptions'!$L$34,'Model Inputs &amp; Assumptions'!$A$40:$A$42,0))</f>
        <v>15560.9308097596</v>
      </c>
      <c r="L3179" s="51" t="n">
        <f aca="false">IFERROR(K3179/I3179,0)</f>
        <v>2.58650490504963</v>
      </c>
      <c r="M3179" s="49" t="n">
        <f aca="false">IFERROR(I3179/H3179,0)</f>
        <v>61.3801271708601</v>
      </c>
      <c r="N3179" s="52" t="str">
        <f aca="false">'Model Inputs &amp; Assumptions'!$L$34</f>
        <v>PRD-USIQ</v>
      </c>
      <c r="P3179" s="53" t="n">
        <v>-1.348577</v>
      </c>
      <c r="Q3179" s="53" t="n">
        <v>-0.846291</v>
      </c>
      <c r="R3179" s="53" t="n">
        <v>1.929843</v>
      </c>
      <c r="S3179" s="53" t="n">
        <v>1.158194</v>
      </c>
    </row>
    <row r="3180" customFormat="false" ht="15" hidden="false" customHeight="false" outlineLevel="0" collapsed="false">
      <c r="A3180" s="43" t="n">
        <v>177</v>
      </c>
      <c r="B3180" s="44" t="str">
        <f aca="false">'Model Inputs &amp; Assumptions'!$B$34</f>
        <v>Meta — Lookalike Feed Video</v>
      </c>
      <c r="C3180" s="45" t="n">
        <f aca="false">ROUND(MAX(0,'Model Inputs &amp; Assumptions'!$S$34*EXP('Model Inputs &amp; Assumptions'!$T$34*P3180-'Model Inputs &amp; Assumptions'!$T$34^2/2)),0)</f>
        <v>443773</v>
      </c>
      <c r="D3180" s="46" t="n">
        <f aca="false">MIN(1,'Model Inputs &amp; Assumptions'!$U$34*EXP('Model Inputs &amp; Assumptions'!$V$34*Q3180-'Model Inputs &amp; Assumptions'!$V$34^2/2))</f>
        <v>0.214550553000261</v>
      </c>
      <c r="E3180" s="45" t="n">
        <f aca="false">ROUND(C3180*D3180,0)</f>
        <v>95212</v>
      </c>
      <c r="F3180" s="47" t="n">
        <f aca="false">MIN(1,'Model Inputs &amp; Assumptions'!$W$34*EXP('Model Inputs &amp; Assumptions'!$X$34*R3180-'Model Inputs &amp; Assumptions'!$X$34^2/2))</f>
        <v>0.00684275623791617</v>
      </c>
      <c r="G3180" s="45" t="n">
        <f aca="false">ROUND(C3180*F3180,0)</f>
        <v>3037</v>
      </c>
      <c r="H3180" s="48" t="n">
        <f aca="false">MAX(0,(C3180*'Model Inputs &amp; Assumptions'!$N$34+E3180*'Model Inputs &amp; Assumptions'!$O$34+G3180*'Model Inputs &amp; Assumptions'!$P$34)*EXP('Model Inputs &amp; Assumptions'!$Q$34*S3180-'Model Inputs &amp; Assumptions'!$Q$34^2/2))</f>
        <v>81.0332226543569</v>
      </c>
      <c r="I3180" s="49" t="n">
        <f aca="false">IF('Model Inputs &amp; Assumptions'!$H$34="Fixed",'Model Inputs &amp; Assumptions'!$I$34*'Model Inputs &amp; Assumptions'!$K$34,IF('Model Inputs &amp; Assumptions'!$H$34="CPM",'Model Inputs &amp; Assumptions'!$I$34*'Model Inputs &amp; Assumptions'!$K$34*C3180/1000,IF('Model Inputs &amp; Assumptions'!$H$34="CPC",'Model Inputs &amp; Assumptions'!$I$34*'Model Inputs &amp; Assumptions'!$K$34*G3180,0)))</f>
        <v>5618.45</v>
      </c>
      <c r="J3180" s="50" t="n">
        <f aca="false">H3180*INDEX('Model Inputs &amp; Assumptions'!$D$40:$D$42,MATCH('Model Inputs &amp; Assumptions'!$L$34,'Model Inputs &amp; Assumptions'!$A$40:$A$42,0))*INDEX('Model Inputs &amp; Assumptions'!$H$40:$H$42,MATCH('Model Inputs &amp; Assumptions'!$L$34,'Model Inputs &amp; Assumptions'!$A$40:$A$42,0))</f>
        <v>583439.203111369</v>
      </c>
      <c r="K3180" s="49" t="n">
        <f aca="false">H3180*INDEX('Model Inputs &amp; Assumptions'!$G$40:$G$42,MATCH('Model Inputs &amp; Assumptions'!$L$34,'Model Inputs &amp; Assumptions'!$A$40:$A$42,0))*INDEX('Model Inputs &amp; Assumptions'!$H$40:$H$42,MATCH('Model Inputs &amp; Assumptions'!$L$34,'Model Inputs &amp; Assumptions'!$A$40:$A$42,0))</f>
        <v>12864.8344286057</v>
      </c>
      <c r="L3180" s="51" t="n">
        <f aca="false">IFERROR(K3180/I3180,0)</f>
        <v>2.28974796048834</v>
      </c>
      <c r="M3180" s="49" t="n">
        <f aca="false">IFERROR(I3180/H3180,0)</f>
        <v>69.3351420066954</v>
      </c>
      <c r="N3180" s="52" t="str">
        <f aca="false">'Model Inputs &amp; Assumptions'!$L$34</f>
        <v>PRD-USIQ</v>
      </c>
      <c r="P3180" s="53" t="n">
        <v>-0.692574</v>
      </c>
      <c r="Q3180" s="53" t="n">
        <v>-0.354587</v>
      </c>
      <c r="R3180" s="53" t="n">
        <v>0.820173</v>
      </c>
      <c r="S3180" s="53" t="n">
        <v>0.691612</v>
      </c>
    </row>
    <row r="3181" customFormat="false" ht="15" hidden="false" customHeight="false" outlineLevel="0" collapsed="false">
      <c r="A3181" s="43" t="n">
        <v>178</v>
      </c>
      <c r="B3181" s="44" t="str">
        <f aca="false">'Model Inputs &amp; Assumptions'!$B$34</f>
        <v>Meta — Lookalike Feed Video</v>
      </c>
      <c r="C3181" s="45" t="n">
        <f aca="false">ROUND(MAX(0,'Model Inputs &amp; Assumptions'!$S$34*EXP('Model Inputs &amp; Assumptions'!$T$34*P3181-'Model Inputs &amp; Assumptions'!$T$34^2/2)),0)</f>
        <v>503347</v>
      </c>
      <c r="D3181" s="46" t="n">
        <f aca="false">MIN(1,'Model Inputs &amp; Assumptions'!$U$34*EXP('Model Inputs &amp; Assumptions'!$V$34*Q3181-'Model Inputs &amp; Assumptions'!$V$34^2/2))</f>
        <v>0.245555578084693</v>
      </c>
      <c r="E3181" s="45" t="n">
        <f aca="false">ROUND(C3181*D3181,0)</f>
        <v>123600</v>
      </c>
      <c r="F3181" s="47" t="n">
        <f aca="false">MIN(1,'Model Inputs &amp; Assumptions'!$W$34*EXP('Model Inputs &amp; Assumptions'!$X$34*R3181-'Model Inputs &amp; Assumptions'!$X$34^2/2))</f>
        <v>0.0045512325629228</v>
      </c>
      <c r="G3181" s="45" t="n">
        <f aca="false">ROUND(C3181*F3181,0)</f>
        <v>2291</v>
      </c>
      <c r="H3181" s="48" t="n">
        <f aca="false">MAX(0,(C3181*'Model Inputs &amp; Assumptions'!$N$34+E3181*'Model Inputs &amp; Assumptions'!$O$34+G3181*'Model Inputs &amp; Assumptions'!$P$34)*EXP('Model Inputs &amp; Assumptions'!$Q$34*S3181-'Model Inputs &amp; Assumptions'!$Q$34^2/2))</f>
        <v>60.3059615199711</v>
      </c>
      <c r="I3181" s="49" t="n">
        <f aca="false">IF('Model Inputs &amp; Assumptions'!$H$34="Fixed",'Model Inputs &amp; Assumptions'!$I$34*'Model Inputs &amp; Assumptions'!$K$34,IF('Model Inputs &amp; Assumptions'!$H$34="CPM",'Model Inputs &amp; Assumptions'!$I$34*'Model Inputs &amp; Assumptions'!$K$34*C3181/1000,IF('Model Inputs &amp; Assumptions'!$H$34="CPC",'Model Inputs &amp; Assumptions'!$I$34*'Model Inputs &amp; Assumptions'!$K$34*G3181,0)))</f>
        <v>4238.35</v>
      </c>
      <c r="J3181" s="50" t="n">
        <f aca="false">H3181*INDEX('Model Inputs &amp; Assumptions'!$D$40:$D$42,MATCH('Model Inputs &amp; Assumptions'!$L$34,'Model Inputs &amp; Assumptions'!$A$40:$A$42,0))*INDEX('Model Inputs &amp; Assumptions'!$H$40:$H$42,MATCH('Model Inputs &amp; Assumptions'!$L$34,'Model Inputs &amp; Assumptions'!$A$40:$A$42,0))</f>
        <v>434202.922943792</v>
      </c>
      <c r="K3181" s="49" t="n">
        <f aca="false">H3181*INDEX('Model Inputs &amp; Assumptions'!$G$40:$G$42,MATCH('Model Inputs &amp; Assumptions'!$L$34,'Model Inputs &amp; Assumptions'!$A$40:$A$42,0))*INDEX('Model Inputs &amp; Assumptions'!$H$40:$H$42,MATCH('Model Inputs &amp; Assumptions'!$L$34,'Model Inputs &amp; Assumptions'!$A$40:$A$42,0))</f>
        <v>9574.17445091061</v>
      </c>
      <c r="L3181" s="51" t="n">
        <f aca="false">IFERROR(K3181/I3181,0)</f>
        <v>2.25893908028139</v>
      </c>
      <c r="M3181" s="49" t="n">
        <f aca="false">IFERROR(I3181/H3181,0)</f>
        <v>70.2807797633144</v>
      </c>
      <c r="N3181" s="52" t="str">
        <f aca="false">'Model Inputs &amp; Assumptions'!$L$34</f>
        <v>PRD-USIQ</v>
      </c>
      <c r="P3181" s="53" t="n">
        <v>-0.062748</v>
      </c>
      <c r="Q3181" s="53" t="n">
        <v>0.489025</v>
      </c>
      <c r="R3181" s="53" t="n">
        <v>-1.445341</v>
      </c>
      <c r="S3181" s="53" t="n">
        <v>0.407835</v>
      </c>
    </row>
    <row r="3182" customFormat="false" ht="15" hidden="false" customHeight="false" outlineLevel="0" collapsed="false">
      <c r="A3182" s="43" t="n">
        <v>179</v>
      </c>
      <c r="B3182" s="44" t="str">
        <f aca="false">'Model Inputs &amp; Assumptions'!$B$34</f>
        <v>Meta — Lookalike Feed Video</v>
      </c>
      <c r="C3182" s="45" t="n">
        <f aca="false">ROUND(MAX(0,'Model Inputs &amp; Assumptions'!$S$34*EXP('Model Inputs &amp; Assumptions'!$T$34*P3182-'Model Inputs &amp; Assumptions'!$T$34^2/2)),0)</f>
        <v>442967</v>
      </c>
      <c r="D3182" s="46" t="n">
        <f aca="false">MIN(1,'Model Inputs &amp; Assumptions'!$U$34*EXP('Model Inputs &amp; Assumptions'!$V$34*Q3182-'Model Inputs &amp; Assumptions'!$V$34^2/2))</f>
        <v>0.255199284790896</v>
      </c>
      <c r="E3182" s="45" t="n">
        <f aca="false">ROUND(C3182*D3182,0)</f>
        <v>113045</v>
      </c>
      <c r="F3182" s="47" t="n">
        <f aca="false">MIN(1,'Model Inputs &amp; Assumptions'!$W$34*EXP('Model Inputs &amp; Assumptions'!$X$34*R3182-'Model Inputs &amp; Assumptions'!$X$34^2/2))</f>
        <v>0.00702043589368859</v>
      </c>
      <c r="G3182" s="45" t="n">
        <f aca="false">ROUND(C3182*F3182,0)</f>
        <v>3110</v>
      </c>
      <c r="H3182" s="48" t="n">
        <f aca="false">MAX(0,(C3182*'Model Inputs &amp; Assumptions'!$N$34+E3182*'Model Inputs &amp; Assumptions'!$O$34+G3182*'Model Inputs &amp; Assumptions'!$P$34)*EXP('Model Inputs &amp; Assumptions'!$Q$34*S3182-'Model Inputs &amp; Assumptions'!$Q$34^2/2))</f>
        <v>45.5124370585925</v>
      </c>
      <c r="I3182" s="49" t="n">
        <f aca="false">IF('Model Inputs &amp; Assumptions'!$H$34="Fixed",'Model Inputs &amp; Assumptions'!$I$34*'Model Inputs &amp; Assumptions'!$K$34,IF('Model Inputs &amp; Assumptions'!$H$34="CPM",'Model Inputs &amp; Assumptions'!$I$34*'Model Inputs &amp; Assumptions'!$K$34*C3182/1000,IF('Model Inputs &amp; Assumptions'!$H$34="CPC",'Model Inputs &amp; Assumptions'!$I$34*'Model Inputs &amp; Assumptions'!$K$34*G3182,0)))</f>
        <v>5753.5</v>
      </c>
      <c r="J3182" s="50" t="n">
        <f aca="false">H3182*INDEX('Model Inputs &amp; Assumptions'!$D$40:$D$42,MATCH('Model Inputs &amp; Assumptions'!$L$34,'Model Inputs &amp; Assumptions'!$A$40:$A$42,0))*INDEX('Model Inputs &amp; Assumptions'!$H$40:$H$42,MATCH('Model Inputs &amp; Assumptions'!$L$34,'Model Inputs &amp; Assumptions'!$A$40:$A$42,0))</f>
        <v>327689.546821866</v>
      </c>
      <c r="K3182" s="49" t="n">
        <f aca="false">H3182*INDEX('Model Inputs &amp; Assumptions'!$G$40:$G$42,MATCH('Model Inputs &amp; Assumptions'!$L$34,'Model Inputs &amp; Assumptions'!$A$40:$A$42,0))*INDEX('Model Inputs &amp; Assumptions'!$H$40:$H$42,MATCH('Model Inputs &amp; Assumptions'!$L$34,'Model Inputs &amp; Assumptions'!$A$40:$A$42,0))</f>
        <v>7225.55450742214</v>
      </c>
      <c r="L3182" s="51" t="n">
        <f aca="false">IFERROR(K3182/I3182,0)</f>
        <v>1.25585374249103</v>
      </c>
      <c r="M3182" s="49" t="n">
        <f aca="false">IFERROR(I3182/H3182,0)</f>
        <v>126.415994656427</v>
      </c>
      <c r="N3182" s="52" t="str">
        <f aca="false">'Model Inputs &amp; Assumptions'!$L$34</f>
        <v>PRD-USIQ</v>
      </c>
      <c r="P3182" s="53" t="n">
        <v>-0.701672</v>
      </c>
      <c r="Q3182" s="53" t="n">
        <v>0.729784</v>
      </c>
      <c r="R3182" s="53" t="n">
        <v>0.962588</v>
      </c>
      <c r="S3182" s="53" t="n">
        <v>-1.240373</v>
      </c>
    </row>
    <row r="3183" customFormat="false" ht="15" hidden="false" customHeight="false" outlineLevel="0" collapsed="false">
      <c r="A3183" s="43" t="n">
        <v>180</v>
      </c>
      <c r="B3183" s="44" t="str">
        <f aca="false">'Model Inputs &amp; Assumptions'!$B$34</f>
        <v>Meta — Lookalike Feed Video</v>
      </c>
      <c r="C3183" s="45" t="n">
        <f aca="false">ROUND(MAX(0,'Model Inputs &amp; Assumptions'!$S$34*EXP('Model Inputs &amp; Assumptions'!$T$34*P3183-'Model Inputs &amp; Assumptions'!$T$34^2/2)),0)</f>
        <v>642455</v>
      </c>
      <c r="D3183" s="46" t="n">
        <f aca="false">MIN(1,'Model Inputs &amp; Assumptions'!$U$34*EXP('Model Inputs &amp; Assumptions'!$V$34*Q3183-'Model Inputs &amp; Assumptions'!$V$34^2/2))</f>
        <v>0.206893818783459</v>
      </c>
      <c r="E3183" s="45" t="n">
        <f aca="false">ROUND(C3183*D3183,0)</f>
        <v>132920</v>
      </c>
      <c r="F3183" s="47" t="n">
        <f aca="false">MIN(1,'Model Inputs &amp; Assumptions'!$W$34*EXP('Model Inputs &amp; Assumptions'!$X$34*R3183-'Model Inputs &amp; Assumptions'!$X$34^2/2))</f>
        <v>0.00555297049681493</v>
      </c>
      <c r="G3183" s="45" t="n">
        <f aca="false">ROUND(C3183*F3183,0)</f>
        <v>3568</v>
      </c>
      <c r="H3183" s="48" t="n">
        <f aca="false">MAX(0,(C3183*'Model Inputs &amp; Assumptions'!$N$34+E3183*'Model Inputs &amp; Assumptions'!$O$34+G3183*'Model Inputs &amp; Assumptions'!$P$34)*EXP('Model Inputs &amp; Assumptions'!$Q$34*S3183-'Model Inputs &amp; Assumptions'!$Q$34^2/2))</f>
        <v>71.7438628247498</v>
      </c>
      <c r="I3183" s="49" t="n">
        <f aca="false">IF('Model Inputs &amp; Assumptions'!$H$34="Fixed",'Model Inputs &amp; Assumptions'!$I$34*'Model Inputs &amp; Assumptions'!$K$34,IF('Model Inputs &amp; Assumptions'!$H$34="CPM",'Model Inputs &amp; Assumptions'!$I$34*'Model Inputs &amp; Assumptions'!$K$34*C3183/1000,IF('Model Inputs &amp; Assumptions'!$H$34="CPC",'Model Inputs &amp; Assumptions'!$I$34*'Model Inputs &amp; Assumptions'!$K$34*G3183,0)))</f>
        <v>6600.8</v>
      </c>
      <c r="J3183" s="50" t="n">
        <f aca="false">H3183*INDEX('Model Inputs &amp; Assumptions'!$D$40:$D$42,MATCH('Model Inputs &amp; Assumptions'!$L$34,'Model Inputs &amp; Assumptions'!$A$40:$A$42,0))*INDEX('Model Inputs &amp; Assumptions'!$H$40:$H$42,MATCH('Model Inputs &amp; Assumptions'!$L$34,'Model Inputs &amp; Assumptions'!$A$40:$A$42,0))</f>
        <v>516555.812338199</v>
      </c>
      <c r="K3183" s="49" t="n">
        <f aca="false">H3183*INDEX('Model Inputs &amp; Assumptions'!$G$40:$G$42,MATCH('Model Inputs &amp; Assumptions'!$L$34,'Model Inputs &amp; Assumptions'!$A$40:$A$42,0))*INDEX('Model Inputs &amp; Assumptions'!$H$40:$H$42,MATCH('Model Inputs &amp; Assumptions'!$L$34,'Model Inputs &amp; Assumptions'!$A$40:$A$42,0))</f>
        <v>11390.0556620573</v>
      </c>
      <c r="L3183" s="51" t="n">
        <f aca="false">IFERROR(K3183/I3183,0)</f>
        <v>1.72555685099644</v>
      </c>
      <c r="M3183" s="49" t="n">
        <f aca="false">IFERROR(I3183/H3183,0)</f>
        <v>92.0050822482741</v>
      </c>
      <c r="N3183" s="52" t="str">
        <f aca="false">'Model Inputs &amp; Assumptions'!$L$34</f>
        <v>PRD-USIQ</v>
      </c>
      <c r="P3183" s="53" t="n">
        <v>1.157342</v>
      </c>
      <c r="Q3183" s="53" t="n">
        <v>-0.58171</v>
      </c>
      <c r="R3183" s="53" t="n">
        <v>-0.340147</v>
      </c>
      <c r="S3183" s="53" t="n">
        <v>-0.257309</v>
      </c>
    </row>
    <row r="3184" customFormat="false" ht="15" hidden="false" customHeight="false" outlineLevel="0" collapsed="false">
      <c r="A3184" s="43" t="n">
        <v>181</v>
      </c>
      <c r="B3184" s="44" t="str">
        <f aca="false">'Model Inputs &amp; Assumptions'!$B$34</f>
        <v>Meta — Lookalike Feed Video</v>
      </c>
      <c r="C3184" s="45" t="n">
        <f aca="false">ROUND(MAX(0,'Model Inputs &amp; Assumptions'!$S$34*EXP('Model Inputs &amp; Assumptions'!$T$34*P3184-'Model Inputs &amp; Assumptions'!$T$34^2/2)),0)</f>
        <v>337797</v>
      </c>
      <c r="D3184" s="46" t="n">
        <f aca="false">MIN(1,'Model Inputs &amp; Assumptions'!$U$34*EXP('Model Inputs &amp; Assumptions'!$V$34*Q3184-'Model Inputs &amp; Assumptions'!$V$34^2/2))</f>
        <v>0.230469347033505</v>
      </c>
      <c r="E3184" s="45" t="n">
        <f aca="false">ROUND(C3184*D3184,0)</f>
        <v>77852</v>
      </c>
      <c r="F3184" s="47" t="n">
        <f aca="false">MIN(1,'Model Inputs &amp; Assumptions'!$W$34*EXP('Model Inputs &amp; Assumptions'!$X$34*R3184-'Model Inputs &amp; Assumptions'!$X$34^2/2))</f>
        <v>0.00563715840265057</v>
      </c>
      <c r="G3184" s="45" t="n">
        <f aca="false">ROUND(C3184*F3184,0)</f>
        <v>1904</v>
      </c>
      <c r="H3184" s="48" t="n">
        <f aca="false">MAX(0,(C3184*'Model Inputs &amp; Assumptions'!$N$34+E3184*'Model Inputs &amp; Assumptions'!$O$34+G3184*'Model Inputs &amp; Assumptions'!$P$34)*EXP('Model Inputs &amp; Assumptions'!$Q$34*S3184-'Model Inputs &amp; Assumptions'!$Q$34^2/2))</f>
        <v>82.1201105815088</v>
      </c>
      <c r="I3184" s="49" t="n">
        <f aca="false">IF('Model Inputs &amp; Assumptions'!$H$34="Fixed",'Model Inputs &amp; Assumptions'!$I$34*'Model Inputs &amp; Assumptions'!$K$34,IF('Model Inputs &amp; Assumptions'!$H$34="CPM",'Model Inputs &amp; Assumptions'!$I$34*'Model Inputs &amp; Assumptions'!$K$34*C3184/1000,IF('Model Inputs &amp; Assumptions'!$H$34="CPC",'Model Inputs &amp; Assumptions'!$I$34*'Model Inputs &amp; Assumptions'!$K$34*G3184,0)))</f>
        <v>3522.4</v>
      </c>
      <c r="J3184" s="50" t="n">
        <f aca="false">H3184*INDEX('Model Inputs &amp; Assumptions'!$D$40:$D$42,MATCH('Model Inputs &amp; Assumptions'!$L$34,'Model Inputs &amp; Assumptions'!$A$40:$A$42,0))*INDEX('Model Inputs &amp; Assumptions'!$H$40:$H$42,MATCH('Model Inputs &amp; Assumptions'!$L$34,'Model Inputs &amp; Assumptions'!$A$40:$A$42,0))</f>
        <v>591264.796186864</v>
      </c>
      <c r="K3184" s="49" t="n">
        <f aca="false">H3184*INDEX('Model Inputs &amp; Assumptions'!$G$40:$G$42,MATCH('Model Inputs &amp; Assumptions'!$L$34,'Model Inputs &amp; Assumptions'!$A$40:$A$42,0))*INDEX('Model Inputs &amp; Assumptions'!$H$40:$H$42,MATCH('Model Inputs &amp; Assumptions'!$L$34,'Model Inputs &amp; Assumptions'!$A$40:$A$42,0))</f>
        <v>13037.3887559203</v>
      </c>
      <c r="L3184" s="51" t="n">
        <f aca="false">IFERROR(K3184/I3184,0)</f>
        <v>3.70128002382476</v>
      </c>
      <c r="M3184" s="49" t="n">
        <f aca="false">IFERROR(I3184/H3184,0)</f>
        <v>42.8932690793666</v>
      </c>
      <c r="N3184" s="52" t="str">
        <f aca="false">'Model Inputs &amp; Assumptions'!$L$34</f>
        <v>PRD-USIQ</v>
      </c>
      <c r="P3184" s="53" t="n">
        <v>-2.056913</v>
      </c>
      <c r="Q3184" s="53" t="n">
        <v>0.092741</v>
      </c>
      <c r="R3184" s="53" t="n">
        <v>-0.256552</v>
      </c>
      <c r="S3184" s="53" t="n">
        <v>2.088169</v>
      </c>
    </row>
    <row r="3185" customFormat="false" ht="15" hidden="false" customHeight="false" outlineLevel="0" collapsed="false">
      <c r="A3185" s="43" t="n">
        <v>182</v>
      </c>
      <c r="B3185" s="44" t="str">
        <f aca="false">'Model Inputs &amp; Assumptions'!$B$34</f>
        <v>Meta — Lookalike Feed Video</v>
      </c>
      <c r="C3185" s="45" t="n">
        <f aca="false">ROUND(MAX(0,'Model Inputs &amp; Assumptions'!$S$34*EXP('Model Inputs &amp; Assumptions'!$T$34*P3185-'Model Inputs &amp; Assumptions'!$T$34^2/2)),0)</f>
        <v>432441</v>
      </c>
      <c r="D3185" s="46" t="n">
        <f aca="false">MIN(1,'Model Inputs &amp; Assumptions'!$U$34*EXP('Model Inputs &amp; Assumptions'!$V$34*Q3185-'Model Inputs &amp; Assumptions'!$V$34^2/2))</f>
        <v>0.274453022788993</v>
      </c>
      <c r="E3185" s="45" t="n">
        <f aca="false">ROUND(C3185*D3185,0)</f>
        <v>118685</v>
      </c>
      <c r="F3185" s="47" t="n">
        <f aca="false">MIN(1,'Model Inputs &amp; Assumptions'!$W$34*EXP('Model Inputs &amp; Assumptions'!$X$34*R3185-'Model Inputs &amp; Assumptions'!$X$34^2/2))</f>
        <v>0.00733996907372112</v>
      </c>
      <c r="G3185" s="45" t="n">
        <f aca="false">ROUND(C3185*F3185,0)</f>
        <v>3174</v>
      </c>
      <c r="H3185" s="48" t="n">
        <f aca="false">MAX(0,(C3185*'Model Inputs &amp; Assumptions'!$N$34+E3185*'Model Inputs &amp; Assumptions'!$O$34+G3185*'Model Inputs &amp; Assumptions'!$P$34)*EXP('Model Inputs &amp; Assumptions'!$Q$34*S3185-'Model Inputs &amp; Assumptions'!$Q$34^2/2))</f>
        <v>71.1390957844404</v>
      </c>
      <c r="I3185" s="49" t="n">
        <f aca="false">IF('Model Inputs &amp; Assumptions'!$H$34="Fixed",'Model Inputs &amp; Assumptions'!$I$34*'Model Inputs &amp; Assumptions'!$K$34,IF('Model Inputs &amp; Assumptions'!$H$34="CPM",'Model Inputs &amp; Assumptions'!$I$34*'Model Inputs &amp; Assumptions'!$K$34*C3185/1000,IF('Model Inputs &amp; Assumptions'!$H$34="CPC",'Model Inputs &amp; Assumptions'!$I$34*'Model Inputs &amp; Assumptions'!$K$34*G3185,0)))</f>
        <v>5871.9</v>
      </c>
      <c r="J3185" s="50" t="n">
        <f aca="false">H3185*INDEX('Model Inputs &amp; Assumptions'!$D$40:$D$42,MATCH('Model Inputs &amp; Assumptions'!$L$34,'Model Inputs &amp; Assumptions'!$A$40:$A$42,0))*INDEX('Model Inputs &amp; Assumptions'!$H$40:$H$42,MATCH('Model Inputs &amp; Assumptions'!$L$34,'Model Inputs &amp; Assumptions'!$A$40:$A$42,0))</f>
        <v>512201.489647971</v>
      </c>
      <c r="K3185" s="49" t="n">
        <f aca="false">H3185*INDEX('Model Inputs &amp; Assumptions'!$G$40:$G$42,MATCH('Model Inputs &amp; Assumptions'!$L$34,'Model Inputs &amp; Assumptions'!$A$40:$A$42,0))*INDEX('Model Inputs &amp; Assumptions'!$H$40:$H$42,MATCH('Model Inputs &amp; Assumptions'!$L$34,'Model Inputs &amp; Assumptions'!$A$40:$A$42,0))</f>
        <v>11294.0428467378</v>
      </c>
      <c r="L3185" s="51" t="n">
        <f aca="false">IFERROR(K3185/I3185,0)</f>
        <v>1.92340517494129</v>
      </c>
      <c r="M3185" s="49" t="n">
        <f aca="false">IFERROR(I3185/H3185,0)</f>
        <v>82.541110977746</v>
      </c>
      <c r="N3185" s="52" t="str">
        <f aca="false">'Model Inputs &amp; Assumptions'!$L$34</f>
        <v>PRD-USIQ</v>
      </c>
      <c r="P3185" s="53" t="n">
        <v>-0.821919</v>
      </c>
      <c r="Q3185" s="53" t="n">
        <v>1.18438</v>
      </c>
      <c r="R3185" s="53" t="n">
        <v>1.209862</v>
      </c>
      <c r="S3185" s="53" t="n">
        <v>0.080384</v>
      </c>
    </row>
    <row r="3186" customFormat="false" ht="15" hidden="false" customHeight="false" outlineLevel="0" collapsed="false">
      <c r="A3186" s="43" t="n">
        <v>183</v>
      </c>
      <c r="B3186" s="44" t="str">
        <f aca="false">'Model Inputs &amp; Assumptions'!$B$34</f>
        <v>Meta — Lookalike Feed Video</v>
      </c>
      <c r="C3186" s="45" t="n">
        <f aca="false">ROUND(MAX(0,'Model Inputs &amp; Assumptions'!$S$34*EXP('Model Inputs &amp; Assumptions'!$T$34*P3186-'Model Inputs &amp; Assumptions'!$T$34^2/2)),0)</f>
        <v>603555</v>
      </c>
      <c r="D3186" s="46" t="n">
        <f aca="false">MIN(1,'Model Inputs &amp; Assumptions'!$U$34*EXP('Model Inputs &amp; Assumptions'!$V$34*Q3186-'Model Inputs &amp; Assumptions'!$V$34^2/2))</f>
        <v>0.258453457381438</v>
      </c>
      <c r="E3186" s="45" t="n">
        <f aca="false">ROUND(C3186*D3186,0)</f>
        <v>155991</v>
      </c>
      <c r="F3186" s="47" t="n">
        <f aca="false">MIN(1,'Model Inputs &amp; Assumptions'!$W$34*EXP('Model Inputs &amp; Assumptions'!$X$34*R3186-'Model Inputs &amp; Assumptions'!$X$34^2/2))</f>
        <v>0.00583191272198362</v>
      </c>
      <c r="G3186" s="45" t="n">
        <f aca="false">ROUND(C3186*F3186,0)</f>
        <v>3520</v>
      </c>
      <c r="H3186" s="48" t="n">
        <f aca="false">MAX(0,(C3186*'Model Inputs &amp; Assumptions'!$N$34+E3186*'Model Inputs &amp; Assumptions'!$O$34+G3186*'Model Inputs &amp; Assumptions'!$P$34)*EXP('Model Inputs &amp; Assumptions'!$Q$34*S3186-'Model Inputs &amp; Assumptions'!$Q$34^2/2))</f>
        <v>82.570775565934</v>
      </c>
      <c r="I3186" s="49" t="n">
        <f aca="false">IF('Model Inputs &amp; Assumptions'!$H$34="Fixed",'Model Inputs &amp; Assumptions'!$I$34*'Model Inputs &amp; Assumptions'!$K$34,IF('Model Inputs &amp; Assumptions'!$H$34="CPM",'Model Inputs &amp; Assumptions'!$I$34*'Model Inputs &amp; Assumptions'!$K$34*C3186/1000,IF('Model Inputs &amp; Assumptions'!$H$34="CPC",'Model Inputs &amp; Assumptions'!$I$34*'Model Inputs &amp; Assumptions'!$K$34*G3186,0)))</f>
        <v>6512</v>
      </c>
      <c r="J3186" s="50" t="n">
        <f aca="false">H3186*INDEX('Model Inputs &amp; Assumptions'!$D$40:$D$42,MATCH('Model Inputs &amp; Assumptions'!$L$34,'Model Inputs &amp; Assumptions'!$A$40:$A$42,0))*INDEX('Model Inputs &amp; Assumptions'!$H$40:$H$42,MATCH('Model Inputs &amp; Assumptions'!$L$34,'Model Inputs &amp; Assumptions'!$A$40:$A$42,0))</f>
        <v>594509.584074725</v>
      </c>
      <c r="K3186" s="49" t="n">
        <f aca="false">H3186*INDEX('Model Inputs &amp; Assumptions'!$G$40:$G$42,MATCH('Model Inputs &amp; Assumptions'!$L$34,'Model Inputs &amp; Assumptions'!$A$40:$A$42,0))*INDEX('Model Inputs &amp; Assumptions'!$H$40:$H$42,MATCH('Model Inputs &amp; Assumptions'!$L$34,'Model Inputs &amp; Assumptions'!$A$40:$A$42,0))</f>
        <v>13108.9363288477</v>
      </c>
      <c r="L3186" s="51" t="n">
        <f aca="false">IFERROR(K3186/I3186,0)</f>
        <v>2.01304304804172</v>
      </c>
      <c r="M3186" s="49" t="n">
        <f aca="false">IFERROR(I3186/H3186,0)</f>
        <v>78.8656756021393</v>
      </c>
      <c r="N3186" s="52" t="str">
        <f aca="false">'Model Inputs &amp; Assumptions'!$L$34</f>
        <v>PRD-USIQ</v>
      </c>
      <c r="P3186" s="53" t="n">
        <v>0.845039</v>
      </c>
      <c r="Q3186" s="53" t="n">
        <v>0.808977</v>
      </c>
      <c r="R3186" s="53" t="n">
        <v>-0.067858</v>
      </c>
      <c r="S3186" s="53" t="n">
        <v>0.148346</v>
      </c>
    </row>
    <row r="3187" customFormat="false" ht="15" hidden="false" customHeight="false" outlineLevel="0" collapsed="false">
      <c r="A3187" s="43" t="n">
        <v>184</v>
      </c>
      <c r="B3187" s="44" t="str">
        <f aca="false">'Model Inputs &amp; Assumptions'!$B$34</f>
        <v>Meta — Lookalike Feed Video</v>
      </c>
      <c r="C3187" s="45" t="n">
        <f aca="false">ROUND(MAX(0,'Model Inputs &amp; Assumptions'!$S$34*EXP('Model Inputs &amp; Assumptions'!$T$34*P3187-'Model Inputs &amp; Assumptions'!$T$34^2/2)),0)</f>
        <v>471281</v>
      </c>
      <c r="D3187" s="46" t="n">
        <f aca="false">MIN(1,'Model Inputs &amp; Assumptions'!$U$34*EXP('Model Inputs &amp; Assumptions'!$V$34*Q3187-'Model Inputs &amp; Assumptions'!$V$34^2/2))</f>
        <v>0.258305333645634</v>
      </c>
      <c r="E3187" s="45" t="n">
        <f aca="false">ROUND(C3187*D3187,0)</f>
        <v>121734</v>
      </c>
      <c r="F3187" s="47" t="n">
        <f aca="false">MIN(1,'Model Inputs &amp; Assumptions'!$W$34*EXP('Model Inputs &amp; Assumptions'!$X$34*R3187-'Model Inputs &amp; Assumptions'!$X$34^2/2))</f>
        <v>0.00825959957890804</v>
      </c>
      <c r="G3187" s="45" t="n">
        <f aca="false">ROUND(C3187*F3187,0)</f>
        <v>3893</v>
      </c>
      <c r="H3187" s="48" t="n">
        <f aca="false">MAX(0,(C3187*'Model Inputs &amp; Assumptions'!$N$34+E3187*'Model Inputs &amp; Assumptions'!$O$34+G3187*'Model Inputs &amp; Assumptions'!$P$34)*EXP('Model Inputs &amp; Assumptions'!$Q$34*S3187-'Model Inputs &amp; Assumptions'!$Q$34^2/2))</f>
        <v>59.9503731593322</v>
      </c>
      <c r="I3187" s="49" t="n">
        <f aca="false">IF('Model Inputs &amp; Assumptions'!$H$34="Fixed",'Model Inputs &amp; Assumptions'!$I$34*'Model Inputs &amp; Assumptions'!$K$34,IF('Model Inputs &amp; Assumptions'!$H$34="CPM",'Model Inputs &amp; Assumptions'!$I$34*'Model Inputs &amp; Assumptions'!$K$34*C3187/1000,IF('Model Inputs &amp; Assumptions'!$H$34="CPC",'Model Inputs &amp; Assumptions'!$I$34*'Model Inputs &amp; Assumptions'!$K$34*G3187,0)))</f>
        <v>7202.05</v>
      </c>
      <c r="J3187" s="50" t="n">
        <f aca="false">H3187*INDEX('Model Inputs &amp; Assumptions'!$D$40:$D$42,MATCH('Model Inputs &amp; Assumptions'!$L$34,'Model Inputs &amp; Assumptions'!$A$40:$A$42,0))*INDEX('Model Inputs &amp; Assumptions'!$H$40:$H$42,MATCH('Model Inputs &amp; Assumptions'!$L$34,'Model Inputs &amp; Assumptions'!$A$40:$A$42,0))</f>
        <v>431642.686747192</v>
      </c>
      <c r="K3187" s="49" t="n">
        <f aca="false">H3187*INDEX('Model Inputs &amp; Assumptions'!$G$40:$G$42,MATCH('Model Inputs &amp; Assumptions'!$L$34,'Model Inputs &amp; Assumptions'!$A$40:$A$42,0))*INDEX('Model Inputs &amp; Assumptions'!$H$40:$H$42,MATCH('Model Inputs &amp; Assumptions'!$L$34,'Model Inputs &amp; Assumptions'!$A$40:$A$42,0))</f>
        <v>9517.72124277558</v>
      </c>
      <c r="L3187" s="51" t="n">
        <f aca="false">IFERROR(K3187/I3187,0)</f>
        <v>1.32152945935887</v>
      </c>
      <c r="M3187" s="49" t="n">
        <f aca="false">IFERROR(I3187/H3187,0)</f>
        <v>120.133530793192</v>
      </c>
      <c r="N3187" s="52" t="str">
        <f aca="false">'Model Inputs &amp; Assumptions'!$L$34</f>
        <v>PRD-USIQ</v>
      </c>
      <c r="P3187" s="53" t="n">
        <v>-0.391868</v>
      </c>
      <c r="Q3187" s="53" t="n">
        <v>0.805394</v>
      </c>
      <c r="R3187" s="53" t="n">
        <v>1.865648</v>
      </c>
      <c r="S3187" s="53" t="n">
        <v>-1.025154</v>
      </c>
    </row>
    <row r="3188" customFormat="false" ht="15" hidden="false" customHeight="false" outlineLevel="0" collapsed="false">
      <c r="A3188" s="43" t="n">
        <v>185</v>
      </c>
      <c r="B3188" s="44" t="str">
        <f aca="false">'Model Inputs &amp; Assumptions'!$B$34</f>
        <v>Meta — Lookalike Feed Video</v>
      </c>
      <c r="C3188" s="45" t="n">
        <f aca="false">ROUND(MAX(0,'Model Inputs &amp; Assumptions'!$S$34*EXP('Model Inputs &amp; Assumptions'!$T$34*P3188-'Model Inputs &amp; Assumptions'!$T$34^2/2)),0)</f>
        <v>483263</v>
      </c>
      <c r="D3188" s="46" t="n">
        <f aca="false">MIN(1,'Model Inputs &amp; Assumptions'!$U$34*EXP('Model Inputs &amp; Assumptions'!$V$34*Q3188-'Model Inputs &amp; Assumptions'!$V$34^2/2))</f>
        <v>0.260990943874848</v>
      </c>
      <c r="E3188" s="45" t="n">
        <f aca="false">ROUND(C3188*D3188,0)</f>
        <v>126127</v>
      </c>
      <c r="F3188" s="47" t="n">
        <f aca="false">MIN(1,'Model Inputs &amp; Assumptions'!$W$34*EXP('Model Inputs &amp; Assumptions'!$X$34*R3188-'Model Inputs &amp; Assumptions'!$X$34^2/2))</f>
        <v>0.00463726999170735</v>
      </c>
      <c r="G3188" s="45" t="n">
        <f aca="false">ROUND(C3188*F3188,0)</f>
        <v>2241</v>
      </c>
      <c r="H3188" s="48" t="n">
        <f aca="false">MAX(0,(C3188*'Model Inputs &amp; Assumptions'!$N$34+E3188*'Model Inputs &amp; Assumptions'!$O$34+G3188*'Model Inputs &amp; Assumptions'!$P$34)*EXP('Model Inputs &amp; Assumptions'!$Q$34*S3188-'Model Inputs &amp; Assumptions'!$Q$34^2/2))</f>
        <v>47.3658694313029</v>
      </c>
      <c r="I3188" s="49" t="n">
        <f aca="false">IF('Model Inputs &amp; Assumptions'!$H$34="Fixed",'Model Inputs &amp; Assumptions'!$I$34*'Model Inputs &amp; Assumptions'!$K$34,IF('Model Inputs &amp; Assumptions'!$H$34="CPM",'Model Inputs &amp; Assumptions'!$I$34*'Model Inputs &amp; Assumptions'!$K$34*C3188/1000,IF('Model Inputs &amp; Assumptions'!$H$34="CPC",'Model Inputs &amp; Assumptions'!$I$34*'Model Inputs &amp; Assumptions'!$K$34*G3188,0)))</f>
        <v>4145.85</v>
      </c>
      <c r="J3188" s="50" t="n">
        <f aca="false">H3188*INDEX('Model Inputs &amp; Assumptions'!$D$40:$D$42,MATCH('Model Inputs &amp; Assumptions'!$L$34,'Model Inputs &amp; Assumptions'!$A$40:$A$42,0))*INDEX('Model Inputs &amp; Assumptions'!$H$40:$H$42,MATCH('Model Inputs &amp; Assumptions'!$L$34,'Model Inputs &amp; Assumptions'!$A$40:$A$42,0))</f>
        <v>341034.259905381</v>
      </c>
      <c r="K3188" s="49" t="n">
        <f aca="false">H3188*INDEX('Model Inputs &amp; Assumptions'!$G$40:$G$42,MATCH('Model Inputs &amp; Assumptions'!$L$34,'Model Inputs &amp; Assumptions'!$A$40:$A$42,0))*INDEX('Model Inputs &amp; Assumptions'!$H$40:$H$42,MATCH('Model Inputs &amp; Assumptions'!$L$34,'Model Inputs &amp; Assumptions'!$A$40:$A$42,0))</f>
        <v>7519.80543091365</v>
      </c>
      <c r="L3188" s="51" t="n">
        <f aca="false">IFERROR(K3188/I3188,0)</f>
        <v>1.81381512377767</v>
      </c>
      <c r="M3188" s="49" t="n">
        <f aca="false">IFERROR(I3188/H3188,0)</f>
        <v>87.5282149314906</v>
      </c>
      <c r="N3188" s="52" t="str">
        <f aca="false">'Model Inputs &amp; Assumptions'!$L$34</f>
        <v>PRD-USIQ</v>
      </c>
      <c r="P3188" s="53" t="n">
        <v>-0.266338</v>
      </c>
      <c r="Q3188" s="53" t="n">
        <v>0.87004</v>
      </c>
      <c r="R3188" s="53" t="n">
        <v>-1.341298</v>
      </c>
      <c r="S3188" s="53" t="n">
        <v>-0.301864</v>
      </c>
    </row>
    <row r="3189" customFormat="false" ht="15" hidden="false" customHeight="false" outlineLevel="0" collapsed="false">
      <c r="A3189" s="43" t="n">
        <v>186</v>
      </c>
      <c r="B3189" s="44" t="str">
        <f aca="false">'Model Inputs &amp; Assumptions'!$B$34</f>
        <v>Meta — Lookalike Feed Video</v>
      </c>
      <c r="C3189" s="45" t="n">
        <f aca="false">ROUND(MAX(0,'Model Inputs &amp; Assumptions'!$S$34*EXP('Model Inputs &amp; Assumptions'!$T$34*P3189-'Model Inputs &amp; Assumptions'!$T$34^2/2)),0)</f>
        <v>665808</v>
      </c>
      <c r="D3189" s="46" t="n">
        <f aca="false">MIN(1,'Model Inputs &amp; Assumptions'!$U$34*EXP('Model Inputs &amp; Assumptions'!$V$34*Q3189-'Model Inputs &amp; Assumptions'!$V$34^2/2))</f>
        <v>0.200024165934895</v>
      </c>
      <c r="E3189" s="45" t="n">
        <f aca="false">ROUND(C3189*D3189,0)</f>
        <v>133178</v>
      </c>
      <c r="F3189" s="47" t="n">
        <f aca="false">MIN(1,'Model Inputs &amp; Assumptions'!$W$34*EXP('Model Inputs &amp; Assumptions'!$X$34*R3189-'Model Inputs &amp; Assumptions'!$X$34^2/2))</f>
        <v>0.00599358067642754</v>
      </c>
      <c r="G3189" s="45" t="n">
        <f aca="false">ROUND(C3189*F3189,0)</f>
        <v>3991</v>
      </c>
      <c r="H3189" s="48" t="n">
        <f aca="false">MAX(0,(C3189*'Model Inputs &amp; Assumptions'!$N$34+E3189*'Model Inputs &amp; Assumptions'!$O$34+G3189*'Model Inputs &amp; Assumptions'!$P$34)*EXP('Model Inputs &amp; Assumptions'!$Q$34*S3189-'Model Inputs &amp; Assumptions'!$Q$34^2/2))</f>
        <v>122.132295836096</v>
      </c>
      <c r="I3189" s="49" t="n">
        <f aca="false">IF('Model Inputs &amp; Assumptions'!$H$34="Fixed",'Model Inputs &amp; Assumptions'!$I$34*'Model Inputs &amp; Assumptions'!$K$34,IF('Model Inputs &amp; Assumptions'!$H$34="CPM",'Model Inputs &amp; Assumptions'!$I$34*'Model Inputs &amp; Assumptions'!$K$34*C3189/1000,IF('Model Inputs &amp; Assumptions'!$H$34="CPC",'Model Inputs &amp; Assumptions'!$I$34*'Model Inputs &amp; Assumptions'!$K$34*G3189,0)))</f>
        <v>7383.35</v>
      </c>
      <c r="J3189" s="50" t="n">
        <f aca="false">H3189*INDEX('Model Inputs &amp; Assumptions'!$D$40:$D$42,MATCH('Model Inputs &amp; Assumptions'!$L$34,'Model Inputs &amp; Assumptions'!$A$40:$A$42,0))*INDEX('Model Inputs &amp; Assumptions'!$H$40:$H$42,MATCH('Model Inputs &amp; Assumptions'!$L$34,'Model Inputs &amp; Assumptions'!$A$40:$A$42,0))</f>
        <v>879352.530019894</v>
      </c>
      <c r="K3189" s="49" t="n">
        <f aca="false">H3189*INDEX('Model Inputs &amp; Assumptions'!$G$40:$G$42,MATCH('Model Inputs &amp; Assumptions'!$L$34,'Model Inputs &amp; Assumptions'!$A$40:$A$42,0))*INDEX('Model Inputs &amp; Assumptions'!$H$40:$H$42,MATCH('Model Inputs &amp; Assumptions'!$L$34,'Model Inputs &amp; Assumptions'!$A$40:$A$42,0))</f>
        <v>19389.7232869387</v>
      </c>
      <c r="L3189" s="51" t="n">
        <f aca="false">IFERROR(K3189/I3189,0)</f>
        <v>2.62614169542805</v>
      </c>
      <c r="M3189" s="49" t="n">
        <f aca="false">IFERROR(I3189/H3189,0)</f>
        <v>60.4537067730929</v>
      </c>
      <c r="N3189" s="52" t="str">
        <f aca="false">'Model Inputs &amp; Assumptions'!$L$34</f>
        <v>PRD-USIQ</v>
      </c>
      <c r="P3189" s="53" t="n">
        <v>1.335859</v>
      </c>
      <c r="Q3189" s="53" t="n">
        <v>-0.792757</v>
      </c>
      <c r="R3189" s="53" t="n">
        <v>0.084053</v>
      </c>
      <c r="S3189" s="53" t="n">
        <v>1.097624</v>
      </c>
    </row>
    <row r="3190" customFormat="false" ht="15" hidden="false" customHeight="false" outlineLevel="0" collapsed="false">
      <c r="A3190" s="43" t="n">
        <v>187</v>
      </c>
      <c r="B3190" s="44" t="str">
        <f aca="false">'Model Inputs &amp; Assumptions'!$B$34</f>
        <v>Meta — Lookalike Feed Video</v>
      </c>
      <c r="C3190" s="45" t="n">
        <f aca="false">ROUND(MAX(0,'Model Inputs &amp; Assumptions'!$S$34*EXP('Model Inputs &amp; Assumptions'!$T$34*P3190-'Model Inputs &amp; Assumptions'!$T$34^2/2)),0)</f>
        <v>628621</v>
      </c>
      <c r="D3190" s="46" t="n">
        <f aca="false">MIN(1,'Model Inputs &amp; Assumptions'!$U$34*EXP('Model Inputs &amp; Assumptions'!$V$34*Q3190-'Model Inputs &amp; Assumptions'!$V$34^2/2))</f>
        <v>0.219453092684328</v>
      </c>
      <c r="E3190" s="45" t="n">
        <f aca="false">ROUND(C3190*D3190,0)</f>
        <v>137953</v>
      </c>
      <c r="F3190" s="47" t="n">
        <f aca="false">MIN(1,'Model Inputs &amp; Assumptions'!$W$34*EXP('Model Inputs &amp; Assumptions'!$X$34*R3190-'Model Inputs &amp; Assumptions'!$X$34^2/2))</f>
        <v>0.00622047026518312</v>
      </c>
      <c r="G3190" s="45" t="n">
        <f aca="false">ROUND(C3190*F3190,0)</f>
        <v>3910</v>
      </c>
      <c r="H3190" s="48" t="n">
        <f aca="false">MAX(0,(C3190*'Model Inputs &amp; Assumptions'!$N$34+E3190*'Model Inputs &amp; Assumptions'!$O$34+G3190*'Model Inputs &amp; Assumptions'!$P$34)*EXP('Model Inputs &amp; Assumptions'!$Q$34*S3190-'Model Inputs &amp; Assumptions'!$Q$34^2/2))</f>
        <v>120.758711529755</v>
      </c>
      <c r="I3190" s="49" t="n">
        <f aca="false">IF('Model Inputs &amp; Assumptions'!$H$34="Fixed",'Model Inputs &amp; Assumptions'!$I$34*'Model Inputs &amp; Assumptions'!$K$34,IF('Model Inputs &amp; Assumptions'!$H$34="CPM",'Model Inputs &amp; Assumptions'!$I$34*'Model Inputs &amp; Assumptions'!$K$34*C3190/1000,IF('Model Inputs &amp; Assumptions'!$H$34="CPC",'Model Inputs &amp; Assumptions'!$I$34*'Model Inputs &amp; Assumptions'!$K$34*G3190,0)))</f>
        <v>7233.5</v>
      </c>
      <c r="J3190" s="50" t="n">
        <f aca="false">H3190*INDEX('Model Inputs &amp; Assumptions'!$D$40:$D$42,MATCH('Model Inputs &amp; Assumptions'!$L$34,'Model Inputs &amp; Assumptions'!$A$40:$A$42,0))*INDEX('Model Inputs &amp; Assumptions'!$H$40:$H$42,MATCH('Model Inputs &amp; Assumptions'!$L$34,'Model Inputs &amp; Assumptions'!$A$40:$A$42,0))</f>
        <v>869462.723014236</v>
      </c>
      <c r="K3190" s="49" t="n">
        <f aca="false">H3190*INDEX('Model Inputs &amp; Assumptions'!$G$40:$G$42,MATCH('Model Inputs &amp; Assumptions'!$L$34,'Model Inputs &amp; Assumptions'!$A$40:$A$42,0))*INDEX('Model Inputs &amp; Assumptions'!$H$40:$H$42,MATCH('Model Inputs &amp; Assumptions'!$L$34,'Model Inputs &amp; Assumptions'!$A$40:$A$42,0))</f>
        <v>19171.6530424639</v>
      </c>
      <c r="L3190" s="51" t="n">
        <f aca="false">IFERROR(K3190/I3190,0)</f>
        <v>2.65039787688725</v>
      </c>
      <c r="M3190" s="49" t="n">
        <f aca="false">IFERROR(I3190/H3190,0)</f>
        <v>59.9004403770709</v>
      </c>
      <c r="N3190" s="52" t="str">
        <f aca="false">'Model Inputs &amp; Assumptions'!$L$34</f>
        <v>PRD-USIQ</v>
      </c>
      <c r="P3190" s="53" t="n">
        <v>1.048499</v>
      </c>
      <c r="Q3190" s="53" t="n">
        <v>-0.21338</v>
      </c>
      <c r="R3190" s="53" t="n">
        <v>0.290478</v>
      </c>
      <c r="S3190" s="53" t="n">
        <v>1.105335</v>
      </c>
    </row>
    <row r="3191" customFormat="false" ht="15" hidden="false" customHeight="false" outlineLevel="0" collapsed="false">
      <c r="A3191" s="43" t="n">
        <v>188</v>
      </c>
      <c r="B3191" s="44" t="str">
        <f aca="false">'Model Inputs &amp; Assumptions'!$B$34</f>
        <v>Meta — Lookalike Feed Video</v>
      </c>
      <c r="C3191" s="45" t="n">
        <f aca="false">ROUND(MAX(0,'Model Inputs &amp; Assumptions'!$S$34*EXP('Model Inputs &amp; Assumptions'!$T$34*P3191-'Model Inputs &amp; Assumptions'!$T$34^2/2)),0)</f>
        <v>513370</v>
      </c>
      <c r="D3191" s="46" t="n">
        <f aca="false">MIN(1,'Model Inputs &amp; Assumptions'!$U$34*EXP('Model Inputs &amp; Assumptions'!$V$34*Q3191-'Model Inputs &amp; Assumptions'!$V$34^2/2))</f>
        <v>0.230444420816963</v>
      </c>
      <c r="E3191" s="45" t="n">
        <f aca="false">ROUND(C3191*D3191,0)</f>
        <v>118303</v>
      </c>
      <c r="F3191" s="47" t="n">
        <f aca="false">MIN(1,'Model Inputs &amp; Assumptions'!$W$34*EXP('Model Inputs &amp; Assumptions'!$X$34*R3191-'Model Inputs &amp; Assumptions'!$X$34^2/2))</f>
        <v>0.00536810816392069</v>
      </c>
      <c r="G3191" s="45" t="n">
        <f aca="false">ROUND(C3191*F3191,0)</f>
        <v>2756</v>
      </c>
      <c r="H3191" s="48" t="n">
        <f aca="false">MAX(0,(C3191*'Model Inputs &amp; Assumptions'!$N$34+E3191*'Model Inputs &amp; Assumptions'!$O$34+G3191*'Model Inputs &amp; Assumptions'!$P$34)*EXP('Model Inputs &amp; Assumptions'!$Q$34*S3191-'Model Inputs &amp; Assumptions'!$Q$34^2/2))</f>
        <v>73.8105930210419</v>
      </c>
      <c r="I3191" s="49" t="n">
        <f aca="false">IF('Model Inputs &amp; Assumptions'!$H$34="Fixed",'Model Inputs &amp; Assumptions'!$I$34*'Model Inputs &amp; Assumptions'!$K$34,IF('Model Inputs &amp; Assumptions'!$H$34="CPM",'Model Inputs &amp; Assumptions'!$I$34*'Model Inputs &amp; Assumptions'!$K$34*C3191/1000,IF('Model Inputs &amp; Assumptions'!$H$34="CPC",'Model Inputs &amp; Assumptions'!$I$34*'Model Inputs &amp; Assumptions'!$K$34*G3191,0)))</f>
        <v>5098.6</v>
      </c>
      <c r="J3191" s="50" t="n">
        <f aca="false">H3191*INDEX('Model Inputs &amp; Assumptions'!$D$40:$D$42,MATCH('Model Inputs &amp; Assumptions'!$L$34,'Model Inputs &amp; Assumptions'!$A$40:$A$42,0))*INDEX('Model Inputs &amp; Assumptions'!$H$40:$H$42,MATCH('Model Inputs &amp; Assumptions'!$L$34,'Model Inputs &amp; Assumptions'!$A$40:$A$42,0))</f>
        <v>531436.269751502</v>
      </c>
      <c r="K3191" s="49" t="n">
        <f aca="false">H3191*INDEX('Model Inputs &amp; Assumptions'!$G$40:$G$42,MATCH('Model Inputs &amp; Assumptions'!$L$34,'Model Inputs &amp; Assumptions'!$A$40:$A$42,0))*INDEX('Model Inputs &amp; Assumptions'!$H$40:$H$42,MATCH('Model Inputs &amp; Assumptions'!$L$34,'Model Inputs &amp; Assumptions'!$A$40:$A$42,0))</f>
        <v>11718.1697480206</v>
      </c>
      <c r="L3191" s="51" t="n">
        <f aca="false">IFERROR(K3191/I3191,0)</f>
        <v>2.2983112517202</v>
      </c>
      <c r="M3191" s="49" t="n">
        <f aca="false">IFERROR(I3191/H3191,0)</f>
        <v>69.0768057986811</v>
      </c>
      <c r="N3191" s="52" t="str">
        <f aca="false">'Model Inputs &amp; Assumptions'!$L$34</f>
        <v>PRD-USIQ</v>
      </c>
      <c r="P3191" s="53" t="n">
        <v>0.035836</v>
      </c>
      <c r="Q3191" s="53" t="n">
        <v>0.092065</v>
      </c>
      <c r="R3191" s="53" t="n">
        <v>-0.528244</v>
      </c>
      <c r="S3191" s="53" t="n">
        <v>0.577287</v>
      </c>
    </row>
    <row r="3192" customFormat="false" ht="15" hidden="false" customHeight="false" outlineLevel="0" collapsed="false">
      <c r="A3192" s="43" t="n">
        <v>189</v>
      </c>
      <c r="B3192" s="44" t="str">
        <f aca="false">'Model Inputs &amp; Assumptions'!$B$34</f>
        <v>Meta — Lookalike Feed Video</v>
      </c>
      <c r="C3192" s="45" t="n">
        <f aca="false">ROUND(MAX(0,'Model Inputs &amp; Assumptions'!$S$34*EXP('Model Inputs &amp; Assumptions'!$T$34*P3192-'Model Inputs &amp; Assumptions'!$T$34^2/2)),0)</f>
        <v>486365</v>
      </c>
      <c r="D3192" s="46" t="n">
        <f aca="false">MIN(1,'Model Inputs &amp; Assumptions'!$U$34*EXP('Model Inputs &amp; Assumptions'!$V$34*Q3192-'Model Inputs &amp; Assumptions'!$V$34^2/2))</f>
        <v>0.246079149205935</v>
      </c>
      <c r="E3192" s="45" t="n">
        <f aca="false">ROUND(C3192*D3192,0)</f>
        <v>119684</v>
      </c>
      <c r="F3192" s="47" t="n">
        <f aca="false">MIN(1,'Model Inputs &amp; Assumptions'!$W$34*EXP('Model Inputs &amp; Assumptions'!$X$34*R3192-'Model Inputs &amp; Assumptions'!$X$34^2/2))</f>
        <v>0.00468001759355005</v>
      </c>
      <c r="G3192" s="45" t="n">
        <f aca="false">ROUND(C3192*F3192,0)</f>
        <v>2276</v>
      </c>
      <c r="H3192" s="48" t="n">
        <f aca="false">MAX(0,(C3192*'Model Inputs &amp; Assumptions'!$N$34+E3192*'Model Inputs &amp; Assumptions'!$O$34+G3192*'Model Inputs &amp; Assumptions'!$P$34)*EXP('Model Inputs &amp; Assumptions'!$Q$34*S3192-'Model Inputs &amp; Assumptions'!$Q$34^2/2))</f>
        <v>49.8403115666014</v>
      </c>
      <c r="I3192" s="49" t="n">
        <f aca="false">IF('Model Inputs &amp; Assumptions'!$H$34="Fixed",'Model Inputs &amp; Assumptions'!$I$34*'Model Inputs &amp; Assumptions'!$K$34,IF('Model Inputs &amp; Assumptions'!$H$34="CPM",'Model Inputs &amp; Assumptions'!$I$34*'Model Inputs &amp; Assumptions'!$K$34*C3192/1000,IF('Model Inputs &amp; Assumptions'!$H$34="CPC",'Model Inputs &amp; Assumptions'!$I$34*'Model Inputs &amp; Assumptions'!$K$34*G3192,0)))</f>
        <v>4210.6</v>
      </c>
      <c r="J3192" s="50" t="n">
        <f aca="false">H3192*INDEX('Model Inputs &amp; Assumptions'!$D$40:$D$42,MATCH('Model Inputs &amp; Assumptions'!$L$34,'Model Inputs &amp; Assumptions'!$A$40:$A$42,0))*INDEX('Model Inputs &amp; Assumptions'!$H$40:$H$42,MATCH('Model Inputs &amp; Assumptions'!$L$34,'Model Inputs &amp; Assumptions'!$A$40:$A$42,0))</f>
        <v>358850.24327953</v>
      </c>
      <c r="K3192" s="49" t="n">
        <f aca="false">H3192*INDEX('Model Inputs &amp; Assumptions'!$G$40:$G$42,MATCH('Model Inputs &amp; Assumptions'!$L$34,'Model Inputs &amp; Assumptions'!$A$40:$A$42,0))*INDEX('Model Inputs &amp; Assumptions'!$H$40:$H$42,MATCH('Model Inputs &amp; Assumptions'!$L$34,'Model Inputs &amp; Assumptions'!$A$40:$A$42,0))</f>
        <v>7912.64786431363</v>
      </c>
      <c r="L3192" s="51" t="n">
        <f aca="false">IFERROR(K3192/I3192,0)</f>
        <v>1.87922098140731</v>
      </c>
      <c r="M3192" s="49" t="n">
        <f aca="false">IFERROR(I3192/H3192,0)</f>
        <v>84.481815374958</v>
      </c>
      <c r="N3192" s="52" t="str">
        <f aca="false">'Model Inputs &amp; Assumptions'!$L$34</f>
        <v>PRD-USIQ</v>
      </c>
      <c r="P3192" s="53" t="n">
        <v>-0.234346</v>
      </c>
      <c r="Q3192" s="53" t="n">
        <v>0.502337</v>
      </c>
      <c r="R3192" s="53" t="n">
        <v>-1.29032</v>
      </c>
      <c r="S3192" s="53" t="n">
        <v>-0.153218</v>
      </c>
    </row>
    <row r="3193" customFormat="false" ht="15" hidden="false" customHeight="false" outlineLevel="0" collapsed="false">
      <c r="A3193" s="43" t="n">
        <v>190</v>
      </c>
      <c r="B3193" s="44" t="str">
        <f aca="false">'Model Inputs &amp; Assumptions'!$B$34</f>
        <v>Meta — Lookalike Feed Video</v>
      </c>
      <c r="C3193" s="45" t="n">
        <f aca="false">ROUND(MAX(0,'Model Inputs &amp; Assumptions'!$S$34*EXP('Model Inputs &amp; Assumptions'!$T$34*P3193-'Model Inputs &amp; Assumptions'!$T$34^2/2)),0)</f>
        <v>693197</v>
      </c>
      <c r="D3193" s="46" t="n">
        <f aca="false">MIN(1,'Model Inputs &amp; Assumptions'!$U$34*EXP('Model Inputs &amp; Assumptions'!$V$34*Q3193-'Model Inputs &amp; Assumptions'!$V$34^2/2))</f>
        <v>0.199801127416388</v>
      </c>
      <c r="E3193" s="45" t="n">
        <f aca="false">ROUND(C3193*D3193,0)</f>
        <v>138502</v>
      </c>
      <c r="F3193" s="47" t="n">
        <f aca="false">MIN(1,'Model Inputs &amp; Assumptions'!$W$34*EXP('Model Inputs &amp; Assumptions'!$X$34*R3193-'Model Inputs &amp; Assumptions'!$X$34^2/2))</f>
        <v>0.00659759592724371</v>
      </c>
      <c r="G3193" s="45" t="n">
        <f aca="false">ROUND(C3193*F3193,0)</f>
        <v>4573</v>
      </c>
      <c r="H3193" s="48" t="n">
        <f aca="false">MAX(0,(C3193*'Model Inputs &amp; Assumptions'!$N$34+E3193*'Model Inputs &amp; Assumptions'!$O$34+G3193*'Model Inputs &amp; Assumptions'!$P$34)*EXP('Model Inputs &amp; Assumptions'!$Q$34*S3193-'Model Inputs &amp; Assumptions'!$Q$34^2/2))</f>
        <v>100.908374983126</v>
      </c>
      <c r="I3193" s="49" t="n">
        <f aca="false">IF('Model Inputs &amp; Assumptions'!$H$34="Fixed",'Model Inputs &amp; Assumptions'!$I$34*'Model Inputs &amp; Assumptions'!$K$34,IF('Model Inputs &amp; Assumptions'!$H$34="CPM",'Model Inputs &amp; Assumptions'!$I$34*'Model Inputs &amp; Assumptions'!$K$34*C3193/1000,IF('Model Inputs &amp; Assumptions'!$H$34="CPC",'Model Inputs &amp; Assumptions'!$I$34*'Model Inputs &amp; Assumptions'!$K$34*G3193,0)))</f>
        <v>8460.05</v>
      </c>
      <c r="J3193" s="50" t="n">
        <f aca="false">H3193*INDEX('Model Inputs &amp; Assumptions'!$D$40:$D$42,MATCH('Model Inputs &amp; Assumptions'!$L$34,'Model Inputs &amp; Assumptions'!$A$40:$A$42,0))*INDEX('Model Inputs &amp; Assumptions'!$H$40:$H$42,MATCH('Model Inputs &amp; Assumptions'!$L$34,'Model Inputs &amp; Assumptions'!$A$40:$A$42,0))</f>
        <v>726540.299878505</v>
      </c>
      <c r="K3193" s="49" t="n">
        <f aca="false">H3193*INDEX('Model Inputs &amp; Assumptions'!$G$40:$G$42,MATCH('Model Inputs &amp; Assumptions'!$L$34,'Model Inputs &amp; Assumptions'!$A$40:$A$42,0))*INDEX('Model Inputs &amp; Assumptions'!$H$40:$H$42,MATCH('Model Inputs &amp; Assumptions'!$L$34,'Model Inputs &amp; Assumptions'!$A$40:$A$42,0))</f>
        <v>16020.213612321</v>
      </c>
      <c r="L3193" s="51" t="n">
        <f aca="false">IFERROR(K3193/I3193,0)</f>
        <v>1.89363107928689</v>
      </c>
      <c r="M3193" s="49" t="n">
        <f aca="false">IFERROR(I3193/H3193,0)</f>
        <v>83.8389281505596</v>
      </c>
      <c r="N3193" s="52" t="str">
        <f aca="false">'Model Inputs &amp; Assumptions'!$L$34</f>
        <v>PRD-USIQ</v>
      </c>
      <c r="P3193" s="53" t="n">
        <v>1.537428</v>
      </c>
      <c r="Q3193" s="53" t="n">
        <v>-0.79973</v>
      </c>
      <c r="R3193" s="53" t="n">
        <v>0.617477</v>
      </c>
      <c r="S3193" s="53" t="n">
        <v>0.10987</v>
      </c>
    </row>
    <row r="3194" customFormat="false" ht="15" hidden="false" customHeight="false" outlineLevel="0" collapsed="false">
      <c r="A3194" s="43" t="n">
        <v>191</v>
      </c>
      <c r="B3194" s="44" t="str">
        <f aca="false">'Model Inputs &amp; Assumptions'!$B$34</f>
        <v>Meta — Lookalike Feed Video</v>
      </c>
      <c r="C3194" s="45" t="n">
        <f aca="false">ROUND(MAX(0,'Model Inputs &amp; Assumptions'!$S$34*EXP('Model Inputs &amp; Assumptions'!$T$34*P3194-'Model Inputs &amp; Assumptions'!$T$34^2/2)),0)</f>
        <v>375352</v>
      </c>
      <c r="D3194" s="46" t="n">
        <f aca="false">MIN(1,'Model Inputs &amp; Assumptions'!$U$34*EXP('Model Inputs &amp; Assumptions'!$V$34*Q3194-'Model Inputs &amp; Assumptions'!$V$34^2/2))</f>
        <v>0.178181723655855</v>
      </c>
      <c r="E3194" s="45" t="n">
        <f aca="false">ROUND(C3194*D3194,0)</f>
        <v>66881</v>
      </c>
      <c r="F3194" s="47" t="n">
        <f aca="false">MIN(1,'Model Inputs &amp; Assumptions'!$W$34*EXP('Model Inputs &amp; Assumptions'!$X$34*R3194-'Model Inputs &amp; Assumptions'!$X$34^2/2))</f>
        <v>0.00765870208831436</v>
      </c>
      <c r="G3194" s="45" t="n">
        <f aca="false">ROUND(C3194*F3194,0)</f>
        <v>2875</v>
      </c>
      <c r="H3194" s="48" t="n">
        <f aca="false">MAX(0,(C3194*'Model Inputs &amp; Assumptions'!$N$34+E3194*'Model Inputs &amp; Assumptions'!$O$34+G3194*'Model Inputs &amp; Assumptions'!$P$34)*EXP('Model Inputs &amp; Assumptions'!$Q$34*S3194-'Model Inputs &amp; Assumptions'!$Q$34^2/2))</f>
        <v>68.2881226835523</v>
      </c>
      <c r="I3194" s="49" t="n">
        <f aca="false">IF('Model Inputs &amp; Assumptions'!$H$34="Fixed",'Model Inputs &amp; Assumptions'!$I$34*'Model Inputs &amp; Assumptions'!$K$34,IF('Model Inputs &amp; Assumptions'!$H$34="CPM",'Model Inputs &amp; Assumptions'!$I$34*'Model Inputs &amp; Assumptions'!$K$34*C3194/1000,IF('Model Inputs &amp; Assumptions'!$H$34="CPC",'Model Inputs &amp; Assumptions'!$I$34*'Model Inputs &amp; Assumptions'!$K$34*G3194,0)))</f>
        <v>5318.75</v>
      </c>
      <c r="J3194" s="50" t="n">
        <f aca="false">H3194*INDEX('Model Inputs &amp; Assumptions'!$D$40:$D$42,MATCH('Model Inputs &amp; Assumptions'!$L$34,'Model Inputs &amp; Assumptions'!$A$40:$A$42,0))*INDEX('Model Inputs &amp; Assumptions'!$H$40:$H$42,MATCH('Model Inputs &amp; Assumptions'!$L$34,'Model Inputs &amp; Assumptions'!$A$40:$A$42,0))</f>
        <v>491674.483321576</v>
      </c>
      <c r="K3194" s="49" t="n">
        <f aca="false">H3194*INDEX('Model Inputs &amp; Assumptions'!$G$40:$G$42,MATCH('Model Inputs &amp; Assumptions'!$L$34,'Model Inputs &amp; Assumptions'!$A$40:$A$42,0))*INDEX('Model Inputs &amp; Assumptions'!$H$40:$H$42,MATCH('Model Inputs &amp; Assumptions'!$L$34,'Model Inputs &amp; Assumptions'!$A$40:$A$42,0))</f>
        <v>10841.4223572408</v>
      </c>
      <c r="L3194" s="51" t="n">
        <f aca="false">IFERROR(K3194/I3194,0)</f>
        <v>2.03834027868216</v>
      </c>
      <c r="M3194" s="49" t="n">
        <f aca="false">IFERROR(I3194/H3194,0)</f>
        <v>77.8868973254271</v>
      </c>
      <c r="N3194" s="52" t="str">
        <f aca="false">'Model Inputs &amp; Assumptions'!$L$34</f>
        <v>PRD-USIQ</v>
      </c>
      <c r="P3194" s="53" t="n">
        <v>-1.529826</v>
      </c>
      <c r="Q3194" s="53" t="n">
        <v>-1.515471</v>
      </c>
      <c r="R3194" s="53" t="n">
        <v>1.446017</v>
      </c>
      <c r="S3194" s="53" t="n">
        <v>0.419304</v>
      </c>
    </row>
    <row r="3195" customFormat="false" ht="15" hidden="false" customHeight="false" outlineLevel="0" collapsed="false">
      <c r="A3195" s="43" t="n">
        <v>192</v>
      </c>
      <c r="B3195" s="44" t="str">
        <f aca="false">'Model Inputs &amp; Assumptions'!$B$34</f>
        <v>Meta — Lookalike Feed Video</v>
      </c>
      <c r="C3195" s="45" t="n">
        <f aca="false">ROUND(MAX(0,'Model Inputs &amp; Assumptions'!$S$34*EXP('Model Inputs &amp; Assumptions'!$T$34*P3195-'Model Inputs &amp; Assumptions'!$T$34^2/2)),0)</f>
        <v>432701</v>
      </c>
      <c r="D3195" s="46" t="n">
        <f aca="false">MIN(1,'Model Inputs &amp; Assumptions'!$U$34*EXP('Model Inputs &amp; Assumptions'!$V$34*Q3195-'Model Inputs &amp; Assumptions'!$V$34^2/2))</f>
        <v>0.277699198728476</v>
      </c>
      <c r="E3195" s="45" t="n">
        <f aca="false">ROUND(C3195*D3195,0)</f>
        <v>120161</v>
      </c>
      <c r="F3195" s="47" t="n">
        <f aca="false">MIN(1,'Model Inputs &amp; Assumptions'!$W$34*EXP('Model Inputs &amp; Assumptions'!$X$34*R3195-'Model Inputs &amp; Assumptions'!$X$34^2/2))</f>
        <v>0.00477282355119967</v>
      </c>
      <c r="G3195" s="45" t="n">
        <f aca="false">ROUND(C3195*F3195,0)</f>
        <v>2065</v>
      </c>
      <c r="H3195" s="48" t="n">
        <f aca="false">MAX(0,(C3195*'Model Inputs &amp; Assumptions'!$N$34+E3195*'Model Inputs &amp; Assumptions'!$O$34+G3195*'Model Inputs &amp; Assumptions'!$P$34)*EXP('Model Inputs &amp; Assumptions'!$Q$34*S3195-'Model Inputs &amp; Assumptions'!$Q$34^2/2))</f>
        <v>50.565856546926</v>
      </c>
      <c r="I3195" s="49" t="n">
        <f aca="false">IF('Model Inputs &amp; Assumptions'!$H$34="Fixed",'Model Inputs &amp; Assumptions'!$I$34*'Model Inputs &amp; Assumptions'!$K$34,IF('Model Inputs &amp; Assumptions'!$H$34="CPM",'Model Inputs &amp; Assumptions'!$I$34*'Model Inputs &amp; Assumptions'!$K$34*C3195/1000,IF('Model Inputs &amp; Assumptions'!$H$34="CPC",'Model Inputs &amp; Assumptions'!$I$34*'Model Inputs &amp; Assumptions'!$K$34*G3195,0)))</f>
        <v>3820.25</v>
      </c>
      <c r="J3195" s="50" t="n">
        <f aca="false">H3195*INDEX('Model Inputs &amp; Assumptions'!$D$40:$D$42,MATCH('Model Inputs &amp; Assumptions'!$L$34,'Model Inputs &amp; Assumptions'!$A$40:$A$42,0))*INDEX('Model Inputs &amp; Assumptions'!$H$40:$H$42,MATCH('Model Inputs &amp; Assumptions'!$L$34,'Model Inputs &amp; Assumptions'!$A$40:$A$42,0))</f>
        <v>364074.167137867</v>
      </c>
      <c r="K3195" s="49" t="n">
        <f aca="false">H3195*INDEX('Model Inputs &amp; Assumptions'!$G$40:$G$42,MATCH('Model Inputs &amp; Assumptions'!$L$34,'Model Inputs &amp; Assumptions'!$A$40:$A$42,0))*INDEX('Model Inputs &amp; Assumptions'!$H$40:$H$42,MATCH('Model Inputs &amp; Assumptions'!$L$34,'Model Inputs &amp; Assumptions'!$A$40:$A$42,0))</f>
        <v>8027.83538538997</v>
      </c>
      <c r="L3195" s="51" t="n">
        <f aca="false">IFERROR(K3195/I3195,0)</f>
        <v>2.10139006227079</v>
      </c>
      <c r="M3195" s="49" t="n">
        <f aca="false">IFERROR(I3195/H3195,0)</f>
        <v>75.5499908610218</v>
      </c>
      <c r="N3195" s="52" t="str">
        <f aca="false">'Model Inputs &amp; Assumptions'!$L$34</f>
        <v>PRD-USIQ</v>
      </c>
      <c r="P3195" s="53" t="n">
        <v>-0.818904</v>
      </c>
      <c r="Q3195" s="53" t="n">
        <v>1.25787</v>
      </c>
      <c r="R3195" s="53" t="n">
        <v>-1.18123</v>
      </c>
      <c r="S3195" s="53" t="n">
        <v>0.138627</v>
      </c>
    </row>
    <row r="3196" customFormat="false" ht="15" hidden="false" customHeight="false" outlineLevel="0" collapsed="false">
      <c r="A3196" s="43" t="n">
        <v>193</v>
      </c>
      <c r="B3196" s="44" t="str">
        <f aca="false">'Model Inputs &amp; Assumptions'!$B$34</f>
        <v>Meta — Lookalike Feed Video</v>
      </c>
      <c r="C3196" s="45" t="n">
        <f aca="false">ROUND(MAX(0,'Model Inputs &amp; Assumptions'!$S$34*EXP('Model Inputs &amp; Assumptions'!$T$34*P3196-'Model Inputs &amp; Assumptions'!$T$34^2/2)),0)</f>
        <v>407060</v>
      </c>
      <c r="D3196" s="46" t="n">
        <f aca="false">MIN(1,'Model Inputs &amp; Assumptions'!$U$34*EXP('Model Inputs &amp; Assumptions'!$V$34*Q3196-'Model Inputs &amp; Assumptions'!$V$34^2/2))</f>
        <v>0.195543180844873</v>
      </c>
      <c r="E3196" s="45" t="n">
        <f aca="false">ROUND(C3196*D3196,0)</f>
        <v>79598</v>
      </c>
      <c r="F3196" s="47" t="n">
        <f aca="false">MIN(1,'Model Inputs &amp; Assumptions'!$W$34*EXP('Model Inputs &amp; Assumptions'!$X$34*R3196-'Model Inputs &amp; Assumptions'!$X$34^2/2))</f>
        <v>0.00630319021919798</v>
      </c>
      <c r="G3196" s="45" t="n">
        <f aca="false">ROUND(C3196*F3196,0)</f>
        <v>2566</v>
      </c>
      <c r="H3196" s="48" t="n">
        <f aca="false">MAX(0,(C3196*'Model Inputs &amp; Assumptions'!$N$34+E3196*'Model Inputs &amp; Assumptions'!$O$34+G3196*'Model Inputs &amp; Assumptions'!$P$34)*EXP('Model Inputs &amp; Assumptions'!$Q$34*S3196-'Model Inputs &amp; Assumptions'!$Q$34^2/2))</f>
        <v>49.2112180212468</v>
      </c>
      <c r="I3196" s="49" t="n">
        <f aca="false">IF('Model Inputs &amp; Assumptions'!$H$34="Fixed",'Model Inputs &amp; Assumptions'!$I$34*'Model Inputs &amp; Assumptions'!$K$34,IF('Model Inputs &amp; Assumptions'!$H$34="CPM",'Model Inputs &amp; Assumptions'!$I$34*'Model Inputs &amp; Assumptions'!$K$34*C3196/1000,IF('Model Inputs &amp; Assumptions'!$H$34="CPC",'Model Inputs &amp; Assumptions'!$I$34*'Model Inputs &amp; Assumptions'!$K$34*G3196,0)))</f>
        <v>4747.1</v>
      </c>
      <c r="J3196" s="50" t="n">
        <f aca="false">H3196*INDEX('Model Inputs &amp; Assumptions'!$D$40:$D$42,MATCH('Model Inputs &amp; Assumptions'!$L$34,'Model Inputs &amp; Assumptions'!$A$40:$A$42,0))*INDEX('Model Inputs &amp; Assumptions'!$H$40:$H$42,MATCH('Model Inputs &amp; Assumptions'!$L$34,'Model Inputs &amp; Assumptions'!$A$40:$A$42,0))</f>
        <v>354320.769752977</v>
      </c>
      <c r="K3196" s="49" t="n">
        <f aca="false">H3196*INDEX('Model Inputs &amp; Assumptions'!$G$40:$G$42,MATCH('Model Inputs &amp; Assumptions'!$L$34,'Model Inputs &amp; Assumptions'!$A$40:$A$42,0))*INDEX('Model Inputs &amp; Assumptions'!$H$40:$H$42,MATCH('Model Inputs &amp; Assumptions'!$L$34,'Model Inputs &amp; Assumptions'!$A$40:$A$42,0))</f>
        <v>7812.77297305314</v>
      </c>
      <c r="L3196" s="51" t="n">
        <f aca="false">IFERROR(K3196/I3196,0)</f>
        <v>1.64579911378592</v>
      </c>
      <c r="M3196" s="49" t="n">
        <f aca="false">IFERROR(I3196/H3196,0)</f>
        <v>96.4637777904715</v>
      </c>
      <c r="N3196" s="52" t="str">
        <f aca="false">'Model Inputs &amp; Assumptions'!$L$34</f>
        <v>PRD-USIQ</v>
      </c>
      <c r="P3196" s="53" t="n">
        <v>-1.124335</v>
      </c>
      <c r="Q3196" s="53" t="n">
        <v>-0.934363</v>
      </c>
      <c r="R3196" s="53" t="n">
        <v>0.363869</v>
      </c>
      <c r="S3196" s="53" t="n">
        <v>-0.33664</v>
      </c>
    </row>
    <row r="3197" customFormat="false" ht="15" hidden="false" customHeight="false" outlineLevel="0" collapsed="false">
      <c r="A3197" s="43" t="n">
        <v>194</v>
      </c>
      <c r="B3197" s="44" t="str">
        <f aca="false">'Model Inputs &amp; Assumptions'!$B$34</f>
        <v>Meta — Lookalike Feed Video</v>
      </c>
      <c r="C3197" s="45" t="n">
        <f aca="false">ROUND(MAX(0,'Model Inputs &amp; Assumptions'!$S$34*EXP('Model Inputs &amp; Assumptions'!$T$34*P3197-'Model Inputs &amp; Assumptions'!$T$34^2/2)),0)</f>
        <v>649855</v>
      </c>
      <c r="D3197" s="46" t="n">
        <f aca="false">MIN(1,'Model Inputs &amp; Assumptions'!$U$34*EXP('Model Inputs &amp; Assumptions'!$V$34*Q3197-'Model Inputs &amp; Assumptions'!$V$34^2/2))</f>
        <v>0.214381450855822</v>
      </c>
      <c r="E3197" s="45" t="n">
        <f aca="false">ROUND(C3197*D3197,0)</f>
        <v>139317</v>
      </c>
      <c r="F3197" s="47" t="n">
        <f aca="false">MIN(1,'Model Inputs &amp; Assumptions'!$W$34*EXP('Model Inputs &amp; Assumptions'!$X$34*R3197-'Model Inputs &amp; Assumptions'!$X$34^2/2))</f>
        <v>0.00513328553440233</v>
      </c>
      <c r="G3197" s="45" t="n">
        <f aca="false">ROUND(C3197*F3197,0)</f>
        <v>3336</v>
      </c>
      <c r="H3197" s="48" t="n">
        <f aca="false">MAX(0,(C3197*'Model Inputs &amp; Assumptions'!$N$34+E3197*'Model Inputs &amp; Assumptions'!$O$34+G3197*'Model Inputs &amp; Assumptions'!$P$34)*EXP('Model Inputs &amp; Assumptions'!$Q$34*S3197-'Model Inputs &amp; Assumptions'!$Q$34^2/2))</f>
        <v>96.4512000356172</v>
      </c>
      <c r="I3197" s="49" t="n">
        <f aca="false">IF('Model Inputs &amp; Assumptions'!$H$34="Fixed",'Model Inputs &amp; Assumptions'!$I$34*'Model Inputs &amp; Assumptions'!$K$34,IF('Model Inputs &amp; Assumptions'!$H$34="CPM",'Model Inputs &amp; Assumptions'!$I$34*'Model Inputs &amp; Assumptions'!$K$34*C3197/1000,IF('Model Inputs &amp; Assumptions'!$H$34="CPC",'Model Inputs &amp; Assumptions'!$I$34*'Model Inputs &amp; Assumptions'!$K$34*G3197,0)))</f>
        <v>6171.6</v>
      </c>
      <c r="J3197" s="50" t="n">
        <f aca="false">H3197*INDEX('Model Inputs &amp; Assumptions'!$D$40:$D$42,MATCH('Model Inputs &amp; Assumptions'!$L$34,'Model Inputs &amp; Assumptions'!$A$40:$A$42,0))*INDEX('Model Inputs &amp; Assumptions'!$H$40:$H$42,MATCH('Model Inputs &amp; Assumptions'!$L$34,'Model Inputs &amp; Assumptions'!$A$40:$A$42,0))</f>
        <v>694448.640256444</v>
      </c>
      <c r="K3197" s="49" t="n">
        <f aca="false">H3197*INDEX('Model Inputs &amp; Assumptions'!$G$40:$G$42,MATCH('Model Inputs &amp; Assumptions'!$L$34,'Model Inputs &amp; Assumptions'!$A$40:$A$42,0))*INDEX('Model Inputs &amp; Assumptions'!$H$40:$H$42,MATCH('Model Inputs &amp; Assumptions'!$L$34,'Model Inputs &amp; Assumptions'!$A$40:$A$42,0))</f>
        <v>15312.5925176546</v>
      </c>
      <c r="L3197" s="51" t="n">
        <f aca="false">IFERROR(K3197/I3197,0)</f>
        <v>2.48113820041069</v>
      </c>
      <c r="M3197" s="49" t="n">
        <f aca="false">IFERROR(I3197/H3197,0)</f>
        <v>63.9867621939486</v>
      </c>
      <c r="N3197" s="52" t="str">
        <f aca="false">'Model Inputs &amp; Assumptions'!$L$34</f>
        <v>PRD-USIQ</v>
      </c>
      <c r="P3197" s="53" t="n">
        <v>1.214605</v>
      </c>
      <c r="Q3197" s="53" t="n">
        <v>-0.359515</v>
      </c>
      <c r="R3197" s="53" t="n">
        <v>-0.776742</v>
      </c>
      <c r="S3197" s="53" t="n">
        <v>0.828925</v>
      </c>
    </row>
    <row r="3198" customFormat="false" ht="15" hidden="false" customHeight="false" outlineLevel="0" collapsed="false">
      <c r="A3198" s="43" t="n">
        <v>195</v>
      </c>
      <c r="B3198" s="44" t="str">
        <f aca="false">'Model Inputs &amp; Assumptions'!$B$34</f>
        <v>Meta — Lookalike Feed Video</v>
      </c>
      <c r="C3198" s="45" t="n">
        <f aca="false">ROUND(MAX(0,'Model Inputs &amp; Assumptions'!$S$34*EXP('Model Inputs &amp; Assumptions'!$T$34*P3198-'Model Inputs &amp; Assumptions'!$T$34^2/2)),0)</f>
        <v>610246</v>
      </c>
      <c r="D3198" s="46" t="n">
        <f aca="false">MIN(1,'Model Inputs &amp; Assumptions'!$U$34*EXP('Model Inputs &amp; Assumptions'!$V$34*Q3198-'Model Inputs &amp; Assumptions'!$V$34^2/2))</f>
        <v>0.323466679592869</v>
      </c>
      <c r="E3198" s="45" t="n">
        <f aca="false">ROUND(C3198*D3198,0)</f>
        <v>197394</v>
      </c>
      <c r="F3198" s="47" t="n">
        <f aca="false">MIN(1,'Model Inputs &amp; Assumptions'!$W$34*EXP('Model Inputs &amp; Assumptions'!$X$34*R3198-'Model Inputs &amp; Assumptions'!$X$34^2/2))</f>
        <v>0.00759425658599033</v>
      </c>
      <c r="G3198" s="45" t="n">
        <f aca="false">ROUND(C3198*F3198,0)</f>
        <v>4634</v>
      </c>
      <c r="H3198" s="48" t="n">
        <f aca="false">MAX(0,(C3198*'Model Inputs &amp; Assumptions'!$N$34+E3198*'Model Inputs &amp; Assumptions'!$O$34+G3198*'Model Inputs &amp; Assumptions'!$P$34)*EXP('Model Inputs &amp; Assumptions'!$Q$34*S3198-'Model Inputs &amp; Assumptions'!$Q$34^2/2))</f>
        <v>80.1879111760335</v>
      </c>
      <c r="I3198" s="49" t="n">
        <f aca="false">IF('Model Inputs &amp; Assumptions'!$H$34="Fixed",'Model Inputs &amp; Assumptions'!$I$34*'Model Inputs &amp; Assumptions'!$K$34,IF('Model Inputs &amp; Assumptions'!$H$34="CPM",'Model Inputs &amp; Assumptions'!$I$34*'Model Inputs &amp; Assumptions'!$K$34*C3198/1000,IF('Model Inputs &amp; Assumptions'!$H$34="CPC",'Model Inputs &amp; Assumptions'!$I$34*'Model Inputs &amp; Assumptions'!$K$34*G3198,0)))</f>
        <v>8572.9</v>
      </c>
      <c r="J3198" s="50" t="n">
        <f aca="false">H3198*INDEX('Model Inputs &amp; Assumptions'!$D$40:$D$42,MATCH('Model Inputs &amp; Assumptions'!$L$34,'Model Inputs &amp; Assumptions'!$A$40:$A$42,0))*INDEX('Model Inputs &amp; Assumptions'!$H$40:$H$42,MATCH('Model Inputs &amp; Assumptions'!$L$34,'Model Inputs &amp; Assumptions'!$A$40:$A$42,0))</f>
        <v>577352.960467441</v>
      </c>
      <c r="K3198" s="49" t="n">
        <f aca="false">H3198*INDEX('Model Inputs &amp; Assumptions'!$G$40:$G$42,MATCH('Model Inputs &amp; Assumptions'!$L$34,'Model Inputs &amp; Assumptions'!$A$40:$A$42,0))*INDEX('Model Inputs &amp; Assumptions'!$H$40:$H$42,MATCH('Model Inputs &amp; Assumptions'!$L$34,'Model Inputs &amp; Assumptions'!$A$40:$A$42,0))</f>
        <v>12730.6327783071</v>
      </c>
      <c r="L3198" s="51" t="n">
        <f aca="false">IFERROR(K3198/I3198,0)</f>
        <v>1.48498556827994</v>
      </c>
      <c r="M3198" s="49" t="n">
        <f aca="false">IFERROR(I3198/H3198,0)</f>
        <v>106.910129897015</v>
      </c>
      <c r="N3198" s="52" t="str">
        <f aca="false">'Model Inputs &amp; Assumptions'!$L$34</f>
        <v>PRD-USIQ</v>
      </c>
      <c r="P3198" s="53" t="n">
        <v>0.900166</v>
      </c>
      <c r="Q3198" s="53" t="n">
        <v>2.211355</v>
      </c>
      <c r="R3198" s="53" t="n">
        <v>1.399071</v>
      </c>
      <c r="S3198" s="53" t="n">
        <v>-0.784109</v>
      </c>
    </row>
    <row r="3199" customFormat="false" ht="15" hidden="false" customHeight="false" outlineLevel="0" collapsed="false">
      <c r="A3199" s="43" t="n">
        <v>196</v>
      </c>
      <c r="B3199" s="44" t="str">
        <f aca="false">'Model Inputs &amp; Assumptions'!$B$34</f>
        <v>Meta — Lookalike Feed Video</v>
      </c>
      <c r="C3199" s="45" t="n">
        <f aca="false">ROUND(MAX(0,'Model Inputs &amp; Assumptions'!$S$34*EXP('Model Inputs &amp; Assumptions'!$T$34*P3199-'Model Inputs &amp; Assumptions'!$T$34^2/2)),0)</f>
        <v>577225</v>
      </c>
      <c r="D3199" s="46" t="n">
        <f aca="false">MIN(1,'Model Inputs &amp; Assumptions'!$U$34*EXP('Model Inputs &amp; Assumptions'!$V$34*Q3199-'Model Inputs &amp; Assumptions'!$V$34^2/2))</f>
        <v>0.311451849153606</v>
      </c>
      <c r="E3199" s="45" t="n">
        <f aca="false">ROUND(C3199*D3199,0)</f>
        <v>179778</v>
      </c>
      <c r="F3199" s="47" t="n">
        <f aca="false">MIN(1,'Model Inputs &amp; Assumptions'!$W$34*EXP('Model Inputs &amp; Assumptions'!$X$34*R3199-'Model Inputs &amp; Assumptions'!$X$34^2/2))</f>
        <v>0.0055938885375742</v>
      </c>
      <c r="G3199" s="45" t="n">
        <f aca="false">ROUND(C3199*F3199,0)</f>
        <v>3229</v>
      </c>
      <c r="H3199" s="48" t="n">
        <f aca="false">MAX(0,(C3199*'Model Inputs &amp; Assumptions'!$N$34+E3199*'Model Inputs &amp; Assumptions'!$O$34+G3199*'Model Inputs &amp; Assumptions'!$P$34)*EXP('Model Inputs &amp; Assumptions'!$Q$34*S3199-'Model Inputs &amp; Assumptions'!$Q$34^2/2))</f>
        <v>55.8226132973006</v>
      </c>
      <c r="I3199" s="49" t="n">
        <f aca="false">IF('Model Inputs &amp; Assumptions'!$H$34="Fixed",'Model Inputs &amp; Assumptions'!$I$34*'Model Inputs &amp; Assumptions'!$K$34,IF('Model Inputs &amp; Assumptions'!$H$34="CPM",'Model Inputs &amp; Assumptions'!$I$34*'Model Inputs &amp; Assumptions'!$K$34*C3199/1000,IF('Model Inputs &amp; Assumptions'!$H$34="CPC",'Model Inputs &amp; Assumptions'!$I$34*'Model Inputs &amp; Assumptions'!$K$34*G3199,0)))</f>
        <v>5973.65</v>
      </c>
      <c r="J3199" s="50" t="n">
        <f aca="false">H3199*INDEX('Model Inputs &amp; Assumptions'!$D$40:$D$42,MATCH('Model Inputs &amp; Assumptions'!$L$34,'Model Inputs &amp; Assumptions'!$A$40:$A$42,0))*INDEX('Model Inputs &amp; Assumptions'!$H$40:$H$42,MATCH('Model Inputs &amp; Assumptions'!$L$34,'Model Inputs &amp; Assumptions'!$A$40:$A$42,0))</f>
        <v>401922.815740564</v>
      </c>
      <c r="K3199" s="49" t="n">
        <f aca="false">H3199*INDEX('Model Inputs &amp; Assumptions'!$G$40:$G$42,MATCH('Model Inputs &amp; Assumptions'!$L$34,'Model Inputs &amp; Assumptions'!$A$40:$A$42,0))*INDEX('Model Inputs &amp; Assumptions'!$H$40:$H$42,MATCH('Model Inputs &amp; Assumptions'!$L$34,'Model Inputs &amp; Assumptions'!$A$40:$A$42,0))</f>
        <v>8862.39808707944</v>
      </c>
      <c r="L3199" s="51" t="n">
        <f aca="false">IFERROR(K3199/I3199,0)</f>
        <v>1.48358174434047</v>
      </c>
      <c r="M3199" s="49" t="n">
        <f aca="false">IFERROR(I3199/H3199,0)</f>
        <v>107.011292505879</v>
      </c>
      <c r="N3199" s="52" t="str">
        <f aca="false">'Model Inputs &amp; Assumptions'!$L$34</f>
        <v>PRD-USIQ</v>
      </c>
      <c r="P3199" s="53" t="n">
        <v>0.622014</v>
      </c>
      <c r="Q3199" s="53" t="n">
        <v>1.974784</v>
      </c>
      <c r="R3199" s="53" t="n">
        <v>-0.29936</v>
      </c>
      <c r="S3199" s="53" t="n">
        <v>-0.923721</v>
      </c>
    </row>
    <row r="3200" customFormat="false" ht="15" hidden="false" customHeight="false" outlineLevel="0" collapsed="false">
      <c r="A3200" s="43" t="n">
        <v>197</v>
      </c>
      <c r="B3200" s="44" t="str">
        <f aca="false">'Model Inputs &amp; Assumptions'!$B$34</f>
        <v>Meta — Lookalike Feed Video</v>
      </c>
      <c r="C3200" s="45" t="n">
        <f aca="false">ROUND(MAX(0,'Model Inputs &amp; Assumptions'!$S$34*EXP('Model Inputs &amp; Assumptions'!$T$34*P3200-'Model Inputs &amp; Assumptions'!$T$34^2/2)),0)</f>
        <v>520364</v>
      </c>
      <c r="D3200" s="46" t="n">
        <f aca="false">MIN(1,'Model Inputs &amp; Assumptions'!$U$34*EXP('Model Inputs &amp; Assumptions'!$V$34*Q3200-'Model Inputs &amp; Assumptions'!$V$34^2/2))</f>
        <v>0.244123564482416</v>
      </c>
      <c r="E3200" s="45" t="n">
        <f aca="false">ROUND(C3200*D3200,0)</f>
        <v>127033</v>
      </c>
      <c r="F3200" s="47" t="n">
        <f aca="false">MIN(1,'Model Inputs &amp; Assumptions'!$W$34*EXP('Model Inputs &amp; Assumptions'!$X$34*R3200-'Model Inputs &amp; Assumptions'!$X$34^2/2))</f>
        <v>0.00488208483650719</v>
      </c>
      <c r="G3200" s="45" t="n">
        <f aca="false">ROUND(C3200*F3200,0)</f>
        <v>2540</v>
      </c>
      <c r="H3200" s="48" t="n">
        <f aca="false">MAX(0,(C3200*'Model Inputs &amp; Assumptions'!$N$34+E3200*'Model Inputs &amp; Assumptions'!$O$34+G3200*'Model Inputs &amp; Assumptions'!$P$34)*EXP('Model Inputs &amp; Assumptions'!$Q$34*S3200-'Model Inputs &amp; Assumptions'!$Q$34^2/2))</f>
        <v>88.1774672949194</v>
      </c>
      <c r="I3200" s="49" t="n">
        <f aca="false">IF('Model Inputs &amp; Assumptions'!$H$34="Fixed",'Model Inputs &amp; Assumptions'!$I$34*'Model Inputs &amp; Assumptions'!$K$34,IF('Model Inputs &amp; Assumptions'!$H$34="CPM",'Model Inputs &amp; Assumptions'!$I$34*'Model Inputs &amp; Assumptions'!$K$34*C3200/1000,IF('Model Inputs &amp; Assumptions'!$H$34="CPC",'Model Inputs &amp; Assumptions'!$I$34*'Model Inputs &amp; Assumptions'!$K$34*G3200,0)))</f>
        <v>4699</v>
      </c>
      <c r="J3200" s="50" t="n">
        <f aca="false">H3200*INDEX('Model Inputs &amp; Assumptions'!$D$40:$D$42,MATCH('Model Inputs &amp; Assumptions'!$L$34,'Model Inputs &amp; Assumptions'!$A$40:$A$42,0))*INDEX('Model Inputs &amp; Assumptions'!$H$40:$H$42,MATCH('Model Inputs &amp; Assumptions'!$L$34,'Model Inputs &amp; Assumptions'!$A$40:$A$42,0))</f>
        <v>634877.76452342</v>
      </c>
      <c r="K3200" s="49" t="n">
        <f aca="false">H3200*INDEX('Model Inputs &amp; Assumptions'!$G$40:$G$42,MATCH('Model Inputs &amp; Assumptions'!$L$34,'Model Inputs &amp; Assumptions'!$A$40:$A$42,0))*INDEX('Model Inputs &amp; Assumptions'!$H$40:$H$42,MATCH('Model Inputs &amp; Assumptions'!$L$34,'Model Inputs &amp; Assumptions'!$A$40:$A$42,0))</f>
        <v>13999.0547077414</v>
      </c>
      <c r="L3200" s="51" t="n">
        <f aca="false">IFERROR(K3200/I3200,0)</f>
        <v>2.97915614125163</v>
      </c>
      <c r="M3200" s="49" t="n">
        <f aca="false">IFERROR(I3200/H3200,0)</f>
        <v>53.2902582048957</v>
      </c>
      <c r="N3200" s="52" t="str">
        <f aca="false">'Model Inputs &amp; Assumptions'!$L$34</f>
        <v>PRD-USIQ</v>
      </c>
      <c r="P3200" s="53" t="n">
        <v>0.103501</v>
      </c>
      <c r="Q3200" s="53" t="n">
        <v>0.45247</v>
      </c>
      <c r="R3200" s="53" t="n">
        <v>-1.055484</v>
      </c>
      <c r="S3200" s="53" t="n">
        <v>1.313407</v>
      </c>
    </row>
    <row r="3201" customFormat="false" ht="15" hidden="false" customHeight="false" outlineLevel="0" collapsed="false">
      <c r="A3201" s="43" t="n">
        <v>198</v>
      </c>
      <c r="B3201" s="44" t="str">
        <f aca="false">'Model Inputs &amp; Assumptions'!$B$34</f>
        <v>Meta — Lookalike Feed Video</v>
      </c>
      <c r="C3201" s="45" t="n">
        <f aca="false">ROUND(MAX(0,'Model Inputs &amp; Assumptions'!$S$34*EXP('Model Inputs &amp; Assumptions'!$T$34*P3201-'Model Inputs &amp; Assumptions'!$T$34^2/2)),0)</f>
        <v>439276</v>
      </c>
      <c r="D3201" s="46" t="n">
        <f aca="false">MIN(1,'Model Inputs &amp; Assumptions'!$U$34*EXP('Model Inputs &amp; Assumptions'!$V$34*Q3201-'Model Inputs &amp; Assumptions'!$V$34^2/2))</f>
        <v>0.293630645272109</v>
      </c>
      <c r="E3201" s="45" t="n">
        <f aca="false">ROUND(C3201*D3201,0)</f>
        <v>128985</v>
      </c>
      <c r="F3201" s="47" t="n">
        <f aca="false">MIN(1,'Model Inputs &amp; Assumptions'!$W$34*EXP('Model Inputs &amp; Assumptions'!$X$34*R3201-'Model Inputs &amp; Assumptions'!$X$34^2/2))</f>
        <v>0.00723675534536649</v>
      </c>
      <c r="G3201" s="45" t="n">
        <f aca="false">ROUND(C3201*F3201,0)</f>
        <v>3179</v>
      </c>
      <c r="H3201" s="48" t="n">
        <f aca="false">MAX(0,(C3201*'Model Inputs &amp; Assumptions'!$N$34+E3201*'Model Inputs &amp; Assumptions'!$O$34+G3201*'Model Inputs &amp; Assumptions'!$P$34)*EXP('Model Inputs &amp; Assumptions'!$Q$34*S3201-'Model Inputs &amp; Assumptions'!$Q$34^2/2))</f>
        <v>92.0508728207241</v>
      </c>
      <c r="I3201" s="49" t="n">
        <f aca="false">IF('Model Inputs &amp; Assumptions'!$H$34="Fixed",'Model Inputs &amp; Assumptions'!$I$34*'Model Inputs &amp; Assumptions'!$K$34,IF('Model Inputs &amp; Assumptions'!$H$34="CPM",'Model Inputs &amp; Assumptions'!$I$34*'Model Inputs &amp; Assumptions'!$K$34*C3201/1000,IF('Model Inputs &amp; Assumptions'!$H$34="CPC",'Model Inputs &amp; Assumptions'!$I$34*'Model Inputs &amp; Assumptions'!$K$34*G3201,0)))</f>
        <v>5881.15</v>
      </c>
      <c r="J3201" s="50" t="n">
        <f aca="false">H3201*INDEX('Model Inputs &amp; Assumptions'!$D$40:$D$42,MATCH('Model Inputs &amp; Assumptions'!$L$34,'Model Inputs &amp; Assumptions'!$A$40:$A$42,0))*INDEX('Model Inputs &amp; Assumptions'!$H$40:$H$42,MATCH('Model Inputs &amp; Assumptions'!$L$34,'Model Inputs &amp; Assumptions'!$A$40:$A$42,0))</f>
        <v>662766.284309214</v>
      </c>
      <c r="K3201" s="49" t="n">
        <f aca="false">H3201*INDEX('Model Inputs &amp; Assumptions'!$G$40:$G$42,MATCH('Model Inputs &amp; Assumptions'!$L$34,'Model Inputs &amp; Assumptions'!$A$40:$A$42,0))*INDEX('Model Inputs &amp; Assumptions'!$H$40:$H$42,MATCH('Model Inputs &amp; Assumptions'!$L$34,'Model Inputs &amp; Assumptions'!$A$40:$A$42,0))</f>
        <v>14613.9965690182</v>
      </c>
      <c r="L3201" s="51" t="n">
        <f aca="false">IFERROR(K3201/I3201,0)</f>
        <v>2.48488757624243</v>
      </c>
      <c r="M3201" s="49" t="n">
        <f aca="false">IFERROR(I3201/H3201,0)</f>
        <v>63.8902143975753</v>
      </c>
      <c r="N3201" s="52" t="str">
        <f aca="false">'Model Inputs &amp; Assumptions'!$L$34</f>
        <v>PRD-USIQ</v>
      </c>
      <c r="P3201" s="53" t="n">
        <v>-0.743502</v>
      </c>
      <c r="Q3201" s="53" t="n">
        <v>1.606521</v>
      </c>
      <c r="R3201" s="53" t="n">
        <v>1.131186</v>
      </c>
      <c r="S3201" s="53" t="n">
        <v>0.84639</v>
      </c>
    </row>
    <row r="3202" customFormat="false" ht="15" hidden="false" customHeight="false" outlineLevel="0" collapsed="false">
      <c r="A3202" s="43" t="n">
        <v>199</v>
      </c>
      <c r="B3202" s="44" t="str">
        <f aca="false">'Model Inputs &amp; Assumptions'!$B$34</f>
        <v>Meta — Lookalike Feed Video</v>
      </c>
      <c r="C3202" s="45" t="n">
        <f aca="false">ROUND(MAX(0,'Model Inputs &amp; Assumptions'!$S$34*EXP('Model Inputs &amp; Assumptions'!$T$34*P3202-'Model Inputs &amp; Assumptions'!$T$34^2/2)),0)</f>
        <v>414464</v>
      </c>
      <c r="D3202" s="46" t="n">
        <f aca="false">MIN(1,'Model Inputs &amp; Assumptions'!$U$34*EXP('Model Inputs &amp; Assumptions'!$V$34*Q3202-'Model Inputs &amp; Assumptions'!$V$34^2/2))</f>
        <v>0.252484259693094</v>
      </c>
      <c r="E3202" s="45" t="n">
        <f aca="false">ROUND(C3202*D3202,0)</f>
        <v>104646</v>
      </c>
      <c r="F3202" s="47" t="n">
        <f aca="false">MIN(1,'Model Inputs &amp; Assumptions'!$W$34*EXP('Model Inputs &amp; Assumptions'!$X$34*R3202-'Model Inputs &amp; Assumptions'!$X$34^2/2))</f>
        <v>0.0055029574683052</v>
      </c>
      <c r="G3202" s="45" t="n">
        <f aca="false">ROUND(C3202*F3202,0)</f>
        <v>2281</v>
      </c>
      <c r="H3202" s="48" t="n">
        <f aca="false">MAX(0,(C3202*'Model Inputs &amp; Assumptions'!$N$34+E3202*'Model Inputs &amp; Assumptions'!$O$34+G3202*'Model Inputs &amp; Assumptions'!$P$34)*EXP('Model Inputs &amp; Assumptions'!$Q$34*S3202-'Model Inputs &amp; Assumptions'!$Q$34^2/2))</f>
        <v>39.3217248230223</v>
      </c>
      <c r="I3202" s="49" t="n">
        <f aca="false">IF('Model Inputs &amp; Assumptions'!$H$34="Fixed",'Model Inputs &amp; Assumptions'!$I$34*'Model Inputs &amp; Assumptions'!$K$34,IF('Model Inputs &amp; Assumptions'!$H$34="CPM",'Model Inputs &amp; Assumptions'!$I$34*'Model Inputs &amp; Assumptions'!$K$34*C3202/1000,IF('Model Inputs &amp; Assumptions'!$H$34="CPC",'Model Inputs &amp; Assumptions'!$I$34*'Model Inputs &amp; Assumptions'!$K$34*G3202,0)))</f>
        <v>4219.85</v>
      </c>
      <c r="J3202" s="50" t="n">
        <f aca="false">H3202*INDEX('Model Inputs &amp; Assumptions'!$D$40:$D$42,MATCH('Model Inputs &amp; Assumptions'!$L$34,'Model Inputs &amp; Assumptions'!$A$40:$A$42,0))*INDEX('Model Inputs &amp; Assumptions'!$H$40:$H$42,MATCH('Model Inputs &amp; Assumptions'!$L$34,'Model Inputs &amp; Assumptions'!$A$40:$A$42,0))</f>
        <v>283116.418725761</v>
      </c>
      <c r="K3202" s="49" t="n">
        <f aca="false">H3202*INDEX('Model Inputs &amp; Assumptions'!$G$40:$G$42,MATCH('Model Inputs &amp; Assumptions'!$L$34,'Model Inputs &amp; Assumptions'!$A$40:$A$42,0))*INDEX('Model Inputs &amp; Assumptions'!$H$40:$H$42,MATCH('Model Inputs &amp; Assumptions'!$L$34,'Model Inputs &amp; Assumptions'!$A$40:$A$42,0))</f>
        <v>6242.71703290302</v>
      </c>
      <c r="L3202" s="51" t="n">
        <f aca="false">IFERROR(K3202/I3202,0)</f>
        <v>1.47936941666245</v>
      </c>
      <c r="M3202" s="49" t="n">
        <f aca="false">IFERROR(I3202/H3202,0)</f>
        <v>107.315994376964</v>
      </c>
      <c r="N3202" s="52" t="str">
        <f aca="false">'Model Inputs &amp; Assumptions'!$L$34</f>
        <v>PRD-USIQ</v>
      </c>
      <c r="P3202" s="53" t="n">
        <v>-1.034216</v>
      </c>
      <c r="Q3202" s="53" t="n">
        <v>0.662935</v>
      </c>
      <c r="R3202" s="53" t="n">
        <v>-0.39041</v>
      </c>
      <c r="S3202" s="53" t="n">
        <v>-0.83079</v>
      </c>
    </row>
    <row r="3203" customFormat="false" ht="15" hidden="false" customHeight="false" outlineLevel="0" collapsed="false">
      <c r="A3203" s="43" t="n">
        <v>200</v>
      </c>
      <c r="B3203" s="44" t="str">
        <f aca="false">'Model Inputs &amp; Assumptions'!$B$34</f>
        <v>Meta — Lookalike Feed Video</v>
      </c>
      <c r="C3203" s="45" t="n">
        <f aca="false">ROUND(MAX(0,'Model Inputs &amp; Assumptions'!$S$34*EXP('Model Inputs &amp; Assumptions'!$T$34*P3203-'Model Inputs &amp; Assumptions'!$T$34^2/2)),0)</f>
        <v>871156</v>
      </c>
      <c r="D3203" s="46" t="n">
        <f aca="false">MIN(1,'Model Inputs &amp; Assumptions'!$U$34*EXP('Model Inputs &amp; Assumptions'!$V$34*Q3203-'Model Inputs &amp; Assumptions'!$V$34^2/2))</f>
        <v>0.21811801486954</v>
      </c>
      <c r="E3203" s="45" t="n">
        <f aca="false">ROUND(C3203*D3203,0)</f>
        <v>190015</v>
      </c>
      <c r="F3203" s="47" t="n">
        <f aca="false">MIN(1,'Model Inputs &amp; Assumptions'!$W$34*EXP('Model Inputs &amp; Assumptions'!$X$34*R3203-'Model Inputs &amp; Assumptions'!$X$34^2/2))</f>
        <v>0.00614047259599062</v>
      </c>
      <c r="G3203" s="45" t="n">
        <f aca="false">ROUND(C3203*F3203,0)</f>
        <v>5349</v>
      </c>
      <c r="H3203" s="48" t="n">
        <f aca="false">MAX(0,(C3203*'Model Inputs &amp; Assumptions'!$N$34+E3203*'Model Inputs &amp; Assumptions'!$O$34+G3203*'Model Inputs &amp; Assumptions'!$P$34)*EXP('Model Inputs &amp; Assumptions'!$Q$34*S3203-'Model Inputs &amp; Assumptions'!$Q$34^2/2))</f>
        <v>115.486263106771</v>
      </c>
      <c r="I3203" s="49" t="n">
        <f aca="false">IF('Model Inputs &amp; Assumptions'!$H$34="Fixed",'Model Inputs &amp; Assumptions'!$I$34*'Model Inputs &amp; Assumptions'!$K$34,IF('Model Inputs &amp; Assumptions'!$H$34="CPM",'Model Inputs &amp; Assumptions'!$I$34*'Model Inputs &amp; Assumptions'!$K$34*C3203/1000,IF('Model Inputs &amp; Assumptions'!$H$34="CPC",'Model Inputs &amp; Assumptions'!$I$34*'Model Inputs &amp; Assumptions'!$K$34*G3203,0)))</f>
        <v>9895.65</v>
      </c>
      <c r="J3203" s="50" t="n">
        <f aca="false">H3203*INDEX('Model Inputs &amp; Assumptions'!$D$40:$D$42,MATCH('Model Inputs &amp; Assumptions'!$L$34,'Model Inputs &amp; Assumptions'!$A$40:$A$42,0))*INDEX('Model Inputs &amp; Assumptions'!$H$40:$H$42,MATCH('Model Inputs &amp; Assumptions'!$L$34,'Model Inputs &amp; Assumptions'!$A$40:$A$42,0))</f>
        <v>831501.094368754</v>
      </c>
      <c r="K3203" s="49" t="n">
        <f aca="false">H3203*INDEX('Model Inputs &amp; Assumptions'!$G$40:$G$42,MATCH('Model Inputs &amp; Assumptions'!$L$34,'Model Inputs &amp; Assumptions'!$A$40:$A$42,0))*INDEX('Model Inputs &amp; Assumptions'!$H$40:$H$42,MATCH('Model Inputs &amp; Assumptions'!$L$34,'Model Inputs &amp; Assumptions'!$A$40:$A$42,0))</f>
        <v>18334.599130831</v>
      </c>
      <c r="L3203" s="51" t="n">
        <f aca="false">IFERROR(K3203/I3203,0)</f>
        <v>1.8527938165589</v>
      </c>
      <c r="M3203" s="49" t="n">
        <f aca="false">IFERROR(I3203/H3203,0)</f>
        <v>85.6868144642545</v>
      </c>
      <c r="N3203" s="52" t="str">
        <f aca="false">'Model Inputs &amp; Assumptions'!$L$34</f>
        <v>PRD-USIQ</v>
      </c>
      <c r="P3203" s="53" t="n">
        <v>2.679959</v>
      </c>
      <c r="Q3203" s="53" t="n">
        <v>-0.251519</v>
      </c>
      <c r="R3203" s="53" t="n">
        <v>0.218568</v>
      </c>
      <c r="S3203" s="53" t="n">
        <v>-0.016105</v>
      </c>
    </row>
    <row r="3204" customFormat="false" ht="15" hidden="false" customHeight="false" outlineLevel="0" collapsed="false">
      <c r="A3204" s="43" t="n">
        <v>201</v>
      </c>
      <c r="B3204" s="44" t="str">
        <f aca="false">'Model Inputs &amp; Assumptions'!$B$34</f>
        <v>Meta — Lookalike Feed Video</v>
      </c>
      <c r="C3204" s="45" t="n">
        <f aca="false">ROUND(MAX(0,'Model Inputs &amp; Assumptions'!$S$34*EXP('Model Inputs &amp; Assumptions'!$T$34*P3204-'Model Inputs &amp; Assumptions'!$T$34^2/2)),0)</f>
        <v>944424</v>
      </c>
      <c r="D3204" s="46" t="n">
        <f aca="false">MIN(1,'Model Inputs &amp; Assumptions'!$U$34*EXP('Model Inputs &amp; Assumptions'!$V$34*Q3204-'Model Inputs &amp; Assumptions'!$V$34^2/2))</f>
        <v>0.220734775273722</v>
      </c>
      <c r="E3204" s="45" t="n">
        <f aca="false">ROUND(C3204*D3204,0)</f>
        <v>208467</v>
      </c>
      <c r="F3204" s="47" t="n">
        <f aca="false">MIN(1,'Model Inputs &amp; Assumptions'!$W$34*EXP('Model Inputs &amp; Assumptions'!$X$34*R3204-'Model Inputs &amp; Assumptions'!$X$34^2/2))</f>
        <v>0.0071293045366573</v>
      </c>
      <c r="G3204" s="45" t="n">
        <f aca="false">ROUND(C3204*F3204,0)</f>
        <v>6733</v>
      </c>
      <c r="H3204" s="48" t="n">
        <f aca="false">MAX(0,(C3204*'Model Inputs &amp; Assumptions'!$N$34+E3204*'Model Inputs &amp; Assumptions'!$O$34+G3204*'Model Inputs &amp; Assumptions'!$P$34)*EXP('Model Inputs &amp; Assumptions'!$Q$34*S3204-'Model Inputs &amp; Assumptions'!$Q$34^2/2))</f>
        <v>117.460252169788</v>
      </c>
      <c r="I3204" s="49" t="n">
        <f aca="false">IF('Model Inputs &amp; Assumptions'!$H$34="Fixed",'Model Inputs &amp; Assumptions'!$I$34*'Model Inputs &amp; Assumptions'!$K$34,IF('Model Inputs &amp; Assumptions'!$H$34="CPM",'Model Inputs &amp; Assumptions'!$I$34*'Model Inputs &amp; Assumptions'!$K$34*C3204/1000,IF('Model Inputs &amp; Assumptions'!$H$34="CPC",'Model Inputs &amp; Assumptions'!$I$34*'Model Inputs &amp; Assumptions'!$K$34*G3204,0)))</f>
        <v>12456.05</v>
      </c>
      <c r="J3204" s="50" t="n">
        <f aca="false">H3204*INDEX('Model Inputs &amp; Assumptions'!$D$40:$D$42,MATCH('Model Inputs &amp; Assumptions'!$L$34,'Model Inputs &amp; Assumptions'!$A$40:$A$42,0))*INDEX('Model Inputs &amp; Assumptions'!$H$40:$H$42,MATCH('Model Inputs &amp; Assumptions'!$L$34,'Model Inputs &amp; Assumptions'!$A$40:$A$42,0))</f>
        <v>845713.815622474</v>
      </c>
      <c r="K3204" s="49" t="n">
        <f aca="false">H3204*INDEX('Model Inputs &amp; Assumptions'!$G$40:$G$42,MATCH('Model Inputs &amp; Assumptions'!$L$34,'Model Inputs &amp; Assumptions'!$A$40:$A$42,0))*INDEX('Model Inputs &amp; Assumptions'!$H$40:$H$42,MATCH('Model Inputs &amp; Assumptions'!$L$34,'Model Inputs &amp; Assumptions'!$A$40:$A$42,0))</f>
        <v>18647.9896344755</v>
      </c>
      <c r="L3204" s="51" t="n">
        <f aca="false">IFERROR(K3204/I3204,0)</f>
        <v>1.49710298485279</v>
      </c>
      <c r="M3204" s="49" t="n">
        <f aca="false">IFERROR(I3204/H3204,0)</f>
        <v>106.044808945198</v>
      </c>
      <c r="N3204" s="52" t="str">
        <f aca="false">'Model Inputs &amp; Assumptions'!$L$34</f>
        <v>PRD-USIQ</v>
      </c>
      <c r="P3204" s="53" t="n">
        <v>3.083733</v>
      </c>
      <c r="Q3204" s="53" t="n">
        <v>-0.176984</v>
      </c>
      <c r="R3204" s="53" t="n">
        <v>1.048079</v>
      </c>
      <c r="S3204" s="53" t="n">
        <v>-0.631911</v>
      </c>
    </row>
    <row r="3205" customFormat="false" ht="15" hidden="false" customHeight="false" outlineLevel="0" collapsed="false">
      <c r="A3205" s="43" t="n">
        <v>202</v>
      </c>
      <c r="B3205" s="44" t="str">
        <f aca="false">'Model Inputs &amp; Assumptions'!$B$34</f>
        <v>Meta — Lookalike Feed Video</v>
      </c>
      <c r="C3205" s="45" t="n">
        <f aca="false">ROUND(MAX(0,'Model Inputs &amp; Assumptions'!$S$34*EXP('Model Inputs &amp; Assumptions'!$T$34*P3205-'Model Inputs &amp; Assumptions'!$T$34^2/2)),0)</f>
        <v>606497</v>
      </c>
      <c r="D3205" s="46" t="n">
        <f aca="false">MIN(1,'Model Inputs &amp; Assumptions'!$U$34*EXP('Model Inputs &amp; Assumptions'!$V$34*Q3205-'Model Inputs &amp; Assumptions'!$V$34^2/2))</f>
        <v>0.213409852917306</v>
      </c>
      <c r="E3205" s="45" t="n">
        <f aca="false">ROUND(C3205*D3205,0)</f>
        <v>129432</v>
      </c>
      <c r="F3205" s="47" t="n">
        <f aca="false">MIN(1,'Model Inputs &amp; Assumptions'!$W$34*EXP('Model Inputs &amp; Assumptions'!$X$34*R3205-'Model Inputs &amp; Assumptions'!$X$34^2/2))</f>
        <v>0.00556081838639251</v>
      </c>
      <c r="G3205" s="45" t="n">
        <f aca="false">ROUND(C3205*F3205,0)</f>
        <v>3373</v>
      </c>
      <c r="H3205" s="48" t="n">
        <f aca="false">MAX(0,(C3205*'Model Inputs &amp; Assumptions'!$N$34+E3205*'Model Inputs &amp; Assumptions'!$O$34+G3205*'Model Inputs &amp; Assumptions'!$P$34)*EXP('Model Inputs &amp; Assumptions'!$Q$34*S3205-'Model Inputs &amp; Assumptions'!$Q$34^2/2))</f>
        <v>69.2972595169648</v>
      </c>
      <c r="I3205" s="49" t="n">
        <f aca="false">IF('Model Inputs &amp; Assumptions'!$H$34="Fixed",'Model Inputs &amp; Assumptions'!$I$34*'Model Inputs &amp; Assumptions'!$K$34,IF('Model Inputs &amp; Assumptions'!$H$34="CPM",'Model Inputs &amp; Assumptions'!$I$34*'Model Inputs &amp; Assumptions'!$K$34*C3205/1000,IF('Model Inputs &amp; Assumptions'!$H$34="CPC",'Model Inputs &amp; Assumptions'!$I$34*'Model Inputs &amp; Assumptions'!$K$34*G3205,0)))</f>
        <v>6240.05</v>
      </c>
      <c r="J3205" s="50" t="n">
        <f aca="false">H3205*INDEX('Model Inputs &amp; Assumptions'!$D$40:$D$42,MATCH('Model Inputs &amp; Assumptions'!$L$34,'Model Inputs &amp; Assumptions'!$A$40:$A$42,0))*INDEX('Model Inputs &amp; Assumptions'!$H$40:$H$42,MATCH('Model Inputs &amp; Assumptions'!$L$34,'Model Inputs &amp; Assumptions'!$A$40:$A$42,0))</f>
        <v>498940.268522146</v>
      </c>
      <c r="K3205" s="49" t="n">
        <f aca="false">H3205*INDEX('Model Inputs &amp; Assumptions'!$G$40:$G$42,MATCH('Model Inputs &amp; Assumptions'!$L$34,'Model Inputs &amp; Assumptions'!$A$40:$A$42,0))*INDEX('Model Inputs &amp; Assumptions'!$H$40:$H$42,MATCH('Model Inputs &amp; Assumptions'!$L$34,'Model Inputs &amp; Assumptions'!$A$40:$A$42,0))</f>
        <v>11001.6329209133</v>
      </c>
      <c r="L3205" s="51" t="n">
        <f aca="false">IFERROR(K3205/I3205,0)</f>
        <v>1.76306807171631</v>
      </c>
      <c r="M3205" s="49" t="n">
        <f aca="false">IFERROR(I3205/H3205,0)</f>
        <v>90.0475724941527</v>
      </c>
      <c r="N3205" s="52" t="str">
        <f aca="false">'Model Inputs &amp; Assumptions'!$L$34</f>
        <v>PRD-USIQ</v>
      </c>
      <c r="P3205" s="53" t="n">
        <v>0.869353</v>
      </c>
      <c r="Q3205" s="53" t="n">
        <v>-0.387905</v>
      </c>
      <c r="R3205" s="53" t="n">
        <v>-0.332301</v>
      </c>
      <c r="S3205" s="53" t="n">
        <v>-0.20226</v>
      </c>
    </row>
    <row r="3206" customFormat="false" ht="15" hidden="false" customHeight="false" outlineLevel="0" collapsed="false">
      <c r="A3206" s="43" t="n">
        <v>203</v>
      </c>
      <c r="B3206" s="44" t="str">
        <f aca="false">'Model Inputs &amp; Assumptions'!$B$34</f>
        <v>Meta — Lookalike Feed Video</v>
      </c>
      <c r="C3206" s="45" t="n">
        <f aca="false">ROUND(MAX(0,'Model Inputs &amp; Assumptions'!$S$34*EXP('Model Inputs &amp; Assumptions'!$T$34*P3206-'Model Inputs &amp; Assumptions'!$T$34^2/2)),0)</f>
        <v>675434</v>
      </c>
      <c r="D3206" s="46" t="n">
        <f aca="false">MIN(1,'Model Inputs &amp; Assumptions'!$U$34*EXP('Model Inputs &amp; Assumptions'!$V$34*Q3206-'Model Inputs &amp; Assumptions'!$V$34^2/2))</f>
        <v>0.222337200116185</v>
      </c>
      <c r="E3206" s="45" t="n">
        <f aca="false">ROUND(C3206*D3206,0)</f>
        <v>150174</v>
      </c>
      <c r="F3206" s="47" t="n">
        <f aca="false">MIN(1,'Model Inputs &amp; Assumptions'!$W$34*EXP('Model Inputs &amp; Assumptions'!$X$34*R3206-'Model Inputs &amp; Assumptions'!$X$34^2/2))</f>
        <v>0.00539446457561511</v>
      </c>
      <c r="G3206" s="45" t="n">
        <f aca="false">ROUND(C3206*F3206,0)</f>
        <v>3644</v>
      </c>
      <c r="H3206" s="48" t="n">
        <f aca="false">MAX(0,(C3206*'Model Inputs &amp; Assumptions'!$N$34+E3206*'Model Inputs &amp; Assumptions'!$O$34+G3206*'Model Inputs &amp; Assumptions'!$P$34)*EXP('Model Inputs &amp; Assumptions'!$Q$34*S3206-'Model Inputs &amp; Assumptions'!$Q$34^2/2))</f>
        <v>88.0574143112399</v>
      </c>
      <c r="I3206" s="49" t="n">
        <f aca="false">IF('Model Inputs &amp; Assumptions'!$H$34="Fixed",'Model Inputs &amp; Assumptions'!$I$34*'Model Inputs &amp; Assumptions'!$K$34,IF('Model Inputs &amp; Assumptions'!$H$34="CPM",'Model Inputs &amp; Assumptions'!$I$34*'Model Inputs &amp; Assumptions'!$K$34*C3206/1000,IF('Model Inputs &amp; Assumptions'!$H$34="CPC",'Model Inputs &amp; Assumptions'!$I$34*'Model Inputs &amp; Assumptions'!$K$34*G3206,0)))</f>
        <v>6741.4</v>
      </c>
      <c r="J3206" s="50" t="n">
        <f aca="false">H3206*INDEX('Model Inputs &amp; Assumptions'!$D$40:$D$42,MATCH('Model Inputs &amp; Assumptions'!$L$34,'Model Inputs &amp; Assumptions'!$A$40:$A$42,0))*INDEX('Model Inputs &amp; Assumptions'!$H$40:$H$42,MATCH('Model Inputs &amp; Assumptions'!$L$34,'Model Inputs &amp; Assumptions'!$A$40:$A$42,0))</f>
        <v>634013.383040927</v>
      </c>
      <c r="K3206" s="49" t="n">
        <f aca="false">H3206*INDEX('Model Inputs &amp; Assumptions'!$G$40:$G$42,MATCH('Model Inputs &amp; Assumptions'!$L$34,'Model Inputs &amp; Assumptions'!$A$40:$A$42,0))*INDEX('Model Inputs &amp; Assumptions'!$H$40:$H$42,MATCH('Model Inputs &amp; Assumptions'!$L$34,'Model Inputs &amp; Assumptions'!$A$40:$A$42,0))</f>
        <v>13979.9950960524</v>
      </c>
      <c r="L3206" s="51" t="n">
        <f aca="false">IFERROR(K3206/I3206,0)</f>
        <v>2.07375249889525</v>
      </c>
      <c r="M3206" s="49" t="n">
        <f aca="false">IFERROR(I3206/H3206,0)</f>
        <v>76.5568697733101</v>
      </c>
      <c r="N3206" s="52" t="str">
        <f aca="false">'Model Inputs &amp; Assumptions'!$L$34</f>
        <v>PRD-USIQ</v>
      </c>
      <c r="P3206" s="53" t="n">
        <v>1.407633</v>
      </c>
      <c r="Q3206" s="53" t="n">
        <v>-0.131776</v>
      </c>
      <c r="R3206" s="53" t="n">
        <v>-0.501034</v>
      </c>
      <c r="S3206" s="53" t="n">
        <v>0.274333</v>
      </c>
    </row>
    <row r="3207" customFormat="false" ht="15" hidden="false" customHeight="false" outlineLevel="0" collapsed="false">
      <c r="A3207" s="43" t="n">
        <v>204</v>
      </c>
      <c r="B3207" s="44" t="str">
        <f aca="false">'Model Inputs &amp; Assumptions'!$B$34</f>
        <v>Meta — Lookalike Feed Video</v>
      </c>
      <c r="C3207" s="45" t="n">
        <f aca="false">ROUND(MAX(0,'Model Inputs &amp; Assumptions'!$S$34*EXP('Model Inputs &amp; Assumptions'!$T$34*P3207-'Model Inputs &amp; Assumptions'!$T$34^2/2)),0)</f>
        <v>397995</v>
      </c>
      <c r="D3207" s="46" t="n">
        <f aca="false">MIN(1,'Model Inputs &amp; Assumptions'!$U$34*EXP('Model Inputs &amp; Assumptions'!$V$34*Q3207-'Model Inputs &amp; Assumptions'!$V$34^2/2))</f>
        <v>0.242610022598481</v>
      </c>
      <c r="E3207" s="45" t="n">
        <f aca="false">ROUND(C3207*D3207,0)</f>
        <v>96558</v>
      </c>
      <c r="F3207" s="47" t="n">
        <f aca="false">MIN(1,'Model Inputs &amp; Assumptions'!$W$34*EXP('Model Inputs &amp; Assumptions'!$X$34*R3207-'Model Inputs &amp; Assumptions'!$X$34^2/2))</f>
        <v>0.0073438597009022</v>
      </c>
      <c r="G3207" s="45" t="n">
        <f aca="false">ROUND(C3207*F3207,0)</f>
        <v>2923</v>
      </c>
      <c r="H3207" s="48" t="n">
        <f aca="false">MAX(0,(C3207*'Model Inputs &amp; Assumptions'!$N$34+E3207*'Model Inputs &amp; Assumptions'!$O$34+G3207*'Model Inputs &amp; Assumptions'!$P$34)*EXP('Model Inputs &amp; Assumptions'!$Q$34*S3207-'Model Inputs &amp; Assumptions'!$Q$34^2/2))</f>
        <v>42.8065843989338</v>
      </c>
      <c r="I3207" s="49" t="n">
        <f aca="false">IF('Model Inputs &amp; Assumptions'!$H$34="Fixed",'Model Inputs &amp; Assumptions'!$I$34*'Model Inputs &amp; Assumptions'!$K$34,IF('Model Inputs &amp; Assumptions'!$H$34="CPM",'Model Inputs &amp; Assumptions'!$I$34*'Model Inputs &amp; Assumptions'!$K$34*C3207/1000,IF('Model Inputs &amp; Assumptions'!$H$34="CPC",'Model Inputs &amp; Assumptions'!$I$34*'Model Inputs &amp; Assumptions'!$K$34*G3207,0)))</f>
        <v>5407.55</v>
      </c>
      <c r="J3207" s="50" t="n">
        <f aca="false">H3207*INDEX('Model Inputs &amp; Assumptions'!$D$40:$D$42,MATCH('Model Inputs &amp; Assumptions'!$L$34,'Model Inputs &amp; Assumptions'!$A$40:$A$42,0))*INDEX('Model Inputs &amp; Assumptions'!$H$40:$H$42,MATCH('Model Inputs &amp; Assumptions'!$L$34,'Model Inputs &amp; Assumptions'!$A$40:$A$42,0))</f>
        <v>308207.407672323</v>
      </c>
      <c r="K3207" s="49" t="n">
        <f aca="false">H3207*INDEX('Model Inputs &amp; Assumptions'!$G$40:$G$42,MATCH('Model Inputs &amp; Assumptions'!$L$34,'Model Inputs &amp; Assumptions'!$A$40:$A$42,0))*INDEX('Model Inputs &amp; Assumptions'!$H$40:$H$42,MATCH('Model Inputs &amp; Assumptions'!$L$34,'Model Inputs &amp; Assumptions'!$A$40:$A$42,0))</f>
        <v>6795.97333917472</v>
      </c>
      <c r="L3207" s="51" t="n">
        <f aca="false">IFERROR(K3207/I3207,0)</f>
        <v>1.25675644962593</v>
      </c>
      <c r="M3207" s="49" t="n">
        <f aca="false">IFERROR(I3207/H3207,0)</f>
        <v>126.325192162136</v>
      </c>
      <c r="N3207" s="52" t="str">
        <f aca="false">'Model Inputs &amp; Assumptions'!$L$34</f>
        <v>PRD-USIQ</v>
      </c>
      <c r="P3207" s="53" t="n">
        <v>-1.236946</v>
      </c>
      <c r="Q3207" s="53" t="n">
        <v>0.4136</v>
      </c>
      <c r="R3207" s="53" t="n">
        <v>1.212806</v>
      </c>
      <c r="S3207" s="53" t="n">
        <v>-1.201739</v>
      </c>
    </row>
    <row r="3208" customFormat="false" ht="15" hidden="false" customHeight="false" outlineLevel="0" collapsed="false">
      <c r="A3208" s="43" t="n">
        <v>205</v>
      </c>
      <c r="B3208" s="44" t="str">
        <f aca="false">'Model Inputs &amp; Assumptions'!$B$34</f>
        <v>Meta — Lookalike Feed Video</v>
      </c>
      <c r="C3208" s="45" t="n">
        <f aca="false">ROUND(MAX(0,'Model Inputs &amp; Assumptions'!$S$34*EXP('Model Inputs &amp; Assumptions'!$T$34*P3208-'Model Inputs &amp; Assumptions'!$T$34^2/2)),0)</f>
        <v>462390</v>
      </c>
      <c r="D3208" s="46" t="n">
        <f aca="false">MIN(1,'Model Inputs &amp; Assumptions'!$U$34*EXP('Model Inputs &amp; Assumptions'!$V$34*Q3208-'Model Inputs &amp; Assumptions'!$V$34^2/2))</f>
        <v>0.191616463628136</v>
      </c>
      <c r="E3208" s="45" t="n">
        <f aca="false">ROUND(C3208*D3208,0)</f>
        <v>88602</v>
      </c>
      <c r="F3208" s="47" t="n">
        <f aca="false">MIN(1,'Model Inputs &amp; Assumptions'!$W$34*EXP('Model Inputs &amp; Assumptions'!$X$34*R3208-'Model Inputs &amp; Assumptions'!$X$34^2/2))</f>
        <v>0.0068094610034751</v>
      </c>
      <c r="G3208" s="45" t="n">
        <f aca="false">ROUND(C3208*F3208,0)</f>
        <v>3149</v>
      </c>
      <c r="H3208" s="48" t="n">
        <f aca="false">MAX(0,(C3208*'Model Inputs &amp; Assumptions'!$N$34+E3208*'Model Inputs &amp; Assumptions'!$O$34+G3208*'Model Inputs &amp; Assumptions'!$P$34)*EXP('Model Inputs &amp; Assumptions'!$Q$34*S3208-'Model Inputs &amp; Assumptions'!$Q$34^2/2))</f>
        <v>73.5576021924848</v>
      </c>
      <c r="I3208" s="49" t="n">
        <f aca="false">IF('Model Inputs &amp; Assumptions'!$H$34="Fixed",'Model Inputs &amp; Assumptions'!$I$34*'Model Inputs &amp; Assumptions'!$K$34,IF('Model Inputs &amp; Assumptions'!$H$34="CPM",'Model Inputs &amp; Assumptions'!$I$34*'Model Inputs &amp; Assumptions'!$K$34*C3208/1000,IF('Model Inputs &amp; Assumptions'!$H$34="CPC",'Model Inputs &amp; Assumptions'!$I$34*'Model Inputs &amp; Assumptions'!$K$34*G3208,0)))</f>
        <v>5825.65</v>
      </c>
      <c r="J3208" s="50" t="n">
        <f aca="false">H3208*INDEX('Model Inputs &amp; Assumptions'!$D$40:$D$42,MATCH('Model Inputs &amp; Assumptions'!$L$34,'Model Inputs &amp; Assumptions'!$A$40:$A$42,0))*INDEX('Model Inputs &amp; Assumptions'!$H$40:$H$42,MATCH('Model Inputs &amp; Assumptions'!$L$34,'Model Inputs &amp; Assumptions'!$A$40:$A$42,0))</f>
        <v>529614.73578589</v>
      </c>
      <c r="K3208" s="49" t="n">
        <f aca="false">H3208*INDEX('Model Inputs &amp; Assumptions'!$G$40:$G$42,MATCH('Model Inputs &amp; Assumptions'!$L$34,'Model Inputs &amp; Assumptions'!$A$40:$A$42,0))*INDEX('Model Inputs &amp; Assumptions'!$H$40:$H$42,MATCH('Model Inputs &amp; Assumptions'!$L$34,'Model Inputs &amp; Assumptions'!$A$40:$A$42,0))</f>
        <v>11678.0049240789</v>
      </c>
      <c r="L3208" s="51" t="n">
        <f aca="false">IFERROR(K3208/I3208,0)</f>
        <v>2.00458402480047</v>
      </c>
      <c r="M3208" s="49" t="n">
        <f aca="false">IFERROR(I3208/H3208,0)</f>
        <v>79.1984761106745</v>
      </c>
      <c r="N3208" s="52" t="str">
        <f aca="false">'Model Inputs &amp; Assumptions'!$L$34</f>
        <v>PRD-USIQ</v>
      </c>
      <c r="P3208" s="53" t="n">
        <v>-0.487097</v>
      </c>
      <c r="Q3208" s="53" t="n">
        <v>-1.061147</v>
      </c>
      <c r="R3208" s="53" t="n">
        <v>0.793075</v>
      </c>
      <c r="S3208" s="53" t="n">
        <v>0.311876</v>
      </c>
    </row>
    <row r="3209" customFormat="false" ht="15" hidden="false" customHeight="false" outlineLevel="0" collapsed="false">
      <c r="A3209" s="43" t="n">
        <v>206</v>
      </c>
      <c r="B3209" s="44" t="str">
        <f aca="false">'Model Inputs &amp; Assumptions'!$B$34</f>
        <v>Meta — Lookalike Feed Video</v>
      </c>
      <c r="C3209" s="45" t="n">
        <f aca="false">ROUND(MAX(0,'Model Inputs &amp; Assumptions'!$S$34*EXP('Model Inputs &amp; Assumptions'!$T$34*P3209-'Model Inputs &amp; Assumptions'!$T$34^2/2)),0)</f>
        <v>413624</v>
      </c>
      <c r="D3209" s="46" t="n">
        <f aca="false">MIN(1,'Model Inputs &amp; Assumptions'!$U$34*EXP('Model Inputs &amp; Assumptions'!$V$34*Q3209-'Model Inputs &amp; Assumptions'!$V$34^2/2))</f>
        <v>0.182590895930164</v>
      </c>
      <c r="E3209" s="45" t="n">
        <f aca="false">ROUND(C3209*D3209,0)</f>
        <v>75524</v>
      </c>
      <c r="F3209" s="47" t="n">
        <f aca="false">MIN(1,'Model Inputs &amp; Assumptions'!$W$34*EXP('Model Inputs &amp; Assumptions'!$X$34*R3209-'Model Inputs &amp; Assumptions'!$X$34^2/2))</f>
        <v>0.0064175155012647</v>
      </c>
      <c r="G3209" s="45" t="n">
        <f aca="false">ROUND(C3209*F3209,0)</f>
        <v>2654</v>
      </c>
      <c r="H3209" s="48" t="n">
        <f aca="false">MAX(0,(C3209*'Model Inputs &amp; Assumptions'!$N$34+E3209*'Model Inputs &amp; Assumptions'!$O$34+G3209*'Model Inputs &amp; Assumptions'!$P$34)*EXP('Model Inputs &amp; Assumptions'!$Q$34*S3209-'Model Inputs &amp; Assumptions'!$Q$34^2/2))</f>
        <v>46.2097378768187</v>
      </c>
      <c r="I3209" s="49" t="n">
        <f aca="false">IF('Model Inputs &amp; Assumptions'!$H$34="Fixed",'Model Inputs &amp; Assumptions'!$I$34*'Model Inputs &amp; Assumptions'!$K$34,IF('Model Inputs &amp; Assumptions'!$H$34="CPM",'Model Inputs &amp; Assumptions'!$I$34*'Model Inputs &amp; Assumptions'!$K$34*C3209/1000,IF('Model Inputs &amp; Assumptions'!$H$34="CPC",'Model Inputs &amp; Assumptions'!$I$34*'Model Inputs &amp; Assumptions'!$K$34*G3209,0)))</f>
        <v>4909.9</v>
      </c>
      <c r="J3209" s="50" t="n">
        <f aca="false">H3209*INDEX('Model Inputs &amp; Assumptions'!$D$40:$D$42,MATCH('Model Inputs &amp; Assumptions'!$L$34,'Model Inputs &amp; Assumptions'!$A$40:$A$42,0))*INDEX('Model Inputs &amp; Assumptions'!$H$40:$H$42,MATCH('Model Inputs &amp; Assumptions'!$L$34,'Model Inputs &amp; Assumptions'!$A$40:$A$42,0))</f>
        <v>332710.112713094</v>
      </c>
      <c r="K3209" s="49" t="n">
        <f aca="false">H3209*INDEX('Model Inputs &amp; Assumptions'!$G$40:$G$42,MATCH('Model Inputs &amp; Assumptions'!$L$34,'Model Inputs &amp; Assumptions'!$A$40:$A$42,0))*INDEX('Model Inputs &amp; Assumptions'!$H$40:$H$42,MATCH('Model Inputs &amp; Assumptions'!$L$34,'Model Inputs &amp; Assumptions'!$A$40:$A$42,0))</f>
        <v>7336.25798532373</v>
      </c>
      <c r="L3209" s="51" t="n">
        <f aca="false">IFERROR(K3209/I3209,0)</f>
        <v>1.49417666048672</v>
      </c>
      <c r="M3209" s="49" t="n">
        <f aca="false">IFERROR(I3209/H3209,0)</f>
        <v>106.252496239826</v>
      </c>
      <c r="N3209" s="52" t="str">
        <f aca="false">'Model Inputs &amp; Assumptions'!$L$34</f>
        <v>PRD-USIQ</v>
      </c>
      <c r="P3209" s="53" t="n">
        <v>-1.044363</v>
      </c>
      <c r="Q3209" s="53" t="n">
        <v>-1.362695</v>
      </c>
      <c r="R3209" s="53" t="n">
        <v>0.463731</v>
      </c>
      <c r="S3209" s="53" t="n">
        <v>-0.610035</v>
      </c>
    </row>
    <row r="3210" customFormat="false" ht="15" hidden="false" customHeight="false" outlineLevel="0" collapsed="false">
      <c r="A3210" s="43" t="n">
        <v>207</v>
      </c>
      <c r="B3210" s="44" t="str">
        <f aca="false">'Model Inputs &amp; Assumptions'!$B$34</f>
        <v>Meta — Lookalike Feed Video</v>
      </c>
      <c r="C3210" s="45" t="n">
        <f aca="false">ROUND(MAX(0,'Model Inputs &amp; Assumptions'!$S$34*EXP('Model Inputs &amp; Assumptions'!$T$34*P3210-'Model Inputs &amp; Assumptions'!$T$34^2/2)),0)</f>
        <v>373551</v>
      </c>
      <c r="D3210" s="46" t="n">
        <f aca="false">MIN(1,'Model Inputs &amp; Assumptions'!$U$34*EXP('Model Inputs &amp; Assumptions'!$V$34*Q3210-'Model Inputs &amp; Assumptions'!$V$34^2/2))</f>
        <v>0.263035559147735</v>
      </c>
      <c r="E3210" s="45" t="n">
        <f aca="false">ROUND(C3210*D3210,0)</f>
        <v>98257</v>
      </c>
      <c r="F3210" s="47" t="n">
        <f aca="false">MIN(1,'Model Inputs &amp; Assumptions'!$W$34*EXP('Model Inputs &amp; Assumptions'!$X$34*R3210-'Model Inputs &amp; Assumptions'!$X$34^2/2))</f>
        <v>0.00742119836776267</v>
      </c>
      <c r="G3210" s="45" t="n">
        <f aca="false">ROUND(C3210*F3210,0)</f>
        <v>2772</v>
      </c>
      <c r="H3210" s="48" t="n">
        <f aca="false">MAX(0,(C3210*'Model Inputs &amp; Assumptions'!$N$34+E3210*'Model Inputs &amp; Assumptions'!$O$34+G3210*'Model Inputs &amp; Assumptions'!$P$34)*EXP('Model Inputs &amp; Assumptions'!$Q$34*S3210-'Model Inputs &amp; Assumptions'!$Q$34^2/2))</f>
        <v>54.0612431252983</v>
      </c>
      <c r="I3210" s="49" t="n">
        <f aca="false">IF('Model Inputs &amp; Assumptions'!$H$34="Fixed",'Model Inputs &amp; Assumptions'!$I$34*'Model Inputs &amp; Assumptions'!$K$34,IF('Model Inputs &amp; Assumptions'!$H$34="CPM",'Model Inputs &amp; Assumptions'!$I$34*'Model Inputs &amp; Assumptions'!$K$34*C3210/1000,IF('Model Inputs &amp; Assumptions'!$H$34="CPC",'Model Inputs &amp; Assumptions'!$I$34*'Model Inputs &amp; Assumptions'!$K$34*G3210,0)))</f>
        <v>5128.2</v>
      </c>
      <c r="J3210" s="50" t="n">
        <f aca="false">H3210*INDEX('Model Inputs &amp; Assumptions'!$D$40:$D$42,MATCH('Model Inputs &amp; Assumptions'!$L$34,'Model Inputs &amp; Assumptions'!$A$40:$A$42,0))*INDEX('Model Inputs &amp; Assumptions'!$H$40:$H$42,MATCH('Model Inputs &amp; Assumptions'!$L$34,'Model Inputs &amp; Assumptions'!$A$40:$A$42,0))</f>
        <v>389240.950502148</v>
      </c>
      <c r="K3210" s="49" t="n">
        <f aca="false">H3210*INDEX('Model Inputs &amp; Assumptions'!$G$40:$G$42,MATCH('Model Inputs &amp; Assumptions'!$L$34,'Model Inputs &amp; Assumptions'!$A$40:$A$42,0))*INDEX('Model Inputs &amp; Assumptions'!$H$40:$H$42,MATCH('Model Inputs &amp; Assumptions'!$L$34,'Model Inputs &amp; Assumptions'!$A$40:$A$42,0))</f>
        <v>8582.76295857236</v>
      </c>
      <c r="L3210" s="51" t="n">
        <f aca="false">IFERROR(K3210/I3210,0)</f>
        <v>1.67364045056206</v>
      </c>
      <c r="M3210" s="49" t="n">
        <f aca="false">IFERROR(I3210/H3210,0)</f>
        <v>94.8590839488155</v>
      </c>
      <c r="N3210" s="52" t="str">
        <f aca="false">'Model Inputs &amp; Assumptions'!$L$34</f>
        <v>PRD-USIQ</v>
      </c>
      <c r="P3210" s="53" t="n">
        <v>-1.553875</v>
      </c>
      <c r="Q3210" s="53" t="n">
        <v>0.918812</v>
      </c>
      <c r="R3210" s="53" t="n">
        <v>1.271006</v>
      </c>
      <c r="S3210" s="53" t="n">
        <v>-0.333052</v>
      </c>
    </row>
    <row r="3211" customFormat="false" ht="15" hidden="false" customHeight="false" outlineLevel="0" collapsed="false">
      <c r="A3211" s="43" t="n">
        <v>208</v>
      </c>
      <c r="B3211" s="44" t="str">
        <f aca="false">'Model Inputs &amp; Assumptions'!$B$34</f>
        <v>Meta — Lookalike Feed Video</v>
      </c>
      <c r="C3211" s="45" t="n">
        <f aca="false">ROUND(MAX(0,'Model Inputs &amp; Assumptions'!$S$34*EXP('Model Inputs &amp; Assumptions'!$T$34*P3211-'Model Inputs &amp; Assumptions'!$T$34^2/2)),0)</f>
        <v>375950</v>
      </c>
      <c r="D3211" s="46" t="n">
        <f aca="false">MIN(1,'Model Inputs &amp; Assumptions'!$U$34*EXP('Model Inputs &amp; Assumptions'!$V$34*Q3211-'Model Inputs &amp; Assumptions'!$V$34^2/2))</f>
        <v>0.264123191538876</v>
      </c>
      <c r="E3211" s="45" t="n">
        <f aca="false">ROUND(C3211*D3211,0)</f>
        <v>99297</v>
      </c>
      <c r="F3211" s="47" t="n">
        <f aca="false">MIN(1,'Model Inputs &amp; Assumptions'!$W$34*EXP('Model Inputs &amp; Assumptions'!$X$34*R3211-'Model Inputs &amp; Assumptions'!$X$34^2/2))</f>
        <v>0.00655021077964624</v>
      </c>
      <c r="G3211" s="45" t="n">
        <f aca="false">ROUND(C3211*F3211,0)</f>
        <v>2463</v>
      </c>
      <c r="H3211" s="48" t="n">
        <f aca="false">MAX(0,(C3211*'Model Inputs &amp; Assumptions'!$N$34+E3211*'Model Inputs &amp; Assumptions'!$O$34+G3211*'Model Inputs &amp; Assumptions'!$P$34)*EXP('Model Inputs &amp; Assumptions'!$Q$34*S3211-'Model Inputs &amp; Assumptions'!$Q$34^2/2))</f>
        <v>56.0316971135471</v>
      </c>
      <c r="I3211" s="49" t="n">
        <f aca="false">IF('Model Inputs &amp; Assumptions'!$H$34="Fixed",'Model Inputs &amp; Assumptions'!$I$34*'Model Inputs &amp; Assumptions'!$K$34,IF('Model Inputs &amp; Assumptions'!$H$34="CPM",'Model Inputs &amp; Assumptions'!$I$34*'Model Inputs &amp; Assumptions'!$K$34*C3211/1000,IF('Model Inputs &amp; Assumptions'!$H$34="CPC",'Model Inputs &amp; Assumptions'!$I$34*'Model Inputs &amp; Assumptions'!$K$34*G3211,0)))</f>
        <v>4556.55</v>
      </c>
      <c r="J3211" s="50" t="n">
        <f aca="false">H3211*INDEX('Model Inputs &amp; Assumptions'!$D$40:$D$42,MATCH('Model Inputs &amp; Assumptions'!$L$34,'Model Inputs &amp; Assumptions'!$A$40:$A$42,0))*INDEX('Model Inputs &amp; Assumptions'!$H$40:$H$42,MATCH('Model Inputs &amp; Assumptions'!$L$34,'Model Inputs &amp; Assumptions'!$A$40:$A$42,0))</f>
        <v>403428.219217539</v>
      </c>
      <c r="K3211" s="49" t="n">
        <f aca="false">H3211*INDEX('Model Inputs &amp; Assumptions'!$G$40:$G$42,MATCH('Model Inputs &amp; Assumptions'!$L$34,'Model Inputs &amp; Assumptions'!$A$40:$A$42,0))*INDEX('Model Inputs &amp; Assumptions'!$H$40:$H$42,MATCH('Model Inputs &amp; Assumptions'!$L$34,'Model Inputs &amp; Assumptions'!$A$40:$A$42,0))</f>
        <v>8895.59223374673</v>
      </c>
      <c r="L3211" s="51" t="n">
        <f aca="false">IFERROR(K3211/I3211,0)</f>
        <v>1.95226481301571</v>
      </c>
      <c r="M3211" s="49" t="n">
        <f aca="false">IFERROR(I3211/H3211,0)</f>
        <v>81.3209350194453</v>
      </c>
      <c r="N3211" s="52" t="str">
        <f aca="false">'Model Inputs &amp; Assumptions'!$L$34</f>
        <v>PRD-USIQ</v>
      </c>
      <c r="P3211" s="53" t="n">
        <v>-1.521868</v>
      </c>
      <c r="Q3211" s="53" t="n">
        <v>0.944602</v>
      </c>
      <c r="R3211" s="53" t="n">
        <v>0.577432</v>
      </c>
      <c r="S3211" s="53" t="n">
        <v>0.095306</v>
      </c>
    </row>
    <row r="3212" customFormat="false" ht="15" hidden="false" customHeight="false" outlineLevel="0" collapsed="false">
      <c r="A3212" s="43" t="n">
        <v>209</v>
      </c>
      <c r="B3212" s="44" t="str">
        <f aca="false">'Model Inputs &amp; Assumptions'!$B$34</f>
        <v>Meta — Lookalike Feed Video</v>
      </c>
      <c r="C3212" s="45" t="n">
        <f aca="false">ROUND(MAX(0,'Model Inputs &amp; Assumptions'!$S$34*EXP('Model Inputs &amp; Assumptions'!$T$34*P3212-'Model Inputs &amp; Assumptions'!$T$34^2/2)),0)</f>
        <v>356155</v>
      </c>
      <c r="D3212" s="46" t="n">
        <f aca="false">MIN(1,'Model Inputs &amp; Assumptions'!$U$34*EXP('Model Inputs &amp; Assumptions'!$V$34*Q3212-'Model Inputs &amp; Assumptions'!$V$34^2/2))</f>
        <v>0.245425723353117</v>
      </c>
      <c r="E3212" s="45" t="n">
        <f aca="false">ROUND(C3212*D3212,0)</f>
        <v>87410</v>
      </c>
      <c r="F3212" s="47" t="n">
        <f aca="false">MIN(1,'Model Inputs &amp; Assumptions'!$W$34*EXP('Model Inputs &amp; Assumptions'!$X$34*R3212-'Model Inputs &amp; Assumptions'!$X$34^2/2))</f>
        <v>0.00752448650093434</v>
      </c>
      <c r="G3212" s="45" t="n">
        <f aca="false">ROUND(C3212*F3212,0)</f>
        <v>2680</v>
      </c>
      <c r="H3212" s="48" t="n">
        <f aca="false">MAX(0,(C3212*'Model Inputs &amp; Assumptions'!$N$34+E3212*'Model Inputs &amp; Assumptions'!$O$34+G3212*'Model Inputs &amp; Assumptions'!$P$34)*EXP('Model Inputs &amp; Assumptions'!$Q$34*S3212-'Model Inputs &amp; Assumptions'!$Q$34^2/2))</f>
        <v>92.0264682586527</v>
      </c>
      <c r="I3212" s="49" t="n">
        <f aca="false">IF('Model Inputs &amp; Assumptions'!$H$34="Fixed",'Model Inputs &amp; Assumptions'!$I$34*'Model Inputs &amp; Assumptions'!$K$34,IF('Model Inputs &amp; Assumptions'!$H$34="CPM",'Model Inputs &amp; Assumptions'!$I$34*'Model Inputs &amp; Assumptions'!$K$34*C3212/1000,IF('Model Inputs &amp; Assumptions'!$H$34="CPC",'Model Inputs &amp; Assumptions'!$I$34*'Model Inputs &amp; Assumptions'!$K$34*G3212,0)))</f>
        <v>4958</v>
      </c>
      <c r="J3212" s="50" t="n">
        <f aca="false">H3212*INDEX('Model Inputs &amp; Assumptions'!$D$40:$D$42,MATCH('Model Inputs &amp; Assumptions'!$L$34,'Model Inputs &amp; Assumptions'!$A$40:$A$42,0))*INDEX('Model Inputs &amp; Assumptions'!$H$40:$H$42,MATCH('Model Inputs &amp; Assumptions'!$L$34,'Model Inputs &amp; Assumptions'!$A$40:$A$42,0))</f>
        <v>662590.5714623</v>
      </c>
      <c r="K3212" s="49" t="n">
        <f aca="false">H3212*INDEX('Model Inputs &amp; Assumptions'!$G$40:$G$42,MATCH('Model Inputs &amp; Assumptions'!$L$34,'Model Inputs &amp; Assumptions'!$A$40:$A$42,0))*INDEX('Model Inputs &amp; Assumptions'!$H$40:$H$42,MATCH('Model Inputs &amp; Assumptions'!$L$34,'Model Inputs &amp; Assumptions'!$A$40:$A$42,0))</f>
        <v>14610.1221007437</v>
      </c>
      <c r="L3212" s="51" t="n">
        <f aca="false">IFERROR(K3212/I3212,0)</f>
        <v>2.9467773498878</v>
      </c>
      <c r="M3212" s="49" t="n">
        <f aca="false">IFERROR(I3212/H3212,0)</f>
        <v>53.8758043616851</v>
      </c>
      <c r="N3212" s="52" t="str">
        <f aca="false">'Model Inputs &amp; Assumptions'!$L$34</f>
        <v>PRD-USIQ</v>
      </c>
      <c r="P3212" s="53" t="n">
        <v>-1.792318</v>
      </c>
      <c r="Q3212" s="53" t="n">
        <v>0.485719</v>
      </c>
      <c r="R3212" s="53" t="n">
        <v>1.347795</v>
      </c>
      <c r="S3212" s="53" t="n">
        <v>1.465938</v>
      </c>
    </row>
    <row r="3213" customFormat="false" ht="15" hidden="false" customHeight="false" outlineLevel="0" collapsed="false">
      <c r="A3213" s="43" t="n">
        <v>210</v>
      </c>
      <c r="B3213" s="44" t="str">
        <f aca="false">'Model Inputs &amp; Assumptions'!$B$34</f>
        <v>Meta — Lookalike Feed Video</v>
      </c>
      <c r="C3213" s="45" t="n">
        <f aca="false">ROUND(MAX(0,'Model Inputs &amp; Assumptions'!$S$34*EXP('Model Inputs &amp; Assumptions'!$T$34*P3213-'Model Inputs &amp; Assumptions'!$T$34^2/2)),0)</f>
        <v>524285</v>
      </c>
      <c r="D3213" s="46" t="n">
        <f aca="false">MIN(1,'Model Inputs &amp; Assumptions'!$U$34*EXP('Model Inputs &amp; Assumptions'!$V$34*Q3213-'Model Inputs &amp; Assumptions'!$V$34^2/2))</f>
        <v>0.273012141600528</v>
      </c>
      <c r="E3213" s="45" t="n">
        <f aca="false">ROUND(C3213*D3213,0)</f>
        <v>143136</v>
      </c>
      <c r="F3213" s="47" t="n">
        <f aca="false">MIN(1,'Model Inputs &amp; Assumptions'!$W$34*EXP('Model Inputs &amp; Assumptions'!$X$34*R3213-'Model Inputs &amp; Assumptions'!$X$34^2/2))</f>
        <v>0.00572816611194388</v>
      </c>
      <c r="G3213" s="45" t="n">
        <f aca="false">ROUND(C3213*F3213,0)</f>
        <v>3003</v>
      </c>
      <c r="H3213" s="48" t="n">
        <f aca="false">MAX(0,(C3213*'Model Inputs &amp; Assumptions'!$N$34+E3213*'Model Inputs &amp; Assumptions'!$O$34+G3213*'Model Inputs &amp; Assumptions'!$P$34)*EXP('Model Inputs &amp; Assumptions'!$Q$34*S3213-'Model Inputs &amp; Assumptions'!$Q$34^2/2))</f>
        <v>37.7422382753912</v>
      </c>
      <c r="I3213" s="49" t="n">
        <f aca="false">IF('Model Inputs &amp; Assumptions'!$H$34="Fixed",'Model Inputs &amp; Assumptions'!$I$34*'Model Inputs &amp; Assumptions'!$K$34,IF('Model Inputs &amp; Assumptions'!$H$34="CPM",'Model Inputs &amp; Assumptions'!$I$34*'Model Inputs &amp; Assumptions'!$K$34*C3213/1000,IF('Model Inputs &amp; Assumptions'!$H$34="CPC",'Model Inputs &amp; Assumptions'!$I$34*'Model Inputs &amp; Assumptions'!$K$34*G3213,0)))</f>
        <v>5555.55</v>
      </c>
      <c r="J3213" s="50" t="n">
        <f aca="false">H3213*INDEX('Model Inputs &amp; Assumptions'!$D$40:$D$42,MATCH('Model Inputs &amp; Assumptions'!$L$34,'Model Inputs &amp; Assumptions'!$A$40:$A$42,0))*INDEX('Model Inputs &amp; Assumptions'!$H$40:$H$42,MATCH('Model Inputs &amp; Assumptions'!$L$34,'Model Inputs &amp; Assumptions'!$A$40:$A$42,0))</f>
        <v>271744.115582817</v>
      </c>
      <c r="K3213" s="49" t="n">
        <f aca="false">H3213*INDEX('Model Inputs &amp; Assumptions'!$G$40:$G$42,MATCH('Model Inputs &amp; Assumptions'!$L$34,'Model Inputs &amp; Assumptions'!$A$40:$A$42,0))*INDEX('Model Inputs &amp; Assumptions'!$H$40:$H$42,MATCH('Model Inputs &amp; Assumptions'!$L$34,'Model Inputs &amp; Assumptions'!$A$40:$A$42,0))</f>
        <v>5991.95774860111</v>
      </c>
      <c r="L3213" s="51" t="n">
        <f aca="false">IFERROR(K3213/I3213,0)</f>
        <v>1.07855347330167</v>
      </c>
      <c r="M3213" s="49" t="n">
        <f aca="false">IFERROR(I3213/H3213,0)</f>
        <v>147.19715241749</v>
      </c>
      <c r="N3213" s="52" t="str">
        <f aca="false">'Model Inputs &amp; Assumptions'!$L$34</f>
        <v>PRD-USIQ</v>
      </c>
      <c r="P3213" s="53" t="n">
        <v>0.141037</v>
      </c>
      <c r="Q3213" s="53" t="n">
        <v>1.151481</v>
      </c>
      <c r="R3213" s="53" t="n">
        <v>-0.167578</v>
      </c>
      <c r="S3213" s="53" t="n">
        <v>-1.837093</v>
      </c>
    </row>
    <row r="3214" customFormat="false" ht="15" hidden="false" customHeight="false" outlineLevel="0" collapsed="false">
      <c r="A3214" s="43" t="n">
        <v>211</v>
      </c>
      <c r="B3214" s="44" t="str">
        <f aca="false">'Model Inputs &amp; Assumptions'!$B$34</f>
        <v>Meta — Lookalike Feed Video</v>
      </c>
      <c r="C3214" s="45" t="n">
        <f aca="false">ROUND(MAX(0,'Model Inputs &amp; Assumptions'!$S$34*EXP('Model Inputs &amp; Assumptions'!$T$34*P3214-'Model Inputs &amp; Assumptions'!$T$34^2/2)),0)</f>
        <v>723203</v>
      </c>
      <c r="D3214" s="46" t="n">
        <f aca="false">MIN(1,'Model Inputs &amp; Assumptions'!$U$34*EXP('Model Inputs &amp; Assumptions'!$V$34*Q3214-'Model Inputs &amp; Assumptions'!$V$34^2/2))</f>
        <v>0.232997589710763</v>
      </c>
      <c r="E3214" s="45" t="n">
        <f aca="false">ROUND(C3214*D3214,0)</f>
        <v>168505</v>
      </c>
      <c r="F3214" s="47" t="n">
        <f aca="false">MIN(1,'Model Inputs &amp; Assumptions'!$W$34*EXP('Model Inputs &amp; Assumptions'!$X$34*R3214-'Model Inputs &amp; Assumptions'!$X$34^2/2))</f>
        <v>0.00638703777697235</v>
      </c>
      <c r="G3214" s="45" t="n">
        <f aca="false">ROUND(C3214*F3214,0)</f>
        <v>4619</v>
      </c>
      <c r="H3214" s="48" t="n">
        <f aca="false">MAX(0,(C3214*'Model Inputs &amp; Assumptions'!$N$34+E3214*'Model Inputs &amp; Assumptions'!$O$34+G3214*'Model Inputs &amp; Assumptions'!$P$34)*EXP('Model Inputs &amp; Assumptions'!$Q$34*S3214-'Model Inputs &amp; Assumptions'!$Q$34^2/2))</f>
        <v>156.740712129974</v>
      </c>
      <c r="I3214" s="49" t="n">
        <f aca="false">IF('Model Inputs &amp; Assumptions'!$H$34="Fixed",'Model Inputs &amp; Assumptions'!$I$34*'Model Inputs &amp; Assumptions'!$K$34,IF('Model Inputs &amp; Assumptions'!$H$34="CPM",'Model Inputs &amp; Assumptions'!$I$34*'Model Inputs &amp; Assumptions'!$K$34*C3214/1000,IF('Model Inputs &amp; Assumptions'!$H$34="CPC",'Model Inputs &amp; Assumptions'!$I$34*'Model Inputs &amp; Assumptions'!$K$34*G3214,0)))</f>
        <v>8545.15</v>
      </c>
      <c r="J3214" s="50" t="n">
        <f aca="false">H3214*INDEX('Model Inputs &amp; Assumptions'!$D$40:$D$42,MATCH('Model Inputs &amp; Assumptions'!$L$34,'Model Inputs &amp; Assumptions'!$A$40:$A$42,0))*INDEX('Model Inputs &amp; Assumptions'!$H$40:$H$42,MATCH('Model Inputs &amp; Assumptions'!$L$34,'Model Inputs &amp; Assumptions'!$A$40:$A$42,0))</f>
        <v>1128533.12733581</v>
      </c>
      <c r="K3214" s="49" t="n">
        <f aca="false">H3214*INDEX('Model Inputs &amp; Assumptions'!$G$40:$G$42,MATCH('Model Inputs &amp; Assumptions'!$L$34,'Model Inputs &amp; Assumptions'!$A$40:$A$42,0))*INDEX('Model Inputs &amp; Assumptions'!$H$40:$H$42,MATCH('Model Inputs &amp; Assumptions'!$L$34,'Model Inputs &amp; Assumptions'!$A$40:$A$42,0))</f>
        <v>24884.1554577547</v>
      </c>
      <c r="L3214" s="51" t="n">
        <f aca="false">IFERROR(K3214/I3214,0)</f>
        <v>2.91207942022723</v>
      </c>
      <c r="M3214" s="49" t="n">
        <f aca="false">IFERROR(I3214/H3214,0)</f>
        <v>54.5177438833767</v>
      </c>
      <c r="N3214" s="52" t="str">
        <f aca="false">'Model Inputs &amp; Assumptions'!$L$34</f>
        <v>PRD-USIQ</v>
      </c>
      <c r="P3214" s="53" t="n">
        <v>1.749305</v>
      </c>
      <c r="Q3214" s="53" t="n">
        <v>0.16093</v>
      </c>
      <c r="R3214" s="53" t="n">
        <v>0.437284</v>
      </c>
      <c r="S3214" s="53" t="n">
        <v>1.386474</v>
      </c>
    </row>
    <row r="3215" customFormat="false" ht="15" hidden="false" customHeight="false" outlineLevel="0" collapsed="false">
      <c r="A3215" s="43" t="n">
        <v>212</v>
      </c>
      <c r="B3215" s="44" t="str">
        <f aca="false">'Model Inputs &amp; Assumptions'!$B$34</f>
        <v>Meta — Lookalike Feed Video</v>
      </c>
      <c r="C3215" s="45" t="n">
        <f aca="false">ROUND(MAX(0,'Model Inputs &amp; Assumptions'!$S$34*EXP('Model Inputs &amp; Assumptions'!$T$34*P3215-'Model Inputs &amp; Assumptions'!$T$34^2/2)),0)</f>
        <v>360079</v>
      </c>
      <c r="D3215" s="46" t="n">
        <f aca="false">MIN(1,'Model Inputs &amp; Assumptions'!$U$34*EXP('Model Inputs &amp; Assumptions'!$V$34*Q3215-'Model Inputs &amp; Assumptions'!$V$34^2/2))</f>
        <v>0.273551534185777</v>
      </c>
      <c r="E3215" s="45" t="n">
        <f aca="false">ROUND(C3215*D3215,0)</f>
        <v>98500</v>
      </c>
      <c r="F3215" s="47" t="n">
        <f aca="false">MIN(1,'Model Inputs &amp; Assumptions'!$W$34*EXP('Model Inputs &amp; Assumptions'!$X$34*R3215-'Model Inputs &amp; Assumptions'!$X$34^2/2))</f>
        <v>0.00487100201856059</v>
      </c>
      <c r="G3215" s="45" t="n">
        <f aca="false">ROUND(C3215*F3215,0)</f>
        <v>1754</v>
      </c>
      <c r="H3215" s="48" t="n">
        <f aca="false">MAX(0,(C3215*'Model Inputs &amp; Assumptions'!$N$34+E3215*'Model Inputs &amp; Assumptions'!$O$34+G3215*'Model Inputs &amp; Assumptions'!$P$34)*EXP('Model Inputs &amp; Assumptions'!$Q$34*S3215-'Model Inputs &amp; Assumptions'!$Q$34^2/2))</f>
        <v>35.8678822495237</v>
      </c>
      <c r="I3215" s="49" t="n">
        <f aca="false">IF('Model Inputs &amp; Assumptions'!$H$34="Fixed",'Model Inputs &amp; Assumptions'!$I$34*'Model Inputs &amp; Assumptions'!$K$34,IF('Model Inputs &amp; Assumptions'!$H$34="CPM",'Model Inputs &amp; Assumptions'!$I$34*'Model Inputs &amp; Assumptions'!$K$34*C3215/1000,IF('Model Inputs &amp; Assumptions'!$H$34="CPC",'Model Inputs &amp; Assumptions'!$I$34*'Model Inputs &amp; Assumptions'!$K$34*G3215,0)))</f>
        <v>3244.9</v>
      </c>
      <c r="J3215" s="50" t="n">
        <f aca="false">H3215*INDEX('Model Inputs &amp; Assumptions'!$D$40:$D$42,MATCH('Model Inputs &amp; Assumptions'!$L$34,'Model Inputs &amp; Assumptions'!$A$40:$A$42,0))*INDEX('Model Inputs &amp; Assumptions'!$H$40:$H$42,MATCH('Model Inputs &amp; Assumptions'!$L$34,'Model Inputs &amp; Assumptions'!$A$40:$A$42,0))</f>
        <v>258248.752196571</v>
      </c>
      <c r="K3215" s="49" t="n">
        <f aca="false">H3215*INDEX('Model Inputs &amp; Assumptions'!$G$40:$G$42,MATCH('Model Inputs &amp; Assumptions'!$L$34,'Model Inputs &amp; Assumptions'!$A$40:$A$42,0))*INDEX('Model Inputs &amp; Assumptions'!$H$40:$H$42,MATCH('Model Inputs &amp; Assumptions'!$L$34,'Model Inputs &amp; Assumptions'!$A$40:$A$42,0))</f>
        <v>5694.38498593439</v>
      </c>
      <c r="L3215" s="51" t="n">
        <f aca="false">IFERROR(K3215/I3215,0)</f>
        <v>1.75487225675195</v>
      </c>
      <c r="M3215" s="49" t="n">
        <f aca="false">IFERROR(I3215/H3215,0)</f>
        <v>90.4681234711895</v>
      </c>
      <c r="N3215" s="52" t="str">
        <f aca="false">'Model Inputs &amp; Assumptions'!$L$34</f>
        <v>PRD-USIQ</v>
      </c>
      <c r="P3215" s="53" t="n">
        <v>-1.737531</v>
      </c>
      <c r="Q3215" s="53" t="n">
        <v>1.163817</v>
      </c>
      <c r="R3215" s="53" t="n">
        <v>-1.06811</v>
      </c>
      <c r="S3215" s="53" t="n">
        <v>-0.403835</v>
      </c>
    </row>
    <row r="3216" customFormat="false" ht="15" hidden="false" customHeight="false" outlineLevel="0" collapsed="false">
      <c r="A3216" s="43" t="n">
        <v>213</v>
      </c>
      <c r="B3216" s="44" t="str">
        <f aca="false">'Model Inputs &amp; Assumptions'!$B$34</f>
        <v>Meta — Lookalike Feed Video</v>
      </c>
      <c r="C3216" s="45" t="n">
        <f aca="false">ROUND(MAX(0,'Model Inputs &amp; Assumptions'!$S$34*EXP('Model Inputs &amp; Assumptions'!$T$34*P3216-'Model Inputs &amp; Assumptions'!$T$34^2/2)),0)</f>
        <v>421267</v>
      </c>
      <c r="D3216" s="46" t="n">
        <f aca="false">MIN(1,'Model Inputs &amp; Assumptions'!$U$34*EXP('Model Inputs &amp; Assumptions'!$V$34*Q3216-'Model Inputs &amp; Assumptions'!$V$34^2/2))</f>
        <v>0.24535885886205</v>
      </c>
      <c r="E3216" s="45" t="n">
        <f aca="false">ROUND(C3216*D3216,0)</f>
        <v>103362</v>
      </c>
      <c r="F3216" s="47" t="n">
        <f aca="false">MIN(1,'Model Inputs &amp; Assumptions'!$W$34*EXP('Model Inputs &amp; Assumptions'!$X$34*R3216-'Model Inputs &amp; Assumptions'!$X$34^2/2))</f>
        <v>0.00848294357468571</v>
      </c>
      <c r="G3216" s="45" t="n">
        <f aca="false">ROUND(C3216*F3216,0)</f>
        <v>3574</v>
      </c>
      <c r="H3216" s="48" t="n">
        <f aca="false">MAX(0,(C3216*'Model Inputs &amp; Assumptions'!$N$34+E3216*'Model Inputs &amp; Assumptions'!$O$34+G3216*'Model Inputs &amp; Assumptions'!$P$34)*EXP('Model Inputs &amp; Assumptions'!$Q$34*S3216-'Model Inputs &amp; Assumptions'!$Q$34^2/2))</f>
        <v>98.8680468343876</v>
      </c>
      <c r="I3216" s="49" t="n">
        <f aca="false">IF('Model Inputs &amp; Assumptions'!$H$34="Fixed",'Model Inputs &amp; Assumptions'!$I$34*'Model Inputs &amp; Assumptions'!$K$34,IF('Model Inputs &amp; Assumptions'!$H$34="CPM",'Model Inputs &amp; Assumptions'!$I$34*'Model Inputs &amp; Assumptions'!$K$34*C3216/1000,IF('Model Inputs &amp; Assumptions'!$H$34="CPC",'Model Inputs &amp; Assumptions'!$I$34*'Model Inputs &amp; Assumptions'!$K$34*G3216,0)))</f>
        <v>6611.9</v>
      </c>
      <c r="J3216" s="50" t="n">
        <f aca="false">H3216*INDEX('Model Inputs &amp; Assumptions'!$D$40:$D$42,MATCH('Model Inputs &amp; Assumptions'!$L$34,'Model Inputs &amp; Assumptions'!$A$40:$A$42,0))*INDEX('Model Inputs &amp; Assumptions'!$H$40:$H$42,MATCH('Model Inputs &amp; Assumptions'!$L$34,'Model Inputs &amp; Assumptions'!$A$40:$A$42,0))</f>
        <v>711849.937207591</v>
      </c>
      <c r="K3216" s="49" t="n">
        <f aca="false">H3216*INDEX('Model Inputs &amp; Assumptions'!$G$40:$G$42,MATCH('Model Inputs &amp; Assumptions'!$L$34,'Model Inputs &amp; Assumptions'!$A$40:$A$42,0))*INDEX('Model Inputs &amp; Assumptions'!$H$40:$H$42,MATCH('Model Inputs &amp; Assumptions'!$L$34,'Model Inputs &amp; Assumptions'!$A$40:$A$42,0))</f>
        <v>15696.2911154274</v>
      </c>
      <c r="L3216" s="51" t="n">
        <f aca="false">IFERROR(K3216/I3216,0)</f>
        <v>2.37394563067006</v>
      </c>
      <c r="M3216" s="49" t="n">
        <f aca="false">IFERROR(I3216/H3216,0)</f>
        <v>66.8760050562696</v>
      </c>
      <c r="N3216" s="52" t="str">
        <f aca="false">'Model Inputs &amp; Assumptions'!$L$34</f>
        <v>PRD-USIQ</v>
      </c>
      <c r="P3216" s="53" t="n">
        <v>-0.952814</v>
      </c>
      <c r="Q3216" s="53" t="n">
        <v>0.484016</v>
      </c>
      <c r="R3216" s="53" t="n">
        <v>2.013878</v>
      </c>
      <c r="S3216" s="53" t="n">
        <v>0.83157</v>
      </c>
    </row>
    <row r="3217" customFormat="false" ht="15" hidden="false" customHeight="false" outlineLevel="0" collapsed="false">
      <c r="A3217" s="43" t="n">
        <v>214</v>
      </c>
      <c r="B3217" s="44" t="str">
        <f aca="false">'Model Inputs &amp; Assumptions'!$B$34</f>
        <v>Meta — Lookalike Feed Video</v>
      </c>
      <c r="C3217" s="45" t="n">
        <f aca="false">ROUND(MAX(0,'Model Inputs &amp; Assumptions'!$S$34*EXP('Model Inputs &amp; Assumptions'!$T$34*P3217-'Model Inputs &amp; Assumptions'!$T$34^2/2)),0)</f>
        <v>481659</v>
      </c>
      <c r="D3217" s="46" t="n">
        <f aca="false">MIN(1,'Model Inputs &amp; Assumptions'!$U$34*EXP('Model Inputs &amp; Assumptions'!$V$34*Q3217-'Model Inputs &amp; Assumptions'!$V$34^2/2))</f>
        <v>0.217408003562247</v>
      </c>
      <c r="E3217" s="45" t="n">
        <f aca="false">ROUND(C3217*D3217,0)</f>
        <v>104717</v>
      </c>
      <c r="F3217" s="47" t="n">
        <f aca="false">MIN(1,'Model Inputs &amp; Assumptions'!$W$34*EXP('Model Inputs &amp; Assumptions'!$X$34*R3217-'Model Inputs &amp; Assumptions'!$X$34^2/2))</f>
        <v>0.00729031291689824</v>
      </c>
      <c r="G3217" s="45" t="n">
        <f aca="false">ROUND(C3217*F3217,0)</f>
        <v>3511</v>
      </c>
      <c r="H3217" s="48" t="n">
        <f aca="false">MAX(0,(C3217*'Model Inputs &amp; Assumptions'!$N$34+E3217*'Model Inputs &amp; Assumptions'!$O$34+G3217*'Model Inputs &amp; Assumptions'!$P$34)*EXP('Model Inputs &amp; Assumptions'!$Q$34*S3217-'Model Inputs &amp; Assumptions'!$Q$34^2/2))</f>
        <v>104.397857278417</v>
      </c>
      <c r="I3217" s="49" t="n">
        <f aca="false">IF('Model Inputs &amp; Assumptions'!$H$34="Fixed",'Model Inputs &amp; Assumptions'!$I$34*'Model Inputs &amp; Assumptions'!$K$34,IF('Model Inputs &amp; Assumptions'!$H$34="CPM",'Model Inputs &amp; Assumptions'!$I$34*'Model Inputs &amp; Assumptions'!$K$34*C3217/1000,IF('Model Inputs &amp; Assumptions'!$H$34="CPC",'Model Inputs &amp; Assumptions'!$I$34*'Model Inputs &amp; Assumptions'!$K$34*G3217,0)))</f>
        <v>6495.35</v>
      </c>
      <c r="J3217" s="50" t="n">
        <f aca="false">H3217*INDEX('Model Inputs &amp; Assumptions'!$D$40:$D$42,MATCH('Model Inputs &amp; Assumptions'!$L$34,'Model Inputs &amp; Assumptions'!$A$40:$A$42,0))*INDEX('Model Inputs &amp; Assumptions'!$H$40:$H$42,MATCH('Model Inputs &amp; Assumptions'!$L$34,'Model Inputs &amp; Assumptions'!$A$40:$A$42,0))</f>
        <v>751664.572404601</v>
      </c>
      <c r="K3217" s="49" t="n">
        <f aca="false">H3217*INDEX('Model Inputs &amp; Assumptions'!$G$40:$G$42,MATCH('Model Inputs &amp; Assumptions'!$L$34,'Model Inputs &amp; Assumptions'!$A$40:$A$42,0))*INDEX('Model Inputs &amp; Assumptions'!$H$40:$H$42,MATCH('Model Inputs &amp; Assumptions'!$L$34,'Model Inputs &amp; Assumptions'!$A$40:$A$42,0))</f>
        <v>16574.2038215214</v>
      </c>
      <c r="L3217" s="51" t="n">
        <f aca="false">IFERROR(K3217/I3217,0)</f>
        <v>2.55170296004395</v>
      </c>
      <c r="M3217" s="49" t="n">
        <f aca="false">IFERROR(I3217/H3217,0)</f>
        <v>62.2172731254212</v>
      </c>
      <c r="N3217" s="52" t="str">
        <f aca="false">'Model Inputs &amp; Assumptions'!$L$34</f>
        <v>PRD-USIQ</v>
      </c>
      <c r="P3217" s="53" t="n">
        <v>-0.282959</v>
      </c>
      <c r="Q3217" s="53" t="n">
        <v>-0.271897</v>
      </c>
      <c r="R3217" s="53" t="n">
        <v>1.17215</v>
      </c>
      <c r="S3217" s="53" t="n">
        <v>1.047097</v>
      </c>
    </row>
    <row r="3218" customFormat="false" ht="15" hidden="false" customHeight="false" outlineLevel="0" collapsed="false">
      <c r="A3218" s="43" t="n">
        <v>215</v>
      </c>
      <c r="B3218" s="44" t="str">
        <f aca="false">'Model Inputs &amp; Assumptions'!$B$34</f>
        <v>Meta — Lookalike Feed Video</v>
      </c>
      <c r="C3218" s="45" t="n">
        <f aca="false">ROUND(MAX(0,'Model Inputs &amp; Assumptions'!$S$34*EXP('Model Inputs &amp; Assumptions'!$T$34*P3218-'Model Inputs &amp; Assumptions'!$T$34^2/2)),0)</f>
        <v>460474</v>
      </c>
      <c r="D3218" s="46" t="n">
        <f aca="false">MIN(1,'Model Inputs &amp; Assumptions'!$U$34*EXP('Model Inputs &amp; Assumptions'!$V$34*Q3218-'Model Inputs &amp; Assumptions'!$V$34^2/2))</f>
        <v>0.231180508840934</v>
      </c>
      <c r="E3218" s="45" t="n">
        <f aca="false">ROUND(C3218*D3218,0)</f>
        <v>106453</v>
      </c>
      <c r="F3218" s="47" t="n">
        <f aca="false">MIN(1,'Model Inputs &amp; Assumptions'!$W$34*EXP('Model Inputs &amp; Assumptions'!$X$34*R3218-'Model Inputs &amp; Assumptions'!$X$34^2/2))</f>
        <v>0.0061178945479978</v>
      </c>
      <c r="G3218" s="45" t="n">
        <f aca="false">ROUND(C3218*F3218,0)</f>
        <v>2817</v>
      </c>
      <c r="H3218" s="48" t="n">
        <f aca="false">MAX(0,(C3218*'Model Inputs &amp; Assumptions'!$N$34+E3218*'Model Inputs &amp; Assumptions'!$O$34+G3218*'Model Inputs &amp; Assumptions'!$P$34)*EXP('Model Inputs &amp; Assumptions'!$Q$34*S3218-'Model Inputs &amp; Assumptions'!$Q$34^2/2))</f>
        <v>77.2274194492432</v>
      </c>
      <c r="I3218" s="49" t="n">
        <f aca="false">IF('Model Inputs &amp; Assumptions'!$H$34="Fixed",'Model Inputs &amp; Assumptions'!$I$34*'Model Inputs &amp; Assumptions'!$K$34,IF('Model Inputs &amp; Assumptions'!$H$34="CPM",'Model Inputs &amp; Assumptions'!$I$34*'Model Inputs &amp; Assumptions'!$K$34*C3218/1000,IF('Model Inputs &amp; Assumptions'!$H$34="CPC",'Model Inputs &amp; Assumptions'!$I$34*'Model Inputs &amp; Assumptions'!$K$34*G3218,0)))</f>
        <v>5211.45</v>
      </c>
      <c r="J3218" s="50" t="n">
        <f aca="false">H3218*INDEX('Model Inputs &amp; Assumptions'!$D$40:$D$42,MATCH('Model Inputs &amp; Assumptions'!$L$34,'Model Inputs &amp; Assumptions'!$A$40:$A$42,0))*INDEX('Model Inputs &amp; Assumptions'!$H$40:$H$42,MATCH('Model Inputs &amp; Assumptions'!$L$34,'Model Inputs &amp; Assumptions'!$A$40:$A$42,0))</f>
        <v>556037.420034551</v>
      </c>
      <c r="K3218" s="49" t="n">
        <f aca="false">H3218*INDEX('Model Inputs &amp; Assumptions'!$G$40:$G$42,MATCH('Model Inputs &amp; Assumptions'!$L$34,'Model Inputs &amp; Assumptions'!$A$40:$A$42,0))*INDEX('Model Inputs &amp; Assumptions'!$H$40:$H$42,MATCH('Model Inputs &amp; Assumptions'!$L$34,'Model Inputs &amp; Assumptions'!$A$40:$A$42,0))</f>
        <v>12260.6251117618</v>
      </c>
      <c r="L3218" s="51" t="n">
        <f aca="false">IFERROR(K3218/I3218,0)</f>
        <v>2.352632206346</v>
      </c>
      <c r="M3218" s="49" t="n">
        <f aca="false">IFERROR(I3218/H3218,0)</f>
        <v>67.4818611986014</v>
      </c>
      <c r="N3218" s="52" t="str">
        <f aca="false">'Model Inputs &amp; Assumptions'!$L$34</f>
        <v>PRD-USIQ</v>
      </c>
      <c r="P3218" s="53" t="n">
        <v>-0.507858</v>
      </c>
      <c r="Q3218" s="53" t="n">
        <v>0.111997</v>
      </c>
      <c r="R3218" s="53" t="n">
        <v>0.198103</v>
      </c>
      <c r="S3218" s="53" t="n">
        <v>0.705567</v>
      </c>
    </row>
    <row r="3219" customFormat="false" ht="15" hidden="false" customHeight="false" outlineLevel="0" collapsed="false">
      <c r="A3219" s="43" t="n">
        <v>216</v>
      </c>
      <c r="B3219" s="44" t="str">
        <f aca="false">'Model Inputs &amp; Assumptions'!$B$34</f>
        <v>Meta — Lookalike Feed Video</v>
      </c>
      <c r="C3219" s="45" t="n">
        <f aca="false">ROUND(MAX(0,'Model Inputs &amp; Assumptions'!$S$34*EXP('Model Inputs &amp; Assumptions'!$T$34*P3219-'Model Inputs &amp; Assumptions'!$T$34^2/2)),0)</f>
        <v>661581</v>
      </c>
      <c r="D3219" s="46" t="n">
        <f aca="false">MIN(1,'Model Inputs &amp; Assumptions'!$U$34*EXP('Model Inputs &amp; Assumptions'!$V$34*Q3219-'Model Inputs &amp; Assumptions'!$V$34^2/2))</f>
        <v>0.249790605506342</v>
      </c>
      <c r="E3219" s="45" t="n">
        <f aca="false">ROUND(C3219*D3219,0)</f>
        <v>165257</v>
      </c>
      <c r="F3219" s="47" t="n">
        <f aca="false">MIN(1,'Model Inputs &amp; Assumptions'!$W$34*EXP('Model Inputs &amp; Assumptions'!$X$34*R3219-'Model Inputs &amp; Assumptions'!$X$34^2/2))</f>
        <v>0.00768549302575934</v>
      </c>
      <c r="G3219" s="45" t="n">
        <f aca="false">ROUND(C3219*F3219,0)</f>
        <v>5085</v>
      </c>
      <c r="H3219" s="48" t="n">
        <f aca="false">MAX(0,(C3219*'Model Inputs &amp; Assumptions'!$N$34+E3219*'Model Inputs &amp; Assumptions'!$O$34+G3219*'Model Inputs &amp; Assumptions'!$P$34)*EXP('Model Inputs &amp; Assumptions'!$Q$34*S3219-'Model Inputs &amp; Assumptions'!$Q$34^2/2))</f>
        <v>79.8157447043915</v>
      </c>
      <c r="I3219" s="49" t="n">
        <f aca="false">IF('Model Inputs &amp; Assumptions'!$H$34="Fixed",'Model Inputs &amp; Assumptions'!$I$34*'Model Inputs &amp; Assumptions'!$K$34,IF('Model Inputs &amp; Assumptions'!$H$34="CPM",'Model Inputs &amp; Assumptions'!$I$34*'Model Inputs &amp; Assumptions'!$K$34*C3219/1000,IF('Model Inputs &amp; Assumptions'!$H$34="CPC",'Model Inputs &amp; Assumptions'!$I$34*'Model Inputs &amp; Assumptions'!$K$34*G3219,0)))</f>
        <v>9407.25</v>
      </c>
      <c r="J3219" s="50" t="n">
        <f aca="false">H3219*INDEX('Model Inputs &amp; Assumptions'!$D$40:$D$42,MATCH('Model Inputs &amp; Assumptions'!$L$34,'Model Inputs &amp; Assumptions'!$A$40:$A$42,0))*INDEX('Model Inputs &amp; Assumptions'!$H$40:$H$42,MATCH('Model Inputs &amp; Assumptions'!$L$34,'Model Inputs &amp; Assumptions'!$A$40:$A$42,0))</f>
        <v>574673.361871619</v>
      </c>
      <c r="K3219" s="49" t="n">
        <f aca="false">H3219*INDEX('Model Inputs &amp; Assumptions'!$G$40:$G$42,MATCH('Model Inputs &amp; Assumptions'!$L$34,'Model Inputs &amp; Assumptions'!$A$40:$A$42,0))*INDEX('Model Inputs &amp; Assumptions'!$H$40:$H$42,MATCH('Model Inputs &amp; Assumptions'!$L$34,'Model Inputs &amp; Assumptions'!$A$40:$A$42,0))</f>
        <v>12671.5476292692</v>
      </c>
      <c r="L3219" s="51" t="n">
        <f aca="false">IFERROR(K3219/I3219,0)</f>
        <v>1.34699807374835</v>
      </c>
      <c r="M3219" s="49" t="n">
        <f aca="false">IFERROR(I3219/H3219,0)</f>
        <v>117.862083913907</v>
      </c>
      <c r="N3219" s="52" t="str">
        <f aca="false">'Model Inputs &amp; Assumptions'!$L$34</f>
        <v>PRD-USIQ</v>
      </c>
      <c r="P3219" s="53" t="n">
        <v>1.30402</v>
      </c>
      <c r="Q3219" s="53" t="n">
        <v>0.595898</v>
      </c>
      <c r="R3219" s="53" t="n">
        <v>1.465417</v>
      </c>
      <c r="S3219" s="53" t="n">
        <v>-0.979126</v>
      </c>
    </row>
    <row r="3220" customFormat="false" ht="15" hidden="false" customHeight="false" outlineLevel="0" collapsed="false">
      <c r="A3220" s="43" t="n">
        <v>217</v>
      </c>
      <c r="B3220" s="44" t="str">
        <f aca="false">'Model Inputs &amp; Assumptions'!$B$34</f>
        <v>Meta — Lookalike Feed Video</v>
      </c>
      <c r="C3220" s="45" t="n">
        <f aca="false">ROUND(MAX(0,'Model Inputs &amp; Assumptions'!$S$34*EXP('Model Inputs &amp; Assumptions'!$T$34*P3220-'Model Inputs &amp; Assumptions'!$T$34^2/2)),0)</f>
        <v>528219</v>
      </c>
      <c r="D3220" s="46" t="n">
        <f aca="false">MIN(1,'Model Inputs &amp; Assumptions'!$U$34*EXP('Model Inputs &amp; Assumptions'!$V$34*Q3220-'Model Inputs &amp; Assumptions'!$V$34^2/2))</f>
        <v>0.246906417649447</v>
      </c>
      <c r="E3220" s="45" t="n">
        <f aca="false">ROUND(C3220*D3220,0)</f>
        <v>130421</v>
      </c>
      <c r="F3220" s="47" t="n">
        <f aca="false">MIN(1,'Model Inputs &amp; Assumptions'!$W$34*EXP('Model Inputs &amp; Assumptions'!$X$34*R3220-'Model Inputs &amp; Assumptions'!$X$34^2/2))</f>
        <v>0.00461016389864535</v>
      </c>
      <c r="G3220" s="45" t="n">
        <f aca="false">ROUND(C3220*F3220,0)</f>
        <v>2435</v>
      </c>
      <c r="H3220" s="48" t="n">
        <f aca="false">MAX(0,(C3220*'Model Inputs &amp; Assumptions'!$N$34+E3220*'Model Inputs &amp; Assumptions'!$O$34+G3220*'Model Inputs &amp; Assumptions'!$P$34)*EXP('Model Inputs &amp; Assumptions'!$Q$34*S3220-'Model Inputs &amp; Assumptions'!$Q$34^2/2))</f>
        <v>46.8379795963529</v>
      </c>
      <c r="I3220" s="49" t="n">
        <f aca="false">IF('Model Inputs &amp; Assumptions'!$H$34="Fixed",'Model Inputs &amp; Assumptions'!$I$34*'Model Inputs &amp; Assumptions'!$K$34,IF('Model Inputs &amp; Assumptions'!$H$34="CPM",'Model Inputs &amp; Assumptions'!$I$34*'Model Inputs &amp; Assumptions'!$K$34*C3220/1000,IF('Model Inputs &amp; Assumptions'!$H$34="CPC",'Model Inputs &amp; Assumptions'!$I$34*'Model Inputs &amp; Assumptions'!$K$34*G3220,0)))</f>
        <v>4504.75</v>
      </c>
      <c r="J3220" s="50" t="n">
        <f aca="false">H3220*INDEX('Model Inputs &amp; Assumptions'!$D$40:$D$42,MATCH('Model Inputs &amp; Assumptions'!$L$34,'Model Inputs &amp; Assumptions'!$A$40:$A$42,0))*INDEX('Model Inputs &amp; Assumptions'!$H$40:$H$42,MATCH('Model Inputs &amp; Assumptions'!$L$34,'Model Inputs &amp; Assumptions'!$A$40:$A$42,0))</f>
        <v>337233.453093741</v>
      </c>
      <c r="K3220" s="49" t="n">
        <f aca="false">H3220*INDEX('Model Inputs &amp; Assumptions'!$G$40:$G$42,MATCH('Model Inputs &amp; Assumptions'!$L$34,'Model Inputs &amp; Assumptions'!$A$40:$A$42,0))*INDEX('Model Inputs &amp; Assumptions'!$H$40:$H$42,MATCH('Model Inputs &amp; Assumptions'!$L$34,'Model Inputs &amp; Assumptions'!$A$40:$A$42,0))</f>
        <v>7435.99764071699</v>
      </c>
      <c r="L3220" s="51" t="n">
        <f aca="false">IFERROR(K3220/I3220,0)</f>
        <v>1.65070151300671</v>
      </c>
      <c r="M3220" s="49" t="n">
        <f aca="false">IFERROR(I3220/H3220,0)</f>
        <v>96.1772911389792</v>
      </c>
      <c r="N3220" s="52" t="str">
        <f aca="false">'Model Inputs &amp; Assumptions'!$L$34</f>
        <v>PRD-USIQ</v>
      </c>
      <c r="P3220" s="53" t="n">
        <v>0.178414</v>
      </c>
      <c r="Q3220" s="53" t="n">
        <v>0.523313</v>
      </c>
      <c r="R3220" s="53" t="n">
        <v>-1.373867</v>
      </c>
      <c r="S3220" s="53" t="n">
        <v>-0.568457</v>
      </c>
    </row>
    <row r="3221" customFormat="false" ht="15" hidden="false" customHeight="false" outlineLevel="0" collapsed="false">
      <c r="A3221" s="43" t="n">
        <v>218</v>
      </c>
      <c r="B3221" s="44" t="str">
        <f aca="false">'Model Inputs &amp; Assumptions'!$B$34</f>
        <v>Meta — Lookalike Feed Video</v>
      </c>
      <c r="C3221" s="45" t="n">
        <f aca="false">ROUND(MAX(0,'Model Inputs &amp; Assumptions'!$S$34*EXP('Model Inputs &amp; Assumptions'!$T$34*P3221-'Model Inputs &amp; Assumptions'!$T$34^2/2)),0)</f>
        <v>523217</v>
      </c>
      <c r="D3221" s="46" t="n">
        <f aca="false">MIN(1,'Model Inputs &amp; Assumptions'!$U$34*EXP('Model Inputs &amp; Assumptions'!$V$34*Q3221-'Model Inputs &amp; Assumptions'!$V$34^2/2))</f>
        <v>0.224190099162148</v>
      </c>
      <c r="E3221" s="45" t="n">
        <f aca="false">ROUND(C3221*D3221,0)</f>
        <v>117300</v>
      </c>
      <c r="F3221" s="47" t="n">
        <f aca="false">MIN(1,'Model Inputs &amp; Assumptions'!$W$34*EXP('Model Inputs &amp; Assumptions'!$X$34*R3221-'Model Inputs &amp; Assumptions'!$X$34^2/2))</f>
        <v>0.00629889278303996</v>
      </c>
      <c r="G3221" s="45" t="n">
        <f aca="false">ROUND(C3221*F3221,0)</f>
        <v>3296</v>
      </c>
      <c r="H3221" s="48" t="n">
        <f aca="false">MAX(0,(C3221*'Model Inputs &amp; Assumptions'!$N$34+E3221*'Model Inputs &amp; Assumptions'!$O$34+G3221*'Model Inputs &amp; Assumptions'!$P$34)*EXP('Model Inputs &amp; Assumptions'!$Q$34*S3221-'Model Inputs &amp; Assumptions'!$Q$34^2/2))</f>
        <v>82.0393109522759</v>
      </c>
      <c r="I3221" s="49" t="n">
        <f aca="false">IF('Model Inputs &amp; Assumptions'!$H$34="Fixed",'Model Inputs &amp; Assumptions'!$I$34*'Model Inputs &amp; Assumptions'!$K$34,IF('Model Inputs &amp; Assumptions'!$H$34="CPM",'Model Inputs &amp; Assumptions'!$I$34*'Model Inputs &amp; Assumptions'!$K$34*C3221/1000,IF('Model Inputs &amp; Assumptions'!$H$34="CPC",'Model Inputs &amp; Assumptions'!$I$34*'Model Inputs &amp; Assumptions'!$K$34*G3221,0)))</f>
        <v>6097.6</v>
      </c>
      <c r="J3221" s="50" t="n">
        <f aca="false">H3221*INDEX('Model Inputs &amp; Assumptions'!$D$40:$D$42,MATCH('Model Inputs &amp; Assumptions'!$L$34,'Model Inputs &amp; Assumptions'!$A$40:$A$42,0))*INDEX('Model Inputs &amp; Assumptions'!$H$40:$H$42,MATCH('Model Inputs &amp; Assumptions'!$L$34,'Model Inputs &amp; Assumptions'!$A$40:$A$42,0))</f>
        <v>590683.038856386</v>
      </c>
      <c r="K3221" s="49" t="n">
        <f aca="false">H3221*INDEX('Model Inputs &amp; Assumptions'!$G$40:$G$42,MATCH('Model Inputs &amp; Assumptions'!$L$34,'Model Inputs &amp; Assumptions'!$A$40:$A$42,0))*INDEX('Model Inputs &amp; Assumptions'!$H$40:$H$42,MATCH('Model Inputs &amp; Assumptions'!$L$34,'Model Inputs &amp; Assumptions'!$A$40:$A$42,0))</f>
        <v>13024.5610067833</v>
      </c>
      <c r="L3221" s="51" t="n">
        <f aca="false">IFERROR(K3221/I3221,0)</f>
        <v>2.13601433462072</v>
      </c>
      <c r="M3221" s="49" t="n">
        <f aca="false">IFERROR(I3221/H3221,0)</f>
        <v>74.3253439018657</v>
      </c>
      <c r="N3221" s="52" t="str">
        <f aca="false">'Model Inputs &amp; Assumptions'!$L$34</f>
        <v>PRD-USIQ</v>
      </c>
      <c r="P3221" s="53" t="n">
        <v>0.130836</v>
      </c>
      <c r="Q3221" s="53" t="n">
        <v>-0.079906</v>
      </c>
      <c r="R3221" s="53" t="n">
        <v>0.36008</v>
      </c>
      <c r="S3221" s="53" t="n">
        <v>0.427704</v>
      </c>
    </row>
    <row r="3222" customFormat="false" ht="15" hidden="false" customHeight="false" outlineLevel="0" collapsed="false">
      <c r="A3222" s="43" t="n">
        <v>219</v>
      </c>
      <c r="B3222" s="44" t="str">
        <f aca="false">'Model Inputs &amp; Assumptions'!$B$34</f>
        <v>Meta — Lookalike Feed Video</v>
      </c>
      <c r="C3222" s="45" t="n">
        <f aca="false">ROUND(MAX(0,'Model Inputs &amp; Assumptions'!$S$34*EXP('Model Inputs &amp; Assumptions'!$T$34*P3222-'Model Inputs &amp; Assumptions'!$T$34^2/2)),0)</f>
        <v>774092</v>
      </c>
      <c r="D3222" s="46" t="n">
        <f aca="false">MIN(1,'Model Inputs &amp; Assumptions'!$U$34*EXP('Model Inputs &amp; Assumptions'!$V$34*Q3222-'Model Inputs &amp; Assumptions'!$V$34^2/2))</f>
        <v>0.253640286636536</v>
      </c>
      <c r="E3222" s="45" t="n">
        <f aca="false">ROUND(C3222*D3222,0)</f>
        <v>196341</v>
      </c>
      <c r="F3222" s="47" t="n">
        <f aca="false">MIN(1,'Model Inputs &amp; Assumptions'!$W$34*EXP('Model Inputs &amp; Assumptions'!$X$34*R3222-'Model Inputs &amp; Assumptions'!$X$34^2/2))</f>
        <v>0.00525118523004626</v>
      </c>
      <c r="G3222" s="45" t="n">
        <f aca="false">ROUND(C3222*F3222,0)</f>
        <v>4065</v>
      </c>
      <c r="H3222" s="48" t="n">
        <f aca="false">MAX(0,(C3222*'Model Inputs &amp; Assumptions'!$N$34+E3222*'Model Inputs &amp; Assumptions'!$O$34+G3222*'Model Inputs &amp; Assumptions'!$P$34)*EXP('Model Inputs &amp; Assumptions'!$Q$34*S3222-'Model Inputs &amp; Assumptions'!$Q$34^2/2))</f>
        <v>138.72468801082</v>
      </c>
      <c r="I3222" s="49" t="n">
        <f aca="false">IF('Model Inputs &amp; Assumptions'!$H$34="Fixed",'Model Inputs &amp; Assumptions'!$I$34*'Model Inputs &amp; Assumptions'!$K$34,IF('Model Inputs &amp; Assumptions'!$H$34="CPM",'Model Inputs &amp; Assumptions'!$I$34*'Model Inputs &amp; Assumptions'!$K$34*C3222/1000,IF('Model Inputs &amp; Assumptions'!$H$34="CPC",'Model Inputs &amp; Assumptions'!$I$34*'Model Inputs &amp; Assumptions'!$K$34*G3222,0)))</f>
        <v>7520.25</v>
      </c>
      <c r="J3222" s="50" t="n">
        <f aca="false">H3222*INDEX('Model Inputs &amp; Assumptions'!$D$40:$D$42,MATCH('Model Inputs &amp; Assumptions'!$L$34,'Model Inputs &amp; Assumptions'!$A$40:$A$42,0))*INDEX('Model Inputs &amp; Assumptions'!$H$40:$H$42,MATCH('Model Inputs &amp; Assumptions'!$L$34,'Model Inputs &amp; Assumptions'!$A$40:$A$42,0))</f>
        <v>998817.753677904</v>
      </c>
      <c r="K3222" s="49" t="n">
        <f aca="false">H3222*INDEX('Model Inputs &amp; Assumptions'!$G$40:$G$42,MATCH('Model Inputs &amp; Assumptions'!$L$34,'Model Inputs &amp; Assumptions'!$A$40:$A$42,0))*INDEX('Model Inputs &amp; Assumptions'!$H$40:$H$42,MATCH('Model Inputs &amp; Assumptions'!$L$34,'Model Inputs &amp; Assumptions'!$A$40:$A$42,0))</f>
        <v>22023.9314685978</v>
      </c>
      <c r="L3222" s="51" t="n">
        <f aca="false">IFERROR(K3222/I3222,0)</f>
        <v>2.92861693010176</v>
      </c>
      <c r="M3222" s="49" t="n">
        <f aca="false">IFERROR(I3222/H3222,0)</f>
        <v>54.2098894424145</v>
      </c>
      <c r="N3222" s="52" t="str">
        <f aca="false">'Model Inputs &amp; Assumptions'!$L$34</f>
        <v>PRD-USIQ</v>
      </c>
      <c r="P3222" s="53" t="n">
        <v>2.089312</v>
      </c>
      <c r="Q3222" s="53" t="n">
        <v>0.691486</v>
      </c>
      <c r="R3222" s="53" t="n">
        <v>-0.650587</v>
      </c>
      <c r="S3222" s="53" t="n">
        <v>1.277829</v>
      </c>
    </row>
    <row r="3223" customFormat="false" ht="15" hidden="false" customHeight="false" outlineLevel="0" collapsed="false">
      <c r="A3223" s="43" t="n">
        <v>220</v>
      </c>
      <c r="B3223" s="44" t="str">
        <f aca="false">'Model Inputs &amp; Assumptions'!$B$34</f>
        <v>Meta — Lookalike Feed Video</v>
      </c>
      <c r="C3223" s="45" t="n">
        <f aca="false">ROUND(MAX(0,'Model Inputs &amp; Assumptions'!$S$34*EXP('Model Inputs &amp; Assumptions'!$T$34*P3223-'Model Inputs &amp; Assumptions'!$T$34^2/2)),0)</f>
        <v>707125</v>
      </c>
      <c r="D3223" s="46" t="n">
        <f aca="false">MIN(1,'Model Inputs &amp; Assumptions'!$U$34*EXP('Model Inputs &amp; Assumptions'!$V$34*Q3223-'Model Inputs &amp; Assumptions'!$V$34^2/2))</f>
        <v>0.196759629500493</v>
      </c>
      <c r="E3223" s="45" t="n">
        <f aca="false">ROUND(C3223*D3223,0)</f>
        <v>139134</v>
      </c>
      <c r="F3223" s="47" t="n">
        <f aca="false">MIN(1,'Model Inputs &amp; Assumptions'!$W$34*EXP('Model Inputs &amp; Assumptions'!$X$34*R3223-'Model Inputs &amp; Assumptions'!$X$34^2/2))</f>
        <v>0.00550813940021994</v>
      </c>
      <c r="G3223" s="45" t="n">
        <f aca="false">ROUND(C3223*F3223,0)</f>
        <v>3895</v>
      </c>
      <c r="H3223" s="48" t="n">
        <f aca="false">MAX(0,(C3223*'Model Inputs &amp; Assumptions'!$N$34+E3223*'Model Inputs &amp; Assumptions'!$O$34+G3223*'Model Inputs &amp; Assumptions'!$P$34)*EXP('Model Inputs &amp; Assumptions'!$Q$34*S3223-'Model Inputs &amp; Assumptions'!$Q$34^2/2))</f>
        <v>76.2368909480542</v>
      </c>
      <c r="I3223" s="49" t="n">
        <f aca="false">IF('Model Inputs &amp; Assumptions'!$H$34="Fixed",'Model Inputs &amp; Assumptions'!$I$34*'Model Inputs &amp; Assumptions'!$K$34,IF('Model Inputs &amp; Assumptions'!$H$34="CPM",'Model Inputs &amp; Assumptions'!$I$34*'Model Inputs &amp; Assumptions'!$K$34*C3223/1000,IF('Model Inputs &amp; Assumptions'!$H$34="CPC",'Model Inputs &amp; Assumptions'!$I$34*'Model Inputs &amp; Assumptions'!$K$34*G3223,0)))</f>
        <v>7205.75</v>
      </c>
      <c r="J3223" s="50" t="n">
        <f aca="false">H3223*INDEX('Model Inputs &amp; Assumptions'!$D$40:$D$42,MATCH('Model Inputs &amp; Assumptions'!$L$34,'Model Inputs &amp; Assumptions'!$A$40:$A$42,0))*INDEX('Model Inputs &amp; Assumptions'!$H$40:$H$42,MATCH('Model Inputs &amp; Assumptions'!$L$34,'Model Inputs &amp; Assumptions'!$A$40:$A$42,0))</f>
        <v>548905.614825991</v>
      </c>
      <c r="K3223" s="49" t="n">
        <f aca="false">H3223*INDEX('Model Inputs &amp; Assumptions'!$G$40:$G$42,MATCH('Model Inputs &amp; Assumptions'!$L$34,'Model Inputs &amp; Assumptions'!$A$40:$A$42,0))*INDEX('Model Inputs &amp; Assumptions'!$H$40:$H$42,MATCH('Model Inputs &amp; Assumptions'!$L$34,'Model Inputs &amp; Assumptions'!$A$40:$A$42,0))</f>
        <v>12103.3688069131</v>
      </c>
      <c r="L3223" s="51" t="n">
        <f aca="false">IFERROR(K3223/I3223,0)</f>
        <v>1.67968203267017</v>
      </c>
      <c r="M3223" s="49" t="n">
        <f aca="false">IFERROR(I3223/H3223,0)</f>
        <v>94.5178890480962</v>
      </c>
      <c r="N3223" s="52" t="str">
        <f aca="false">'Model Inputs &amp; Assumptions'!$L$34</f>
        <v>PRD-USIQ</v>
      </c>
      <c r="P3223" s="53" t="n">
        <v>1.636896</v>
      </c>
      <c r="Q3223" s="53" t="n">
        <v>-0.895603</v>
      </c>
      <c r="R3223" s="53" t="n">
        <v>-0.385181</v>
      </c>
      <c r="S3223" s="53" t="n">
        <v>-0.3248</v>
      </c>
    </row>
    <row r="3224" customFormat="false" ht="15" hidden="false" customHeight="false" outlineLevel="0" collapsed="false">
      <c r="A3224" s="43" t="n">
        <v>221</v>
      </c>
      <c r="B3224" s="44" t="str">
        <f aca="false">'Model Inputs &amp; Assumptions'!$B$34</f>
        <v>Meta — Lookalike Feed Video</v>
      </c>
      <c r="C3224" s="45" t="n">
        <f aca="false">ROUND(MAX(0,'Model Inputs &amp; Assumptions'!$S$34*EXP('Model Inputs &amp; Assumptions'!$T$34*P3224-'Model Inputs &amp; Assumptions'!$T$34^2/2)),0)</f>
        <v>333001</v>
      </c>
      <c r="D3224" s="46" t="n">
        <f aca="false">MIN(1,'Model Inputs &amp; Assumptions'!$U$34*EXP('Model Inputs &amp; Assumptions'!$V$34*Q3224-'Model Inputs &amp; Assumptions'!$V$34^2/2))</f>
        <v>0.182639866070439</v>
      </c>
      <c r="E3224" s="45" t="n">
        <f aca="false">ROUND(C3224*D3224,0)</f>
        <v>60819</v>
      </c>
      <c r="F3224" s="47" t="n">
        <f aca="false">MIN(1,'Model Inputs &amp; Assumptions'!$W$34*EXP('Model Inputs &amp; Assumptions'!$X$34*R3224-'Model Inputs &amp; Assumptions'!$X$34^2/2))</f>
        <v>0.00619201382638381</v>
      </c>
      <c r="G3224" s="45" t="n">
        <f aca="false">ROUND(C3224*F3224,0)</f>
        <v>2062</v>
      </c>
      <c r="H3224" s="48" t="n">
        <f aca="false">MAX(0,(C3224*'Model Inputs &amp; Assumptions'!$N$34+E3224*'Model Inputs &amp; Assumptions'!$O$34+G3224*'Model Inputs &amp; Assumptions'!$P$34)*EXP('Model Inputs &amp; Assumptions'!$Q$34*S3224-'Model Inputs &amp; Assumptions'!$Q$34^2/2))</f>
        <v>16.4105700511058</v>
      </c>
      <c r="I3224" s="49" t="n">
        <f aca="false">IF('Model Inputs &amp; Assumptions'!$H$34="Fixed",'Model Inputs &amp; Assumptions'!$I$34*'Model Inputs &amp; Assumptions'!$K$34,IF('Model Inputs &amp; Assumptions'!$H$34="CPM",'Model Inputs &amp; Assumptions'!$I$34*'Model Inputs &amp; Assumptions'!$K$34*C3224/1000,IF('Model Inputs &amp; Assumptions'!$H$34="CPC",'Model Inputs &amp; Assumptions'!$I$34*'Model Inputs &amp; Assumptions'!$K$34*G3224,0)))</f>
        <v>3814.7</v>
      </c>
      <c r="J3224" s="50" t="n">
        <f aca="false">H3224*INDEX('Model Inputs &amp; Assumptions'!$D$40:$D$42,MATCH('Model Inputs &amp; Assumptions'!$L$34,'Model Inputs &amp; Assumptions'!$A$40:$A$42,0))*INDEX('Model Inputs &amp; Assumptions'!$H$40:$H$42,MATCH('Model Inputs &amp; Assumptions'!$L$34,'Model Inputs &amp; Assumptions'!$A$40:$A$42,0))</f>
        <v>118156.104367962</v>
      </c>
      <c r="K3224" s="49" t="n">
        <f aca="false">H3224*INDEX('Model Inputs &amp; Assumptions'!$G$40:$G$42,MATCH('Model Inputs &amp; Assumptions'!$L$34,'Model Inputs &amp; Assumptions'!$A$40:$A$42,0))*INDEX('Model Inputs &amp; Assumptions'!$H$40:$H$42,MATCH('Model Inputs &amp; Assumptions'!$L$34,'Model Inputs &amp; Assumptions'!$A$40:$A$42,0))</f>
        <v>2605.34210131356</v>
      </c>
      <c r="L3224" s="51" t="n">
        <f aca="false">IFERROR(K3224/I3224,0)</f>
        <v>0.682974310250756</v>
      </c>
      <c r="M3224" s="49" t="n">
        <f aca="false">IFERROR(I3224/H3224,0)</f>
        <v>232.453838478509</v>
      </c>
      <c r="N3224" s="52" t="str">
        <f aca="false">'Model Inputs &amp; Assumptions'!$L$34</f>
        <v>PRD-USIQ</v>
      </c>
      <c r="P3224" s="53" t="n">
        <v>-2.128413</v>
      </c>
      <c r="Q3224" s="53" t="n">
        <v>-1.361019</v>
      </c>
      <c r="R3224" s="53" t="n">
        <v>0.265005</v>
      </c>
      <c r="S3224" s="53" t="n">
        <v>-3.068147</v>
      </c>
    </row>
    <row r="3225" customFormat="false" ht="15" hidden="false" customHeight="false" outlineLevel="0" collapsed="false">
      <c r="A3225" s="43" t="n">
        <v>222</v>
      </c>
      <c r="B3225" s="44" t="str">
        <f aca="false">'Model Inputs &amp; Assumptions'!$B$34</f>
        <v>Meta — Lookalike Feed Video</v>
      </c>
      <c r="C3225" s="45" t="n">
        <f aca="false">ROUND(MAX(0,'Model Inputs &amp; Assumptions'!$S$34*EXP('Model Inputs &amp; Assumptions'!$T$34*P3225-'Model Inputs &amp; Assumptions'!$T$34^2/2)),0)</f>
        <v>561362</v>
      </c>
      <c r="D3225" s="46" t="n">
        <f aca="false">MIN(1,'Model Inputs &amp; Assumptions'!$U$34*EXP('Model Inputs &amp; Assumptions'!$V$34*Q3225-'Model Inputs &amp; Assumptions'!$V$34^2/2))</f>
        <v>0.19717758096649</v>
      </c>
      <c r="E3225" s="45" t="n">
        <f aca="false">ROUND(C3225*D3225,0)</f>
        <v>110688</v>
      </c>
      <c r="F3225" s="47" t="n">
        <f aca="false">MIN(1,'Model Inputs &amp; Assumptions'!$W$34*EXP('Model Inputs &amp; Assumptions'!$X$34*R3225-'Model Inputs &amp; Assumptions'!$X$34^2/2))</f>
        <v>0.00531013293206694</v>
      </c>
      <c r="G3225" s="45" t="n">
        <f aca="false">ROUND(C3225*F3225,0)</f>
        <v>2981</v>
      </c>
      <c r="H3225" s="48" t="n">
        <f aca="false">MAX(0,(C3225*'Model Inputs &amp; Assumptions'!$N$34+E3225*'Model Inputs &amp; Assumptions'!$O$34+G3225*'Model Inputs &amp; Assumptions'!$P$34)*EXP('Model Inputs &amp; Assumptions'!$Q$34*S3225-'Model Inputs &amp; Assumptions'!$Q$34^2/2))</f>
        <v>55.4742472362691</v>
      </c>
      <c r="I3225" s="49" t="n">
        <f aca="false">IF('Model Inputs &amp; Assumptions'!$H$34="Fixed",'Model Inputs &amp; Assumptions'!$I$34*'Model Inputs &amp; Assumptions'!$K$34,IF('Model Inputs &amp; Assumptions'!$H$34="CPM",'Model Inputs &amp; Assumptions'!$I$34*'Model Inputs &amp; Assumptions'!$K$34*C3225/1000,IF('Model Inputs &amp; Assumptions'!$H$34="CPC",'Model Inputs &amp; Assumptions'!$I$34*'Model Inputs &amp; Assumptions'!$K$34*G3225,0)))</f>
        <v>5514.85</v>
      </c>
      <c r="J3225" s="50" t="n">
        <f aca="false">H3225*INDEX('Model Inputs &amp; Assumptions'!$D$40:$D$42,MATCH('Model Inputs &amp; Assumptions'!$L$34,'Model Inputs &amp; Assumptions'!$A$40:$A$42,0))*INDEX('Model Inputs &amp; Assumptions'!$H$40:$H$42,MATCH('Model Inputs &amp; Assumptions'!$L$34,'Model Inputs &amp; Assumptions'!$A$40:$A$42,0))</f>
        <v>399414.580101137</v>
      </c>
      <c r="K3225" s="49" t="n">
        <f aca="false">H3225*INDEX('Model Inputs &amp; Assumptions'!$G$40:$G$42,MATCH('Model Inputs &amp; Assumptions'!$L$34,'Model Inputs &amp; Assumptions'!$A$40:$A$42,0))*INDEX('Model Inputs &amp; Assumptions'!$H$40:$H$42,MATCH('Model Inputs &amp; Assumptions'!$L$34,'Model Inputs &amp; Assumptions'!$A$40:$A$42,0))</f>
        <v>8807.09149123008</v>
      </c>
      <c r="L3225" s="51" t="n">
        <f aca="false">IFERROR(K3225/I3225,0)</f>
        <v>1.59697752273046</v>
      </c>
      <c r="M3225" s="49" t="n">
        <f aca="false">IFERROR(I3225/H3225,0)</f>
        <v>99.4127955718233</v>
      </c>
      <c r="N3225" s="52" t="str">
        <f aca="false">'Model Inputs &amp; Assumptions'!$L$34</f>
        <v>PRD-USIQ</v>
      </c>
      <c r="P3225" s="53" t="n">
        <v>0.482685</v>
      </c>
      <c r="Q3225" s="53" t="n">
        <v>-0.882341</v>
      </c>
      <c r="R3225" s="53" t="n">
        <v>-0.58857</v>
      </c>
      <c r="S3225" s="53" t="n">
        <v>-0.49797</v>
      </c>
    </row>
    <row r="3226" customFormat="false" ht="15" hidden="false" customHeight="false" outlineLevel="0" collapsed="false">
      <c r="A3226" s="43" t="n">
        <v>223</v>
      </c>
      <c r="B3226" s="44" t="str">
        <f aca="false">'Model Inputs &amp; Assumptions'!$B$34</f>
        <v>Meta — Lookalike Feed Video</v>
      </c>
      <c r="C3226" s="45" t="n">
        <f aca="false">ROUND(MAX(0,'Model Inputs &amp; Assumptions'!$S$34*EXP('Model Inputs &amp; Assumptions'!$T$34*P3226-'Model Inputs &amp; Assumptions'!$T$34^2/2)),0)</f>
        <v>522080</v>
      </c>
      <c r="D3226" s="46" t="n">
        <f aca="false">MIN(1,'Model Inputs &amp; Assumptions'!$U$34*EXP('Model Inputs &amp; Assumptions'!$V$34*Q3226-'Model Inputs &amp; Assumptions'!$V$34^2/2))</f>
        <v>0.26219695262275</v>
      </c>
      <c r="E3226" s="45" t="n">
        <f aca="false">ROUND(C3226*D3226,0)</f>
        <v>136888</v>
      </c>
      <c r="F3226" s="47" t="n">
        <f aca="false">MIN(1,'Model Inputs &amp; Assumptions'!$W$34*EXP('Model Inputs &amp; Assumptions'!$X$34*R3226-'Model Inputs &amp; Assumptions'!$X$34^2/2))</f>
        <v>0.00546893822724691</v>
      </c>
      <c r="G3226" s="45" t="n">
        <f aca="false">ROUND(C3226*F3226,0)</f>
        <v>2855</v>
      </c>
      <c r="H3226" s="48" t="n">
        <f aca="false">MAX(0,(C3226*'Model Inputs &amp; Assumptions'!$N$34+E3226*'Model Inputs &amp; Assumptions'!$O$34+G3226*'Model Inputs &amp; Assumptions'!$P$34)*EXP('Model Inputs &amp; Assumptions'!$Q$34*S3226-'Model Inputs &amp; Assumptions'!$Q$34^2/2))</f>
        <v>60.0355791231113</v>
      </c>
      <c r="I3226" s="49" t="n">
        <f aca="false">IF('Model Inputs &amp; Assumptions'!$H$34="Fixed",'Model Inputs &amp; Assumptions'!$I$34*'Model Inputs &amp; Assumptions'!$K$34,IF('Model Inputs &amp; Assumptions'!$H$34="CPM",'Model Inputs &amp; Assumptions'!$I$34*'Model Inputs &amp; Assumptions'!$K$34*C3226/1000,IF('Model Inputs &amp; Assumptions'!$H$34="CPC",'Model Inputs &amp; Assumptions'!$I$34*'Model Inputs &amp; Assumptions'!$K$34*G3226,0)))</f>
        <v>5281.75</v>
      </c>
      <c r="J3226" s="50" t="n">
        <f aca="false">H3226*INDEX('Model Inputs &amp; Assumptions'!$D$40:$D$42,MATCH('Model Inputs &amp; Assumptions'!$L$34,'Model Inputs &amp; Assumptions'!$A$40:$A$42,0))*INDEX('Model Inputs &amp; Assumptions'!$H$40:$H$42,MATCH('Model Inputs &amp; Assumptions'!$L$34,'Model Inputs &amp; Assumptions'!$A$40:$A$42,0))</f>
        <v>432256.169686401</v>
      </c>
      <c r="K3226" s="49" t="n">
        <f aca="false">H3226*INDEX('Model Inputs &amp; Assumptions'!$G$40:$G$42,MATCH('Model Inputs &amp; Assumptions'!$L$34,'Model Inputs &amp; Assumptions'!$A$40:$A$42,0))*INDEX('Model Inputs &amp; Assumptions'!$H$40:$H$42,MATCH('Model Inputs &amp; Assumptions'!$L$34,'Model Inputs &amp; Assumptions'!$A$40:$A$42,0))</f>
        <v>9531.24854158514</v>
      </c>
      <c r="L3226" s="51" t="n">
        <f aca="false">IFERROR(K3226/I3226,0)</f>
        <v>1.80456260549726</v>
      </c>
      <c r="M3226" s="49" t="n">
        <f aca="false">IFERROR(I3226/H3226,0)</f>
        <v>87.9769975928614</v>
      </c>
      <c r="N3226" s="52" t="str">
        <f aca="false">'Model Inputs &amp; Assumptions'!$L$34</f>
        <v>PRD-USIQ</v>
      </c>
      <c r="P3226" s="53" t="n">
        <v>0.119961</v>
      </c>
      <c r="Q3226" s="53" t="n">
        <v>0.898854</v>
      </c>
      <c r="R3226" s="53" t="n">
        <v>-0.424861</v>
      </c>
      <c r="S3226" s="53" t="n">
        <v>-0.231627</v>
      </c>
    </row>
    <row r="3227" customFormat="false" ht="15" hidden="false" customHeight="false" outlineLevel="0" collapsed="false">
      <c r="A3227" s="43" t="n">
        <v>224</v>
      </c>
      <c r="B3227" s="44" t="str">
        <f aca="false">'Model Inputs &amp; Assumptions'!$B$34</f>
        <v>Meta — Lookalike Feed Video</v>
      </c>
      <c r="C3227" s="45" t="n">
        <f aca="false">ROUND(MAX(0,'Model Inputs &amp; Assumptions'!$S$34*EXP('Model Inputs &amp; Assumptions'!$T$34*P3227-'Model Inputs &amp; Assumptions'!$T$34^2/2)),0)</f>
        <v>426295</v>
      </c>
      <c r="D3227" s="46" t="n">
        <f aca="false">MIN(1,'Model Inputs &amp; Assumptions'!$U$34*EXP('Model Inputs &amp; Assumptions'!$V$34*Q3227-'Model Inputs &amp; Assumptions'!$V$34^2/2))</f>
        <v>0.260426353445962</v>
      </c>
      <c r="E3227" s="45" t="n">
        <f aca="false">ROUND(C3227*D3227,0)</f>
        <v>111018</v>
      </c>
      <c r="F3227" s="47" t="n">
        <f aca="false">MIN(1,'Model Inputs &amp; Assumptions'!$W$34*EXP('Model Inputs &amp; Assumptions'!$X$34*R3227-'Model Inputs &amp; Assumptions'!$X$34^2/2))</f>
        <v>0.00527364033230474</v>
      </c>
      <c r="G3227" s="45" t="n">
        <f aca="false">ROUND(C3227*F3227,0)</f>
        <v>2248</v>
      </c>
      <c r="H3227" s="48" t="n">
        <f aca="false">MAX(0,(C3227*'Model Inputs &amp; Assumptions'!$N$34+E3227*'Model Inputs &amp; Assumptions'!$O$34+G3227*'Model Inputs &amp; Assumptions'!$P$34)*EXP('Model Inputs &amp; Assumptions'!$Q$34*S3227-'Model Inputs &amp; Assumptions'!$Q$34^2/2))</f>
        <v>86.014130499715</v>
      </c>
      <c r="I3227" s="49" t="n">
        <f aca="false">IF('Model Inputs &amp; Assumptions'!$H$34="Fixed",'Model Inputs &amp; Assumptions'!$I$34*'Model Inputs &amp; Assumptions'!$K$34,IF('Model Inputs &amp; Assumptions'!$H$34="CPM",'Model Inputs &amp; Assumptions'!$I$34*'Model Inputs &amp; Assumptions'!$K$34*C3227/1000,IF('Model Inputs &amp; Assumptions'!$H$34="CPC",'Model Inputs &amp; Assumptions'!$I$34*'Model Inputs &amp; Assumptions'!$K$34*G3227,0)))</f>
        <v>4158.8</v>
      </c>
      <c r="J3227" s="50" t="n">
        <f aca="false">H3227*INDEX('Model Inputs &amp; Assumptions'!$D$40:$D$42,MATCH('Model Inputs &amp; Assumptions'!$L$34,'Model Inputs &amp; Assumptions'!$A$40:$A$42,0))*INDEX('Model Inputs &amp; Assumptions'!$H$40:$H$42,MATCH('Model Inputs &amp; Assumptions'!$L$34,'Model Inputs &amp; Assumptions'!$A$40:$A$42,0))</f>
        <v>619301.739597948</v>
      </c>
      <c r="K3227" s="49" t="n">
        <f aca="false">H3227*INDEX('Model Inputs &amp; Assumptions'!$G$40:$G$42,MATCH('Model Inputs &amp; Assumptions'!$L$34,'Model Inputs &amp; Assumptions'!$A$40:$A$42,0))*INDEX('Model Inputs &amp; Assumptions'!$H$40:$H$42,MATCH('Model Inputs &amp; Assumptions'!$L$34,'Model Inputs &amp; Assumptions'!$A$40:$A$42,0))</f>
        <v>13655.6033581348</v>
      </c>
      <c r="L3227" s="51" t="n">
        <f aca="false">IFERROR(K3227/I3227,0)</f>
        <v>3.28354413728353</v>
      </c>
      <c r="M3227" s="49" t="n">
        <f aca="false">IFERROR(I3227/H3227,0)</f>
        <v>48.3501952044238</v>
      </c>
      <c r="N3227" s="52" t="str">
        <f aca="false">'Model Inputs &amp; Assumptions'!$L$34</f>
        <v>PRD-USIQ</v>
      </c>
      <c r="P3227" s="53" t="n">
        <v>-0.893484</v>
      </c>
      <c r="Q3227" s="53" t="n">
        <v>0.856505</v>
      </c>
      <c r="R3227" s="53" t="n">
        <v>-0.626881</v>
      </c>
      <c r="S3227" s="53" t="n">
        <v>1.623963</v>
      </c>
    </row>
    <row r="3228" customFormat="false" ht="15" hidden="false" customHeight="false" outlineLevel="0" collapsed="false">
      <c r="A3228" s="43" t="n">
        <v>225</v>
      </c>
      <c r="B3228" s="44" t="str">
        <f aca="false">'Model Inputs &amp; Assumptions'!$B$34</f>
        <v>Meta — Lookalike Feed Video</v>
      </c>
      <c r="C3228" s="45" t="n">
        <f aca="false">ROUND(MAX(0,'Model Inputs &amp; Assumptions'!$S$34*EXP('Model Inputs &amp; Assumptions'!$T$34*P3228-'Model Inputs &amp; Assumptions'!$T$34^2/2)),0)</f>
        <v>492835</v>
      </c>
      <c r="D3228" s="46" t="n">
        <f aca="false">MIN(1,'Model Inputs &amp; Assumptions'!$U$34*EXP('Model Inputs &amp; Assumptions'!$V$34*Q3228-'Model Inputs &amp; Assumptions'!$V$34^2/2))</f>
        <v>0.313681164049543</v>
      </c>
      <c r="E3228" s="45" t="n">
        <f aca="false">ROUND(C3228*D3228,0)</f>
        <v>154593</v>
      </c>
      <c r="F3228" s="47" t="n">
        <f aca="false">MIN(1,'Model Inputs &amp; Assumptions'!$W$34*EXP('Model Inputs &amp; Assumptions'!$X$34*R3228-'Model Inputs &amp; Assumptions'!$X$34^2/2))</f>
        <v>0.00640329978709874</v>
      </c>
      <c r="G3228" s="45" t="n">
        <f aca="false">ROUND(C3228*F3228,0)</f>
        <v>3156</v>
      </c>
      <c r="H3228" s="48" t="n">
        <f aca="false">MAX(0,(C3228*'Model Inputs &amp; Assumptions'!$N$34+E3228*'Model Inputs &amp; Assumptions'!$O$34+G3228*'Model Inputs &amp; Assumptions'!$P$34)*EXP('Model Inputs &amp; Assumptions'!$Q$34*S3228-'Model Inputs &amp; Assumptions'!$Q$34^2/2))</f>
        <v>88.7480525308253</v>
      </c>
      <c r="I3228" s="49" t="n">
        <f aca="false">IF('Model Inputs &amp; Assumptions'!$H$34="Fixed",'Model Inputs &amp; Assumptions'!$I$34*'Model Inputs &amp; Assumptions'!$K$34,IF('Model Inputs &amp; Assumptions'!$H$34="CPM",'Model Inputs &amp; Assumptions'!$I$34*'Model Inputs &amp; Assumptions'!$K$34*C3228/1000,IF('Model Inputs &amp; Assumptions'!$H$34="CPC",'Model Inputs &amp; Assumptions'!$I$34*'Model Inputs &amp; Assumptions'!$K$34*G3228,0)))</f>
        <v>5838.6</v>
      </c>
      <c r="J3228" s="50" t="n">
        <f aca="false">H3228*INDEX('Model Inputs &amp; Assumptions'!$D$40:$D$42,MATCH('Model Inputs &amp; Assumptions'!$L$34,'Model Inputs &amp; Assumptions'!$A$40:$A$42,0))*INDEX('Model Inputs &amp; Assumptions'!$H$40:$H$42,MATCH('Model Inputs &amp; Assumptions'!$L$34,'Model Inputs &amp; Assumptions'!$A$40:$A$42,0))</f>
        <v>638985.978221942</v>
      </c>
      <c r="K3228" s="49" t="n">
        <f aca="false">H3228*INDEX('Model Inputs &amp; Assumptions'!$G$40:$G$42,MATCH('Model Inputs &amp; Assumptions'!$L$34,'Model Inputs &amp; Assumptions'!$A$40:$A$42,0))*INDEX('Model Inputs &amp; Assumptions'!$H$40:$H$42,MATCH('Model Inputs &amp; Assumptions'!$L$34,'Model Inputs &amp; Assumptions'!$A$40:$A$42,0))</f>
        <v>14089.6408197938</v>
      </c>
      <c r="L3228" s="51" t="n">
        <f aca="false">IFERROR(K3228/I3228,0)</f>
        <v>2.41318823344532</v>
      </c>
      <c r="M3228" s="49" t="n">
        <f aca="false">IFERROR(I3228/H3228,0)</f>
        <v>65.7884858709666</v>
      </c>
      <c r="N3228" s="52" t="str">
        <f aca="false">'Model Inputs &amp; Assumptions'!$L$34</f>
        <v>PRD-USIQ</v>
      </c>
      <c r="P3228" s="53" t="n">
        <v>-0.168273</v>
      </c>
      <c r="Q3228" s="53" t="n">
        <v>2.019361</v>
      </c>
      <c r="R3228" s="53" t="n">
        <v>0.451411</v>
      </c>
      <c r="S3228" s="53" t="n">
        <v>0.665735</v>
      </c>
    </row>
    <row r="3229" customFormat="false" ht="15" hidden="false" customHeight="false" outlineLevel="0" collapsed="false">
      <c r="A3229" s="43" t="n">
        <v>226</v>
      </c>
      <c r="B3229" s="44" t="str">
        <f aca="false">'Model Inputs &amp; Assumptions'!$B$34</f>
        <v>Meta — Lookalike Feed Video</v>
      </c>
      <c r="C3229" s="45" t="n">
        <f aca="false">ROUND(MAX(0,'Model Inputs &amp; Assumptions'!$S$34*EXP('Model Inputs &amp; Assumptions'!$T$34*P3229-'Model Inputs &amp; Assumptions'!$T$34^2/2)),0)</f>
        <v>465227</v>
      </c>
      <c r="D3229" s="46" t="n">
        <f aca="false">MIN(1,'Model Inputs &amp; Assumptions'!$U$34*EXP('Model Inputs &amp; Assumptions'!$V$34*Q3229-'Model Inputs &amp; Assumptions'!$V$34^2/2))</f>
        <v>0.192364457516388</v>
      </c>
      <c r="E3229" s="45" t="n">
        <f aca="false">ROUND(C3229*D3229,0)</f>
        <v>89493</v>
      </c>
      <c r="F3229" s="47" t="n">
        <f aca="false">MIN(1,'Model Inputs &amp; Assumptions'!$W$34*EXP('Model Inputs &amp; Assumptions'!$X$34*R3229-'Model Inputs &amp; Assumptions'!$X$34^2/2))</f>
        <v>0.00674460003044773</v>
      </c>
      <c r="G3229" s="45" t="n">
        <f aca="false">ROUND(C3229*F3229,0)</f>
        <v>3138</v>
      </c>
      <c r="H3229" s="48" t="n">
        <f aca="false">MAX(0,(C3229*'Model Inputs &amp; Assumptions'!$N$34+E3229*'Model Inputs &amp; Assumptions'!$O$34+G3229*'Model Inputs &amp; Assumptions'!$P$34)*EXP('Model Inputs &amp; Assumptions'!$Q$34*S3229-'Model Inputs &amp; Assumptions'!$Q$34^2/2))</f>
        <v>37.2681443233565</v>
      </c>
      <c r="I3229" s="49" t="n">
        <f aca="false">IF('Model Inputs &amp; Assumptions'!$H$34="Fixed",'Model Inputs &amp; Assumptions'!$I$34*'Model Inputs &amp; Assumptions'!$K$34,IF('Model Inputs &amp; Assumptions'!$H$34="CPM",'Model Inputs &amp; Assumptions'!$I$34*'Model Inputs &amp; Assumptions'!$K$34*C3229/1000,IF('Model Inputs &amp; Assumptions'!$H$34="CPC",'Model Inputs &amp; Assumptions'!$I$34*'Model Inputs &amp; Assumptions'!$K$34*G3229,0)))</f>
        <v>5805.3</v>
      </c>
      <c r="J3229" s="50" t="n">
        <f aca="false">H3229*INDEX('Model Inputs &amp; Assumptions'!$D$40:$D$42,MATCH('Model Inputs &amp; Assumptions'!$L$34,'Model Inputs &amp; Assumptions'!$A$40:$A$42,0))*INDEX('Model Inputs &amp; Assumptions'!$H$40:$H$42,MATCH('Model Inputs &amp; Assumptions'!$L$34,'Model Inputs &amp; Assumptions'!$A$40:$A$42,0))</f>
        <v>268330.639128167</v>
      </c>
      <c r="K3229" s="49" t="n">
        <f aca="false">H3229*INDEX('Model Inputs &amp; Assumptions'!$G$40:$G$42,MATCH('Model Inputs &amp; Assumptions'!$L$34,'Model Inputs &amp; Assumptions'!$A$40:$A$42,0))*INDEX('Model Inputs &amp; Assumptions'!$H$40:$H$42,MATCH('Model Inputs &amp; Assumptions'!$L$34,'Model Inputs &amp; Assumptions'!$A$40:$A$42,0))</f>
        <v>5916.69059277607</v>
      </c>
      <c r="L3229" s="51" t="n">
        <f aca="false">IFERROR(K3229/I3229,0)</f>
        <v>1.01918774099118</v>
      </c>
      <c r="M3229" s="49" t="n">
        <f aca="false">IFERROR(I3229/H3229,0)</f>
        <v>155.77110439496</v>
      </c>
      <c r="N3229" s="52" t="str">
        <f aca="false">'Model Inputs &amp; Assumptions'!$L$34</f>
        <v>PRD-USIQ</v>
      </c>
      <c r="P3229" s="53" t="n">
        <v>-0.456517</v>
      </c>
      <c r="Q3229" s="53" t="n">
        <v>-1.036797</v>
      </c>
      <c r="R3229" s="53" t="n">
        <v>0.739904</v>
      </c>
      <c r="S3229" s="53" t="n">
        <v>-1.806265</v>
      </c>
    </row>
    <row r="3230" customFormat="false" ht="15" hidden="false" customHeight="false" outlineLevel="0" collapsed="false">
      <c r="A3230" s="43" t="n">
        <v>227</v>
      </c>
      <c r="B3230" s="44" t="str">
        <f aca="false">'Model Inputs &amp; Assumptions'!$B$34</f>
        <v>Meta — Lookalike Feed Video</v>
      </c>
      <c r="C3230" s="45" t="n">
        <f aca="false">ROUND(MAX(0,'Model Inputs &amp; Assumptions'!$S$34*EXP('Model Inputs &amp; Assumptions'!$T$34*P3230-'Model Inputs &amp; Assumptions'!$T$34^2/2)),0)</f>
        <v>548642</v>
      </c>
      <c r="D3230" s="46" t="n">
        <f aca="false">MIN(1,'Model Inputs &amp; Assumptions'!$U$34*EXP('Model Inputs &amp; Assumptions'!$V$34*Q3230-'Model Inputs &amp; Assumptions'!$V$34^2/2))</f>
        <v>0.205627777478615</v>
      </c>
      <c r="E3230" s="45" t="n">
        <f aca="false">ROUND(C3230*D3230,0)</f>
        <v>112816</v>
      </c>
      <c r="F3230" s="47" t="n">
        <f aca="false">MIN(1,'Model Inputs &amp; Assumptions'!$W$34*EXP('Model Inputs &amp; Assumptions'!$X$34*R3230-'Model Inputs &amp; Assumptions'!$X$34^2/2))</f>
        <v>0.00482792017447301</v>
      </c>
      <c r="G3230" s="45" t="n">
        <f aca="false">ROUND(C3230*F3230,0)</f>
        <v>2649</v>
      </c>
      <c r="H3230" s="48" t="n">
        <f aca="false">MAX(0,(C3230*'Model Inputs &amp; Assumptions'!$N$34+E3230*'Model Inputs &amp; Assumptions'!$O$34+G3230*'Model Inputs &amp; Assumptions'!$P$34)*EXP('Model Inputs &amp; Assumptions'!$Q$34*S3230-'Model Inputs &amp; Assumptions'!$Q$34^2/2))</f>
        <v>51.939489768607</v>
      </c>
      <c r="I3230" s="49" t="n">
        <f aca="false">IF('Model Inputs &amp; Assumptions'!$H$34="Fixed",'Model Inputs &amp; Assumptions'!$I$34*'Model Inputs &amp; Assumptions'!$K$34,IF('Model Inputs &amp; Assumptions'!$H$34="CPM",'Model Inputs &amp; Assumptions'!$I$34*'Model Inputs &amp; Assumptions'!$K$34*C3230/1000,IF('Model Inputs &amp; Assumptions'!$H$34="CPC",'Model Inputs &amp; Assumptions'!$I$34*'Model Inputs &amp; Assumptions'!$K$34*G3230,0)))</f>
        <v>4900.65</v>
      </c>
      <c r="J3230" s="50" t="n">
        <f aca="false">H3230*INDEX('Model Inputs &amp; Assumptions'!$D$40:$D$42,MATCH('Model Inputs &amp; Assumptions'!$L$34,'Model Inputs &amp; Assumptions'!$A$40:$A$42,0))*INDEX('Model Inputs &amp; Assumptions'!$H$40:$H$42,MATCH('Model Inputs &amp; Assumptions'!$L$34,'Model Inputs &amp; Assumptions'!$A$40:$A$42,0))</f>
        <v>373964.32633397</v>
      </c>
      <c r="K3230" s="49" t="n">
        <f aca="false">H3230*INDEX('Model Inputs &amp; Assumptions'!$G$40:$G$42,MATCH('Model Inputs &amp; Assumptions'!$L$34,'Model Inputs &amp; Assumptions'!$A$40:$A$42,0))*INDEX('Model Inputs &amp; Assumptions'!$H$40:$H$42,MATCH('Model Inputs &amp; Assumptions'!$L$34,'Model Inputs &amp; Assumptions'!$A$40:$A$42,0))</f>
        <v>8245.91339566405</v>
      </c>
      <c r="L3230" s="51" t="n">
        <f aca="false">IFERROR(K3230/I3230,0)</f>
        <v>1.68261626430454</v>
      </c>
      <c r="M3230" s="49" t="n">
        <f aca="false">IFERROR(I3230/H3230,0)</f>
        <v>94.353063956397</v>
      </c>
      <c r="N3230" s="52" t="str">
        <f aca="false">'Model Inputs &amp; Assumptions'!$L$34</f>
        <v>PRD-USIQ</v>
      </c>
      <c r="P3230" s="53" t="n">
        <v>0.36809</v>
      </c>
      <c r="Q3230" s="53" t="n">
        <v>-0.620073</v>
      </c>
      <c r="R3230" s="53" t="n">
        <v>-1.117465</v>
      </c>
      <c r="S3230" s="53" t="n">
        <v>-0.393563</v>
      </c>
    </row>
    <row r="3231" customFormat="false" ht="15" hidden="false" customHeight="false" outlineLevel="0" collapsed="false">
      <c r="A3231" s="43" t="n">
        <v>228</v>
      </c>
      <c r="B3231" s="44" t="str">
        <f aca="false">'Model Inputs &amp; Assumptions'!$B$34</f>
        <v>Meta — Lookalike Feed Video</v>
      </c>
      <c r="C3231" s="45" t="n">
        <f aca="false">ROUND(MAX(0,'Model Inputs &amp; Assumptions'!$S$34*EXP('Model Inputs &amp; Assumptions'!$T$34*P3231-'Model Inputs &amp; Assumptions'!$T$34^2/2)),0)</f>
        <v>470020</v>
      </c>
      <c r="D3231" s="46" t="n">
        <f aca="false">MIN(1,'Model Inputs &amp; Assumptions'!$U$34*EXP('Model Inputs &amp; Assumptions'!$V$34*Q3231-'Model Inputs &amp; Assumptions'!$V$34^2/2))</f>
        <v>0.187253888572344</v>
      </c>
      <c r="E3231" s="45" t="n">
        <f aca="false">ROUND(C3231*D3231,0)</f>
        <v>88013</v>
      </c>
      <c r="F3231" s="47" t="n">
        <f aca="false">MIN(1,'Model Inputs &amp; Assumptions'!$W$34*EXP('Model Inputs &amp; Assumptions'!$X$34*R3231-'Model Inputs &amp; Assumptions'!$X$34^2/2))</f>
        <v>0.00764878559303185</v>
      </c>
      <c r="G3231" s="45" t="n">
        <f aca="false">ROUND(C3231*F3231,0)</f>
        <v>3595</v>
      </c>
      <c r="H3231" s="48" t="n">
        <f aca="false">MAX(0,(C3231*'Model Inputs &amp; Assumptions'!$N$34+E3231*'Model Inputs &amp; Assumptions'!$O$34+G3231*'Model Inputs &amp; Assumptions'!$P$34)*EXP('Model Inputs &amp; Assumptions'!$Q$34*S3231-'Model Inputs &amp; Assumptions'!$Q$34^2/2))</f>
        <v>132.273211114505</v>
      </c>
      <c r="I3231" s="49" t="n">
        <f aca="false">IF('Model Inputs &amp; Assumptions'!$H$34="Fixed",'Model Inputs &amp; Assumptions'!$I$34*'Model Inputs &amp; Assumptions'!$K$34,IF('Model Inputs &amp; Assumptions'!$H$34="CPM",'Model Inputs &amp; Assumptions'!$I$34*'Model Inputs &amp; Assumptions'!$K$34*C3231/1000,IF('Model Inputs &amp; Assumptions'!$H$34="CPC",'Model Inputs &amp; Assumptions'!$I$34*'Model Inputs &amp; Assumptions'!$K$34*G3231,0)))</f>
        <v>6650.75</v>
      </c>
      <c r="J3231" s="50" t="n">
        <f aca="false">H3231*INDEX('Model Inputs &amp; Assumptions'!$D$40:$D$42,MATCH('Model Inputs &amp; Assumptions'!$L$34,'Model Inputs &amp; Assumptions'!$A$40:$A$42,0))*INDEX('Model Inputs &amp; Assumptions'!$H$40:$H$42,MATCH('Model Inputs &amp; Assumptions'!$L$34,'Model Inputs &amp; Assumptions'!$A$40:$A$42,0))</f>
        <v>952367.120024433</v>
      </c>
      <c r="K3231" s="49" t="n">
        <f aca="false">H3231*INDEX('Model Inputs &amp; Assumptions'!$G$40:$G$42,MATCH('Model Inputs &amp; Assumptions'!$L$34,'Model Inputs &amp; Assumptions'!$A$40:$A$42,0))*INDEX('Model Inputs &amp; Assumptions'!$H$40:$H$42,MATCH('Model Inputs &amp; Assumptions'!$L$34,'Model Inputs &amp; Assumptions'!$A$40:$A$42,0))</f>
        <v>20999.6949965388</v>
      </c>
      <c r="L3231" s="51" t="n">
        <f aca="false">IFERROR(K3231/I3231,0)</f>
        <v>3.15749276345356</v>
      </c>
      <c r="M3231" s="49" t="n">
        <f aca="false">IFERROR(I3231/H3231,0)</f>
        <v>50.2804002712436</v>
      </c>
      <c r="N3231" s="52" t="str">
        <f aca="false">'Model Inputs &amp; Assumptions'!$L$34</f>
        <v>PRD-USIQ</v>
      </c>
      <c r="P3231" s="53" t="n">
        <v>-0.405266</v>
      </c>
      <c r="Q3231" s="53" t="n">
        <v>-1.205087</v>
      </c>
      <c r="R3231" s="53" t="n">
        <v>1.438819</v>
      </c>
      <c r="S3231" s="53" t="n">
        <v>1.773026</v>
      </c>
    </row>
    <row r="3232" customFormat="false" ht="15" hidden="false" customHeight="false" outlineLevel="0" collapsed="false">
      <c r="A3232" s="43" t="n">
        <v>229</v>
      </c>
      <c r="B3232" s="44" t="str">
        <f aca="false">'Model Inputs &amp; Assumptions'!$B$34</f>
        <v>Meta — Lookalike Feed Video</v>
      </c>
      <c r="C3232" s="45" t="n">
        <f aca="false">ROUND(MAX(0,'Model Inputs &amp; Assumptions'!$S$34*EXP('Model Inputs &amp; Assumptions'!$T$34*P3232-'Model Inputs &amp; Assumptions'!$T$34^2/2)),0)</f>
        <v>518328</v>
      </c>
      <c r="D3232" s="46" t="n">
        <f aca="false">MIN(1,'Model Inputs &amp; Assumptions'!$U$34*EXP('Model Inputs &amp; Assumptions'!$V$34*Q3232-'Model Inputs &amp; Assumptions'!$V$34^2/2))</f>
        <v>0.247653954974578</v>
      </c>
      <c r="E3232" s="45" t="n">
        <f aca="false">ROUND(C3232*D3232,0)</f>
        <v>128366</v>
      </c>
      <c r="F3232" s="47" t="n">
        <f aca="false">MIN(1,'Model Inputs &amp; Assumptions'!$W$34*EXP('Model Inputs &amp; Assumptions'!$X$34*R3232-'Model Inputs &amp; Assumptions'!$X$34^2/2))</f>
        <v>0.00457991422245025</v>
      </c>
      <c r="G3232" s="45" t="n">
        <f aca="false">ROUND(C3232*F3232,0)</f>
        <v>2374</v>
      </c>
      <c r="H3232" s="48" t="n">
        <f aca="false">MAX(0,(C3232*'Model Inputs &amp; Assumptions'!$N$34+E3232*'Model Inputs &amp; Assumptions'!$O$34+G3232*'Model Inputs &amp; Assumptions'!$P$34)*EXP('Model Inputs &amp; Assumptions'!$Q$34*S3232-'Model Inputs &amp; Assumptions'!$Q$34^2/2))</f>
        <v>45.318109544268</v>
      </c>
      <c r="I3232" s="49" t="n">
        <f aca="false">IF('Model Inputs &amp; Assumptions'!$H$34="Fixed",'Model Inputs &amp; Assumptions'!$I$34*'Model Inputs &amp; Assumptions'!$K$34,IF('Model Inputs &amp; Assumptions'!$H$34="CPM",'Model Inputs &amp; Assumptions'!$I$34*'Model Inputs &amp; Assumptions'!$K$34*C3232/1000,IF('Model Inputs &amp; Assumptions'!$H$34="CPC",'Model Inputs &amp; Assumptions'!$I$34*'Model Inputs &amp; Assumptions'!$K$34*G3232,0)))</f>
        <v>4391.9</v>
      </c>
      <c r="J3232" s="50" t="n">
        <f aca="false">H3232*INDEX('Model Inputs &amp; Assumptions'!$D$40:$D$42,MATCH('Model Inputs &amp; Assumptions'!$L$34,'Model Inputs &amp; Assumptions'!$A$40:$A$42,0))*INDEX('Model Inputs &amp; Assumptions'!$H$40:$H$42,MATCH('Model Inputs &amp; Assumptions'!$L$34,'Model Inputs &amp; Assumptions'!$A$40:$A$42,0))</f>
        <v>326290.38871873</v>
      </c>
      <c r="K3232" s="49" t="n">
        <f aca="false">H3232*INDEX('Model Inputs &amp; Assumptions'!$G$40:$G$42,MATCH('Model Inputs &amp; Assumptions'!$L$34,'Model Inputs &amp; Assumptions'!$A$40:$A$42,0))*INDEX('Model Inputs &amp; Assumptions'!$H$40:$H$42,MATCH('Model Inputs &amp; Assumptions'!$L$34,'Model Inputs &amp; Assumptions'!$A$40:$A$42,0))</f>
        <v>7194.70307124799</v>
      </c>
      <c r="L3232" s="51" t="n">
        <f aca="false">IFERROR(K3232/I3232,0)</f>
        <v>1.63817552112935</v>
      </c>
      <c r="M3232" s="49" t="n">
        <f aca="false">IFERROR(I3232/H3232,0)</f>
        <v>96.912692170221</v>
      </c>
      <c r="N3232" s="52" t="str">
        <f aca="false">'Model Inputs &amp; Assumptions'!$L$34</f>
        <v>PRD-USIQ</v>
      </c>
      <c r="P3232" s="53" t="n">
        <v>0.083894</v>
      </c>
      <c r="Q3232" s="53" t="n">
        <v>0.542207</v>
      </c>
      <c r="R3232" s="53" t="n">
        <v>-1.41044</v>
      </c>
      <c r="S3232" s="53" t="n">
        <v>-0.597513</v>
      </c>
    </row>
    <row r="3233" customFormat="false" ht="15" hidden="false" customHeight="false" outlineLevel="0" collapsed="false">
      <c r="A3233" s="43" t="n">
        <v>230</v>
      </c>
      <c r="B3233" s="44" t="str">
        <f aca="false">'Model Inputs &amp; Assumptions'!$B$34</f>
        <v>Meta — Lookalike Feed Video</v>
      </c>
      <c r="C3233" s="45" t="n">
        <f aca="false">ROUND(MAX(0,'Model Inputs &amp; Assumptions'!$S$34*EXP('Model Inputs &amp; Assumptions'!$T$34*P3233-'Model Inputs &amp; Assumptions'!$T$34^2/2)),0)</f>
        <v>578390</v>
      </c>
      <c r="D3233" s="46" t="n">
        <f aca="false">MIN(1,'Model Inputs &amp; Assumptions'!$U$34*EXP('Model Inputs &amp; Assumptions'!$V$34*Q3233-'Model Inputs &amp; Assumptions'!$V$34^2/2))</f>
        <v>0.170931215821725</v>
      </c>
      <c r="E3233" s="45" t="n">
        <f aca="false">ROUND(C3233*D3233,0)</f>
        <v>98865</v>
      </c>
      <c r="F3233" s="47" t="n">
        <f aca="false">MIN(1,'Model Inputs &amp; Assumptions'!$W$34*EXP('Model Inputs &amp; Assumptions'!$X$34*R3233-'Model Inputs &amp; Assumptions'!$X$34^2/2))</f>
        <v>0.00641086642322483</v>
      </c>
      <c r="G3233" s="45" t="n">
        <f aca="false">ROUND(C3233*F3233,0)</f>
        <v>3708</v>
      </c>
      <c r="H3233" s="48" t="n">
        <f aca="false">MAX(0,(C3233*'Model Inputs &amp; Assumptions'!$N$34+E3233*'Model Inputs &amp; Assumptions'!$O$34+G3233*'Model Inputs &amp; Assumptions'!$P$34)*EXP('Model Inputs &amp; Assumptions'!$Q$34*S3233-'Model Inputs &amp; Assumptions'!$Q$34^2/2))</f>
        <v>87.1056294513743</v>
      </c>
      <c r="I3233" s="49" t="n">
        <f aca="false">IF('Model Inputs &amp; Assumptions'!$H$34="Fixed",'Model Inputs &amp; Assumptions'!$I$34*'Model Inputs &amp; Assumptions'!$K$34,IF('Model Inputs &amp; Assumptions'!$H$34="CPM",'Model Inputs &amp; Assumptions'!$I$34*'Model Inputs &amp; Assumptions'!$K$34*C3233/1000,IF('Model Inputs &amp; Assumptions'!$H$34="CPC",'Model Inputs &amp; Assumptions'!$I$34*'Model Inputs &amp; Assumptions'!$K$34*G3233,0)))</f>
        <v>6859.8</v>
      </c>
      <c r="J3233" s="50" t="n">
        <f aca="false">H3233*INDEX('Model Inputs &amp; Assumptions'!$D$40:$D$42,MATCH('Model Inputs &amp; Assumptions'!$L$34,'Model Inputs &amp; Assumptions'!$A$40:$A$42,0))*INDEX('Model Inputs &amp; Assumptions'!$H$40:$H$42,MATCH('Model Inputs &amp; Assumptions'!$L$34,'Model Inputs &amp; Assumptions'!$A$40:$A$42,0))</f>
        <v>627160.532049895</v>
      </c>
      <c r="K3233" s="49" t="n">
        <f aca="false">H3233*INDEX('Model Inputs &amp; Assumptions'!$G$40:$G$42,MATCH('Model Inputs &amp; Assumptions'!$L$34,'Model Inputs &amp; Assumptions'!$A$40:$A$42,0))*INDEX('Model Inputs &amp; Assumptions'!$H$40:$H$42,MATCH('Model Inputs &amp; Assumptions'!$L$34,'Model Inputs &amp; Assumptions'!$A$40:$A$42,0))</f>
        <v>13828.8897317002</v>
      </c>
      <c r="L3233" s="51" t="n">
        <f aca="false">IFERROR(K3233/I3233,0)</f>
        <v>2.01593191225694</v>
      </c>
      <c r="M3233" s="49" t="n">
        <f aca="false">IFERROR(I3233/H3233,0)</f>
        <v>78.7526597672933</v>
      </c>
      <c r="N3233" s="52" t="str">
        <f aca="false">'Model Inputs &amp; Assumptions'!$L$34</f>
        <v>PRD-USIQ</v>
      </c>
      <c r="P3233" s="53" t="n">
        <v>0.632094</v>
      </c>
      <c r="Q3233" s="53" t="n">
        <v>-1.775113</v>
      </c>
      <c r="R3233" s="53" t="n">
        <v>0.457972</v>
      </c>
      <c r="S3233" s="53" t="n">
        <v>0.346121</v>
      </c>
    </row>
    <row r="3234" customFormat="false" ht="15" hidden="false" customHeight="false" outlineLevel="0" collapsed="false">
      <c r="A3234" s="43" t="n">
        <v>231</v>
      </c>
      <c r="B3234" s="44" t="str">
        <f aca="false">'Model Inputs &amp; Assumptions'!$B$34</f>
        <v>Meta — Lookalike Feed Video</v>
      </c>
      <c r="C3234" s="45" t="n">
        <f aca="false">ROUND(MAX(0,'Model Inputs &amp; Assumptions'!$S$34*EXP('Model Inputs &amp; Assumptions'!$T$34*P3234-'Model Inputs &amp; Assumptions'!$T$34^2/2)),0)</f>
        <v>695449</v>
      </c>
      <c r="D3234" s="46" t="n">
        <f aca="false">MIN(1,'Model Inputs &amp; Assumptions'!$U$34*EXP('Model Inputs &amp; Assumptions'!$V$34*Q3234-'Model Inputs &amp; Assumptions'!$V$34^2/2))</f>
        <v>0.201873557597432</v>
      </c>
      <c r="E3234" s="45" t="n">
        <f aca="false">ROUND(C3234*D3234,0)</f>
        <v>140393</v>
      </c>
      <c r="F3234" s="47" t="n">
        <f aca="false">MIN(1,'Model Inputs &amp; Assumptions'!$W$34*EXP('Model Inputs &amp; Assumptions'!$X$34*R3234-'Model Inputs &amp; Assumptions'!$X$34^2/2))</f>
        <v>0.00550412146689825</v>
      </c>
      <c r="G3234" s="45" t="n">
        <f aca="false">ROUND(C3234*F3234,0)</f>
        <v>3828</v>
      </c>
      <c r="H3234" s="48" t="n">
        <f aca="false">MAX(0,(C3234*'Model Inputs &amp; Assumptions'!$N$34+E3234*'Model Inputs &amp; Assumptions'!$O$34+G3234*'Model Inputs &amp; Assumptions'!$P$34)*EXP('Model Inputs &amp; Assumptions'!$Q$34*S3234-'Model Inputs &amp; Assumptions'!$Q$34^2/2))</f>
        <v>78.9178060883153</v>
      </c>
      <c r="I3234" s="49" t="n">
        <f aca="false">IF('Model Inputs &amp; Assumptions'!$H$34="Fixed",'Model Inputs &amp; Assumptions'!$I$34*'Model Inputs &amp; Assumptions'!$K$34,IF('Model Inputs &amp; Assumptions'!$H$34="CPM",'Model Inputs &amp; Assumptions'!$I$34*'Model Inputs &amp; Assumptions'!$K$34*C3234/1000,IF('Model Inputs &amp; Assumptions'!$H$34="CPC",'Model Inputs &amp; Assumptions'!$I$34*'Model Inputs &amp; Assumptions'!$K$34*G3234,0)))</f>
        <v>7081.8</v>
      </c>
      <c r="J3234" s="50" t="n">
        <f aca="false">H3234*INDEX('Model Inputs &amp; Assumptions'!$D$40:$D$42,MATCH('Model Inputs &amp; Assumptions'!$L$34,'Model Inputs &amp; Assumptions'!$A$40:$A$42,0))*INDEX('Model Inputs &amp; Assumptions'!$H$40:$H$42,MATCH('Model Inputs &amp; Assumptions'!$L$34,'Model Inputs &amp; Assumptions'!$A$40:$A$42,0))</f>
        <v>568208.20383587</v>
      </c>
      <c r="K3234" s="49" t="n">
        <f aca="false">H3234*INDEX('Model Inputs &amp; Assumptions'!$G$40:$G$42,MATCH('Model Inputs &amp; Assumptions'!$L$34,'Model Inputs &amp; Assumptions'!$A$40:$A$42,0))*INDEX('Model Inputs &amp; Assumptions'!$H$40:$H$42,MATCH('Model Inputs &amp; Assumptions'!$L$34,'Model Inputs &amp; Assumptions'!$A$40:$A$42,0))</f>
        <v>12528.9908945809</v>
      </c>
      <c r="L3234" s="51" t="n">
        <f aca="false">IFERROR(K3234/I3234,0)</f>
        <v>1.76918169033027</v>
      </c>
      <c r="M3234" s="49" t="n">
        <f aca="false">IFERROR(I3234/H3234,0)</f>
        <v>89.7364023535437</v>
      </c>
      <c r="N3234" s="52" t="str">
        <f aca="false">'Model Inputs &amp; Assumptions'!$L$34</f>
        <v>PRD-USIQ</v>
      </c>
      <c r="P3234" s="53" t="n">
        <v>1.553641</v>
      </c>
      <c r="Q3234" s="53" t="n">
        <v>-0.735236</v>
      </c>
      <c r="R3234" s="53" t="n">
        <v>-0.389235</v>
      </c>
      <c r="S3234" s="53" t="n">
        <v>-0.172991</v>
      </c>
    </row>
    <row r="3235" customFormat="false" ht="15" hidden="false" customHeight="false" outlineLevel="0" collapsed="false">
      <c r="A3235" s="43" t="n">
        <v>232</v>
      </c>
      <c r="B3235" s="44" t="str">
        <f aca="false">'Model Inputs &amp; Assumptions'!$B$34</f>
        <v>Meta — Lookalike Feed Video</v>
      </c>
      <c r="C3235" s="45" t="n">
        <f aca="false">ROUND(MAX(0,'Model Inputs &amp; Assumptions'!$S$34*EXP('Model Inputs &amp; Assumptions'!$T$34*P3235-'Model Inputs &amp; Assumptions'!$T$34^2/2)),0)</f>
        <v>422081</v>
      </c>
      <c r="D3235" s="46" t="n">
        <f aca="false">MIN(1,'Model Inputs &amp; Assumptions'!$U$34*EXP('Model Inputs &amp; Assumptions'!$V$34*Q3235-'Model Inputs &amp; Assumptions'!$V$34^2/2))</f>
        <v>0.229696490033522</v>
      </c>
      <c r="E3235" s="45" t="n">
        <f aca="false">ROUND(C3235*D3235,0)</f>
        <v>96951</v>
      </c>
      <c r="F3235" s="47" t="n">
        <f aca="false">MIN(1,'Model Inputs &amp; Assumptions'!$W$34*EXP('Model Inputs &amp; Assumptions'!$X$34*R3235-'Model Inputs &amp; Assumptions'!$X$34^2/2))</f>
        <v>0.00467113026530085</v>
      </c>
      <c r="G3235" s="45" t="n">
        <f aca="false">ROUND(C3235*F3235,0)</f>
        <v>1972</v>
      </c>
      <c r="H3235" s="48" t="n">
        <f aca="false">MAX(0,(C3235*'Model Inputs &amp; Assumptions'!$N$34+E3235*'Model Inputs &amp; Assumptions'!$O$34+G3235*'Model Inputs &amp; Assumptions'!$P$34)*EXP('Model Inputs &amp; Assumptions'!$Q$34*S3235-'Model Inputs &amp; Assumptions'!$Q$34^2/2))</f>
        <v>64.8657324125038</v>
      </c>
      <c r="I3235" s="49" t="n">
        <f aca="false">IF('Model Inputs &amp; Assumptions'!$H$34="Fixed",'Model Inputs &amp; Assumptions'!$I$34*'Model Inputs &amp; Assumptions'!$K$34,IF('Model Inputs &amp; Assumptions'!$H$34="CPM",'Model Inputs &amp; Assumptions'!$I$34*'Model Inputs &amp; Assumptions'!$K$34*C3235/1000,IF('Model Inputs &amp; Assumptions'!$H$34="CPC",'Model Inputs &amp; Assumptions'!$I$34*'Model Inputs &amp; Assumptions'!$K$34*G3235,0)))</f>
        <v>3648.2</v>
      </c>
      <c r="J3235" s="50" t="n">
        <f aca="false">H3235*INDEX('Model Inputs &amp; Assumptions'!$D$40:$D$42,MATCH('Model Inputs &amp; Assumptions'!$L$34,'Model Inputs &amp; Assumptions'!$A$40:$A$42,0))*INDEX('Model Inputs &amp; Assumptions'!$H$40:$H$42,MATCH('Model Inputs &amp; Assumptions'!$L$34,'Model Inputs &amp; Assumptions'!$A$40:$A$42,0))</f>
        <v>467033.273370028</v>
      </c>
      <c r="K3235" s="49" t="n">
        <f aca="false">H3235*INDEX('Model Inputs &amp; Assumptions'!$G$40:$G$42,MATCH('Model Inputs &amp; Assumptions'!$L$34,'Model Inputs &amp; Assumptions'!$A$40:$A$42,0))*INDEX('Model Inputs &amp; Assumptions'!$H$40:$H$42,MATCH('Model Inputs &amp; Assumptions'!$L$34,'Model Inputs &amp; Assumptions'!$A$40:$A$42,0))</f>
        <v>10298.0836778091</v>
      </c>
      <c r="L3235" s="51" t="n">
        <f aca="false">IFERROR(K3235/I3235,0)</f>
        <v>2.82278484672143</v>
      </c>
      <c r="M3235" s="49" t="n">
        <f aca="false">IFERROR(I3235/H3235,0)</f>
        <v>56.2423311094342</v>
      </c>
      <c r="N3235" s="52" t="str">
        <f aca="false">'Model Inputs &amp; Assumptions'!$L$34</f>
        <v>PRD-USIQ</v>
      </c>
      <c r="P3235" s="53" t="n">
        <v>-0.943163</v>
      </c>
      <c r="Q3235" s="53" t="n">
        <v>0.071747</v>
      </c>
      <c r="R3235" s="53" t="n">
        <v>-1.30088</v>
      </c>
      <c r="S3235" s="53" t="n">
        <v>1.153777</v>
      </c>
    </row>
    <row r="3236" customFormat="false" ht="15" hidden="false" customHeight="false" outlineLevel="0" collapsed="false">
      <c r="A3236" s="43" t="n">
        <v>233</v>
      </c>
      <c r="B3236" s="44" t="str">
        <f aca="false">'Model Inputs &amp; Assumptions'!$B$34</f>
        <v>Meta — Lookalike Feed Video</v>
      </c>
      <c r="C3236" s="45" t="n">
        <f aca="false">ROUND(MAX(0,'Model Inputs &amp; Assumptions'!$S$34*EXP('Model Inputs &amp; Assumptions'!$T$34*P3236-'Model Inputs &amp; Assumptions'!$T$34^2/2)),0)</f>
        <v>640648</v>
      </c>
      <c r="D3236" s="46" t="n">
        <f aca="false">MIN(1,'Model Inputs &amp; Assumptions'!$U$34*EXP('Model Inputs &amp; Assumptions'!$V$34*Q3236-'Model Inputs &amp; Assumptions'!$V$34^2/2))</f>
        <v>0.264687156985556</v>
      </c>
      <c r="E3236" s="45" t="n">
        <f aca="false">ROUND(C3236*D3236,0)</f>
        <v>169571</v>
      </c>
      <c r="F3236" s="47" t="n">
        <f aca="false">MIN(1,'Model Inputs &amp; Assumptions'!$W$34*EXP('Model Inputs &amp; Assumptions'!$X$34*R3236-'Model Inputs &amp; Assumptions'!$X$34^2/2))</f>
        <v>0.00587751991180453</v>
      </c>
      <c r="G3236" s="45" t="n">
        <f aca="false">ROUND(C3236*F3236,0)</f>
        <v>3765</v>
      </c>
      <c r="H3236" s="48" t="n">
        <f aca="false">MAX(0,(C3236*'Model Inputs &amp; Assumptions'!$N$34+E3236*'Model Inputs &amp; Assumptions'!$O$34+G3236*'Model Inputs &amp; Assumptions'!$P$34)*EXP('Model Inputs &amp; Assumptions'!$Q$34*S3236-'Model Inputs &amp; Assumptions'!$Q$34^2/2))</f>
        <v>89.0427343955535</v>
      </c>
      <c r="I3236" s="49" t="n">
        <f aca="false">IF('Model Inputs &amp; Assumptions'!$H$34="Fixed",'Model Inputs &amp; Assumptions'!$I$34*'Model Inputs &amp; Assumptions'!$K$34,IF('Model Inputs &amp; Assumptions'!$H$34="CPM",'Model Inputs &amp; Assumptions'!$I$34*'Model Inputs &amp; Assumptions'!$K$34*C3236/1000,IF('Model Inputs &amp; Assumptions'!$H$34="CPC",'Model Inputs &amp; Assumptions'!$I$34*'Model Inputs &amp; Assumptions'!$K$34*G3236,0)))</f>
        <v>6965.25</v>
      </c>
      <c r="J3236" s="50" t="n">
        <f aca="false">H3236*INDEX('Model Inputs &amp; Assumptions'!$D$40:$D$42,MATCH('Model Inputs &amp; Assumptions'!$L$34,'Model Inputs &amp; Assumptions'!$A$40:$A$42,0))*INDEX('Model Inputs &amp; Assumptions'!$H$40:$H$42,MATCH('Model Inputs &amp; Assumptions'!$L$34,'Model Inputs &amp; Assumptions'!$A$40:$A$42,0))</f>
        <v>641107.687647986</v>
      </c>
      <c r="K3236" s="49" t="n">
        <f aca="false">H3236*INDEX('Model Inputs &amp; Assumptions'!$G$40:$G$42,MATCH('Model Inputs &amp; Assumptions'!$L$34,'Model Inputs &amp; Assumptions'!$A$40:$A$42,0))*INDEX('Model Inputs &amp; Assumptions'!$H$40:$H$42,MATCH('Model Inputs &amp; Assumptions'!$L$34,'Model Inputs &amp; Assumptions'!$A$40:$A$42,0))</f>
        <v>14136.4245126381</v>
      </c>
      <c r="L3236" s="51" t="n">
        <f aca="false">IFERROR(K3236/I3236,0)</f>
        <v>2.02956455441486</v>
      </c>
      <c r="M3236" s="49" t="n">
        <f aca="false">IFERROR(I3236/H3236,0)</f>
        <v>78.223675938099</v>
      </c>
      <c r="N3236" s="52" t="str">
        <f aca="false">'Model Inputs &amp; Assumptions'!$L$34</f>
        <v>PRD-USIQ</v>
      </c>
      <c r="P3236" s="53" t="n">
        <v>1.143257</v>
      </c>
      <c r="Q3236" s="53" t="n">
        <v>0.957933</v>
      </c>
      <c r="R3236" s="53" t="n">
        <v>-0.024581</v>
      </c>
      <c r="S3236" s="53" t="n">
        <v>0.16622</v>
      </c>
    </row>
    <row r="3237" customFormat="false" ht="15" hidden="false" customHeight="false" outlineLevel="0" collapsed="false">
      <c r="A3237" s="43" t="n">
        <v>234</v>
      </c>
      <c r="B3237" s="44" t="str">
        <f aca="false">'Model Inputs &amp; Assumptions'!$B$34</f>
        <v>Meta — Lookalike Feed Video</v>
      </c>
      <c r="C3237" s="45" t="n">
        <f aca="false">ROUND(MAX(0,'Model Inputs &amp; Assumptions'!$S$34*EXP('Model Inputs &amp; Assumptions'!$T$34*P3237-'Model Inputs &amp; Assumptions'!$T$34^2/2)),0)</f>
        <v>504977</v>
      </c>
      <c r="D3237" s="46" t="n">
        <f aca="false">MIN(1,'Model Inputs &amp; Assumptions'!$U$34*EXP('Model Inputs &amp; Assumptions'!$V$34*Q3237-'Model Inputs &amp; Assumptions'!$V$34^2/2))</f>
        <v>0.172842993244748</v>
      </c>
      <c r="E3237" s="45" t="n">
        <f aca="false">ROUND(C3237*D3237,0)</f>
        <v>87282</v>
      </c>
      <c r="F3237" s="47" t="n">
        <f aca="false">MIN(1,'Model Inputs &amp; Assumptions'!$W$34*EXP('Model Inputs &amp; Assumptions'!$X$34*R3237-'Model Inputs &amp; Assumptions'!$X$34^2/2))</f>
        <v>0.00503952367771932</v>
      </c>
      <c r="G3237" s="45" t="n">
        <f aca="false">ROUND(C3237*F3237,0)</f>
        <v>2545</v>
      </c>
      <c r="H3237" s="48" t="n">
        <f aca="false">MAX(0,(C3237*'Model Inputs &amp; Assumptions'!$N$34+E3237*'Model Inputs &amp; Assumptions'!$O$34+G3237*'Model Inputs &amp; Assumptions'!$P$34)*EXP('Model Inputs &amp; Assumptions'!$Q$34*S3237-'Model Inputs &amp; Assumptions'!$Q$34^2/2))</f>
        <v>59.9530676451588</v>
      </c>
      <c r="I3237" s="49" t="n">
        <f aca="false">IF('Model Inputs &amp; Assumptions'!$H$34="Fixed",'Model Inputs &amp; Assumptions'!$I$34*'Model Inputs &amp; Assumptions'!$K$34,IF('Model Inputs &amp; Assumptions'!$H$34="CPM",'Model Inputs &amp; Assumptions'!$I$34*'Model Inputs &amp; Assumptions'!$K$34*C3237/1000,IF('Model Inputs &amp; Assumptions'!$H$34="CPC",'Model Inputs &amp; Assumptions'!$I$34*'Model Inputs &amp; Assumptions'!$K$34*G3237,0)))</f>
        <v>4708.25</v>
      </c>
      <c r="J3237" s="50" t="n">
        <f aca="false">H3237*INDEX('Model Inputs &amp; Assumptions'!$D$40:$D$42,MATCH('Model Inputs &amp; Assumptions'!$L$34,'Model Inputs &amp; Assumptions'!$A$40:$A$42,0))*INDEX('Model Inputs &amp; Assumptions'!$H$40:$H$42,MATCH('Model Inputs &amp; Assumptions'!$L$34,'Model Inputs &amp; Assumptions'!$A$40:$A$42,0))</f>
        <v>431662.087045143</v>
      </c>
      <c r="K3237" s="49" t="n">
        <f aca="false">H3237*INDEX('Model Inputs &amp; Assumptions'!$G$40:$G$42,MATCH('Model Inputs &amp; Assumptions'!$L$34,'Model Inputs &amp; Assumptions'!$A$40:$A$42,0))*INDEX('Model Inputs &amp; Assumptions'!$H$40:$H$42,MATCH('Model Inputs &amp; Assumptions'!$L$34,'Model Inputs &amp; Assumptions'!$A$40:$A$42,0))</f>
        <v>9518.14901934541</v>
      </c>
      <c r="L3237" s="51" t="n">
        <f aca="false">IFERROR(K3237/I3237,0)</f>
        <v>2.02158955436636</v>
      </c>
      <c r="M3237" s="49" t="n">
        <f aca="false">IFERROR(I3237/H3237,0)</f>
        <v>78.5322617329022</v>
      </c>
      <c r="N3237" s="52" t="str">
        <f aca="false">'Model Inputs &amp; Assumptions'!$L$34</f>
        <v>PRD-USIQ</v>
      </c>
      <c r="P3237" s="53" t="n">
        <v>-0.046582</v>
      </c>
      <c r="Q3237" s="53" t="n">
        <v>-1.705598</v>
      </c>
      <c r="R3237" s="53" t="n">
        <v>-0.879155</v>
      </c>
      <c r="S3237" s="53" t="n">
        <v>0.269831</v>
      </c>
    </row>
    <row r="3238" customFormat="false" ht="15" hidden="false" customHeight="false" outlineLevel="0" collapsed="false">
      <c r="A3238" s="43" t="n">
        <v>235</v>
      </c>
      <c r="B3238" s="44" t="str">
        <f aca="false">'Model Inputs &amp; Assumptions'!$B$34</f>
        <v>Meta — Lookalike Feed Video</v>
      </c>
      <c r="C3238" s="45" t="n">
        <f aca="false">ROUND(MAX(0,'Model Inputs &amp; Assumptions'!$S$34*EXP('Model Inputs &amp; Assumptions'!$T$34*P3238-'Model Inputs &amp; Assumptions'!$T$34^2/2)),0)</f>
        <v>501076</v>
      </c>
      <c r="D3238" s="46" t="n">
        <f aca="false">MIN(1,'Model Inputs &amp; Assumptions'!$U$34*EXP('Model Inputs &amp; Assumptions'!$V$34*Q3238-'Model Inputs &amp; Assumptions'!$V$34^2/2))</f>
        <v>0.214312071096835</v>
      </c>
      <c r="E3238" s="45" t="n">
        <f aca="false">ROUND(C3238*D3238,0)</f>
        <v>107387</v>
      </c>
      <c r="F3238" s="47" t="n">
        <f aca="false">MIN(1,'Model Inputs &amp; Assumptions'!$W$34*EXP('Model Inputs &amp; Assumptions'!$X$34*R3238-'Model Inputs &amp; Assumptions'!$X$34^2/2))</f>
        <v>0.00595019522074212</v>
      </c>
      <c r="G3238" s="45" t="n">
        <f aca="false">ROUND(C3238*F3238,0)</f>
        <v>2982</v>
      </c>
      <c r="H3238" s="48" t="n">
        <f aca="false">MAX(0,(C3238*'Model Inputs &amp; Assumptions'!$N$34+E3238*'Model Inputs &amp; Assumptions'!$O$34+G3238*'Model Inputs &amp; Assumptions'!$P$34)*EXP('Model Inputs &amp; Assumptions'!$Q$34*S3238-'Model Inputs &amp; Assumptions'!$Q$34^2/2))</f>
        <v>64.8776313379145</v>
      </c>
      <c r="I3238" s="49" t="n">
        <f aca="false">IF('Model Inputs &amp; Assumptions'!$H$34="Fixed",'Model Inputs &amp; Assumptions'!$I$34*'Model Inputs &amp; Assumptions'!$K$34,IF('Model Inputs &amp; Assumptions'!$H$34="CPM",'Model Inputs &amp; Assumptions'!$I$34*'Model Inputs &amp; Assumptions'!$K$34*C3238/1000,IF('Model Inputs &amp; Assumptions'!$H$34="CPC",'Model Inputs &amp; Assumptions'!$I$34*'Model Inputs &amp; Assumptions'!$K$34*G3238,0)))</f>
        <v>5516.7</v>
      </c>
      <c r="J3238" s="50" t="n">
        <f aca="false">H3238*INDEX('Model Inputs &amp; Assumptions'!$D$40:$D$42,MATCH('Model Inputs &amp; Assumptions'!$L$34,'Model Inputs &amp; Assumptions'!$A$40:$A$42,0))*INDEX('Model Inputs &amp; Assumptions'!$H$40:$H$42,MATCH('Model Inputs &amp; Assumptions'!$L$34,'Model Inputs &amp; Assumptions'!$A$40:$A$42,0))</f>
        <v>467118.945632984</v>
      </c>
      <c r="K3238" s="49" t="n">
        <f aca="false">H3238*INDEX('Model Inputs &amp; Assumptions'!$G$40:$G$42,MATCH('Model Inputs &amp; Assumptions'!$L$34,'Model Inputs &amp; Assumptions'!$A$40:$A$42,0))*INDEX('Model Inputs &amp; Assumptions'!$H$40:$H$42,MATCH('Model Inputs &amp; Assumptions'!$L$34,'Model Inputs &amp; Assumptions'!$A$40:$A$42,0))</f>
        <v>10299.9727512073</v>
      </c>
      <c r="L3238" s="51" t="n">
        <f aca="false">IFERROR(K3238/I3238,0)</f>
        <v>1.86705326575803</v>
      </c>
      <c r="M3238" s="49" t="n">
        <f aca="false">IFERROR(I3238/H3238,0)</f>
        <v>85.0323892262084</v>
      </c>
      <c r="N3238" s="52" t="str">
        <f aca="false">'Model Inputs &amp; Assumptions'!$L$34</f>
        <v>PRD-USIQ</v>
      </c>
      <c r="P3238" s="53" t="n">
        <v>-0.085352</v>
      </c>
      <c r="Q3238" s="53" t="n">
        <v>-0.361538</v>
      </c>
      <c r="R3238" s="53" t="n">
        <v>0.043692</v>
      </c>
      <c r="S3238" s="53" t="n">
        <v>0.002514</v>
      </c>
    </row>
    <row r="3239" customFormat="false" ht="15" hidden="false" customHeight="false" outlineLevel="0" collapsed="false">
      <c r="A3239" s="43" t="n">
        <v>236</v>
      </c>
      <c r="B3239" s="44" t="str">
        <f aca="false">'Model Inputs &amp; Assumptions'!$B$34</f>
        <v>Meta — Lookalike Feed Video</v>
      </c>
      <c r="C3239" s="45" t="n">
        <f aca="false">ROUND(MAX(0,'Model Inputs &amp; Assumptions'!$S$34*EXP('Model Inputs &amp; Assumptions'!$T$34*P3239-'Model Inputs &amp; Assumptions'!$T$34^2/2)),0)</f>
        <v>376894</v>
      </c>
      <c r="D3239" s="46" t="n">
        <f aca="false">MIN(1,'Model Inputs &amp; Assumptions'!$U$34*EXP('Model Inputs &amp; Assumptions'!$V$34*Q3239-'Model Inputs &amp; Assumptions'!$V$34^2/2))</f>
        <v>0.257398479738614</v>
      </c>
      <c r="E3239" s="45" t="n">
        <f aca="false">ROUND(C3239*D3239,0)</f>
        <v>97012</v>
      </c>
      <c r="F3239" s="47" t="n">
        <f aca="false">MIN(1,'Model Inputs &amp; Assumptions'!$W$34*EXP('Model Inputs &amp; Assumptions'!$X$34*R3239-'Model Inputs &amp; Assumptions'!$X$34^2/2))</f>
        <v>0.00796845904130212</v>
      </c>
      <c r="G3239" s="45" t="n">
        <f aca="false">ROUND(C3239*F3239,0)</f>
        <v>3003</v>
      </c>
      <c r="H3239" s="48" t="n">
        <f aca="false">MAX(0,(C3239*'Model Inputs &amp; Assumptions'!$N$34+E3239*'Model Inputs &amp; Assumptions'!$O$34+G3239*'Model Inputs &amp; Assumptions'!$P$34)*EXP('Model Inputs &amp; Assumptions'!$Q$34*S3239-'Model Inputs &amp; Assumptions'!$Q$34^2/2))</f>
        <v>75.4203680417179</v>
      </c>
      <c r="I3239" s="49" t="n">
        <f aca="false">IF('Model Inputs &amp; Assumptions'!$H$34="Fixed",'Model Inputs &amp; Assumptions'!$I$34*'Model Inputs &amp; Assumptions'!$K$34,IF('Model Inputs &amp; Assumptions'!$H$34="CPM",'Model Inputs &amp; Assumptions'!$I$34*'Model Inputs &amp; Assumptions'!$K$34*C3239/1000,IF('Model Inputs &amp; Assumptions'!$H$34="CPC",'Model Inputs &amp; Assumptions'!$I$34*'Model Inputs &amp; Assumptions'!$K$34*G3239,0)))</f>
        <v>5555.55</v>
      </c>
      <c r="J3239" s="50" t="n">
        <f aca="false">H3239*INDEX('Model Inputs &amp; Assumptions'!$D$40:$D$42,MATCH('Model Inputs &amp; Assumptions'!$L$34,'Model Inputs &amp; Assumptions'!$A$40:$A$42,0))*INDEX('Model Inputs &amp; Assumptions'!$H$40:$H$42,MATCH('Model Inputs &amp; Assumptions'!$L$34,'Model Inputs &amp; Assumptions'!$A$40:$A$42,0))</f>
        <v>543026.649900369</v>
      </c>
      <c r="K3239" s="49" t="n">
        <f aca="false">H3239*INDEX('Model Inputs &amp; Assumptions'!$G$40:$G$42,MATCH('Model Inputs &amp; Assumptions'!$L$34,'Model Inputs &amp; Assumptions'!$A$40:$A$42,0))*INDEX('Model Inputs &amp; Assumptions'!$H$40:$H$42,MATCH('Model Inputs &amp; Assumptions'!$L$34,'Model Inputs &amp; Assumptions'!$A$40:$A$42,0))</f>
        <v>11973.7376303031</v>
      </c>
      <c r="L3239" s="51" t="n">
        <f aca="false">IFERROR(K3239/I3239,0)</f>
        <v>2.15527492872949</v>
      </c>
      <c r="M3239" s="49" t="n">
        <f aca="false">IFERROR(I3239/H3239,0)</f>
        <v>73.6611361658566</v>
      </c>
      <c r="N3239" s="52" t="str">
        <f aca="false">'Model Inputs &amp; Assumptions'!$L$34</f>
        <v>PRD-USIQ</v>
      </c>
      <c r="P3239" s="53" t="n">
        <v>-1.509319</v>
      </c>
      <c r="Q3239" s="53" t="n">
        <v>0.783413</v>
      </c>
      <c r="R3239" s="53" t="n">
        <v>1.666287</v>
      </c>
      <c r="S3239" s="53" t="n">
        <v>0.491894</v>
      </c>
    </row>
    <row r="3240" customFormat="false" ht="15" hidden="false" customHeight="false" outlineLevel="0" collapsed="false">
      <c r="A3240" s="43" t="n">
        <v>237</v>
      </c>
      <c r="B3240" s="44" t="str">
        <f aca="false">'Model Inputs &amp; Assumptions'!$B$34</f>
        <v>Meta — Lookalike Feed Video</v>
      </c>
      <c r="C3240" s="45" t="n">
        <f aca="false">ROUND(MAX(0,'Model Inputs &amp; Assumptions'!$S$34*EXP('Model Inputs &amp; Assumptions'!$T$34*P3240-'Model Inputs &amp; Assumptions'!$T$34^2/2)),0)</f>
        <v>492637</v>
      </c>
      <c r="D3240" s="46" t="n">
        <f aca="false">MIN(1,'Model Inputs &amp; Assumptions'!$U$34*EXP('Model Inputs &amp; Assumptions'!$V$34*Q3240-'Model Inputs &amp; Assumptions'!$V$34^2/2))</f>
        <v>0.22035057238966</v>
      </c>
      <c r="E3240" s="45" t="n">
        <f aca="false">ROUND(C3240*D3240,0)</f>
        <v>108553</v>
      </c>
      <c r="F3240" s="47" t="n">
        <f aca="false">MIN(1,'Model Inputs &amp; Assumptions'!$W$34*EXP('Model Inputs &amp; Assumptions'!$X$34*R3240-'Model Inputs &amp; Assumptions'!$X$34^2/2))</f>
        <v>0.00599989308095265</v>
      </c>
      <c r="G3240" s="45" t="n">
        <f aca="false">ROUND(C3240*F3240,0)</f>
        <v>2956</v>
      </c>
      <c r="H3240" s="48" t="n">
        <f aca="false">MAX(0,(C3240*'Model Inputs &amp; Assumptions'!$N$34+E3240*'Model Inputs &amp; Assumptions'!$O$34+G3240*'Model Inputs &amp; Assumptions'!$P$34)*EXP('Model Inputs &amp; Assumptions'!$Q$34*S3240-'Model Inputs &amp; Assumptions'!$Q$34^2/2))</f>
        <v>58.656120726306</v>
      </c>
      <c r="I3240" s="49" t="n">
        <f aca="false">IF('Model Inputs &amp; Assumptions'!$H$34="Fixed",'Model Inputs &amp; Assumptions'!$I$34*'Model Inputs &amp; Assumptions'!$K$34,IF('Model Inputs &amp; Assumptions'!$H$34="CPM",'Model Inputs &amp; Assumptions'!$I$34*'Model Inputs &amp; Assumptions'!$K$34*C3240/1000,IF('Model Inputs &amp; Assumptions'!$H$34="CPC",'Model Inputs &amp; Assumptions'!$I$34*'Model Inputs &amp; Assumptions'!$K$34*G3240,0)))</f>
        <v>5468.6</v>
      </c>
      <c r="J3240" s="50" t="n">
        <f aca="false">H3240*INDEX('Model Inputs &amp; Assumptions'!$D$40:$D$42,MATCH('Model Inputs &amp; Assumptions'!$L$34,'Model Inputs &amp; Assumptions'!$A$40:$A$42,0))*INDEX('Model Inputs &amp; Assumptions'!$H$40:$H$42,MATCH('Model Inputs &amp; Assumptions'!$L$34,'Model Inputs &amp; Assumptions'!$A$40:$A$42,0))</f>
        <v>422324.069229403</v>
      </c>
      <c r="K3240" s="49" t="n">
        <f aca="false">H3240*INDEX('Model Inputs &amp; Assumptions'!$G$40:$G$42,MATCH('Model Inputs &amp; Assumptions'!$L$34,'Model Inputs &amp; Assumptions'!$A$40:$A$42,0))*INDEX('Model Inputs &amp; Assumptions'!$H$40:$H$42,MATCH('Model Inputs &amp; Assumptions'!$L$34,'Model Inputs &amp; Assumptions'!$A$40:$A$42,0))</f>
        <v>9312.24572650834</v>
      </c>
      <c r="L3240" s="51" t="n">
        <f aca="false">IFERROR(K3240/I3240,0)</f>
        <v>1.70285735407752</v>
      </c>
      <c r="M3240" s="49" t="n">
        <f aca="false">IFERROR(I3240/H3240,0)</f>
        <v>93.2315320598324</v>
      </c>
      <c r="N3240" s="52" t="str">
        <f aca="false">'Model Inputs &amp; Assumptions'!$L$34</f>
        <v>PRD-USIQ</v>
      </c>
      <c r="P3240" s="53" t="n">
        <v>-0.170278</v>
      </c>
      <c r="Q3240" s="53" t="n">
        <v>-0.187872</v>
      </c>
      <c r="R3240" s="53" t="n">
        <v>0.089901</v>
      </c>
      <c r="S3240" s="53" t="n">
        <v>-0.292915</v>
      </c>
    </row>
    <row r="3241" customFormat="false" ht="15" hidden="false" customHeight="false" outlineLevel="0" collapsed="false">
      <c r="A3241" s="43" t="n">
        <v>238</v>
      </c>
      <c r="B3241" s="44" t="str">
        <f aca="false">'Model Inputs &amp; Assumptions'!$B$34</f>
        <v>Meta — Lookalike Feed Video</v>
      </c>
      <c r="C3241" s="45" t="n">
        <f aca="false">ROUND(MAX(0,'Model Inputs &amp; Assumptions'!$S$34*EXP('Model Inputs &amp; Assumptions'!$T$34*P3241-'Model Inputs &amp; Assumptions'!$T$34^2/2)),0)</f>
        <v>582934</v>
      </c>
      <c r="D3241" s="46" t="n">
        <f aca="false">MIN(1,'Model Inputs &amp; Assumptions'!$U$34*EXP('Model Inputs &amp; Assumptions'!$V$34*Q3241-'Model Inputs &amp; Assumptions'!$V$34^2/2))</f>
        <v>0.244784685371234</v>
      </c>
      <c r="E3241" s="45" t="n">
        <f aca="false">ROUND(C3241*D3241,0)</f>
        <v>142693</v>
      </c>
      <c r="F3241" s="47" t="n">
        <f aca="false">MIN(1,'Model Inputs &amp; Assumptions'!$W$34*EXP('Model Inputs &amp; Assumptions'!$X$34*R3241-'Model Inputs &amp; Assumptions'!$X$34^2/2))</f>
        <v>0.00725626482282135</v>
      </c>
      <c r="G3241" s="45" t="n">
        <f aca="false">ROUND(C3241*F3241,0)</f>
        <v>4230</v>
      </c>
      <c r="H3241" s="48" t="n">
        <f aca="false">MAX(0,(C3241*'Model Inputs &amp; Assumptions'!$N$34+E3241*'Model Inputs &amp; Assumptions'!$O$34+G3241*'Model Inputs &amp; Assumptions'!$P$34)*EXP('Model Inputs &amp; Assumptions'!$Q$34*S3241-'Model Inputs &amp; Assumptions'!$Q$34^2/2))</f>
        <v>138.375423544394</v>
      </c>
      <c r="I3241" s="49" t="n">
        <f aca="false">IF('Model Inputs &amp; Assumptions'!$H$34="Fixed",'Model Inputs &amp; Assumptions'!$I$34*'Model Inputs &amp; Assumptions'!$K$34,IF('Model Inputs &amp; Assumptions'!$H$34="CPM",'Model Inputs &amp; Assumptions'!$I$34*'Model Inputs &amp; Assumptions'!$K$34*C3241/1000,IF('Model Inputs &amp; Assumptions'!$H$34="CPC",'Model Inputs &amp; Assumptions'!$I$34*'Model Inputs &amp; Assumptions'!$K$34*G3241,0)))</f>
        <v>7825.5</v>
      </c>
      <c r="J3241" s="50" t="n">
        <f aca="false">H3241*INDEX('Model Inputs &amp; Assumptions'!$D$40:$D$42,MATCH('Model Inputs &amp; Assumptions'!$L$34,'Model Inputs &amp; Assumptions'!$A$40:$A$42,0))*INDEX('Model Inputs &amp; Assumptions'!$H$40:$H$42,MATCH('Model Inputs &amp; Assumptions'!$L$34,'Model Inputs &amp; Assumptions'!$A$40:$A$42,0))</f>
        <v>996303.049519634</v>
      </c>
      <c r="K3241" s="49" t="n">
        <f aca="false">H3241*INDEX('Model Inputs &amp; Assumptions'!$G$40:$G$42,MATCH('Model Inputs &amp; Assumptions'!$L$34,'Model Inputs &amp; Assumptions'!$A$40:$A$42,0))*INDEX('Model Inputs &amp; Assumptions'!$H$40:$H$42,MATCH('Model Inputs &amp; Assumptions'!$L$34,'Model Inputs &amp; Assumptions'!$A$40:$A$42,0))</f>
        <v>21968.4822419079</v>
      </c>
      <c r="L3241" s="51" t="n">
        <f aca="false">IFERROR(K3241/I3241,0)</f>
        <v>2.80729438910075</v>
      </c>
      <c r="M3241" s="49" t="n">
        <f aca="false">IFERROR(I3241/H3241,0)</f>
        <v>56.5526724295043</v>
      </c>
      <c r="N3241" s="52" t="str">
        <f aca="false">'Model Inputs &amp; Assumptions'!$L$34</f>
        <v>PRD-USIQ</v>
      </c>
      <c r="P3241" s="53" t="n">
        <v>0.671224</v>
      </c>
      <c r="Q3241" s="53" t="n">
        <v>0.469373</v>
      </c>
      <c r="R3241" s="53" t="n">
        <v>1.146143</v>
      </c>
      <c r="S3241" s="53" t="n">
        <v>1.302067</v>
      </c>
    </row>
    <row r="3242" customFormat="false" ht="15" hidden="false" customHeight="false" outlineLevel="0" collapsed="false">
      <c r="A3242" s="43" t="n">
        <v>239</v>
      </c>
      <c r="B3242" s="44" t="str">
        <f aca="false">'Model Inputs &amp; Assumptions'!$B$34</f>
        <v>Meta — Lookalike Feed Video</v>
      </c>
      <c r="C3242" s="45" t="n">
        <f aca="false">ROUND(MAX(0,'Model Inputs &amp; Assumptions'!$S$34*EXP('Model Inputs &amp; Assumptions'!$T$34*P3242-'Model Inputs &amp; Assumptions'!$T$34^2/2)),0)</f>
        <v>553378</v>
      </c>
      <c r="D3242" s="46" t="n">
        <f aca="false">MIN(1,'Model Inputs &amp; Assumptions'!$U$34*EXP('Model Inputs &amp; Assumptions'!$V$34*Q3242-'Model Inputs &amp; Assumptions'!$V$34^2/2))</f>
        <v>0.24826881955229</v>
      </c>
      <c r="E3242" s="45" t="n">
        <f aca="false">ROUND(C3242*D3242,0)</f>
        <v>137387</v>
      </c>
      <c r="F3242" s="47" t="n">
        <f aca="false">MIN(1,'Model Inputs &amp; Assumptions'!$W$34*EXP('Model Inputs &amp; Assumptions'!$X$34*R3242-'Model Inputs &amp; Assumptions'!$X$34^2/2))</f>
        <v>0.00619015390098347</v>
      </c>
      <c r="G3242" s="45" t="n">
        <f aca="false">ROUND(C3242*F3242,0)</f>
        <v>3425</v>
      </c>
      <c r="H3242" s="48" t="n">
        <f aca="false">MAX(0,(C3242*'Model Inputs &amp; Assumptions'!$N$34+E3242*'Model Inputs &amp; Assumptions'!$O$34+G3242*'Model Inputs &amp; Assumptions'!$P$34)*EXP('Model Inputs &amp; Assumptions'!$Q$34*S3242-'Model Inputs &amp; Assumptions'!$Q$34^2/2))</f>
        <v>72.2511977350519</v>
      </c>
      <c r="I3242" s="49" t="n">
        <f aca="false">IF('Model Inputs &amp; Assumptions'!$H$34="Fixed",'Model Inputs &amp; Assumptions'!$I$34*'Model Inputs &amp; Assumptions'!$K$34,IF('Model Inputs &amp; Assumptions'!$H$34="CPM",'Model Inputs &amp; Assumptions'!$I$34*'Model Inputs &amp; Assumptions'!$K$34*C3242/1000,IF('Model Inputs &amp; Assumptions'!$H$34="CPC",'Model Inputs &amp; Assumptions'!$I$34*'Model Inputs &amp; Assumptions'!$K$34*G3242,0)))</f>
        <v>6336.25</v>
      </c>
      <c r="J3242" s="50" t="n">
        <f aca="false">H3242*INDEX('Model Inputs &amp; Assumptions'!$D$40:$D$42,MATCH('Model Inputs &amp; Assumptions'!$L$34,'Model Inputs &amp; Assumptions'!$A$40:$A$42,0))*INDEX('Model Inputs &amp; Assumptions'!$H$40:$H$42,MATCH('Model Inputs &amp; Assumptions'!$L$34,'Model Inputs &amp; Assumptions'!$A$40:$A$42,0))</f>
        <v>520208.623692374</v>
      </c>
      <c r="K3242" s="49" t="n">
        <f aca="false">H3242*INDEX('Model Inputs &amp; Assumptions'!$G$40:$G$42,MATCH('Model Inputs &amp; Assumptions'!$L$34,'Model Inputs &amp; Assumptions'!$A$40:$A$42,0))*INDEX('Model Inputs &amp; Assumptions'!$H$40:$H$42,MATCH('Model Inputs &amp; Assumptions'!$L$34,'Model Inputs &amp; Assumptions'!$A$40:$A$42,0))</f>
        <v>11470.6001524168</v>
      </c>
      <c r="L3242" s="51" t="n">
        <f aca="false">IFERROR(K3242/I3242,0)</f>
        <v>1.81031369539031</v>
      </c>
      <c r="M3242" s="49" t="n">
        <f aca="false">IFERROR(I3242/H3242,0)</f>
        <v>87.6975081193157</v>
      </c>
      <c r="N3242" s="52" t="str">
        <f aca="false">'Model Inputs &amp; Assumptions'!$L$34</f>
        <v>PRD-USIQ</v>
      </c>
      <c r="P3242" s="53" t="n">
        <v>0.411063</v>
      </c>
      <c r="Q3242" s="53" t="n">
        <v>0.557705</v>
      </c>
      <c r="R3242" s="53" t="n">
        <v>0.263336</v>
      </c>
      <c r="S3242" s="53" t="n">
        <v>-0.13842</v>
      </c>
    </row>
    <row r="3243" customFormat="false" ht="15" hidden="false" customHeight="false" outlineLevel="0" collapsed="false">
      <c r="A3243" s="43" t="n">
        <v>240</v>
      </c>
      <c r="B3243" s="44" t="str">
        <f aca="false">'Model Inputs &amp; Assumptions'!$B$34</f>
        <v>Meta — Lookalike Feed Video</v>
      </c>
      <c r="C3243" s="45" t="n">
        <f aca="false">ROUND(MAX(0,'Model Inputs &amp; Assumptions'!$S$34*EXP('Model Inputs &amp; Assumptions'!$T$34*P3243-'Model Inputs &amp; Assumptions'!$T$34^2/2)),0)</f>
        <v>510883</v>
      </c>
      <c r="D3243" s="46" t="n">
        <f aca="false">MIN(1,'Model Inputs &amp; Assumptions'!$U$34*EXP('Model Inputs &amp; Assumptions'!$V$34*Q3243-'Model Inputs &amp; Assumptions'!$V$34^2/2))</f>
        <v>0.236694175453515</v>
      </c>
      <c r="E3243" s="45" t="n">
        <f aca="false">ROUND(C3243*D3243,0)</f>
        <v>120923</v>
      </c>
      <c r="F3243" s="47" t="n">
        <f aca="false">MIN(1,'Model Inputs &amp; Assumptions'!$W$34*EXP('Model Inputs &amp; Assumptions'!$X$34*R3243-'Model Inputs &amp; Assumptions'!$X$34^2/2))</f>
        <v>0.00626856204375185</v>
      </c>
      <c r="G3243" s="45" t="n">
        <f aca="false">ROUND(C3243*F3243,0)</f>
        <v>3203</v>
      </c>
      <c r="H3243" s="48" t="n">
        <f aca="false">MAX(0,(C3243*'Model Inputs &amp; Assumptions'!$N$34+E3243*'Model Inputs &amp; Assumptions'!$O$34+G3243*'Model Inputs &amp; Assumptions'!$P$34)*EXP('Model Inputs &amp; Assumptions'!$Q$34*S3243-'Model Inputs &amp; Assumptions'!$Q$34^2/2))</f>
        <v>100.535298286607</v>
      </c>
      <c r="I3243" s="49" t="n">
        <f aca="false">IF('Model Inputs &amp; Assumptions'!$H$34="Fixed",'Model Inputs &amp; Assumptions'!$I$34*'Model Inputs &amp; Assumptions'!$K$34,IF('Model Inputs &amp; Assumptions'!$H$34="CPM",'Model Inputs &amp; Assumptions'!$I$34*'Model Inputs &amp; Assumptions'!$K$34*C3243/1000,IF('Model Inputs &amp; Assumptions'!$H$34="CPC",'Model Inputs &amp; Assumptions'!$I$34*'Model Inputs &amp; Assumptions'!$K$34*G3243,0)))</f>
        <v>5925.55</v>
      </c>
      <c r="J3243" s="50" t="n">
        <f aca="false">H3243*INDEX('Model Inputs &amp; Assumptions'!$D$40:$D$42,MATCH('Model Inputs &amp; Assumptions'!$L$34,'Model Inputs &amp; Assumptions'!$A$40:$A$42,0))*INDEX('Model Inputs &amp; Assumptions'!$H$40:$H$42,MATCH('Model Inputs &amp; Assumptions'!$L$34,'Model Inputs &amp; Assumptions'!$A$40:$A$42,0))</f>
        <v>723854.147663567</v>
      </c>
      <c r="K3243" s="49" t="n">
        <f aca="false">H3243*INDEX('Model Inputs &amp; Assumptions'!$G$40:$G$42,MATCH('Model Inputs &amp; Assumptions'!$L$34,'Model Inputs &amp; Assumptions'!$A$40:$A$42,0))*INDEX('Model Inputs &amp; Assumptions'!$H$40:$H$42,MATCH('Model Inputs &amp; Assumptions'!$L$34,'Model Inputs &amp; Assumptions'!$A$40:$A$42,0))</f>
        <v>15960.9839559817</v>
      </c>
      <c r="L3243" s="51" t="n">
        <f aca="false">IFERROR(K3243/I3243,0)</f>
        <v>2.69358691699195</v>
      </c>
      <c r="M3243" s="49" t="n">
        <f aca="false">IFERROR(I3243/H3243,0)</f>
        <v>58.9399952154855</v>
      </c>
      <c r="N3243" s="52" t="str">
        <f aca="false">'Model Inputs &amp; Assumptions'!$L$34</f>
        <v>PRD-USIQ</v>
      </c>
      <c r="P3243" s="53" t="n">
        <v>0.011555</v>
      </c>
      <c r="Q3243" s="53" t="n">
        <v>0.25931</v>
      </c>
      <c r="R3243" s="53" t="n">
        <v>0.333264</v>
      </c>
      <c r="S3243" s="53" t="n">
        <v>1.128897</v>
      </c>
    </row>
    <row r="3244" customFormat="false" ht="15" hidden="false" customHeight="false" outlineLevel="0" collapsed="false">
      <c r="A3244" s="43" t="n">
        <v>241</v>
      </c>
      <c r="B3244" s="44" t="str">
        <f aca="false">'Model Inputs &amp; Assumptions'!$B$34</f>
        <v>Meta — Lookalike Feed Video</v>
      </c>
      <c r="C3244" s="45" t="n">
        <f aca="false">ROUND(MAX(0,'Model Inputs &amp; Assumptions'!$S$34*EXP('Model Inputs &amp; Assumptions'!$T$34*P3244-'Model Inputs &amp; Assumptions'!$T$34^2/2)),0)</f>
        <v>459128</v>
      </c>
      <c r="D3244" s="46" t="n">
        <f aca="false">MIN(1,'Model Inputs &amp; Assumptions'!$U$34*EXP('Model Inputs &amp; Assumptions'!$V$34*Q3244-'Model Inputs &amp; Assumptions'!$V$34^2/2))</f>
        <v>0.215605637989645</v>
      </c>
      <c r="E3244" s="45" t="n">
        <f aca="false">ROUND(C3244*D3244,0)</f>
        <v>98991</v>
      </c>
      <c r="F3244" s="47" t="n">
        <f aca="false">MIN(1,'Model Inputs &amp; Assumptions'!$W$34*EXP('Model Inputs &amp; Assumptions'!$X$34*R3244-'Model Inputs &amp; Assumptions'!$X$34^2/2))</f>
        <v>0.00689784517415064</v>
      </c>
      <c r="G3244" s="45" t="n">
        <f aca="false">ROUND(C3244*F3244,0)</f>
        <v>3167</v>
      </c>
      <c r="H3244" s="48" t="n">
        <f aca="false">MAX(0,(C3244*'Model Inputs &amp; Assumptions'!$N$34+E3244*'Model Inputs &amp; Assumptions'!$O$34+G3244*'Model Inputs &amp; Assumptions'!$P$34)*EXP('Model Inputs &amp; Assumptions'!$Q$34*S3244-'Model Inputs &amp; Assumptions'!$Q$34^2/2))</f>
        <v>70.3767066018957</v>
      </c>
      <c r="I3244" s="49" t="n">
        <f aca="false">IF('Model Inputs &amp; Assumptions'!$H$34="Fixed",'Model Inputs &amp; Assumptions'!$I$34*'Model Inputs &amp; Assumptions'!$K$34,IF('Model Inputs &amp; Assumptions'!$H$34="CPM",'Model Inputs &amp; Assumptions'!$I$34*'Model Inputs &amp; Assumptions'!$K$34*C3244/1000,IF('Model Inputs &amp; Assumptions'!$H$34="CPC",'Model Inputs &amp; Assumptions'!$I$34*'Model Inputs &amp; Assumptions'!$K$34*G3244,0)))</f>
        <v>5858.95</v>
      </c>
      <c r="J3244" s="50" t="n">
        <f aca="false">H3244*INDEX('Model Inputs &amp; Assumptions'!$D$40:$D$42,MATCH('Model Inputs &amp; Assumptions'!$L$34,'Model Inputs &amp; Assumptions'!$A$40:$A$42,0))*INDEX('Model Inputs &amp; Assumptions'!$H$40:$H$42,MATCH('Model Inputs &amp; Assumptions'!$L$34,'Model Inputs &amp; Assumptions'!$A$40:$A$42,0))</f>
        <v>506712.287533649</v>
      </c>
      <c r="K3244" s="49" t="n">
        <f aca="false">H3244*INDEX('Model Inputs &amp; Assumptions'!$G$40:$G$42,MATCH('Model Inputs &amp; Assumptions'!$L$34,'Model Inputs &amp; Assumptions'!$A$40:$A$42,0))*INDEX('Model Inputs &amp; Assumptions'!$H$40:$H$42,MATCH('Model Inputs &amp; Assumptions'!$L$34,'Model Inputs &amp; Assumptions'!$A$40:$A$42,0))</f>
        <v>11173.005940117</v>
      </c>
      <c r="L3244" s="51" t="n">
        <f aca="false">IFERROR(K3244/I3244,0)</f>
        <v>1.90699800136833</v>
      </c>
      <c r="M3244" s="49" t="n">
        <f aca="false">IFERROR(I3244/H3244,0)</f>
        <v>83.2512671151649</v>
      </c>
      <c r="N3244" s="52" t="str">
        <f aca="false">'Model Inputs &amp; Assumptions'!$L$34</f>
        <v>PRD-USIQ</v>
      </c>
      <c r="P3244" s="53" t="n">
        <v>-0.522498</v>
      </c>
      <c r="Q3244" s="53" t="n">
        <v>-0.323927</v>
      </c>
      <c r="R3244" s="53" t="n">
        <v>0.86472</v>
      </c>
      <c r="S3244" s="53" t="n">
        <v>0.121054</v>
      </c>
    </row>
    <row r="3245" customFormat="false" ht="15" hidden="false" customHeight="false" outlineLevel="0" collapsed="false">
      <c r="A3245" s="43" t="n">
        <v>242</v>
      </c>
      <c r="B3245" s="44" t="str">
        <f aca="false">'Model Inputs &amp; Assumptions'!$B$34</f>
        <v>Meta — Lookalike Feed Video</v>
      </c>
      <c r="C3245" s="45" t="n">
        <f aca="false">ROUND(MAX(0,'Model Inputs &amp; Assumptions'!$S$34*EXP('Model Inputs &amp; Assumptions'!$T$34*P3245-'Model Inputs &amp; Assumptions'!$T$34^2/2)),0)</f>
        <v>534539</v>
      </c>
      <c r="D3245" s="46" t="n">
        <f aca="false">MIN(1,'Model Inputs &amp; Assumptions'!$U$34*EXP('Model Inputs &amp; Assumptions'!$V$34*Q3245-'Model Inputs &amp; Assumptions'!$V$34^2/2))</f>
        <v>0.174677131831371</v>
      </c>
      <c r="E3245" s="45" t="n">
        <f aca="false">ROUND(C3245*D3245,0)</f>
        <v>93372</v>
      </c>
      <c r="F3245" s="47" t="n">
        <f aca="false">MIN(1,'Model Inputs &amp; Assumptions'!$W$34*EXP('Model Inputs &amp; Assumptions'!$X$34*R3245-'Model Inputs &amp; Assumptions'!$X$34^2/2))</f>
        <v>0.00503196039745998</v>
      </c>
      <c r="G3245" s="45" t="n">
        <f aca="false">ROUND(C3245*F3245,0)</f>
        <v>2690</v>
      </c>
      <c r="H3245" s="48" t="n">
        <f aca="false">MAX(0,(C3245*'Model Inputs &amp; Assumptions'!$N$34+E3245*'Model Inputs &amp; Assumptions'!$O$34+G3245*'Model Inputs &amp; Assumptions'!$P$34)*EXP('Model Inputs &amp; Assumptions'!$Q$34*S3245-'Model Inputs &amp; Assumptions'!$Q$34^2/2))</f>
        <v>71.0394168320272</v>
      </c>
      <c r="I3245" s="49" t="n">
        <f aca="false">IF('Model Inputs &amp; Assumptions'!$H$34="Fixed",'Model Inputs &amp; Assumptions'!$I$34*'Model Inputs &amp; Assumptions'!$K$34,IF('Model Inputs &amp; Assumptions'!$H$34="CPM",'Model Inputs &amp; Assumptions'!$I$34*'Model Inputs &amp; Assumptions'!$K$34*C3245/1000,IF('Model Inputs &amp; Assumptions'!$H$34="CPC",'Model Inputs &amp; Assumptions'!$I$34*'Model Inputs &amp; Assumptions'!$K$34*G3245,0)))</f>
        <v>4976.5</v>
      </c>
      <c r="J3245" s="50" t="n">
        <f aca="false">H3245*INDEX('Model Inputs &amp; Assumptions'!$D$40:$D$42,MATCH('Model Inputs &amp; Assumptions'!$L$34,'Model Inputs &amp; Assumptions'!$A$40:$A$42,0))*INDEX('Model Inputs &amp; Assumptions'!$H$40:$H$42,MATCH('Model Inputs &amp; Assumptions'!$L$34,'Model Inputs &amp; Assumptions'!$A$40:$A$42,0))</f>
        <v>511483.801190596</v>
      </c>
      <c r="K3245" s="49" t="n">
        <f aca="false">H3245*INDEX('Model Inputs &amp; Assumptions'!$G$40:$G$42,MATCH('Model Inputs &amp; Assumptions'!$L$34,'Model Inputs &amp; Assumptions'!$A$40:$A$42,0))*INDEX('Model Inputs &amp; Assumptions'!$H$40:$H$42,MATCH('Model Inputs &amp; Assumptions'!$L$34,'Model Inputs &amp; Assumptions'!$A$40:$A$42,0))</f>
        <v>11278.2178162526</v>
      </c>
      <c r="L3245" s="51" t="n">
        <f aca="false">IFERROR(K3245/I3245,0)</f>
        <v>2.26629515045768</v>
      </c>
      <c r="M3245" s="49" t="n">
        <f aca="false">IFERROR(I3245/H3245,0)</f>
        <v>70.0526583962104</v>
      </c>
      <c r="N3245" s="52" t="str">
        <f aca="false">'Model Inputs &amp; Assumptions'!$L$34</f>
        <v>PRD-USIQ</v>
      </c>
      <c r="P3245" s="53" t="n">
        <v>0.237878</v>
      </c>
      <c r="Q3245" s="53" t="n">
        <v>-1.639625</v>
      </c>
      <c r="R3245" s="53" t="n">
        <v>-0.887499</v>
      </c>
      <c r="S3245" s="53" t="n">
        <v>0.622339</v>
      </c>
    </row>
    <row r="3246" customFormat="false" ht="15" hidden="false" customHeight="false" outlineLevel="0" collapsed="false">
      <c r="A3246" s="43" t="n">
        <v>243</v>
      </c>
      <c r="B3246" s="44" t="str">
        <f aca="false">'Model Inputs &amp; Assumptions'!$B$34</f>
        <v>Meta — Lookalike Feed Video</v>
      </c>
      <c r="C3246" s="45" t="n">
        <f aca="false">ROUND(MAX(0,'Model Inputs &amp; Assumptions'!$S$34*EXP('Model Inputs &amp; Assumptions'!$T$34*P3246-'Model Inputs &amp; Assumptions'!$T$34^2/2)),0)</f>
        <v>552337</v>
      </c>
      <c r="D3246" s="46" t="n">
        <f aca="false">MIN(1,'Model Inputs &amp; Assumptions'!$U$34*EXP('Model Inputs &amp; Assumptions'!$V$34*Q3246-'Model Inputs &amp; Assumptions'!$V$34^2/2))</f>
        <v>0.191515102343408</v>
      </c>
      <c r="E3246" s="45" t="n">
        <f aca="false">ROUND(C3246*D3246,0)</f>
        <v>105781</v>
      </c>
      <c r="F3246" s="47" t="n">
        <f aca="false">MIN(1,'Model Inputs &amp; Assumptions'!$W$34*EXP('Model Inputs &amp; Assumptions'!$X$34*R3246-'Model Inputs &amp; Assumptions'!$X$34^2/2))</f>
        <v>0.00643750993460358</v>
      </c>
      <c r="G3246" s="45" t="n">
        <f aca="false">ROUND(C3246*F3246,0)</f>
        <v>3556</v>
      </c>
      <c r="H3246" s="48" t="n">
        <f aca="false">MAX(0,(C3246*'Model Inputs &amp; Assumptions'!$N$34+E3246*'Model Inputs &amp; Assumptions'!$O$34+G3246*'Model Inputs &amp; Assumptions'!$P$34)*EXP('Model Inputs &amp; Assumptions'!$Q$34*S3246-'Model Inputs &amp; Assumptions'!$Q$34^2/2))</f>
        <v>78.8781587909438</v>
      </c>
      <c r="I3246" s="49" t="n">
        <f aca="false">IF('Model Inputs &amp; Assumptions'!$H$34="Fixed",'Model Inputs &amp; Assumptions'!$I$34*'Model Inputs &amp; Assumptions'!$K$34,IF('Model Inputs &amp; Assumptions'!$H$34="CPM",'Model Inputs &amp; Assumptions'!$I$34*'Model Inputs &amp; Assumptions'!$K$34*C3246/1000,IF('Model Inputs &amp; Assumptions'!$H$34="CPC",'Model Inputs &amp; Assumptions'!$I$34*'Model Inputs &amp; Assumptions'!$K$34*G3246,0)))</f>
        <v>6578.6</v>
      </c>
      <c r="J3246" s="50" t="n">
        <f aca="false">H3246*INDEX('Model Inputs &amp; Assumptions'!$D$40:$D$42,MATCH('Model Inputs &amp; Assumptions'!$L$34,'Model Inputs &amp; Assumptions'!$A$40:$A$42,0))*INDEX('Model Inputs &amp; Assumptions'!$H$40:$H$42,MATCH('Model Inputs &amp; Assumptions'!$L$34,'Model Inputs &amp; Assumptions'!$A$40:$A$42,0))</f>
        <v>567922.743294796</v>
      </c>
      <c r="K3246" s="49" t="n">
        <f aca="false">H3246*INDEX('Model Inputs &amp; Assumptions'!$G$40:$G$42,MATCH('Model Inputs &amp; Assumptions'!$L$34,'Model Inputs &amp; Assumptions'!$A$40:$A$42,0))*INDEX('Model Inputs &amp; Assumptions'!$H$40:$H$42,MATCH('Model Inputs &amp; Assumptions'!$L$34,'Model Inputs &amp; Assumptions'!$A$40:$A$42,0))</f>
        <v>12522.6964896502</v>
      </c>
      <c r="L3246" s="51" t="n">
        <f aca="false">IFERROR(K3246/I3246,0)</f>
        <v>1.90355037388658</v>
      </c>
      <c r="M3246" s="49" t="n">
        <f aca="false">IFERROR(I3246/H3246,0)</f>
        <v>83.40204818213</v>
      </c>
      <c r="N3246" s="52" t="str">
        <f aca="false">'Model Inputs &amp; Assumptions'!$L$34</f>
        <v>PRD-USIQ</v>
      </c>
      <c r="P3246" s="53" t="n">
        <v>0.401651</v>
      </c>
      <c r="Q3246" s="53" t="n">
        <v>-1.064454</v>
      </c>
      <c r="R3246" s="53" t="n">
        <v>0.481013</v>
      </c>
      <c r="S3246" s="53" t="n">
        <v>0.13222</v>
      </c>
    </row>
    <row r="3247" customFormat="false" ht="15" hidden="false" customHeight="false" outlineLevel="0" collapsed="false">
      <c r="A3247" s="43" t="n">
        <v>244</v>
      </c>
      <c r="B3247" s="44" t="str">
        <f aca="false">'Model Inputs &amp; Assumptions'!$B$34</f>
        <v>Meta — Lookalike Feed Video</v>
      </c>
      <c r="C3247" s="45" t="n">
        <f aca="false">ROUND(MAX(0,'Model Inputs &amp; Assumptions'!$S$34*EXP('Model Inputs &amp; Assumptions'!$T$34*P3247-'Model Inputs &amp; Assumptions'!$T$34^2/2)),0)</f>
        <v>671238</v>
      </c>
      <c r="D3247" s="46" t="n">
        <f aca="false">MIN(1,'Model Inputs &amp; Assumptions'!$U$34*EXP('Model Inputs &amp; Assumptions'!$V$34*Q3247-'Model Inputs &amp; Assumptions'!$V$34^2/2))</f>
        <v>0.183473636876096</v>
      </c>
      <c r="E3247" s="45" t="n">
        <f aca="false">ROUND(C3247*D3247,0)</f>
        <v>123154</v>
      </c>
      <c r="F3247" s="47" t="n">
        <f aca="false">MIN(1,'Model Inputs &amp; Assumptions'!$W$34*EXP('Model Inputs &amp; Assumptions'!$X$34*R3247-'Model Inputs &amp; Assumptions'!$X$34^2/2))</f>
        <v>0.00491528662967358</v>
      </c>
      <c r="G3247" s="45" t="n">
        <f aca="false">ROUND(C3247*F3247,0)</f>
        <v>3299</v>
      </c>
      <c r="H3247" s="48" t="n">
        <f aca="false">MAX(0,(C3247*'Model Inputs &amp; Assumptions'!$N$34+E3247*'Model Inputs &amp; Assumptions'!$O$34+G3247*'Model Inputs &amp; Assumptions'!$P$34)*EXP('Model Inputs &amp; Assumptions'!$Q$34*S3247-'Model Inputs &amp; Assumptions'!$Q$34^2/2))</f>
        <v>68.6978694926941</v>
      </c>
      <c r="I3247" s="49" t="n">
        <f aca="false">IF('Model Inputs &amp; Assumptions'!$H$34="Fixed",'Model Inputs &amp; Assumptions'!$I$34*'Model Inputs &amp; Assumptions'!$K$34,IF('Model Inputs &amp; Assumptions'!$H$34="CPM",'Model Inputs &amp; Assumptions'!$I$34*'Model Inputs &amp; Assumptions'!$K$34*C3247/1000,IF('Model Inputs &amp; Assumptions'!$H$34="CPC",'Model Inputs &amp; Assumptions'!$I$34*'Model Inputs &amp; Assumptions'!$K$34*G3247,0)))</f>
        <v>6103.15</v>
      </c>
      <c r="J3247" s="50" t="n">
        <f aca="false">H3247*INDEX('Model Inputs &amp; Assumptions'!$D$40:$D$42,MATCH('Model Inputs &amp; Assumptions'!$L$34,'Model Inputs &amp; Assumptions'!$A$40:$A$42,0))*INDEX('Model Inputs &amp; Assumptions'!$H$40:$H$42,MATCH('Model Inputs &amp; Assumptions'!$L$34,'Model Inputs &amp; Assumptions'!$A$40:$A$42,0))</f>
        <v>494624.660347398</v>
      </c>
      <c r="K3247" s="49" t="n">
        <f aca="false">H3247*INDEX('Model Inputs &amp; Assumptions'!$G$40:$G$42,MATCH('Model Inputs &amp; Assumptions'!$L$34,'Model Inputs &amp; Assumptions'!$A$40:$A$42,0))*INDEX('Model Inputs &amp; Assumptions'!$H$40:$H$42,MATCH('Model Inputs &amp; Assumptions'!$L$34,'Model Inputs &amp; Assumptions'!$A$40:$A$42,0))</f>
        <v>10906.4737606601</v>
      </c>
      <c r="L3247" s="51" t="n">
        <f aca="false">IFERROR(K3247/I3247,0)</f>
        <v>1.78702371081493</v>
      </c>
      <c r="M3247" s="49" t="n">
        <f aca="false">IFERROR(I3247/H3247,0)</f>
        <v>88.8404552436529</v>
      </c>
      <c r="N3247" s="52" t="str">
        <f aca="false">'Model Inputs &amp; Assumptions'!$L$34</f>
        <v>PRD-USIQ</v>
      </c>
      <c r="P3247" s="53" t="n">
        <v>1.376473</v>
      </c>
      <c r="Q3247" s="53" t="n">
        <v>-1.332552</v>
      </c>
      <c r="R3247" s="53" t="n">
        <v>-1.01783</v>
      </c>
      <c r="S3247" s="53" t="n">
        <v>-0.14877</v>
      </c>
    </row>
    <row r="3248" customFormat="false" ht="15" hidden="false" customHeight="false" outlineLevel="0" collapsed="false">
      <c r="A3248" s="43" t="n">
        <v>245</v>
      </c>
      <c r="B3248" s="44" t="str">
        <f aca="false">'Model Inputs &amp; Assumptions'!$B$34</f>
        <v>Meta — Lookalike Feed Video</v>
      </c>
      <c r="C3248" s="45" t="n">
        <f aca="false">ROUND(MAX(0,'Model Inputs &amp; Assumptions'!$S$34*EXP('Model Inputs &amp; Assumptions'!$T$34*P3248-'Model Inputs &amp; Assumptions'!$T$34^2/2)),0)</f>
        <v>543226</v>
      </c>
      <c r="D3248" s="46" t="n">
        <f aca="false">MIN(1,'Model Inputs &amp; Assumptions'!$U$34*EXP('Model Inputs &amp; Assumptions'!$V$34*Q3248-'Model Inputs &amp; Assumptions'!$V$34^2/2))</f>
        <v>0.223358590457482</v>
      </c>
      <c r="E3248" s="45" t="n">
        <f aca="false">ROUND(C3248*D3248,0)</f>
        <v>121334</v>
      </c>
      <c r="F3248" s="47" t="n">
        <f aca="false">MIN(1,'Model Inputs &amp; Assumptions'!$W$34*EXP('Model Inputs &amp; Assumptions'!$X$34*R3248-'Model Inputs &amp; Assumptions'!$X$34^2/2))</f>
        <v>0.00760213028921739</v>
      </c>
      <c r="G3248" s="45" t="n">
        <f aca="false">ROUND(C3248*F3248,0)</f>
        <v>4130</v>
      </c>
      <c r="H3248" s="48" t="n">
        <f aca="false">MAX(0,(C3248*'Model Inputs &amp; Assumptions'!$N$34+E3248*'Model Inputs &amp; Assumptions'!$O$34+G3248*'Model Inputs &amp; Assumptions'!$P$34)*EXP('Model Inputs &amp; Assumptions'!$Q$34*S3248-'Model Inputs &amp; Assumptions'!$Q$34^2/2))</f>
        <v>105.45550442286</v>
      </c>
      <c r="I3248" s="49" t="n">
        <f aca="false">IF('Model Inputs &amp; Assumptions'!$H$34="Fixed",'Model Inputs &amp; Assumptions'!$I$34*'Model Inputs &amp; Assumptions'!$K$34,IF('Model Inputs &amp; Assumptions'!$H$34="CPM",'Model Inputs &amp; Assumptions'!$I$34*'Model Inputs &amp; Assumptions'!$K$34*C3248/1000,IF('Model Inputs &amp; Assumptions'!$H$34="CPC",'Model Inputs &amp; Assumptions'!$I$34*'Model Inputs &amp; Assumptions'!$K$34*G3248,0)))</f>
        <v>7640.5</v>
      </c>
      <c r="J3248" s="50" t="n">
        <f aca="false">H3248*INDEX('Model Inputs &amp; Assumptions'!$D$40:$D$42,MATCH('Model Inputs &amp; Assumptions'!$L$34,'Model Inputs &amp; Assumptions'!$A$40:$A$42,0))*INDEX('Model Inputs &amp; Assumptions'!$H$40:$H$42,MATCH('Model Inputs &amp; Assumptions'!$L$34,'Model Inputs &amp; Assumptions'!$A$40:$A$42,0))</f>
        <v>759279.631844593</v>
      </c>
      <c r="K3248" s="49" t="n">
        <f aca="false">H3248*INDEX('Model Inputs &amp; Assumptions'!$G$40:$G$42,MATCH('Model Inputs &amp; Assumptions'!$L$34,'Model Inputs &amp; Assumptions'!$A$40:$A$42,0))*INDEX('Model Inputs &amp; Assumptions'!$H$40:$H$42,MATCH('Model Inputs &amp; Assumptions'!$L$34,'Model Inputs &amp; Assumptions'!$A$40:$A$42,0))</f>
        <v>16742.1158821733</v>
      </c>
      <c r="L3248" s="51" t="n">
        <f aca="false">IFERROR(K3248/I3248,0)</f>
        <v>2.19123301906594</v>
      </c>
      <c r="M3248" s="49" t="n">
        <f aca="false">IFERROR(I3248/H3248,0)</f>
        <v>72.4523583838999</v>
      </c>
      <c r="N3248" s="52" t="str">
        <f aca="false">'Model Inputs &amp; Assumptions'!$L$34</f>
        <v>PRD-USIQ</v>
      </c>
      <c r="P3248" s="53" t="n">
        <v>0.31848</v>
      </c>
      <c r="Q3248" s="53" t="n">
        <v>-0.10313</v>
      </c>
      <c r="R3248" s="53" t="n">
        <v>1.404828</v>
      </c>
      <c r="S3248" s="53" t="n">
        <v>0.576163</v>
      </c>
    </row>
    <row r="3249" customFormat="false" ht="15" hidden="false" customHeight="false" outlineLevel="0" collapsed="false">
      <c r="A3249" s="43" t="n">
        <v>246</v>
      </c>
      <c r="B3249" s="44" t="str">
        <f aca="false">'Model Inputs &amp; Assumptions'!$B$34</f>
        <v>Meta — Lookalike Feed Video</v>
      </c>
      <c r="C3249" s="45" t="n">
        <f aca="false">ROUND(MAX(0,'Model Inputs &amp; Assumptions'!$S$34*EXP('Model Inputs &amp; Assumptions'!$T$34*P3249-'Model Inputs &amp; Assumptions'!$T$34^2/2)),0)</f>
        <v>505848</v>
      </c>
      <c r="D3249" s="46" t="n">
        <f aca="false">MIN(1,'Model Inputs &amp; Assumptions'!$U$34*EXP('Model Inputs &amp; Assumptions'!$V$34*Q3249-'Model Inputs &amp; Assumptions'!$V$34^2/2))</f>
        <v>0.211594415725191</v>
      </c>
      <c r="E3249" s="45" t="n">
        <f aca="false">ROUND(C3249*D3249,0)</f>
        <v>107035</v>
      </c>
      <c r="F3249" s="47" t="n">
        <f aca="false">MIN(1,'Model Inputs &amp; Assumptions'!$W$34*EXP('Model Inputs &amp; Assumptions'!$X$34*R3249-'Model Inputs &amp; Assumptions'!$X$34^2/2))</f>
        <v>0.00722794590945047</v>
      </c>
      <c r="G3249" s="45" t="n">
        <f aca="false">ROUND(C3249*F3249,0)</f>
        <v>3656</v>
      </c>
      <c r="H3249" s="48" t="n">
        <f aca="false">MAX(0,(C3249*'Model Inputs &amp; Assumptions'!$N$34+E3249*'Model Inputs &amp; Assumptions'!$O$34+G3249*'Model Inputs &amp; Assumptions'!$P$34)*EXP('Model Inputs &amp; Assumptions'!$Q$34*S3249-'Model Inputs &amp; Assumptions'!$Q$34^2/2))</f>
        <v>89.2495816618334</v>
      </c>
      <c r="I3249" s="49" t="n">
        <f aca="false">IF('Model Inputs &amp; Assumptions'!$H$34="Fixed",'Model Inputs &amp; Assumptions'!$I$34*'Model Inputs &amp; Assumptions'!$K$34,IF('Model Inputs &amp; Assumptions'!$H$34="CPM",'Model Inputs &amp; Assumptions'!$I$34*'Model Inputs &amp; Assumptions'!$K$34*C3249/1000,IF('Model Inputs &amp; Assumptions'!$H$34="CPC",'Model Inputs &amp; Assumptions'!$I$34*'Model Inputs &amp; Assumptions'!$K$34*G3249,0)))</f>
        <v>6763.6</v>
      </c>
      <c r="J3249" s="50" t="n">
        <f aca="false">H3249*INDEX('Model Inputs &amp; Assumptions'!$D$40:$D$42,MATCH('Model Inputs &amp; Assumptions'!$L$34,'Model Inputs &amp; Assumptions'!$A$40:$A$42,0))*INDEX('Model Inputs &amp; Assumptions'!$H$40:$H$42,MATCH('Model Inputs &amp; Assumptions'!$L$34,'Model Inputs &amp; Assumptions'!$A$40:$A$42,0))</f>
        <v>642596.9879652</v>
      </c>
      <c r="K3249" s="49" t="n">
        <f aca="false">H3249*INDEX('Model Inputs &amp; Assumptions'!$G$40:$G$42,MATCH('Model Inputs &amp; Assumptions'!$L$34,'Model Inputs &amp; Assumptions'!$A$40:$A$42,0))*INDEX('Model Inputs &amp; Assumptions'!$H$40:$H$42,MATCH('Model Inputs &amp; Assumptions'!$L$34,'Model Inputs &amp; Assumptions'!$A$40:$A$42,0))</f>
        <v>14169.2635846327</v>
      </c>
      <c r="L3249" s="51" t="n">
        <f aca="false">IFERROR(K3249/I3249,0)</f>
        <v>2.09492926616486</v>
      </c>
      <c r="M3249" s="49" t="n">
        <f aca="false">IFERROR(I3249/H3249,0)</f>
        <v>75.7829882679706</v>
      </c>
      <c r="N3249" s="52" t="str">
        <f aca="false">'Model Inputs &amp; Assumptions'!$L$34</f>
        <v>PRD-USIQ</v>
      </c>
      <c r="P3249" s="53" t="n">
        <v>-0.037959</v>
      </c>
      <c r="Q3249" s="53" t="n">
        <v>-0.4413</v>
      </c>
      <c r="R3249" s="53" t="n">
        <v>1.124419</v>
      </c>
      <c r="S3249" s="53" t="n">
        <v>0.436854</v>
      </c>
    </row>
    <row r="3250" customFormat="false" ht="15" hidden="false" customHeight="false" outlineLevel="0" collapsed="false">
      <c r="A3250" s="43" t="n">
        <v>247</v>
      </c>
      <c r="B3250" s="44" t="str">
        <f aca="false">'Model Inputs &amp; Assumptions'!$B$34</f>
        <v>Meta — Lookalike Feed Video</v>
      </c>
      <c r="C3250" s="45" t="n">
        <f aca="false">ROUND(MAX(0,'Model Inputs &amp; Assumptions'!$S$34*EXP('Model Inputs &amp; Assumptions'!$T$34*P3250-'Model Inputs &amp; Assumptions'!$T$34^2/2)),0)</f>
        <v>419677</v>
      </c>
      <c r="D3250" s="46" t="n">
        <f aca="false">MIN(1,'Model Inputs &amp; Assumptions'!$U$34*EXP('Model Inputs &amp; Assumptions'!$V$34*Q3250-'Model Inputs &amp; Assumptions'!$V$34^2/2))</f>
        <v>0.253312105981495</v>
      </c>
      <c r="E3250" s="45" t="n">
        <f aca="false">ROUND(C3250*D3250,0)</f>
        <v>106309</v>
      </c>
      <c r="F3250" s="47" t="n">
        <f aca="false">MIN(1,'Model Inputs &amp; Assumptions'!$W$34*EXP('Model Inputs &amp; Assumptions'!$X$34*R3250-'Model Inputs &amp; Assumptions'!$X$34^2/2))</f>
        <v>0.00682715736957012</v>
      </c>
      <c r="G3250" s="45" t="n">
        <f aca="false">ROUND(C3250*F3250,0)</f>
        <v>2865</v>
      </c>
      <c r="H3250" s="48" t="n">
        <f aca="false">MAX(0,(C3250*'Model Inputs &amp; Assumptions'!$N$34+E3250*'Model Inputs &amp; Assumptions'!$O$34+G3250*'Model Inputs &amp; Assumptions'!$P$34)*EXP('Model Inputs &amp; Assumptions'!$Q$34*S3250-'Model Inputs &amp; Assumptions'!$Q$34^2/2))</f>
        <v>48.4314079709498</v>
      </c>
      <c r="I3250" s="49" t="n">
        <f aca="false">IF('Model Inputs &amp; Assumptions'!$H$34="Fixed",'Model Inputs &amp; Assumptions'!$I$34*'Model Inputs &amp; Assumptions'!$K$34,IF('Model Inputs &amp; Assumptions'!$H$34="CPM",'Model Inputs &amp; Assumptions'!$I$34*'Model Inputs &amp; Assumptions'!$K$34*C3250/1000,IF('Model Inputs &amp; Assumptions'!$H$34="CPC",'Model Inputs &amp; Assumptions'!$I$34*'Model Inputs &amp; Assumptions'!$K$34*G3250,0)))</f>
        <v>5300.25</v>
      </c>
      <c r="J3250" s="50" t="n">
        <f aca="false">H3250*INDEX('Model Inputs &amp; Assumptions'!$D$40:$D$42,MATCH('Model Inputs &amp; Assumptions'!$L$34,'Model Inputs &amp; Assumptions'!$A$40:$A$42,0))*INDEX('Model Inputs &amp; Assumptions'!$H$40:$H$42,MATCH('Model Inputs &amp; Assumptions'!$L$34,'Model Inputs &amp; Assumptions'!$A$40:$A$42,0))</f>
        <v>348706.137390839</v>
      </c>
      <c r="K3250" s="49" t="n">
        <f aca="false">H3250*INDEX('Model Inputs &amp; Assumptions'!$G$40:$G$42,MATCH('Model Inputs &amp; Assumptions'!$L$34,'Model Inputs &amp; Assumptions'!$A$40:$A$42,0))*INDEX('Model Inputs &amp; Assumptions'!$H$40:$H$42,MATCH('Model Inputs &amp; Assumptions'!$L$34,'Model Inputs &amp; Assumptions'!$A$40:$A$42,0))</f>
        <v>7688.97032946799</v>
      </c>
      <c r="L3250" s="51" t="n">
        <f aca="false">IFERROR(K3250/I3250,0)</f>
        <v>1.45068069043309</v>
      </c>
      <c r="M3250" s="49" t="n">
        <f aca="false">IFERROR(I3250/H3250,0)</f>
        <v>109.438280282481</v>
      </c>
      <c r="N3250" s="52" t="str">
        <f aca="false">'Model Inputs &amp; Assumptions'!$L$34</f>
        <v>PRD-USIQ</v>
      </c>
      <c r="P3250" s="53" t="n">
        <v>-0.971719</v>
      </c>
      <c r="Q3250" s="53" t="n">
        <v>0.683394</v>
      </c>
      <c r="R3250" s="53" t="n">
        <v>0.807494</v>
      </c>
      <c r="S3250" s="53" t="n">
        <v>-0.797947</v>
      </c>
    </row>
    <row r="3251" customFormat="false" ht="15" hidden="false" customHeight="false" outlineLevel="0" collapsed="false">
      <c r="A3251" s="43" t="n">
        <v>248</v>
      </c>
      <c r="B3251" s="44" t="str">
        <f aca="false">'Model Inputs &amp; Assumptions'!$B$34</f>
        <v>Meta — Lookalike Feed Video</v>
      </c>
      <c r="C3251" s="45" t="n">
        <f aca="false">ROUND(MAX(0,'Model Inputs &amp; Assumptions'!$S$34*EXP('Model Inputs &amp; Assumptions'!$T$34*P3251-'Model Inputs &amp; Assumptions'!$T$34^2/2)),0)</f>
        <v>460759</v>
      </c>
      <c r="D3251" s="46" t="n">
        <f aca="false">MIN(1,'Model Inputs &amp; Assumptions'!$U$34*EXP('Model Inputs &amp; Assumptions'!$V$34*Q3251-'Model Inputs &amp; Assumptions'!$V$34^2/2))</f>
        <v>0.225999780701212</v>
      </c>
      <c r="E3251" s="45" t="n">
        <f aca="false">ROUND(C3251*D3251,0)</f>
        <v>104131</v>
      </c>
      <c r="F3251" s="47" t="n">
        <f aca="false">MIN(1,'Model Inputs &amp; Assumptions'!$W$34*EXP('Model Inputs &amp; Assumptions'!$X$34*R3251-'Model Inputs &amp; Assumptions'!$X$34^2/2))</f>
        <v>0.00714220283607878</v>
      </c>
      <c r="G3251" s="45" t="n">
        <f aca="false">ROUND(C3251*F3251,0)</f>
        <v>3291</v>
      </c>
      <c r="H3251" s="48" t="n">
        <f aca="false">MAX(0,(C3251*'Model Inputs &amp; Assumptions'!$N$34+E3251*'Model Inputs &amp; Assumptions'!$O$34+G3251*'Model Inputs &amp; Assumptions'!$P$34)*EXP('Model Inputs &amp; Assumptions'!$Q$34*S3251-'Model Inputs &amp; Assumptions'!$Q$34^2/2))</f>
        <v>67.392279368473</v>
      </c>
      <c r="I3251" s="49" t="n">
        <f aca="false">IF('Model Inputs &amp; Assumptions'!$H$34="Fixed",'Model Inputs &amp; Assumptions'!$I$34*'Model Inputs &amp; Assumptions'!$K$34,IF('Model Inputs &amp; Assumptions'!$H$34="CPM",'Model Inputs &amp; Assumptions'!$I$34*'Model Inputs &amp; Assumptions'!$K$34*C3251/1000,IF('Model Inputs &amp; Assumptions'!$H$34="CPC",'Model Inputs &amp; Assumptions'!$I$34*'Model Inputs &amp; Assumptions'!$K$34*G3251,0)))</f>
        <v>6088.35</v>
      </c>
      <c r="J3251" s="50" t="n">
        <f aca="false">H3251*INDEX('Model Inputs &amp; Assumptions'!$D$40:$D$42,MATCH('Model Inputs &amp; Assumptions'!$L$34,'Model Inputs &amp; Assumptions'!$A$40:$A$42,0))*INDEX('Model Inputs &amp; Assumptions'!$H$40:$H$42,MATCH('Model Inputs &amp; Assumptions'!$L$34,'Model Inputs &amp; Assumptions'!$A$40:$A$42,0))</f>
        <v>485224.411453006</v>
      </c>
      <c r="K3251" s="49" t="n">
        <f aca="false">H3251*INDEX('Model Inputs &amp; Assumptions'!$G$40:$G$42,MATCH('Model Inputs &amp; Assumptions'!$L$34,'Model Inputs &amp; Assumptions'!$A$40:$A$42,0))*INDEX('Model Inputs &amp; Assumptions'!$H$40:$H$42,MATCH('Model Inputs &amp; Assumptions'!$L$34,'Model Inputs &amp; Assumptions'!$A$40:$A$42,0))</f>
        <v>10699.1982725388</v>
      </c>
      <c r="L3251" s="51" t="n">
        <f aca="false">IFERROR(K3251/I3251,0)</f>
        <v>1.75732312901505</v>
      </c>
      <c r="M3251" s="49" t="n">
        <f aca="false">IFERROR(I3251/H3251,0)</f>
        <v>90.3419509928049</v>
      </c>
      <c r="N3251" s="52" t="str">
        <f aca="false">'Model Inputs &amp; Assumptions'!$L$34</f>
        <v>PRD-USIQ</v>
      </c>
      <c r="P3251" s="53" t="n">
        <v>-0.504773</v>
      </c>
      <c r="Q3251" s="53" t="n">
        <v>-0.029658</v>
      </c>
      <c r="R3251" s="53" t="n">
        <v>1.058121</v>
      </c>
      <c r="S3251" s="53" t="n">
        <v>-0.138644</v>
      </c>
    </row>
    <row r="3252" customFormat="false" ht="15" hidden="false" customHeight="false" outlineLevel="0" collapsed="false">
      <c r="A3252" s="43" t="n">
        <v>249</v>
      </c>
      <c r="B3252" s="44" t="str">
        <f aca="false">'Model Inputs &amp; Assumptions'!$B$34</f>
        <v>Meta — Lookalike Feed Video</v>
      </c>
      <c r="C3252" s="45" t="n">
        <f aca="false">ROUND(MAX(0,'Model Inputs &amp; Assumptions'!$S$34*EXP('Model Inputs &amp; Assumptions'!$T$34*P3252-'Model Inputs &amp; Assumptions'!$T$34^2/2)),0)</f>
        <v>376126</v>
      </c>
      <c r="D3252" s="46" t="n">
        <f aca="false">MIN(1,'Model Inputs &amp; Assumptions'!$U$34*EXP('Model Inputs &amp; Assumptions'!$V$34*Q3252-'Model Inputs &amp; Assumptions'!$V$34^2/2))</f>
        <v>0.249381723559605</v>
      </c>
      <c r="E3252" s="45" t="n">
        <f aca="false">ROUND(C3252*D3252,0)</f>
        <v>93799</v>
      </c>
      <c r="F3252" s="47" t="n">
        <f aca="false">MIN(1,'Model Inputs &amp; Assumptions'!$W$34*EXP('Model Inputs &amp; Assumptions'!$X$34*R3252-'Model Inputs &amp; Assumptions'!$X$34^2/2))</f>
        <v>0.00795794236219189</v>
      </c>
      <c r="G3252" s="45" t="n">
        <f aca="false">ROUND(C3252*F3252,0)</f>
        <v>2993</v>
      </c>
      <c r="H3252" s="48" t="n">
        <f aca="false">MAX(0,(C3252*'Model Inputs &amp; Assumptions'!$N$34+E3252*'Model Inputs &amp; Assumptions'!$O$34+G3252*'Model Inputs &amp; Assumptions'!$P$34)*EXP('Model Inputs &amp; Assumptions'!$Q$34*S3252-'Model Inputs &amp; Assumptions'!$Q$34^2/2))</f>
        <v>65.352705738464</v>
      </c>
      <c r="I3252" s="49" t="n">
        <f aca="false">IF('Model Inputs &amp; Assumptions'!$H$34="Fixed",'Model Inputs &amp; Assumptions'!$I$34*'Model Inputs &amp; Assumptions'!$K$34,IF('Model Inputs &amp; Assumptions'!$H$34="CPM",'Model Inputs &amp; Assumptions'!$I$34*'Model Inputs &amp; Assumptions'!$K$34*C3252/1000,IF('Model Inputs &amp; Assumptions'!$H$34="CPC",'Model Inputs &amp; Assumptions'!$I$34*'Model Inputs &amp; Assumptions'!$K$34*G3252,0)))</f>
        <v>5537.05</v>
      </c>
      <c r="J3252" s="50" t="n">
        <f aca="false">H3252*INDEX('Model Inputs &amp; Assumptions'!$D$40:$D$42,MATCH('Model Inputs &amp; Assumptions'!$L$34,'Model Inputs &amp; Assumptions'!$A$40:$A$42,0))*INDEX('Model Inputs &amp; Assumptions'!$H$40:$H$42,MATCH('Model Inputs &amp; Assumptions'!$L$34,'Model Inputs &amp; Assumptions'!$A$40:$A$42,0))</f>
        <v>470539.481316941</v>
      </c>
      <c r="K3252" s="49" t="n">
        <f aca="false">H3252*INDEX('Model Inputs &amp; Assumptions'!$G$40:$G$42,MATCH('Model Inputs &amp; Assumptions'!$L$34,'Model Inputs &amp; Assumptions'!$A$40:$A$42,0))*INDEX('Model Inputs &amp; Assumptions'!$H$40:$H$42,MATCH('Model Inputs &amp; Assumptions'!$L$34,'Model Inputs &amp; Assumptions'!$A$40:$A$42,0))</f>
        <v>10375.3955630385</v>
      </c>
      <c r="L3252" s="51" t="n">
        <f aca="false">IFERROR(K3252/I3252,0)</f>
        <v>1.87381287202365</v>
      </c>
      <c r="M3252" s="49" t="n">
        <f aca="false">IFERROR(I3252/H3252,0)</f>
        <v>84.7256427631138</v>
      </c>
      <c r="N3252" s="52" t="str">
        <f aca="false">'Model Inputs &amp; Assumptions'!$L$34</f>
        <v>PRD-USIQ</v>
      </c>
      <c r="P3252" s="53" t="n">
        <v>-1.519529</v>
      </c>
      <c r="Q3252" s="53" t="n">
        <v>0.585659</v>
      </c>
      <c r="R3252" s="53" t="n">
        <v>1.65895</v>
      </c>
      <c r="S3252" s="53" t="n">
        <v>0.065279</v>
      </c>
    </row>
    <row r="3253" customFormat="false" ht="15" hidden="false" customHeight="false" outlineLevel="0" collapsed="false">
      <c r="A3253" s="43" t="n">
        <v>250</v>
      </c>
      <c r="B3253" s="44" t="str">
        <f aca="false">'Model Inputs &amp; Assumptions'!$B$34</f>
        <v>Meta — Lookalike Feed Video</v>
      </c>
      <c r="C3253" s="45" t="n">
        <f aca="false">ROUND(MAX(0,'Model Inputs &amp; Assumptions'!$S$34*EXP('Model Inputs &amp; Assumptions'!$T$34*P3253-'Model Inputs &amp; Assumptions'!$T$34^2/2)),0)</f>
        <v>598264</v>
      </c>
      <c r="D3253" s="46" t="n">
        <f aca="false">MIN(1,'Model Inputs &amp; Assumptions'!$U$34*EXP('Model Inputs &amp; Assumptions'!$V$34*Q3253-'Model Inputs &amp; Assumptions'!$V$34^2/2))</f>
        <v>0.192260639512719</v>
      </c>
      <c r="E3253" s="45" t="n">
        <f aca="false">ROUND(C3253*D3253,0)</f>
        <v>115023</v>
      </c>
      <c r="F3253" s="47" t="n">
        <f aca="false">MIN(1,'Model Inputs &amp; Assumptions'!$W$34*EXP('Model Inputs &amp; Assumptions'!$X$34*R3253-'Model Inputs &amp; Assumptions'!$X$34^2/2))</f>
        <v>0.00697780801318324</v>
      </c>
      <c r="G3253" s="45" t="n">
        <f aca="false">ROUND(C3253*F3253,0)</f>
        <v>4175</v>
      </c>
      <c r="H3253" s="48" t="n">
        <f aca="false">MAX(0,(C3253*'Model Inputs &amp; Assumptions'!$N$34+E3253*'Model Inputs &amp; Assumptions'!$O$34+G3253*'Model Inputs &amp; Assumptions'!$P$34)*EXP('Model Inputs &amp; Assumptions'!$Q$34*S3253-'Model Inputs &amp; Assumptions'!$Q$34^2/2))</f>
        <v>66.8301336485741</v>
      </c>
      <c r="I3253" s="49" t="n">
        <f aca="false">IF('Model Inputs &amp; Assumptions'!$H$34="Fixed",'Model Inputs &amp; Assumptions'!$I$34*'Model Inputs &amp; Assumptions'!$K$34,IF('Model Inputs &amp; Assumptions'!$H$34="CPM",'Model Inputs &amp; Assumptions'!$I$34*'Model Inputs &amp; Assumptions'!$K$34*C3253/1000,IF('Model Inputs &amp; Assumptions'!$H$34="CPC",'Model Inputs &amp; Assumptions'!$I$34*'Model Inputs &amp; Assumptions'!$K$34*G3253,0)))</f>
        <v>7723.75</v>
      </c>
      <c r="J3253" s="50" t="n">
        <f aca="false">H3253*INDEX('Model Inputs &amp; Assumptions'!$D$40:$D$42,MATCH('Model Inputs &amp; Assumptions'!$L$34,'Model Inputs &amp; Assumptions'!$A$40:$A$42,0))*INDEX('Model Inputs &amp; Assumptions'!$H$40:$H$42,MATCH('Model Inputs &amp; Assumptions'!$L$34,'Model Inputs &amp; Assumptions'!$A$40:$A$42,0))</f>
        <v>481176.962269734</v>
      </c>
      <c r="K3253" s="49" t="n">
        <f aca="false">H3253*INDEX('Model Inputs &amp; Assumptions'!$G$40:$G$42,MATCH('Model Inputs &amp; Assumptions'!$L$34,'Model Inputs &amp; Assumptions'!$A$40:$A$42,0))*INDEX('Model Inputs &amp; Assumptions'!$H$40:$H$42,MATCH('Model Inputs &amp; Assumptions'!$L$34,'Model Inputs &amp; Assumptions'!$A$40:$A$42,0))</f>
        <v>10609.9520180476</v>
      </c>
      <c r="L3253" s="51" t="n">
        <f aca="false">IFERROR(K3253/I3253,0)</f>
        <v>1.37367885004663</v>
      </c>
      <c r="M3253" s="49" t="n">
        <f aca="false">IFERROR(I3253/H3253,0)</f>
        <v>115.572864789038</v>
      </c>
      <c r="N3253" s="52" t="str">
        <f aca="false">'Model Inputs &amp; Assumptions'!$L$34</f>
        <v>PRD-USIQ</v>
      </c>
      <c r="P3253" s="53" t="n">
        <v>0.801018</v>
      </c>
      <c r="Q3253" s="53" t="n">
        <v>-1.040171</v>
      </c>
      <c r="R3253" s="53" t="n">
        <v>0.928752</v>
      </c>
      <c r="S3253" s="53" t="n">
        <v>-0.862607</v>
      </c>
    </row>
    <row r="3254" customFormat="false" ht="15" hidden="false" customHeight="false" outlineLevel="0" collapsed="false">
      <c r="A3254" s="43" t="n">
        <v>251</v>
      </c>
      <c r="B3254" s="44" t="str">
        <f aca="false">'Model Inputs &amp; Assumptions'!$B$34</f>
        <v>Meta — Lookalike Feed Video</v>
      </c>
      <c r="C3254" s="45" t="n">
        <f aca="false">ROUND(MAX(0,'Model Inputs &amp; Assumptions'!$S$34*EXP('Model Inputs &amp; Assumptions'!$T$34*P3254-'Model Inputs &amp; Assumptions'!$T$34^2/2)),0)</f>
        <v>585087</v>
      </c>
      <c r="D3254" s="46" t="n">
        <f aca="false">MIN(1,'Model Inputs &amp; Assumptions'!$U$34*EXP('Model Inputs &amp; Assumptions'!$V$34*Q3254-'Model Inputs &amp; Assumptions'!$V$34^2/2))</f>
        <v>0.21726244112917</v>
      </c>
      <c r="E3254" s="45" t="n">
        <f aca="false">ROUND(C3254*D3254,0)</f>
        <v>127117</v>
      </c>
      <c r="F3254" s="47" t="n">
        <f aca="false">MIN(1,'Model Inputs &amp; Assumptions'!$W$34*EXP('Model Inputs &amp; Assumptions'!$X$34*R3254-'Model Inputs &amp; Assumptions'!$X$34^2/2))</f>
        <v>0.00507518181158015</v>
      </c>
      <c r="G3254" s="45" t="n">
        <f aca="false">ROUND(C3254*F3254,0)</f>
        <v>2969</v>
      </c>
      <c r="H3254" s="48" t="n">
        <f aca="false">MAX(0,(C3254*'Model Inputs &amp; Assumptions'!$N$34+E3254*'Model Inputs &amp; Assumptions'!$O$34+G3254*'Model Inputs &amp; Assumptions'!$P$34)*EXP('Model Inputs &amp; Assumptions'!$Q$34*S3254-'Model Inputs &amp; Assumptions'!$Q$34^2/2))</f>
        <v>55.1244235359265</v>
      </c>
      <c r="I3254" s="49" t="n">
        <f aca="false">IF('Model Inputs &amp; Assumptions'!$H$34="Fixed",'Model Inputs &amp; Assumptions'!$I$34*'Model Inputs &amp; Assumptions'!$K$34,IF('Model Inputs &amp; Assumptions'!$H$34="CPM",'Model Inputs &amp; Assumptions'!$I$34*'Model Inputs &amp; Assumptions'!$K$34*C3254/1000,IF('Model Inputs &amp; Assumptions'!$H$34="CPC",'Model Inputs &amp; Assumptions'!$I$34*'Model Inputs &amp; Assumptions'!$K$34*G3254,0)))</f>
        <v>5492.65</v>
      </c>
      <c r="J3254" s="50" t="n">
        <f aca="false">H3254*INDEX('Model Inputs &amp; Assumptions'!$D$40:$D$42,MATCH('Model Inputs &amp; Assumptions'!$L$34,'Model Inputs &amp; Assumptions'!$A$40:$A$42,0))*INDEX('Model Inputs &amp; Assumptions'!$H$40:$H$42,MATCH('Model Inputs &amp; Assumptions'!$L$34,'Model Inputs &amp; Assumptions'!$A$40:$A$42,0))</f>
        <v>396895.849458671</v>
      </c>
      <c r="K3254" s="49" t="n">
        <f aca="false">H3254*INDEX('Model Inputs &amp; Assumptions'!$G$40:$G$42,MATCH('Model Inputs &amp; Assumptions'!$L$34,'Model Inputs &amp; Assumptions'!$A$40:$A$42,0))*INDEX('Model Inputs &amp; Assumptions'!$H$40:$H$42,MATCH('Model Inputs &amp; Assumptions'!$L$34,'Model Inputs &amp; Assumptions'!$A$40:$A$42,0))</f>
        <v>8751.5534805637</v>
      </c>
      <c r="L3254" s="51" t="n">
        <f aca="false">IFERROR(K3254/I3254,0)</f>
        <v>1.59332079789604</v>
      </c>
      <c r="M3254" s="49" t="n">
        <f aca="false">IFERROR(I3254/H3254,0)</f>
        <v>99.6409512821526</v>
      </c>
      <c r="N3254" s="52" t="str">
        <f aca="false">'Model Inputs &amp; Assumptions'!$L$34</f>
        <v>PRD-USIQ</v>
      </c>
      <c r="P3254" s="53" t="n">
        <v>0.689656</v>
      </c>
      <c r="Q3254" s="53" t="n">
        <v>-0.276083</v>
      </c>
      <c r="R3254" s="53" t="n">
        <v>-0.839984</v>
      </c>
      <c r="S3254" s="53" t="n">
        <v>-0.566387</v>
      </c>
    </row>
    <row r="3255" customFormat="false" ht="15" hidden="false" customHeight="false" outlineLevel="0" collapsed="false">
      <c r="A3255" s="43" t="n">
        <v>252</v>
      </c>
      <c r="B3255" s="44" t="str">
        <f aca="false">'Model Inputs &amp; Assumptions'!$B$34</f>
        <v>Meta — Lookalike Feed Video</v>
      </c>
      <c r="C3255" s="45" t="n">
        <f aca="false">ROUND(MAX(0,'Model Inputs &amp; Assumptions'!$S$34*EXP('Model Inputs &amp; Assumptions'!$T$34*P3255-'Model Inputs &amp; Assumptions'!$T$34^2/2)),0)</f>
        <v>539747</v>
      </c>
      <c r="D3255" s="46" t="n">
        <f aca="false">MIN(1,'Model Inputs &amp; Assumptions'!$U$34*EXP('Model Inputs &amp; Assumptions'!$V$34*Q3255-'Model Inputs &amp; Assumptions'!$V$34^2/2))</f>
        <v>0.259931181365302</v>
      </c>
      <c r="E3255" s="45" t="n">
        <f aca="false">ROUND(C3255*D3255,0)</f>
        <v>140297</v>
      </c>
      <c r="F3255" s="47" t="n">
        <f aca="false">MIN(1,'Model Inputs &amp; Assumptions'!$W$34*EXP('Model Inputs &amp; Assumptions'!$X$34*R3255-'Model Inputs &amp; Assumptions'!$X$34^2/2))</f>
        <v>0.00669893667935446</v>
      </c>
      <c r="G3255" s="45" t="n">
        <f aca="false">ROUND(C3255*F3255,0)</f>
        <v>3616</v>
      </c>
      <c r="H3255" s="48" t="n">
        <f aca="false">MAX(0,(C3255*'Model Inputs &amp; Assumptions'!$N$34+E3255*'Model Inputs &amp; Assumptions'!$O$34+G3255*'Model Inputs &amp; Assumptions'!$P$34)*EXP('Model Inputs &amp; Assumptions'!$Q$34*S3255-'Model Inputs &amp; Assumptions'!$Q$34^2/2))</f>
        <v>67.2443800147099</v>
      </c>
      <c r="I3255" s="49" t="n">
        <f aca="false">IF('Model Inputs &amp; Assumptions'!$H$34="Fixed",'Model Inputs &amp; Assumptions'!$I$34*'Model Inputs &amp; Assumptions'!$K$34,IF('Model Inputs &amp; Assumptions'!$H$34="CPM",'Model Inputs &amp; Assumptions'!$I$34*'Model Inputs &amp; Assumptions'!$K$34*C3255/1000,IF('Model Inputs &amp; Assumptions'!$H$34="CPC",'Model Inputs &amp; Assumptions'!$I$34*'Model Inputs &amp; Assumptions'!$K$34*G3255,0)))</f>
        <v>6689.6</v>
      </c>
      <c r="J3255" s="50" t="n">
        <f aca="false">H3255*INDEX('Model Inputs &amp; Assumptions'!$D$40:$D$42,MATCH('Model Inputs &amp; Assumptions'!$L$34,'Model Inputs &amp; Assumptions'!$A$40:$A$42,0))*INDEX('Model Inputs &amp; Assumptions'!$H$40:$H$42,MATCH('Model Inputs &amp; Assumptions'!$L$34,'Model Inputs &amp; Assumptions'!$A$40:$A$42,0))</f>
        <v>484159.536105911</v>
      </c>
      <c r="K3255" s="49" t="n">
        <f aca="false">H3255*INDEX('Model Inputs &amp; Assumptions'!$G$40:$G$42,MATCH('Model Inputs &amp; Assumptions'!$L$34,'Model Inputs &amp; Assumptions'!$A$40:$A$42,0))*INDEX('Model Inputs &amp; Assumptions'!$H$40:$H$42,MATCH('Model Inputs &amp; Assumptions'!$L$34,'Model Inputs &amp; Assumptions'!$A$40:$A$42,0))</f>
        <v>10675.7177711353</v>
      </c>
      <c r="L3255" s="51" t="n">
        <f aca="false">IFERROR(K3255/I3255,0)</f>
        <v>1.59586788016254</v>
      </c>
      <c r="M3255" s="49" t="n">
        <f aca="false">IFERROR(I3255/H3255,0)</f>
        <v>99.4819195081676</v>
      </c>
      <c r="N3255" s="52" t="str">
        <f aca="false">'Model Inputs &amp; Assumptions'!$L$34</f>
        <v>PRD-USIQ</v>
      </c>
      <c r="P3255" s="53" t="n">
        <v>0.286359</v>
      </c>
      <c r="Q3255" s="53" t="n">
        <v>0.84461</v>
      </c>
      <c r="R3255" s="53" t="n">
        <v>0.702163</v>
      </c>
      <c r="S3255" s="53" t="n">
        <v>-0.518241</v>
      </c>
    </row>
    <row r="3256" customFormat="false" ht="15" hidden="false" customHeight="false" outlineLevel="0" collapsed="false">
      <c r="A3256" s="43" t="n">
        <v>253</v>
      </c>
      <c r="B3256" s="44" t="str">
        <f aca="false">'Model Inputs &amp; Assumptions'!$B$34</f>
        <v>Meta — Lookalike Feed Video</v>
      </c>
      <c r="C3256" s="45" t="n">
        <f aca="false">ROUND(MAX(0,'Model Inputs &amp; Assumptions'!$S$34*EXP('Model Inputs &amp; Assumptions'!$T$34*P3256-'Model Inputs &amp; Assumptions'!$T$34^2/2)),0)</f>
        <v>460977</v>
      </c>
      <c r="D3256" s="46" t="n">
        <f aca="false">MIN(1,'Model Inputs &amp; Assumptions'!$U$34*EXP('Model Inputs &amp; Assumptions'!$V$34*Q3256-'Model Inputs &amp; Assumptions'!$V$34^2/2))</f>
        <v>0.183757874008761</v>
      </c>
      <c r="E3256" s="45" t="n">
        <f aca="false">ROUND(C3256*D3256,0)</f>
        <v>84708</v>
      </c>
      <c r="F3256" s="47" t="n">
        <f aca="false">MIN(1,'Model Inputs &amp; Assumptions'!$W$34*EXP('Model Inputs &amp; Assumptions'!$X$34*R3256-'Model Inputs &amp; Assumptions'!$X$34^2/2))</f>
        <v>0.00725103827695971</v>
      </c>
      <c r="G3256" s="45" t="n">
        <f aca="false">ROUND(C3256*F3256,0)</f>
        <v>3343</v>
      </c>
      <c r="H3256" s="48" t="n">
        <f aca="false">MAX(0,(C3256*'Model Inputs &amp; Assumptions'!$N$34+E3256*'Model Inputs &amp; Assumptions'!$O$34+G3256*'Model Inputs &amp; Assumptions'!$P$34)*EXP('Model Inputs &amp; Assumptions'!$Q$34*S3256-'Model Inputs &amp; Assumptions'!$Q$34^2/2))</f>
        <v>73.5244914666426</v>
      </c>
      <c r="I3256" s="49" t="n">
        <f aca="false">IF('Model Inputs &amp; Assumptions'!$H$34="Fixed",'Model Inputs &amp; Assumptions'!$I$34*'Model Inputs &amp; Assumptions'!$K$34,IF('Model Inputs &amp; Assumptions'!$H$34="CPM",'Model Inputs &amp; Assumptions'!$I$34*'Model Inputs &amp; Assumptions'!$K$34*C3256/1000,IF('Model Inputs &amp; Assumptions'!$H$34="CPC",'Model Inputs &amp; Assumptions'!$I$34*'Model Inputs &amp; Assumptions'!$K$34*G3256,0)))</f>
        <v>6184.55</v>
      </c>
      <c r="J3256" s="50" t="n">
        <f aca="false">H3256*INDEX('Model Inputs &amp; Assumptions'!$D$40:$D$42,MATCH('Model Inputs &amp; Assumptions'!$L$34,'Model Inputs &amp; Assumptions'!$A$40:$A$42,0))*INDEX('Model Inputs &amp; Assumptions'!$H$40:$H$42,MATCH('Model Inputs &amp; Assumptions'!$L$34,'Model Inputs &amp; Assumptions'!$A$40:$A$42,0))</f>
        <v>529376.338559827</v>
      </c>
      <c r="K3256" s="49" t="n">
        <f aca="false">H3256*INDEX('Model Inputs &amp; Assumptions'!$G$40:$G$42,MATCH('Model Inputs &amp; Assumptions'!$L$34,'Model Inputs &amp; Assumptions'!$A$40:$A$42,0))*INDEX('Model Inputs &amp; Assumptions'!$H$40:$H$42,MATCH('Model Inputs &amp; Assumptions'!$L$34,'Model Inputs &amp; Assumptions'!$A$40:$A$42,0))</f>
        <v>11672.7482652442</v>
      </c>
      <c r="L3256" s="51" t="n">
        <f aca="false">IFERROR(K3256/I3256,0)</f>
        <v>1.88740462365801</v>
      </c>
      <c r="M3256" s="49" t="n">
        <f aca="false">IFERROR(I3256/H3256,0)</f>
        <v>84.1155086778924</v>
      </c>
      <c r="N3256" s="52" t="str">
        <f aca="false">'Model Inputs &amp; Assumptions'!$L$34</f>
        <v>PRD-USIQ</v>
      </c>
      <c r="P3256" s="53" t="n">
        <v>-0.5024</v>
      </c>
      <c r="Q3256" s="53" t="n">
        <v>-1.322877</v>
      </c>
      <c r="R3256" s="53" t="n">
        <v>1.14214</v>
      </c>
      <c r="S3256" s="53" t="n">
        <v>0.155237</v>
      </c>
    </row>
    <row r="3257" customFormat="false" ht="15" hidden="false" customHeight="false" outlineLevel="0" collapsed="false">
      <c r="A3257" s="43" t="n">
        <v>254</v>
      </c>
      <c r="B3257" s="44" t="str">
        <f aca="false">'Model Inputs &amp; Assumptions'!$B$34</f>
        <v>Meta — Lookalike Feed Video</v>
      </c>
      <c r="C3257" s="45" t="n">
        <f aca="false">ROUND(MAX(0,'Model Inputs &amp; Assumptions'!$S$34*EXP('Model Inputs &amp; Assumptions'!$T$34*P3257-'Model Inputs &amp; Assumptions'!$T$34^2/2)),0)</f>
        <v>445814</v>
      </c>
      <c r="D3257" s="46" t="n">
        <f aca="false">MIN(1,'Model Inputs &amp; Assumptions'!$U$34*EXP('Model Inputs &amp; Assumptions'!$V$34*Q3257-'Model Inputs &amp; Assumptions'!$V$34^2/2))</f>
        <v>0.229282784586589</v>
      </c>
      <c r="E3257" s="45" t="n">
        <f aca="false">ROUND(C3257*D3257,0)</f>
        <v>102217</v>
      </c>
      <c r="F3257" s="47" t="n">
        <f aca="false">MIN(1,'Model Inputs &amp; Assumptions'!$W$34*EXP('Model Inputs &amp; Assumptions'!$X$34*R3257-'Model Inputs &amp; Assumptions'!$X$34^2/2))</f>
        <v>0.0075577182755159</v>
      </c>
      <c r="G3257" s="45" t="n">
        <f aca="false">ROUND(C3257*F3257,0)</f>
        <v>3369</v>
      </c>
      <c r="H3257" s="48" t="n">
        <f aca="false">MAX(0,(C3257*'Model Inputs &amp; Assumptions'!$N$34+E3257*'Model Inputs &amp; Assumptions'!$O$34+G3257*'Model Inputs &amp; Assumptions'!$P$34)*EXP('Model Inputs &amp; Assumptions'!$Q$34*S3257-'Model Inputs &amp; Assumptions'!$Q$34^2/2))</f>
        <v>61.7804210575425</v>
      </c>
      <c r="I3257" s="49" t="n">
        <f aca="false">IF('Model Inputs &amp; Assumptions'!$H$34="Fixed",'Model Inputs &amp; Assumptions'!$I$34*'Model Inputs &amp; Assumptions'!$K$34,IF('Model Inputs &amp; Assumptions'!$H$34="CPM",'Model Inputs &amp; Assumptions'!$I$34*'Model Inputs &amp; Assumptions'!$K$34*C3257/1000,IF('Model Inputs &amp; Assumptions'!$H$34="CPC",'Model Inputs &amp; Assumptions'!$I$34*'Model Inputs &amp; Assumptions'!$K$34*G3257,0)))</f>
        <v>6232.65</v>
      </c>
      <c r="J3257" s="50" t="n">
        <f aca="false">H3257*INDEX('Model Inputs &amp; Assumptions'!$D$40:$D$42,MATCH('Model Inputs &amp; Assumptions'!$L$34,'Model Inputs &amp; Assumptions'!$A$40:$A$42,0))*INDEX('Model Inputs &amp; Assumptions'!$H$40:$H$42,MATCH('Model Inputs &amp; Assumptions'!$L$34,'Model Inputs &amp; Assumptions'!$A$40:$A$42,0))</f>
        <v>444819.031614306</v>
      </c>
      <c r="K3257" s="49" t="n">
        <f aca="false">H3257*INDEX('Model Inputs &amp; Assumptions'!$G$40:$G$42,MATCH('Model Inputs &amp; Assumptions'!$L$34,'Model Inputs &amp; Assumptions'!$A$40:$A$42,0))*INDEX('Model Inputs &amp; Assumptions'!$H$40:$H$42,MATCH('Model Inputs &amp; Assumptions'!$L$34,'Model Inputs &amp; Assumptions'!$A$40:$A$42,0))</f>
        <v>9808.25964709544</v>
      </c>
      <c r="L3257" s="51" t="n">
        <f aca="false">IFERROR(K3257/I3257,0)</f>
        <v>1.57369010727306</v>
      </c>
      <c r="M3257" s="49" t="n">
        <f aca="false">IFERROR(I3257/H3257,0)</f>
        <v>100.883902914726</v>
      </c>
      <c r="N3257" s="52" t="str">
        <f aca="false">'Model Inputs &amp; Assumptions'!$L$34</f>
        <v>PRD-USIQ</v>
      </c>
      <c r="P3257" s="53" t="n">
        <v>-0.669636</v>
      </c>
      <c r="Q3257" s="53" t="n">
        <v>0.06048</v>
      </c>
      <c r="R3257" s="53" t="n">
        <v>1.372277</v>
      </c>
      <c r="S3257" s="53" t="n">
        <v>-0.46908</v>
      </c>
    </row>
    <row r="3258" customFormat="false" ht="15" hidden="false" customHeight="false" outlineLevel="0" collapsed="false">
      <c r="A3258" s="43" t="n">
        <v>255</v>
      </c>
      <c r="B3258" s="44" t="str">
        <f aca="false">'Model Inputs &amp; Assumptions'!$B$34</f>
        <v>Meta — Lookalike Feed Video</v>
      </c>
      <c r="C3258" s="45" t="n">
        <f aca="false">ROUND(MAX(0,'Model Inputs &amp; Assumptions'!$S$34*EXP('Model Inputs &amp; Assumptions'!$T$34*P3258-'Model Inputs &amp; Assumptions'!$T$34^2/2)),0)</f>
        <v>547023</v>
      </c>
      <c r="D3258" s="46" t="n">
        <f aca="false">MIN(1,'Model Inputs &amp; Assumptions'!$U$34*EXP('Model Inputs &amp; Assumptions'!$V$34*Q3258-'Model Inputs &amp; Assumptions'!$V$34^2/2))</f>
        <v>0.203496488442549</v>
      </c>
      <c r="E3258" s="45" t="n">
        <f aca="false">ROUND(C3258*D3258,0)</f>
        <v>111317</v>
      </c>
      <c r="F3258" s="47" t="n">
        <f aca="false">MIN(1,'Model Inputs &amp; Assumptions'!$W$34*EXP('Model Inputs &amp; Assumptions'!$X$34*R3258-'Model Inputs &amp; Assumptions'!$X$34^2/2))</f>
        <v>0.00761541109073411</v>
      </c>
      <c r="G3258" s="45" t="n">
        <f aca="false">ROUND(C3258*F3258,0)</f>
        <v>4166</v>
      </c>
      <c r="H3258" s="48" t="n">
        <f aca="false">MAX(0,(C3258*'Model Inputs &amp; Assumptions'!$N$34+E3258*'Model Inputs &amp; Assumptions'!$O$34+G3258*'Model Inputs &amp; Assumptions'!$P$34)*EXP('Model Inputs &amp; Assumptions'!$Q$34*S3258-'Model Inputs &amp; Assumptions'!$Q$34^2/2))</f>
        <v>51.2006192639839</v>
      </c>
      <c r="I3258" s="49" t="n">
        <f aca="false">IF('Model Inputs &amp; Assumptions'!$H$34="Fixed",'Model Inputs &amp; Assumptions'!$I$34*'Model Inputs &amp; Assumptions'!$K$34,IF('Model Inputs &amp; Assumptions'!$H$34="CPM",'Model Inputs &amp; Assumptions'!$I$34*'Model Inputs &amp; Assumptions'!$K$34*C3258/1000,IF('Model Inputs &amp; Assumptions'!$H$34="CPC",'Model Inputs &amp; Assumptions'!$I$34*'Model Inputs &amp; Assumptions'!$K$34*G3258,0)))</f>
        <v>7707.1</v>
      </c>
      <c r="J3258" s="50" t="n">
        <f aca="false">H3258*INDEX('Model Inputs &amp; Assumptions'!$D$40:$D$42,MATCH('Model Inputs &amp; Assumptions'!$L$34,'Model Inputs &amp; Assumptions'!$A$40:$A$42,0))*INDEX('Model Inputs &amp; Assumptions'!$H$40:$H$42,MATCH('Model Inputs &amp; Assumptions'!$L$34,'Model Inputs &amp; Assumptions'!$A$40:$A$42,0))</f>
        <v>368644.458700684</v>
      </c>
      <c r="K3258" s="49" t="n">
        <f aca="false">H3258*INDEX('Model Inputs &amp; Assumptions'!$G$40:$G$42,MATCH('Model Inputs &amp; Assumptions'!$L$34,'Model Inputs &amp; Assumptions'!$A$40:$A$42,0))*INDEX('Model Inputs &amp; Assumptions'!$H$40:$H$42,MATCH('Model Inputs &amp; Assumptions'!$L$34,'Model Inputs &amp; Assumptions'!$A$40:$A$42,0))</f>
        <v>8128.61031435008</v>
      </c>
      <c r="L3258" s="51" t="n">
        <f aca="false">IFERROR(K3258/I3258,0)</f>
        <v>1.05469116974609</v>
      </c>
      <c r="M3258" s="49" t="n">
        <f aca="false">IFERROR(I3258/H3258,0)</f>
        <v>150.527476245222</v>
      </c>
      <c r="N3258" s="52" t="str">
        <f aca="false">'Model Inputs &amp; Assumptions'!$L$34</f>
        <v>PRD-USIQ</v>
      </c>
      <c r="P3258" s="53" t="n">
        <v>0.353313</v>
      </c>
      <c r="Q3258" s="53" t="n">
        <v>-0.685191</v>
      </c>
      <c r="R3258" s="53" t="n">
        <v>1.414525</v>
      </c>
      <c r="S3258" s="53" t="n">
        <v>-1.679011</v>
      </c>
    </row>
    <row r="3259" customFormat="false" ht="15" hidden="false" customHeight="false" outlineLevel="0" collapsed="false">
      <c r="A3259" s="43" t="n">
        <v>256</v>
      </c>
      <c r="B3259" s="44" t="str">
        <f aca="false">'Model Inputs &amp; Assumptions'!$B$34</f>
        <v>Meta — Lookalike Feed Video</v>
      </c>
      <c r="C3259" s="45" t="n">
        <f aca="false">ROUND(MAX(0,'Model Inputs &amp; Assumptions'!$S$34*EXP('Model Inputs &amp; Assumptions'!$T$34*P3259-'Model Inputs &amp; Assumptions'!$T$34^2/2)),0)</f>
        <v>380361</v>
      </c>
      <c r="D3259" s="46" t="n">
        <f aca="false">MIN(1,'Model Inputs &amp; Assumptions'!$U$34*EXP('Model Inputs &amp; Assumptions'!$V$34*Q3259-'Model Inputs &amp; Assumptions'!$V$34^2/2))</f>
        <v>0.186765419633544</v>
      </c>
      <c r="E3259" s="45" t="n">
        <f aca="false">ROUND(C3259*D3259,0)</f>
        <v>71038</v>
      </c>
      <c r="F3259" s="47" t="n">
        <f aca="false">MIN(1,'Model Inputs &amp; Assumptions'!$W$34*EXP('Model Inputs &amp; Assumptions'!$X$34*R3259-'Model Inputs &amp; Assumptions'!$X$34^2/2))</f>
        <v>0.00672523379021621</v>
      </c>
      <c r="G3259" s="45" t="n">
        <f aca="false">ROUND(C3259*F3259,0)</f>
        <v>2558</v>
      </c>
      <c r="H3259" s="48" t="n">
        <f aca="false">MAX(0,(C3259*'Model Inputs &amp; Assumptions'!$N$34+E3259*'Model Inputs &amp; Assumptions'!$O$34+G3259*'Model Inputs &amp; Assumptions'!$P$34)*EXP('Model Inputs &amp; Assumptions'!$Q$34*S3259-'Model Inputs &amp; Assumptions'!$Q$34^2/2))</f>
        <v>35.852873070143</v>
      </c>
      <c r="I3259" s="49" t="n">
        <f aca="false">IF('Model Inputs &amp; Assumptions'!$H$34="Fixed",'Model Inputs &amp; Assumptions'!$I$34*'Model Inputs &amp; Assumptions'!$K$34,IF('Model Inputs &amp; Assumptions'!$H$34="CPM",'Model Inputs &amp; Assumptions'!$I$34*'Model Inputs &amp; Assumptions'!$K$34*C3259/1000,IF('Model Inputs &amp; Assumptions'!$H$34="CPC",'Model Inputs &amp; Assumptions'!$I$34*'Model Inputs &amp; Assumptions'!$K$34*G3259,0)))</f>
        <v>4732.3</v>
      </c>
      <c r="J3259" s="50" t="n">
        <f aca="false">H3259*INDEX('Model Inputs &amp; Assumptions'!$D$40:$D$42,MATCH('Model Inputs &amp; Assumptions'!$L$34,'Model Inputs &amp; Assumptions'!$A$40:$A$42,0))*INDEX('Model Inputs &amp; Assumptions'!$H$40:$H$42,MATCH('Model Inputs &amp; Assumptions'!$L$34,'Model Inputs &amp; Assumptions'!$A$40:$A$42,0))</f>
        <v>258140.68610503</v>
      </c>
      <c r="K3259" s="49" t="n">
        <f aca="false">H3259*INDEX('Model Inputs &amp; Assumptions'!$G$40:$G$42,MATCH('Model Inputs &amp; Assumptions'!$L$34,'Model Inputs &amp; Assumptions'!$A$40:$A$42,0))*INDEX('Model Inputs &amp; Assumptions'!$H$40:$H$42,MATCH('Model Inputs &amp; Assumptions'!$L$34,'Model Inputs &amp; Assumptions'!$A$40:$A$42,0))</f>
        <v>5692.00212861591</v>
      </c>
      <c r="L3259" s="51" t="n">
        <f aca="false">IFERROR(K3259/I3259,0)</f>
        <v>1.20279824369036</v>
      </c>
      <c r="M3259" s="49" t="n">
        <f aca="false">IFERROR(I3259/H3259,0)</f>
        <v>131.992211356163</v>
      </c>
      <c r="N3259" s="52" t="str">
        <f aca="false">'Model Inputs &amp; Assumptions'!$L$34</f>
        <v>PRD-USIQ</v>
      </c>
      <c r="P3259" s="53" t="n">
        <v>-1.463538</v>
      </c>
      <c r="Q3259" s="53" t="n">
        <v>-1.221412</v>
      </c>
      <c r="R3259" s="53" t="n">
        <v>0.723929</v>
      </c>
      <c r="S3259" s="53" t="n">
        <v>-1.280219</v>
      </c>
    </row>
    <row r="3260" customFormat="false" ht="15" hidden="false" customHeight="false" outlineLevel="0" collapsed="false">
      <c r="A3260" s="43" t="n">
        <v>257</v>
      </c>
      <c r="B3260" s="44" t="str">
        <f aca="false">'Model Inputs &amp; Assumptions'!$B$34</f>
        <v>Meta — Lookalike Feed Video</v>
      </c>
      <c r="C3260" s="45" t="n">
        <f aca="false">ROUND(MAX(0,'Model Inputs &amp; Assumptions'!$S$34*EXP('Model Inputs &amp; Assumptions'!$T$34*P3260-'Model Inputs &amp; Assumptions'!$T$34^2/2)),0)</f>
        <v>399709</v>
      </c>
      <c r="D3260" s="46" t="n">
        <f aca="false">MIN(1,'Model Inputs &amp; Assumptions'!$U$34*EXP('Model Inputs &amp; Assumptions'!$V$34*Q3260-'Model Inputs &amp; Assumptions'!$V$34^2/2))</f>
        <v>0.202841342398827</v>
      </c>
      <c r="E3260" s="45" t="n">
        <f aca="false">ROUND(C3260*D3260,0)</f>
        <v>81078</v>
      </c>
      <c r="F3260" s="47" t="n">
        <f aca="false">MIN(1,'Model Inputs &amp; Assumptions'!$W$34*EXP('Model Inputs &amp; Assumptions'!$X$34*R3260-'Model Inputs &amp; Assumptions'!$X$34^2/2))</f>
        <v>0.00652048062836163</v>
      </c>
      <c r="G3260" s="45" t="n">
        <f aca="false">ROUND(C3260*F3260,0)</f>
        <v>2606</v>
      </c>
      <c r="H3260" s="48" t="n">
        <f aca="false">MAX(0,(C3260*'Model Inputs &amp; Assumptions'!$N$34+E3260*'Model Inputs &amp; Assumptions'!$O$34+G3260*'Model Inputs &amp; Assumptions'!$P$34)*EXP('Model Inputs &amp; Assumptions'!$Q$34*S3260-'Model Inputs &amp; Assumptions'!$Q$34^2/2))</f>
        <v>63.246951926151</v>
      </c>
      <c r="I3260" s="49" t="n">
        <f aca="false">IF('Model Inputs &amp; Assumptions'!$H$34="Fixed",'Model Inputs &amp; Assumptions'!$I$34*'Model Inputs &amp; Assumptions'!$K$34,IF('Model Inputs &amp; Assumptions'!$H$34="CPM",'Model Inputs &amp; Assumptions'!$I$34*'Model Inputs &amp; Assumptions'!$K$34*C3260/1000,IF('Model Inputs &amp; Assumptions'!$H$34="CPC",'Model Inputs &amp; Assumptions'!$I$34*'Model Inputs &amp; Assumptions'!$K$34*G3260,0)))</f>
        <v>4821.1</v>
      </c>
      <c r="J3260" s="50" t="n">
        <f aca="false">H3260*INDEX('Model Inputs &amp; Assumptions'!$D$40:$D$42,MATCH('Model Inputs &amp; Assumptions'!$L$34,'Model Inputs &amp; Assumptions'!$A$40:$A$42,0))*INDEX('Model Inputs &amp; Assumptions'!$H$40:$H$42,MATCH('Model Inputs &amp; Assumptions'!$L$34,'Model Inputs &amp; Assumptions'!$A$40:$A$42,0))</f>
        <v>455378.053868287</v>
      </c>
      <c r="K3260" s="49" t="n">
        <f aca="false">H3260*INDEX('Model Inputs &amp; Assumptions'!$G$40:$G$42,MATCH('Model Inputs &amp; Assumptions'!$L$34,'Model Inputs &amp; Assumptions'!$A$40:$A$42,0))*INDEX('Model Inputs &amp; Assumptions'!$H$40:$H$42,MATCH('Model Inputs &amp; Assumptions'!$L$34,'Model Inputs &amp; Assumptions'!$A$40:$A$42,0))</f>
        <v>10041.0860877957</v>
      </c>
      <c r="L3260" s="51" t="n">
        <f aca="false">IFERROR(K3260/I3260,0)</f>
        <v>2.08273756773262</v>
      </c>
      <c r="M3260" s="49" t="n">
        <f aca="false">IFERROR(I3260/H3260,0)</f>
        <v>76.226598328869</v>
      </c>
      <c r="N3260" s="52" t="str">
        <f aca="false">'Model Inputs &amp; Assumptions'!$L$34</f>
        <v>PRD-USIQ</v>
      </c>
      <c r="P3260" s="53" t="n">
        <v>-1.215459</v>
      </c>
      <c r="Q3260" s="53" t="n">
        <v>-0.705345</v>
      </c>
      <c r="R3260" s="53" t="n">
        <v>0.552159</v>
      </c>
      <c r="S3260" s="53" t="n">
        <v>0.398143</v>
      </c>
    </row>
    <row r="3261" customFormat="false" ht="15" hidden="false" customHeight="false" outlineLevel="0" collapsed="false">
      <c r="A3261" s="43" t="n">
        <v>258</v>
      </c>
      <c r="B3261" s="44" t="str">
        <f aca="false">'Model Inputs &amp; Assumptions'!$B$34</f>
        <v>Meta — Lookalike Feed Video</v>
      </c>
      <c r="C3261" s="45" t="n">
        <f aca="false">ROUND(MAX(0,'Model Inputs &amp; Assumptions'!$S$34*EXP('Model Inputs &amp; Assumptions'!$T$34*P3261-'Model Inputs &amp; Assumptions'!$T$34^2/2)),0)</f>
        <v>465735</v>
      </c>
      <c r="D3261" s="46" t="n">
        <f aca="false">MIN(1,'Model Inputs &amp; Assumptions'!$U$34*EXP('Model Inputs &amp; Assumptions'!$V$34*Q3261-'Model Inputs &amp; Assumptions'!$V$34^2/2))</f>
        <v>0.224808747341325</v>
      </c>
      <c r="E3261" s="45" t="n">
        <f aca="false">ROUND(C3261*D3261,0)</f>
        <v>104701</v>
      </c>
      <c r="F3261" s="47" t="n">
        <f aca="false">MIN(1,'Model Inputs &amp; Assumptions'!$W$34*EXP('Model Inputs &amp; Assumptions'!$X$34*R3261-'Model Inputs &amp; Assumptions'!$X$34^2/2))</f>
        <v>0.00441486867853804</v>
      </c>
      <c r="G3261" s="45" t="n">
        <f aca="false">ROUND(C3261*F3261,0)</f>
        <v>2056</v>
      </c>
      <c r="H3261" s="48" t="n">
        <f aca="false">MAX(0,(C3261*'Model Inputs &amp; Assumptions'!$N$34+E3261*'Model Inputs &amp; Assumptions'!$O$34+G3261*'Model Inputs &amp; Assumptions'!$P$34)*EXP('Model Inputs &amp; Assumptions'!$Q$34*S3261-'Model Inputs &amp; Assumptions'!$Q$34^2/2))</f>
        <v>40.897469655433</v>
      </c>
      <c r="I3261" s="49" t="n">
        <f aca="false">IF('Model Inputs &amp; Assumptions'!$H$34="Fixed",'Model Inputs &amp; Assumptions'!$I$34*'Model Inputs &amp; Assumptions'!$K$34,IF('Model Inputs &amp; Assumptions'!$H$34="CPM",'Model Inputs &amp; Assumptions'!$I$34*'Model Inputs &amp; Assumptions'!$K$34*C3261/1000,IF('Model Inputs &amp; Assumptions'!$H$34="CPC",'Model Inputs &amp; Assumptions'!$I$34*'Model Inputs &amp; Assumptions'!$K$34*G3261,0)))</f>
        <v>3803.6</v>
      </c>
      <c r="J3261" s="50" t="n">
        <f aca="false">H3261*INDEX('Model Inputs &amp; Assumptions'!$D$40:$D$42,MATCH('Model Inputs &amp; Assumptions'!$L$34,'Model Inputs &amp; Assumptions'!$A$40:$A$42,0))*INDEX('Model Inputs &amp; Assumptions'!$H$40:$H$42,MATCH('Model Inputs &amp; Assumptions'!$L$34,'Model Inputs &amp; Assumptions'!$A$40:$A$42,0))</f>
        <v>294461.781519117</v>
      </c>
      <c r="K3261" s="49" t="n">
        <f aca="false">H3261*INDEX('Model Inputs &amp; Assumptions'!$G$40:$G$42,MATCH('Model Inputs &amp; Assumptions'!$L$34,'Model Inputs &amp; Assumptions'!$A$40:$A$42,0))*INDEX('Model Inputs &amp; Assumptions'!$H$40:$H$42,MATCH('Model Inputs &amp; Assumptions'!$L$34,'Model Inputs &amp; Assumptions'!$A$40:$A$42,0))</f>
        <v>6492.88228249654</v>
      </c>
      <c r="L3261" s="51" t="n">
        <f aca="false">IFERROR(K3261/I3261,0)</f>
        <v>1.70703604019785</v>
      </c>
      <c r="M3261" s="49" t="n">
        <f aca="false">IFERROR(I3261/H3261,0)</f>
        <v>93.0033088121557</v>
      </c>
      <c r="N3261" s="52" t="str">
        <f aca="false">'Model Inputs &amp; Assumptions'!$L$34</f>
        <v>PRD-USIQ</v>
      </c>
      <c r="P3261" s="53" t="n">
        <v>-0.451063</v>
      </c>
      <c r="Q3261" s="53" t="n">
        <v>-0.062683</v>
      </c>
      <c r="R3261" s="53" t="n">
        <v>-1.614341</v>
      </c>
      <c r="S3261" s="53" t="n">
        <v>-0.436329</v>
      </c>
    </row>
    <row r="3262" customFormat="false" ht="15" hidden="false" customHeight="false" outlineLevel="0" collapsed="false">
      <c r="A3262" s="43" t="n">
        <v>259</v>
      </c>
      <c r="B3262" s="44" t="str">
        <f aca="false">'Model Inputs &amp; Assumptions'!$B$34</f>
        <v>Meta — Lookalike Feed Video</v>
      </c>
      <c r="C3262" s="45" t="n">
        <f aca="false">ROUND(MAX(0,'Model Inputs &amp; Assumptions'!$S$34*EXP('Model Inputs &amp; Assumptions'!$T$34*P3262-'Model Inputs &amp; Assumptions'!$T$34^2/2)),0)</f>
        <v>373636</v>
      </c>
      <c r="D3262" s="46" t="n">
        <f aca="false">MIN(1,'Model Inputs &amp; Assumptions'!$U$34*EXP('Model Inputs &amp; Assumptions'!$V$34*Q3262-'Model Inputs &amp; Assumptions'!$V$34^2/2))</f>
        <v>0.254052167280186</v>
      </c>
      <c r="E3262" s="45" t="n">
        <f aca="false">ROUND(C3262*D3262,0)</f>
        <v>94923</v>
      </c>
      <c r="F3262" s="47" t="n">
        <f aca="false">MIN(1,'Model Inputs &amp; Assumptions'!$W$34*EXP('Model Inputs &amp; Assumptions'!$X$34*R3262-'Model Inputs &amp; Assumptions'!$X$34^2/2))</f>
        <v>0.00464052482755232</v>
      </c>
      <c r="G3262" s="45" t="n">
        <f aca="false">ROUND(C3262*F3262,0)</f>
        <v>1734</v>
      </c>
      <c r="H3262" s="48" t="n">
        <f aca="false">MAX(0,(C3262*'Model Inputs &amp; Assumptions'!$N$34+E3262*'Model Inputs &amp; Assumptions'!$O$34+G3262*'Model Inputs &amp; Assumptions'!$P$34)*EXP('Model Inputs &amp; Assumptions'!$Q$34*S3262-'Model Inputs &amp; Assumptions'!$Q$34^2/2))</f>
        <v>27.2660422694017</v>
      </c>
      <c r="I3262" s="49" t="n">
        <f aca="false">IF('Model Inputs &amp; Assumptions'!$H$34="Fixed",'Model Inputs &amp; Assumptions'!$I$34*'Model Inputs &amp; Assumptions'!$K$34,IF('Model Inputs &amp; Assumptions'!$H$34="CPM",'Model Inputs &amp; Assumptions'!$I$34*'Model Inputs &amp; Assumptions'!$K$34*C3262/1000,IF('Model Inputs &amp; Assumptions'!$H$34="CPC",'Model Inputs &amp; Assumptions'!$I$34*'Model Inputs &amp; Assumptions'!$K$34*G3262,0)))</f>
        <v>3207.9</v>
      </c>
      <c r="J3262" s="50" t="n">
        <f aca="false">H3262*INDEX('Model Inputs &amp; Assumptions'!$D$40:$D$42,MATCH('Model Inputs &amp; Assumptions'!$L$34,'Model Inputs &amp; Assumptions'!$A$40:$A$42,0))*INDEX('Model Inputs &amp; Assumptions'!$H$40:$H$42,MATCH('Model Inputs &amp; Assumptions'!$L$34,'Model Inputs &amp; Assumptions'!$A$40:$A$42,0))</f>
        <v>196315.504339693</v>
      </c>
      <c r="K3262" s="49" t="n">
        <f aca="false">H3262*INDEX('Model Inputs &amp; Assumptions'!$G$40:$G$42,MATCH('Model Inputs &amp; Assumptions'!$L$34,'Model Inputs &amp; Assumptions'!$A$40:$A$42,0))*INDEX('Model Inputs &amp; Assumptions'!$H$40:$H$42,MATCH('Model Inputs &amp; Assumptions'!$L$34,'Model Inputs &amp; Assumptions'!$A$40:$A$42,0))</f>
        <v>4328.75687069022</v>
      </c>
      <c r="L3262" s="51" t="n">
        <f aca="false">IFERROR(K3262/I3262,0)</f>
        <v>1.34940517805736</v>
      </c>
      <c r="M3262" s="49" t="n">
        <f aca="false">IFERROR(I3262/H3262,0)</f>
        <v>117.651838440812</v>
      </c>
      <c r="N3262" s="52" t="str">
        <f aca="false">'Model Inputs &amp; Assumptions'!$L$34</f>
        <v>PRD-USIQ</v>
      </c>
      <c r="P3262" s="53" t="n">
        <v>-1.552734</v>
      </c>
      <c r="Q3262" s="53" t="n">
        <v>0.701627</v>
      </c>
      <c r="R3262" s="53" t="n">
        <v>-1.3374</v>
      </c>
      <c r="S3262" s="53" t="n">
        <v>-1.210395</v>
      </c>
    </row>
    <row r="3263" customFormat="false" ht="15" hidden="false" customHeight="false" outlineLevel="0" collapsed="false">
      <c r="A3263" s="43" t="n">
        <v>260</v>
      </c>
      <c r="B3263" s="44" t="str">
        <f aca="false">'Model Inputs &amp; Assumptions'!$B$34</f>
        <v>Meta — Lookalike Feed Video</v>
      </c>
      <c r="C3263" s="45" t="n">
        <f aca="false">ROUND(MAX(0,'Model Inputs &amp; Assumptions'!$S$34*EXP('Model Inputs &amp; Assumptions'!$T$34*P3263-'Model Inputs &amp; Assumptions'!$T$34^2/2)),0)</f>
        <v>389648</v>
      </c>
      <c r="D3263" s="46" t="n">
        <f aca="false">MIN(1,'Model Inputs &amp; Assumptions'!$U$34*EXP('Model Inputs &amp; Assumptions'!$V$34*Q3263-'Model Inputs &amp; Assumptions'!$V$34^2/2))</f>
        <v>0.161829862022895</v>
      </c>
      <c r="E3263" s="45" t="n">
        <f aca="false">ROUND(C3263*D3263,0)</f>
        <v>63057</v>
      </c>
      <c r="F3263" s="47" t="n">
        <f aca="false">MIN(1,'Model Inputs &amp; Assumptions'!$W$34*EXP('Model Inputs &amp; Assumptions'!$X$34*R3263-'Model Inputs &amp; Assumptions'!$X$34^2/2))</f>
        <v>0.00502106151854999</v>
      </c>
      <c r="G3263" s="45" t="n">
        <f aca="false">ROUND(C3263*F3263,0)</f>
        <v>1956</v>
      </c>
      <c r="H3263" s="48" t="n">
        <f aca="false">MAX(0,(C3263*'Model Inputs &amp; Assumptions'!$N$34+E3263*'Model Inputs &amp; Assumptions'!$O$34+G3263*'Model Inputs &amp; Assumptions'!$P$34)*EXP('Model Inputs &amp; Assumptions'!$Q$34*S3263-'Model Inputs &amp; Assumptions'!$Q$34^2/2))</f>
        <v>51.5251571891466</v>
      </c>
      <c r="I3263" s="49" t="n">
        <f aca="false">IF('Model Inputs &amp; Assumptions'!$H$34="Fixed",'Model Inputs &amp; Assumptions'!$I$34*'Model Inputs &amp; Assumptions'!$K$34,IF('Model Inputs &amp; Assumptions'!$H$34="CPM",'Model Inputs &amp; Assumptions'!$I$34*'Model Inputs &amp; Assumptions'!$K$34*C3263/1000,IF('Model Inputs &amp; Assumptions'!$H$34="CPC",'Model Inputs &amp; Assumptions'!$I$34*'Model Inputs &amp; Assumptions'!$K$34*G3263,0)))</f>
        <v>3618.6</v>
      </c>
      <c r="J3263" s="50" t="n">
        <f aca="false">H3263*INDEX('Model Inputs &amp; Assumptions'!$D$40:$D$42,MATCH('Model Inputs &amp; Assumptions'!$L$34,'Model Inputs &amp; Assumptions'!$A$40:$A$42,0))*INDEX('Model Inputs &amp; Assumptions'!$H$40:$H$42,MATCH('Model Inputs &amp; Assumptions'!$L$34,'Model Inputs &amp; Assumptions'!$A$40:$A$42,0))</f>
        <v>370981.131761855</v>
      </c>
      <c r="K3263" s="49" t="n">
        <f aca="false">H3263*INDEX('Model Inputs &amp; Assumptions'!$G$40:$G$42,MATCH('Model Inputs &amp; Assumptions'!$L$34,'Model Inputs &amp; Assumptions'!$A$40:$A$42,0))*INDEX('Model Inputs &amp; Assumptions'!$H$40:$H$42,MATCH('Model Inputs &amp; Assumptions'!$L$34,'Model Inputs &amp; Assumptions'!$A$40:$A$42,0))</f>
        <v>8180.13395534891</v>
      </c>
      <c r="L3263" s="51" t="n">
        <f aca="false">IFERROR(K3263/I3263,0)</f>
        <v>2.2605797698969</v>
      </c>
      <c r="M3263" s="49" t="n">
        <f aca="false">IFERROR(I3263/H3263,0)</f>
        <v>70.2297711915032</v>
      </c>
      <c r="N3263" s="52" t="str">
        <f aca="false">'Model Inputs &amp; Assumptions'!$L$34</f>
        <v>PRD-USIQ</v>
      </c>
      <c r="P3263" s="53" t="n">
        <v>-1.34292</v>
      </c>
      <c r="Q3263" s="53" t="n">
        <v>-2.117086</v>
      </c>
      <c r="R3263" s="53" t="n">
        <v>-0.899545</v>
      </c>
      <c r="S3263" s="53" t="n">
        <v>0.641711</v>
      </c>
    </row>
    <row r="3264" customFormat="false" ht="15" hidden="false" customHeight="false" outlineLevel="0" collapsed="false">
      <c r="A3264" s="43" t="n">
        <v>261</v>
      </c>
      <c r="B3264" s="44" t="str">
        <f aca="false">'Model Inputs &amp; Assumptions'!$B$34</f>
        <v>Meta — Lookalike Feed Video</v>
      </c>
      <c r="C3264" s="45" t="n">
        <f aca="false">ROUND(MAX(0,'Model Inputs &amp; Assumptions'!$S$34*EXP('Model Inputs &amp; Assumptions'!$T$34*P3264-'Model Inputs &amp; Assumptions'!$T$34^2/2)),0)</f>
        <v>531340</v>
      </c>
      <c r="D3264" s="46" t="n">
        <f aca="false">MIN(1,'Model Inputs &amp; Assumptions'!$U$34*EXP('Model Inputs &amp; Assumptions'!$V$34*Q3264-'Model Inputs &amp; Assumptions'!$V$34^2/2))</f>
        <v>0.219787372183174</v>
      </c>
      <c r="E3264" s="45" t="n">
        <f aca="false">ROUND(C3264*D3264,0)</f>
        <v>116782</v>
      </c>
      <c r="F3264" s="47" t="n">
        <f aca="false">MIN(1,'Model Inputs &amp; Assumptions'!$W$34*EXP('Model Inputs &amp; Assumptions'!$X$34*R3264-'Model Inputs &amp; Assumptions'!$X$34^2/2))</f>
        <v>0.00535953270419013</v>
      </c>
      <c r="G3264" s="45" t="n">
        <f aca="false">ROUND(C3264*F3264,0)</f>
        <v>2848</v>
      </c>
      <c r="H3264" s="48" t="n">
        <f aca="false">MAX(0,(C3264*'Model Inputs &amp; Assumptions'!$N$34+E3264*'Model Inputs &amp; Assumptions'!$O$34+G3264*'Model Inputs &amp; Assumptions'!$P$34)*EXP('Model Inputs &amp; Assumptions'!$Q$34*S3264-'Model Inputs &amp; Assumptions'!$Q$34^2/2))</f>
        <v>42.8179115333879</v>
      </c>
      <c r="I3264" s="49" t="n">
        <f aca="false">IF('Model Inputs &amp; Assumptions'!$H$34="Fixed",'Model Inputs &amp; Assumptions'!$I$34*'Model Inputs &amp; Assumptions'!$K$34,IF('Model Inputs &amp; Assumptions'!$H$34="CPM",'Model Inputs &amp; Assumptions'!$I$34*'Model Inputs &amp; Assumptions'!$K$34*C3264/1000,IF('Model Inputs &amp; Assumptions'!$H$34="CPC",'Model Inputs &amp; Assumptions'!$I$34*'Model Inputs &amp; Assumptions'!$K$34*G3264,0)))</f>
        <v>5268.8</v>
      </c>
      <c r="J3264" s="50" t="n">
        <f aca="false">H3264*INDEX('Model Inputs &amp; Assumptions'!$D$40:$D$42,MATCH('Model Inputs &amp; Assumptions'!$L$34,'Model Inputs &amp; Assumptions'!$A$40:$A$42,0))*INDEX('Model Inputs &amp; Assumptions'!$H$40:$H$42,MATCH('Model Inputs &amp; Assumptions'!$L$34,'Model Inputs &amp; Assumptions'!$A$40:$A$42,0))</f>
        <v>308288.963040393</v>
      </c>
      <c r="K3264" s="49" t="n">
        <f aca="false">H3264*INDEX('Model Inputs &amp; Assumptions'!$G$40:$G$42,MATCH('Model Inputs &amp; Assumptions'!$L$34,'Model Inputs &amp; Assumptions'!$A$40:$A$42,0))*INDEX('Model Inputs &amp; Assumptions'!$H$40:$H$42,MATCH('Model Inputs &amp; Assumptions'!$L$34,'Model Inputs &amp; Assumptions'!$A$40:$A$42,0))</f>
        <v>6797.77163504067</v>
      </c>
      <c r="L3264" s="51" t="n">
        <f aca="false">IFERROR(K3264/I3264,0)</f>
        <v>1.29019352320086</v>
      </c>
      <c r="M3264" s="49" t="n">
        <f aca="false">IFERROR(I3264/H3264,0)</f>
        <v>123.051307532633</v>
      </c>
      <c r="N3264" s="52" t="str">
        <f aca="false">'Model Inputs &amp; Assumptions'!$L$34</f>
        <v>PRD-USIQ</v>
      </c>
      <c r="P3264" s="53" t="n">
        <v>0.207866</v>
      </c>
      <c r="Q3264" s="53" t="n">
        <v>-0.203867</v>
      </c>
      <c r="R3264" s="53" t="n">
        <v>-0.537126</v>
      </c>
      <c r="S3264" s="53" t="n">
        <v>-1.206475</v>
      </c>
    </row>
    <row r="3265" customFormat="false" ht="15" hidden="false" customHeight="false" outlineLevel="0" collapsed="false">
      <c r="A3265" s="43" t="n">
        <v>262</v>
      </c>
      <c r="B3265" s="44" t="str">
        <f aca="false">'Model Inputs &amp; Assumptions'!$B$34</f>
        <v>Meta — Lookalike Feed Video</v>
      </c>
      <c r="C3265" s="45" t="n">
        <f aca="false">ROUND(MAX(0,'Model Inputs &amp; Assumptions'!$S$34*EXP('Model Inputs &amp; Assumptions'!$T$34*P3265-'Model Inputs &amp; Assumptions'!$T$34^2/2)),0)</f>
        <v>329391</v>
      </c>
      <c r="D3265" s="46" t="n">
        <f aca="false">MIN(1,'Model Inputs &amp; Assumptions'!$U$34*EXP('Model Inputs &amp; Assumptions'!$V$34*Q3265-'Model Inputs &amp; Assumptions'!$V$34^2/2))</f>
        <v>0.19777411555529</v>
      </c>
      <c r="E3265" s="45" t="n">
        <f aca="false">ROUND(C3265*D3265,0)</f>
        <v>65145</v>
      </c>
      <c r="F3265" s="47" t="n">
        <f aca="false">MIN(1,'Model Inputs &amp; Assumptions'!$W$34*EXP('Model Inputs &amp; Assumptions'!$X$34*R3265-'Model Inputs &amp; Assumptions'!$X$34^2/2))</f>
        <v>0.00457218390460558</v>
      </c>
      <c r="G3265" s="45" t="n">
        <f aca="false">ROUND(C3265*F3265,0)</f>
        <v>1506</v>
      </c>
      <c r="H3265" s="48" t="n">
        <f aca="false">MAX(0,(C3265*'Model Inputs &amp; Assumptions'!$N$34+E3265*'Model Inputs &amp; Assumptions'!$O$34+G3265*'Model Inputs &amp; Assumptions'!$P$34)*EXP('Model Inputs &amp; Assumptions'!$Q$34*S3265-'Model Inputs &amp; Assumptions'!$Q$34^2/2))</f>
        <v>20.3346479691738</v>
      </c>
      <c r="I3265" s="49" t="n">
        <f aca="false">IF('Model Inputs &amp; Assumptions'!$H$34="Fixed",'Model Inputs &amp; Assumptions'!$I$34*'Model Inputs &amp; Assumptions'!$K$34,IF('Model Inputs &amp; Assumptions'!$H$34="CPM",'Model Inputs &amp; Assumptions'!$I$34*'Model Inputs &amp; Assumptions'!$K$34*C3265/1000,IF('Model Inputs &amp; Assumptions'!$H$34="CPC",'Model Inputs &amp; Assumptions'!$I$34*'Model Inputs &amp; Assumptions'!$K$34*G3265,0)))</f>
        <v>2786.1</v>
      </c>
      <c r="J3265" s="50" t="n">
        <f aca="false">H3265*INDEX('Model Inputs &amp; Assumptions'!$D$40:$D$42,MATCH('Model Inputs &amp; Assumptions'!$L$34,'Model Inputs &amp; Assumptions'!$A$40:$A$42,0))*INDEX('Model Inputs &amp; Assumptions'!$H$40:$H$42,MATCH('Model Inputs &amp; Assumptions'!$L$34,'Model Inputs &amp; Assumptions'!$A$40:$A$42,0))</f>
        <v>146409.465378051</v>
      </c>
      <c r="K3265" s="49" t="n">
        <f aca="false">H3265*INDEX('Model Inputs &amp; Assumptions'!$G$40:$G$42,MATCH('Model Inputs &amp; Assumptions'!$L$34,'Model Inputs &amp; Assumptions'!$A$40:$A$42,0))*INDEX('Model Inputs &amp; Assumptions'!$H$40:$H$42,MATCH('Model Inputs &amp; Assumptions'!$L$34,'Model Inputs &amp; Assumptions'!$A$40:$A$42,0))</f>
        <v>3228.32871158603</v>
      </c>
      <c r="L3265" s="51" t="n">
        <f aca="false">IFERROR(K3265/I3265,0)</f>
        <v>1.15872679070602</v>
      </c>
      <c r="M3265" s="49" t="n">
        <f aca="false">IFERROR(I3265/H3265,0)</f>
        <v>137.0124530419</v>
      </c>
      <c r="N3265" s="52" t="str">
        <f aca="false">'Model Inputs &amp; Assumptions'!$L$34</f>
        <v>PRD-USIQ</v>
      </c>
      <c r="P3265" s="53" t="n">
        <v>-2.182915</v>
      </c>
      <c r="Q3265" s="53" t="n">
        <v>-0.863461</v>
      </c>
      <c r="R3265" s="53" t="n">
        <v>-1.419825</v>
      </c>
      <c r="S3265" s="53" t="n">
        <v>-1.566411</v>
      </c>
    </row>
    <row r="3266" customFormat="false" ht="15" hidden="false" customHeight="false" outlineLevel="0" collapsed="false">
      <c r="A3266" s="43" t="n">
        <v>263</v>
      </c>
      <c r="B3266" s="44" t="str">
        <f aca="false">'Model Inputs &amp; Assumptions'!$B$34</f>
        <v>Meta — Lookalike Feed Video</v>
      </c>
      <c r="C3266" s="45" t="n">
        <f aca="false">ROUND(MAX(0,'Model Inputs &amp; Assumptions'!$S$34*EXP('Model Inputs &amp; Assumptions'!$T$34*P3266-'Model Inputs &amp; Assumptions'!$T$34^2/2)),0)</f>
        <v>453591</v>
      </c>
      <c r="D3266" s="46" t="n">
        <f aca="false">MIN(1,'Model Inputs &amp; Assumptions'!$U$34*EXP('Model Inputs &amp; Assumptions'!$V$34*Q3266-'Model Inputs &amp; Assumptions'!$V$34^2/2))</f>
        <v>0.266497171202073</v>
      </c>
      <c r="E3266" s="45" t="n">
        <f aca="false">ROUND(C3266*D3266,0)</f>
        <v>120881</v>
      </c>
      <c r="F3266" s="47" t="n">
        <f aca="false">MIN(1,'Model Inputs &amp; Assumptions'!$W$34*EXP('Model Inputs &amp; Assumptions'!$X$34*R3266-'Model Inputs &amp; Assumptions'!$X$34^2/2))</f>
        <v>0.00515383176071302</v>
      </c>
      <c r="G3266" s="45" t="n">
        <f aca="false">ROUND(C3266*F3266,0)</f>
        <v>2338</v>
      </c>
      <c r="H3266" s="48" t="n">
        <f aca="false">MAX(0,(C3266*'Model Inputs &amp; Assumptions'!$N$34+E3266*'Model Inputs &amp; Assumptions'!$O$34+G3266*'Model Inputs &amp; Assumptions'!$P$34)*EXP('Model Inputs &amp; Assumptions'!$Q$34*S3266-'Model Inputs &amp; Assumptions'!$Q$34^2/2))</f>
        <v>37.5756651743042</v>
      </c>
      <c r="I3266" s="49" t="n">
        <f aca="false">IF('Model Inputs &amp; Assumptions'!$H$34="Fixed",'Model Inputs &amp; Assumptions'!$I$34*'Model Inputs &amp; Assumptions'!$K$34,IF('Model Inputs &amp; Assumptions'!$H$34="CPM",'Model Inputs &amp; Assumptions'!$I$34*'Model Inputs &amp; Assumptions'!$K$34*C3266/1000,IF('Model Inputs &amp; Assumptions'!$H$34="CPC",'Model Inputs &amp; Assumptions'!$I$34*'Model Inputs &amp; Assumptions'!$K$34*G3266,0)))</f>
        <v>4325.3</v>
      </c>
      <c r="J3266" s="50" t="n">
        <f aca="false">H3266*INDEX('Model Inputs &amp; Assumptions'!$D$40:$D$42,MATCH('Model Inputs &amp; Assumptions'!$L$34,'Model Inputs &amp; Assumptions'!$A$40:$A$42,0))*INDEX('Model Inputs &amp; Assumptions'!$H$40:$H$42,MATCH('Model Inputs &amp; Assumptions'!$L$34,'Model Inputs &amp; Assumptions'!$A$40:$A$42,0))</f>
        <v>270544.78925499</v>
      </c>
      <c r="K3266" s="49" t="n">
        <f aca="false">H3266*INDEX('Model Inputs &amp; Assumptions'!$G$40:$G$42,MATCH('Model Inputs &amp; Assumptions'!$L$34,'Model Inputs &amp; Assumptions'!$A$40:$A$42,0))*INDEX('Model Inputs &amp; Assumptions'!$H$40:$H$42,MATCH('Model Inputs &amp; Assumptions'!$L$34,'Model Inputs &amp; Assumptions'!$A$40:$A$42,0))</f>
        <v>5965.51260307253</v>
      </c>
      <c r="L3266" s="51" t="n">
        <f aca="false">IFERROR(K3266/I3266,0)</f>
        <v>1.37921360439103</v>
      </c>
      <c r="M3266" s="49" t="n">
        <f aca="false">IFERROR(I3266/H3266,0)</f>
        <v>115.109073383958</v>
      </c>
      <c r="N3266" s="52" t="str">
        <f aca="false">'Model Inputs &amp; Assumptions'!$L$34</f>
        <v>PRD-USIQ</v>
      </c>
      <c r="P3266" s="53" t="n">
        <v>-0.583161</v>
      </c>
      <c r="Q3266" s="53" t="n">
        <v>1.000527</v>
      </c>
      <c r="R3266" s="53" t="n">
        <v>-0.75455</v>
      </c>
      <c r="S3266" s="53" t="n">
        <v>-1.11079</v>
      </c>
    </row>
    <row r="3267" customFormat="false" ht="15" hidden="false" customHeight="false" outlineLevel="0" collapsed="false">
      <c r="A3267" s="43" t="n">
        <v>264</v>
      </c>
      <c r="B3267" s="44" t="str">
        <f aca="false">'Model Inputs &amp; Assumptions'!$B$34</f>
        <v>Meta — Lookalike Feed Video</v>
      </c>
      <c r="C3267" s="45" t="n">
        <f aca="false">ROUND(MAX(0,'Model Inputs &amp; Assumptions'!$S$34*EXP('Model Inputs &amp; Assumptions'!$T$34*P3267-'Model Inputs &amp; Assumptions'!$T$34^2/2)),0)</f>
        <v>439435</v>
      </c>
      <c r="D3267" s="46" t="n">
        <f aca="false">MIN(1,'Model Inputs &amp; Assumptions'!$U$34*EXP('Model Inputs &amp; Assumptions'!$V$34*Q3267-'Model Inputs &amp; Assumptions'!$V$34^2/2))</f>
        <v>0.179107386210607</v>
      </c>
      <c r="E3267" s="45" t="n">
        <f aca="false">ROUND(C3267*D3267,0)</f>
        <v>78706</v>
      </c>
      <c r="F3267" s="47" t="n">
        <f aca="false">MIN(1,'Model Inputs &amp; Assumptions'!$W$34*EXP('Model Inputs &amp; Assumptions'!$X$34*R3267-'Model Inputs &amp; Assumptions'!$X$34^2/2))</f>
        <v>0.0045951973752057</v>
      </c>
      <c r="G3267" s="45" t="n">
        <f aca="false">ROUND(C3267*F3267,0)</f>
        <v>2019</v>
      </c>
      <c r="H3267" s="48" t="n">
        <f aca="false">MAX(0,(C3267*'Model Inputs &amp; Assumptions'!$N$34+E3267*'Model Inputs &amp; Assumptions'!$O$34+G3267*'Model Inputs &amp; Assumptions'!$P$34)*EXP('Model Inputs &amp; Assumptions'!$Q$34*S3267-'Model Inputs &amp; Assumptions'!$Q$34^2/2))</f>
        <v>58.1101064263267</v>
      </c>
      <c r="I3267" s="49" t="n">
        <f aca="false">IF('Model Inputs &amp; Assumptions'!$H$34="Fixed",'Model Inputs &amp; Assumptions'!$I$34*'Model Inputs &amp; Assumptions'!$K$34,IF('Model Inputs &amp; Assumptions'!$H$34="CPM",'Model Inputs &amp; Assumptions'!$I$34*'Model Inputs &amp; Assumptions'!$K$34*C3267/1000,IF('Model Inputs &amp; Assumptions'!$H$34="CPC",'Model Inputs &amp; Assumptions'!$I$34*'Model Inputs &amp; Assumptions'!$K$34*G3267,0)))</f>
        <v>3735.15</v>
      </c>
      <c r="J3267" s="50" t="n">
        <f aca="false">H3267*INDEX('Model Inputs &amp; Assumptions'!$D$40:$D$42,MATCH('Model Inputs &amp; Assumptions'!$L$34,'Model Inputs &amp; Assumptions'!$A$40:$A$42,0))*INDEX('Model Inputs &amp; Assumptions'!$H$40:$H$42,MATCH('Model Inputs &amp; Assumptions'!$L$34,'Model Inputs &amp; Assumptions'!$A$40:$A$42,0))</f>
        <v>418392.766269552</v>
      </c>
      <c r="K3267" s="49" t="n">
        <f aca="false">H3267*INDEX('Model Inputs &amp; Assumptions'!$G$40:$G$42,MATCH('Model Inputs &amp; Assumptions'!$L$34,'Model Inputs &amp; Assumptions'!$A$40:$A$42,0))*INDEX('Model Inputs &amp; Assumptions'!$H$40:$H$42,MATCH('Model Inputs &amp; Assumptions'!$L$34,'Model Inputs &amp; Assumptions'!$A$40:$A$42,0))</f>
        <v>9225.56049624362</v>
      </c>
      <c r="L3267" s="51" t="n">
        <f aca="false">IFERROR(K3267/I3267,0)</f>
        <v>2.4699303900094</v>
      </c>
      <c r="M3267" s="49" t="n">
        <f aca="false">IFERROR(I3267/H3267,0)</f>
        <v>64.2771151131088</v>
      </c>
      <c r="N3267" s="52" t="str">
        <f aca="false">'Model Inputs &amp; Assumptions'!$L$34</f>
        <v>PRD-USIQ</v>
      </c>
      <c r="P3267" s="53" t="n">
        <v>-0.741693</v>
      </c>
      <c r="Q3267" s="53" t="n">
        <v>-1.483086</v>
      </c>
      <c r="R3267" s="53" t="n">
        <v>-1.391932</v>
      </c>
      <c r="S3267" s="53" t="n">
        <v>0.844685</v>
      </c>
    </row>
    <row r="3268" customFormat="false" ht="15" hidden="false" customHeight="false" outlineLevel="0" collapsed="false">
      <c r="A3268" s="43" t="n">
        <v>265</v>
      </c>
      <c r="B3268" s="44" t="str">
        <f aca="false">'Model Inputs &amp; Assumptions'!$B$34</f>
        <v>Meta — Lookalike Feed Video</v>
      </c>
      <c r="C3268" s="45" t="n">
        <f aca="false">ROUND(MAX(0,'Model Inputs &amp; Assumptions'!$S$34*EXP('Model Inputs &amp; Assumptions'!$T$34*P3268-'Model Inputs &amp; Assumptions'!$T$34^2/2)),0)</f>
        <v>489676</v>
      </c>
      <c r="D3268" s="46" t="n">
        <f aca="false">MIN(1,'Model Inputs &amp; Assumptions'!$U$34*EXP('Model Inputs &amp; Assumptions'!$V$34*Q3268-'Model Inputs &amp; Assumptions'!$V$34^2/2))</f>
        <v>0.222419960527682</v>
      </c>
      <c r="E3268" s="45" t="n">
        <f aca="false">ROUND(C3268*D3268,0)</f>
        <v>108914</v>
      </c>
      <c r="F3268" s="47" t="n">
        <f aca="false">MIN(1,'Model Inputs &amp; Assumptions'!$W$34*EXP('Model Inputs &amp; Assumptions'!$X$34*R3268-'Model Inputs &amp; Assumptions'!$X$34^2/2))</f>
        <v>0.00421740010459269</v>
      </c>
      <c r="G3268" s="45" t="n">
        <f aca="false">ROUND(C3268*F3268,0)</f>
        <v>2065</v>
      </c>
      <c r="H3268" s="48" t="n">
        <f aca="false">MAX(0,(C3268*'Model Inputs &amp; Assumptions'!$N$34+E3268*'Model Inputs &amp; Assumptions'!$O$34+G3268*'Model Inputs &amp; Assumptions'!$P$34)*EXP('Model Inputs &amp; Assumptions'!$Q$34*S3268-'Model Inputs &amp; Assumptions'!$Q$34^2/2))</f>
        <v>45.9802561862038</v>
      </c>
      <c r="I3268" s="49" t="n">
        <f aca="false">IF('Model Inputs &amp; Assumptions'!$H$34="Fixed",'Model Inputs &amp; Assumptions'!$I$34*'Model Inputs &amp; Assumptions'!$K$34,IF('Model Inputs &amp; Assumptions'!$H$34="CPM",'Model Inputs &amp; Assumptions'!$I$34*'Model Inputs &amp; Assumptions'!$K$34*C3268/1000,IF('Model Inputs &amp; Assumptions'!$H$34="CPC",'Model Inputs &amp; Assumptions'!$I$34*'Model Inputs &amp; Assumptions'!$K$34*G3268,0)))</f>
        <v>3820.25</v>
      </c>
      <c r="J3268" s="50" t="n">
        <f aca="false">H3268*INDEX('Model Inputs &amp; Assumptions'!$D$40:$D$42,MATCH('Model Inputs &amp; Assumptions'!$L$34,'Model Inputs &amp; Assumptions'!$A$40:$A$42,0))*INDEX('Model Inputs &amp; Assumptions'!$H$40:$H$42,MATCH('Model Inputs &amp; Assumptions'!$L$34,'Model Inputs &amp; Assumptions'!$A$40:$A$42,0))</f>
        <v>331057.844540668</v>
      </c>
      <c r="K3268" s="49" t="n">
        <f aca="false">H3268*INDEX('Model Inputs &amp; Assumptions'!$G$40:$G$42,MATCH('Model Inputs &amp; Assumptions'!$L$34,'Model Inputs &amp; Assumptions'!$A$40:$A$42,0))*INDEX('Model Inputs &amp; Assumptions'!$H$40:$H$42,MATCH('Model Inputs &amp; Assumptions'!$L$34,'Model Inputs &amp; Assumptions'!$A$40:$A$42,0))</f>
        <v>7299.82547212172</v>
      </c>
      <c r="L3268" s="51" t="n">
        <f aca="false">IFERROR(K3268/I3268,0)</f>
        <v>1.91082402254348</v>
      </c>
      <c r="M3268" s="49" t="n">
        <f aca="false">IFERROR(I3268/H3268,0)</f>
        <v>83.0845740512914</v>
      </c>
      <c r="N3268" s="52" t="str">
        <f aca="false">'Model Inputs &amp; Assumptions'!$L$34</f>
        <v>PRD-USIQ</v>
      </c>
      <c r="P3268" s="53" t="n">
        <v>-0.200428</v>
      </c>
      <c r="Q3268" s="53" t="n">
        <v>-0.12945</v>
      </c>
      <c r="R3268" s="53" t="n">
        <v>-1.868559</v>
      </c>
      <c r="S3268" s="53" t="n">
        <v>-0.102729</v>
      </c>
    </row>
    <row r="3269" customFormat="false" ht="15" hidden="false" customHeight="false" outlineLevel="0" collapsed="false">
      <c r="A3269" s="43" t="n">
        <v>266</v>
      </c>
      <c r="B3269" s="44" t="str">
        <f aca="false">'Model Inputs &amp; Assumptions'!$B$34</f>
        <v>Meta — Lookalike Feed Video</v>
      </c>
      <c r="C3269" s="45" t="n">
        <f aca="false">ROUND(MAX(0,'Model Inputs &amp; Assumptions'!$S$34*EXP('Model Inputs &amp; Assumptions'!$T$34*P3269-'Model Inputs &amp; Assumptions'!$T$34^2/2)),0)</f>
        <v>367567</v>
      </c>
      <c r="D3269" s="46" t="n">
        <f aca="false">MIN(1,'Model Inputs &amp; Assumptions'!$U$34*EXP('Model Inputs &amp; Assumptions'!$V$34*Q3269-'Model Inputs &amp; Assumptions'!$V$34^2/2))</f>
        <v>0.250321003675714</v>
      </c>
      <c r="E3269" s="45" t="n">
        <f aca="false">ROUND(C3269*D3269,0)</f>
        <v>92010</v>
      </c>
      <c r="F3269" s="47" t="n">
        <f aca="false">MIN(1,'Model Inputs &amp; Assumptions'!$W$34*EXP('Model Inputs &amp; Assumptions'!$X$34*R3269-'Model Inputs &amp; Assumptions'!$X$34^2/2))</f>
        <v>0.00619085701859284</v>
      </c>
      <c r="G3269" s="45" t="n">
        <f aca="false">ROUND(C3269*F3269,0)</f>
        <v>2276</v>
      </c>
      <c r="H3269" s="48" t="n">
        <f aca="false">MAX(0,(C3269*'Model Inputs &amp; Assumptions'!$N$34+E3269*'Model Inputs &amp; Assumptions'!$O$34+G3269*'Model Inputs &amp; Assumptions'!$P$34)*EXP('Model Inputs &amp; Assumptions'!$Q$34*S3269-'Model Inputs &amp; Assumptions'!$Q$34^2/2))</f>
        <v>45.7552950591469</v>
      </c>
      <c r="I3269" s="49" t="n">
        <f aca="false">IF('Model Inputs &amp; Assumptions'!$H$34="Fixed",'Model Inputs &amp; Assumptions'!$I$34*'Model Inputs &amp; Assumptions'!$K$34,IF('Model Inputs &amp; Assumptions'!$H$34="CPM",'Model Inputs &amp; Assumptions'!$I$34*'Model Inputs &amp; Assumptions'!$K$34*C3269/1000,IF('Model Inputs &amp; Assumptions'!$H$34="CPC",'Model Inputs &amp; Assumptions'!$I$34*'Model Inputs &amp; Assumptions'!$K$34*G3269,0)))</f>
        <v>4210.6</v>
      </c>
      <c r="J3269" s="50" t="n">
        <f aca="false">H3269*INDEX('Model Inputs &amp; Assumptions'!$D$40:$D$42,MATCH('Model Inputs &amp; Assumptions'!$L$34,'Model Inputs &amp; Assumptions'!$A$40:$A$42,0))*INDEX('Model Inputs &amp; Assumptions'!$H$40:$H$42,MATCH('Model Inputs &amp; Assumptions'!$L$34,'Model Inputs &amp; Assumptions'!$A$40:$A$42,0))</f>
        <v>329438.124425858</v>
      </c>
      <c r="K3269" s="49" t="n">
        <f aca="false">H3269*INDEX('Model Inputs &amp; Assumptions'!$G$40:$G$42,MATCH('Model Inputs &amp; Assumptions'!$L$34,'Model Inputs &amp; Assumptions'!$A$40:$A$42,0))*INDEX('Model Inputs &amp; Assumptions'!$H$40:$H$42,MATCH('Model Inputs &amp; Assumptions'!$L$34,'Model Inputs &amp; Assumptions'!$A$40:$A$42,0))</f>
        <v>7264.11064359016</v>
      </c>
      <c r="L3269" s="51" t="n">
        <f aca="false">IFERROR(K3269/I3269,0)</f>
        <v>1.72519608692114</v>
      </c>
      <c r="M3269" s="49" t="n">
        <f aca="false">IFERROR(I3269/H3269,0)</f>
        <v>92.0243218748135</v>
      </c>
      <c r="N3269" s="52" t="str">
        <f aca="false">'Model Inputs &amp; Assumptions'!$L$34</f>
        <v>PRD-USIQ</v>
      </c>
      <c r="P3269" s="53" t="n">
        <v>-1.634616</v>
      </c>
      <c r="Q3269" s="53" t="n">
        <v>0.609155</v>
      </c>
      <c r="R3269" s="53" t="n">
        <v>0.263967</v>
      </c>
      <c r="S3269" s="53" t="n">
        <v>-0.29229</v>
      </c>
    </row>
    <row r="3270" customFormat="false" ht="15" hidden="false" customHeight="false" outlineLevel="0" collapsed="false">
      <c r="A3270" s="43" t="n">
        <v>267</v>
      </c>
      <c r="B3270" s="44" t="str">
        <f aca="false">'Model Inputs &amp; Assumptions'!$B$34</f>
        <v>Meta — Lookalike Feed Video</v>
      </c>
      <c r="C3270" s="45" t="n">
        <f aca="false">ROUND(MAX(0,'Model Inputs &amp; Assumptions'!$S$34*EXP('Model Inputs &amp; Assumptions'!$T$34*P3270-'Model Inputs &amp; Assumptions'!$T$34^2/2)),0)</f>
        <v>521725</v>
      </c>
      <c r="D3270" s="46" t="n">
        <f aca="false">MIN(1,'Model Inputs &amp; Assumptions'!$U$34*EXP('Model Inputs &amp; Assumptions'!$V$34*Q3270-'Model Inputs &amp; Assumptions'!$V$34^2/2))</f>
        <v>0.21015574714984</v>
      </c>
      <c r="E3270" s="45" t="n">
        <f aca="false">ROUND(C3270*D3270,0)</f>
        <v>109644</v>
      </c>
      <c r="F3270" s="47" t="n">
        <f aca="false">MIN(1,'Model Inputs &amp; Assumptions'!$W$34*EXP('Model Inputs &amp; Assumptions'!$X$34*R3270-'Model Inputs &amp; Assumptions'!$X$34^2/2))</f>
        <v>0.009178531910391</v>
      </c>
      <c r="G3270" s="45" t="n">
        <f aca="false">ROUND(C3270*F3270,0)</f>
        <v>4789</v>
      </c>
      <c r="H3270" s="48" t="n">
        <f aca="false">MAX(0,(C3270*'Model Inputs &amp; Assumptions'!$N$34+E3270*'Model Inputs &amp; Assumptions'!$O$34+G3270*'Model Inputs &amp; Assumptions'!$P$34)*EXP('Model Inputs &amp; Assumptions'!$Q$34*S3270-'Model Inputs &amp; Assumptions'!$Q$34^2/2))</f>
        <v>190.706997228105</v>
      </c>
      <c r="I3270" s="49" t="n">
        <f aca="false">IF('Model Inputs &amp; Assumptions'!$H$34="Fixed",'Model Inputs &amp; Assumptions'!$I$34*'Model Inputs &amp; Assumptions'!$K$34,IF('Model Inputs &amp; Assumptions'!$H$34="CPM",'Model Inputs &amp; Assumptions'!$I$34*'Model Inputs &amp; Assumptions'!$K$34*C3270/1000,IF('Model Inputs &amp; Assumptions'!$H$34="CPC",'Model Inputs &amp; Assumptions'!$I$34*'Model Inputs &amp; Assumptions'!$K$34*G3270,0)))</f>
        <v>8859.65</v>
      </c>
      <c r="J3270" s="50" t="n">
        <f aca="false">H3270*INDEX('Model Inputs &amp; Assumptions'!$D$40:$D$42,MATCH('Model Inputs &amp; Assumptions'!$L$34,'Model Inputs &amp; Assumptions'!$A$40:$A$42,0))*INDEX('Model Inputs &amp; Assumptions'!$H$40:$H$42,MATCH('Model Inputs &amp; Assumptions'!$L$34,'Model Inputs &amp; Assumptions'!$A$40:$A$42,0))</f>
        <v>1373090.38004236</v>
      </c>
      <c r="K3270" s="49" t="n">
        <f aca="false">H3270*INDEX('Model Inputs &amp; Assumptions'!$G$40:$G$42,MATCH('Model Inputs &amp; Assumptions'!$L$34,'Model Inputs &amp; Assumptions'!$A$40:$A$42,0))*INDEX('Model Inputs &amp; Assumptions'!$H$40:$H$42,MATCH('Model Inputs &amp; Assumptions'!$L$34,'Model Inputs &amp; Assumptions'!$A$40:$A$42,0))</f>
        <v>30276.642879934</v>
      </c>
      <c r="L3270" s="51" t="n">
        <f aca="false">IFERROR(K3270/I3270,0)</f>
        <v>3.41736331344172</v>
      </c>
      <c r="M3270" s="49" t="n">
        <f aca="false">IFERROR(I3270/H3270,0)</f>
        <v>46.4568690649717</v>
      </c>
      <c r="N3270" s="52" t="str">
        <f aca="false">'Model Inputs &amp; Assumptions'!$L$34</f>
        <v>PRD-USIQ</v>
      </c>
      <c r="P3270" s="53" t="n">
        <v>0.116556</v>
      </c>
      <c r="Q3270" s="53" t="n">
        <v>-0.48394</v>
      </c>
      <c r="R3270" s="53" t="n">
        <v>2.45171</v>
      </c>
      <c r="S3270" s="53" t="n">
        <v>2.038307</v>
      </c>
    </row>
    <row r="3271" customFormat="false" ht="15" hidden="false" customHeight="false" outlineLevel="0" collapsed="false">
      <c r="A3271" s="43" t="n">
        <v>268</v>
      </c>
      <c r="B3271" s="44" t="str">
        <f aca="false">'Model Inputs &amp; Assumptions'!$B$34</f>
        <v>Meta — Lookalike Feed Video</v>
      </c>
      <c r="C3271" s="45" t="n">
        <f aca="false">ROUND(MAX(0,'Model Inputs &amp; Assumptions'!$S$34*EXP('Model Inputs &amp; Assumptions'!$T$34*P3271-'Model Inputs &amp; Assumptions'!$T$34^2/2)),0)</f>
        <v>549349</v>
      </c>
      <c r="D3271" s="46" t="n">
        <f aca="false">MIN(1,'Model Inputs &amp; Assumptions'!$U$34*EXP('Model Inputs &amp; Assumptions'!$V$34*Q3271-'Model Inputs &amp; Assumptions'!$V$34^2/2))</f>
        <v>0.187147738225959</v>
      </c>
      <c r="E3271" s="45" t="n">
        <f aca="false">ROUND(C3271*D3271,0)</f>
        <v>102809</v>
      </c>
      <c r="F3271" s="47" t="n">
        <f aca="false">MIN(1,'Model Inputs &amp; Assumptions'!$W$34*EXP('Model Inputs &amp; Assumptions'!$X$34*R3271-'Model Inputs &amp; Assumptions'!$X$34^2/2))</f>
        <v>0.00451982840319262</v>
      </c>
      <c r="G3271" s="45" t="n">
        <f aca="false">ROUND(C3271*F3271,0)</f>
        <v>2483</v>
      </c>
      <c r="H3271" s="48" t="n">
        <f aca="false">MAX(0,(C3271*'Model Inputs &amp; Assumptions'!$N$34+E3271*'Model Inputs &amp; Assumptions'!$O$34+G3271*'Model Inputs &amp; Assumptions'!$P$34)*EXP('Model Inputs &amp; Assumptions'!$Q$34*S3271-'Model Inputs &amp; Assumptions'!$Q$34^2/2))</f>
        <v>35.9379876001188</v>
      </c>
      <c r="I3271" s="49" t="n">
        <f aca="false">IF('Model Inputs &amp; Assumptions'!$H$34="Fixed",'Model Inputs &amp; Assumptions'!$I$34*'Model Inputs &amp; Assumptions'!$K$34,IF('Model Inputs &amp; Assumptions'!$H$34="CPM",'Model Inputs &amp; Assumptions'!$I$34*'Model Inputs &amp; Assumptions'!$K$34*C3271/1000,IF('Model Inputs &amp; Assumptions'!$H$34="CPC",'Model Inputs &amp; Assumptions'!$I$34*'Model Inputs &amp; Assumptions'!$K$34*G3271,0)))</f>
        <v>4593.55</v>
      </c>
      <c r="J3271" s="50" t="n">
        <f aca="false">H3271*INDEX('Model Inputs &amp; Assumptions'!$D$40:$D$42,MATCH('Model Inputs &amp; Assumptions'!$L$34,'Model Inputs &amp; Assumptions'!$A$40:$A$42,0))*INDEX('Model Inputs &amp; Assumptions'!$H$40:$H$42,MATCH('Model Inputs &amp; Assumptions'!$L$34,'Model Inputs &amp; Assumptions'!$A$40:$A$42,0))</f>
        <v>258753.510720856</v>
      </c>
      <c r="K3271" s="49" t="n">
        <f aca="false">H3271*INDEX('Model Inputs &amp; Assumptions'!$G$40:$G$42,MATCH('Model Inputs &amp; Assumptions'!$L$34,'Model Inputs &amp; Assumptions'!$A$40:$A$42,0))*INDEX('Model Inputs &amp; Assumptions'!$H$40:$H$42,MATCH('Model Inputs &amp; Assumptions'!$L$34,'Model Inputs &amp; Assumptions'!$A$40:$A$42,0))</f>
        <v>5705.51491139486</v>
      </c>
      <c r="L3271" s="51" t="n">
        <f aca="false">IFERROR(K3271/I3271,0)</f>
        <v>1.24207092801752</v>
      </c>
      <c r="M3271" s="49" t="n">
        <f aca="false">IFERROR(I3271/H3271,0)</f>
        <v>127.818787493399</v>
      </c>
      <c r="N3271" s="52" t="str">
        <f aca="false">'Model Inputs &amp; Assumptions'!$L$34</f>
        <v>PRD-USIQ</v>
      </c>
      <c r="P3271" s="53" t="n">
        <v>0.374522</v>
      </c>
      <c r="Q3271" s="53" t="n">
        <v>-1.208631</v>
      </c>
      <c r="R3271" s="53" t="n">
        <v>-1.483808</v>
      </c>
      <c r="S3271" s="53" t="n">
        <v>-1.329558</v>
      </c>
    </row>
    <row r="3272" customFormat="false" ht="15" hidden="false" customHeight="false" outlineLevel="0" collapsed="false">
      <c r="A3272" s="43" t="n">
        <v>269</v>
      </c>
      <c r="B3272" s="44" t="str">
        <f aca="false">'Model Inputs &amp; Assumptions'!$B$34</f>
        <v>Meta — Lookalike Feed Video</v>
      </c>
      <c r="C3272" s="45" t="n">
        <f aca="false">ROUND(MAX(0,'Model Inputs &amp; Assumptions'!$S$34*EXP('Model Inputs &amp; Assumptions'!$T$34*P3272-'Model Inputs &amp; Assumptions'!$T$34^2/2)),0)</f>
        <v>502365</v>
      </c>
      <c r="D3272" s="46" t="n">
        <f aca="false">MIN(1,'Model Inputs &amp; Assumptions'!$U$34*EXP('Model Inputs &amp; Assumptions'!$V$34*Q3272-'Model Inputs &amp; Assumptions'!$V$34^2/2))</f>
        <v>0.250946504999082</v>
      </c>
      <c r="E3272" s="45" t="n">
        <f aca="false">ROUND(C3272*D3272,0)</f>
        <v>126067</v>
      </c>
      <c r="F3272" s="47" t="n">
        <f aca="false">MIN(1,'Model Inputs &amp; Assumptions'!$W$34*EXP('Model Inputs &amp; Assumptions'!$X$34*R3272-'Model Inputs &amp; Assumptions'!$X$34^2/2))</f>
        <v>0.00404780115596315</v>
      </c>
      <c r="G3272" s="45" t="n">
        <f aca="false">ROUND(C3272*F3272,0)</f>
        <v>2033</v>
      </c>
      <c r="H3272" s="48" t="n">
        <f aca="false">MAX(0,(C3272*'Model Inputs &amp; Assumptions'!$N$34+E3272*'Model Inputs &amp; Assumptions'!$O$34+G3272*'Model Inputs &amp; Assumptions'!$P$34)*EXP('Model Inputs &amp; Assumptions'!$Q$34*S3272-'Model Inputs &amp; Assumptions'!$Q$34^2/2))</f>
        <v>41.7036704439838</v>
      </c>
      <c r="I3272" s="49" t="n">
        <f aca="false">IF('Model Inputs &amp; Assumptions'!$H$34="Fixed",'Model Inputs &amp; Assumptions'!$I$34*'Model Inputs &amp; Assumptions'!$K$34,IF('Model Inputs &amp; Assumptions'!$H$34="CPM",'Model Inputs &amp; Assumptions'!$I$34*'Model Inputs &amp; Assumptions'!$K$34*C3272/1000,IF('Model Inputs &amp; Assumptions'!$H$34="CPC",'Model Inputs &amp; Assumptions'!$I$34*'Model Inputs &amp; Assumptions'!$K$34*G3272,0)))</f>
        <v>3761.05</v>
      </c>
      <c r="J3272" s="50" t="n">
        <f aca="false">H3272*INDEX('Model Inputs &amp; Assumptions'!$D$40:$D$42,MATCH('Model Inputs &amp; Assumptions'!$L$34,'Model Inputs &amp; Assumptions'!$A$40:$A$42,0))*INDEX('Model Inputs &amp; Assumptions'!$H$40:$H$42,MATCH('Model Inputs &amp; Assumptions'!$L$34,'Model Inputs &amp; Assumptions'!$A$40:$A$42,0))</f>
        <v>300266.427196683</v>
      </c>
      <c r="K3272" s="49" t="n">
        <f aca="false">H3272*INDEX('Model Inputs &amp; Assumptions'!$G$40:$G$42,MATCH('Model Inputs &amp; Assumptions'!$L$34,'Model Inputs &amp; Assumptions'!$A$40:$A$42,0))*INDEX('Model Inputs &amp; Assumptions'!$H$40:$H$42,MATCH('Model Inputs &amp; Assumptions'!$L$34,'Model Inputs &amp; Assumptions'!$A$40:$A$42,0))</f>
        <v>6620.87471968687</v>
      </c>
      <c r="L3272" s="51" t="n">
        <f aca="false">IFERROR(K3272/I3272,0)</f>
        <v>1.7603793407923</v>
      </c>
      <c r="M3272" s="49" t="n">
        <f aca="false">IFERROR(I3272/H3272,0)</f>
        <v>90.1851074487994</v>
      </c>
      <c r="N3272" s="52" t="str">
        <f aca="false">'Model Inputs &amp; Assumptions'!$L$34</f>
        <v>PRD-USIQ</v>
      </c>
      <c r="P3272" s="53" t="n">
        <v>-0.072508</v>
      </c>
      <c r="Q3272" s="53" t="n">
        <v>0.624753</v>
      </c>
      <c r="R3272" s="53" t="n">
        <v>-2.096587</v>
      </c>
      <c r="S3272" s="53" t="n">
        <v>-0.453222</v>
      </c>
    </row>
    <row r="3273" customFormat="false" ht="15" hidden="false" customHeight="false" outlineLevel="0" collapsed="false">
      <c r="A3273" s="43" t="n">
        <v>270</v>
      </c>
      <c r="B3273" s="44" t="str">
        <f aca="false">'Model Inputs &amp; Assumptions'!$B$34</f>
        <v>Meta — Lookalike Feed Video</v>
      </c>
      <c r="C3273" s="45" t="n">
        <f aca="false">ROUND(MAX(0,'Model Inputs &amp; Assumptions'!$S$34*EXP('Model Inputs &amp; Assumptions'!$T$34*P3273-'Model Inputs &amp; Assumptions'!$T$34^2/2)),0)</f>
        <v>566400</v>
      </c>
      <c r="D3273" s="46" t="n">
        <f aca="false">MIN(1,'Model Inputs &amp; Assumptions'!$U$34*EXP('Model Inputs &amp; Assumptions'!$V$34*Q3273-'Model Inputs &amp; Assumptions'!$V$34^2/2))</f>
        <v>0.219257287480454</v>
      </c>
      <c r="E3273" s="45" t="n">
        <f aca="false">ROUND(C3273*D3273,0)</f>
        <v>124187</v>
      </c>
      <c r="F3273" s="47" t="n">
        <f aca="false">MIN(1,'Model Inputs &amp; Assumptions'!$W$34*EXP('Model Inputs &amp; Assumptions'!$X$34*R3273-'Model Inputs &amp; Assumptions'!$X$34^2/2))</f>
        <v>0.00680513197149274</v>
      </c>
      <c r="G3273" s="45" t="n">
        <f aca="false">ROUND(C3273*F3273,0)</f>
        <v>3854</v>
      </c>
      <c r="H3273" s="48" t="n">
        <f aca="false">MAX(0,(C3273*'Model Inputs &amp; Assumptions'!$N$34+E3273*'Model Inputs &amp; Assumptions'!$O$34+G3273*'Model Inputs &amp; Assumptions'!$P$34)*EXP('Model Inputs &amp; Assumptions'!$Q$34*S3273-'Model Inputs &amp; Assumptions'!$Q$34^2/2))</f>
        <v>109.736458337401</v>
      </c>
      <c r="I3273" s="49" t="n">
        <f aca="false">IF('Model Inputs &amp; Assumptions'!$H$34="Fixed",'Model Inputs &amp; Assumptions'!$I$34*'Model Inputs &amp; Assumptions'!$K$34,IF('Model Inputs &amp; Assumptions'!$H$34="CPM",'Model Inputs &amp; Assumptions'!$I$34*'Model Inputs &amp; Assumptions'!$K$34*C3273/1000,IF('Model Inputs &amp; Assumptions'!$H$34="CPC",'Model Inputs &amp; Assumptions'!$I$34*'Model Inputs &amp; Assumptions'!$K$34*G3273,0)))</f>
        <v>7129.9</v>
      </c>
      <c r="J3273" s="50" t="n">
        <f aca="false">H3273*INDEX('Model Inputs &amp; Assumptions'!$D$40:$D$42,MATCH('Model Inputs &amp; Assumptions'!$L$34,'Model Inputs &amp; Assumptions'!$A$40:$A$42,0))*INDEX('Model Inputs &amp; Assumptions'!$H$40:$H$42,MATCH('Model Inputs &amp; Assumptions'!$L$34,'Model Inputs &amp; Assumptions'!$A$40:$A$42,0))</f>
        <v>790102.500029286</v>
      </c>
      <c r="K3273" s="49" t="n">
        <f aca="false">H3273*INDEX('Model Inputs &amp; Assumptions'!$G$40:$G$42,MATCH('Model Inputs &amp; Assumptions'!$L$34,'Model Inputs &amp; Assumptions'!$A$40:$A$42,0))*INDEX('Model Inputs &amp; Assumptions'!$H$40:$H$42,MATCH('Model Inputs &amp; Assumptions'!$L$34,'Model Inputs &amp; Assumptions'!$A$40:$A$42,0))</f>
        <v>17421.7601256458</v>
      </c>
      <c r="L3273" s="51" t="n">
        <f aca="false">IFERROR(K3273/I3273,0)</f>
        <v>2.44347888829377</v>
      </c>
      <c r="M3273" s="49" t="n">
        <f aca="false">IFERROR(I3273/H3273,0)</f>
        <v>64.9729370532269</v>
      </c>
      <c r="N3273" s="52" t="str">
        <f aca="false">'Model Inputs &amp; Assumptions'!$L$34</f>
        <v>PRD-USIQ</v>
      </c>
      <c r="P3273" s="53" t="n">
        <v>0.52736</v>
      </c>
      <c r="Q3273" s="53" t="n">
        <v>-0.218959</v>
      </c>
      <c r="R3273" s="53" t="n">
        <v>0.789542</v>
      </c>
      <c r="S3273" s="53" t="n">
        <v>0.885005</v>
      </c>
    </row>
    <row r="3274" customFormat="false" ht="15" hidden="false" customHeight="false" outlineLevel="0" collapsed="false">
      <c r="A3274" s="43" t="n">
        <v>271</v>
      </c>
      <c r="B3274" s="44" t="str">
        <f aca="false">'Model Inputs &amp; Assumptions'!$B$34</f>
        <v>Meta — Lookalike Feed Video</v>
      </c>
      <c r="C3274" s="45" t="n">
        <f aca="false">ROUND(MAX(0,'Model Inputs &amp; Assumptions'!$S$34*EXP('Model Inputs &amp; Assumptions'!$T$34*P3274-'Model Inputs &amp; Assumptions'!$T$34^2/2)),0)</f>
        <v>507018</v>
      </c>
      <c r="D3274" s="46" t="n">
        <f aca="false">MIN(1,'Model Inputs &amp; Assumptions'!$U$34*EXP('Model Inputs &amp; Assumptions'!$V$34*Q3274-'Model Inputs &amp; Assumptions'!$V$34^2/2))</f>
        <v>0.188111401578646</v>
      </c>
      <c r="E3274" s="45" t="n">
        <f aca="false">ROUND(C3274*D3274,0)</f>
        <v>95376</v>
      </c>
      <c r="F3274" s="47" t="n">
        <f aca="false">MIN(1,'Model Inputs &amp; Assumptions'!$W$34*EXP('Model Inputs &amp; Assumptions'!$X$34*R3274-'Model Inputs &amp; Assumptions'!$X$34^2/2))</f>
        <v>0.00550606069026154</v>
      </c>
      <c r="G3274" s="45" t="n">
        <f aca="false">ROUND(C3274*F3274,0)</f>
        <v>2792</v>
      </c>
      <c r="H3274" s="48" t="n">
        <f aca="false">MAX(0,(C3274*'Model Inputs &amp; Assumptions'!$N$34+E3274*'Model Inputs &amp; Assumptions'!$O$34+G3274*'Model Inputs &amp; Assumptions'!$P$34)*EXP('Model Inputs &amp; Assumptions'!$Q$34*S3274-'Model Inputs &amp; Assumptions'!$Q$34^2/2))</f>
        <v>46.8644247617656</v>
      </c>
      <c r="I3274" s="49" t="n">
        <f aca="false">IF('Model Inputs &amp; Assumptions'!$H$34="Fixed",'Model Inputs &amp; Assumptions'!$I$34*'Model Inputs &amp; Assumptions'!$K$34,IF('Model Inputs &amp; Assumptions'!$H$34="CPM",'Model Inputs &amp; Assumptions'!$I$34*'Model Inputs &amp; Assumptions'!$K$34*C3274/1000,IF('Model Inputs &amp; Assumptions'!$H$34="CPC",'Model Inputs &amp; Assumptions'!$I$34*'Model Inputs &amp; Assumptions'!$K$34*G3274,0)))</f>
        <v>5165.2</v>
      </c>
      <c r="J3274" s="50" t="n">
        <f aca="false">H3274*INDEX('Model Inputs &amp; Assumptions'!$D$40:$D$42,MATCH('Model Inputs &amp; Assumptions'!$L$34,'Model Inputs &amp; Assumptions'!$A$40:$A$42,0))*INDEX('Model Inputs &amp; Assumptions'!$H$40:$H$42,MATCH('Model Inputs &amp; Assumptions'!$L$34,'Model Inputs &amp; Assumptions'!$A$40:$A$42,0))</f>
        <v>337423.858284713</v>
      </c>
      <c r="K3274" s="49" t="n">
        <f aca="false">H3274*INDEX('Model Inputs &amp; Assumptions'!$G$40:$G$42,MATCH('Model Inputs &amp; Assumptions'!$L$34,'Model Inputs &amp; Assumptions'!$A$40:$A$42,0))*INDEX('Model Inputs &amp; Assumptions'!$H$40:$H$42,MATCH('Model Inputs &amp; Assumptions'!$L$34,'Model Inputs &amp; Assumptions'!$A$40:$A$42,0))</f>
        <v>7440.19607517791</v>
      </c>
      <c r="L3274" s="51" t="n">
        <f aca="false">IFERROR(K3274/I3274,0)</f>
        <v>1.44044685107603</v>
      </c>
      <c r="M3274" s="49" t="n">
        <f aca="false">IFERROR(I3274/H3274,0)</f>
        <v>110.215798577646</v>
      </c>
      <c r="N3274" s="52" t="str">
        <f aca="false">'Model Inputs &amp; Assumptions'!$L$34</f>
        <v>PRD-USIQ</v>
      </c>
      <c r="P3274" s="53" t="n">
        <v>-0.026413</v>
      </c>
      <c r="Q3274" s="53" t="n">
        <v>-1.176531</v>
      </c>
      <c r="R3274" s="53" t="n">
        <v>-0.387278</v>
      </c>
      <c r="S3274" s="53" t="n">
        <v>-0.787843</v>
      </c>
    </row>
    <row r="3275" customFormat="false" ht="15" hidden="false" customHeight="false" outlineLevel="0" collapsed="false">
      <c r="A3275" s="43" t="n">
        <v>272</v>
      </c>
      <c r="B3275" s="44" t="str">
        <f aca="false">'Model Inputs &amp; Assumptions'!$B$34</f>
        <v>Meta — Lookalike Feed Video</v>
      </c>
      <c r="C3275" s="45" t="n">
        <f aca="false">ROUND(MAX(0,'Model Inputs &amp; Assumptions'!$S$34*EXP('Model Inputs &amp; Assumptions'!$T$34*P3275-'Model Inputs &amp; Assumptions'!$T$34^2/2)),0)</f>
        <v>455352</v>
      </c>
      <c r="D3275" s="46" t="n">
        <f aca="false">MIN(1,'Model Inputs &amp; Assumptions'!$U$34*EXP('Model Inputs &amp; Assumptions'!$V$34*Q3275-'Model Inputs &amp; Assumptions'!$V$34^2/2))</f>
        <v>0.242970750777048</v>
      </c>
      <c r="E3275" s="45" t="n">
        <f aca="false">ROUND(C3275*D3275,0)</f>
        <v>110637</v>
      </c>
      <c r="F3275" s="47" t="n">
        <f aca="false">MIN(1,'Model Inputs &amp; Assumptions'!$W$34*EXP('Model Inputs &amp; Assumptions'!$X$34*R3275-'Model Inputs &amp; Assumptions'!$X$34^2/2))</f>
        <v>0.00533805305061928</v>
      </c>
      <c r="G3275" s="45" t="n">
        <f aca="false">ROUND(C3275*F3275,0)</f>
        <v>2431</v>
      </c>
      <c r="H3275" s="48" t="n">
        <f aca="false">MAX(0,(C3275*'Model Inputs &amp; Assumptions'!$N$34+E3275*'Model Inputs &amp; Assumptions'!$O$34+G3275*'Model Inputs &amp; Assumptions'!$P$34)*EXP('Model Inputs &amp; Assumptions'!$Q$34*S3275-'Model Inputs &amp; Assumptions'!$Q$34^2/2))</f>
        <v>36.0288763134371</v>
      </c>
      <c r="I3275" s="49" t="n">
        <f aca="false">IF('Model Inputs &amp; Assumptions'!$H$34="Fixed",'Model Inputs &amp; Assumptions'!$I$34*'Model Inputs &amp; Assumptions'!$K$34,IF('Model Inputs &amp; Assumptions'!$H$34="CPM",'Model Inputs &amp; Assumptions'!$I$34*'Model Inputs &amp; Assumptions'!$K$34*C3275/1000,IF('Model Inputs &amp; Assumptions'!$H$34="CPC",'Model Inputs &amp; Assumptions'!$I$34*'Model Inputs &amp; Assumptions'!$K$34*G3275,0)))</f>
        <v>4497.35</v>
      </c>
      <c r="J3275" s="50" t="n">
        <f aca="false">H3275*INDEX('Model Inputs &amp; Assumptions'!$D$40:$D$42,MATCH('Model Inputs &amp; Assumptions'!$L$34,'Model Inputs &amp; Assumptions'!$A$40:$A$42,0))*INDEX('Model Inputs &amp; Assumptions'!$H$40:$H$42,MATCH('Model Inputs &amp; Assumptions'!$L$34,'Model Inputs &amp; Assumptions'!$A$40:$A$42,0))</f>
        <v>259407.909456747</v>
      </c>
      <c r="K3275" s="49" t="n">
        <f aca="false">H3275*INDEX('Model Inputs &amp; Assumptions'!$G$40:$G$42,MATCH('Model Inputs &amp; Assumptions'!$L$34,'Model Inputs &amp; Assumptions'!$A$40:$A$42,0))*INDEX('Model Inputs &amp; Assumptions'!$H$40:$H$42,MATCH('Model Inputs &amp; Assumptions'!$L$34,'Model Inputs &amp; Assumptions'!$A$40:$A$42,0))</f>
        <v>5719.94440352127</v>
      </c>
      <c r="L3275" s="51" t="n">
        <f aca="false">IFERROR(K3275/I3275,0)</f>
        <v>1.27184773333658</v>
      </c>
      <c r="M3275" s="49" t="n">
        <f aca="false">IFERROR(I3275/H3275,0)</f>
        <v>124.826263269351</v>
      </c>
      <c r="N3275" s="52" t="str">
        <f aca="false">'Model Inputs &amp; Assumptions'!$L$34</f>
        <v>PRD-USIQ</v>
      </c>
      <c r="P3275" s="53" t="n">
        <v>-0.563794</v>
      </c>
      <c r="Q3275" s="53" t="n">
        <v>0.422886</v>
      </c>
      <c r="R3275" s="53" t="n">
        <v>-0.559436</v>
      </c>
      <c r="S3275" s="53" t="n">
        <v>-1.299247</v>
      </c>
    </row>
    <row r="3276" customFormat="false" ht="15" hidden="false" customHeight="false" outlineLevel="0" collapsed="false">
      <c r="A3276" s="43" t="n">
        <v>273</v>
      </c>
      <c r="B3276" s="44" t="str">
        <f aca="false">'Model Inputs &amp; Assumptions'!$B$34</f>
        <v>Meta — Lookalike Feed Video</v>
      </c>
      <c r="C3276" s="45" t="n">
        <f aca="false">ROUND(MAX(0,'Model Inputs &amp; Assumptions'!$S$34*EXP('Model Inputs &amp; Assumptions'!$T$34*P3276-'Model Inputs &amp; Assumptions'!$T$34^2/2)),0)</f>
        <v>547305</v>
      </c>
      <c r="D3276" s="46" t="n">
        <f aca="false">MIN(1,'Model Inputs &amp; Assumptions'!$U$34*EXP('Model Inputs &amp; Assumptions'!$V$34*Q3276-'Model Inputs &amp; Assumptions'!$V$34^2/2))</f>
        <v>0.179534226911343</v>
      </c>
      <c r="E3276" s="45" t="n">
        <f aca="false">ROUND(C3276*D3276,0)</f>
        <v>98260</v>
      </c>
      <c r="F3276" s="47" t="n">
        <f aca="false">MIN(1,'Model Inputs &amp; Assumptions'!$W$34*EXP('Model Inputs &amp; Assumptions'!$X$34*R3276-'Model Inputs &amp; Assumptions'!$X$34^2/2))</f>
        <v>0.0066469388755898</v>
      </c>
      <c r="G3276" s="45" t="n">
        <f aca="false">ROUND(C3276*F3276,0)</f>
        <v>3638</v>
      </c>
      <c r="H3276" s="48" t="n">
        <f aca="false">MAX(0,(C3276*'Model Inputs &amp; Assumptions'!$N$34+E3276*'Model Inputs &amp; Assumptions'!$O$34+G3276*'Model Inputs &amp; Assumptions'!$P$34)*EXP('Model Inputs &amp; Assumptions'!$Q$34*S3276-'Model Inputs &amp; Assumptions'!$Q$34^2/2))</f>
        <v>65.2570209209771</v>
      </c>
      <c r="I3276" s="49" t="n">
        <f aca="false">IF('Model Inputs &amp; Assumptions'!$H$34="Fixed",'Model Inputs &amp; Assumptions'!$I$34*'Model Inputs &amp; Assumptions'!$K$34,IF('Model Inputs &amp; Assumptions'!$H$34="CPM",'Model Inputs &amp; Assumptions'!$I$34*'Model Inputs &amp; Assumptions'!$K$34*C3276/1000,IF('Model Inputs &amp; Assumptions'!$H$34="CPC",'Model Inputs &amp; Assumptions'!$I$34*'Model Inputs &amp; Assumptions'!$K$34*G3276,0)))</f>
        <v>6730.3</v>
      </c>
      <c r="J3276" s="50" t="n">
        <f aca="false">H3276*INDEX('Model Inputs &amp; Assumptions'!$D$40:$D$42,MATCH('Model Inputs &amp; Assumptions'!$L$34,'Model Inputs &amp; Assumptions'!$A$40:$A$42,0))*INDEX('Model Inputs &amp; Assumptions'!$H$40:$H$42,MATCH('Model Inputs &amp; Assumptions'!$L$34,'Model Inputs &amp; Assumptions'!$A$40:$A$42,0))</f>
        <v>469850.550631035</v>
      </c>
      <c r="K3276" s="49" t="n">
        <f aca="false">H3276*INDEX('Model Inputs &amp; Assumptions'!$G$40:$G$42,MATCH('Model Inputs &amp; Assumptions'!$L$34,'Model Inputs &amp; Assumptions'!$A$40:$A$42,0))*INDEX('Model Inputs &amp; Assumptions'!$H$40:$H$42,MATCH('Model Inputs &amp; Assumptions'!$L$34,'Model Inputs &amp; Assumptions'!$A$40:$A$42,0))</f>
        <v>10360.2046414143</v>
      </c>
      <c r="L3276" s="51" t="n">
        <f aca="false">IFERROR(K3276/I3276,0)</f>
        <v>1.53933771769673</v>
      </c>
      <c r="M3276" s="49" t="n">
        <f aca="false">IFERROR(I3276/H3276,0)</f>
        <v>103.135262765826</v>
      </c>
      <c r="N3276" s="52" t="str">
        <f aca="false">'Model Inputs &amp; Assumptions'!$L$34</f>
        <v>PRD-USIQ</v>
      </c>
      <c r="P3276" s="53" t="n">
        <v>0.355883</v>
      </c>
      <c r="Q3276" s="53" t="n">
        <v>-1.468209</v>
      </c>
      <c r="R3276" s="53" t="n">
        <v>0.658872</v>
      </c>
      <c r="S3276" s="53" t="n">
        <v>-0.500697</v>
      </c>
    </row>
    <row r="3277" customFormat="false" ht="15" hidden="false" customHeight="false" outlineLevel="0" collapsed="false">
      <c r="A3277" s="43" t="n">
        <v>274</v>
      </c>
      <c r="B3277" s="44" t="str">
        <f aca="false">'Model Inputs &amp; Assumptions'!$B$34</f>
        <v>Meta — Lookalike Feed Video</v>
      </c>
      <c r="C3277" s="45" t="n">
        <f aca="false">ROUND(MAX(0,'Model Inputs &amp; Assumptions'!$S$34*EXP('Model Inputs &amp; Assumptions'!$T$34*P3277-'Model Inputs &amp; Assumptions'!$T$34^2/2)),0)</f>
        <v>645374</v>
      </c>
      <c r="D3277" s="46" t="n">
        <f aca="false">MIN(1,'Model Inputs &amp; Assumptions'!$U$34*EXP('Model Inputs &amp; Assumptions'!$V$34*Q3277-'Model Inputs &amp; Assumptions'!$V$34^2/2))</f>
        <v>0.21417584622275</v>
      </c>
      <c r="E3277" s="45" t="n">
        <f aca="false">ROUND(C3277*D3277,0)</f>
        <v>138224</v>
      </c>
      <c r="F3277" s="47" t="n">
        <f aca="false">MIN(1,'Model Inputs &amp; Assumptions'!$W$34*EXP('Model Inputs &amp; Assumptions'!$X$34*R3277-'Model Inputs &amp; Assumptions'!$X$34^2/2))</f>
        <v>0.00556446603326448</v>
      </c>
      <c r="G3277" s="45" t="n">
        <f aca="false">ROUND(C3277*F3277,0)</f>
        <v>3591</v>
      </c>
      <c r="H3277" s="48" t="n">
        <f aca="false">MAX(0,(C3277*'Model Inputs &amp; Assumptions'!$N$34+E3277*'Model Inputs &amp; Assumptions'!$O$34+G3277*'Model Inputs &amp; Assumptions'!$P$34)*EXP('Model Inputs &amp; Assumptions'!$Q$34*S3277-'Model Inputs &amp; Assumptions'!$Q$34^2/2))</f>
        <v>105.609520311257</v>
      </c>
      <c r="I3277" s="49" t="n">
        <f aca="false">IF('Model Inputs &amp; Assumptions'!$H$34="Fixed",'Model Inputs &amp; Assumptions'!$I$34*'Model Inputs &amp; Assumptions'!$K$34,IF('Model Inputs &amp; Assumptions'!$H$34="CPM",'Model Inputs &amp; Assumptions'!$I$34*'Model Inputs &amp; Assumptions'!$K$34*C3277/1000,IF('Model Inputs &amp; Assumptions'!$H$34="CPC",'Model Inputs &amp; Assumptions'!$I$34*'Model Inputs &amp; Assumptions'!$K$34*G3277,0)))</f>
        <v>6643.35</v>
      </c>
      <c r="J3277" s="50" t="n">
        <f aca="false">H3277*INDEX('Model Inputs &amp; Assumptions'!$D$40:$D$42,MATCH('Model Inputs &amp; Assumptions'!$L$34,'Model Inputs &amp; Assumptions'!$A$40:$A$42,0))*INDEX('Model Inputs &amp; Assumptions'!$H$40:$H$42,MATCH('Model Inputs &amp; Assumptions'!$L$34,'Model Inputs &amp; Assumptions'!$A$40:$A$42,0))</f>
        <v>760388.546241051</v>
      </c>
      <c r="K3277" s="49" t="n">
        <f aca="false">H3277*INDEX('Model Inputs &amp; Assumptions'!$G$40:$G$42,MATCH('Model Inputs &amp; Assumptions'!$L$34,'Model Inputs &amp; Assumptions'!$A$40:$A$42,0))*INDEX('Model Inputs &amp; Assumptions'!$H$40:$H$42,MATCH('Model Inputs &amp; Assumptions'!$L$34,'Model Inputs &amp; Assumptions'!$A$40:$A$42,0))</f>
        <v>16766.5674446152</v>
      </c>
      <c r="L3277" s="51" t="n">
        <f aca="false">IFERROR(K3277/I3277,0)</f>
        <v>2.5238121496858</v>
      </c>
      <c r="M3277" s="49" t="n">
        <f aca="false">IFERROR(I3277/H3277,0)</f>
        <v>62.9048402115683</v>
      </c>
      <c r="N3277" s="52" t="str">
        <f aca="false">'Model Inputs &amp; Assumptions'!$L$34</f>
        <v>PRD-USIQ</v>
      </c>
      <c r="P3277" s="53" t="n">
        <v>1.180009</v>
      </c>
      <c r="Q3277" s="53" t="n">
        <v>-0.365512</v>
      </c>
      <c r="R3277" s="53" t="n">
        <v>-0.328658</v>
      </c>
      <c r="S3277" s="53" t="n">
        <v>0.917437</v>
      </c>
    </row>
    <row r="3278" customFormat="false" ht="15" hidden="false" customHeight="false" outlineLevel="0" collapsed="false">
      <c r="A3278" s="43" t="n">
        <v>275</v>
      </c>
      <c r="B3278" s="44" t="str">
        <f aca="false">'Model Inputs &amp; Assumptions'!$B$34</f>
        <v>Meta — Lookalike Feed Video</v>
      </c>
      <c r="C3278" s="45" t="n">
        <f aca="false">ROUND(MAX(0,'Model Inputs &amp; Assumptions'!$S$34*EXP('Model Inputs &amp; Assumptions'!$T$34*P3278-'Model Inputs &amp; Assumptions'!$T$34^2/2)),0)</f>
        <v>623279</v>
      </c>
      <c r="D3278" s="46" t="n">
        <f aca="false">MIN(1,'Model Inputs &amp; Assumptions'!$U$34*EXP('Model Inputs &amp; Assumptions'!$V$34*Q3278-'Model Inputs &amp; Assumptions'!$V$34^2/2))</f>
        <v>0.218952643985178</v>
      </c>
      <c r="E3278" s="45" t="n">
        <f aca="false">ROUND(C3278*D3278,0)</f>
        <v>136469</v>
      </c>
      <c r="F3278" s="47" t="n">
        <f aca="false">MIN(1,'Model Inputs &amp; Assumptions'!$W$34*EXP('Model Inputs &amp; Assumptions'!$X$34*R3278-'Model Inputs &amp; Assumptions'!$X$34^2/2))</f>
        <v>0.0069591173531489</v>
      </c>
      <c r="G3278" s="45" t="n">
        <f aca="false">ROUND(C3278*F3278,0)</f>
        <v>4337</v>
      </c>
      <c r="H3278" s="48" t="n">
        <f aca="false">MAX(0,(C3278*'Model Inputs &amp; Assumptions'!$N$34+E3278*'Model Inputs &amp; Assumptions'!$O$34+G3278*'Model Inputs &amp; Assumptions'!$P$34)*EXP('Model Inputs &amp; Assumptions'!$Q$34*S3278-'Model Inputs &amp; Assumptions'!$Q$34^2/2))</f>
        <v>60.5281523004753</v>
      </c>
      <c r="I3278" s="49" t="n">
        <f aca="false">IF('Model Inputs &amp; Assumptions'!$H$34="Fixed",'Model Inputs &amp; Assumptions'!$I$34*'Model Inputs &amp; Assumptions'!$K$34,IF('Model Inputs &amp; Assumptions'!$H$34="CPM",'Model Inputs &amp; Assumptions'!$I$34*'Model Inputs &amp; Assumptions'!$K$34*C3278/1000,IF('Model Inputs &amp; Assumptions'!$H$34="CPC",'Model Inputs &amp; Assumptions'!$I$34*'Model Inputs &amp; Assumptions'!$K$34*G3278,0)))</f>
        <v>8023.45</v>
      </c>
      <c r="J3278" s="50" t="n">
        <f aca="false">H3278*INDEX('Model Inputs &amp; Assumptions'!$D$40:$D$42,MATCH('Model Inputs &amp; Assumptions'!$L$34,'Model Inputs &amp; Assumptions'!$A$40:$A$42,0))*INDEX('Model Inputs &amp; Assumptions'!$H$40:$H$42,MATCH('Model Inputs &amp; Assumptions'!$L$34,'Model Inputs &amp; Assumptions'!$A$40:$A$42,0))</f>
        <v>435802.696563422</v>
      </c>
      <c r="K3278" s="49" t="n">
        <f aca="false">H3278*INDEX('Model Inputs &amp; Assumptions'!$G$40:$G$42,MATCH('Model Inputs &amp; Assumptions'!$L$34,'Model Inputs &amp; Assumptions'!$A$40:$A$42,0))*INDEX('Model Inputs &amp; Assumptions'!$H$40:$H$42,MATCH('Model Inputs &amp; Assumptions'!$L$34,'Model Inputs &amp; Assumptions'!$A$40:$A$42,0))</f>
        <v>9609.44945922345</v>
      </c>
      <c r="L3278" s="51" t="n">
        <f aca="false">IFERROR(K3278/I3278,0)</f>
        <v>1.19767051071839</v>
      </c>
      <c r="M3278" s="49" t="n">
        <f aca="false">IFERROR(I3278/H3278,0)</f>
        <v>132.557325724562</v>
      </c>
      <c r="N3278" s="52" t="str">
        <f aca="false">'Model Inputs &amp; Assumptions'!$L$34</f>
        <v>PRD-USIQ</v>
      </c>
      <c r="P3278" s="53" t="n">
        <v>1.005827</v>
      </c>
      <c r="Q3278" s="53" t="n">
        <v>-0.227649</v>
      </c>
      <c r="R3278" s="53" t="n">
        <v>0.913851</v>
      </c>
      <c r="S3278" s="53" t="n">
        <v>-1.334869</v>
      </c>
    </row>
    <row r="3279" customFormat="false" ht="15" hidden="false" customHeight="false" outlineLevel="0" collapsed="false">
      <c r="A3279" s="43" t="n">
        <v>276</v>
      </c>
      <c r="B3279" s="44" t="str">
        <f aca="false">'Model Inputs &amp; Assumptions'!$B$34</f>
        <v>Meta — Lookalike Feed Video</v>
      </c>
      <c r="C3279" s="45" t="n">
        <f aca="false">ROUND(MAX(0,'Model Inputs &amp; Assumptions'!$S$34*EXP('Model Inputs &amp; Assumptions'!$T$34*P3279-'Model Inputs &amp; Assumptions'!$T$34^2/2)),0)</f>
        <v>532793</v>
      </c>
      <c r="D3279" s="46" t="n">
        <f aca="false">MIN(1,'Model Inputs &amp; Assumptions'!$U$34*EXP('Model Inputs &amp; Assumptions'!$V$34*Q3279-'Model Inputs &amp; Assumptions'!$V$34^2/2))</f>
        <v>0.303993849387381</v>
      </c>
      <c r="E3279" s="45" t="n">
        <f aca="false">ROUND(C3279*D3279,0)</f>
        <v>161966</v>
      </c>
      <c r="F3279" s="47" t="n">
        <f aca="false">MIN(1,'Model Inputs &amp; Assumptions'!$W$34*EXP('Model Inputs &amp; Assumptions'!$X$34*R3279-'Model Inputs &amp; Assumptions'!$X$34^2/2))</f>
        <v>0.00439149655202839</v>
      </c>
      <c r="G3279" s="45" t="n">
        <f aca="false">ROUND(C3279*F3279,0)</f>
        <v>2340</v>
      </c>
      <c r="H3279" s="48" t="n">
        <f aca="false">MAX(0,(C3279*'Model Inputs &amp; Assumptions'!$N$34+E3279*'Model Inputs &amp; Assumptions'!$O$34+G3279*'Model Inputs &amp; Assumptions'!$P$34)*EXP('Model Inputs &amp; Assumptions'!$Q$34*S3279-'Model Inputs &amp; Assumptions'!$Q$34^2/2))</f>
        <v>75.9264132402534</v>
      </c>
      <c r="I3279" s="49" t="n">
        <f aca="false">IF('Model Inputs &amp; Assumptions'!$H$34="Fixed",'Model Inputs &amp; Assumptions'!$I$34*'Model Inputs &amp; Assumptions'!$K$34,IF('Model Inputs &amp; Assumptions'!$H$34="CPM",'Model Inputs &amp; Assumptions'!$I$34*'Model Inputs &amp; Assumptions'!$K$34*C3279/1000,IF('Model Inputs &amp; Assumptions'!$H$34="CPC",'Model Inputs &amp; Assumptions'!$I$34*'Model Inputs &amp; Assumptions'!$K$34*G3279,0)))</f>
        <v>4329</v>
      </c>
      <c r="J3279" s="50" t="n">
        <f aca="false">H3279*INDEX('Model Inputs &amp; Assumptions'!$D$40:$D$42,MATCH('Model Inputs &amp; Assumptions'!$L$34,'Model Inputs &amp; Assumptions'!$A$40:$A$42,0))*INDEX('Model Inputs &amp; Assumptions'!$H$40:$H$42,MATCH('Model Inputs &amp; Assumptions'!$L$34,'Model Inputs &amp; Assumptions'!$A$40:$A$42,0))</f>
        <v>546670.175329825</v>
      </c>
      <c r="K3279" s="49" t="n">
        <f aca="false">H3279*INDEX('Model Inputs &amp; Assumptions'!$G$40:$G$42,MATCH('Model Inputs &amp; Assumptions'!$L$34,'Model Inputs &amp; Assumptions'!$A$40:$A$42,0))*INDEX('Model Inputs &amp; Assumptions'!$H$40:$H$42,MATCH('Model Inputs &amp; Assumptions'!$L$34,'Model Inputs &amp; Assumptions'!$A$40:$A$42,0))</f>
        <v>12054.0773660226</v>
      </c>
      <c r="L3279" s="51" t="n">
        <f aca="false">IFERROR(K3279/I3279,0)</f>
        <v>2.78449465604588</v>
      </c>
      <c r="M3279" s="49" t="n">
        <f aca="false">IFERROR(I3279/H3279,0)</f>
        <v>57.0157316176885</v>
      </c>
      <c r="N3279" s="52" t="str">
        <f aca="false">'Model Inputs &amp; Assumptions'!$L$34</f>
        <v>PRD-USIQ</v>
      </c>
      <c r="P3279" s="53" t="n">
        <v>0.221524</v>
      </c>
      <c r="Q3279" s="53" t="n">
        <v>1.823301</v>
      </c>
      <c r="R3279" s="53" t="n">
        <v>-1.64383</v>
      </c>
      <c r="S3279" s="53" t="n">
        <v>0.908355</v>
      </c>
    </row>
    <row r="3280" customFormat="false" ht="15" hidden="false" customHeight="false" outlineLevel="0" collapsed="false">
      <c r="A3280" s="43" t="n">
        <v>277</v>
      </c>
      <c r="B3280" s="44" t="str">
        <f aca="false">'Model Inputs &amp; Assumptions'!$B$34</f>
        <v>Meta — Lookalike Feed Video</v>
      </c>
      <c r="C3280" s="45" t="n">
        <f aca="false">ROUND(MAX(0,'Model Inputs &amp; Assumptions'!$S$34*EXP('Model Inputs &amp; Assumptions'!$T$34*P3280-'Model Inputs &amp; Assumptions'!$T$34^2/2)),0)</f>
        <v>435423</v>
      </c>
      <c r="D3280" s="46" t="n">
        <f aca="false">MIN(1,'Model Inputs &amp; Assumptions'!$U$34*EXP('Model Inputs &amp; Assumptions'!$V$34*Q3280-'Model Inputs &amp; Assumptions'!$V$34^2/2))</f>
        <v>0.224271790979153</v>
      </c>
      <c r="E3280" s="45" t="n">
        <f aca="false">ROUND(C3280*D3280,0)</f>
        <v>97653</v>
      </c>
      <c r="F3280" s="47" t="n">
        <f aca="false">MIN(1,'Model Inputs &amp; Assumptions'!$W$34*EXP('Model Inputs &amp; Assumptions'!$X$34*R3280-'Model Inputs &amp; Assumptions'!$X$34^2/2))</f>
        <v>0.00725462320606564</v>
      </c>
      <c r="G3280" s="45" t="n">
        <f aca="false">ROUND(C3280*F3280,0)</f>
        <v>3159</v>
      </c>
      <c r="H3280" s="48" t="n">
        <f aca="false">MAX(0,(C3280*'Model Inputs &amp; Assumptions'!$N$34+E3280*'Model Inputs &amp; Assumptions'!$O$34+G3280*'Model Inputs &amp; Assumptions'!$P$34)*EXP('Model Inputs &amp; Assumptions'!$Q$34*S3280-'Model Inputs &amp; Assumptions'!$Q$34^2/2))</f>
        <v>118.126548567421</v>
      </c>
      <c r="I3280" s="49" t="n">
        <f aca="false">IF('Model Inputs &amp; Assumptions'!$H$34="Fixed",'Model Inputs &amp; Assumptions'!$I$34*'Model Inputs &amp; Assumptions'!$K$34,IF('Model Inputs &amp; Assumptions'!$H$34="CPM",'Model Inputs &amp; Assumptions'!$I$34*'Model Inputs &amp; Assumptions'!$K$34*C3280/1000,IF('Model Inputs &amp; Assumptions'!$H$34="CPC",'Model Inputs &amp; Assumptions'!$I$34*'Model Inputs &amp; Assumptions'!$K$34*G3280,0)))</f>
        <v>5844.15</v>
      </c>
      <c r="J3280" s="50" t="n">
        <f aca="false">H3280*INDEX('Model Inputs &amp; Assumptions'!$D$40:$D$42,MATCH('Model Inputs &amp; Assumptions'!$L$34,'Model Inputs &amp; Assumptions'!$A$40:$A$42,0))*INDEX('Model Inputs &amp; Assumptions'!$H$40:$H$42,MATCH('Model Inputs &amp; Assumptions'!$L$34,'Model Inputs &amp; Assumptions'!$A$40:$A$42,0))</f>
        <v>850511.149685434</v>
      </c>
      <c r="K3280" s="49" t="n">
        <f aca="false">H3280*INDEX('Model Inputs &amp; Assumptions'!$G$40:$G$42,MATCH('Model Inputs &amp; Assumptions'!$L$34,'Model Inputs &amp; Assumptions'!$A$40:$A$42,0))*INDEX('Model Inputs &amp; Assumptions'!$H$40:$H$42,MATCH('Model Inputs &amp; Assumptions'!$L$34,'Model Inputs &amp; Assumptions'!$A$40:$A$42,0))</f>
        <v>18753.7708505638</v>
      </c>
      <c r="L3280" s="51" t="n">
        <f aca="false">IFERROR(K3280/I3280,0)</f>
        <v>3.20898177674492</v>
      </c>
      <c r="M3280" s="49" t="n">
        <f aca="false">IFERROR(I3280/H3280,0)</f>
        <v>49.4736371364006</v>
      </c>
      <c r="N3280" s="52" t="str">
        <f aca="false">'Model Inputs &amp; Assumptions'!$L$34</f>
        <v>PRD-USIQ</v>
      </c>
      <c r="P3280" s="53" t="n">
        <v>-0.787551</v>
      </c>
      <c r="Q3280" s="53" t="n">
        <v>-0.077629</v>
      </c>
      <c r="R3280" s="53" t="n">
        <v>1.144886</v>
      </c>
      <c r="S3280" s="53" t="n">
        <v>1.751206</v>
      </c>
    </row>
    <row r="3281" customFormat="false" ht="15" hidden="false" customHeight="false" outlineLevel="0" collapsed="false">
      <c r="A3281" s="43" t="n">
        <v>278</v>
      </c>
      <c r="B3281" s="44" t="str">
        <f aca="false">'Model Inputs &amp; Assumptions'!$B$34</f>
        <v>Meta — Lookalike Feed Video</v>
      </c>
      <c r="C3281" s="45" t="n">
        <f aca="false">ROUND(MAX(0,'Model Inputs &amp; Assumptions'!$S$34*EXP('Model Inputs &amp; Assumptions'!$T$34*P3281-'Model Inputs &amp; Assumptions'!$T$34^2/2)),0)</f>
        <v>548674</v>
      </c>
      <c r="D3281" s="46" t="n">
        <f aca="false">MIN(1,'Model Inputs &amp; Assumptions'!$U$34*EXP('Model Inputs &amp; Assumptions'!$V$34*Q3281-'Model Inputs &amp; Assumptions'!$V$34^2/2))</f>
        <v>0.325116099875138</v>
      </c>
      <c r="E3281" s="45" t="n">
        <f aca="false">ROUND(C3281*D3281,0)</f>
        <v>178383</v>
      </c>
      <c r="F3281" s="47" t="n">
        <f aca="false">MIN(1,'Model Inputs &amp; Assumptions'!$W$34*EXP('Model Inputs &amp; Assumptions'!$X$34*R3281-'Model Inputs &amp; Assumptions'!$X$34^2/2))</f>
        <v>0.00738361982259846</v>
      </c>
      <c r="G3281" s="45" t="n">
        <f aca="false">ROUND(C3281*F3281,0)</f>
        <v>4051</v>
      </c>
      <c r="H3281" s="48" t="n">
        <f aca="false">MAX(0,(C3281*'Model Inputs &amp; Assumptions'!$N$34+E3281*'Model Inputs &amp; Assumptions'!$O$34+G3281*'Model Inputs &amp; Assumptions'!$P$34)*EXP('Model Inputs &amp; Assumptions'!$Q$34*S3281-'Model Inputs &amp; Assumptions'!$Q$34^2/2))</f>
        <v>145.311737677434</v>
      </c>
      <c r="I3281" s="49" t="n">
        <f aca="false">IF('Model Inputs &amp; Assumptions'!$H$34="Fixed",'Model Inputs &amp; Assumptions'!$I$34*'Model Inputs &amp; Assumptions'!$K$34,IF('Model Inputs &amp; Assumptions'!$H$34="CPM",'Model Inputs &amp; Assumptions'!$I$34*'Model Inputs &amp; Assumptions'!$K$34*C3281/1000,IF('Model Inputs &amp; Assumptions'!$H$34="CPC",'Model Inputs &amp; Assumptions'!$I$34*'Model Inputs &amp; Assumptions'!$K$34*G3281,0)))</f>
        <v>7494.35</v>
      </c>
      <c r="J3281" s="50" t="n">
        <f aca="false">H3281*INDEX('Model Inputs &amp; Assumptions'!$D$40:$D$42,MATCH('Model Inputs &amp; Assumptions'!$L$34,'Model Inputs &amp; Assumptions'!$A$40:$A$42,0))*INDEX('Model Inputs &amp; Assumptions'!$H$40:$H$42,MATCH('Model Inputs &amp; Assumptions'!$L$34,'Model Inputs &amp; Assumptions'!$A$40:$A$42,0))</f>
        <v>1046244.51127752</v>
      </c>
      <c r="K3281" s="49" t="n">
        <f aca="false">H3281*INDEX('Model Inputs &amp; Assumptions'!$G$40:$G$42,MATCH('Model Inputs &amp; Assumptions'!$L$34,'Model Inputs &amp; Assumptions'!$A$40:$A$42,0))*INDEX('Model Inputs &amp; Assumptions'!$H$40:$H$42,MATCH('Model Inputs &amp; Assumptions'!$L$34,'Model Inputs &amp; Assumptions'!$A$40:$A$42,0))</f>
        <v>23069.6914736694</v>
      </c>
      <c r="L3281" s="51" t="n">
        <f aca="false">IFERROR(K3281/I3281,0)</f>
        <v>3.07827783245637</v>
      </c>
      <c r="M3281" s="49" t="n">
        <f aca="false">IFERROR(I3281/H3281,0)</f>
        <v>51.5742920687943</v>
      </c>
      <c r="N3281" s="52" t="str">
        <f aca="false">'Model Inputs &amp; Assumptions'!$L$34</f>
        <v>PRD-USIQ</v>
      </c>
      <c r="P3281" s="53" t="n">
        <v>0.368374</v>
      </c>
      <c r="Q3281" s="53" t="n">
        <v>2.243144</v>
      </c>
      <c r="R3281" s="53" t="n">
        <v>1.242803</v>
      </c>
      <c r="S3281" s="53" t="n">
        <v>1.478593</v>
      </c>
    </row>
    <row r="3282" customFormat="false" ht="15" hidden="false" customHeight="false" outlineLevel="0" collapsed="false">
      <c r="A3282" s="43" t="n">
        <v>279</v>
      </c>
      <c r="B3282" s="44" t="str">
        <f aca="false">'Model Inputs &amp; Assumptions'!$B$34</f>
        <v>Meta — Lookalike Feed Video</v>
      </c>
      <c r="C3282" s="45" t="n">
        <f aca="false">ROUND(MAX(0,'Model Inputs &amp; Assumptions'!$S$34*EXP('Model Inputs &amp; Assumptions'!$T$34*P3282-'Model Inputs &amp; Assumptions'!$T$34^2/2)),0)</f>
        <v>370202</v>
      </c>
      <c r="D3282" s="46" t="n">
        <f aca="false">MIN(1,'Model Inputs &amp; Assumptions'!$U$34*EXP('Model Inputs &amp; Assumptions'!$V$34*Q3282-'Model Inputs &amp; Assumptions'!$V$34^2/2))</f>
        <v>0.21834497560413</v>
      </c>
      <c r="E3282" s="45" t="n">
        <f aca="false">ROUND(C3282*D3282,0)</f>
        <v>80832</v>
      </c>
      <c r="F3282" s="47" t="n">
        <f aca="false">MIN(1,'Model Inputs &amp; Assumptions'!$W$34*EXP('Model Inputs &amp; Assumptions'!$X$34*R3282-'Model Inputs &amp; Assumptions'!$X$34^2/2))</f>
        <v>0.00821702128435014</v>
      </c>
      <c r="G3282" s="45" t="n">
        <f aca="false">ROUND(C3282*F3282,0)</f>
        <v>3042</v>
      </c>
      <c r="H3282" s="48" t="n">
        <f aca="false">MAX(0,(C3282*'Model Inputs &amp; Assumptions'!$N$34+E3282*'Model Inputs &amp; Assumptions'!$O$34+G3282*'Model Inputs &amp; Assumptions'!$P$34)*EXP('Model Inputs &amp; Assumptions'!$Q$34*S3282-'Model Inputs &amp; Assumptions'!$Q$34^2/2))</f>
        <v>89.0410683911494</v>
      </c>
      <c r="I3282" s="49" t="n">
        <f aca="false">IF('Model Inputs &amp; Assumptions'!$H$34="Fixed",'Model Inputs &amp; Assumptions'!$I$34*'Model Inputs &amp; Assumptions'!$K$34,IF('Model Inputs &amp; Assumptions'!$H$34="CPM",'Model Inputs &amp; Assumptions'!$I$34*'Model Inputs &amp; Assumptions'!$K$34*C3282/1000,IF('Model Inputs &amp; Assumptions'!$H$34="CPC",'Model Inputs &amp; Assumptions'!$I$34*'Model Inputs &amp; Assumptions'!$K$34*G3282,0)))</f>
        <v>5627.7</v>
      </c>
      <c r="J3282" s="50" t="n">
        <f aca="false">H3282*INDEX('Model Inputs &amp; Assumptions'!$D$40:$D$42,MATCH('Model Inputs &amp; Assumptions'!$L$34,'Model Inputs &amp; Assumptions'!$A$40:$A$42,0))*INDEX('Model Inputs &amp; Assumptions'!$H$40:$H$42,MATCH('Model Inputs &amp; Assumptions'!$L$34,'Model Inputs &amp; Assumptions'!$A$40:$A$42,0))</f>
        <v>641095.692416276</v>
      </c>
      <c r="K3282" s="49" t="n">
        <f aca="false">H3282*INDEX('Model Inputs &amp; Assumptions'!$G$40:$G$42,MATCH('Model Inputs &amp; Assumptions'!$L$34,'Model Inputs &amp; Assumptions'!$A$40:$A$42,0))*INDEX('Model Inputs &amp; Assumptions'!$H$40:$H$42,MATCH('Model Inputs &amp; Assumptions'!$L$34,'Model Inputs &amp; Assumptions'!$A$40:$A$42,0))</f>
        <v>14136.1600177789</v>
      </c>
      <c r="L3282" s="51" t="n">
        <f aca="false">IFERROR(K3282/I3282,0)</f>
        <v>2.51188940735627</v>
      </c>
      <c r="M3282" s="49" t="n">
        <f aca="false">IFERROR(I3282/H3282,0)</f>
        <v>63.2034195196089</v>
      </c>
      <c r="N3282" s="52" t="str">
        <f aca="false">'Model Inputs &amp; Assumptions'!$L$34</f>
        <v>PRD-USIQ</v>
      </c>
      <c r="P3282" s="53" t="n">
        <v>-1.598897</v>
      </c>
      <c r="Q3282" s="53" t="n">
        <v>-0.245019</v>
      </c>
      <c r="R3282" s="53" t="n">
        <v>1.836935</v>
      </c>
      <c r="S3282" s="53" t="n">
        <v>1.0345</v>
      </c>
    </row>
    <row r="3283" customFormat="false" ht="15" hidden="false" customHeight="false" outlineLevel="0" collapsed="false">
      <c r="A3283" s="43" t="n">
        <v>280</v>
      </c>
      <c r="B3283" s="44" t="str">
        <f aca="false">'Model Inputs &amp; Assumptions'!$B$34</f>
        <v>Meta — Lookalike Feed Video</v>
      </c>
      <c r="C3283" s="45" t="n">
        <f aca="false">ROUND(MAX(0,'Model Inputs &amp; Assumptions'!$S$34*EXP('Model Inputs &amp; Assumptions'!$T$34*P3283-'Model Inputs &amp; Assumptions'!$T$34^2/2)),0)</f>
        <v>506636</v>
      </c>
      <c r="D3283" s="46" t="n">
        <f aca="false">MIN(1,'Model Inputs &amp; Assumptions'!$U$34*EXP('Model Inputs &amp; Assumptions'!$V$34*Q3283-'Model Inputs &amp; Assumptions'!$V$34^2/2))</f>
        <v>0.271161045692711</v>
      </c>
      <c r="E3283" s="45" t="n">
        <f aca="false">ROUND(C3283*D3283,0)</f>
        <v>137380</v>
      </c>
      <c r="F3283" s="47" t="n">
        <f aca="false">MIN(1,'Model Inputs &amp; Assumptions'!$W$34*EXP('Model Inputs &amp; Assumptions'!$X$34*R3283-'Model Inputs &amp; Assumptions'!$X$34^2/2))</f>
        <v>0.00508285305647382</v>
      </c>
      <c r="G3283" s="45" t="n">
        <f aca="false">ROUND(C3283*F3283,0)</f>
        <v>2575</v>
      </c>
      <c r="H3283" s="48" t="n">
        <f aca="false">MAX(0,(C3283*'Model Inputs &amp; Assumptions'!$N$34+E3283*'Model Inputs &amp; Assumptions'!$O$34+G3283*'Model Inputs &amp; Assumptions'!$P$34)*EXP('Model Inputs &amp; Assumptions'!$Q$34*S3283-'Model Inputs &amp; Assumptions'!$Q$34^2/2))</f>
        <v>63.0615065735947</v>
      </c>
      <c r="I3283" s="49" t="n">
        <f aca="false">IF('Model Inputs &amp; Assumptions'!$H$34="Fixed",'Model Inputs &amp; Assumptions'!$I$34*'Model Inputs &amp; Assumptions'!$K$34,IF('Model Inputs &amp; Assumptions'!$H$34="CPM",'Model Inputs &amp; Assumptions'!$I$34*'Model Inputs &amp; Assumptions'!$K$34*C3283/1000,IF('Model Inputs &amp; Assumptions'!$H$34="CPC",'Model Inputs &amp; Assumptions'!$I$34*'Model Inputs &amp; Assumptions'!$K$34*G3283,0)))</f>
        <v>4763.75</v>
      </c>
      <c r="J3283" s="50" t="n">
        <f aca="false">H3283*INDEX('Model Inputs &amp; Assumptions'!$D$40:$D$42,MATCH('Model Inputs &amp; Assumptions'!$L$34,'Model Inputs &amp; Assumptions'!$A$40:$A$42,0))*INDEX('Model Inputs &amp; Assumptions'!$H$40:$H$42,MATCH('Model Inputs &amp; Assumptions'!$L$34,'Model Inputs &amp; Assumptions'!$A$40:$A$42,0))</f>
        <v>454042.847329882</v>
      </c>
      <c r="K3283" s="49" t="n">
        <f aca="false">H3283*INDEX('Model Inputs &amp; Assumptions'!$G$40:$G$42,MATCH('Model Inputs &amp; Assumptions'!$L$34,'Model Inputs &amp; Assumptions'!$A$40:$A$42,0))*INDEX('Model Inputs &amp; Assumptions'!$H$40:$H$42,MATCH('Model Inputs &amp; Assumptions'!$L$34,'Model Inputs &amp; Assumptions'!$A$40:$A$42,0))</f>
        <v>10011.6447836239</v>
      </c>
      <c r="L3283" s="51" t="n">
        <f aca="false">IFERROR(K3283/I3283,0)</f>
        <v>2.10163102253978</v>
      </c>
      <c r="M3283" s="49" t="n">
        <f aca="false">IFERROR(I3283/H3283,0)</f>
        <v>75.5413287571961</v>
      </c>
      <c r="N3283" s="52" t="str">
        <f aca="false">'Model Inputs &amp; Assumptions'!$L$34</f>
        <v>PRD-USIQ</v>
      </c>
      <c r="P3283" s="53" t="n">
        <v>-0.030183</v>
      </c>
      <c r="Q3283" s="53" t="n">
        <v>1.10896</v>
      </c>
      <c r="R3283" s="53" t="n">
        <v>-0.831593</v>
      </c>
      <c r="S3283" s="53" t="n">
        <v>0.18843</v>
      </c>
    </row>
    <row r="3284" customFormat="false" ht="15" hidden="false" customHeight="false" outlineLevel="0" collapsed="false">
      <c r="A3284" s="43" t="n">
        <v>281</v>
      </c>
      <c r="B3284" s="44" t="str">
        <f aca="false">'Model Inputs &amp; Assumptions'!$B$34</f>
        <v>Meta — Lookalike Feed Video</v>
      </c>
      <c r="C3284" s="45" t="n">
        <f aca="false">ROUND(MAX(0,'Model Inputs &amp; Assumptions'!$S$34*EXP('Model Inputs &amp; Assumptions'!$T$34*P3284-'Model Inputs &amp; Assumptions'!$T$34^2/2)),0)</f>
        <v>524808</v>
      </c>
      <c r="D3284" s="46" t="n">
        <f aca="false">MIN(1,'Model Inputs &amp; Assumptions'!$U$34*EXP('Model Inputs &amp; Assumptions'!$V$34*Q3284-'Model Inputs &amp; Assumptions'!$V$34^2/2))</f>
        <v>0.286460343342991</v>
      </c>
      <c r="E3284" s="45" t="n">
        <f aca="false">ROUND(C3284*D3284,0)</f>
        <v>150337</v>
      </c>
      <c r="F3284" s="47" t="n">
        <f aca="false">MIN(1,'Model Inputs &amp; Assumptions'!$W$34*EXP('Model Inputs &amp; Assumptions'!$X$34*R3284-'Model Inputs &amp; Assumptions'!$X$34^2/2))</f>
        <v>0.00693353170708083</v>
      </c>
      <c r="G3284" s="45" t="n">
        <f aca="false">ROUND(C3284*F3284,0)</f>
        <v>3639</v>
      </c>
      <c r="H3284" s="48" t="n">
        <f aca="false">MAX(0,(C3284*'Model Inputs &amp; Assumptions'!$N$34+E3284*'Model Inputs &amp; Assumptions'!$O$34+G3284*'Model Inputs &amp; Assumptions'!$P$34)*EXP('Model Inputs &amp; Assumptions'!$Q$34*S3284-'Model Inputs &amp; Assumptions'!$Q$34^2/2))</f>
        <v>70.3030184715707</v>
      </c>
      <c r="I3284" s="49" t="n">
        <f aca="false">IF('Model Inputs &amp; Assumptions'!$H$34="Fixed",'Model Inputs &amp; Assumptions'!$I$34*'Model Inputs &amp; Assumptions'!$K$34,IF('Model Inputs &amp; Assumptions'!$H$34="CPM",'Model Inputs &amp; Assumptions'!$I$34*'Model Inputs &amp; Assumptions'!$K$34*C3284/1000,IF('Model Inputs &amp; Assumptions'!$H$34="CPC",'Model Inputs &amp; Assumptions'!$I$34*'Model Inputs &amp; Assumptions'!$K$34*G3284,0)))</f>
        <v>6732.15</v>
      </c>
      <c r="J3284" s="50" t="n">
        <f aca="false">H3284*INDEX('Model Inputs &amp; Assumptions'!$D$40:$D$42,MATCH('Model Inputs &amp; Assumptions'!$L$34,'Model Inputs &amp; Assumptions'!$A$40:$A$42,0))*INDEX('Model Inputs &amp; Assumptions'!$H$40:$H$42,MATCH('Model Inputs &amp; Assumptions'!$L$34,'Model Inputs &amp; Assumptions'!$A$40:$A$42,0))</f>
        <v>506181.732995309</v>
      </c>
      <c r="K3284" s="49" t="n">
        <f aca="false">H3284*INDEX('Model Inputs &amp; Assumptions'!$G$40:$G$42,MATCH('Model Inputs &amp; Assumptions'!$L$34,'Model Inputs &amp; Assumptions'!$A$40:$A$42,0))*INDEX('Model Inputs &amp; Assumptions'!$H$40:$H$42,MATCH('Model Inputs &amp; Assumptions'!$L$34,'Model Inputs &amp; Assumptions'!$A$40:$A$42,0))</f>
        <v>11161.3072125466</v>
      </c>
      <c r="L3284" s="51" t="n">
        <f aca="false">IFERROR(K3284/I3284,0)</f>
        <v>1.6579112486422</v>
      </c>
      <c r="M3284" s="49" t="n">
        <f aca="false">IFERROR(I3284/H3284,0)</f>
        <v>95.7590462879252</v>
      </c>
      <c r="N3284" s="52" t="str">
        <f aca="false">'Model Inputs &amp; Assumptions'!$L$34</f>
        <v>PRD-USIQ</v>
      </c>
      <c r="P3284" s="53" t="n">
        <v>0.146014</v>
      </c>
      <c r="Q3284" s="53" t="n">
        <v>1.452005</v>
      </c>
      <c r="R3284" s="53" t="n">
        <v>0.893388</v>
      </c>
      <c r="S3284" s="53" t="n">
        <v>-0.426134</v>
      </c>
    </row>
    <row r="3285" customFormat="false" ht="15" hidden="false" customHeight="false" outlineLevel="0" collapsed="false">
      <c r="A3285" s="43" t="n">
        <v>282</v>
      </c>
      <c r="B3285" s="44" t="str">
        <f aca="false">'Model Inputs &amp; Assumptions'!$B$34</f>
        <v>Meta — Lookalike Feed Video</v>
      </c>
      <c r="C3285" s="45" t="n">
        <f aca="false">ROUND(MAX(0,'Model Inputs &amp; Assumptions'!$S$34*EXP('Model Inputs &amp; Assumptions'!$T$34*P3285-'Model Inputs &amp; Assumptions'!$T$34^2/2)),0)</f>
        <v>526942</v>
      </c>
      <c r="D3285" s="46" t="n">
        <f aca="false">MIN(1,'Model Inputs &amp; Assumptions'!$U$34*EXP('Model Inputs &amp; Assumptions'!$V$34*Q3285-'Model Inputs &amp; Assumptions'!$V$34^2/2))</f>
        <v>0.204478400509309</v>
      </c>
      <c r="E3285" s="45" t="n">
        <f aca="false">ROUND(C3285*D3285,0)</f>
        <v>107748</v>
      </c>
      <c r="F3285" s="47" t="n">
        <f aca="false">MIN(1,'Model Inputs &amp; Assumptions'!$W$34*EXP('Model Inputs &amp; Assumptions'!$X$34*R3285-'Model Inputs &amp; Assumptions'!$X$34^2/2))</f>
        <v>0.00718701473869607</v>
      </c>
      <c r="G3285" s="45" t="n">
        <f aca="false">ROUND(C3285*F3285,0)</f>
        <v>3787</v>
      </c>
      <c r="H3285" s="48" t="n">
        <f aca="false">MAX(0,(C3285*'Model Inputs &amp; Assumptions'!$N$34+E3285*'Model Inputs &amp; Assumptions'!$O$34+G3285*'Model Inputs &amp; Assumptions'!$P$34)*EXP('Model Inputs &amp; Assumptions'!$Q$34*S3285-'Model Inputs &amp; Assumptions'!$Q$34^2/2))</f>
        <v>91.3336220617774</v>
      </c>
      <c r="I3285" s="49" t="n">
        <f aca="false">IF('Model Inputs &amp; Assumptions'!$H$34="Fixed",'Model Inputs &amp; Assumptions'!$I$34*'Model Inputs &amp; Assumptions'!$K$34,IF('Model Inputs &amp; Assumptions'!$H$34="CPM",'Model Inputs &amp; Assumptions'!$I$34*'Model Inputs &amp; Assumptions'!$K$34*C3285/1000,IF('Model Inputs &amp; Assumptions'!$H$34="CPC",'Model Inputs &amp; Assumptions'!$I$34*'Model Inputs &amp; Assumptions'!$K$34*G3285,0)))</f>
        <v>7005.95</v>
      </c>
      <c r="J3285" s="50" t="n">
        <f aca="false">H3285*INDEX('Model Inputs &amp; Assumptions'!$D$40:$D$42,MATCH('Model Inputs &amp; Assumptions'!$L$34,'Model Inputs &amp; Assumptions'!$A$40:$A$42,0))*INDEX('Model Inputs &amp; Assumptions'!$H$40:$H$42,MATCH('Model Inputs &amp; Assumptions'!$L$34,'Model Inputs &amp; Assumptions'!$A$40:$A$42,0))</f>
        <v>657602.078844797</v>
      </c>
      <c r="K3285" s="49" t="n">
        <f aca="false">H3285*INDEX('Model Inputs &amp; Assumptions'!$G$40:$G$42,MATCH('Model Inputs &amp; Assumptions'!$L$34,'Model Inputs &amp; Assumptions'!$A$40:$A$42,0))*INDEX('Model Inputs &amp; Assumptions'!$H$40:$H$42,MATCH('Model Inputs &amp; Assumptions'!$L$34,'Model Inputs &amp; Assumptions'!$A$40:$A$42,0))</f>
        <v>14500.1258385278</v>
      </c>
      <c r="L3285" s="51" t="n">
        <f aca="false">IFERROR(K3285/I3285,0)</f>
        <v>2.06968731414409</v>
      </c>
      <c r="M3285" s="49" t="n">
        <f aca="false">IFERROR(I3285/H3285,0)</f>
        <v>76.7072392602719</v>
      </c>
      <c r="N3285" s="52" t="str">
        <f aca="false">'Model Inputs &amp; Assumptions'!$L$34</f>
        <v>PRD-USIQ</v>
      </c>
      <c r="P3285" s="53" t="n">
        <v>0.166304</v>
      </c>
      <c r="Q3285" s="53" t="n">
        <v>-0.655106</v>
      </c>
      <c r="R3285" s="53" t="n">
        <v>1.092869</v>
      </c>
      <c r="S3285" s="53" t="n">
        <v>0.408211</v>
      </c>
    </row>
    <row r="3286" customFormat="false" ht="15" hidden="false" customHeight="false" outlineLevel="0" collapsed="false">
      <c r="A3286" s="43" t="n">
        <v>283</v>
      </c>
      <c r="B3286" s="44" t="str">
        <f aca="false">'Model Inputs &amp; Assumptions'!$B$34</f>
        <v>Meta — Lookalike Feed Video</v>
      </c>
      <c r="C3286" s="45" t="n">
        <f aca="false">ROUND(MAX(0,'Model Inputs &amp; Assumptions'!$S$34*EXP('Model Inputs &amp; Assumptions'!$T$34*P3286-'Model Inputs &amp; Assumptions'!$T$34^2/2)),0)</f>
        <v>353005</v>
      </c>
      <c r="D3286" s="46" t="n">
        <f aca="false">MIN(1,'Model Inputs &amp; Assumptions'!$U$34*EXP('Model Inputs &amp; Assumptions'!$V$34*Q3286-'Model Inputs &amp; Assumptions'!$V$34^2/2))</f>
        <v>0.227837120279992</v>
      </c>
      <c r="E3286" s="45" t="n">
        <f aca="false">ROUND(C3286*D3286,0)</f>
        <v>80428</v>
      </c>
      <c r="F3286" s="47" t="n">
        <f aca="false">MIN(1,'Model Inputs &amp; Assumptions'!$W$34*EXP('Model Inputs &amp; Assumptions'!$X$34*R3286-'Model Inputs &amp; Assumptions'!$X$34^2/2))</f>
        <v>0.00515169480675461</v>
      </c>
      <c r="G3286" s="45" t="n">
        <f aca="false">ROUND(C3286*F3286,0)</f>
        <v>1819</v>
      </c>
      <c r="H3286" s="48" t="n">
        <f aca="false">MAX(0,(C3286*'Model Inputs &amp; Assumptions'!$N$34+E3286*'Model Inputs &amp; Assumptions'!$O$34+G3286*'Model Inputs &amp; Assumptions'!$P$34)*EXP('Model Inputs &amp; Assumptions'!$Q$34*S3286-'Model Inputs &amp; Assumptions'!$Q$34^2/2))</f>
        <v>63.1192804988872</v>
      </c>
      <c r="I3286" s="49" t="n">
        <f aca="false">IF('Model Inputs &amp; Assumptions'!$H$34="Fixed",'Model Inputs &amp; Assumptions'!$I$34*'Model Inputs &amp; Assumptions'!$K$34,IF('Model Inputs &amp; Assumptions'!$H$34="CPM",'Model Inputs &amp; Assumptions'!$I$34*'Model Inputs &amp; Assumptions'!$K$34*C3286/1000,IF('Model Inputs &amp; Assumptions'!$H$34="CPC",'Model Inputs &amp; Assumptions'!$I$34*'Model Inputs &amp; Assumptions'!$K$34*G3286,0)))</f>
        <v>3365.15</v>
      </c>
      <c r="J3286" s="50" t="n">
        <f aca="false">H3286*INDEX('Model Inputs &amp; Assumptions'!$D$40:$D$42,MATCH('Model Inputs &amp; Assumptions'!$L$34,'Model Inputs &amp; Assumptions'!$A$40:$A$42,0))*INDEX('Model Inputs &amp; Assumptions'!$H$40:$H$42,MATCH('Model Inputs &amp; Assumptions'!$L$34,'Model Inputs &amp; Assumptions'!$A$40:$A$42,0))</f>
        <v>454458.819591988</v>
      </c>
      <c r="K3286" s="49" t="n">
        <f aca="false">H3286*INDEX('Model Inputs &amp; Assumptions'!$G$40:$G$42,MATCH('Model Inputs &amp; Assumptions'!$L$34,'Model Inputs &amp; Assumptions'!$A$40:$A$42,0))*INDEX('Model Inputs &amp; Assumptions'!$H$40:$H$42,MATCH('Model Inputs &amp; Assumptions'!$L$34,'Model Inputs &amp; Assumptions'!$A$40:$A$42,0))</f>
        <v>10020.8169720033</v>
      </c>
      <c r="L3286" s="51" t="n">
        <f aca="false">IFERROR(K3286/I3286,0)</f>
        <v>2.97782178268527</v>
      </c>
      <c r="M3286" s="49" t="n">
        <f aca="false">IFERROR(I3286/H3286,0)</f>
        <v>53.3141375092089</v>
      </c>
      <c r="N3286" s="52" t="str">
        <f aca="false">'Model Inputs &amp; Assumptions'!$L$34</f>
        <v>PRD-USIQ</v>
      </c>
      <c r="P3286" s="53" t="n">
        <v>-1.836729</v>
      </c>
      <c r="Q3286" s="53" t="n">
        <v>0.020948</v>
      </c>
      <c r="R3286" s="53" t="n">
        <v>-0.756854</v>
      </c>
      <c r="S3286" s="53" t="n">
        <v>1.372986</v>
      </c>
    </row>
    <row r="3287" customFormat="false" ht="15" hidden="false" customHeight="false" outlineLevel="0" collapsed="false">
      <c r="A3287" s="43" t="n">
        <v>284</v>
      </c>
      <c r="B3287" s="44" t="str">
        <f aca="false">'Model Inputs &amp; Assumptions'!$B$34</f>
        <v>Meta — Lookalike Feed Video</v>
      </c>
      <c r="C3287" s="45" t="n">
        <f aca="false">ROUND(MAX(0,'Model Inputs &amp; Assumptions'!$S$34*EXP('Model Inputs &amp; Assumptions'!$T$34*P3287-'Model Inputs &amp; Assumptions'!$T$34^2/2)),0)</f>
        <v>596312</v>
      </c>
      <c r="D3287" s="46" t="n">
        <f aca="false">MIN(1,'Model Inputs &amp; Assumptions'!$U$34*EXP('Model Inputs &amp; Assumptions'!$V$34*Q3287-'Model Inputs &amp; Assumptions'!$V$34^2/2))</f>
        <v>0.195338015141565</v>
      </c>
      <c r="E3287" s="45" t="n">
        <f aca="false">ROUND(C3287*D3287,0)</f>
        <v>116482</v>
      </c>
      <c r="F3287" s="47" t="n">
        <f aca="false">MIN(1,'Model Inputs &amp; Assumptions'!$W$34*EXP('Model Inputs &amp; Assumptions'!$X$34*R3287-'Model Inputs &amp; Assumptions'!$X$34^2/2))</f>
        <v>0.00555031836528776</v>
      </c>
      <c r="G3287" s="45" t="n">
        <f aca="false">ROUND(C3287*F3287,0)</f>
        <v>3310</v>
      </c>
      <c r="H3287" s="48" t="n">
        <f aca="false">MAX(0,(C3287*'Model Inputs &amp; Assumptions'!$N$34+E3287*'Model Inputs &amp; Assumptions'!$O$34+G3287*'Model Inputs &amp; Assumptions'!$P$34)*EXP('Model Inputs &amp; Assumptions'!$Q$34*S3287-'Model Inputs &amp; Assumptions'!$Q$34^2/2))</f>
        <v>74.9360747825694</v>
      </c>
      <c r="I3287" s="49" t="n">
        <f aca="false">IF('Model Inputs &amp; Assumptions'!$H$34="Fixed",'Model Inputs &amp; Assumptions'!$I$34*'Model Inputs &amp; Assumptions'!$K$34,IF('Model Inputs &amp; Assumptions'!$H$34="CPM",'Model Inputs &amp; Assumptions'!$I$34*'Model Inputs &amp; Assumptions'!$K$34*C3287/1000,IF('Model Inputs &amp; Assumptions'!$H$34="CPC",'Model Inputs &amp; Assumptions'!$I$34*'Model Inputs &amp; Assumptions'!$K$34*G3287,0)))</f>
        <v>6123.5</v>
      </c>
      <c r="J3287" s="50" t="n">
        <f aca="false">H3287*INDEX('Model Inputs &amp; Assumptions'!$D$40:$D$42,MATCH('Model Inputs &amp; Assumptions'!$L$34,'Model Inputs &amp; Assumptions'!$A$40:$A$42,0))*INDEX('Model Inputs &amp; Assumptions'!$H$40:$H$42,MATCH('Model Inputs &amp; Assumptions'!$L$34,'Model Inputs &amp; Assumptions'!$A$40:$A$42,0))</f>
        <v>539539.738434499</v>
      </c>
      <c r="K3287" s="49" t="n">
        <f aca="false">H3287*INDEX('Model Inputs &amp; Assumptions'!$G$40:$G$42,MATCH('Model Inputs &amp; Assumptions'!$L$34,'Model Inputs &amp; Assumptions'!$A$40:$A$42,0))*INDEX('Model Inputs &amp; Assumptions'!$H$40:$H$42,MATCH('Model Inputs &amp; Assumptions'!$L$34,'Model Inputs &amp; Assumptions'!$A$40:$A$42,0))</f>
        <v>11896.8512324807</v>
      </c>
      <c r="L3287" s="51" t="n">
        <f aca="false">IFERROR(K3287/I3287,0)</f>
        <v>1.94281885073581</v>
      </c>
      <c r="M3287" s="49" t="n">
        <f aca="false">IFERROR(I3287/H3287,0)</f>
        <v>81.7163164439508</v>
      </c>
      <c r="N3287" s="52" t="str">
        <f aca="false">'Model Inputs &amp; Assumptions'!$L$34</f>
        <v>PRD-USIQ</v>
      </c>
      <c r="P3287" s="53" t="n">
        <v>0.784675</v>
      </c>
      <c r="Q3287" s="53" t="n">
        <v>-0.940924</v>
      </c>
      <c r="R3287" s="53" t="n">
        <v>-0.342801</v>
      </c>
      <c r="S3287" s="53" t="n">
        <v>0.135803</v>
      </c>
    </row>
    <row r="3288" customFormat="false" ht="15" hidden="false" customHeight="false" outlineLevel="0" collapsed="false">
      <c r="A3288" s="43" t="n">
        <v>285</v>
      </c>
      <c r="B3288" s="44" t="str">
        <f aca="false">'Model Inputs &amp; Assumptions'!$B$34</f>
        <v>Meta — Lookalike Feed Video</v>
      </c>
      <c r="C3288" s="45" t="n">
        <f aca="false">ROUND(MAX(0,'Model Inputs &amp; Assumptions'!$S$34*EXP('Model Inputs &amp; Assumptions'!$T$34*P3288-'Model Inputs &amp; Assumptions'!$T$34^2/2)),0)</f>
        <v>687285</v>
      </c>
      <c r="D3288" s="46" t="n">
        <f aca="false">MIN(1,'Model Inputs &amp; Assumptions'!$U$34*EXP('Model Inputs &amp; Assumptions'!$V$34*Q3288-'Model Inputs &amp; Assumptions'!$V$34^2/2))</f>
        <v>0.168818705217627</v>
      </c>
      <c r="E3288" s="45" t="n">
        <f aca="false">ROUND(C3288*D3288,0)</f>
        <v>116027</v>
      </c>
      <c r="F3288" s="47" t="n">
        <f aca="false">MIN(1,'Model Inputs &amp; Assumptions'!$W$34*EXP('Model Inputs &amp; Assumptions'!$X$34*R3288-'Model Inputs &amp; Assumptions'!$X$34^2/2))</f>
        <v>0.00502190844220477</v>
      </c>
      <c r="G3288" s="45" t="n">
        <f aca="false">ROUND(C3288*F3288,0)</f>
        <v>3451</v>
      </c>
      <c r="H3288" s="48" t="n">
        <f aca="false">MAX(0,(C3288*'Model Inputs &amp; Assumptions'!$N$34+E3288*'Model Inputs &amp; Assumptions'!$O$34+G3288*'Model Inputs &amp; Assumptions'!$P$34)*EXP('Model Inputs &amp; Assumptions'!$Q$34*S3288-'Model Inputs &amp; Assumptions'!$Q$34^2/2))</f>
        <v>54.0400235469172</v>
      </c>
      <c r="I3288" s="49" t="n">
        <f aca="false">IF('Model Inputs &amp; Assumptions'!$H$34="Fixed",'Model Inputs &amp; Assumptions'!$I$34*'Model Inputs &amp; Assumptions'!$K$34,IF('Model Inputs &amp; Assumptions'!$H$34="CPM",'Model Inputs &amp; Assumptions'!$I$34*'Model Inputs &amp; Assumptions'!$K$34*C3288/1000,IF('Model Inputs &amp; Assumptions'!$H$34="CPC",'Model Inputs &amp; Assumptions'!$I$34*'Model Inputs &amp; Assumptions'!$K$34*G3288,0)))</f>
        <v>6384.35</v>
      </c>
      <c r="J3288" s="50" t="n">
        <f aca="false">H3288*INDEX('Model Inputs &amp; Assumptions'!$D$40:$D$42,MATCH('Model Inputs &amp; Assumptions'!$L$34,'Model Inputs &amp; Assumptions'!$A$40:$A$42,0))*INDEX('Model Inputs &amp; Assumptions'!$H$40:$H$42,MATCH('Model Inputs &amp; Assumptions'!$L$34,'Model Inputs &amp; Assumptions'!$A$40:$A$42,0))</f>
        <v>389088.169537804</v>
      </c>
      <c r="K3288" s="49" t="n">
        <f aca="false">H3288*INDEX('Model Inputs &amp; Assumptions'!$G$40:$G$42,MATCH('Model Inputs &amp; Assumptions'!$L$34,'Model Inputs &amp; Assumptions'!$A$40:$A$42,0))*INDEX('Model Inputs &amp; Assumptions'!$H$40:$H$42,MATCH('Model Inputs &amp; Assumptions'!$L$34,'Model Inputs &amp; Assumptions'!$A$40:$A$42,0))</f>
        <v>8579.39413830858</v>
      </c>
      <c r="L3288" s="51" t="n">
        <f aca="false">IFERROR(K3288/I3288,0)</f>
        <v>1.34381638511494</v>
      </c>
      <c r="M3288" s="49" t="n">
        <f aca="false">IFERROR(I3288/H3288,0)</f>
        <v>118.141140232057</v>
      </c>
      <c r="N3288" s="52" t="str">
        <f aca="false">'Model Inputs &amp; Assumptions'!$L$34</f>
        <v>PRD-USIQ</v>
      </c>
      <c r="P3288" s="53" t="n">
        <v>1.494599</v>
      </c>
      <c r="Q3288" s="53" t="n">
        <v>-1.852837</v>
      </c>
      <c r="R3288" s="53" t="n">
        <v>-0.898608</v>
      </c>
      <c r="S3288" s="53" t="n">
        <v>-0.998907</v>
      </c>
    </row>
    <row r="3289" customFormat="false" ht="15" hidden="false" customHeight="false" outlineLevel="0" collapsed="false">
      <c r="A3289" s="43" t="n">
        <v>286</v>
      </c>
      <c r="B3289" s="44" t="str">
        <f aca="false">'Model Inputs &amp; Assumptions'!$B$34</f>
        <v>Meta — Lookalike Feed Video</v>
      </c>
      <c r="C3289" s="45" t="n">
        <f aca="false">ROUND(MAX(0,'Model Inputs &amp; Assumptions'!$S$34*EXP('Model Inputs &amp; Assumptions'!$T$34*P3289-'Model Inputs &amp; Assumptions'!$T$34^2/2)),0)</f>
        <v>835823</v>
      </c>
      <c r="D3289" s="46" t="n">
        <f aca="false">MIN(1,'Model Inputs &amp; Assumptions'!$U$34*EXP('Model Inputs &amp; Assumptions'!$V$34*Q3289-'Model Inputs &amp; Assumptions'!$V$34^2/2))</f>
        <v>0.37703180561771</v>
      </c>
      <c r="E3289" s="45" t="n">
        <f aca="false">ROUND(C3289*D3289,0)</f>
        <v>315132</v>
      </c>
      <c r="F3289" s="47" t="n">
        <f aca="false">MIN(1,'Model Inputs &amp; Assumptions'!$W$34*EXP('Model Inputs &amp; Assumptions'!$X$34*R3289-'Model Inputs &amp; Assumptions'!$X$34^2/2))</f>
        <v>0.00766815385263788</v>
      </c>
      <c r="G3289" s="45" t="n">
        <f aca="false">ROUND(C3289*F3289,0)</f>
        <v>6409</v>
      </c>
      <c r="H3289" s="48" t="n">
        <f aca="false">MAX(0,(C3289*'Model Inputs &amp; Assumptions'!$N$34+E3289*'Model Inputs &amp; Assumptions'!$O$34+G3289*'Model Inputs &amp; Assumptions'!$P$34)*EXP('Model Inputs &amp; Assumptions'!$Q$34*S3289-'Model Inputs &amp; Assumptions'!$Q$34^2/2))</f>
        <v>173.917315601196</v>
      </c>
      <c r="I3289" s="49" t="n">
        <f aca="false">IF('Model Inputs &amp; Assumptions'!$H$34="Fixed",'Model Inputs &amp; Assumptions'!$I$34*'Model Inputs &amp; Assumptions'!$K$34,IF('Model Inputs &amp; Assumptions'!$H$34="CPM",'Model Inputs &amp; Assumptions'!$I$34*'Model Inputs &amp; Assumptions'!$K$34*C3289/1000,IF('Model Inputs &amp; Assumptions'!$H$34="CPC",'Model Inputs &amp; Assumptions'!$I$34*'Model Inputs &amp; Assumptions'!$K$34*G3289,0)))</f>
        <v>11856.65</v>
      </c>
      <c r="J3289" s="50" t="n">
        <f aca="false">H3289*INDEX('Model Inputs &amp; Assumptions'!$D$40:$D$42,MATCH('Model Inputs &amp; Assumptions'!$L$34,'Model Inputs &amp; Assumptions'!$A$40:$A$42,0))*INDEX('Model Inputs &amp; Assumptions'!$H$40:$H$42,MATCH('Model Inputs &amp; Assumptions'!$L$34,'Model Inputs &amp; Assumptions'!$A$40:$A$42,0))</f>
        <v>1252204.67232861</v>
      </c>
      <c r="K3289" s="49" t="n">
        <f aca="false">H3289*INDEX('Model Inputs &amp; Assumptions'!$G$40:$G$42,MATCH('Model Inputs &amp; Assumptions'!$L$34,'Model Inputs &amp; Assumptions'!$A$40:$A$42,0))*INDEX('Model Inputs &amp; Assumptions'!$H$40:$H$42,MATCH('Model Inputs &amp; Assumptions'!$L$34,'Model Inputs &amp; Assumptions'!$A$40:$A$42,0))</f>
        <v>27611.1130248459</v>
      </c>
      <c r="L3289" s="51" t="n">
        <f aca="false">IFERROR(K3289/I3289,0)</f>
        <v>2.32874488365988</v>
      </c>
      <c r="M3289" s="49" t="n">
        <f aca="false">IFERROR(I3289/H3289,0)</f>
        <v>68.1740628241301</v>
      </c>
      <c r="N3289" s="52" t="str">
        <f aca="false">'Model Inputs &amp; Assumptions'!$L$34</f>
        <v>PRD-USIQ</v>
      </c>
      <c r="P3289" s="53" t="n">
        <v>2.472943</v>
      </c>
      <c r="Q3289" s="53" t="n">
        <v>3.169064</v>
      </c>
      <c r="R3289" s="53" t="n">
        <v>1.452869</v>
      </c>
      <c r="S3289" s="53" t="n">
        <v>0.552477</v>
      </c>
    </row>
    <row r="3290" customFormat="false" ht="15" hidden="false" customHeight="false" outlineLevel="0" collapsed="false">
      <c r="A3290" s="43" t="n">
        <v>287</v>
      </c>
      <c r="B3290" s="44" t="str">
        <f aca="false">'Model Inputs &amp; Assumptions'!$B$34</f>
        <v>Meta — Lookalike Feed Video</v>
      </c>
      <c r="C3290" s="45" t="n">
        <f aca="false">ROUND(MAX(0,'Model Inputs &amp; Assumptions'!$S$34*EXP('Model Inputs &amp; Assumptions'!$T$34*P3290-'Model Inputs &amp; Assumptions'!$T$34^2/2)),0)</f>
        <v>515148</v>
      </c>
      <c r="D3290" s="46" t="n">
        <f aca="false">MIN(1,'Model Inputs &amp; Assumptions'!$U$34*EXP('Model Inputs &amp; Assumptions'!$V$34*Q3290-'Model Inputs &amp; Assumptions'!$V$34^2/2))</f>
        <v>0.269006652269698</v>
      </c>
      <c r="E3290" s="45" t="n">
        <f aca="false">ROUND(C3290*D3290,0)</f>
        <v>138578</v>
      </c>
      <c r="F3290" s="47" t="n">
        <f aca="false">MIN(1,'Model Inputs &amp; Assumptions'!$W$34*EXP('Model Inputs &amp; Assumptions'!$X$34*R3290-'Model Inputs &amp; Assumptions'!$X$34^2/2))</f>
        <v>0.00615867815460956</v>
      </c>
      <c r="G3290" s="45" t="n">
        <f aca="false">ROUND(C3290*F3290,0)</f>
        <v>3173</v>
      </c>
      <c r="H3290" s="48" t="n">
        <f aca="false">MAX(0,(C3290*'Model Inputs &amp; Assumptions'!$N$34+E3290*'Model Inputs &amp; Assumptions'!$O$34+G3290*'Model Inputs &amp; Assumptions'!$P$34)*EXP('Model Inputs &amp; Assumptions'!$Q$34*S3290-'Model Inputs &amp; Assumptions'!$Q$34^2/2))</f>
        <v>70.0672912587846</v>
      </c>
      <c r="I3290" s="49" t="n">
        <f aca="false">IF('Model Inputs &amp; Assumptions'!$H$34="Fixed",'Model Inputs &amp; Assumptions'!$I$34*'Model Inputs &amp; Assumptions'!$K$34,IF('Model Inputs &amp; Assumptions'!$H$34="CPM",'Model Inputs &amp; Assumptions'!$I$34*'Model Inputs &amp; Assumptions'!$K$34*C3290/1000,IF('Model Inputs &amp; Assumptions'!$H$34="CPC",'Model Inputs &amp; Assumptions'!$I$34*'Model Inputs &amp; Assumptions'!$K$34*G3290,0)))</f>
        <v>5870.05</v>
      </c>
      <c r="J3290" s="50" t="n">
        <f aca="false">H3290*INDEX('Model Inputs &amp; Assumptions'!$D$40:$D$42,MATCH('Model Inputs &amp; Assumptions'!$L$34,'Model Inputs &amp; Assumptions'!$A$40:$A$42,0))*INDEX('Model Inputs &amp; Assumptions'!$H$40:$H$42,MATCH('Model Inputs &amp; Assumptions'!$L$34,'Model Inputs &amp; Assumptions'!$A$40:$A$42,0))</f>
        <v>504484.497063249</v>
      </c>
      <c r="K3290" s="49" t="n">
        <f aca="false">H3290*INDEX('Model Inputs &amp; Assumptions'!$G$40:$G$42,MATCH('Model Inputs &amp; Assumptions'!$L$34,'Model Inputs &amp; Assumptions'!$A$40:$A$42,0))*INDEX('Model Inputs &amp; Assumptions'!$H$40:$H$42,MATCH('Model Inputs &amp; Assumptions'!$L$34,'Model Inputs &amp; Assumptions'!$A$40:$A$42,0))</f>
        <v>11123.8831602446</v>
      </c>
      <c r="L3290" s="51" t="n">
        <f aca="false">IFERROR(K3290/I3290,0)</f>
        <v>1.89502357905719</v>
      </c>
      <c r="M3290" s="49" t="n">
        <f aca="false">IFERROR(I3290/H3290,0)</f>
        <v>83.7773216937946</v>
      </c>
      <c r="N3290" s="52" t="str">
        <f aca="false">'Model Inputs &amp; Assumptions'!$L$34</f>
        <v>PRD-USIQ</v>
      </c>
      <c r="P3290" s="53" t="n">
        <v>0.053123</v>
      </c>
      <c r="Q3290" s="53" t="n">
        <v>1.059105</v>
      </c>
      <c r="R3290" s="53" t="n">
        <v>0.235015</v>
      </c>
      <c r="S3290" s="53" t="n">
        <v>-0.033636</v>
      </c>
    </row>
    <row r="3291" customFormat="false" ht="15" hidden="false" customHeight="false" outlineLevel="0" collapsed="false">
      <c r="A3291" s="43" t="n">
        <v>288</v>
      </c>
      <c r="B3291" s="44" t="str">
        <f aca="false">'Model Inputs &amp; Assumptions'!$B$34</f>
        <v>Meta — Lookalike Feed Video</v>
      </c>
      <c r="C3291" s="45" t="n">
        <f aca="false">ROUND(MAX(0,'Model Inputs &amp; Assumptions'!$S$34*EXP('Model Inputs &amp; Assumptions'!$T$34*P3291-'Model Inputs &amp; Assumptions'!$T$34^2/2)),0)</f>
        <v>598834</v>
      </c>
      <c r="D3291" s="46" t="n">
        <f aca="false">MIN(1,'Model Inputs &amp; Assumptions'!$U$34*EXP('Model Inputs &amp; Assumptions'!$V$34*Q3291-'Model Inputs &amp; Assumptions'!$V$34^2/2))</f>
        <v>0.21568661742257</v>
      </c>
      <c r="E3291" s="45" t="n">
        <f aca="false">ROUND(C3291*D3291,0)</f>
        <v>129160</v>
      </c>
      <c r="F3291" s="47" t="n">
        <f aca="false">MIN(1,'Model Inputs &amp; Assumptions'!$W$34*EXP('Model Inputs &amp; Assumptions'!$X$34*R3291-'Model Inputs &amp; Assumptions'!$X$34^2/2))</f>
        <v>0.00843767071791268</v>
      </c>
      <c r="G3291" s="45" t="n">
        <f aca="false">ROUND(C3291*F3291,0)</f>
        <v>5053</v>
      </c>
      <c r="H3291" s="48" t="n">
        <f aca="false">MAX(0,(C3291*'Model Inputs &amp; Assumptions'!$N$34+E3291*'Model Inputs &amp; Assumptions'!$O$34+G3291*'Model Inputs &amp; Assumptions'!$P$34)*EXP('Model Inputs &amp; Assumptions'!$Q$34*S3291-'Model Inputs &amp; Assumptions'!$Q$34^2/2))</f>
        <v>154.28120340528</v>
      </c>
      <c r="I3291" s="49" t="n">
        <f aca="false">IF('Model Inputs &amp; Assumptions'!$H$34="Fixed",'Model Inputs &amp; Assumptions'!$I$34*'Model Inputs &amp; Assumptions'!$K$34,IF('Model Inputs &amp; Assumptions'!$H$34="CPM",'Model Inputs &amp; Assumptions'!$I$34*'Model Inputs &amp; Assumptions'!$K$34*C3291/1000,IF('Model Inputs &amp; Assumptions'!$H$34="CPC",'Model Inputs &amp; Assumptions'!$I$34*'Model Inputs &amp; Assumptions'!$K$34*G3291,0)))</f>
        <v>9348.05</v>
      </c>
      <c r="J3291" s="50" t="n">
        <f aca="false">H3291*INDEX('Model Inputs &amp; Assumptions'!$D$40:$D$42,MATCH('Model Inputs &amp; Assumptions'!$L$34,'Model Inputs &amp; Assumptions'!$A$40:$A$42,0))*INDEX('Model Inputs &amp; Assumptions'!$H$40:$H$42,MATCH('Model Inputs &amp; Assumptions'!$L$34,'Model Inputs &amp; Assumptions'!$A$40:$A$42,0))</f>
        <v>1110824.66451802</v>
      </c>
      <c r="K3291" s="49" t="n">
        <f aca="false">H3291*INDEX('Model Inputs &amp; Assumptions'!$G$40:$G$42,MATCH('Model Inputs &amp; Assumptions'!$L$34,'Model Inputs &amp; Assumptions'!$A$40:$A$42,0))*INDEX('Model Inputs &amp; Assumptions'!$H$40:$H$42,MATCH('Model Inputs &amp; Assumptions'!$L$34,'Model Inputs &amp; Assumptions'!$A$40:$A$42,0))</f>
        <v>24493.6838526222</v>
      </c>
      <c r="L3291" s="51" t="n">
        <f aca="false">IFERROR(K3291/I3291,0)</f>
        <v>2.62019178894232</v>
      </c>
      <c r="M3291" s="49" t="n">
        <f aca="false">IFERROR(I3291/H3291,0)</f>
        <v>60.5909844729671</v>
      </c>
      <c r="N3291" s="52" t="str">
        <f aca="false">'Model Inputs &amp; Assumptions'!$L$34</f>
        <v>PRD-USIQ</v>
      </c>
      <c r="P3291" s="53" t="n">
        <v>0.805774</v>
      </c>
      <c r="Q3291" s="53" t="n">
        <v>-0.32158</v>
      </c>
      <c r="R3291" s="53" t="n">
        <v>1.984149</v>
      </c>
      <c r="S3291" s="53" t="n">
        <v>1.177857</v>
      </c>
    </row>
    <row r="3292" customFormat="false" ht="15" hidden="false" customHeight="false" outlineLevel="0" collapsed="false">
      <c r="A3292" s="43" t="n">
        <v>289</v>
      </c>
      <c r="B3292" s="44" t="str">
        <f aca="false">'Model Inputs &amp; Assumptions'!$B$34</f>
        <v>Meta — Lookalike Feed Video</v>
      </c>
      <c r="C3292" s="45" t="n">
        <f aca="false">ROUND(MAX(0,'Model Inputs &amp; Assumptions'!$S$34*EXP('Model Inputs &amp; Assumptions'!$T$34*P3292-'Model Inputs &amp; Assumptions'!$T$34^2/2)),0)</f>
        <v>397464</v>
      </c>
      <c r="D3292" s="46" t="n">
        <f aca="false">MIN(1,'Model Inputs &amp; Assumptions'!$U$34*EXP('Model Inputs &amp; Assumptions'!$V$34*Q3292-'Model Inputs &amp; Assumptions'!$V$34^2/2))</f>
        <v>0.237416833858697</v>
      </c>
      <c r="E3292" s="45" t="n">
        <f aca="false">ROUND(C3292*D3292,0)</f>
        <v>94365</v>
      </c>
      <c r="F3292" s="47" t="n">
        <f aca="false">MIN(1,'Model Inputs &amp; Assumptions'!$W$34*EXP('Model Inputs &amp; Assumptions'!$X$34*R3292-'Model Inputs &amp; Assumptions'!$X$34^2/2))</f>
        <v>0.00497822752609659</v>
      </c>
      <c r="G3292" s="45" t="n">
        <f aca="false">ROUND(C3292*F3292,0)</f>
        <v>1979</v>
      </c>
      <c r="H3292" s="48" t="n">
        <f aca="false">MAX(0,(C3292*'Model Inputs &amp; Assumptions'!$N$34+E3292*'Model Inputs &amp; Assumptions'!$O$34+G3292*'Model Inputs &amp; Assumptions'!$P$34)*EXP('Model Inputs &amp; Assumptions'!$Q$34*S3292-'Model Inputs &amp; Assumptions'!$Q$34^2/2))</f>
        <v>52.6762371804012</v>
      </c>
      <c r="I3292" s="49" t="n">
        <f aca="false">IF('Model Inputs &amp; Assumptions'!$H$34="Fixed",'Model Inputs &amp; Assumptions'!$I$34*'Model Inputs &amp; Assumptions'!$K$34,IF('Model Inputs &amp; Assumptions'!$H$34="CPM",'Model Inputs &amp; Assumptions'!$I$34*'Model Inputs &amp; Assumptions'!$K$34*C3292/1000,IF('Model Inputs &amp; Assumptions'!$H$34="CPC",'Model Inputs &amp; Assumptions'!$I$34*'Model Inputs &amp; Assumptions'!$K$34*G3292,0)))</f>
        <v>3661.15</v>
      </c>
      <c r="J3292" s="50" t="n">
        <f aca="false">H3292*INDEX('Model Inputs &amp; Assumptions'!$D$40:$D$42,MATCH('Model Inputs &amp; Assumptions'!$L$34,'Model Inputs &amp; Assumptions'!$A$40:$A$42,0))*INDEX('Model Inputs &amp; Assumptions'!$H$40:$H$42,MATCH('Model Inputs &amp; Assumptions'!$L$34,'Model Inputs &amp; Assumptions'!$A$40:$A$42,0))</f>
        <v>379268.907698889</v>
      </c>
      <c r="K3292" s="49" t="n">
        <f aca="false">H3292*INDEX('Model Inputs &amp; Assumptions'!$G$40:$G$42,MATCH('Model Inputs &amp; Assumptions'!$L$34,'Model Inputs &amp; Assumptions'!$A$40:$A$42,0))*INDEX('Model Inputs &amp; Assumptions'!$H$40:$H$42,MATCH('Model Inputs &amp; Assumptions'!$L$34,'Model Inputs &amp; Assumptions'!$A$40:$A$42,0))</f>
        <v>8362.8794147605</v>
      </c>
      <c r="L3292" s="51" t="n">
        <f aca="false">IFERROR(K3292/I3292,0)</f>
        <v>2.28422201077817</v>
      </c>
      <c r="M3292" s="49" t="n">
        <f aca="false">IFERROR(I3292/H3292,0)</f>
        <v>69.502876362668</v>
      </c>
      <c r="N3292" s="52" t="str">
        <f aca="false">'Model Inputs &amp; Assumptions'!$L$34</f>
        <v>PRD-USIQ</v>
      </c>
      <c r="P3292" s="53" t="n">
        <v>-1.243618</v>
      </c>
      <c r="Q3292" s="53" t="n">
        <v>0.278363</v>
      </c>
      <c r="R3292" s="53" t="n">
        <v>-0.947142</v>
      </c>
      <c r="S3292" s="53" t="n">
        <v>0.507724</v>
      </c>
    </row>
    <row r="3293" customFormat="false" ht="15" hidden="false" customHeight="false" outlineLevel="0" collapsed="false">
      <c r="A3293" s="43" t="n">
        <v>290</v>
      </c>
      <c r="B3293" s="44" t="str">
        <f aca="false">'Model Inputs &amp; Assumptions'!$B$34</f>
        <v>Meta — Lookalike Feed Video</v>
      </c>
      <c r="C3293" s="45" t="n">
        <f aca="false">ROUND(MAX(0,'Model Inputs &amp; Assumptions'!$S$34*EXP('Model Inputs &amp; Assumptions'!$T$34*P3293-'Model Inputs &amp; Assumptions'!$T$34^2/2)),0)</f>
        <v>628722</v>
      </c>
      <c r="D3293" s="46" t="n">
        <f aca="false">MIN(1,'Model Inputs &amp; Assumptions'!$U$34*EXP('Model Inputs &amp; Assumptions'!$V$34*Q3293-'Model Inputs &amp; Assumptions'!$V$34^2/2))</f>
        <v>0.257396214641959</v>
      </c>
      <c r="E3293" s="45" t="n">
        <f aca="false">ROUND(C3293*D3293,0)</f>
        <v>161831</v>
      </c>
      <c r="F3293" s="47" t="n">
        <f aca="false">MIN(1,'Model Inputs &amp; Assumptions'!$W$34*EXP('Model Inputs &amp; Assumptions'!$X$34*R3293-'Model Inputs &amp; Assumptions'!$X$34^2/2))</f>
        <v>0.00424052189124948</v>
      </c>
      <c r="G3293" s="45" t="n">
        <f aca="false">ROUND(C3293*F3293,0)</f>
        <v>2666</v>
      </c>
      <c r="H3293" s="48" t="n">
        <f aca="false">MAX(0,(C3293*'Model Inputs &amp; Assumptions'!$N$34+E3293*'Model Inputs &amp; Assumptions'!$O$34+G3293*'Model Inputs &amp; Assumptions'!$P$34)*EXP('Model Inputs &amp; Assumptions'!$Q$34*S3293-'Model Inputs &amp; Assumptions'!$Q$34^2/2))</f>
        <v>65.9200885337686</v>
      </c>
      <c r="I3293" s="49" t="n">
        <f aca="false">IF('Model Inputs &amp; Assumptions'!$H$34="Fixed",'Model Inputs &amp; Assumptions'!$I$34*'Model Inputs &amp; Assumptions'!$K$34,IF('Model Inputs &amp; Assumptions'!$H$34="CPM",'Model Inputs &amp; Assumptions'!$I$34*'Model Inputs &amp; Assumptions'!$K$34*C3293/1000,IF('Model Inputs &amp; Assumptions'!$H$34="CPC",'Model Inputs &amp; Assumptions'!$I$34*'Model Inputs &amp; Assumptions'!$K$34*G3293,0)))</f>
        <v>4932.1</v>
      </c>
      <c r="J3293" s="50" t="n">
        <f aca="false">H3293*INDEX('Model Inputs &amp; Assumptions'!$D$40:$D$42,MATCH('Model Inputs &amp; Assumptions'!$L$34,'Model Inputs &amp; Assumptions'!$A$40:$A$42,0))*INDEX('Model Inputs &amp; Assumptions'!$H$40:$H$42,MATCH('Model Inputs &amp; Assumptions'!$L$34,'Model Inputs &amp; Assumptions'!$A$40:$A$42,0))</f>
        <v>474624.637443134</v>
      </c>
      <c r="K3293" s="49" t="n">
        <f aca="false">H3293*INDEX('Model Inputs &amp; Assumptions'!$G$40:$G$42,MATCH('Model Inputs &amp; Assumptions'!$L$34,'Model Inputs &amp; Assumptions'!$A$40:$A$42,0))*INDEX('Model Inputs &amp; Assumptions'!$H$40:$H$42,MATCH('Model Inputs &amp; Assumptions'!$L$34,'Model Inputs &amp; Assumptions'!$A$40:$A$42,0))</f>
        <v>10465.4732556211</v>
      </c>
      <c r="L3293" s="51" t="n">
        <f aca="false">IFERROR(K3293/I3293,0)</f>
        <v>2.12191019152513</v>
      </c>
      <c r="M3293" s="49" t="n">
        <f aca="false">IFERROR(I3293/H3293,0)</f>
        <v>74.8193776692739</v>
      </c>
      <c r="N3293" s="52" t="str">
        <f aca="false">'Model Inputs &amp; Assumptions'!$L$34</f>
        <v>PRD-USIQ</v>
      </c>
      <c r="P3293" s="53" t="n">
        <v>1.049302</v>
      </c>
      <c r="Q3293" s="53" t="n">
        <v>0.783358</v>
      </c>
      <c r="R3293" s="53" t="n">
        <v>-1.838184</v>
      </c>
      <c r="S3293" s="53" t="n">
        <v>0.143622</v>
      </c>
    </row>
    <row r="3294" customFormat="false" ht="15" hidden="false" customHeight="false" outlineLevel="0" collapsed="false">
      <c r="A3294" s="43" t="n">
        <v>291</v>
      </c>
      <c r="B3294" s="44" t="str">
        <f aca="false">'Model Inputs &amp; Assumptions'!$B$34</f>
        <v>Meta — Lookalike Feed Video</v>
      </c>
      <c r="C3294" s="45" t="n">
        <f aca="false">ROUND(MAX(0,'Model Inputs &amp; Assumptions'!$S$34*EXP('Model Inputs &amp; Assumptions'!$T$34*P3294-'Model Inputs &amp; Assumptions'!$T$34^2/2)),0)</f>
        <v>550321</v>
      </c>
      <c r="D3294" s="46" t="n">
        <f aca="false">MIN(1,'Model Inputs &amp; Assumptions'!$U$34*EXP('Model Inputs &amp; Assumptions'!$V$34*Q3294-'Model Inputs &amp; Assumptions'!$V$34^2/2))</f>
        <v>0.212147483337789</v>
      </c>
      <c r="E3294" s="45" t="n">
        <f aca="false">ROUND(C3294*D3294,0)</f>
        <v>116749</v>
      </c>
      <c r="F3294" s="47" t="n">
        <f aca="false">MIN(1,'Model Inputs &amp; Assumptions'!$W$34*EXP('Model Inputs &amp; Assumptions'!$X$34*R3294-'Model Inputs &amp; Assumptions'!$X$34^2/2))</f>
        <v>0.00566825782844498</v>
      </c>
      <c r="G3294" s="45" t="n">
        <f aca="false">ROUND(C3294*F3294,0)</f>
        <v>3119</v>
      </c>
      <c r="H3294" s="48" t="n">
        <f aca="false">MAX(0,(C3294*'Model Inputs &amp; Assumptions'!$N$34+E3294*'Model Inputs &amp; Assumptions'!$O$34+G3294*'Model Inputs &amp; Assumptions'!$P$34)*EXP('Model Inputs &amp; Assumptions'!$Q$34*S3294-'Model Inputs &amp; Assumptions'!$Q$34^2/2))</f>
        <v>80.0000622891011</v>
      </c>
      <c r="I3294" s="49" t="n">
        <f aca="false">IF('Model Inputs &amp; Assumptions'!$H$34="Fixed",'Model Inputs &amp; Assumptions'!$I$34*'Model Inputs &amp; Assumptions'!$K$34,IF('Model Inputs &amp; Assumptions'!$H$34="CPM",'Model Inputs &amp; Assumptions'!$I$34*'Model Inputs &amp; Assumptions'!$K$34*C3294/1000,IF('Model Inputs &amp; Assumptions'!$H$34="CPC",'Model Inputs &amp; Assumptions'!$I$34*'Model Inputs &amp; Assumptions'!$K$34*G3294,0)))</f>
        <v>5770.15</v>
      </c>
      <c r="J3294" s="50" t="n">
        <f aca="false">H3294*INDEX('Model Inputs &amp; Assumptions'!$D$40:$D$42,MATCH('Model Inputs &amp; Assumptions'!$L$34,'Model Inputs &amp; Assumptions'!$A$40:$A$42,0))*INDEX('Model Inputs &amp; Assumptions'!$H$40:$H$42,MATCH('Model Inputs &amp; Assumptions'!$L$34,'Model Inputs &amp; Assumptions'!$A$40:$A$42,0))</f>
        <v>576000.448481528</v>
      </c>
      <c r="K3294" s="49" t="n">
        <f aca="false">H3294*INDEX('Model Inputs &amp; Assumptions'!$G$40:$G$42,MATCH('Model Inputs &amp; Assumptions'!$L$34,'Model Inputs &amp; Assumptions'!$A$40:$A$42,0))*INDEX('Model Inputs &amp; Assumptions'!$H$40:$H$42,MATCH('Model Inputs &amp; Assumptions'!$L$34,'Model Inputs &amp; Assumptions'!$A$40:$A$42,0))</f>
        <v>12700.8098890177</v>
      </c>
      <c r="L3294" s="51" t="n">
        <f aca="false">IFERROR(K3294/I3294,0)</f>
        <v>2.20112300183144</v>
      </c>
      <c r="M3294" s="49" t="n">
        <f aca="false">IFERROR(I3294/H3294,0)</f>
        <v>72.1268188410661</v>
      </c>
      <c r="N3294" s="52" t="str">
        <f aca="false">'Model Inputs &amp; Assumptions'!$L$34</f>
        <v>PRD-USIQ</v>
      </c>
      <c r="P3294" s="53" t="n">
        <v>0.383363</v>
      </c>
      <c r="Q3294" s="53" t="n">
        <v>-0.424985</v>
      </c>
      <c r="R3294" s="53" t="n">
        <v>-0.225987</v>
      </c>
      <c r="S3294" s="53" t="n">
        <v>0.501434</v>
      </c>
    </row>
    <row r="3295" customFormat="false" ht="15" hidden="false" customHeight="false" outlineLevel="0" collapsed="false">
      <c r="A3295" s="43" t="n">
        <v>292</v>
      </c>
      <c r="B3295" s="44" t="str">
        <f aca="false">'Model Inputs &amp; Assumptions'!$B$34</f>
        <v>Meta — Lookalike Feed Video</v>
      </c>
      <c r="C3295" s="45" t="n">
        <f aca="false">ROUND(MAX(0,'Model Inputs &amp; Assumptions'!$S$34*EXP('Model Inputs &amp; Assumptions'!$T$34*P3295-'Model Inputs &amp; Assumptions'!$T$34^2/2)),0)</f>
        <v>616052</v>
      </c>
      <c r="D3295" s="46" t="n">
        <f aca="false">MIN(1,'Model Inputs &amp; Assumptions'!$U$34*EXP('Model Inputs &amp; Assumptions'!$V$34*Q3295-'Model Inputs &amp; Assumptions'!$V$34^2/2))</f>
        <v>0.235751364385768</v>
      </c>
      <c r="E3295" s="45" t="n">
        <f aca="false">ROUND(C3295*D3295,0)</f>
        <v>145235</v>
      </c>
      <c r="F3295" s="47" t="n">
        <f aca="false">MIN(1,'Model Inputs &amp; Assumptions'!$W$34*EXP('Model Inputs &amp; Assumptions'!$X$34*R3295-'Model Inputs &amp; Assumptions'!$X$34^2/2))</f>
        <v>0.00567641271656826</v>
      </c>
      <c r="G3295" s="45" t="n">
        <f aca="false">ROUND(C3295*F3295,0)</f>
        <v>3497</v>
      </c>
      <c r="H3295" s="48" t="n">
        <f aca="false">MAX(0,(C3295*'Model Inputs &amp; Assumptions'!$N$34+E3295*'Model Inputs &amp; Assumptions'!$O$34+G3295*'Model Inputs &amp; Assumptions'!$P$34)*EXP('Model Inputs &amp; Assumptions'!$Q$34*S3295-'Model Inputs &amp; Assumptions'!$Q$34^2/2))</f>
        <v>71.4600099978334</v>
      </c>
      <c r="I3295" s="49" t="n">
        <f aca="false">IF('Model Inputs &amp; Assumptions'!$H$34="Fixed",'Model Inputs &amp; Assumptions'!$I$34*'Model Inputs &amp; Assumptions'!$K$34,IF('Model Inputs &amp; Assumptions'!$H$34="CPM",'Model Inputs &amp; Assumptions'!$I$34*'Model Inputs &amp; Assumptions'!$K$34*C3295/1000,IF('Model Inputs &amp; Assumptions'!$H$34="CPC",'Model Inputs &amp; Assumptions'!$I$34*'Model Inputs &amp; Assumptions'!$K$34*G3295,0)))</f>
        <v>6469.45</v>
      </c>
      <c r="J3295" s="50" t="n">
        <f aca="false">H3295*INDEX('Model Inputs &amp; Assumptions'!$D$40:$D$42,MATCH('Model Inputs &amp; Assumptions'!$L$34,'Model Inputs &amp; Assumptions'!$A$40:$A$42,0))*INDEX('Model Inputs &amp; Assumptions'!$H$40:$H$42,MATCH('Model Inputs &amp; Assumptions'!$L$34,'Model Inputs &amp; Assumptions'!$A$40:$A$42,0))</f>
        <v>514512.0719844</v>
      </c>
      <c r="K3295" s="49" t="n">
        <f aca="false">H3295*INDEX('Model Inputs &amp; Assumptions'!$G$40:$G$42,MATCH('Model Inputs &amp; Assumptions'!$L$34,'Model Inputs &amp; Assumptions'!$A$40:$A$42,0))*INDEX('Model Inputs &amp; Assumptions'!$H$40:$H$42,MATCH('Model Inputs &amp; Assumptions'!$L$34,'Model Inputs &amp; Assumptions'!$A$40:$A$42,0))</f>
        <v>11344.991187256</v>
      </c>
      <c r="L3295" s="51" t="n">
        <f aca="false">IFERROR(K3295/I3295,0)</f>
        <v>1.75362529848071</v>
      </c>
      <c r="M3295" s="49" t="n">
        <f aca="false">IFERROR(I3295/H3295,0)</f>
        <v>90.5324530488612</v>
      </c>
      <c r="N3295" s="52" t="str">
        <f aca="false">'Model Inputs &amp; Assumptions'!$L$34</f>
        <v>PRD-USIQ</v>
      </c>
      <c r="P3295" s="53" t="n">
        <v>0.94751</v>
      </c>
      <c r="Q3295" s="53" t="n">
        <v>0.234365</v>
      </c>
      <c r="R3295" s="53" t="n">
        <v>-0.218</v>
      </c>
      <c r="S3295" s="53" t="n">
        <v>-0.253082</v>
      </c>
    </row>
    <row r="3296" customFormat="false" ht="15" hidden="false" customHeight="false" outlineLevel="0" collapsed="false">
      <c r="A3296" s="43" t="n">
        <v>293</v>
      </c>
      <c r="B3296" s="44" t="str">
        <f aca="false">'Model Inputs &amp; Assumptions'!$B$34</f>
        <v>Meta — Lookalike Feed Video</v>
      </c>
      <c r="C3296" s="45" t="n">
        <f aca="false">ROUND(MAX(0,'Model Inputs &amp; Assumptions'!$S$34*EXP('Model Inputs &amp; Assumptions'!$T$34*P3296-'Model Inputs &amp; Assumptions'!$T$34^2/2)),0)</f>
        <v>537770</v>
      </c>
      <c r="D3296" s="46" t="n">
        <f aca="false">MIN(1,'Model Inputs &amp; Assumptions'!$U$34*EXP('Model Inputs &amp; Assumptions'!$V$34*Q3296-'Model Inputs &amp; Assumptions'!$V$34^2/2))</f>
        <v>0.17746462777633</v>
      </c>
      <c r="E3296" s="45" t="n">
        <f aca="false">ROUND(C3296*D3296,0)</f>
        <v>95435</v>
      </c>
      <c r="F3296" s="47" t="n">
        <f aca="false">MIN(1,'Model Inputs &amp; Assumptions'!$W$34*EXP('Model Inputs &amp; Assumptions'!$X$34*R3296-'Model Inputs &amp; Assumptions'!$X$34^2/2))</f>
        <v>0.00662122321942499</v>
      </c>
      <c r="G3296" s="45" t="n">
        <f aca="false">ROUND(C3296*F3296,0)</f>
        <v>3561</v>
      </c>
      <c r="H3296" s="48" t="n">
        <f aca="false">MAX(0,(C3296*'Model Inputs &amp; Assumptions'!$N$34+E3296*'Model Inputs &amp; Assumptions'!$O$34+G3296*'Model Inputs &amp; Assumptions'!$P$34)*EXP('Model Inputs &amp; Assumptions'!$Q$34*S3296-'Model Inputs &amp; Assumptions'!$Q$34^2/2))</f>
        <v>124.897608125948</v>
      </c>
      <c r="I3296" s="49" t="n">
        <f aca="false">IF('Model Inputs &amp; Assumptions'!$H$34="Fixed",'Model Inputs &amp; Assumptions'!$I$34*'Model Inputs &amp; Assumptions'!$K$34,IF('Model Inputs &amp; Assumptions'!$H$34="CPM",'Model Inputs &amp; Assumptions'!$I$34*'Model Inputs &amp; Assumptions'!$K$34*C3296/1000,IF('Model Inputs &amp; Assumptions'!$H$34="CPC",'Model Inputs &amp; Assumptions'!$I$34*'Model Inputs &amp; Assumptions'!$K$34*G3296,0)))</f>
        <v>6587.85</v>
      </c>
      <c r="J3296" s="50" t="n">
        <f aca="false">H3296*INDEX('Model Inputs &amp; Assumptions'!$D$40:$D$42,MATCH('Model Inputs &amp; Assumptions'!$L$34,'Model Inputs &amp; Assumptions'!$A$40:$A$42,0))*INDEX('Model Inputs &amp; Assumptions'!$H$40:$H$42,MATCH('Model Inputs &amp; Assumptions'!$L$34,'Model Inputs &amp; Assumptions'!$A$40:$A$42,0))</f>
        <v>899262.778506828</v>
      </c>
      <c r="K3296" s="49" t="n">
        <f aca="false">H3296*INDEX('Model Inputs &amp; Assumptions'!$G$40:$G$42,MATCH('Model Inputs &amp; Assumptions'!$L$34,'Model Inputs &amp; Assumptions'!$A$40:$A$42,0))*INDEX('Model Inputs &amp; Assumptions'!$H$40:$H$42,MATCH('Model Inputs &amp; Assumptions'!$L$34,'Model Inputs &amp; Assumptions'!$A$40:$A$42,0))</f>
        <v>19828.7442660756</v>
      </c>
      <c r="L3296" s="51" t="n">
        <f aca="false">IFERROR(K3296/I3296,0)</f>
        <v>3.00989613699091</v>
      </c>
      <c r="M3296" s="49" t="n">
        <f aca="false">IFERROR(I3296/H3296,0)</f>
        <v>52.746006099306</v>
      </c>
      <c r="N3296" s="52" t="str">
        <f aca="false">'Model Inputs &amp; Assumptions'!$L$34</f>
        <v>PRD-USIQ</v>
      </c>
      <c r="P3296" s="53" t="n">
        <v>0.268014</v>
      </c>
      <c r="Q3296" s="53" t="n">
        <v>-1.540675</v>
      </c>
      <c r="R3296" s="53" t="n">
        <v>0.637337</v>
      </c>
      <c r="S3296" s="53" t="n">
        <v>1.597144</v>
      </c>
    </row>
    <row r="3297" customFormat="false" ht="15" hidden="false" customHeight="false" outlineLevel="0" collapsed="false">
      <c r="A3297" s="43" t="n">
        <v>294</v>
      </c>
      <c r="B3297" s="44" t="str">
        <f aca="false">'Model Inputs &amp; Assumptions'!$B$34</f>
        <v>Meta — Lookalike Feed Video</v>
      </c>
      <c r="C3297" s="45" t="n">
        <f aca="false">ROUND(MAX(0,'Model Inputs &amp; Assumptions'!$S$34*EXP('Model Inputs &amp; Assumptions'!$T$34*P3297-'Model Inputs &amp; Assumptions'!$T$34^2/2)),0)</f>
        <v>386655</v>
      </c>
      <c r="D3297" s="46" t="n">
        <f aca="false">MIN(1,'Model Inputs &amp; Assumptions'!$U$34*EXP('Model Inputs &amp; Assumptions'!$V$34*Q3297-'Model Inputs &amp; Assumptions'!$V$34^2/2))</f>
        <v>0.180724054817379</v>
      </c>
      <c r="E3297" s="45" t="n">
        <f aca="false">ROUND(C3297*D3297,0)</f>
        <v>69878</v>
      </c>
      <c r="F3297" s="47" t="n">
        <f aca="false">MIN(1,'Model Inputs &amp; Assumptions'!$W$34*EXP('Model Inputs &amp; Assumptions'!$X$34*R3297-'Model Inputs &amp; Assumptions'!$X$34^2/2))</f>
        <v>0.00833917548878992</v>
      </c>
      <c r="G3297" s="45" t="n">
        <f aca="false">ROUND(C3297*F3297,0)</f>
        <v>3224</v>
      </c>
      <c r="H3297" s="48" t="n">
        <f aca="false">MAX(0,(C3297*'Model Inputs &amp; Assumptions'!$N$34+E3297*'Model Inputs &amp; Assumptions'!$O$34+G3297*'Model Inputs &amp; Assumptions'!$P$34)*EXP('Model Inputs &amp; Assumptions'!$Q$34*S3297-'Model Inputs &amp; Assumptions'!$Q$34^2/2))</f>
        <v>45.1713324378231</v>
      </c>
      <c r="I3297" s="49" t="n">
        <f aca="false">IF('Model Inputs &amp; Assumptions'!$H$34="Fixed",'Model Inputs &amp; Assumptions'!$I$34*'Model Inputs &amp; Assumptions'!$K$34,IF('Model Inputs &amp; Assumptions'!$H$34="CPM",'Model Inputs &amp; Assumptions'!$I$34*'Model Inputs &amp; Assumptions'!$K$34*C3297/1000,IF('Model Inputs &amp; Assumptions'!$H$34="CPC",'Model Inputs &amp; Assumptions'!$I$34*'Model Inputs &amp; Assumptions'!$K$34*G3297,0)))</f>
        <v>5964.4</v>
      </c>
      <c r="J3297" s="50" t="n">
        <f aca="false">H3297*INDEX('Model Inputs &amp; Assumptions'!$D$40:$D$42,MATCH('Model Inputs &amp; Assumptions'!$L$34,'Model Inputs &amp; Assumptions'!$A$40:$A$42,0))*INDEX('Model Inputs &amp; Assumptions'!$H$40:$H$42,MATCH('Model Inputs &amp; Assumptions'!$L$34,'Model Inputs &amp; Assumptions'!$A$40:$A$42,0))</f>
        <v>325233.593552326</v>
      </c>
      <c r="K3297" s="49" t="n">
        <f aca="false">H3297*INDEX('Model Inputs &amp; Assumptions'!$G$40:$G$42,MATCH('Model Inputs &amp; Assumptions'!$L$34,'Model Inputs &amp; Assumptions'!$A$40:$A$42,0))*INDEX('Model Inputs &amp; Assumptions'!$H$40:$H$42,MATCH('Model Inputs &amp; Assumptions'!$L$34,'Model Inputs &amp; Assumptions'!$A$40:$A$42,0))</f>
        <v>7171.40073782879</v>
      </c>
      <c r="L3297" s="51" t="n">
        <f aca="false">IFERROR(K3297/I3297,0)</f>
        <v>1.20236750349219</v>
      </c>
      <c r="M3297" s="49" t="n">
        <f aca="false">IFERROR(I3297/H3297,0)</f>
        <v>132.039496692063</v>
      </c>
      <c r="N3297" s="52" t="str">
        <f aca="false">'Model Inputs &amp; Assumptions'!$L$34</f>
        <v>PRD-USIQ</v>
      </c>
      <c r="P3297" s="53" t="n">
        <v>-1.381482</v>
      </c>
      <c r="Q3297" s="53" t="n">
        <v>-1.426925</v>
      </c>
      <c r="R3297" s="53" t="n">
        <v>1.918916</v>
      </c>
      <c r="S3297" s="53" t="n">
        <v>-1.211986</v>
      </c>
    </row>
    <row r="3298" customFormat="false" ht="15" hidden="false" customHeight="false" outlineLevel="0" collapsed="false">
      <c r="A3298" s="43" t="n">
        <v>295</v>
      </c>
      <c r="B3298" s="44" t="str">
        <f aca="false">'Model Inputs &amp; Assumptions'!$B$34</f>
        <v>Meta — Lookalike Feed Video</v>
      </c>
      <c r="C3298" s="45" t="n">
        <f aca="false">ROUND(MAX(0,'Model Inputs &amp; Assumptions'!$S$34*EXP('Model Inputs &amp; Assumptions'!$T$34*P3298-'Model Inputs &amp; Assumptions'!$T$34^2/2)),0)</f>
        <v>516978</v>
      </c>
      <c r="D3298" s="46" t="n">
        <f aca="false">MIN(1,'Model Inputs &amp; Assumptions'!$U$34*EXP('Model Inputs &amp; Assumptions'!$V$34*Q3298-'Model Inputs &amp; Assumptions'!$V$34^2/2))</f>
        <v>0.218619913876309</v>
      </c>
      <c r="E3298" s="45" t="n">
        <f aca="false">ROUND(C3298*D3298,0)</f>
        <v>113022</v>
      </c>
      <c r="F3298" s="47" t="n">
        <f aca="false">MIN(1,'Model Inputs &amp; Assumptions'!$W$34*EXP('Model Inputs &amp; Assumptions'!$X$34*R3298-'Model Inputs &amp; Assumptions'!$X$34^2/2))</f>
        <v>0.00628097591715842</v>
      </c>
      <c r="G3298" s="45" t="n">
        <f aca="false">ROUND(C3298*F3298,0)</f>
        <v>3247</v>
      </c>
      <c r="H3298" s="48" t="n">
        <f aca="false">MAX(0,(C3298*'Model Inputs &amp; Assumptions'!$N$34+E3298*'Model Inputs &amp; Assumptions'!$O$34+G3298*'Model Inputs &amp; Assumptions'!$P$34)*EXP('Model Inputs &amp; Assumptions'!$Q$34*S3298-'Model Inputs &amp; Assumptions'!$Q$34^2/2))</f>
        <v>78.9569222946986</v>
      </c>
      <c r="I3298" s="49" t="n">
        <f aca="false">IF('Model Inputs &amp; Assumptions'!$H$34="Fixed",'Model Inputs &amp; Assumptions'!$I$34*'Model Inputs &amp; Assumptions'!$K$34,IF('Model Inputs &amp; Assumptions'!$H$34="CPM",'Model Inputs &amp; Assumptions'!$I$34*'Model Inputs &amp; Assumptions'!$K$34*C3298/1000,IF('Model Inputs &amp; Assumptions'!$H$34="CPC",'Model Inputs &amp; Assumptions'!$I$34*'Model Inputs &amp; Assumptions'!$K$34*G3298,0)))</f>
        <v>6006.95</v>
      </c>
      <c r="J3298" s="50" t="n">
        <f aca="false">H3298*INDEX('Model Inputs &amp; Assumptions'!$D$40:$D$42,MATCH('Model Inputs &amp; Assumptions'!$L$34,'Model Inputs &amp; Assumptions'!$A$40:$A$42,0))*INDEX('Model Inputs &amp; Assumptions'!$H$40:$H$42,MATCH('Model Inputs &amp; Assumptions'!$L$34,'Model Inputs &amp; Assumptions'!$A$40:$A$42,0))</f>
        <v>568489.84052183</v>
      </c>
      <c r="K3298" s="49" t="n">
        <f aca="false">H3298*INDEX('Model Inputs &amp; Assumptions'!$G$40:$G$42,MATCH('Model Inputs &amp; Assumptions'!$L$34,'Model Inputs &amp; Assumptions'!$A$40:$A$42,0))*INDEX('Model Inputs &amp; Assumptions'!$H$40:$H$42,MATCH('Model Inputs &amp; Assumptions'!$L$34,'Model Inputs &amp; Assumptions'!$A$40:$A$42,0))</f>
        <v>12535.2009835063</v>
      </c>
      <c r="L3298" s="51" t="n">
        <f aca="false">IFERROR(K3298/I3298,0)</f>
        <v>2.08678297363992</v>
      </c>
      <c r="M3298" s="49" t="n">
        <f aca="false">IFERROR(I3298/H3298,0)</f>
        <v>76.0788265983783</v>
      </c>
      <c r="N3298" s="52" t="str">
        <f aca="false">'Model Inputs &amp; Assumptions'!$L$34</f>
        <v>PRD-USIQ</v>
      </c>
      <c r="P3298" s="53" t="n">
        <v>0.070861</v>
      </c>
      <c r="Q3298" s="53" t="n">
        <v>-0.237154</v>
      </c>
      <c r="R3298" s="53" t="n">
        <v>0.344255</v>
      </c>
      <c r="S3298" s="53" t="n">
        <v>0.363387</v>
      </c>
    </row>
    <row r="3299" customFormat="false" ht="15" hidden="false" customHeight="false" outlineLevel="0" collapsed="false">
      <c r="A3299" s="43" t="n">
        <v>296</v>
      </c>
      <c r="B3299" s="44" t="str">
        <f aca="false">'Model Inputs &amp; Assumptions'!$B$34</f>
        <v>Meta — Lookalike Feed Video</v>
      </c>
      <c r="C3299" s="45" t="n">
        <f aca="false">ROUND(MAX(0,'Model Inputs &amp; Assumptions'!$S$34*EXP('Model Inputs &amp; Assumptions'!$T$34*P3299-'Model Inputs &amp; Assumptions'!$T$34^2/2)),0)</f>
        <v>503926</v>
      </c>
      <c r="D3299" s="46" t="n">
        <f aca="false">MIN(1,'Model Inputs &amp; Assumptions'!$U$34*EXP('Model Inputs &amp; Assumptions'!$V$34*Q3299-'Model Inputs &amp; Assumptions'!$V$34^2/2))</f>
        <v>0.133448968845531</v>
      </c>
      <c r="E3299" s="45" t="n">
        <f aca="false">ROUND(C3299*D3299,0)</f>
        <v>67248</v>
      </c>
      <c r="F3299" s="47" t="n">
        <f aca="false">MIN(1,'Model Inputs &amp; Assumptions'!$W$34*EXP('Model Inputs &amp; Assumptions'!$X$34*R3299-'Model Inputs &amp; Assumptions'!$X$34^2/2))</f>
        <v>0.00516127534701205</v>
      </c>
      <c r="G3299" s="45" t="n">
        <f aca="false">ROUND(C3299*F3299,0)</f>
        <v>2601</v>
      </c>
      <c r="H3299" s="48" t="n">
        <f aca="false">MAX(0,(C3299*'Model Inputs &amp; Assumptions'!$N$34+E3299*'Model Inputs &amp; Assumptions'!$O$34+G3299*'Model Inputs &amp; Assumptions'!$P$34)*EXP('Model Inputs &amp; Assumptions'!$Q$34*S3299-'Model Inputs &amp; Assumptions'!$Q$34^2/2))</f>
        <v>76.8816414980223</v>
      </c>
      <c r="I3299" s="49" t="n">
        <f aca="false">IF('Model Inputs &amp; Assumptions'!$H$34="Fixed",'Model Inputs &amp; Assumptions'!$I$34*'Model Inputs &amp; Assumptions'!$K$34,IF('Model Inputs &amp; Assumptions'!$H$34="CPM",'Model Inputs &amp; Assumptions'!$I$34*'Model Inputs &amp; Assumptions'!$K$34*C3299/1000,IF('Model Inputs &amp; Assumptions'!$H$34="CPC",'Model Inputs &amp; Assumptions'!$I$34*'Model Inputs &amp; Assumptions'!$K$34*G3299,0)))</f>
        <v>4811.85</v>
      </c>
      <c r="J3299" s="50" t="n">
        <f aca="false">H3299*INDEX('Model Inputs &amp; Assumptions'!$D$40:$D$42,MATCH('Model Inputs &amp; Assumptions'!$L$34,'Model Inputs &amp; Assumptions'!$A$40:$A$42,0))*INDEX('Model Inputs &amp; Assumptions'!$H$40:$H$42,MATCH('Model Inputs &amp; Assumptions'!$L$34,'Model Inputs &amp; Assumptions'!$A$40:$A$42,0))</f>
        <v>553547.818785761</v>
      </c>
      <c r="K3299" s="49" t="n">
        <f aca="false">H3299*INDEX('Model Inputs &amp; Assumptions'!$G$40:$G$42,MATCH('Model Inputs &amp; Assumptions'!$L$34,'Model Inputs &amp; Assumptions'!$A$40:$A$42,0))*INDEX('Model Inputs &amp; Assumptions'!$H$40:$H$42,MATCH('Model Inputs &amp; Assumptions'!$L$34,'Model Inputs &amp; Assumptions'!$A$40:$A$42,0))</f>
        <v>12205.729404226</v>
      </c>
      <c r="L3299" s="51" t="n">
        <f aca="false">IFERROR(K3299/I3299,0)</f>
        <v>2.53659806607147</v>
      </c>
      <c r="M3299" s="49" t="n">
        <f aca="false">IFERROR(I3299/H3299,0)</f>
        <v>62.587763557621</v>
      </c>
      <c r="N3299" s="52" t="str">
        <f aca="false">'Model Inputs &amp; Assumptions'!$L$34</f>
        <v>PRD-USIQ</v>
      </c>
      <c r="P3299" s="53" t="n">
        <v>-0.056994</v>
      </c>
      <c r="Q3299" s="53" t="n">
        <v>-3.322251</v>
      </c>
      <c r="R3299" s="53" t="n">
        <v>-0.746532</v>
      </c>
      <c r="S3299" s="53" t="n">
        <v>1.073205</v>
      </c>
    </row>
    <row r="3300" customFormat="false" ht="15" hidden="false" customHeight="false" outlineLevel="0" collapsed="false">
      <c r="A3300" s="43" t="n">
        <v>297</v>
      </c>
      <c r="B3300" s="44" t="str">
        <f aca="false">'Model Inputs &amp; Assumptions'!$B$34</f>
        <v>Meta — Lookalike Feed Video</v>
      </c>
      <c r="C3300" s="45" t="n">
        <f aca="false">ROUND(MAX(0,'Model Inputs &amp; Assumptions'!$S$34*EXP('Model Inputs &amp; Assumptions'!$T$34*P3300-'Model Inputs &amp; Assumptions'!$T$34^2/2)),0)</f>
        <v>546410</v>
      </c>
      <c r="D3300" s="46" t="n">
        <f aca="false">MIN(1,'Model Inputs &amp; Assumptions'!$U$34*EXP('Model Inputs &amp; Assumptions'!$V$34*Q3300-'Model Inputs &amp; Assumptions'!$V$34^2/2))</f>
        <v>0.201862898954982</v>
      </c>
      <c r="E3300" s="45" t="n">
        <f aca="false">ROUND(C3300*D3300,0)</f>
        <v>110300</v>
      </c>
      <c r="F3300" s="47" t="n">
        <f aca="false">MIN(1,'Model Inputs &amp; Assumptions'!$W$34*EXP('Model Inputs &amp; Assumptions'!$X$34*R3300-'Model Inputs &amp; Assumptions'!$X$34^2/2))</f>
        <v>0.0045673267121456</v>
      </c>
      <c r="G3300" s="45" t="n">
        <f aca="false">ROUND(C3300*F3300,0)</f>
        <v>2496</v>
      </c>
      <c r="H3300" s="48" t="n">
        <f aca="false">MAX(0,(C3300*'Model Inputs &amp; Assumptions'!$N$34+E3300*'Model Inputs &amp; Assumptions'!$O$34+G3300*'Model Inputs &amp; Assumptions'!$P$34)*EXP('Model Inputs &amp; Assumptions'!$Q$34*S3300-'Model Inputs &amp; Assumptions'!$Q$34^2/2))</f>
        <v>28.1329188540495</v>
      </c>
      <c r="I3300" s="49" t="n">
        <f aca="false">IF('Model Inputs &amp; Assumptions'!$H$34="Fixed",'Model Inputs &amp; Assumptions'!$I$34*'Model Inputs &amp; Assumptions'!$K$34,IF('Model Inputs &amp; Assumptions'!$H$34="CPM",'Model Inputs &amp; Assumptions'!$I$34*'Model Inputs &amp; Assumptions'!$K$34*C3300/1000,IF('Model Inputs &amp; Assumptions'!$H$34="CPC",'Model Inputs &amp; Assumptions'!$I$34*'Model Inputs &amp; Assumptions'!$K$34*G3300,0)))</f>
        <v>4617.6</v>
      </c>
      <c r="J3300" s="50" t="n">
        <f aca="false">H3300*INDEX('Model Inputs &amp; Assumptions'!$D$40:$D$42,MATCH('Model Inputs &amp; Assumptions'!$L$34,'Model Inputs &amp; Assumptions'!$A$40:$A$42,0))*INDEX('Model Inputs &amp; Assumptions'!$H$40:$H$42,MATCH('Model Inputs &amp; Assumptions'!$L$34,'Model Inputs &amp; Assumptions'!$A$40:$A$42,0))</f>
        <v>202557.015749156</v>
      </c>
      <c r="K3300" s="49" t="n">
        <f aca="false">H3300*INDEX('Model Inputs &amp; Assumptions'!$G$40:$G$42,MATCH('Model Inputs &amp; Assumptions'!$L$34,'Model Inputs &amp; Assumptions'!$A$40:$A$42,0))*INDEX('Model Inputs &amp; Assumptions'!$H$40:$H$42,MATCH('Model Inputs &amp; Assumptions'!$L$34,'Model Inputs &amp; Assumptions'!$A$40:$A$42,0))</f>
        <v>4466.3821972689</v>
      </c>
      <c r="L3300" s="51" t="n">
        <f aca="false">IFERROR(K3300/I3300,0)</f>
        <v>0.967251861847908</v>
      </c>
      <c r="M3300" s="49" t="n">
        <f aca="false">IFERROR(I3300/H3300,0)</f>
        <v>164.135119571332</v>
      </c>
      <c r="N3300" s="52" t="str">
        <f aca="false">'Model Inputs &amp; Assumptions'!$L$34</f>
        <v>PRD-USIQ</v>
      </c>
      <c r="P3300" s="53" t="n">
        <v>0.347703</v>
      </c>
      <c r="Q3300" s="53" t="n">
        <v>-0.735566</v>
      </c>
      <c r="R3300" s="53" t="n">
        <v>-1.42573</v>
      </c>
      <c r="S3300" s="53" t="n">
        <v>-2.140777</v>
      </c>
    </row>
    <row r="3301" customFormat="false" ht="15" hidden="false" customHeight="false" outlineLevel="0" collapsed="false">
      <c r="A3301" s="43" t="n">
        <v>298</v>
      </c>
      <c r="B3301" s="44" t="str">
        <f aca="false">'Model Inputs &amp; Assumptions'!$B$34</f>
        <v>Meta — Lookalike Feed Video</v>
      </c>
      <c r="C3301" s="45" t="n">
        <f aca="false">ROUND(MAX(0,'Model Inputs &amp; Assumptions'!$S$34*EXP('Model Inputs &amp; Assumptions'!$T$34*P3301-'Model Inputs &amp; Assumptions'!$T$34^2/2)),0)</f>
        <v>470316</v>
      </c>
      <c r="D3301" s="46" t="n">
        <f aca="false">MIN(1,'Model Inputs &amp; Assumptions'!$U$34*EXP('Model Inputs &amp; Assumptions'!$V$34*Q3301-'Model Inputs &amp; Assumptions'!$V$34^2/2))</f>
        <v>0.211308905278492</v>
      </c>
      <c r="E3301" s="45" t="n">
        <f aca="false">ROUND(C3301*D3301,0)</f>
        <v>99382</v>
      </c>
      <c r="F3301" s="47" t="n">
        <f aca="false">MIN(1,'Model Inputs &amp; Assumptions'!$W$34*EXP('Model Inputs &amp; Assumptions'!$X$34*R3301-'Model Inputs &amp; Assumptions'!$X$34^2/2))</f>
        <v>0.00512331704293016</v>
      </c>
      <c r="G3301" s="45" t="n">
        <f aca="false">ROUND(C3301*F3301,0)</f>
        <v>2410</v>
      </c>
      <c r="H3301" s="48" t="n">
        <f aca="false">MAX(0,(C3301*'Model Inputs &amp; Assumptions'!$N$34+E3301*'Model Inputs &amp; Assumptions'!$O$34+G3301*'Model Inputs &amp; Assumptions'!$P$34)*EXP('Model Inputs &amp; Assumptions'!$Q$34*S3301-'Model Inputs &amp; Assumptions'!$Q$34^2/2))</f>
        <v>54.9184904633078</v>
      </c>
      <c r="I3301" s="49" t="n">
        <f aca="false">IF('Model Inputs &amp; Assumptions'!$H$34="Fixed",'Model Inputs &amp; Assumptions'!$I$34*'Model Inputs &amp; Assumptions'!$K$34,IF('Model Inputs &amp; Assumptions'!$H$34="CPM",'Model Inputs &amp; Assumptions'!$I$34*'Model Inputs &amp; Assumptions'!$K$34*C3301/1000,IF('Model Inputs &amp; Assumptions'!$H$34="CPC",'Model Inputs &amp; Assumptions'!$I$34*'Model Inputs &amp; Assumptions'!$K$34*G3301,0)))</f>
        <v>4458.5</v>
      </c>
      <c r="J3301" s="50" t="n">
        <f aca="false">H3301*INDEX('Model Inputs &amp; Assumptions'!$D$40:$D$42,MATCH('Model Inputs &amp; Assumptions'!$L$34,'Model Inputs &amp; Assumptions'!$A$40:$A$42,0))*INDEX('Model Inputs &amp; Assumptions'!$H$40:$H$42,MATCH('Model Inputs &amp; Assumptions'!$L$34,'Model Inputs &amp; Assumptions'!$A$40:$A$42,0))</f>
        <v>395413.131335816</v>
      </c>
      <c r="K3301" s="49" t="n">
        <f aca="false">H3301*INDEX('Model Inputs &amp; Assumptions'!$G$40:$G$42,MATCH('Model Inputs &amp; Assumptions'!$L$34,'Model Inputs &amp; Assumptions'!$A$40:$A$42,0))*INDEX('Model Inputs &amp; Assumptions'!$H$40:$H$42,MATCH('Model Inputs &amp; Assumptions'!$L$34,'Model Inputs &amp; Assumptions'!$A$40:$A$42,0))</f>
        <v>8718.85954595475</v>
      </c>
      <c r="L3301" s="51" t="n">
        <f aca="false">IFERROR(K3301/I3301,0)</f>
        <v>1.95555894268358</v>
      </c>
      <c r="M3301" s="49" t="n">
        <f aca="false">IFERROR(I3301/H3301,0)</f>
        <v>81.1839502940966</v>
      </c>
      <c r="N3301" s="52" t="str">
        <f aca="false">'Model Inputs &amp; Assumptions'!$L$34</f>
        <v>PRD-USIQ</v>
      </c>
      <c r="P3301" s="53" t="n">
        <v>-0.402121</v>
      </c>
      <c r="Q3301" s="53" t="n">
        <v>-0.449739</v>
      </c>
      <c r="R3301" s="53" t="n">
        <v>-0.787541</v>
      </c>
      <c r="S3301" s="53" t="n">
        <v>0.090667</v>
      </c>
    </row>
    <row r="3302" customFormat="false" ht="15" hidden="false" customHeight="false" outlineLevel="0" collapsed="false">
      <c r="A3302" s="43" t="n">
        <v>299</v>
      </c>
      <c r="B3302" s="44" t="str">
        <f aca="false">'Model Inputs &amp; Assumptions'!$B$34</f>
        <v>Meta — Lookalike Feed Video</v>
      </c>
      <c r="C3302" s="45" t="n">
        <f aca="false">ROUND(MAX(0,'Model Inputs &amp; Assumptions'!$S$34*EXP('Model Inputs &amp; Assumptions'!$T$34*P3302-'Model Inputs &amp; Assumptions'!$T$34^2/2)),0)</f>
        <v>489592</v>
      </c>
      <c r="D3302" s="46" t="n">
        <f aca="false">MIN(1,'Model Inputs &amp; Assumptions'!$U$34*EXP('Model Inputs &amp; Assumptions'!$V$34*Q3302-'Model Inputs &amp; Assumptions'!$V$34^2/2))</f>
        <v>0.219625597911413</v>
      </c>
      <c r="E3302" s="45" t="n">
        <f aca="false">ROUND(C3302*D3302,0)</f>
        <v>107527</v>
      </c>
      <c r="F3302" s="47" t="n">
        <f aca="false">MIN(1,'Model Inputs &amp; Assumptions'!$W$34*EXP('Model Inputs &amp; Assumptions'!$X$34*R3302-'Model Inputs &amp; Assumptions'!$X$34^2/2))</f>
        <v>0.00578297542260279</v>
      </c>
      <c r="G3302" s="45" t="n">
        <f aca="false">ROUND(C3302*F3302,0)</f>
        <v>2831</v>
      </c>
      <c r="H3302" s="48" t="n">
        <f aca="false">MAX(0,(C3302*'Model Inputs &amp; Assumptions'!$N$34+E3302*'Model Inputs &amp; Assumptions'!$O$34+G3302*'Model Inputs &amp; Assumptions'!$P$34)*EXP('Model Inputs &amp; Assumptions'!$Q$34*S3302-'Model Inputs &amp; Assumptions'!$Q$34^2/2))</f>
        <v>42.4710356080218</v>
      </c>
      <c r="I3302" s="49" t="n">
        <f aca="false">IF('Model Inputs &amp; Assumptions'!$H$34="Fixed",'Model Inputs &amp; Assumptions'!$I$34*'Model Inputs &amp; Assumptions'!$K$34,IF('Model Inputs &amp; Assumptions'!$H$34="CPM",'Model Inputs &amp; Assumptions'!$I$34*'Model Inputs &amp; Assumptions'!$K$34*C3302/1000,IF('Model Inputs &amp; Assumptions'!$H$34="CPC",'Model Inputs &amp; Assumptions'!$I$34*'Model Inputs &amp; Assumptions'!$K$34*G3302,0)))</f>
        <v>5237.35</v>
      </c>
      <c r="J3302" s="50" t="n">
        <f aca="false">H3302*INDEX('Model Inputs &amp; Assumptions'!$D$40:$D$42,MATCH('Model Inputs &amp; Assumptions'!$L$34,'Model Inputs &amp; Assumptions'!$A$40:$A$42,0))*INDEX('Model Inputs &amp; Assumptions'!$H$40:$H$42,MATCH('Model Inputs &amp; Assumptions'!$L$34,'Model Inputs &amp; Assumptions'!$A$40:$A$42,0))</f>
        <v>305791.456377757</v>
      </c>
      <c r="K3302" s="49" t="n">
        <f aca="false">H3302*INDEX('Model Inputs &amp; Assumptions'!$G$40:$G$42,MATCH('Model Inputs &amp; Assumptions'!$L$34,'Model Inputs &amp; Assumptions'!$A$40:$A$42,0))*INDEX('Model Inputs &amp; Assumptions'!$H$40:$H$42,MATCH('Model Inputs &amp; Assumptions'!$L$34,'Model Inputs &amp; Assumptions'!$A$40:$A$42,0))</f>
        <v>6742.70161312954</v>
      </c>
      <c r="L3302" s="51" t="n">
        <f aca="false">IFERROR(K3302/I3302,0)</f>
        <v>1.28742620087058</v>
      </c>
      <c r="M3302" s="49" t="n">
        <f aca="false">IFERROR(I3302/H3302,0)</f>
        <v>123.3158062906</v>
      </c>
      <c r="N3302" s="52" t="str">
        <f aca="false">'Model Inputs &amp; Assumptions'!$L$34</f>
        <v>PRD-USIQ</v>
      </c>
      <c r="P3302" s="53" t="n">
        <v>-0.201279</v>
      </c>
      <c r="Q3302" s="53" t="n">
        <v>-0.208469</v>
      </c>
      <c r="R3302" s="53" t="n">
        <v>-0.114673</v>
      </c>
      <c r="S3302" s="53" t="n">
        <v>-1.180553</v>
      </c>
    </row>
    <row r="3303" customFormat="false" ht="15" hidden="false" customHeight="false" outlineLevel="0" collapsed="false">
      <c r="A3303" s="43" t="n">
        <v>300</v>
      </c>
      <c r="B3303" s="44" t="str">
        <f aca="false">'Model Inputs &amp; Assumptions'!$B$34</f>
        <v>Meta — Lookalike Feed Video</v>
      </c>
      <c r="C3303" s="45" t="n">
        <f aca="false">ROUND(MAX(0,'Model Inputs &amp; Assumptions'!$S$34*EXP('Model Inputs &amp; Assumptions'!$T$34*P3303-'Model Inputs &amp; Assumptions'!$T$34^2/2)),0)</f>
        <v>478057</v>
      </c>
      <c r="D3303" s="46" t="n">
        <f aca="false">MIN(1,'Model Inputs &amp; Assumptions'!$U$34*EXP('Model Inputs &amp; Assumptions'!$V$34*Q3303-'Model Inputs &amp; Assumptions'!$V$34^2/2))</f>
        <v>0.247232786663654</v>
      </c>
      <c r="E3303" s="45" t="n">
        <f aca="false">ROUND(C3303*D3303,0)</f>
        <v>118191</v>
      </c>
      <c r="F3303" s="47" t="n">
        <f aca="false">MIN(1,'Model Inputs &amp; Assumptions'!$W$34*EXP('Model Inputs &amp; Assumptions'!$X$34*R3303-'Model Inputs &amp; Assumptions'!$X$34^2/2))</f>
        <v>0.00610271655680997</v>
      </c>
      <c r="G3303" s="45" t="n">
        <f aca="false">ROUND(C3303*F3303,0)</f>
        <v>2917</v>
      </c>
      <c r="H3303" s="48" t="n">
        <f aca="false">MAX(0,(C3303*'Model Inputs &amp; Assumptions'!$N$34+E3303*'Model Inputs &amp; Assumptions'!$O$34+G3303*'Model Inputs &amp; Assumptions'!$P$34)*EXP('Model Inputs &amp; Assumptions'!$Q$34*S3303-'Model Inputs &amp; Assumptions'!$Q$34^2/2))</f>
        <v>33.4311391657749</v>
      </c>
      <c r="I3303" s="49" t="n">
        <f aca="false">IF('Model Inputs &amp; Assumptions'!$H$34="Fixed",'Model Inputs &amp; Assumptions'!$I$34*'Model Inputs &amp; Assumptions'!$K$34,IF('Model Inputs &amp; Assumptions'!$H$34="CPM",'Model Inputs &amp; Assumptions'!$I$34*'Model Inputs &amp; Assumptions'!$K$34*C3303/1000,IF('Model Inputs &amp; Assumptions'!$H$34="CPC",'Model Inputs &amp; Assumptions'!$I$34*'Model Inputs &amp; Assumptions'!$K$34*G3303,0)))</f>
        <v>5396.45</v>
      </c>
      <c r="J3303" s="50" t="n">
        <f aca="false">H3303*INDEX('Model Inputs &amp; Assumptions'!$D$40:$D$42,MATCH('Model Inputs &amp; Assumptions'!$L$34,'Model Inputs &amp; Assumptions'!$A$40:$A$42,0))*INDEX('Model Inputs &amp; Assumptions'!$H$40:$H$42,MATCH('Model Inputs &amp; Assumptions'!$L$34,'Model Inputs &amp; Assumptions'!$A$40:$A$42,0))</f>
        <v>240704.201993579</v>
      </c>
      <c r="K3303" s="49" t="n">
        <f aca="false">H3303*INDEX('Model Inputs &amp; Assumptions'!$G$40:$G$42,MATCH('Model Inputs &amp; Assumptions'!$L$34,'Model Inputs &amp; Assumptions'!$A$40:$A$42,0))*INDEX('Model Inputs &amp; Assumptions'!$H$40:$H$42,MATCH('Model Inputs &amp; Assumptions'!$L$34,'Model Inputs &amp; Assumptions'!$A$40:$A$42,0))</f>
        <v>5307.52765395842</v>
      </c>
      <c r="L3303" s="51" t="n">
        <f aca="false">IFERROR(K3303/I3303,0)</f>
        <v>0.983522066165428</v>
      </c>
      <c r="M3303" s="49" t="n">
        <f aca="false">IFERROR(I3303/H3303,0)</f>
        <v>161.419865869381</v>
      </c>
      <c r="N3303" s="52" t="str">
        <f aca="false">'Model Inputs &amp; Assumptions'!$L$34</f>
        <v>PRD-USIQ</v>
      </c>
      <c r="P3303" s="53" t="n">
        <v>-0.320494</v>
      </c>
      <c r="Q3303" s="53" t="n">
        <v>0.531569</v>
      </c>
      <c r="R3303" s="53" t="n">
        <v>0.184303</v>
      </c>
      <c r="S3303" s="53" t="n">
        <v>-2.04939</v>
      </c>
    </row>
    <row r="3304" customFormat="false" ht="15" hidden="false" customHeight="false" outlineLevel="0" collapsed="false">
      <c r="A3304" s="43" t="n">
        <v>301</v>
      </c>
      <c r="B3304" s="44" t="str">
        <f aca="false">'Model Inputs &amp; Assumptions'!$B$34</f>
        <v>Meta — Lookalike Feed Video</v>
      </c>
      <c r="C3304" s="45" t="n">
        <f aca="false">ROUND(MAX(0,'Model Inputs &amp; Assumptions'!$S$34*EXP('Model Inputs &amp; Assumptions'!$T$34*P3304-'Model Inputs &amp; Assumptions'!$T$34^2/2)),0)</f>
        <v>596365</v>
      </c>
      <c r="D3304" s="46" t="n">
        <f aca="false">MIN(1,'Model Inputs &amp; Assumptions'!$U$34*EXP('Model Inputs &amp; Assumptions'!$V$34*Q3304-'Model Inputs &amp; Assumptions'!$V$34^2/2))</f>
        <v>0.238099408424708</v>
      </c>
      <c r="E3304" s="45" t="n">
        <f aca="false">ROUND(C3304*D3304,0)</f>
        <v>141994</v>
      </c>
      <c r="F3304" s="47" t="n">
        <f aca="false">MIN(1,'Model Inputs &amp; Assumptions'!$W$34*EXP('Model Inputs &amp; Assumptions'!$X$34*R3304-'Model Inputs &amp; Assumptions'!$X$34^2/2))</f>
        <v>0.00427077713379675</v>
      </c>
      <c r="G3304" s="45" t="n">
        <f aca="false">ROUND(C3304*F3304,0)</f>
        <v>2547</v>
      </c>
      <c r="H3304" s="48" t="n">
        <f aca="false">MAX(0,(C3304*'Model Inputs &amp; Assumptions'!$N$34+E3304*'Model Inputs &amp; Assumptions'!$O$34+G3304*'Model Inputs &amp; Assumptions'!$P$34)*EXP('Model Inputs &amp; Assumptions'!$Q$34*S3304-'Model Inputs &amp; Assumptions'!$Q$34^2/2))</f>
        <v>71.2804802824287</v>
      </c>
      <c r="I3304" s="49" t="n">
        <f aca="false">IF('Model Inputs &amp; Assumptions'!$H$34="Fixed",'Model Inputs &amp; Assumptions'!$I$34*'Model Inputs &amp; Assumptions'!$K$34,IF('Model Inputs &amp; Assumptions'!$H$34="CPM",'Model Inputs &amp; Assumptions'!$I$34*'Model Inputs &amp; Assumptions'!$K$34*C3304/1000,IF('Model Inputs &amp; Assumptions'!$H$34="CPC",'Model Inputs &amp; Assumptions'!$I$34*'Model Inputs &amp; Assumptions'!$K$34*G3304,0)))</f>
        <v>4711.95</v>
      </c>
      <c r="J3304" s="50" t="n">
        <f aca="false">H3304*INDEX('Model Inputs &amp; Assumptions'!$D$40:$D$42,MATCH('Model Inputs &amp; Assumptions'!$L$34,'Model Inputs &amp; Assumptions'!$A$40:$A$42,0))*INDEX('Model Inputs &amp; Assumptions'!$H$40:$H$42,MATCH('Model Inputs &amp; Assumptions'!$L$34,'Model Inputs &amp; Assumptions'!$A$40:$A$42,0))</f>
        <v>513219.458033487</v>
      </c>
      <c r="K3304" s="49" t="n">
        <f aca="false">H3304*INDEX('Model Inputs &amp; Assumptions'!$G$40:$G$42,MATCH('Model Inputs &amp; Assumptions'!$L$34,'Model Inputs &amp; Assumptions'!$A$40:$A$42,0))*INDEX('Model Inputs &amp; Assumptions'!$H$40:$H$42,MATCH('Model Inputs &amp; Assumptions'!$L$34,'Model Inputs &amp; Assumptions'!$A$40:$A$42,0))</f>
        <v>11316.4890496384</v>
      </c>
      <c r="L3304" s="51" t="n">
        <f aca="false">IFERROR(K3304/I3304,0)</f>
        <v>2.40165728618478</v>
      </c>
      <c r="M3304" s="49" t="n">
        <f aca="false">IFERROR(I3304/H3304,0)</f>
        <v>66.1043525707211</v>
      </c>
      <c r="N3304" s="52" t="str">
        <f aca="false">'Model Inputs &amp; Assumptions'!$L$34</f>
        <v>PRD-USIQ</v>
      </c>
      <c r="P3304" s="53" t="n">
        <v>0.785123</v>
      </c>
      <c r="Q3304" s="53" t="n">
        <v>0.296306</v>
      </c>
      <c r="R3304" s="53" t="n">
        <v>-1.798687</v>
      </c>
      <c r="S3304" s="53" t="n">
        <v>0.58084</v>
      </c>
    </row>
    <row r="3305" customFormat="false" ht="15" hidden="false" customHeight="false" outlineLevel="0" collapsed="false">
      <c r="A3305" s="43" t="n">
        <v>302</v>
      </c>
      <c r="B3305" s="44" t="str">
        <f aca="false">'Model Inputs &amp; Assumptions'!$B$34</f>
        <v>Meta — Lookalike Feed Video</v>
      </c>
      <c r="C3305" s="45" t="n">
        <f aca="false">ROUND(MAX(0,'Model Inputs &amp; Assumptions'!$S$34*EXP('Model Inputs &amp; Assumptions'!$T$34*P3305-'Model Inputs &amp; Assumptions'!$T$34^2/2)),0)</f>
        <v>553282</v>
      </c>
      <c r="D3305" s="46" t="n">
        <f aca="false">MIN(1,'Model Inputs &amp; Assumptions'!$U$34*EXP('Model Inputs &amp; Assumptions'!$V$34*Q3305-'Model Inputs &amp; Assumptions'!$V$34^2/2))</f>
        <v>0.199271414797852</v>
      </c>
      <c r="E3305" s="45" t="n">
        <f aca="false">ROUND(C3305*D3305,0)</f>
        <v>110253</v>
      </c>
      <c r="F3305" s="47" t="n">
        <f aca="false">MIN(1,'Model Inputs &amp; Assumptions'!$W$34*EXP('Model Inputs &amp; Assumptions'!$X$34*R3305-'Model Inputs &amp; Assumptions'!$X$34^2/2))</f>
        <v>0.00542589199649778</v>
      </c>
      <c r="G3305" s="45" t="n">
        <f aca="false">ROUND(C3305*F3305,0)</f>
        <v>3002</v>
      </c>
      <c r="H3305" s="48" t="n">
        <f aca="false">MAX(0,(C3305*'Model Inputs &amp; Assumptions'!$N$34+E3305*'Model Inputs &amp; Assumptions'!$O$34+G3305*'Model Inputs &amp; Assumptions'!$P$34)*EXP('Model Inputs &amp; Assumptions'!$Q$34*S3305-'Model Inputs &amp; Assumptions'!$Q$34^2/2))</f>
        <v>77.3613222555235</v>
      </c>
      <c r="I3305" s="49" t="n">
        <f aca="false">IF('Model Inputs &amp; Assumptions'!$H$34="Fixed",'Model Inputs &amp; Assumptions'!$I$34*'Model Inputs &amp; Assumptions'!$K$34,IF('Model Inputs &amp; Assumptions'!$H$34="CPM",'Model Inputs &amp; Assumptions'!$I$34*'Model Inputs &amp; Assumptions'!$K$34*C3305/1000,IF('Model Inputs &amp; Assumptions'!$H$34="CPC",'Model Inputs &amp; Assumptions'!$I$34*'Model Inputs &amp; Assumptions'!$K$34*G3305,0)))</f>
        <v>5553.7</v>
      </c>
      <c r="J3305" s="50" t="n">
        <f aca="false">H3305*INDEX('Model Inputs &amp; Assumptions'!$D$40:$D$42,MATCH('Model Inputs &amp; Assumptions'!$L$34,'Model Inputs &amp; Assumptions'!$A$40:$A$42,0))*INDEX('Model Inputs &amp; Assumptions'!$H$40:$H$42,MATCH('Model Inputs &amp; Assumptions'!$L$34,'Model Inputs &amp; Assumptions'!$A$40:$A$42,0))</f>
        <v>557001.52023977</v>
      </c>
      <c r="K3305" s="49" t="n">
        <f aca="false">H3305*INDEX('Model Inputs &amp; Assumptions'!$G$40:$G$42,MATCH('Model Inputs &amp; Assumptions'!$L$34,'Model Inputs &amp; Assumptions'!$A$40:$A$42,0))*INDEX('Model Inputs &amp; Assumptions'!$H$40:$H$42,MATCH('Model Inputs &amp; Assumptions'!$L$34,'Model Inputs &amp; Assumptions'!$A$40:$A$42,0))</f>
        <v>12281.8835212869</v>
      </c>
      <c r="L3305" s="51" t="n">
        <f aca="false">IFERROR(K3305/I3305,0)</f>
        <v>2.21147766737255</v>
      </c>
      <c r="M3305" s="49" t="n">
        <f aca="false">IFERROR(I3305/H3305,0)</f>
        <v>71.7891038839305</v>
      </c>
      <c r="N3305" s="52" t="str">
        <f aca="false">'Model Inputs &amp; Assumptions'!$L$34</f>
        <v>PRD-USIQ</v>
      </c>
      <c r="P3305" s="53" t="n">
        <v>0.410196</v>
      </c>
      <c r="Q3305" s="53" t="n">
        <v>-0.816322</v>
      </c>
      <c r="R3305" s="53" t="n">
        <v>-0.468762</v>
      </c>
      <c r="S3305" s="53" t="n">
        <v>0.523775</v>
      </c>
    </row>
    <row r="3306" customFormat="false" ht="15" hidden="false" customHeight="false" outlineLevel="0" collapsed="false">
      <c r="A3306" s="43" t="n">
        <v>303</v>
      </c>
      <c r="B3306" s="44" t="str">
        <f aca="false">'Model Inputs &amp; Assumptions'!$B$34</f>
        <v>Meta — Lookalike Feed Video</v>
      </c>
      <c r="C3306" s="45" t="n">
        <f aca="false">ROUND(MAX(0,'Model Inputs &amp; Assumptions'!$S$34*EXP('Model Inputs &amp; Assumptions'!$T$34*P3306-'Model Inputs &amp; Assumptions'!$T$34^2/2)),0)</f>
        <v>472576</v>
      </c>
      <c r="D3306" s="46" t="n">
        <f aca="false">MIN(1,'Model Inputs &amp; Assumptions'!$U$34*EXP('Model Inputs &amp; Assumptions'!$V$34*Q3306-'Model Inputs &amp; Assumptions'!$V$34^2/2))</f>
        <v>0.197551404993594</v>
      </c>
      <c r="E3306" s="45" t="n">
        <f aca="false">ROUND(C3306*D3306,0)</f>
        <v>93358</v>
      </c>
      <c r="F3306" s="47" t="n">
        <f aca="false">MIN(1,'Model Inputs &amp; Assumptions'!$W$34*EXP('Model Inputs &amp; Assumptions'!$X$34*R3306-'Model Inputs &amp; Assumptions'!$X$34^2/2))</f>
        <v>0.00702992367855483</v>
      </c>
      <c r="G3306" s="45" t="n">
        <f aca="false">ROUND(C3306*F3306,0)</f>
        <v>3322</v>
      </c>
      <c r="H3306" s="48" t="n">
        <f aca="false">MAX(0,(C3306*'Model Inputs &amp; Assumptions'!$N$34+E3306*'Model Inputs &amp; Assumptions'!$O$34+G3306*'Model Inputs &amp; Assumptions'!$P$34)*EXP('Model Inputs &amp; Assumptions'!$Q$34*S3306-'Model Inputs &amp; Assumptions'!$Q$34^2/2))</f>
        <v>44.5648279030987</v>
      </c>
      <c r="I3306" s="49" t="n">
        <f aca="false">IF('Model Inputs &amp; Assumptions'!$H$34="Fixed",'Model Inputs &amp; Assumptions'!$I$34*'Model Inputs &amp; Assumptions'!$K$34,IF('Model Inputs &amp; Assumptions'!$H$34="CPM",'Model Inputs &amp; Assumptions'!$I$34*'Model Inputs &amp; Assumptions'!$K$34*C3306/1000,IF('Model Inputs &amp; Assumptions'!$H$34="CPC",'Model Inputs &amp; Assumptions'!$I$34*'Model Inputs &amp; Assumptions'!$K$34*G3306,0)))</f>
        <v>6145.7</v>
      </c>
      <c r="J3306" s="50" t="n">
        <f aca="false">H3306*INDEX('Model Inputs &amp; Assumptions'!$D$40:$D$42,MATCH('Model Inputs &amp; Assumptions'!$L$34,'Model Inputs &amp; Assumptions'!$A$40:$A$42,0))*INDEX('Model Inputs &amp; Assumptions'!$H$40:$H$42,MATCH('Model Inputs &amp; Assumptions'!$L$34,'Model Inputs &amp; Assumptions'!$A$40:$A$42,0))</f>
        <v>320866.760902311</v>
      </c>
      <c r="K3306" s="49" t="n">
        <f aca="false">H3306*INDEX('Model Inputs &amp; Assumptions'!$G$40:$G$42,MATCH('Model Inputs &amp; Assumptions'!$L$34,'Model Inputs &amp; Assumptions'!$A$40:$A$42,0))*INDEX('Model Inputs &amp; Assumptions'!$H$40:$H$42,MATCH('Model Inputs &amp; Assumptions'!$L$34,'Model Inputs &amp; Assumptions'!$A$40:$A$42,0))</f>
        <v>7075.11207789595</v>
      </c>
      <c r="L3306" s="51" t="n">
        <f aca="false">IFERROR(K3306/I3306,0)</f>
        <v>1.15122965291113</v>
      </c>
      <c r="M3306" s="49" t="n">
        <f aca="false">IFERROR(I3306/H3306,0)</f>
        <v>137.904717445855</v>
      </c>
      <c r="N3306" s="52" t="str">
        <f aca="false">'Model Inputs &amp; Assumptions'!$L$34</f>
        <v>PRD-USIQ</v>
      </c>
      <c r="P3306" s="53" t="n">
        <v>-0.378152</v>
      </c>
      <c r="Q3306" s="53" t="n">
        <v>-0.870503</v>
      </c>
      <c r="R3306" s="53" t="n">
        <v>0.970091</v>
      </c>
      <c r="S3306" s="53" t="n">
        <v>-1.42089</v>
      </c>
    </row>
    <row r="3307" customFormat="false" ht="15" hidden="false" customHeight="false" outlineLevel="0" collapsed="false">
      <c r="A3307" s="43" t="n">
        <v>304</v>
      </c>
      <c r="B3307" s="44" t="str">
        <f aca="false">'Model Inputs &amp; Assumptions'!$B$34</f>
        <v>Meta — Lookalike Feed Video</v>
      </c>
      <c r="C3307" s="45" t="n">
        <f aca="false">ROUND(MAX(0,'Model Inputs &amp; Assumptions'!$S$34*EXP('Model Inputs &amp; Assumptions'!$T$34*P3307-'Model Inputs &amp; Assumptions'!$T$34^2/2)),0)</f>
        <v>599590</v>
      </c>
      <c r="D3307" s="46" t="n">
        <f aca="false">MIN(1,'Model Inputs &amp; Assumptions'!$U$34*EXP('Model Inputs &amp; Assumptions'!$V$34*Q3307-'Model Inputs &amp; Assumptions'!$V$34^2/2))</f>
        <v>0.238240786190318</v>
      </c>
      <c r="E3307" s="45" t="n">
        <f aca="false">ROUND(C3307*D3307,0)</f>
        <v>142847</v>
      </c>
      <c r="F3307" s="47" t="n">
        <f aca="false">MIN(1,'Model Inputs &amp; Assumptions'!$W$34*EXP('Model Inputs &amp; Assumptions'!$X$34*R3307-'Model Inputs &amp; Assumptions'!$X$34^2/2))</f>
        <v>0.0061950149556584</v>
      </c>
      <c r="G3307" s="45" t="n">
        <f aca="false">ROUND(C3307*F3307,0)</f>
        <v>3714</v>
      </c>
      <c r="H3307" s="48" t="n">
        <f aca="false">MAX(0,(C3307*'Model Inputs &amp; Assumptions'!$N$34+E3307*'Model Inputs &amp; Assumptions'!$O$34+G3307*'Model Inputs &amp; Assumptions'!$P$34)*EXP('Model Inputs &amp; Assumptions'!$Q$34*S3307-'Model Inputs &amp; Assumptions'!$Q$34^2/2))</f>
        <v>66.2610292283809</v>
      </c>
      <c r="I3307" s="49" t="n">
        <f aca="false">IF('Model Inputs &amp; Assumptions'!$H$34="Fixed",'Model Inputs &amp; Assumptions'!$I$34*'Model Inputs &amp; Assumptions'!$K$34,IF('Model Inputs &amp; Assumptions'!$H$34="CPM",'Model Inputs &amp; Assumptions'!$I$34*'Model Inputs &amp; Assumptions'!$K$34*C3307/1000,IF('Model Inputs &amp; Assumptions'!$H$34="CPC",'Model Inputs &amp; Assumptions'!$I$34*'Model Inputs &amp; Assumptions'!$K$34*G3307,0)))</f>
        <v>6870.9</v>
      </c>
      <c r="J3307" s="50" t="n">
        <f aca="false">H3307*INDEX('Model Inputs &amp; Assumptions'!$D$40:$D$42,MATCH('Model Inputs &amp; Assumptions'!$L$34,'Model Inputs &amp; Assumptions'!$A$40:$A$42,0))*INDEX('Model Inputs &amp; Assumptions'!$H$40:$H$42,MATCH('Model Inputs &amp; Assumptions'!$L$34,'Model Inputs &amp; Assumptions'!$A$40:$A$42,0))</f>
        <v>477079.410444342</v>
      </c>
      <c r="K3307" s="49" t="n">
        <f aca="false">H3307*INDEX('Model Inputs &amp; Assumptions'!$G$40:$G$42,MATCH('Model Inputs &amp; Assumptions'!$L$34,'Model Inputs &amp; Assumptions'!$A$40:$A$42,0))*INDEX('Model Inputs &amp; Assumptions'!$H$40:$H$42,MATCH('Model Inputs &amp; Assumptions'!$L$34,'Model Inputs &amp; Assumptions'!$A$40:$A$42,0))</f>
        <v>10519.6010002977</v>
      </c>
      <c r="L3307" s="51" t="n">
        <f aca="false">IFERROR(K3307/I3307,0)</f>
        <v>1.53103683655675</v>
      </c>
      <c r="M3307" s="49" t="n">
        <f aca="false">IFERROR(I3307/H3307,0)</f>
        <v>103.694435175738</v>
      </c>
      <c r="N3307" s="52" t="str">
        <f aca="false">'Model Inputs &amp; Assumptions'!$L$34</f>
        <v>PRD-USIQ</v>
      </c>
      <c r="P3307" s="53" t="n">
        <v>0.812087</v>
      </c>
      <c r="Q3307" s="53" t="n">
        <v>0.300016</v>
      </c>
      <c r="R3307" s="53" t="n">
        <v>0.267697</v>
      </c>
      <c r="S3307" s="53" t="n">
        <v>-0.644192</v>
      </c>
    </row>
    <row r="3308" customFormat="false" ht="15" hidden="false" customHeight="false" outlineLevel="0" collapsed="false">
      <c r="A3308" s="43" t="n">
        <v>305</v>
      </c>
      <c r="B3308" s="44" t="str">
        <f aca="false">'Model Inputs &amp; Assumptions'!$B$34</f>
        <v>Meta — Lookalike Feed Video</v>
      </c>
      <c r="C3308" s="45" t="n">
        <f aca="false">ROUND(MAX(0,'Model Inputs &amp; Assumptions'!$S$34*EXP('Model Inputs &amp; Assumptions'!$T$34*P3308-'Model Inputs &amp; Assumptions'!$T$34^2/2)),0)</f>
        <v>427366</v>
      </c>
      <c r="D3308" s="46" t="n">
        <f aca="false">MIN(1,'Model Inputs &amp; Assumptions'!$U$34*EXP('Model Inputs &amp; Assumptions'!$V$34*Q3308-'Model Inputs &amp; Assumptions'!$V$34^2/2))</f>
        <v>0.208951838774207</v>
      </c>
      <c r="E3308" s="45" t="n">
        <f aca="false">ROUND(C3308*D3308,0)</f>
        <v>89299</v>
      </c>
      <c r="F3308" s="47" t="n">
        <f aca="false">MIN(1,'Model Inputs &amp; Assumptions'!$W$34*EXP('Model Inputs &amp; Assumptions'!$X$34*R3308-'Model Inputs &amp; Assumptions'!$X$34^2/2))</f>
        <v>0.00581178509667156</v>
      </c>
      <c r="G3308" s="45" t="n">
        <f aca="false">ROUND(C3308*F3308,0)</f>
        <v>2484</v>
      </c>
      <c r="H3308" s="48" t="n">
        <f aca="false">MAX(0,(C3308*'Model Inputs &amp; Assumptions'!$N$34+E3308*'Model Inputs &amp; Assumptions'!$O$34+G3308*'Model Inputs &amp; Assumptions'!$P$34)*EXP('Model Inputs &amp; Assumptions'!$Q$34*S3308-'Model Inputs &amp; Assumptions'!$Q$34^2/2))</f>
        <v>56.1597463888151</v>
      </c>
      <c r="I3308" s="49" t="n">
        <f aca="false">IF('Model Inputs &amp; Assumptions'!$H$34="Fixed",'Model Inputs &amp; Assumptions'!$I$34*'Model Inputs &amp; Assumptions'!$K$34,IF('Model Inputs &amp; Assumptions'!$H$34="CPM",'Model Inputs &amp; Assumptions'!$I$34*'Model Inputs &amp; Assumptions'!$K$34*C3308/1000,IF('Model Inputs &amp; Assumptions'!$H$34="CPC",'Model Inputs &amp; Assumptions'!$I$34*'Model Inputs &amp; Assumptions'!$K$34*G3308,0)))</f>
        <v>4595.4</v>
      </c>
      <c r="J3308" s="50" t="n">
        <f aca="false">H3308*INDEX('Model Inputs &amp; Assumptions'!$D$40:$D$42,MATCH('Model Inputs &amp; Assumptions'!$L$34,'Model Inputs &amp; Assumptions'!$A$40:$A$42,0))*INDEX('Model Inputs &amp; Assumptions'!$H$40:$H$42,MATCH('Model Inputs &amp; Assumptions'!$L$34,'Model Inputs &amp; Assumptions'!$A$40:$A$42,0))</f>
        <v>404350.173999469</v>
      </c>
      <c r="K3308" s="49" t="n">
        <f aca="false">H3308*INDEX('Model Inputs &amp; Assumptions'!$G$40:$G$42,MATCH('Model Inputs &amp; Assumptions'!$L$34,'Model Inputs &amp; Assumptions'!$A$40:$A$42,0))*INDEX('Model Inputs &amp; Assumptions'!$H$40:$H$42,MATCH('Model Inputs &amp; Assumptions'!$L$34,'Model Inputs &amp; Assumptions'!$A$40:$A$42,0))</f>
        <v>8915.92133668829</v>
      </c>
      <c r="L3308" s="51" t="n">
        <f aca="false">IFERROR(K3308/I3308,0)</f>
        <v>1.94018395279808</v>
      </c>
      <c r="M3308" s="49" t="n">
        <f aca="false">IFERROR(I3308/H3308,0)</f>
        <v>81.8272925982306</v>
      </c>
      <c r="N3308" s="52" t="str">
        <f aca="false">'Model Inputs &amp; Assumptions'!$L$34</f>
        <v>PRD-USIQ</v>
      </c>
      <c r="P3308" s="53" t="n">
        <v>-0.880943</v>
      </c>
      <c r="Q3308" s="53" t="n">
        <v>-0.519847</v>
      </c>
      <c r="R3308" s="53" t="n">
        <v>-0.087065</v>
      </c>
      <c r="S3308" s="53" t="n">
        <v>0.123259</v>
      </c>
    </row>
    <row r="3309" customFormat="false" ht="15" hidden="false" customHeight="false" outlineLevel="0" collapsed="false">
      <c r="A3309" s="43" t="n">
        <v>306</v>
      </c>
      <c r="B3309" s="44" t="str">
        <f aca="false">'Model Inputs &amp; Assumptions'!$B$34</f>
        <v>Meta — Lookalike Feed Video</v>
      </c>
      <c r="C3309" s="45" t="n">
        <f aca="false">ROUND(MAX(0,'Model Inputs &amp; Assumptions'!$S$34*EXP('Model Inputs &amp; Assumptions'!$T$34*P3309-'Model Inputs &amp; Assumptions'!$T$34^2/2)),0)</f>
        <v>475386</v>
      </c>
      <c r="D3309" s="46" t="n">
        <f aca="false">MIN(1,'Model Inputs &amp; Assumptions'!$U$34*EXP('Model Inputs &amp; Assumptions'!$V$34*Q3309-'Model Inputs &amp; Assumptions'!$V$34^2/2))</f>
        <v>0.158496131950728</v>
      </c>
      <c r="E3309" s="45" t="n">
        <f aca="false">ROUND(C3309*D3309,0)</f>
        <v>75347</v>
      </c>
      <c r="F3309" s="47" t="n">
        <f aca="false">MIN(1,'Model Inputs &amp; Assumptions'!$W$34*EXP('Model Inputs &amp; Assumptions'!$X$34*R3309-'Model Inputs &amp; Assumptions'!$X$34^2/2))</f>
        <v>0.00688624090618447</v>
      </c>
      <c r="G3309" s="45" t="n">
        <f aca="false">ROUND(C3309*F3309,0)</f>
        <v>3274</v>
      </c>
      <c r="H3309" s="48" t="n">
        <f aca="false">MAX(0,(C3309*'Model Inputs &amp; Assumptions'!$N$34+E3309*'Model Inputs &amp; Assumptions'!$O$34+G3309*'Model Inputs &amp; Assumptions'!$P$34)*EXP('Model Inputs &amp; Assumptions'!$Q$34*S3309-'Model Inputs &amp; Assumptions'!$Q$34^2/2))</f>
        <v>61.7150346889922</v>
      </c>
      <c r="I3309" s="49" t="n">
        <f aca="false">IF('Model Inputs &amp; Assumptions'!$H$34="Fixed",'Model Inputs &amp; Assumptions'!$I$34*'Model Inputs &amp; Assumptions'!$K$34,IF('Model Inputs &amp; Assumptions'!$H$34="CPM",'Model Inputs &amp; Assumptions'!$I$34*'Model Inputs &amp; Assumptions'!$K$34*C3309/1000,IF('Model Inputs &amp; Assumptions'!$H$34="CPC",'Model Inputs &amp; Assumptions'!$I$34*'Model Inputs &amp; Assumptions'!$K$34*G3309,0)))</f>
        <v>6056.9</v>
      </c>
      <c r="J3309" s="50" t="n">
        <f aca="false">H3309*INDEX('Model Inputs &amp; Assumptions'!$D$40:$D$42,MATCH('Model Inputs &amp; Assumptions'!$L$34,'Model Inputs &amp; Assumptions'!$A$40:$A$42,0))*INDEX('Model Inputs &amp; Assumptions'!$H$40:$H$42,MATCH('Model Inputs &amp; Assumptions'!$L$34,'Model Inputs &amp; Assumptions'!$A$40:$A$42,0))</f>
        <v>444348.249760744</v>
      </c>
      <c r="K3309" s="49" t="n">
        <f aca="false">H3309*INDEX('Model Inputs &amp; Assumptions'!$G$40:$G$42,MATCH('Model Inputs &amp; Assumptions'!$L$34,'Model Inputs &amp; Assumptions'!$A$40:$A$42,0))*INDEX('Model Inputs &amp; Assumptions'!$H$40:$H$42,MATCH('Model Inputs &amp; Assumptions'!$L$34,'Model Inputs &amp; Assumptions'!$A$40:$A$42,0))</f>
        <v>9797.8789072244</v>
      </c>
      <c r="L3309" s="51" t="n">
        <f aca="false">IFERROR(K3309/I3309,0)</f>
        <v>1.61763920606654</v>
      </c>
      <c r="M3309" s="49" t="n">
        <f aca="false">IFERROR(I3309/H3309,0)</f>
        <v>98.1430218831318</v>
      </c>
      <c r="N3309" s="52" t="str">
        <f aca="false">'Model Inputs &amp; Assumptions'!$L$34</f>
        <v>PRD-USIQ</v>
      </c>
      <c r="P3309" s="53" t="n">
        <v>-0.348512</v>
      </c>
      <c r="Q3309" s="53" t="n">
        <v>-2.247182</v>
      </c>
      <c r="R3309" s="53" t="n">
        <v>0.855366</v>
      </c>
      <c r="S3309" s="53" t="n">
        <v>-0.300245</v>
      </c>
    </row>
    <row r="3310" customFormat="false" ht="15" hidden="false" customHeight="false" outlineLevel="0" collapsed="false">
      <c r="A3310" s="43" t="n">
        <v>307</v>
      </c>
      <c r="B3310" s="44" t="str">
        <f aca="false">'Model Inputs &amp; Assumptions'!$B$34</f>
        <v>Meta — Lookalike Feed Video</v>
      </c>
      <c r="C3310" s="45" t="n">
        <f aca="false">ROUND(MAX(0,'Model Inputs &amp; Assumptions'!$S$34*EXP('Model Inputs &amp; Assumptions'!$T$34*P3310-'Model Inputs &amp; Assumptions'!$T$34^2/2)),0)</f>
        <v>321083</v>
      </c>
      <c r="D3310" s="46" t="n">
        <f aca="false">MIN(1,'Model Inputs &amp; Assumptions'!$U$34*EXP('Model Inputs &amp; Assumptions'!$V$34*Q3310-'Model Inputs &amp; Assumptions'!$V$34^2/2))</f>
        <v>0.204859936475957</v>
      </c>
      <c r="E3310" s="45" t="n">
        <f aca="false">ROUND(C3310*D3310,0)</f>
        <v>65777</v>
      </c>
      <c r="F3310" s="47" t="n">
        <f aca="false">MIN(1,'Model Inputs &amp; Assumptions'!$W$34*EXP('Model Inputs &amp; Assumptions'!$X$34*R3310-'Model Inputs &amp; Assumptions'!$X$34^2/2))</f>
        <v>0.00471247962533317</v>
      </c>
      <c r="G3310" s="45" t="n">
        <f aca="false">ROUND(C3310*F3310,0)</f>
        <v>1513</v>
      </c>
      <c r="H3310" s="48" t="n">
        <f aca="false">MAX(0,(C3310*'Model Inputs &amp; Assumptions'!$N$34+E3310*'Model Inputs &amp; Assumptions'!$O$34+G3310*'Model Inputs &amp; Assumptions'!$P$34)*EXP('Model Inputs &amp; Assumptions'!$Q$34*S3310-'Model Inputs &amp; Assumptions'!$Q$34^2/2))</f>
        <v>50.5640842625778</v>
      </c>
      <c r="I3310" s="49" t="n">
        <f aca="false">IF('Model Inputs &amp; Assumptions'!$H$34="Fixed",'Model Inputs &amp; Assumptions'!$I$34*'Model Inputs &amp; Assumptions'!$K$34,IF('Model Inputs &amp; Assumptions'!$H$34="CPM",'Model Inputs &amp; Assumptions'!$I$34*'Model Inputs &amp; Assumptions'!$K$34*C3310/1000,IF('Model Inputs &amp; Assumptions'!$H$34="CPC",'Model Inputs &amp; Assumptions'!$I$34*'Model Inputs &amp; Assumptions'!$K$34*G3310,0)))</f>
        <v>2799.05</v>
      </c>
      <c r="J3310" s="50" t="n">
        <f aca="false">H3310*INDEX('Model Inputs &amp; Assumptions'!$D$40:$D$42,MATCH('Model Inputs &amp; Assumptions'!$L$34,'Model Inputs &amp; Assumptions'!$A$40:$A$42,0))*INDEX('Model Inputs &amp; Assumptions'!$H$40:$H$42,MATCH('Model Inputs &amp; Assumptions'!$L$34,'Model Inputs &amp; Assumptions'!$A$40:$A$42,0))</f>
        <v>364061.40669056</v>
      </c>
      <c r="K3310" s="49" t="n">
        <f aca="false">H3310*INDEX('Model Inputs &amp; Assumptions'!$G$40:$G$42,MATCH('Model Inputs &amp; Assumptions'!$L$34,'Model Inputs &amp; Assumptions'!$A$40:$A$42,0))*INDEX('Model Inputs &amp; Assumptions'!$H$40:$H$42,MATCH('Model Inputs &amp; Assumptions'!$L$34,'Model Inputs &amp; Assumptions'!$A$40:$A$42,0))</f>
        <v>8027.55401752685</v>
      </c>
      <c r="L3310" s="51" t="n">
        <f aca="false">IFERROR(K3310/I3310,0)</f>
        <v>2.8679566344034</v>
      </c>
      <c r="M3310" s="49" t="n">
        <f aca="false">IFERROR(I3310/H3310,0)</f>
        <v>55.3564855533548</v>
      </c>
      <c r="N3310" s="52" t="str">
        <f aca="false">'Model Inputs &amp; Assumptions'!$L$34</f>
        <v>PRD-USIQ</v>
      </c>
      <c r="P3310" s="53" t="n">
        <v>-2.310647</v>
      </c>
      <c r="Q3310" s="53" t="n">
        <v>-0.643455</v>
      </c>
      <c r="R3310" s="53" t="n">
        <v>-1.251918</v>
      </c>
      <c r="S3310" s="53" t="n">
        <v>1.26339</v>
      </c>
    </row>
    <row r="3311" customFormat="false" ht="15" hidden="false" customHeight="false" outlineLevel="0" collapsed="false">
      <c r="A3311" s="43" t="n">
        <v>308</v>
      </c>
      <c r="B3311" s="44" t="str">
        <f aca="false">'Model Inputs &amp; Assumptions'!$B$34</f>
        <v>Meta — Lookalike Feed Video</v>
      </c>
      <c r="C3311" s="45" t="n">
        <f aca="false">ROUND(MAX(0,'Model Inputs &amp; Assumptions'!$S$34*EXP('Model Inputs &amp; Assumptions'!$T$34*P3311-'Model Inputs &amp; Assumptions'!$T$34^2/2)),0)</f>
        <v>477785</v>
      </c>
      <c r="D3311" s="46" t="n">
        <f aca="false">MIN(1,'Model Inputs &amp; Assumptions'!$U$34*EXP('Model Inputs &amp; Assumptions'!$V$34*Q3311-'Model Inputs &amp; Assumptions'!$V$34^2/2))</f>
        <v>0.219553467142418</v>
      </c>
      <c r="E3311" s="45" t="n">
        <f aca="false">ROUND(C3311*D3311,0)</f>
        <v>104899</v>
      </c>
      <c r="F3311" s="47" t="n">
        <f aca="false">MIN(1,'Model Inputs &amp; Assumptions'!$W$34*EXP('Model Inputs &amp; Assumptions'!$X$34*R3311-'Model Inputs &amp; Assumptions'!$X$34^2/2))</f>
        <v>0.00819777904347988</v>
      </c>
      <c r="G3311" s="45" t="n">
        <f aca="false">ROUND(C3311*F3311,0)</f>
        <v>3917</v>
      </c>
      <c r="H3311" s="48" t="n">
        <f aca="false">MAX(0,(C3311*'Model Inputs &amp; Assumptions'!$N$34+E3311*'Model Inputs &amp; Assumptions'!$O$34+G3311*'Model Inputs &amp; Assumptions'!$P$34)*EXP('Model Inputs &amp; Assumptions'!$Q$34*S3311-'Model Inputs &amp; Assumptions'!$Q$34^2/2))</f>
        <v>67.5576955798868</v>
      </c>
      <c r="I3311" s="49" t="n">
        <f aca="false">IF('Model Inputs &amp; Assumptions'!$H$34="Fixed",'Model Inputs &amp; Assumptions'!$I$34*'Model Inputs &amp; Assumptions'!$K$34,IF('Model Inputs &amp; Assumptions'!$H$34="CPM",'Model Inputs &amp; Assumptions'!$I$34*'Model Inputs &amp; Assumptions'!$K$34*C3311/1000,IF('Model Inputs &amp; Assumptions'!$H$34="CPC",'Model Inputs &amp; Assumptions'!$I$34*'Model Inputs &amp; Assumptions'!$K$34*G3311,0)))</f>
        <v>7246.45</v>
      </c>
      <c r="J3311" s="50" t="n">
        <f aca="false">H3311*INDEX('Model Inputs &amp; Assumptions'!$D$40:$D$42,MATCH('Model Inputs &amp; Assumptions'!$L$34,'Model Inputs &amp; Assumptions'!$A$40:$A$42,0))*INDEX('Model Inputs &amp; Assumptions'!$H$40:$H$42,MATCH('Model Inputs &amp; Assumptions'!$L$34,'Model Inputs &amp; Assumptions'!$A$40:$A$42,0))</f>
        <v>486415.408175185</v>
      </c>
      <c r="K3311" s="49" t="n">
        <f aca="false">H3311*INDEX('Model Inputs &amp; Assumptions'!$G$40:$G$42,MATCH('Model Inputs &amp; Assumptions'!$L$34,'Model Inputs &amp; Assumptions'!$A$40:$A$42,0))*INDEX('Model Inputs &amp; Assumptions'!$H$40:$H$42,MATCH('Model Inputs &amp; Assumptions'!$L$34,'Model Inputs &amp; Assumptions'!$A$40:$A$42,0))</f>
        <v>10725.4597502628</v>
      </c>
      <c r="L3311" s="51" t="n">
        <f aca="false">IFERROR(K3311/I3311,0)</f>
        <v>1.48009849654146</v>
      </c>
      <c r="M3311" s="49" t="n">
        <f aca="false">IFERROR(I3311/H3311,0)</f>
        <v>107.263131724662</v>
      </c>
      <c r="N3311" s="52" t="str">
        <f aca="false">'Model Inputs &amp; Assumptions'!$L$34</f>
        <v>PRD-USIQ</v>
      </c>
      <c r="P3311" s="53" t="n">
        <v>-0.323335</v>
      </c>
      <c r="Q3311" s="53" t="n">
        <v>-0.210522</v>
      </c>
      <c r="R3311" s="53" t="n">
        <v>1.82391</v>
      </c>
      <c r="S3311" s="53" t="n">
        <v>-0.62075</v>
      </c>
    </row>
    <row r="3312" customFormat="false" ht="15" hidden="false" customHeight="false" outlineLevel="0" collapsed="false">
      <c r="A3312" s="43" t="n">
        <v>309</v>
      </c>
      <c r="B3312" s="44" t="str">
        <f aca="false">'Model Inputs &amp; Assumptions'!$B$34</f>
        <v>Meta — Lookalike Feed Video</v>
      </c>
      <c r="C3312" s="45" t="n">
        <f aca="false">ROUND(MAX(0,'Model Inputs &amp; Assumptions'!$S$34*EXP('Model Inputs &amp; Assumptions'!$T$34*P3312-'Model Inputs &amp; Assumptions'!$T$34^2/2)),0)</f>
        <v>407066</v>
      </c>
      <c r="D3312" s="46" t="n">
        <f aca="false">MIN(1,'Model Inputs &amp; Assumptions'!$U$34*EXP('Model Inputs &amp; Assumptions'!$V$34*Q3312-'Model Inputs &amp; Assumptions'!$V$34^2/2))</f>
        <v>0.38439346211392</v>
      </c>
      <c r="E3312" s="45" t="n">
        <f aca="false">ROUND(C3312*D3312,0)</f>
        <v>156474</v>
      </c>
      <c r="F3312" s="47" t="n">
        <f aca="false">MIN(1,'Model Inputs &amp; Assumptions'!$W$34*EXP('Model Inputs &amp; Assumptions'!$X$34*R3312-'Model Inputs &amp; Assumptions'!$X$34^2/2))</f>
        <v>0.0070385893187247</v>
      </c>
      <c r="G3312" s="45" t="n">
        <f aca="false">ROUND(C3312*F3312,0)</f>
        <v>2865</v>
      </c>
      <c r="H3312" s="48" t="n">
        <f aca="false">MAX(0,(C3312*'Model Inputs &amp; Assumptions'!$N$34+E3312*'Model Inputs &amp; Assumptions'!$O$34+G3312*'Model Inputs &amp; Assumptions'!$P$34)*EXP('Model Inputs &amp; Assumptions'!$Q$34*S3312-'Model Inputs &amp; Assumptions'!$Q$34^2/2))</f>
        <v>101.819576619888</v>
      </c>
      <c r="I3312" s="49" t="n">
        <f aca="false">IF('Model Inputs &amp; Assumptions'!$H$34="Fixed",'Model Inputs &amp; Assumptions'!$I$34*'Model Inputs &amp; Assumptions'!$K$34,IF('Model Inputs &amp; Assumptions'!$H$34="CPM",'Model Inputs &amp; Assumptions'!$I$34*'Model Inputs &amp; Assumptions'!$K$34*C3312/1000,IF('Model Inputs &amp; Assumptions'!$H$34="CPC",'Model Inputs &amp; Assumptions'!$I$34*'Model Inputs &amp; Assumptions'!$K$34*G3312,0)))</f>
        <v>5300.25</v>
      </c>
      <c r="J3312" s="50" t="n">
        <f aca="false">H3312*INDEX('Model Inputs &amp; Assumptions'!$D$40:$D$42,MATCH('Model Inputs &amp; Assumptions'!$L$34,'Model Inputs &amp; Assumptions'!$A$40:$A$42,0))*INDEX('Model Inputs &amp; Assumptions'!$H$40:$H$42,MATCH('Model Inputs &amp; Assumptions'!$L$34,'Model Inputs &amp; Assumptions'!$A$40:$A$42,0))</f>
        <v>733100.951663195</v>
      </c>
      <c r="K3312" s="49" t="n">
        <f aca="false">H3312*INDEX('Model Inputs &amp; Assumptions'!$G$40:$G$42,MATCH('Model Inputs &amp; Assumptions'!$L$34,'Model Inputs &amp; Assumptions'!$A$40:$A$42,0))*INDEX('Model Inputs &amp; Assumptions'!$H$40:$H$42,MATCH('Model Inputs &amp; Assumptions'!$L$34,'Model Inputs &amp; Assumptions'!$A$40:$A$42,0))</f>
        <v>16164.8759841734</v>
      </c>
      <c r="L3312" s="51" t="n">
        <f aca="false">IFERROR(K3312/I3312,0)</f>
        <v>3.0498327407525</v>
      </c>
      <c r="M3312" s="49" t="n">
        <f aca="false">IFERROR(I3312/H3312,0)</f>
        <v>52.055313682818</v>
      </c>
      <c r="N3312" s="52" t="str">
        <f aca="false">'Model Inputs &amp; Assumptions'!$L$34</f>
        <v>PRD-USIQ</v>
      </c>
      <c r="P3312" s="53" t="n">
        <v>-1.124264</v>
      </c>
      <c r="Q3312" s="53" t="n">
        <v>3.289921</v>
      </c>
      <c r="R3312" s="53" t="n">
        <v>0.976935</v>
      </c>
      <c r="S3312" s="53" t="n">
        <v>1.339099</v>
      </c>
    </row>
    <row r="3313" customFormat="false" ht="15" hidden="false" customHeight="false" outlineLevel="0" collapsed="false">
      <c r="A3313" s="43" t="n">
        <v>310</v>
      </c>
      <c r="B3313" s="44" t="str">
        <f aca="false">'Model Inputs &amp; Assumptions'!$B$34</f>
        <v>Meta — Lookalike Feed Video</v>
      </c>
      <c r="C3313" s="45" t="n">
        <f aca="false">ROUND(MAX(0,'Model Inputs &amp; Assumptions'!$S$34*EXP('Model Inputs &amp; Assumptions'!$T$34*P3313-'Model Inputs &amp; Assumptions'!$T$34^2/2)),0)</f>
        <v>592600</v>
      </c>
      <c r="D3313" s="46" t="n">
        <f aca="false">MIN(1,'Model Inputs &amp; Assumptions'!$U$34*EXP('Model Inputs &amp; Assumptions'!$V$34*Q3313-'Model Inputs &amp; Assumptions'!$V$34^2/2))</f>
        <v>0.243482927937033</v>
      </c>
      <c r="E3313" s="45" t="n">
        <f aca="false">ROUND(C3313*D3313,0)</f>
        <v>144288</v>
      </c>
      <c r="F3313" s="47" t="n">
        <f aca="false">MIN(1,'Model Inputs &amp; Assumptions'!$W$34*EXP('Model Inputs &amp; Assumptions'!$X$34*R3313-'Model Inputs &amp; Assumptions'!$X$34^2/2))</f>
        <v>0.00570562910172306</v>
      </c>
      <c r="G3313" s="45" t="n">
        <f aca="false">ROUND(C3313*F3313,0)</f>
        <v>3381</v>
      </c>
      <c r="H3313" s="48" t="n">
        <f aca="false">MAX(0,(C3313*'Model Inputs &amp; Assumptions'!$N$34+E3313*'Model Inputs &amp; Assumptions'!$O$34+G3313*'Model Inputs &amp; Assumptions'!$P$34)*EXP('Model Inputs &amp; Assumptions'!$Q$34*S3313-'Model Inputs &amp; Assumptions'!$Q$34^2/2))</f>
        <v>83.9320416335127</v>
      </c>
      <c r="I3313" s="49" t="n">
        <f aca="false">IF('Model Inputs &amp; Assumptions'!$H$34="Fixed",'Model Inputs &amp; Assumptions'!$I$34*'Model Inputs &amp; Assumptions'!$K$34,IF('Model Inputs &amp; Assumptions'!$H$34="CPM",'Model Inputs &amp; Assumptions'!$I$34*'Model Inputs &amp; Assumptions'!$K$34*C3313/1000,IF('Model Inputs &amp; Assumptions'!$H$34="CPC",'Model Inputs &amp; Assumptions'!$I$34*'Model Inputs &amp; Assumptions'!$K$34*G3313,0)))</f>
        <v>6254.85</v>
      </c>
      <c r="J3313" s="50" t="n">
        <f aca="false">H3313*INDEX('Model Inputs &amp; Assumptions'!$D$40:$D$42,MATCH('Model Inputs &amp; Assumptions'!$L$34,'Model Inputs &amp; Assumptions'!$A$40:$A$42,0))*INDEX('Model Inputs &amp; Assumptions'!$H$40:$H$42,MATCH('Model Inputs &amp; Assumptions'!$L$34,'Model Inputs &amp; Assumptions'!$A$40:$A$42,0))</f>
        <v>604310.699761291</v>
      </c>
      <c r="K3313" s="49" t="n">
        <f aca="false">H3313*INDEX('Model Inputs &amp; Assumptions'!$G$40:$G$42,MATCH('Model Inputs &amp; Assumptions'!$L$34,'Model Inputs &amp; Assumptions'!$A$40:$A$42,0))*INDEX('Model Inputs &amp; Assumptions'!$H$40:$H$42,MATCH('Model Inputs &amp; Assumptions'!$L$34,'Model Inputs &amp; Assumptions'!$A$40:$A$42,0))</f>
        <v>13325.0509297365</v>
      </c>
      <c r="L3313" s="51" t="n">
        <f aca="false">IFERROR(K3313/I3313,0)</f>
        <v>2.13035499328305</v>
      </c>
      <c r="M3313" s="49" t="n">
        <f aca="false">IFERROR(I3313/H3313,0)</f>
        <v>74.5227910374402</v>
      </c>
      <c r="N3313" s="52" t="str">
        <f aca="false">'Model Inputs &amp; Assumptions'!$L$34</f>
        <v>PRD-USIQ</v>
      </c>
      <c r="P3313" s="53" t="n">
        <v>0.75345</v>
      </c>
      <c r="Q3313" s="53" t="n">
        <v>0.436047</v>
      </c>
      <c r="R3313" s="53" t="n">
        <v>-0.189479</v>
      </c>
      <c r="S3313" s="53" t="n">
        <v>0.342806</v>
      </c>
    </row>
    <row r="3314" customFormat="false" ht="15" hidden="false" customHeight="false" outlineLevel="0" collapsed="false">
      <c r="A3314" s="43" t="n">
        <v>311</v>
      </c>
      <c r="B3314" s="44" t="str">
        <f aca="false">'Model Inputs &amp; Assumptions'!$B$34</f>
        <v>Meta — Lookalike Feed Video</v>
      </c>
      <c r="C3314" s="45" t="n">
        <f aca="false">ROUND(MAX(0,'Model Inputs &amp; Assumptions'!$S$34*EXP('Model Inputs &amp; Assumptions'!$T$34*P3314-'Model Inputs &amp; Assumptions'!$T$34^2/2)),0)</f>
        <v>659125</v>
      </c>
      <c r="D3314" s="46" t="n">
        <f aca="false">MIN(1,'Model Inputs &amp; Assumptions'!$U$34*EXP('Model Inputs &amp; Assumptions'!$V$34*Q3314-'Model Inputs &amp; Assumptions'!$V$34^2/2))</f>
        <v>0.266719458537802</v>
      </c>
      <c r="E3314" s="45" t="n">
        <f aca="false">ROUND(C3314*D3314,0)</f>
        <v>175801</v>
      </c>
      <c r="F3314" s="47" t="n">
        <f aca="false">MIN(1,'Model Inputs &amp; Assumptions'!$W$34*EXP('Model Inputs &amp; Assumptions'!$X$34*R3314-'Model Inputs &amp; Assumptions'!$X$34^2/2))</f>
        <v>0.00476012481352366</v>
      </c>
      <c r="G3314" s="45" t="n">
        <f aca="false">ROUND(C3314*F3314,0)</f>
        <v>3138</v>
      </c>
      <c r="H3314" s="48" t="n">
        <f aca="false">MAX(0,(C3314*'Model Inputs &amp; Assumptions'!$N$34+E3314*'Model Inputs &amp; Assumptions'!$O$34+G3314*'Model Inputs &amp; Assumptions'!$P$34)*EXP('Model Inputs &amp; Assumptions'!$Q$34*S3314-'Model Inputs &amp; Assumptions'!$Q$34^2/2))</f>
        <v>59.501621999533</v>
      </c>
      <c r="I3314" s="49" t="n">
        <f aca="false">IF('Model Inputs &amp; Assumptions'!$H$34="Fixed",'Model Inputs &amp; Assumptions'!$I$34*'Model Inputs &amp; Assumptions'!$K$34,IF('Model Inputs &amp; Assumptions'!$H$34="CPM",'Model Inputs &amp; Assumptions'!$I$34*'Model Inputs &amp; Assumptions'!$K$34*C3314/1000,IF('Model Inputs &amp; Assumptions'!$H$34="CPC",'Model Inputs &amp; Assumptions'!$I$34*'Model Inputs &amp; Assumptions'!$K$34*G3314,0)))</f>
        <v>5805.3</v>
      </c>
      <c r="J3314" s="50" t="n">
        <f aca="false">H3314*INDEX('Model Inputs &amp; Assumptions'!$D$40:$D$42,MATCH('Model Inputs &amp; Assumptions'!$L$34,'Model Inputs &amp; Assumptions'!$A$40:$A$42,0))*INDEX('Model Inputs &amp; Assumptions'!$H$40:$H$42,MATCH('Model Inputs &amp; Assumptions'!$L$34,'Model Inputs &amp; Assumptions'!$A$40:$A$42,0))</f>
        <v>428411.678396638</v>
      </c>
      <c r="K3314" s="49" t="n">
        <f aca="false">H3314*INDEX('Model Inputs &amp; Assumptions'!$G$40:$G$42,MATCH('Model Inputs &amp; Assumptions'!$L$34,'Model Inputs &amp; Assumptions'!$A$40:$A$42,0))*INDEX('Model Inputs &amp; Assumptions'!$H$40:$H$42,MATCH('Model Inputs &amp; Assumptions'!$L$34,'Model Inputs &amp; Assumptions'!$A$40:$A$42,0))</f>
        <v>9446.47750864586</v>
      </c>
      <c r="L3314" s="51" t="n">
        <f aca="false">IFERROR(K3314/I3314,0)</f>
        <v>1.62721607990041</v>
      </c>
      <c r="M3314" s="49" t="n">
        <f aca="false">IFERROR(I3314/H3314,0)</f>
        <v>97.5654075454542</v>
      </c>
      <c r="N3314" s="52" t="str">
        <f aca="false">'Model Inputs &amp; Assumptions'!$L$34</f>
        <v>PRD-USIQ</v>
      </c>
      <c r="P3314" s="53" t="n">
        <v>1.285422</v>
      </c>
      <c r="Q3314" s="53" t="n">
        <v>1.005738</v>
      </c>
      <c r="R3314" s="53" t="n">
        <v>-1.196031</v>
      </c>
      <c r="S3314" s="53" t="n">
        <v>-0.638483</v>
      </c>
    </row>
    <row r="3315" customFormat="false" ht="15" hidden="false" customHeight="false" outlineLevel="0" collapsed="false">
      <c r="A3315" s="43" t="n">
        <v>312</v>
      </c>
      <c r="B3315" s="44" t="str">
        <f aca="false">'Model Inputs &amp; Assumptions'!$B$34</f>
        <v>Meta — Lookalike Feed Video</v>
      </c>
      <c r="C3315" s="45" t="n">
        <f aca="false">ROUND(MAX(0,'Model Inputs &amp; Assumptions'!$S$34*EXP('Model Inputs &amp; Assumptions'!$T$34*P3315-'Model Inputs &amp; Assumptions'!$T$34^2/2)),0)</f>
        <v>367377</v>
      </c>
      <c r="D3315" s="46" t="n">
        <f aca="false">MIN(1,'Model Inputs &amp; Assumptions'!$U$34*EXP('Model Inputs &amp; Assumptions'!$V$34*Q3315-'Model Inputs &amp; Assumptions'!$V$34^2/2))</f>
        <v>0.232881157296735</v>
      </c>
      <c r="E3315" s="45" t="n">
        <f aca="false">ROUND(C3315*D3315,0)</f>
        <v>85555</v>
      </c>
      <c r="F3315" s="47" t="n">
        <f aca="false">MIN(1,'Model Inputs &amp; Assumptions'!$W$34*EXP('Model Inputs &amp; Assumptions'!$X$34*R3315-'Model Inputs &amp; Assumptions'!$X$34^2/2))</f>
        <v>0.00502163093921173</v>
      </c>
      <c r="G3315" s="45" t="n">
        <f aca="false">ROUND(C3315*F3315,0)</f>
        <v>1845</v>
      </c>
      <c r="H3315" s="48" t="n">
        <f aca="false">MAX(0,(C3315*'Model Inputs &amp; Assumptions'!$N$34+E3315*'Model Inputs &amp; Assumptions'!$O$34+G3315*'Model Inputs &amp; Assumptions'!$P$34)*EXP('Model Inputs &amp; Assumptions'!$Q$34*S3315-'Model Inputs &amp; Assumptions'!$Q$34^2/2))</f>
        <v>27.3427902800116</v>
      </c>
      <c r="I3315" s="49" t="n">
        <f aca="false">IF('Model Inputs &amp; Assumptions'!$H$34="Fixed",'Model Inputs &amp; Assumptions'!$I$34*'Model Inputs &amp; Assumptions'!$K$34,IF('Model Inputs &amp; Assumptions'!$H$34="CPM",'Model Inputs &amp; Assumptions'!$I$34*'Model Inputs &amp; Assumptions'!$K$34*C3315/1000,IF('Model Inputs &amp; Assumptions'!$H$34="CPC",'Model Inputs &amp; Assumptions'!$I$34*'Model Inputs &amp; Assumptions'!$K$34*G3315,0)))</f>
        <v>3413.25</v>
      </c>
      <c r="J3315" s="50" t="n">
        <f aca="false">H3315*INDEX('Model Inputs &amp; Assumptions'!$D$40:$D$42,MATCH('Model Inputs &amp; Assumptions'!$L$34,'Model Inputs &amp; Assumptions'!$A$40:$A$42,0))*INDEX('Model Inputs &amp; Assumptions'!$H$40:$H$42,MATCH('Model Inputs &amp; Assumptions'!$L$34,'Model Inputs &amp; Assumptions'!$A$40:$A$42,0))</f>
        <v>196868.090016084</v>
      </c>
      <c r="K3315" s="49" t="n">
        <f aca="false">H3315*INDEX('Model Inputs &amp; Assumptions'!$G$40:$G$42,MATCH('Model Inputs &amp; Assumptions'!$L$34,'Model Inputs &amp; Assumptions'!$A$40:$A$42,0))*INDEX('Model Inputs &amp; Assumptions'!$H$40:$H$42,MATCH('Model Inputs &amp; Assumptions'!$L$34,'Model Inputs &amp; Assumptions'!$A$40:$A$42,0))</f>
        <v>4340.94138485465</v>
      </c>
      <c r="L3315" s="51" t="n">
        <f aca="false">IFERROR(K3315/I3315,0)</f>
        <v>1.27179122093449</v>
      </c>
      <c r="M3315" s="49" t="n">
        <f aca="false">IFERROR(I3315/H3315,0)</f>
        <v>124.831809959614</v>
      </c>
      <c r="N3315" s="52" t="str">
        <f aca="false">'Model Inputs &amp; Assumptions'!$L$34</f>
        <v>PRD-USIQ</v>
      </c>
      <c r="P3315" s="53" t="n">
        <v>-1.637207</v>
      </c>
      <c r="Q3315" s="53" t="n">
        <v>0.157806</v>
      </c>
      <c r="R3315" s="53" t="n">
        <v>-0.898915</v>
      </c>
      <c r="S3315" s="53" t="n">
        <v>-1.308471</v>
      </c>
    </row>
    <row r="3316" customFormat="false" ht="15" hidden="false" customHeight="false" outlineLevel="0" collapsed="false">
      <c r="A3316" s="43" t="n">
        <v>313</v>
      </c>
      <c r="B3316" s="44" t="str">
        <f aca="false">'Model Inputs &amp; Assumptions'!$B$34</f>
        <v>Meta — Lookalike Feed Video</v>
      </c>
      <c r="C3316" s="45" t="n">
        <f aca="false">ROUND(MAX(0,'Model Inputs &amp; Assumptions'!$S$34*EXP('Model Inputs &amp; Assumptions'!$T$34*P3316-'Model Inputs &amp; Assumptions'!$T$34^2/2)),0)</f>
        <v>479191</v>
      </c>
      <c r="D3316" s="46" t="n">
        <f aca="false">MIN(1,'Model Inputs &amp; Assumptions'!$U$34*EXP('Model Inputs &amp; Assumptions'!$V$34*Q3316-'Model Inputs &amp; Assumptions'!$V$34^2/2))</f>
        <v>0.235663040183961</v>
      </c>
      <c r="E3316" s="45" t="n">
        <f aca="false">ROUND(C3316*D3316,0)</f>
        <v>112928</v>
      </c>
      <c r="F3316" s="47" t="n">
        <f aca="false">MIN(1,'Model Inputs &amp; Assumptions'!$W$34*EXP('Model Inputs &amp; Assumptions'!$X$34*R3316-'Model Inputs &amp; Assumptions'!$X$34^2/2))</f>
        <v>0.00463055211934851</v>
      </c>
      <c r="G3316" s="45" t="n">
        <f aca="false">ROUND(C3316*F3316,0)</f>
        <v>2219</v>
      </c>
      <c r="H3316" s="48" t="n">
        <f aca="false">MAX(0,(C3316*'Model Inputs &amp; Assumptions'!$N$34+E3316*'Model Inputs &amp; Assumptions'!$O$34+G3316*'Model Inputs &amp; Assumptions'!$P$34)*EXP('Model Inputs &amp; Assumptions'!$Q$34*S3316-'Model Inputs &amp; Assumptions'!$Q$34^2/2))</f>
        <v>47.2939328201557</v>
      </c>
      <c r="I3316" s="49" t="n">
        <f aca="false">IF('Model Inputs &amp; Assumptions'!$H$34="Fixed",'Model Inputs &amp; Assumptions'!$I$34*'Model Inputs &amp; Assumptions'!$K$34,IF('Model Inputs &amp; Assumptions'!$H$34="CPM",'Model Inputs &amp; Assumptions'!$I$34*'Model Inputs &amp; Assumptions'!$K$34*C3316/1000,IF('Model Inputs &amp; Assumptions'!$H$34="CPC",'Model Inputs &amp; Assumptions'!$I$34*'Model Inputs &amp; Assumptions'!$K$34*G3316,0)))</f>
        <v>4105.15</v>
      </c>
      <c r="J3316" s="50" t="n">
        <f aca="false">H3316*INDEX('Model Inputs &amp; Assumptions'!$D$40:$D$42,MATCH('Model Inputs &amp; Assumptions'!$L$34,'Model Inputs &amp; Assumptions'!$A$40:$A$42,0))*INDEX('Model Inputs &amp; Assumptions'!$H$40:$H$42,MATCH('Model Inputs &amp; Assumptions'!$L$34,'Model Inputs &amp; Assumptions'!$A$40:$A$42,0))</f>
        <v>340516.316305121</v>
      </c>
      <c r="K3316" s="49" t="n">
        <f aca="false">H3316*INDEX('Model Inputs &amp; Assumptions'!$G$40:$G$42,MATCH('Model Inputs &amp; Assumptions'!$L$34,'Model Inputs &amp; Assumptions'!$A$40:$A$42,0))*INDEX('Model Inputs &amp; Assumptions'!$H$40:$H$42,MATCH('Model Inputs &amp; Assumptions'!$L$34,'Model Inputs &amp; Assumptions'!$A$40:$A$42,0))</f>
        <v>7508.38477452792</v>
      </c>
      <c r="L3316" s="51" t="n">
        <f aca="false">IFERROR(K3316/I3316,0)</f>
        <v>1.82901593718327</v>
      </c>
      <c r="M3316" s="49" t="n">
        <f aca="false">IFERROR(I3316/H3316,0)</f>
        <v>86.8007745435472</v>
      </c>
      <c r="N3316" s="52" t="str">
        <f aca="false">'Model Inputs &amp; Assumptions'!$L$34</f>
        <v>PRD-USIQ</v>
      </c>
      <c r="P3316" s="53" t="n">
        <v>-0.308651</v>
      </c>
      <c r="Q3316" s="53" t="n">
        <v>0.232023</v>
      </c>
      <c r="R3316" s="53" t="n">
        <v>-1.349352</v>
      </c>
      <c r="S3316" s="53" t="n">
        <v>-0.220298</v>
      </c>
    </row>
    <row r="3317" customFormat="false" ht="15" hidden="false" customHeight="false" outlineLevel="0" collapsed="false">
      <c r="A3317" s="43" t="n">
        <v>314</v>
      </c>
      <c r="B3317" s="44" t="str">
        <f aca="false">'Model Inputs &amp; Assumptions'!$B$34</f>
        <v>Meta — Lookalike Feed Video</v>
      </c>
      <c r="C3317" s="45" t="n">
        <f aca="false">ROUND(MAX(0,'Model Inputs &amp; Assumptions'!$S$34*EXP('Model Inputs &amp; Assumptions'!$T$34*P3317-'Model Inputs &amp; Assumptions'!$T$34^2/2)),0)</f>
        <v>736972</v>
      </c>
      <c r="D3317" s="46" t="n">
        <f aca="false">MIN(1,'Model Inputs &amp; Assumptions'!$U$34*EXP('Model Inputs &amp; Assumptions'!$V$34*Q3317-'Model Inputs &amp; Assumptions'!$V$34^2/2))</f>
        <v>0.2509153494152</v>
      </c>
      <c r="E3317" s="45" t="n">
        <f aca="false">ROUND(C3317*D3317,0)</f>
        <v>184918</v>
      </c>
      <c r="F3317" s="47" t="n">
        <f aca="false">MIN(1,'Model Inputs &amp; Assumptions'!$W$34*EXP('Model Inputs &amp; Assumptions'!$X$34*R3317-'Model Inputs &amp; Assumptions'!$X$34^2/2))</f>
        <v>0.00564245248763318</v>
      </c>
      <c r="G3317" s="45" t="n">
        <f aca="false">ROUND(C3317*F3317,0)</f>
        <v>4158</v>
      </c>
      <c r="H3317" s="48" t="n">
        <f aca="false">MAX(0,(C3317*'Model Inputs &amp; Assumptions'!$N$34+E3317*'Model Inputs &amp; Assumptions'!$O$34+G3317*'Model Inputs &amp; Assumptions'!$P$34)*EXP('Model Inputs &amp; Assumptions'!$Q$34*S3317-'Model Inputs &amp; Assumptions'!$Q$34^2/2))</f>
        <v>90.0557194472258</v>
      </c>
      <c r="I3317" s="49" t="n">
        <f aca="false">IF('Model Inputs &amp; Assumptions'!$H$34="Fixed",'Model Inputs &amp; Assumptions'!$I$34*'Model Inputs &amp; Assumptions'!$K$34,IF('Model Inputs &amp; Assumptions'!$H$34="CPM",'Model Inputs &amp; Assumptions'!$I$34*'Model Inputs &amp; Assumptions'!$K$34*C3317/1000,IF('Model Inputs &amp; Assumptions'!$H$34="CPC",'Model Inputs &amp; Assumptions'!$I$34*'Model Inputs &amp; Assumptions'!$K$34*G3317,0)))</f>
        <v>7692.3</v>
      </c>
      <c r="J3317" s="50" t="n">
        <f aca="false">H3317*INDEX('Model Inputs &amp; Assumptions'!$D$40:$D$42,MATCH('Model Inputs &amp; Assumptions'!$L$34,'Model Inputs &amp; Assumptions'!$A$40:$A$42,0))*INDEX('Model Inputs &amp; Assumptions'!$H$40:$H$42,MATCH('Model Inputs &amp; Assumptions'!$L$34,'Model Inputs &amp; Assumptions'!$A$40:$A$42,0))</f>
        <v>648401.180020026</v>
      </c>
      <c r="K3317" s="49" t="n">
        <f aca="false">H3317*INDEX('Model Inputs &amp; Assumptions'!$G$40:$G$42,MATCH('Model Inputs &amp; Assumptions'!$L$34,'Model Inputs &amp; Assumptions'!$A$40:$A$42,0))*INDEX('Model Inputs &amp; Assumptions'!$H$40:$H$42,MATCH('Model Inputs &amp; Assumptions'!$L$34,'Model Inputs &amp; Assumptions'!$A$40:$A$42,0))</f>
        <v>14297.2460194416</v>
      </c>
      <c r="L3317" s="51" t="n">
        <f aca="false">IFERROR(K3317/I3317,0)</f>
        <v>1.85864384117124</v>
      </c>
      <c r="M3317" s="49" t="n">
        <f aca="false">IFERROR(I3317/H3317,0)</f>
        <v>85.4171178378939</v>
      </c>
      <c r="N3317" s="52" t="str">
        <f aca="false">'Model Inputs &amp; Assumptions'!$L$34</f>
        <v>PRD-USIQ</v>
      </c>
      <c r="P3317" s="53" t="n">
        <v>1.843608</v>
      </c>
      <c r="Q3317" s="53" t="n">
        <v>0.623977</v>
      </c>
      <c r="R3317" s="53" t="n">
        <v>-0.251337</v>
      </c>
      <c r="S3317" s="53" t="n">
        <v>-0.102699</v>
      </c>
    </row>
    <row r="3318" customFormat="false" ht="15" hidden="false" customHeight="false" outlineLevel="0" collapsed="false">
      <c r="A3318" s="43" t="n">
        <v>315</v>
      </c>
      <c r="B3318" s="44" t="str">
        <f aca="false">'Model Inputs &amp; Assumptions'!$B$34</f>
        <v>Meta — Lookalike Feed Video</v>
      </c>
      <c r="C3318" s="45" t="n">
        <f aca="false">ROUND(MAX(0,'Model Inputs &amp; Assumptions'!$S$34*EXP('Model Inputs &amp; Assumptions'!$T$34*P3318-'Model Inputs &amp; Assumptions'!$T$34^2/2)),0)</f>
        <v>453869</v>
      </c>
      <c r="D3318" s="46" t="n">
        <f aca="false">MIN(1,'Model Inputs &amp; Assumptions'!$U$34*EXP('Model Inputs &amp; Assumptions'!$V$34*Q3318-'Model Inputs &amp; Assumptions'!$V$34^2/2))</f>
        <v>0.230711153171213</v>
      </c>
      <c r="E3318" s="45" t="n">
        <f aca="false">ROUND(C3318*D3318,0)</f>
        <v>104713</v>
      </c>
      <c r="F3318" s="47" t="n">
        <f aca="false">MIN(1,'Model Inputs &amp; Assumptions'!$W$34*EXP('Model Inputs &amp; Assumptions'!$X$34*R3318-'Model Inputs &amp; Assumptions'!$X$34^2/2))</f>
        <v>0.00528624249048278</v>
      </c>
      <c r="G3318" s="45" t="n">
        <f aca="false">ROUND(C3318*F3318,0)</f>
        <v>2399</v>
      </c>
      <c r="H3318" s="48" t="n">
        <f aca="false">MAX(0,(C3318*'Model Inputs &amp; Assumptions'!$N$34+E3318*'Model Inputs &amp; Assumptions'!$O$34+G3318*'Model Inputs &amp; Assumptions'!$P$34)*EXP('Model Inputs &amp; Assumptions'!$Q$34*S3318-'Model Inputs &amp; Assumptions'!$Q$34^2/2))</f>
        <v>43.8880979554326</v>
      </c>
      <c r="I3318" s="49" t="n">
        <f aca="false">IF('Model Inputs &amp; Assumptions'!$H$34="Fixed",'Model Inputs &amp; Assumptions'!$I$34*'Model Inputs &amp; Assumptions'!$K$34,IF('Model Inputs &amp; Assumptions'!$H$34="CPM",'Model Inputs &amp; Assumptions'!$I$34*'Model Inputs &amp; Assumptions'!$K$34*C3318/1000,IF('Model Inputs &amp; Assumptions'!$H$34="CPC",'Model Inputs &amp; Assumptions'!$I$34*'Model Inputs &amp; Assumptions'!$K$34*G3318,0)))</f>
        <v>4438.15</v>
      </c>
      <c r="J3318" s="50" t="n">
        <f aca="false">H3318*INDEX('Model Inputs &amp; Assumptions'!$D$40:$D$42,MATCH('Model Inputs &amp; Assumptions'!$L$34,'Model Inputs &amp; Assumptions'!$A$40:$A$42,0))*INDEX('Model Inputs &amp; Assumptions'!$H$40:$H$42,MATCH('Model Inputs &amp; Assumptions'!$L$34,'Model Inputs &amp; Assumptions'!$A$40:$A$42,0))</f>
        <v>315994.305279115</v>
      </c>
      <c r="K3318" s="49" t="n">
        <f aca="false">H3318*INDEX('Model Inputs &amp; Assumptions'!$G$40:$G$42,MATCH('Model Inputs &amp; Assumptions'!$L$34,'Model Inputs &amp; Assumptions'!$A$40:$A$42,0))*INDEX('Model Inputs &amp; Assumptions'!$H$40:$H$42,MATCH('Model Inputs &amp; Assumptions'!$L$34,'Model Inputs &amp; Assumptions'!$A$40:$A$42,0))</f>
        <v>6967.67443140448</v>
      </c>
      <c r="L3318" s="51" t="n">
        <f aca="false">IFERROR(K3318/I3318,0)</f>
        <v>1.56995018902121</v>
      </c>
      <c r="M3318" s="49" t="n">
        <f aca="false">IFERROR(I3318/H3318,0)</f>
        <v>101.124227450158</v>
      </c>
      <c r="N3318" s="52" t="str">
        <f aca="false">'Model Inputs &amp; Assumptions'!$L$34</f>
        <v>PRD-USIQ</v>
      </c>
      <c r="P3318" s="53" t="n">
        <v>-0.580099</v>
      </c>
      <c r="Q3318" s="53" t="n">
        <v>0.099295</v>
      </c>
      <c r="R3318" s="53" t="n">
        <v>-0.613621</v>
      </c>
      <c r="S3318" s="53" t="n">
        <v>-0.62145</v>
      </c>
    </row>
    <row r="3319" customFormat="false" ht="15" hidden="false" customHeight="false" outlineLevel="0" collapsed="false">
      <c r="A3319" s="43" t="n">
        <v>316</v>
      </c>
      <c r="B3319" s="44" t="str">
        <f aca="false">'Model Inputs &amp; Assumptions'!$B$34</f>
        <v>Meta — Lookalike Feed Video</v>
      </c>
      <c r="C3319" s="45" t="n">
        <f aca="false">ROUND(MAX(0,'Model Inputs &amp; Assumptions'!$S$34*EXP('Model Inputs &amp; Assumptions'!$T$34*P3319-'Model Inputs &amp; Assumptions'!$T$34^2/2)),0)</f>
        <v>502135</v>
      </c>
      <c r="D3319" s="46" t="n">
        <f aca="false">MIN(1,'Model Inputs &amp; Assumptions'!$U$34*EXP('Model Inputs &amp; Assumptions'!$V$34*Q3319-'Model Inputs &amp; Assumptions'!$V$34^2/2))</f>
        <v>0.222193847748838</v>
      </c>
      <c r="E3319" s="45" t="n">
        <f aca="false">ROUND(C3319*D3319,0)</f>
        <v>111571</v>
      </c>
      <c r="F3319" s="47" t="n">
        <f aca="false">MIN(1,'Model Inputs &amp; Assumptions'!$W$34*EXP('Model Inputs &amp; Assumptions'!$X$34*R3319-'Model Inputs &amp; Assumptions'!$X$34^2/2))</f>
        <v>0.00441640902998034</v>
      </c>
      <c r="G3319" s="45" t="n">
        <f aca="false">ROUND(C3319*F3319,0)</f>
        <v>2218</v>
      </c>
      <c r="H3319" s="48" t="n">
        <f aca="false">MAX(0,(C3319*'Model Inputs &amp; Assumptions'!$N$34+E3319*'Model Inputs &amp; Assumptions'!$O$34+G3319*'Model Inputs &amp; Assumptions'!$P$34)*EXP('Model Inputs &amp; Assumptions'!$Q$34*S3319-'Model Inputs &amp; Assumptions'!$Q$34^2/2))</f>
        <v>46.2656945102092</v>
      </c>
      <c r="I3319" s="49" t="n">
        <f aca="false">IF('Model Inputs &amp; Assumptions'!$H$34="Fixed",'Model Inputs &amp; Assumptions'!$I$34*'Model Inputs &amp; Assumptions'!$K$34,IF('Model Inputs &amp; Assumptions'!$H$34="CPM",'Model Inputs &amp; Assumptions'!$I$34*'Model Inputs &amp; Assumptions'!$K$34*C3319/1000,IF('Model Inputs &amp; Assumptions'!$H$34="CPC",'Model Inputs &amp; Assumptions'!$I$34*'Model Inputs &amp; Assumptions'!$K$34*G3319,0)))</f>
        <v>4103.3</v>
      </c>
      <c r="J3319" s="50" t="n">
        <f aca="false">H3319*INDEX('Model Inputs &amp; Assumptions'!$D$40:$D$42,MATCH('Model Inputs &amp; Assumptions'!$L$34,'Model Inputs &amp; Assumptions'!$A$40:$A$42,0))*INDEX('Model Inputs &amp; Assumptions'!$H$40:$H$42,MATCH('Model Inputs &amp; Assumptions'!$L$34,'Model Inputs &amp; Assumptions'!$A$40:$A$42,0))</f>
        <v>333113.000473506</v>
      </c>
      <c r="K3319" s="49" t="n">
        <f aca="false">H3319*INDEX('Model Inputs &amp; Assumptions'!$G$40:$G$42,MATCH('Model Inputs &amp; Assumptions'!$L$34,'Model Inputs &amp; Assumptions'!$A$40:$A$42,0))*INDEX('Model Inputs &amp; Assumptions'!$H$40:$H$42,MATCH('Model Inputs &amp; Assumptions'!$L$34,'Model Inputs &amp; Assumptions'!$A$40:$A$42,0))</f>
        <v>7345.14166044081</v>
      </c>
      <c r="L3319" s="51" t="n">
        <f aca="false">IFERROR(K3319/I3319,0)</f>
        <v>1.79005718822431</v>
      </c>
      <c r="M3319" s="49" t="n">
        <f aca="false">IFERROR(I3319/H3319,0)</f>
        <v>88.6899039004926</v>
      </c>
      <c r="N3319" s="52" t="str">
        <f aca="false">'Model Inputs &amp; Assumptions'!$L$34</f>
        <v>PRD-USIQ</v>
      </c>
      <c r="P3319" s="53" t="n">
        <v>-0.074798</v>
      </c>
      <c r="Q3319" s="53" t="n">
        <v>-0.135807</v>
      </c>
      <c r="R3319" s="53" t="n">
        <v>-1.612403</v>
      </c>
      <c r="S3319" s="53" t="n">
        <v>-0.281459</v>
      </c>
    </row>
    <row r="3320" customFormat="false" ht="15" hidden="false" customHeight="false" outlineLevel="0" collapsed="false">
      <c r="A3320" s="43" t="n">
        <v>317</v>
      </c>
      <c r="B3320" s="44" t="str">
        <f aca="false">'Model Inputs &amp; Assumptions'!$B$34</f>
        <v>Meta — Lookalike Feed Video</v>
      </c>
      <c r="C3320" s="45" t="n">
        <f aca="false">ROUND(MAX(0,'Model Inputs &amp; Assumptions'!$S$34*EXP('Model Inputs &amp; Assumptions'!$T$34*P3320-'Model Inputs &amp; Assumptions'!$T$34^2/2)),0)</f>
        <v>571331</v>
      </c>
      <c r="D3320" s="46" t="n">
        <f aca="false">MIN(1,'Model Inputs &amp; Assumptions'!$U$34*EXP('Model Inputs &amp; Assumptions'!$V$34*Q3320-'Model Inputs &amp; Assumptions'!$V$34^2/2))</f>
        <v>0.214593604742022</v>
      </c>
      <c r="E3320" s="45" t="n">
        <f aca="false">ROUND(C3320*D3320,0)</f>
        <v>122604</v>
      </c>
      <c r="F3320" s="47" t="n">
        <f aca="false">MIN(1,'Model Inputs &amp; Assumptions'!$W$34*EXP('Model Inputs &amp; Assumptions'!$X$34*R3320-'Model Inputs &amp; Assumptions'!$X$34^2/2))</f>
        <v>0.00527184654500421</v>
      </c>
      <c r="G3320" s="45" t="n">
        <f aca="false">ROUND(C3320*F3320,0)</f>
        <v>3012</v>
      </c>
      <c r="H3320" s="48" t="n">
        <f aca="false">MAX(0,(C3320*'Model Inputs &amp; Assumptions'!$N$34+E3320*'Model Inputs &amp; Assumptions'!$O$34+G3320*'Model Inputs &amp; Assumptions'!$P$34)*EXP('Model Inputs &amp; Assumptions'!$Q$34*S3320-'Model Inputs &amp; Assumptions'!$Q$34^2/2))</f>
        <v>98.9174921103436</v>
      </c>
      <c r="I3320" s="49" t="n">
        <f aca="false">IF('Model Inputs &amp; Assumptions'!$H$34="Fixed",'Model Inputs &amp; Assumptions'!$I$34*'Model Inputs &amp; Assumptions'!$K$34,IF('Model Inputs &amp; Assumptions'!$H$34="CPM",'Model Inputs &amp; Assumptions'!$I$34*'Model Inputs &amp; Assumptions'!$K$34*C3320/1000,IF('Model Inputs &amp; Assumptions'!$H$34="CPC",'Model Inputs &amp; Assumptions'!$I$34*'Model Inputs &amp; Assumptions'!$K$34*G3320,0)))</f>
        <v>5572.2</v>
      </c>
      <c r="J3320" s="50" t="n">
        <f aca="false">H3320*INDEX('Model Inputs &amp; Assumptions'!$D$40:$D$42,MATCH('Model Inputs &amp; Assumptions'!$L$34,'Model Inputs &amp; Assumptions'!$A$40:$A$42,0))*INDEX('Model Inputs &amp; Assumptions'!$H$40:$H$42,MATCH('Model Inputs &amp; Assumptions'!$L$34,'Model Inputs &amp; Assumptions'!$A$40:$A$42,0))</f>
        <v>712205.943194474</v>
      </c>
      <c r="K3320" s="49" t="n">
        <f aca="false">H3320*INDEX('Model Inputs &amp; Assumptions'!$G$40:$G$42,MATCH('Model Inputs &amp; Assumptions'!$L$34,'Model Inputs &amp; Assumptions'!$A$40:$A$42,0))*INDEX('Model Inputs &amp; Assumptions'!$H$40:$H$42,MATCH('Model Inputs &amp; Assumptions'!$L$34,'Model Inputs &amp; Assumptions'!$A$40:$A$42,0))</f>
        <v>15704.1410474381</v>
      </c>
      <c r="L3320" s="51" t="n">
        <f aca="false">IFERROR(K3320/I3320,0)</f>
        <v>2.81830175647646</v>
      </c>
      <c r="M3320" s="49" t="n">
        <f aca="false">IFERROR(I3320/H3320,0)</f>
        <v>56.3317961375744</v>
      </c>
      <c r="N3320" s="52" t="str">
        <f aca="false">'Model Inputs &amp; Assumptions'!$L$34</f>
        <v>PRD-USIQ</v>
      </c>
      <c r="P3320" s="53" t="n">
        <v>0.570696</v>
      </c>
      <c r="Q3320" s="53" t="n">
        <v>-0.353333</v>
      </c>
      <c r="R3320" s="53" t="n">
        <v>-0.628771</v>
      </c>
      <c r="S3320" s="53" t="n">
        <v>1.23844</v>
      </c>
    </row>
    <row r="3321" customFormat="false" ht="15" hidden="false" customHeight="false" outlineLevel="0" collapsed="false">
      <c r="A3321" s="43" t="n">
        <v>318</v>
      </c>
      <c r="B3321" s="44" t="str">
        <f aca="false">'Model Inputs &amp; Assumptions'!$B$34</f>
        <v>Meta — Lookalike Feed Video</v>
      </c>
      <c r="C3321" s="45" t="n">
        <f aca="false">ROUND(MAX(0,'Model Inputs &amp; Assumptions'!$S$34*EXP('Model Inputs &amp; Assumptions'!$T$34*P3321-'Model Inputs &amp; Assumptions'!$T$34^2/2)),0)</f>
        <v>632635</v>
      </c>
      <c r="D3321" s="46" t="n">
        <f aca="false">MIN(1,'Model Inputs &amp; Assumptions'!$U$34*EXP('Model Inputs &amp; Assumptions'!$V$34*Q3321-'Model Inputs &amp; Assumptions'!$V$34^2/2))</f>
        <v>0.276178210874744</v>
      </c>
      <c r="E3321" s="45" t="n">
        <f aca="false">ROUND(C3321*D3321,0)</f>
        <v>174720</v>
      </c>
      <c r="F3321" s="47" t="n">
        <f aca="false">MIN(1,'Model Inputs &amp; Assumptions'!$W$34*EXP('Model Inputs &amp; Assumptions'!$X$34*R3321-'Model Inputs &amp; Assumptions'!$X$34^2/2))</f>
        <v>0.0051351227579944</v>
      </c>
      <c r="G3321" s="45" t="n">
        <f aca="false">ROUND(C3321*F3321,0)</f>
        <v>3249</v>
      </c>
      <c r="H3321" s="48" t="n">
        <f aca="false">MAX(0,(C3321*'Model Inputs &amp; Assumptions'!$N$34+E3321*'Model Inputs &amp; Assumptions'!$O$34+G3321*'Model Inputs &amp; Assumptions'!$P$34)*EXP('Model Inputs &amp; Assumptions'!$Q$34*S3321-'Model Inputs &amp; Assumptions'!$Q$34^2/2))</f>
        <v>60.3528758656918</v>
      </c>
      <c r="I3321" s="49" t="n">
        <f aca="false">IF('Model Inputs &amp; Assumptions'!$H$34="Fixed",'Model Inputs &amp; Assumptions'!$I$34*'Model Inputs &amp; Assumptions'!$K$34,IF('Model Inputs &amp; Assumptions'!$H$34="CPM",'Model Inputs &amp; Assumptions'!$I$34*'Model Inputs &amp; Assumptions'!$K$34*C3321/1000,IF('Model Inputs &amp; Assumptions'!$H$34="CPC",'Model Inputs &amp; Assumptions'!$I$34*'Model Inputs &amp; Assumptions'!$K$34*G3321,0)))</f>
        <v>6010.65</v>
      </c>
      <c r="J3321" s="50" t="n">
        <f aca="false">H3321*INDEX('Model Inputs &amp; Assumptions'!$D$40:$D$42,MATCH('Model Inputs &amp; Assumptions'!$L$34,'Model Inputs &amp; Assumptions'!$A$40:$A$42,0))*INDEX('Model Inputs &amp; Assumptions'!$H$40:$H$42,MATCH('Model Inputs &amp; Assumptions'!$L$34,'Model Inputs &amp; Assumptions'!$A$40:$A$42,0))</f>
        <v>434540.706232981</v>
      </c>
      <c r="K3321" s="49" t="n">
        <f aca="false">H3321*INDEX('Model Inputs &amp; Assumptions'!$G$40:$G$42,MATCH('Model Inputs &amp; Assumptions'!$L$34,'Model Inputs &amp; Assumptions'!$A$40:$A$42,0))*INDEX('Model Inputs &amp; Assumptions'!$H$40:$H$42,MATCH('Model Inputs &amp; Assumptions'!$L$34,'Model Inputs &amp; Assumptions'!$A$40:$A$42,0))</f>
        <v>9581.62257243723</v>
      </c>
      <c r="L3321" s="51" t="n">
        <f aca="false">IFERROR(K3321/I3321,0)</f>
        <v>1.59410755449697</v>
      </c>
      <c r="M3321" s="49" t="n">
        <f aca="false">IFERROR(I3321/H3321,0)</f>
        <v>99.5917744396471</v>
      </c>
      <c r="N3321" s="52" t="str">
        <f aca="false">'Model Inputs &amp; Assumptions'!$L$34</f>
        <v>PRD-USIQ</v>
      </c>
      <c r="P3321" s="53" t="n">
        <v>1.080327</v>
      </c>
      <c r="Q3321" s="53" t="n">
        <v>1.223544</v>
      </c>
      <c r="R3321" s="53" t="n">
        <v>-0.774754</v>
      </c>
      <c r="S3321" s="53" t="n">
        <v>-0.679695</v>
      </c>
    </row>
    <row r="3322" customFormat="false" ht="15" hidden="false" customHeight="false" outlineLevel="0" collapsed="false">
      <c r="A3322" s="43" t="n">
        <v>319</v>
      </c>
      <c r="B3322" s="44" t="str">
        <f aca="false">'Model Inputs &amp; Assumptions'!$B$34</f>
        <v>Meta — Lookalike Feed Video</v>
      </c>
      <c r="C3322" s="45" t="n">
        <f aca="false">ROUND(MAX(0,'Model Inputs &amp; Assumptions'!$S$34*EXP('Model Inputs &amp; Assumptions'!$T$34*P3322-'Model Inputs &amp; Assumptions'!$T$34^2/2)),0)</f>
        <v>589198</v>
      </c>
      <c r="D3322" s="46" t="n">
        <f aca="false">MIN(1,'Model Inputs &amp; Assumptions'!$U$34*EXP('Model Inputs &amp; Assumptions'!$V$34*Q3322-'Model Inputs &amp; Assumptions'!$V$34^2/2))</f>
        <v>0.26347184414254</v>
      </c>
      <c r="E3322" s="45" t="n">
        <f aca="false">ROUND(C3322*D3322,0)</f>
        <v>155237</v>
      </c>
      <c r="F3322" s="47" t="n">
        <f aca="false">MIN(1,'Model Inputs &amp; Assumptions'!$W$34*EXP('Model Inputs &amp; Assumptions'!$X$34*R3322-'Model Inputs &amp; Assumptions'!$X$34^2/2))</f>
        <v>0.00434080844853124</v>
      </c>
      <c r="G3322" s="45" t="n">
        <f aca="false">ROUND(C3322*F3322,0)</f>
        <v>2558</v>
      </c>
      <c r="H3322" s="48" t="n">
        <f aca="false">MAX(0,(C3322*'Model Inputs &amp; Assumptions'!$N$34+E3322*'Model Inputs &amp; Assumptions'!$O$34+G3322*'Model Inputs &amp; Assumptions'!$P$34)*EXP('Model Inputs &amp; Assumptions'!$Q$34*S3322-'Model Inputs &amp; Assumptions'!$Q$34^2/2))</f>
        <v>43.0354294872411</v>
      </c>
      <c r="I3322" s="49" t="n">
        <f aca="false">IF('Model Inputs &amp; Assumptions'!$H$34="Fixed",'Model Inputs &amp; Assumptions'!$I$34*'Model Inputs &amp; Assumptions'!$K$34,IF('Model Inputs &amp; Assumptions'!$H$34="CPM",'Model Inputs &amp; Assumptions'!$I$34*'Model Inputs &amp; Assumptions'!$K$34*C3322/1000,IF('Model Inputs &amp; Assumptions'!$H$34="CPC",'Model Inputs &amp; Assumptions'!$I$34*'Model Inputs &amp; Assumptions'!$K$34*G3322,0)))</f>
        <v>4732.3</v>
      </c>
      <c r="J3322" s="50" t="n">
        <f aca="false">H3322*INDEX('Model Inputs &amp; Assumptions'!$D$40:$D$42,MATCH('Model Inputs &amp; Assumptions'!$L$34,'Model Inputs &amp; Assumptions'!$A$40:$A$42,0))*INDEX('Model Inputs &amp; Assumptions'!$H$40:$H$42,MATCH('Model Inputs &amp; Assumptions'!$L$34,'Model Inputs &amp; Assumptions'!$A$40:$A$42,0))</f>
        <v>309855.092308136</v>
      </c>
      <c r="K3322" s="49" t="n">
        <f aca="false">H3322*INDEX('Model Inputs &amp; Assumptions'!$G$40:$G$42,MATCH('Model Inputs &amp; Assumptions'!$L$34,'Model Inputs &amp; Assumptions'!$A$40:$A$42,0))*INDEX('Model Inputs &amp; Assumptions'!$H$40:$H$42,MATCH('Model Inputs &amp; Assumptions'!$L$34,'Model Inputs &amp; Assumptions'!$A$40:$A$42,0))</f>
        <v>6832.3047853944</v>
      </c>
      <c r="L3322" s="51" t="n">
        <f aca="false">IFERROR(K3322/I3322,0)</f>
        <v>1.44375985998233</v>
      </c>
      <c r="M3322" s="49" t="n">
        <f aca="false">IFERROR(I3322/H3322,0)</f>
        <v>109.962885380359</v>
      </c>
      <c r="N3322" s="52" t="str">
        <f aca="false">'Model Inputs &amp; Assumptions'!$L$34</f>
        <v>PRD-USIQ</v>
      </c>
      <c r="P3322" s="53" t="n">
        <v>0.72467</v>
      </c>
      <c r="Q3322" s="53" t="n">
        <v>0.92917</v>
      </c>
      <c r="R3322" s="53" t="n">
        <v>-1.708327</v>
      </c>
      <c r="S3322" s="53" t="n">
        <v>-1.059559</v>
      </c>
    </row>
    <row r="3323" customFormat="false" ht="15" hidden="false" customHeight="false" outlineLevel="0" collapsed="false">
      <c r="A3323" s="43" t="n">
        <v>320</v>
      </c>
      <c r="B3323" s="44" t="str">
        <f aca="false">'Model Inputs &amp; Assumptions'!$B$34</f>
        <v>Meta — Lookalike Feed Video</v>
      </c>
      <c r="C3323" s="45" t="n">
        <f aca="false">ROUND(MAX(0,'Model Inputs &amp; Assumptions'!$S$34*EXP('Model Inputs &amp; Assumptions'!$T$34*P3323-'Model Inputs &amp; Assumptions'!$T$34^2/2)),0)</f>
        <v>369369</v>
      </c>
      <c r="D3323" s="46" t="n">
        <f aca="false">MIN(1,'Model Inputs &amp; Assumptions'!$U$34*EXP('Model Inputs &amp; Assumptions'!$V$34*Q3323-'Model Inputs &amp; Assumptions'!$V$34^2/2))</f>
        <v>0.21693578518118</v>
      </c>
      <c r="E3323" s="45" t="n">
        <f aca="false">ROUND(C3323*D3323,0)</f>
        <v>80129</v>
      </c>
      <c r="F3323" s="47" t="n">
        <f aca="false">MIN(1,'Model Inputs &amp; Assumptions'!$W$34*EXP('Model Inputs &amp; Assumptions'!$X$34*R3323-'Model Inputs &amp; Assumptions'!$X$34^2/2))</f>
        <v>0.00563848577147662</v>
      </c>
      <c r="G3323" s="45" t="n">
        <f aca="false">ROUND(C3323*F3323,0)</f>
        <v>2083</v>
      </c>
      <c r="H3323" s="48" t="n">
        <f aca="false">MAX(0,(C3323*'Model Inputs &amp; Assumptions'!$N$34+E3323*'Model Inputs &amp; Assumptions'!$O$34+G3323*'Model Inputs &amp; Assumptions'!$P$34)*EXP('Model Inputs &amp; Assumptions'!$Q$34*S3323-'Model Inputs &amp; Assumptions'!$Q$34^2/2))</f>
        <v>78.102199482911</v>
      </c>
      <c r="I3323" s="49" t="n">
        <f aca="false">IF('Model Inputs &amp; Assumptions'!$H$34="Fixed",'Model Inputs &amp; Assumptions'!$I$34*'Model Inputs &amp; Assumptions'!$K$34,IF('Model Inputs &amp; Assumptions'!$H$34="CPM",'Model Inputs &amp; Assumptions'!$I$34*'Model Inputs &amp; Assumptions'!$K$34*C3323/1000,IF('Model Inputs &amp; Assumptions'!$H$34="CPC",'Model Inputs &amp; Assumptions'!$I$34*'Model Inputs &amp; Assumptions'!$K$34*G3323,0)))</f>
        <v>3853.55</v>
      </c>
      <c r="J3323" s="50" t="n">
        <f aca="false">H3323*INDEX('Model Inputs &amp; Assumptions'!$D$40:$D$42,MATCH('Model Inputs &amp; Assumptions'!$L$34,'Model Inputs &amp; Assumptions'!$A$40:$A$42,0))*INDEX('Model Inputs &amp; Assumptions'!$H$40:$H$42,MATCH('Model Inputs &amp; Assumptions'!$L$34,'Model Inputs &amp; Assumptions'!$A$40:$A$42,0))</f>
        <v>562335.836276959</v>
      </c>
      <c r="K3323" s="49" t="n">
        <f aca="false">H3323*INDEX('Model Inputs &amp; Assumptions'!$G$40:$G$42,MATCH('Model Inputs &amp; Assumptions'!$L$34,'Model Inputs &amp; Assumptions'!$A$40:$A$42,0))*INDEX('Model Inputs &amp; Assumptions'!$H$40:$H$42,MATCH('Model Inputs &amp; Assumptions'!$L$34,'Model Inputs &amp; Assumptions'!$A$40:$A$42,0))</f>
        <v>12399.5051899069</v>
      </c>
      <c r="L3323" s="51" t="n">
        <f aca="false">IFERROR(K3323/I3323,0)</f>
        <v>3.21768374353698</v>
      </c>
      <c r="M3323" s="49" t="n">
        <f aca="false">IFERROR(I3323/H3323,0)</f>
        <v>49.3398396653755</v>
      </c>
      <c r="N3323" s="52" t="str">
        <f aca="false">'Model Inputs &amp; Assumptions'!$L$34</f>
        <v>PRD-USIQ</v>
      </c>
      <c r="P3323" s="53" t="n">
        <v>-1.610159</v>
      </c>
      <c r="Q3323" s="53" t="n">
        <v>-0.285487</v>
      </c>
      <c r="R3323" s="53" t="n">
        <v>-0.255244</v>
      </c>
      <c r="S3323" s="53" t="n">
        <v>1.676729</v>
      </c>
    </row>
    <row r="3324" customFormat="false" ht="15" hidden="false" customHeight="false" outlineLevel="0" collapsed="false">
      <c r="A3324" s="43" t="n">
        <v>321</v>
      </c>
      <c r="B3324" s="44" t="str">
        <f aca="false">'Model Inputs &amp; Assumptions'!$B$34</f>
        <v>Meta — Lookalike Feed Video</v>
      </c>
      <c r="C3324" s="45" t="n">
        <f aca="false">ROUND(MAX(0,'Model Inputs &amp; Assumptions'!$S$34*EXP('Model Inputs &amp; Assumptions'!$T$34*P3324-'Model Inputs &amp; Assumptions'!$T$34^2/2)),0)</f>
        <v>682841</v>
      </c>
      <c r="D3324" s="46" t="n">
        <f aca="false">MIN(1,'Model Inputs &amp; Assumptions'!$U$34*EXP('Model Inputs &amp; Assumptions'!$V$34*Q3324-'Model Inputs &amp; Assumptions'!$V$34^2/2))</f>
        <v>0.249178829368186</v>
      </c>
      <c r="E3324" s="45" t="n">
        <f aca="false">ROUND(C3324*D3324,0)</f>
        <v>170150</v>
      </c>
      <c r="F3324" s="47" t="n">
        <f aca="false">MIN(1,'Model Inputs &amp; Assumptions'!$W$34*EXP('Model Inputs &amp; Assumptions'!$X$34*R3324-'Model Inputs &amp; Assumptions'!$X$34^2/2))</f>
        <v>0.00504399501211889</v>
      </c>
      <c r="G3324" s="45" t="n">
        <f aca="false">ROUND(C3324*F3324,0)</f>
        <v>3444</v>
      </c>
      <c r="H3324" s="48" t="n">
        <f aca="false">MAX(0,(C3324*'Model Inputs &amp; Assumptions'!$N$34+E3324*'Model Inputs &amp; Assumptions'!$O$34+G3324*'Model Inputs &amp; Assumptions'!$P$34)*EXP('Model Inputs &amp; Assumptions'!$Q$34*S3324-'Model Inputs &amp; Assumptions'!$Q$34^2/2))</f>
        <v>61.8986344547149</v>
      </c>
      <c r="I3324" s="49" t="n">
        <f aca="false">IF('Model Inputs &amp; Assumptions'!$H$34="Fixed",'Model Inputs &amp; Assumptions'!$I$34*'Model Inputs &amp; Assumptions'!$K$34,IF('Model Inputs &amp; Assumptions'!$H$34="CPM",'Model Inputs &amp; Assumptions'!$I$34*'Model Inputs &amp; Assumptions'!$K$34*C3324/1000,IF('Model Inputs &amp; Assumptions'!$H$34="CPC",'Model Inputs &amp; Assumptions'!$I$34*'Model Inputs &amp; Assumptions'!$K$34*G3324,0)))</f>
        <v>6371.4</v>
      </c>
      <c r="J3324" s="50" t="n">
        <f aca="false">H3324*INDEX('Model Inputs &amp; Assumptions'!$D$40:$D$42,MATCH('Model Inputs &amp; Assumptions'!$L$34,'Model Inputs &amp; Assumptions'!$A$40:$A$42,0))*INDEX('Model Inputs &amp; Assumptions'!$H$40:$H$42,MATCH('Model Inputs &amp; Assumptions'!$L$34,'Model Inputs &amp; Assumptions'!$A$40:$A$42,0))</f>
        <v>445670.168073947</v>
      </c>
      <c r="K3324" s="49" t="n">
        <f aca="false">H3324*INDEX('Model Inputs &amp; Assumptions'!$G$40:$G$42,MATCH('Model Inputs &amp; Assumptions'!$L$34,'Model Inputs &amp; Assumptions'!$A$40:$A$42,0))*INDEX('Model Inputs &amp; Assumptions'!$H$40:$H$42,MATCH('Model Inputs &amp; Assumptions'!$L$34,'Model Inputs &amp; Assumptions'!$A$40:$A$42,0))</f>
        <v>9827.02720603054</v>
      </c>
      <c r="L3324" s="51" t="n">
        <f aca="false">IFERROR(K3324/I3324,0)</f>
        <v>1.54236544653146</v>
      </c>
      <c r="M3324" s="49" t="n">
        <f aca="false">IFERROR(I3324/H3324,0)</f>
        <v>102.932803867609</v>
      </c>
      <c r="N3324" s="52" t="str">
        <f aca="false">'Model Inputs &amp; Assumptions'!$L$34</f>
        <v>PRD-USIQ</v>
      </c>
      <c r="P3324" s="53" t="n">
        <v>1.462163</v>
      </c>
      <c r="Q3324" s="53" t="n">
        <v>0.580572</v>
      </c>
      <c r="R3324" s="53" t="n">
        <v>-0.874228</v>
      </c>
      <c r="S3324" s="53" t="n">
        <v>-0.73751</v>
      </c>
    </row>
    <row r="3325" customFormat="false" ht="15" hidden="false" customHeight="false" outlineLevel="0" collapsed="false">
      <c r="A3325" s="43" t="n">
        <v>322</v>
      </c>
      <c r="B3325" s="44" t="str">
        <f aca="false">'Model Inputs &amp; Assumptions'!$B$34</f>
        <v>Meta — Lookalike Feed Video</v>
      </c>
      <c r="C3325" s="45" t="n">
        <f aca="false">ROUND(MAX(0,'Model Inputs &amp; Assumptions'!$S$34*EXP('Model Inputs &amp; Assumptions'!$T$34*P3325-'Model Inputs &amp; Assumptions'!$T$34^2/2)),0)</f>
        <v>646116</v>
      </c>
      <c r="D3325" s="46" t="n">
        <f aca="false">MIN(1,'Model Inputs &amp; Assumptions'!$U$34*EXP('Model Inputs &amp; Assumptions'!$V$34*Q3325-'Model Inputs &amp; Assumptions'!$V$34^2/2))</f>
        <v>0.270144820904883</v>
      </c>
      <c r="E3325" s="45" t="n">
        <f aca="false">ROUND(C3325*D3325,0)</f>
        <v>174545</v>
      </c>
      <c r="F3325" s="47" t="n">
        <f aca="false">MIN(1,'Model Inputs &amp; Assumptions'!$W$34*EXP('Model Inputs &amp; Assumptions'!$X$34*R3325-'Model Inputs &amp; Assumptions'!$X$34^2/2))</f>
        <v>0.00470984486080579</v>
      </c>
      <c r="G3325" s="45" t="n">
        <f aca="false">ROUND(C3325*F3325,0)</f>
        <v>3043</v>
      </c>
      <c r="H3325" s="48" t="n">
        <f aca="false">MAX(0,(C3325*'Model Inputs &amp; Assumptions'!$N$34+E3325*'Model Inputs &amp; Assumptions'!$O$34+G3325*'Model Inputs &amp; Assumptions'!$P$34)*EXP('Model Inputs &amp; Assumptions'!$Q$34*S3325-'Model Inputs &amp; Assumptions'!$Q$34^2/2))</f>
        <v>53.0201772132177</v>
      </c>
      <c r="I3325" s="49" t="n">
        <f aca="false">IF('Model Inputs &amp; Assumptions'!$H$34="Fixed",'Model Inputs &amp; Assumptions'!$I$34*'Model Inputs &amp; Assumptions'!$K$34,IF('Model Inputs &amp; Assumptions'!$H$34="CPM",'Model Inputs &amp; Assumptions'!$I$34*'Model Inputs &amp; Assumptions'!$K$34*C3325/1000,IF('Model Inputs &amp; Assumptions'!$H$34="CPC",'Model Inputs &amp; Assumptions'!$I$34*'Model Inputs &amp; Assumptions'!$K$34*G3325,0)))</f>
        <v>5629.55</v>
      </c>
      <c r="J3325" s="50" t="n">
        <f aca="false">H3325*INDEX('Model Inputs &amp; Assumptions'!$D$40:$D$42,MATCH('Model Inputs &amp; Assumptions'!$L$34,'Model Inputs &amp; Assumptions'!$A$40:$A$42,0))*INDEX('Model Inputs &amp; Assumptions'!$H$40:$H$42,MATCH('Model Inputs &amp; Assumptions'!$L$34,'Model Inputs &amp; Assumptions'!$A$40:$A$42,0))</f>
        <v>381745.275935167</v>
      </c>
      <c r="K3325" s="49" t="n">
        <f aca="false">H3325*INDEX('Model Inputs &amp; Assumptions'!$G$40:$G$42,MATCH('Model Inputs &amp; Assumptions'!$L$34,'Model Inputs &amp; Assumptions'!$A$40:$A$42,0))*INDEX('Model Inputs &amp; Assumptions'!$H$40:$H$42,MATCH('Model Inputs &amp; Assumptions'!$L$34,'Model Inputs &amp; Assumptions'!$A$40:$A$42,0))</f>
        <v>8417.48333437043</v>
      </c>
      <c r="L3325" s="51" t="n">
        <f aca="false">IFERROR(K3325/I3325,0)</f>
        <v>1.49523200511061</v>
      </c>
      <c r="M3325" s="49" t="n">
        <f aca="false">IFERROR(I3325/H3325,0)</f>
        <v>106.177502526276</v>
      </c>
      <c r="N3325" s="52" t="str">
        <f aca="false">'Model Inputs &amp; Assumptions'!$L$34</f>
        <v>PRD-USIQ</v>
      </c>
      <c r="P3325" s="53" t="n">
        <v>1.185752</v>
      </c>
      <c r="Q3325" s="53" t="n">
        <v>1.085493</v>
      </c>
      <c r="R3325" s="53" t="n">
        <v>-1.255025</v>
      </c>
      <c r="S3325" s="53" t="n">
        <v>-0.91644</v>
      </c>
    </row>
    <row r="3326" customFormat="false" ht="15" hidden="false" customHeight="false" outlineLevel="0" collapsed="false">
      <c r="A3326" s="43" t="n">
        <v>323</v>
      </c>
      <c r="B3326" s="44" t="str">
        <f aca="false">'Model Inputs &amp; Assumptions'!$B$34</f>
        <v>Meta — Lookalike Feed Video</v>
      </c>
      <c r="C3326" s="45" t="n">
        <f aca="false">ROUND(MAX(0,'Model Inputs &amp; Assumptions'!$S$34*EXP('Model Inputs &amp; Assumptions'!$T$34*P3326-'Model Inputs &amp; Assumptions'!$T$34^2/2)),0)</f>
        <v>434305</v>
      </c>
      <c r="D3326" s="46" t="n">
        <f aca="false">MIN(1,'Model Inputs &amp; Assumptions'!$U$34*EXP('Model Inputs &amp; Assumptions'!$V$34*Q3326-'Model Inputs &amp; Assumptions'!$V$34^2/2))</f>
        <v>0.362344055105628</v>
      </c>
      <c r="E3326" s="45" t="n">
        <f aca="false">ROUND(C3326*D3326,0)</f>
        <v>157368</v>
      </c>
      <c r="F3326" s="47" t="n">
        <f aca="false">MIN(1,'Model Inputs &amp; Assumptions'!$W$34*EXP('Model Inputs &amp; Assumptions'!$X$34*R3326-'Model Inputs &amp; Assumptions'!$X$34^2/2))</f>
        <v>0.0076081699949368</v>
      </c>
      <c r="G3326" s="45" t="n">
        <f aca="false">ROUND(C3326*F3326,0)</f>
        <v>3304</v>
      </c>
      <c r="H3326" s="48" t="n">
        <f aca="false">MAX(0,(C3326*'Model Inputs &amp; Assumptions'!$N$34+E3326*'Model Inputs &amp; Assumptions'!$O$34+G3326*'Model Inputs &amp; Assumptions'!$P$34)*EXP('Model Inputs &amp; Assumptions'!$Q$34*S3326-'Model Inputs &amp; Assumptions'!$Q$34^2/2))</f>
        <v>70.055316799947</v>
      </c>
      <c r="I3326" s="49" t="n">
        <f aca="false">IF('Model Inputs &amp; Assumptions'!$H$34="Fixed",'Model Inputs &amp; Assumptions'!$I$34*'Model Inputs &amp; Assumptions'!$K$34,IF('Model Inputs &amp; Assumptions'!$H$34="CPM",'Model Inputs &amp; Assumptions'!$I$34*'Model Inputs &amp; Assumptions'!$K$34*C3326/1000,IF('Model Inputs &amp; Assumptions'!$H$34="CPC",'Model Inputs &amp; Assumptions'!$I$34*'Model Inputs &amp; Assumptions'!$K$34*G3326,0)))</f>
        <v>6112.4</v>
      </c>
      <c r="J3326" s="50" t="n">
        <f aca="false">H3326*INDEX('Model Inputs &amp; Assumptions'!$D$40:$D$42,MATCH('Model Inputs &amp; Assumptions'!$L$34,'Model Inputs &amp; Assumptions'!$A$40:$A$42,0))*INDEX('Model Inputs &amp; Assumptions'!$H$40:$H$42,MATCH('Model Inputs &amp; Assumptions'!$L$34,'Model Inputs &amp; Assumptions'!$A$40:$A$42,0))</f>
        <v>504398.280959618</v>
      </c>
      <c r="K3326" s="49" t="n">
        <f aca="false">H3326*INDEX('Model Inputs &amp; Assumptions'!$G$40:$G$42,MATCH('Model Inputs &amp; Assumptions'!$L$34,'Model Inputs &amp; Assumptions'!$A$40:$A$42,0))*INDEX('Model Inputs &amp; Assumptions'!$H$40:$H$42,MATCH('Model Inputs &amp; Assumptions'!$L$34,'Model Inputs &amp; Assumptions'!$A$40:$A$42,0))</f>
        <v>11121.9820951596</v>
      </c>
      <c r="L3326" s="51" t="n">
        <f aca="false">IFERROR(K3326/I3326,0)</f>
        <v>1.81957694116216</v>
      </c>
      <c r="M3326" s="49" t="n">
        <f aca="false">IFERROR(I3326/H3326,0)</f>
        <v>87.2510507297374</v>
      </c>
      <c r="N3326" s="52" t="str">
        <f aca="false">'Model Inputs &amp; Assumptions'!$L$34</f>
        <v>PRD-USIQ</v>
      </c>
      <c r="P3326" s="53" t="n">
        <v>-0.800406</v>
      </c>
      <c r="Q3326" s="53" t="n">
        <v>2.920718</v>
      </c>
      <c r="R3326" s="53" t="n">
        <v>1.40924</v>
      </c>
      <c r="S3326" s="53" t="n">
        <v>-0.202405</v>
      </c>
    </row>
    <row r="3327" customFormat="false" ht="15" hidden="false" customHeight="false" outlineLevel="0" collapsed="false">
      <c r="A3327" s="43" t="n">
        <v>324</v>
      </c>
      <c r="B3327" s="44" t="str">
        <f aca="false">'Model Inputs &amp; Assumptions'!$B$34</f>
        <v>Meta — Lookalike Feed Video</v>
      </c>
      <c r="C3327" s="45" t="n">
        <f aca="false">ROUND(MAX(0,'Model Inputs &amp; Assumptions'!$S$34*EXP('Model Inputs &amp; Assumptions'!$T$34*P3327-'Model Inputs &amp; Assumptions'!$T$34^2/2)),0)</f>
        <v>665907</v>
      </c>
      <c r="D3327" s="46" t="n">
        <f aca="false">MIN(1,'Model Inputs &amp; Assumptions'!$U$34*EXP('Model Inputs &amp; Assumptions'!$V$34*Q3327-'Model Inputs &amp; Assumptions'!$V$34^2/2))</f>
        <v>0.285132238936245</v>
      </c>
      <c r="E3327" s="45" t="n">
        <f aca="false">ROUND(C3327*D3327,0)</f>
        <v>189872</v>
      </c>
      <c r="F3327" s="47" t="n">
        <f aca="false">MIN(1,'Model Inputs &amp; Assumptions'!$W$34*EXP('Model Inputs &amp; Assumptions'!$X$34*R3327-'Model Inputs &amp; Assumptions'!$X$34^2/2))</f>
        <v>0.00560684722303055</v>
      </c>
      <c r="G3327" s="45" t="n">
        <f aca="false">ROUND(C3327*F3327,0)</f>
        <v>3734</v>
      </c>
      <c r="H3327" s="48" t="n">
        <f aca="false">MAX(0,(C3327*'Model Inputs &amp; Assumptions'!$N$34+E3327*'Model Inputs &amp; Assumptions'!$O$34+G3327*'Model Inputs &amp; Assumptions'!$P$34)*EXP('Model Inputs &amp; Assumptions'!$Q$34*S3327-'Model Inputs &amp; Assumptions'!$Q$34^2/2))</f>
        <v>78.1974994848234</v>
      </c>
      <c r="I3327" s="49" t="n">
        <f aca="false">IF('Model Inputs &amp; Assumptions'!$H$34="Fixed",'Model Inputs &amp; Assumptions'!$I$34*'Model Inputs &amp; Assumptions'!$K$34,IF('Model Inputs &amp; Assumptions'!$H$34="CPM",'Model Inputs &amp; Assumptions'!$I$34*'Model Inputs &amp; Assumptions'!$K$34*C3327/1000,IF('Model Inputs &amp; Assumptions'!$H$34="CPC",'Model Inputs &amp; Assumptions'!$I$34*'Model Inputs &amp; Assumptions'!$K$34*G3327,0)))</f>
        <v>6907.9</v>
      </c>
      <c r="J3327" s="50" t="n">
        <f aca="false">H3327*INDEX('Model Inputs &amp; Assumptions'!$D$40:$D$42,MATCH('Model Inputs &amp; Assumptions'!$L$34,'Model Inputs &amp; Assumptions'!$A$40:$A$42,0))*INDEX('Model Inputs &amp; Assumptions'!$H$40:$H$42,MATCH('Model Inputs &amp; Assumptions'!$L$34,'Model Inputs &amp; Assumptions'!$A$40:$A$42,0))</f>
        <v>563021.996290728</v>
      </c>
      <c r="K3327" s="49" t="n">
        <f aca="false">H3327*INDEX('Model Inputs &amp; Assumptions'!$G$40:$G$42,MATCH('Model Inputs &amp; Assumptions'!$L$34,'Model Inputs &amp; Assumptions'!$A$40:$A$42,0))*INDEX('Model Inputs &amp; Assumptions'!$H$40:$H$42,MATCH('Model Inputs &amp; Assumptions'!$L$34,'Model Inputs &amp; Assumptions'!$A$40:$A$42,0))</f>
        <v>12414.6350182106</v>
      </c>
      <c r="L3327" s="51" t="n">
        <f aca="false">IFERROR(K3327/I3327,0)</f>
        <v>1.79716484289155</v>
      </c>
      <c r="M3327" s="49" t="n">
        <f aca="false">IFERROR(I3327/H3327,0)</f>
        <v>88.3391418588863</v>
      </c>
      <c r="N3327" s="52" t="str">
        <f aca="false">'Model Inputs &amp; Assumptions'!$L$34</f>
        <v>PRD-USIQ</v>
      </c>
      <c r="P3327" s="53" t="n">
        <v>1.336606</v>
      </c>
      <c r="Q3327" s="53" t="n">
        <v>1.422961</v>
      </c>
      <c r="R3327" s="53" t="n">
        <v>-0.286505</v>
      </c>
      <c r="S3327" s="53" t="n">
        <v>-0.274762</v>
      </c>
    </row>
    <row r="3328" customFormat="false" ht="15" hidden="false" customHeight="false" outlineLevel="0" collapsed="false">
      <c r="A3328" s="43" t="n">
        <v>325</v>
      </c>
      <c r="B3328" s="44" t="str">
        <f aca="false">'Model Inputs &amp; Assumptions'!$B$34</f>
        <v>Meta — Lookalike Feed Video</v>
      </c>
      <c r="C3328" s="45" t="n">
        <f aca="false">ROUND(MAX(0,'Model Inputs &amp; Assumptions'!$S$34*EXP('Model Inputs &amp; Assumptions'!$T$34*P3328-'Model Inputs &amp; Assumptions'!$T$34^2/2)),0)</f>
        <v>481527</v>
      </c>
      <c r="D3328" s="46" t="n">
        <f aca="false">MIN(1,'Model Inputs &amp; Assumptions'!$U$34*EXP('Model Inputs &amp; Assumptions'!$V$34*Q3328-'Model Inputs &amp; Assumptions'!$V$34^2/2))</f>
        <v>0.155319795608292</v>
      </c>
      <c r="E3328" s="45" t="n">
        <f aca="false">ROUND(C3328*D3328,0)</f>
        <v>74791</v>
      </c>
      <c r="F3328" s="47" t="n">
        <f aca="false">MIN(1,'Model Inputs &amp; Assumptions'!$W$34*EXP('Model Inputs &amp; Assumptions'!$X$34*R3328-'Model Inputs &amp; Assumptions'!$X$34^2/2))</f>
        <v>0.00476225535082608</v>
      </c>
      <c r="G3328" s="45" t="n">
        <f aca="false">ROUND(C3328*F3328,0)</f>
        <v>2293</v>
      </c>
      <c r="H3328" s="48" t="n">
        <f aca="false">MAX(0,(C3328*'Model Inputs &amp; Assumptions'!$N$34+E3328*'Model Inputs &amp; Assumptions'!$O$34+G3328*'Model Inputs &amp; Assumptions'!$P$34)*EXP('Model Inputs &amp; Assumptions'!$Q$34*S3328-'Model Inputs &amp; Assumptions'!$Q$34^2/2))</f>
        <v>75.7181551278659</v>
      </c>
      <c r="I3328" s="49" t="n">
        <f aca="false">IF('Model Inputs &amp; Assumptions'!$H$34="Fixed",'Model Inputs &amp; Assumptions'!$I$34*'Model Inputs &amp; Assumptions'!$K$34,IF('Model Inputs &amp; Assumptions'!$H$34="CPM",'Model Inputs &amp; Assumptions'!$I$34*'Model Inputs &amp; Assumptions'!$K$34*C3328/1000,IF('Model Inputs &amp; Assumptions'!$H$34="CPC",'Model Inputs &amp; Assumptions'!$I$34*'Model Inputs &amp; Assumptions'!$K$34*G3328,0)))</f>
        <v>4242.05</v>
      </c>
      <c r="J3328" s="50" t="n">
        <f aca="false">H3328*INDEX('Model Inputs &amp; Assumptions'!$D$40:$D$42,MATCH('Model Inputs &amp; Assumptions'!$L$34,'Model Inputs &amp; Assumptions'!$A$40:$A$42,0))*INDEX('Model Inputs &amp; Assumptions'!$H$40:$H$42,MATCH('Model Inputs &amp; Assumptions'!$L$34,'Model Inputs &amp; Assumptions'!$A$40:$A$42,0))</f>
        <v>545170.716920634</v>
      </c>
      <c r="K3328" s="49" t="n">
        <f aca="false">H3328*INDEX('Model Inputs &amp; Assumptions'!$G$40:$G$42,MATCH('Model Inputs &amp; Assumptions'!$L$34,'Model Inputs &amp; Assumptions'!$A$40:$A$42,0))*INDEX('Model Inputs &amp; Assumptions'!$H$40:$H$42,MATCH('Model Inputs &amp; Assumptions'!$L$34,'Model Inputs &amp; Assumptions'!$A$40:$A$42,0))</f>
        <v>12021.0143081</v>
      </c>
      <c r="L3328" s="51" t="n">
        <f aca="false">IFERROR(K3328/I3328,0)</f>
        <v>2.83377478061314</v>
      </c>
      <c r="M3328" s="49" t="n">
        <f aca="false">IFERROR(I3328/H3328,0)</f>
        <v>56.0242123284226</v>
      </c>
      <c r="N3328" s="52" t="str">
        <f aca="false">'Model Inputs &amp; Assumptions'!$L$34</f>
        <v>PRD-USIQ</v>
      </c>
      <c r="P3328" s="53" t="n">
        <v>-0.284335</v>
      </c>
      <c r="Q3328" s="53" t="n">
        <v>-2.373707</v>
      </c>
      <c r="R3328" s="53" t="n">
        <v>-1.193545</v>
      </c>
      <c r="S3328" s="53" t="n">
        <v>1.343727</v>
      </c>
    </row>
    <row r="3329" customFormat="false" ht="15" hidden="false" customHeight="false" outlineLevel="0" collapsed="false">
      <c r="A3329" s="43" t="n">
        <v>326</v>
      </c>
      <c r="B3329" s="44" t="str">
        <f aca="false">'Model Inputs &amp; Assumptions'!$B$34</f>
        <v>Meta — Lookalike Feed Video</v>
      </c>
      <c r="C3329" s="45" t="n">
        <f aca="false">ROUND(MAX(0,'Model Inputs &amp; Assumptions'!$S$34*EXP('Model Inputs &amp; Assumptions'!$T$34*P3329-'Model Inputs &amp; Assumptions'!$T$34^2/2)),0)</f>
        <v>553312</v>
      </c>
      <c r="D3329" s="46" t="n">
        <f aca="false">MIN(1,'Model Inputs &amp; Assumptions'!$U$34*EXP('Model Inputs &amp; Assumptions'!$V$34*Q3329-'Model Inputs &amp; Assumptions'!$V$34^2/2))</f>
        <v>0.230232067397996</v>
      </c>
      <c r="E3329" s="45" t="n">
        <f aca="false">ROUND(C3329*D3329,0)</f>
        <v>127390</v>
      </c>
      <c r="F3329" s="47" t="n">
        <f aca="false">MIN(1,'Model Inputs &amp; Assumptions'!$W$34*EXP('Model Inputs &amp; Assumptions'!$X$34*R3329-'Model Inputs &amp; Assumptions'!$X$34^2/2))</f>
        <v>0.00446312578509419</v>
      </c>
      <c r="G3329" s="45" t="n">
        <f aca="false">ROUND(C3329*F3329,0)</f>
        <v>2470</v>
      </c>
      <c r="H3329" s="48" t="n">
        <f aca="false">MAX(0,(C3329*'Model Inputs &amp; Assumptions'!$N$34+E3329*'Model Inputs &amp; Assumptions'!$O$34+G3329*'Model Inputs &amp; Assumptions'!$P$34)*EXP('Model Inputs &amp; Assumptions'!$Q$34*S3329-'Model Inputs &amp; Assumptions'!$Q$34^2/2))</f>
        <v>87.2722926992287</v>
      </c>
      <c r="I3329" s="49" t="n">
        <f aca="false">IF('Model Inputs &amp; Assumptions'!$H$34="Fixed",'Model Inputs &amp; Assumptions'!$I$34*'Model Inputs &amp; Assumptions'!$K$34,IF('Model Inputs &amp; Assumptions'!$H$34="CPM",'Model Inputs &amp; Assumptions'!$I$34*'Model Inputs &amp; Assumptions'!$K$34*C3329/1000,IF('Model Inputs &amp; Assumptions'!$H$34="CPC",'Model Inputs &amp; Assumptions'!$I$34*'Model Inputs &amp; Assumptions'!$K$34*G3329,0)))</f>
        <v>4569.5</v>
      </c>
      <c r="J3329" s="50" t="n">
        <f aca="false">H3329*INDEX('Model Inputs &amp; Assumptions'!$D$40:$D$42,MATCH('Model Inputs &amp; Assumptions'!$L$34,'Model Inputs &amp; Assumptions'!$A$40:$A$42,0))*INDEX('Model Inputs &amp; Assumptions'!$H$40:$H$42,MATCH('Model Inputs &amp; Assumptions'!$L$34,'Model Inputs &amp; Assumptions'!$A$40:$A$42,0))</f>
        <v>628360.507434447</v>
      </c>
      <c r="K3329" s="49" t="n">
        <f aca="false">H3329*INDEX('Model Inputs &amp; Assumptions'!$G$40:$G$42,MATCH('Model Inputs &amp; Assumptions'!$L$34,'Model Inputs &amp; Assumptions'!$A$40:$A$42,0))*INDEX('Model Inputs &amp; Assumptions'!$H$40:$H$42,MATCH('Model Inputs &amp; Assumptions'!$L$34,'Model Inputs &amp; Assumptions'!$A$40:$A$42,0))</f>
        <v>13855.3491889296</v>
      </c>
      <c r="L3329" s="51" t="n">
        <f aca="false">IFERROR(K3329/I3329,0)</f>
        <v>3.03213681779835</v>
      </c>
      <c r="M3329" s="49" t="n">
        <f aca="false">IFERROR(I3329/H3329,0)</f>
        <v>52.3591148882512</v>
      </c>
      <c r="N3329" s="52" t="str">
        <f aca="false">'Model Inputs &amp; Assumptions'!$L$34</f>
        <v>PRD-USIQ</v>
      </c>
      <c r="P3329" s="53" t="n">
        <v>0.410466</v>
      </c>
      <c r="Q3329" s="53" t="n">
        <v>0.086303</v>
      </c>
      <c r="R3329" s="53" t="n">
        <v>-1.553945</v>
      </c>
      <c r="S3329" s="53" t="n">
        <v>1.352266</v>
      </c>
    </row>
    <row r="3330" customFormat="false" ht="15" hidden="false" customHeight="false" outlineLevel="0" collapsed="false">
      <c r="A3330" s="43" t="n">
        <v>327</v>
      </c>
      <c r="B3330" s="44" t="str">
        <f aca="false">'Model Inputs &amp; Assumptions'!$B$34</f>
        <v>Meta — Lookalike Feed Video</v>
      </c>
      <c r="C3330" s="45" t="n">
        <f aca="false">ROUND(MAX(0,'Model Inputs &amp; Assumptions'!$S$34*EXP('Model Inputs &amp; Assumptions'!$T$34*P3330-'Model Inputs &amp; Assumptions'!$T$34^2/2)),0)</f>
        <v>415506</v>
      </c>
      <c r="D3330" s="46" t="n">
        <f aca="false">MIN(1,'Model Inputs &amp; Assumptions'!$U$34*EXP('Model Inputs &amp; Assumptions'!$V$34*Q3330-'Model Inputs &amp; Assumptions'!$V$34^2/2))</f>
        <v>0.206240901215562</v>
      </c>
      <c r="E3330" s="45" t="n">
        <f aca="false">ROUND(C3330*D3330,0)</f>
        <v>85694</v>
      </c>
      <c r="F3330" s="47" t="n">
        <f aca="false">MIN(1,'Model Inputs &amp; Assumptions'!$W$34*EXP('Model Inputs &amp; Assumptions'!$X$34*R3330-'Model Inputs &amp; Assumptions'!$X$34^2/2))</f>
        <v>0.00681847710973596</v>
      </c>
      <c r="G3330" s="45" t="n">
        <f aca="false">ROUND(C3330*F3330,0)</f>
        <v>2833</v>
      </c>
      <c r="H3330" s="48" t="n">
        <f aca="false">MAX(0,(C3330*'Model Inputs &amp; Assumptions'!$N$34+E3330*'Model Inputs &amp; Assumptions'!$O$34+G3330*'Model Inputs &amp; Assumptions'!$P$34)*EXP('Model Inputs &amp; Assumptions'!$Q$34*S3330-'Model Inputs &amp; Assumptions'!$Q$34^2/2))</f>
        <v>110.51806651694</v>
      </c>
      <c r="I3330" s="49" t="n">
        <f aca="false">IF('Model Inputs &amp; Assumptions'!$H$34="Fixed",'Model Inputs &amp; Assumptions'!$I$34*'Model Inputs &amp; Assumptions'!$K$34,IF('Model Inputs &amp; Assumptions'!$H$34="CPM",'Model Inputs &amp; Assumptions'!$I$34*'Model Inputs &amp; Assumptions'!$K$34*C3330/1000,IF('Model Inputs &amp; Assumptions'!$H$34="CPC",'Model Inputs &amp; Assumptions'!$I$34*'Model Inputs &amp; Assumptions'!$K$34*G3330,0)))</f>
        <v>5241.05</v>
      </c>
      <c r="J3330" s="50" t="n">
        <f aca="false">H3330*INDEX('Model Inputs &amp; Assumptions'!$D$40:$D$42,MATCH('Model Inputs &amp; Assumptions'!$L$34,'Model Inputs &amp; Assumptions'!$A$40:$A$42,0))*INDEX('Model Inputs &amp; Assumptions'!$H$40:$H$42,MATCH('Model Inputs &amp; Assumptions'!$L$34,'Model Inputs &amp; Assumptions'!$A$40:$A$42,0))</f>
        <v>795730.078921966</v>
      </c>
      <c r="K3330" s="49" t="n">
        <f aca="false">H3330*INDEX('Model Inputs &amp; Assumptions'!$G$40:$G$42,MATCH('Model Inputs &amp; Assumptions'!$L$34,'Model Inputs &amp; Assumptions'!$A$40:$A$42,0))*INDEX('Model Inputs &amp; Assumptions'!$H$40:$H$42,MATCH('Model Inputs &amp; Assumptions'!$L$34,'Model Inputs &amp; Assumptions'!$A$40:$A$42,0))</f>
        <v>17545.8482402294</v>
      </c>
      <c r="L3330" s="51" t="n">
        <f aca="false">IFERROR(K3330/I3330,0)</f>
        <v>3.34777348818068</v>
      </c>
      <c r="M3330" s="49" t="n">
        <f aca="false">IFERROR(I3330/H3330,0)</f>
        <v>47.4225632530105</v>
      </c>
      <c r="N3330" s="52" t="str">
        <f aca="false">'Model Inputs &amp; Assumptions'!$L$34</f>
        <v>PRD-USIQ</v>
      </c>
      <c r="P3330" s="53" t="n">
        <v>-1.021662</v>
      </c>
      <c r="Q3330" s="53" t="n">
        <v>-0.601465</v>
      </c>
      <c r="R3330" s="53" t="n">
        <v>0.800426</v>
      </c>
      <c r="S3330" s="53" t="n">
        <v>1.890921</v>
      </c>
    </row>
    <row r="3331" customFormat="false" ht="15" hidden="false" customHeight="false" outlineLevel="0" collapsed="false">
      <c r="A3331" s="43" t="n">
        <v>328</v>
      </c>
      <c r="B3331" s="44" t="str">
        <f aca="false">'Model Inputs &amp; Assumptions'!$B$34</f>
        <v>Meta — Lookalike Feed Video</v>
      </c>
      <c r="C3331" s="45" t="n">
        <f aca="false">ROUND(MAX(0,'Model Inputs &amp; Assumptions'!$S$34*EXP('Model Inputs &amp; Assumptions'!$T$34*P3331-'Model Inputs &amp; Assumptions'!$T$34^2/2)),0)</f>
        <v>532229</v>
      </c>
      <c r="D3331" s="46" t="n">
        <f aca="false">MIN(1,'Model Inputs &amp; Assumptions'!$U$34*EXP('Model Inputs &amp; Assumptions'!$V$34*Q3331-'Model Inputs &amp; Assumptions'!$V$34^2/2))</f>
        <v>0.248287529795525</v>
      </c>
      <c r="E3331" s="45" t="n">
        <f aca="false">ROUND(C3331*D3331,0)</f>
        <v>132146</v>
      </c>
      <c r="F3331" s="47" t="n">
        <f aca="false">MIN(1,'Model Inputs &amp; Assumptions'!$W$34*EXP('Model Inputs &amp; Assumptions'!$X$34*R3331-'Model Inputs &amp; Assumptions'!$X$34^2/2))</f>
        <v>0.00803612634519806</v>
      </c>
      <c r="G3331" s="45" t="n">
        <f aca="false">ROUND(C3331*F3331,0)</f>
        <v>4277</v>
      </c>
      <c r="H3331" s="48" t="n">
        <f aca="false">MAX(0,(C3331*'Model Inputs &amp; Assumptions'!$N$34+E3331*'Model Inputs &amp; Assumptions'!$O$34+G3331*'Model Inputs &amp; Assumptions'!$P$34)*EXP('Model Inputs &amp; Assumptions'!$Q$34*S3331-'Model Inputs &amp; Assumptions'!$Q$34^2/2))</f>
        <v>70.1799184858523</v>
      </c>
      <c r="I3331" s="49" t="n">
        <f aca="false">IF('Model Inputs &amp; Assumptions'!$H$34="Fixed",'Model Inputs &amp; Assumptions'!$I$34*'Model Inputs &amp; Assumptions'!$K$34,IF('Model Inputs &amp; Assumptions'!$H$34="CPM",'Model Inputs &amp; Assumptions'!$I$34*'Model Inputs &amp; Assumptions'!$K$34*C3331/1000,IF('Model Inputs &amp; Assumptions'!$H$34="CPC",'Model Inputs &amp; Assumptions'!$I$34*'Model Inputs &amp; Assumptions'!$K$34*G3331,0)))</f>
        <v>7912.45</v>
      </c>
      <c r="J3331" s="50" t="n">
        <f aca="false">H3331*INDEX('Model Inputs &amp; Assumptions'!$D$40:$D$42,MATCH('Model Inputs &amp; Assumptions'!$L$34,'Model Inputs &amp; Assumptions'!$A$40:$A$42,0))*INDEX('Model Inputs &amp; Assumptions'!$H$40:$H$42,MATCH('Model Inputs &amp; Assumptions'!$L$34,'Model Inputs &amp; Assumptions'!$A$40:$A$42,0))</f>
        <v>505295.413098136</v>
      </c>
      <c r="K3331" s="49" t="n">
        <f aca="false">H3331*INDEX('Model Inputs &amp; Assumptions'!$G$40:$G$42,MATCH('Model Inputs &amp; Assumptions'!$L$34,'Model Inputs &amp; Assumptions'!$A$40:$A$42,0))*INDEX('Model Inputs &amp; Assumptions'!$H$40:$H$42,MATCH('Model Inputs &amp; Assumptions'!$L$34,'Model Inputs &amp; Assumptions'!$A$40:$A$42,0))</f>
        <v>11141.7638588139</v>
      </c>
      <c r="L3331" s="51" t="n">
        <f aca="false">IFERROR(K3331/I3331,0)</f>
        <v>1.40813071284039</v>
      </c>
      <c r="M3331" s="49" t="n">
        <f aca="false">IFERROR(I3331/H3331,0)</f>
        <v>112.745215023228</v>
      </c>
      <c r="N3331" s="52" t="str">
        <f aca="false">'Model Inputs &amp; Assumptions'!$L$34</f>
        <v>PRD-USIQ</v>
      </c>
      <c r="P3331" s="53" t="n">
        <v>0.216226</v>
      </c>
      <c r="Q3331" s="53" t="n">
        <v>0.558176</v>
      </c>
      <c r="R3331" s="53" t="n">
        <v>1.713265</v>
      </c>
      <c r="S3331" s="53" t="n">
        <v>-0.822652</v>
      </c>
    </row>
    <row r="3332" customFormat="false" ht="15" hidden="false" customHeight="false" outlineLevel="0" collapsed="false">
      <c r="A3332" s="43" t="n">
        <v>329</v>
      </c>
      <c r="B3332" s="44" t="str">
        <f aca="false">'Model Inputs &amp; Assumptions'!$B$34</f>
        <v>Meta — Lookalike Feed Video</v>
      </c>
      <c r="C3332" s="45" t="n">
        <f aca="false">ROUND(MAX(0,'Model Inputs &amp; Assumptions'!$S$34*EXP('Model Inputs &amp; Assumptions'!$T$34*P3332-'Model Inputs &amp; Assumptions'!$T$34^2/2)),0)</f>
        <v>453643</v>
      </c>
      <c r="D3332" s="46" t="n">
        <f aca="false">MIN(1,'Model Inputs &amp; Assumptions'!$U$34*EXP('Model Inputs &amp; Assumptions'!$V$34*Q3332-'Model Inputs &amp; Assumptions'!$V$34^2/2))</f>
        <v>0.23166082689308</v>
      </c>
      <c r="E3332" s="45" t="n">
        <f aca="false">ROUND(C3332*D3332,0)</f>
        <v>105091</v>
      </c>
      <c r="F3332" s="47" t="n">
        <f aca="false">MIN(1,'Model Inputs &amp; Assumptions'!$W$34*EXP('Model Inputs &amp; Assumptions'!$X$34*R3332-'Model Inputs &amp; Assumptions'!$X$34^2/2))</f>
        <v>0.00481694557581818</v>
      </c>
      <c r="G3332" s="45" t="n">
        <f aca="false">ROUND(C3332*F3332,0)</f>
        <v>2185</v>
      </c>
      <c r="H3332" s="48" t="n">
        <f aca="false">MAX(0,(C3332*'Model Inputs &amp; Assumptions'!$N$34+E3332*'Model Inputs &amp; Assumptions'!$O$34+G3332*'Model Inputs &amp; Assumptions'!$P$34)*EXP('Model Inputs &amp; Assumptions'!$Q$34*S3332-'Model Inputs &amp; Assumptions'!$Q$34^2/2))</f>
        <v>44.4821377753596</v>
      </c>
      <c r="I3332" s="49" t="n">
        <f aca="false">IF('Model Inputs &amp; Assumptions'!$H$34="Fixed",'Model Inputs &amp; Assumptions'!$I$34*'Model Inputs &amp; Assumptions'!$K$34,IF('Model Inputs &amp; Assumptions'!$H$34="CPM",'Model Inputs &amp; Assumptions'!$I$34*'Model Inputs &amp; Assumptions'!$K$34*C3332/1000,IF('Model Inputs &amp; Assumptions'!$H$34="CPC",'Model Inputs &amp; Assumptions'!$I$34*'Model Inputs &amp; Assumptions'!$K$34*G3332,0)))</f>
        <v>4042.25</v>
      </c>
      <c r="J3332" s="50" t="n">
        <f aca="false">H3332*INDEX('Model Inputs &amp; Assumptions'!$D$40:$D$42,MATCH('Model Inputs &amp; Assumptions'!$L$34,'Model Inputs &amp; Assumptions'!$A$40:$A$42,0))*INDEX('Model Inputs &amp; Assumptions'!$H$40:$H$42,MATCH('Model Inputs &amp; Assumptions'!$L$34,'Model Inputs &amp; Assumptions'!$A$40:$A$42,0))</f>
        <v>320271.391982589</v>
      </c>
      <c r="K3332" s="49" t="n">
        <f aca="false">H3332*INDEX('Model Inputs &amp; Assumptions'!$G$40:$G$42,MATCH('Model Inputs &amp; Assumptions'!$L$34,'Model Inputs &amp; Assumptions'!$A$40:$A$42,0))*INDEX('Model Inputs &amp; Assumptions'!$H$40:$H$42,MATCH('Model Inputs &amp; Assumptions'!$L$34,'Model Inputs &amp; Assumptions'!$A$40:$A$42,0))</f>
        <v>7061.98419321608</v>
      </c>
      <c r="L3332" s="51" t="n">
        <f aca="false">IFERROR(K3332/I3332,0)</f>
        <v>1.74704290759257</v>
      </c>
      <c r="M3332" s="49" t="n">
        <f aca="false">IFERROR(I3332/H3332,0)</f>
        <v>90.8735551428278</v>
      </c>
      <c r="N3332" s="52" t="str">
        <f aca="false">'Model Inputs &amp; Assumptions'!$L$34</f>
        <v>PRD-USIQ</v>
      </c>
      <c r="P3332" s="53" t="n">
        <v>-0.582594</v>
      </c>
      <c r="Q3332" s="53" t="n">
        <v>0.124969</v>
      </c>
      <c r="R3332" s="53" t="n">
        <v>-1.130108</v>
      </c>
      <c r="S3332" s="53" t="n">
        <v>-0.334428</v>
      </c>
    </row>
    <row r="3333" customFormat="false" ht="15" hidden="false" customHeight="false" outlineLevel="0" collapsed="false">
      <c r="A3333" s="43" t="n">
        <v>330</v>
      </c>
      <c r="B3333" s="44" t="str">
        <f aca="false">'Model Inputs &amp; Assumptions'!$B$34</f>
        <v>Meta — Lookalike Feed Video</v>
      </c>
      <c r="C3333" s="45" t="n">
        <f aca="false">ROUND(MAX(0,'Model Inputs &amp; Assumptions'!$S$34*EXP('Model Inputs &amp; Assumptions'!$T$34*P3333-'Model Inputs &amp; Assumptions'!$T$34^2/2)),0)</f>
        <v>487489</v>
      </c>
      <c r="D3333" s="46" t="n">
        <f aca="false">MIN(1,'Model Inputs &amp; Assumptions'!$U$34*EXP('Model Inputs &amp; Assumptions'!$V$34*Q3333-'Model Inputs &amp; Assumptions'!$V$34^2/2))</f>
        <v>0.254843805216443</v>
      </c>
      <c r="E3333" s="45" t="n">
        <f aca="false">ROUND(C3333*D3333,0)</f>
        <v>124234</v>
      </c>
      <c r="F3333" s="47" t="n">
        <f aca="false">MIN(1,'Model Inputs &amp; Assumptions'!$W$34*EXP('Model Inputs &amp; Assumptions'!$X$34*R3333-'Model Inputs &amp; Assumptions'!$X$34^2/2))</f>
        <v>0.00744327209016686</v>
      </c>
      <c r="G3333" s="45" t="n">
        <f aca="false">ROUND(C3333*F3333,0)</f>
        <v>3629</v>
      </c>
      <c r="H3333" s="48" t="n">
        <f aca="false">MAX(0,(C3333*'Model Inputs &amp; Assumptions'!$N$34+E3333*'Model Inputs &amp; Assumptions'!$O$34+G3333*'Model Inputs &amp; Assumptions'!$P$34)*EXP('Model Inputs &amp; Assumptions'!$Q$34*S3333-'Model Inputs &amp; Assumptions'!$Q$34^2/2))</f>
        <v>99.0102694617398</v>
      </c>
      <c r="I3333" s="49" t="n">
        <f aca="false">IF('Model Inputs &amp; Assumptions'!$H$34="Fixed",'Model Inputs &amp; Assumptions'!$I$34*'Model Inputs &amp; Assumptions'!$K$34,IF('Model Inputs &amp; Assumptions'!$H$34="CPM",'Model Inputs &amp; Assumptions'!$I$34*'Model Inputs &amp; Assumptions'!$K$34*C3333/1000,IF('Model Inputs &amp; Assumptions'!$H$34="CPC",'Model Inputs &amp; Assumptions'!$I$34*'Model Inputs &amp; Assumptions'!$K$34*G3333,0)))</f>
        <v>6713.65</v>
      </c>
      <c r="J3333" s="50" t="n">
        <f aca="false">H3333*INDEX('Model Inputs &amp; Assumptions'!$D$40:$D$42,MATCH('Model Inputs &amp; Assumptions'!$L$34,'Model Inputs &amp; Assumptions'!$A$40:$A$42,0))*INDEX('Model Inputs &amp; Assumptions'!$H$40:$H$42,MATCH('Model Inputs &amp; Assumptions'!$L$34,'Model Inputs &amp; Assumptions'!$A$40:$A$42,0))</f>
        <v>712873.940124527</v>
      </c>
      <c r="K3333" s="49" t="n">
        <f aca="false">H3333*INDEX('Model Inputs &amp; Assumptions'!$G$40:$G$42,MATCH('Model Inputs &amp; Assumptions'!$L$34,'Model Inputs &amp; Assumptions'!$A$40:$A$42,0))*INDEX('Model Inputs &amp; Assumptions'!$H$40:$H$42,MATCH('Model Inputs &amp; Assumptions'!$L$34,'Model Inputs &amp; Assumptions'!$A$40:$A$42,0))</f>
        <v>15718.8703797458</v>
      </c>
      <c r="L3333" s="51" t="n">
        <f aca="false">IFERROR(K3333/I3333,0)</f>
        <v>2.34133003355043</v>
      </c>
      <c r="M3333" s="49" t="n">
        <f aca="false">IFERROR(I3333/H3333,0)</f>
        <v>67.8076126496589</v>
      </c>
      <c r="N3333" s="52" t="str">
        <f aca="false">'Model Inputs &amp; Assumptions'!$L$34</f>
        <v>PRD-USIQ</v>
      </c>
      <c r="P3333" s="53" t="n">
        <v>-0.222801</v>
      </c>
      <c r="Q3333" s="53" t="n">
        <v>0.721072</v>
      </c>
      <c r="R3333" s="53" t="n">
        <v>1.287506</v>
      </c>
      <c r="S3333" s="53" t="n">
        <v>0.72937</v>
      </c>
    </row>
    <row r="3334" customFormat="false" ht="15" hidden="false" customHeight="false" outlineLevel="0" collapsed="false">
      <c r="A3334" s="43" t="n">
        <v>331</v>
      </c>
      <c r="B3334" s="44" t="str">
        <f aca="false">'Model Inputs &amp; Assumptions'!$B$34</f>
        <v>Meta — Lookalike Feed Video</v>
      </c>
      <c r="C3334" s="45" t="n">
        <f aca="false">ROUND(MAX(0,'Model Inputs &amp; Assumptions'!$S$34*EXP('Model Inputs &amp; Assumptions'!$T$34*P3334-'Model Inputs &amp; Assumptions'!$T$34^2/2)),0)</f>
        <v>463076</v>
      </c>
      <c r="D3334" s="46" t="n">
        <f aca="false">MIN(1,'Model Inputs &amp; Assumptions'!$U$34*EXP('Model Inputs &amp; Assumptions'!$V$34*Q3334-'Model Inputs &amp; Assumptions'!$V$34^2/2))</f>
        <v>0.132288659439318</v>
      </c>
      <c r="E3334" s="45" t="n">
        <f aca="false">ROUND(C3334*D3334,0)</f>
        <v>61260</v>
      </c>
      <c r="F3334" s="47" t="n">
        <f aca="false">MIN(1,'Model Inputs &amp; Assumptions'!$W$34*EXP('Model Inputs &amp; Assumptions'!$X$34*R3334-'Model Inputs &amp; Assumptions'!$X$34^2/2))</f>
        <v>0.00398179741527309</v>
      </c>
      <c r="G3334" s="45" t="n">
        <f aca="false">ROUND(C3334*F3334,0)</f>
        <v>1844</v>
      </c>
      <c r="H3334" s="48" t="n">
        <f aca="false">MAX(0,(C3334*'Model Inputs &amp; Assumptions'!$N$34+E3334*'Model Inputs &amp; Assumptions'!$O$34+G3334*'Model Inputs &amp; Assumptions'!$P$34)*EXP('Model Inputs &amp; Assumptions'!$Q$34*S3334-'Model Inputs &amp; Assumptions'!$Q$34^2/2))</f>
        <v>60.893484605597</v>
      </c>
      <c r="I3334" s="49" t="n">
        <f aca="false">IF('Model Inputs &amp; Assumptions'!$H$34="Fixed",'Model Inputs &amp; Assumptions'!$I$34*'Model Inputs &amp; Assumptions'!$K$34,IF('Model Inputs &amp; Assumptions'!$H$34="CPM",'Model Inputs &amp; Assumptions'!$I$34*'Model Inputs &amp; Assumptions'!$K$34*C3334/1000,IF('Model Inputs &amp; Assumptions'!$H$34="CPC",'Model Inputs &amp; Assumptions'!$I$34*'Model Inputs &amp; Assumptions'!$K$34*G3334,0)))</f>
        <v>3411.4</v>
      </c>
      <c r="J3334" s="50" t="n">
        <f aca="false">H3334*INDEX('Model Inputs &amp; Assumptions'!$D$40:$D$42,MATCH('Model Inputs &amp; Assumptions'!$L$34,'Model Inputs &amp; Assumptions'!$A$40:$A$42,0))*INDEX('Model Inputs &amp; Assumptions'!$H$40:$H$42,MATCH('Model Inputs &amp; Assumptions'!$L$34,'Model Inputs &amp; Assumptions'!$A$40:$A$42,0))</f>
        <v>438433.089160299</v>
      </c>
      <c r="K3334" s="49" t="n">
        <f aca="false">H3334*INDEX('Model Inputs &amp; Assumptions'!$G$40:$G$42,MATCH('Model Inputs &amp; Assumptions'!$L$34,'Model Inputs &amp; Assumptions'!$A$40:$A$42,0))*INDEX('Model Inputs &amp; Assumptions'!$H$40:$H$42,MATCH('Model Inputs &amp; Assumptions'!$L$34,'Model Inputs &amp; Assumptions'!$A$40:$A$42,0))</f>
        <v>9667.44961598458</v>
      </c>
      <c r="L3334" s="51" t="n">
        <f aca="false">IFERROR(K3334/I3334,0)</f>
        <v>2.83386574895485</v>
      </c>
      <c r="M3334" s="49" t="n">
        <f aca="false">IFERROR(I3334/H3334,0)</f>
        <v>56.0224139264719</v>
      </c>
      <c r="N3334" s="52" t="str">
        <f aca="false">'Model Inputs &amp; Assumptions'!$L$34</f>
        <v>PRD-USIQ</v>
      </c>
      <c r="P3334" s="53" t="n">
        <v>-0.479691</v>
      </c>
      <c r="Q3334" s="53" t="n">
        <v>-3.376831</v>
      </c>
      <c r="R3334" s="53" t="n">
        <v>-2.187923</v>
      </c>
      <c r="S3334" s="53" t="n">
        <v>1.337154</v>
      </c>
    </row>
    <row r="3335" customFormat="false" ht="15" hidden="false" customHeight="false" outlineLevel="0" collapsed="false">
      <c r="A3335" s="43" t="n">
        <v>332</v>
      </c>
      <c r="B3335" s="44" t="str">
        <f aca="false">'Model Inputs &amp; Assumptions'!$B$34</f>
        <v>Meta — Lookalike Feed Video</v>
      </c>
      <c r="C3335" s="45" t="n">
        <f aca="false">ROUND(MAX(0,'Model Inputs &amp; Assumptions'!$S$34*EXP('Model Inputs &amp; Assumptions'!$T$34*P3335-'Model Inputs &amp; Assumptions'!$T$34^2/2)),0)</f>
        <v>548646</v>
      </c>
      <c r="D3335" s="46" t="n">
        <f aca="false">MIN(1,'Model Inputs &amp; Assumptions'!$U$34*EXP('Model Inputs &amp; Assumptions'!$V$34*Q3335-'Model Inputs &amp; Assumptions'!$V$34^2/2))</f>
        <v>0.220045818136061</v>
      </c>
      <c r="E3335" s="45" t="n">
        <f aca="false">ROUND(C3335*D3335,0)</f>
        <v>120727</v>
      </c>
      <c r="F3335" s="47" t="n">
        <f aca="false">MIN(1,'Model Inputs &amp; Assumptions'!$W$34*EXP('Model Inputs &amp; Assumptions'!$X$34*R3335-'Model Inputs &amp; Assumptions'!$X$34^2/2))</f>
        <v>0.00660121306075631</v>
      </c>
      <c r="G3335" s="45" t="n">
        <f aca="false">ROUND(C3335*F3335,0)</f>
        <v>3622</v>
      </c>
      <c r="H3335" s="48" t="n">
        <f aca="false">MAX(0,(C3335*'Model Inputs &amp; Assumptions'!$N$34+E3335*'Model Inputs &amp; Assumptions'!$O$34+G3335*'Model Inputs &amp; Assumptions'!$P$34)*EXP('Model Inputs &amp; Assumptions'!$Q$34*S3335-'Model Inputs &amp; Assumptions'!$Q$34^2/2))</f>
        <v>99.3249585629612</v>
      </c>
      <c r="I3335" s="49" t="n">
        <f aca="false">IF('Model Inputs &amp; Assumptions'!$H$34="Fixed",'Model Inputs &amp; Assumptions'!$I$34*'Model Inputs &amp; Assumptions'!$K$34,IF('Model Inputs &amp; Assumptions'!$H$34="CPM",'Model Inputs &amp; Assumptions'!$I$34*'Model Inputs &amp; Assumptions'!$K$34*C3335/1000,IF('Model Inputs &amp; Assumptions'!$H$34="CPC",'Model Inputs &amp; Assumptions'!$I$34*'Model Inputs &amp; Assumptions'!$K$34*G3335,0)))</f>
        <v>6700.7</v>
      </c>
      <c r="J3335" s="50" t="n">
        <f aca="false">H3335*INDEX('Model Inputs &amp; Assumptions'!$D$40:$D$42,MATCH('Model Inputs &amp; Assumptions'!$L$34,'Model Inputs &amp; Assumptions'!$A$40:$A$42,0))*INDEX('Model Inputs &amp; Assumptions'!$H$40:$H$42,MATCH('Model Inputs &amp; Assumptions'!$L$34,'Model Inputs &amp; Assumptions'!$A$40:$A$42,0))</f>
        <v>715139.701653321</v>
      </c>
      <c r="K3335" s="49" t="n">
        <f aca="false">H3335*INDEX('Model Inputs &amp; Assumptions'!$G$40:$G$42,MATCH('Model Inputs &amp; Assumptions'!$L$34,'Model Inputs &amp; Assumptions'!$A$40:$A$42,0))*INDEX('Model Inputs &amp; Assumptions'!$H$40:$H$42,MATCH('Model Inputs &amp; Assumptions'!$L$34,'Model Inputs &amp; Assumptions'!$A$40:$A$42,0))</f>
        <v>15768.8304214557</v>
      </c>
      <c r="L3335" s="51" t="n">
        <f aca="false">IFERROR(K3335/I3335,0)</f>
        <v>2.35331091101761</v>
      </c>
      <c r="M3335" s="49" t="n">
        <f aca="false">IFERROR(I3335/H3335,0)</f>
        <v>67.4623991486741</v>
      </c>
      <c r="N3335" s="52" t="str">
        <f aca="false">'Model Inputs &amp; Assumptions'!$L$34</f>
        <v>PRD-USIQ</v>
      </c>
      <c r="P3335" s="53" t="n">
        <v>0.368127</v>
      </c>
      <c r="Q3335" s="53" t="n">
        <v>-0.196522</v>
      </c>
      <c r="R3335" s="53" t="n">
        <v>0.620522</v>
      </c>
      <c r="S3335" s="53" t="n">
        <v>0.755254</v>
      </c>
    </row>
    <row r="3336" customFormat="false" ht="15" hidden="false" customHeight="false" outlineLevel="0" collapsed="false">
      <c r="A3336" s="43" t="n">
        <v>333</v>
      </c>
      <c r="B3336" s="44" t="str">
        <f aca="false">'Model Inputs &amp; Assumptions'!$B$34</f>
        <v>Meta — Lookalike Feed Video</v>
      </c>
      <c r="C3336" s="45" t="n">
        <f aca="false">ROUND(MAX(0,'Model Inputs &amp; Assumptions'!$S$34*EXP('Model Inputs &amp; Assumptions'!$T$34*P3336-'Model Inputs &amp; Assumptions'!$T$34^2/2)),0)</f>
        <v>357904</v>
      </c>
      <c r="D3336" s="46" t="n">
        <f aca="false">MIN(1,'Model Inputs &amp; Assumptions'!$U$34*EXP('Model Inputs &amp; Assumptions'!$V$34*Q3336-'Model Inputs &amp; Assumptions'!$V$34^2/2))</f>
        <v>0.202853188679131</v>
      </c>
      <c r="E3336" s="45" t="n">
        <f aca="false">ROUND(C3336*D3336,0)</f>
        <v>72602</v>
      </c>
      <c r="F3336" s="47" t="n">
        <f aca="false">MIN(1,'Model Inputs &amp; Assumptions'!$W$34*EXP('Model Inputs &amp; Assumptions'!$X$34*R3336-'Model Inputs &amp; Assumptions'!$X$34^2/2))</f>
        <v>0.00565067196094921</v>
      </c>
      <c r="G3336" s="45" t="n">
        <f aca="false">ROUND(C3336*F3336,0)</f>
        <v>2022</v>
      </c>
      <c r="H3336" s="48" t="n">
        <f aca="false">MAX(0,(C3336*'Model Inputs &amp; Assumptions'!$N$34+E3336*'Model Inputs &amp; Assumptions'!$O$34+G3336*'Model Inputs &amp; Assumptions'!$P$34)*EXP('Model Inputs &amp; Assumptions'!$Q$34*S3336-'Model Inputs &amp; Assumptions'!$Q$34^2/2))</f>
        <v>45.6426305093345</v>
      </c>
      <c r="I3336" s="49" t="n">
        <f aca="false">IF('Model Inputs &amp; Assumptions'!$H$34="Fixed",'Model Inputs &amp; Assumptions'!$I$34*'Model Inputs &amp; Assumptions'!$K$34,IF('Model Inputs &amp; Assumptions'!$H$34="CPM",'Model Inputs &amp; Assumptions'!$I$34*'Model Inputs &amp; Assumptions'!$K$34*C3336/1000,IF('Model Inputs &amp; Assumptions'!$H$34="CPC",'Model Inputs &amp; Assumptions'!$I$34*'Model Inputs &amp; Assumptions'!$K$34*G3336,0)))</f>
        <v>3740.7</v>
      </c>
      <c r="J3336" s="50" t="n">
        <f aca="false">H3336*INDEX('Model Inputs &amp; Assumptions'!$D$40:$D$42,MATCH('Model Inputs &amp; Assumptions'!$L$34,'Model Inputs &amp; Assumptions'!$A$40:$A$42,0))*INDEX('Model Inputs &amp; Assumptions'!$H$40:$H$42,MATCH('Model Inputs &amp; Assumptions'!$L$34,'Model Inputs &amp; Assumptions'!$A$40:$A$42,0))</f>
        <v>328626.939667208</v>
      </c>
      <c r="K3336" s="49" t="n">
        <f aca="false">H3336*INDEX('Model Inputs &amp; Assumptions'!$G$40:$G$42,MATCH('Model Inputs &amp; Assumptions'!$L$34,'Model Inputs &amp; Assumptions'!$A$40:$A$42,0))*INDEX('Model Inputs &amp; Assumptions'!$H$40:$H$42,MATCH('Model Inputs &amp; Assumptions'!$L$34,'Model Inputs &amp; Assumptions'!$A$40:$A$42,0))</f>
        <v>7246.22401966194</v>
      </c>
      <c r="L3336" s="51" t="n">
        <f aca="false">IFERROR(K3336/I3336,0)</f>
        <v>1.93713048885555</v>
      </c>
      <c r="M3336" s="49" t="n">
        <f aca="false">IFERROR(I3336/H3336,0)</f>
        <v>81.9562754875616</v>
      </c>
      <c r="N3336" s="52" t="str">
        <f aca="false">'Model Inputs &amp; Assumptions'!$L$34</f>
        <v>PRD-USIQ</v>
      </c>
      <c r="P3336" s="53" t="n">
        <v>-1.76782</v>
      </c>
      <c r="Q3336" s="53" t="n">
        <v>-0.70498</v>
      </c>
      <c r="R3336" s="53" t="n">
        <v>-0.24325</v>
      </c>
      <c r="S3336" s="53" t="n">
        <v>0.118814</v>
      </c>
    </row>
    <row r="3337" customFormat="false" ht="15" hidden="false" customHeight="false" outlineLevel="0" collapsed="false">
      <c r="A3337" s="43" t="n">
        <v>334</v>
      </c>
      <c r="B3337" s="44" t="str">
        <f aca="false">'Model Inputs &amp; Assumptions'!$B$34</f>
        <v>Meta — Lookalike Feed Video</v>
      </c>
      <c r="C3337" s="45" t="n">
        <f aca="false">ROUND(MAX(0,'Model Inputs &amp; Assumptions'!$S$34*EXP('Model Inputs &amp; Assumptions'!$T$34*P3337-'Model Inputs &amp; Assumptions'!$T$34^2/2)),0)</f>
        <v>562382</v>
      </c>
      <c r="D3337" s="46" t="n">
        <f aca="false">MIN(1,'Model Inputs &amp; Assumptions'!$U$34*EXP('Model Inputs &amp; Assumptions'!$V$34*Q3337-'Model Inputs &amp; Assumptions'!$V$34^2/2))</f>
        <v>0.201031905425649</v>
      </c>
      <c r="E3337" s="45" t="n">
        <f aca="false">ROUND(C3337*D3337,0)</f>
        <v>113057</v>
      </c>
      <c r="F3337" s="47" t="n">
        <f aca="false">MIN(1,'Model Inputs &amp; Assumptions'!$W$34*EXP('Model Inputs &amp; Assumptions'!$X$34*R3337-'Model Inputs &amp; Assumptions'!$X$34^2/2))</f>
        <v>0.00591815609078818</v>
      </c>
      <c r="G3337" s="45" t="n">
        <f aca="false">ROUND(C3337*F3337,0)</f>
        <v>3328</v>
      </c>
      <c r="H3337" s="48" t="n">
        <f aca="false">MAX(0,(C3337*'Model Inputs &amp; Assumptions'!$N$34+E3337*'Model Inputs &amp; Assumptions'!$O$34+G3337*'Model Inputs &amp; Assumptions'!$P$34)*EXP('Model Inputs &amp; Assumptions'!$Q$34*S3337-'Model Inputs &amp; Assumptions'!$Q$34^2/2))</f>
        <v>85.7443640761665</v>
      </c>
      <c r="I3337" s="49" t="n">
        <f aca="false">IF('Model Inputs &amp; Assumptions'!$H$34="Fixed",'Model Inputs &amp; Assumptions'!$I$34*'Model Inputs &amp; Assumptions'!$K$34,IF('Model Inputs &amp; Assumptions'!$H$34="CPM",'Model Inputs &amp; Assumptions'!$I$34*'Model Inputs &amp; Assumptions'!$K$34*C3337/1000,IF('Model Inputs &amp; Assumptions'!$H$34="CPC",'Model Inputs &amp; Assumptions'!$I$34*'Model Inputs &amp; Assumptions'!$K$34*G3337,0)))</f>
        <v>6156.8</v>
      </c>
      <c r="J3337" s="50" t="n">
        <f aca="false">H3337*INDEX('Model Inputs &amp; Assumptions'!$D$40:$D$42,MATCH('Model Inputs &amp; Assumptions'!$L$34,'Model Inputs &amp; Assumptions'!$A$40:$A$42,0))*INDEX('Model Inputs &amp; Assumptions'!$H$40:$H$42,MATCH('Model Inputs &amp; Assumptions'!$L$34,'Model Inputs &amp; Assumptions'!$A$40:$A$42,0))</f>
        <v>617359.421348399</v>
      </c>
      <c r="K3337" s="49" t="n">
        <f aca="false">H3337*INDEX('Model Inputs &amp; Assumptions'!$G$40:$G$42,MATCH('Model Inputs &amp; Assumptions'!$L$34,'Model Inputs &amp; Assumptions'!$A$40:$A$42,0))*INDEX('Model Inputs &amp; Assumptions'!$H$40:$H$42,MATCH('Model Inputs &amp; Assumptions'!$L$34,'Model Inputs &amp; Assumptions'!$A$40:$A$42,0))</f>
        <v>13612.7752407322</v>
      </c>
      <c r="L3337" s="51" t="n">
        <f aca="false">IFERROR(K3337/I3337,0)</f>
        <v>2.21101468956799</v>
      </c>
      <c r="M3337" s="49" t="n">
        <f aca="false">IFERROR(I3337/H3337,0)</f>
        <v>71.8041362407322</v>
      </c>
      <c r="N3337" s="52" t="str">
        <f aca="false">'Model Inputs &amp; Assumptions'!$L$34</f>
        <v>PRD-USIQ</v>
      </c>
      <c r="P3337" s="53" t="n">
        <v>0.491767</v>
      </c>
      <c r="Q3337" s="53" t="n">
        <v>-0.761348</v>
      </c>
      <c r="R3337" s="53" t="n">
        <v>0.013697</v>
      </c>
      <c r="S3337" s="53" t="n">
        <v>0.553293</v>
      </c>
    </row>
    <row r="3338" customFormat="false" ht="15" hidden="false" customHeight="false" outlineLevel="0" collapsed="false">
      <c r="A3338" s="43" t="n">
        <v>335</v>
      </c>
      <c r="B3338" s="44" t="str">
        <f aca="false">'Model Inputs &amp; Assumptions'!$B$34</f>
        <v>Meta — Lookalike Feed Video</v>
      </c>
      <c r="C3338" s="45" t="n">
        <f aca="false">ROUND(MAX(0,'Model Inputs &amp; Assumptions'!$S$34*EXP('Model Inputs &amp; Assumptions'!$T$34*P3338-'Model Inputs &amp; Assumptions'!$T$34^2/2)),0)</f>
        <v>444288</v>
      </c>
      <c r="D3338" s="46" t="n">
        <f aca="false">MIN(1,'Model Inputs &amp; Assumptions'!$U$34*EXP('Model Inputs &amp; Assumptions'!$V$34*Q3338-'Model Inputs &amp; Assumptions'!$V$34^2/2))</f>
        <v>0.220622282189352</v>
      </c>
      <c r="E3338" s="45" t="n">
        <f aca="false">ROUND(C3338*D3338,0)</f>
        <v>98020</v>
      </c>
      <c r="F3338" s="47" t="n">
        <f aca="false">MIN(1,'Model Inputs &amp; Assumptions'!$W$34*EXP('Model Inputs &amp; Assumptions'!$X$34*R3338-'Model Inputs &amp; Assumptions'!$X$34^2/2))</f>
        <v>0.00587272510708825</v>
      </c>
      <c r="G3338" s="45" t="n">
        <f aca="false">ROUND(C3338*F3338,0)</f>
        <v>2609</v>
      </c>
      <c r="H3338" s="48" t="n">
        <f aca="false">MAX(0,(C3338*'Model Inputs &amp; Assumptions'!$N$34+E3338*'Model Inputs &amp; Assumptions'!$O$34+G3338*'Model Inputs &amp; Assumptions'!$P$34)*EXP('Model Inputs &amp; Assumptions'!$Q$34*S3338-'Model Inputs &amp; Assumptions'!$Q$34^2/2))</f>
        <v>118.085674657965</v>
      </c>
      <c r="I3338" s="49" t="n">
        <f aca="false">IF('Model Inputs &amp; Assumptions'!$H$34="Fixed",'Model Inputs &amp; Assumptions'!$I$34*'Model Inputs &amp; Assumptions'!$K$34,IF('Model Inputs &amp; Assumptions'!$H$34="CPM",'Model Inputs &amp; Assumptions'!$I$34*'Model Inputs &amp; Assumptions'!$K$34*C3338/1000,IF('Model Inputs &amp; Assumptions'!$H$34="CPC",'Model Inputs &amp; Assumptions'!$I$34*'Model Inputs &amp; Assumptions'!$K$34*G3338,0)))</f>
        <v>4826.65</v>
      </c>
      <c r="J3338" s="50" t="n">
        <f aca="false">H3338*INDEX('Model Inputs &amp; Assumptions'!$D$40:$D$42,MATCH('Model Inputs &amp; Assumptions'!$L$34,'Model Inputs &amp; Assumptions'!$A$40:$A$42,0))*INDEX('Model Inputs &amp; Assumptions'!$H$40:$H$42,MATCH('Model Inputs &amp; Assumptions'!$L$34,'Model Inputs &amp; Assumptions'!$A$40:$A$42,0))</f>
        <v>850216.857537351</v>
      </c>
      <c r="K3338" s="49" t="n">
        <f aca="false">H3338*INDEX('Model Inputs &amp; Assumptions'!$G$40:$G$42,MATCH('Model Inputs &amp; Assumptions'!$L$34,'Model Inputs &amp; Assumptions'!$A$40:$A$42,0))*INDEX('Model Inputs &amp; Assumptions'!$H$40:$H$42,MATCH('Model Inputs &amp; Assumptions'!$L$34,'Model Inputs &amp; Assumptions'!$A$40:$A$42,0))</f>
        <v>18747.2817086986</v>
      </c>
      <c r="L3338" s="51" t="n">
        <f aca="false">IFERROR(K3338/I3338,0)</f>
        <v>3.88411873840005</v>
      </c>
      <c r="M3338" s="49" t="n">
        <f aca="false">IFERROR(I3338/H3338,0)</f>
        <v>40.8741366298695</v>
      </c>
      <c r="N3338" s="52" t="str">
        <f aca="false">'Model Inputs &amp; Assumptions'!$L$34</f>
        <v>PRD-USIQ</v>
      </c>
      <c r="P3338" s="53" t="n">
        <v>-0.686776</v>
      </c>
      <c r="Q3338" s="53" t="n">
        <v>-0.18017</v>
      </c>
      <c r="R3338" s="53" t="n">
        <v>-0.029115</v>
      </c>
      <c r="S3338" s="53" t="n">
        <v>2.274706</v>
      </c>
    </row>
    <row r="3339" customFormat="false" ht="15" hidden="false" customHeight="false" outlineLevel="0" collapsed="false">
      <c r="A3339" s="43" t="n">
        <v>336</v>
      </c>
      <c r="B3339" s="44" t="str">
        <f aca="false">'Model Inputs &amp; Assumptions'!$B$34</f>
        <v>Meta — Lookalike Feed Video</v>
      </c>
      <c r="C3339" s="45" t="n">
        <f aca="false">ROUND(MAX(0,'Model Inputs &amp; Assumptions'!$S$34*EXP('Model Inputs &amp; Assumptions'!$T$34*P3339-'Model Inputs &amp; Assumptions'!$T$34^2/2)),0)</f>
        <v>384117</v>
      </c>
      <c r="D3339" s="46" t="n">
        <f aca="false">MIN(1,'Model Inputs &amp; Assumptions'!$U$34*EXP('Model Inputs &amp; Assumptions'!$V$34*Q3339-'Model Inputs &amp; Assumptions'!$V$34^2/2))</f>
        <v>0.284071835740038</v>
      </c>
      <c r="E3339" s="45" t="n">
        <f aca="false">ROUND(C3339*D3339,0)</f>
        <v>109117</v>
      </c>
      <c r="F3339" s="47" t="n">
        <f aca="false">MIN(1,'Model Inputs &amp; Assumptions'!$W$34*EXP('Model Inputs &amp; Assumptions'!$X$34*R3339-'Model Inputs &amp; Assumptions'!$X$34^2/2))</f>
        <v>0.00557633064301535</v>
      </c>
      <c r="G3339" s="45" t="n">
        <f aca="false">ROUND(C3339*F3339,0)</f>
        <v>2142</v>
      </c>
      <c r="H3339" s="48" t="n">
        <f aca="false">MAX(0,(C3339*'Model Inputs &amp; Assumptions'!$N$34+E3339*'Model Inputs &amp; Assumptions'!$O$34+G3339*'Model Inputs &amp; Assumptions'!$P$34)*EXP('Model Inputs &amp; Assumptions'!$Q$34*S3339-'Model Inputs &amp; Assumptions'!$Q$34^2/2))</f>
        <v>35.5193101921655</v>
      </c>
      <c r="I3339" s="49" t="n">
        <f aca="false">IF('Model Inputs &amp; Assumptions'!$H$34="Fixed",'Model Inputs &amp; Assumptions'!$I$34*'Model Inputs &amp; Assumptions'!$K$34,IF('Model Inputs &amp; Assumptions'!$H$34="CPM",'Model Inputs &amp; Assumptions'!$I$34*'Model Inputs &amp; Assumptions'!$K$34*C3339/1000,IF('Model Inputs &amp; Assumptions'!$H$34="CPC",'Model Inputs &amp; Assumptions'!$I$34*'Model Inputs &amp; Assumptions'!$K$34*G3339,0)))</f>
        <v>3962.7</v>
      </c>
      <c r="J3339" s="50" t="n">
        <f aca="false">H3339*INDEX('Model Inputs &amp; Assumptions'!$D$40:$D$42,MATCH('Model Inputs &amp; Assumptions'!$L$34,'Model Inputs &amp; Assumptions'!$A$40:$A$42,0))*INDEX('Model Inputs &amp; Assumptions'!$H$40:$H$42,MATCH('Model Inputs &amp; Assumptions'!$L$34,'Model Inputs &amp; Assumptions'!$A$40:$A$42,0))</f>
        <v>255739.033383592</v>
      </c>
      <c r="K3339" s="49" t="n">
        <f aca="false">H3339*INDEX('Model Inputs &amp; Assumptions'!$G$40:$G$42,MATCH('Model Inputs &amp; Assumptions'!$L$34,'Model Inputs &amp; Assumptions'!$A$40:$A$42,0))*INDEX('Model Inputs &amp; Assumptions'!$H$40:$H$42,MATCH('Model Inputs &amp; Assumptions'!$L$34,'Model Inputs &amp; Assumptions'!$A$40:$A$42,0))</f>
        <v>5639.0456861082</v>
      </c>
      <c r="L3339" s="51" t="n">
        <f aca="false">IFERROR(K3339/I3339,0)</f>
        <v>1.42303118734908</v>
      </c>
      <c r="M3339" s="49" t="n">
        <f aca="false">IFERROR(I3339/H3339,0)</f>
        <v>111.564666615458</v>
      </c>
      <c r="N3339" s="52" t="str">
        <f aca="false">'Model Inputs &amp; Assumptions'!$L$34</f>
        <v>PRD-USIQ</v>
      </c>
      <c r="P3339" s="53" t="n">
        <v>-1.414403</v>
      </c>
      <c r="Q3339" s="53" t="n">
        <v>1.399674</v>
      </c>
      <c r="R3339" s="53" t="n">
        <v>-0.316825</v>
      </c>
      <c r="S3339" s="53" t="n">
        <v>-1.00516</v>
      </c>
    </row>
    <row r="3340" customFormat="false" ht="15" hidden="false" customHeight="false" outlineLevel="0" collapsed="false">
      <c r="A3340" s="43" t="n">
        <v>337</v>
      </c>
      <c r="B3340" s="44" t="str">
        <f aca="false">'Model Inputs &amp; Assumptions'!$B$34</f>
        <v>Meta — Lookalike Feed Video</v>
      </c>
      <c r="C3340" s="45" t="n">
        <f aca="false">ROUND(MAX(0,'Model Inputs &amp; Assumptions'!$S$34*EXP('Model Inputs &amp; Assumptions'!$T$34*P3340-'Model Inputs &amp; Assumptions'!$T$34^2/2)),0)</f>
        <v>449203</v>
      </c>
      <c r="D3340" s="46" t="n">
        <f aca="false">MIN(1,'Model Inputs &amp; Assumptions'!$U$34*EXP('Model Inputs &amp; Assumptions'!$V$34*Q3340-'Model Inputs &amp; Assumptions'!$V$34^2/2))</f>
        <v>0.175703997875869</v>
      </c>
      <c r="E3340" s="45" t="n">
        <f aca="false">ROUND(C3340*D3340,0)</f>
        <v>78927</v>
      </c>
      <c r="F3340" s="47" t="n">
        <f aca="false">MIN(1,'Model Inputs &amp; Assumptions'!$W$34*EXP('Model Inputs &amp; Assumptions'!$X$34*R3340-'Model Inputs &amp; Assumptions'!$X$34^2/2))</f>
        <v>0.00572636511601375</v>
      </c>
      <c r="G3340" s="45" t="n">
        <f aca="false">ROUND(C3340*F3340,0)</f>
        <v>2572</v>
      </c>
      <c r="H3340" s="48" t="n">
        <f aca="false">MAX(0,(C3340*'Model Inputs &amp; Assumptions'!$N$34+E3340*'Model Inputs &amp; Assumptions'!$O$34+G3340*'Model Inputs &amp; Assumptions'!$P$34)*EXP('Model Inputs &amp; Assumptions'!$Q$34*S3340-'Model Inputs &amp; Assumptions'!$Q$34^2/2))</f>
        <v>69.3998024828016</v>
      </c>
      <c r="I3340" s="49" t="n">
        <f aca="false">IF('Model Inputs &amp; Assumptions'!$H$34="Fixed",'Model Inputs &amp; Assumptions'!$I$34*'Model Inputs &amp; Assumptions'!$K$34,IF('Model Inputs &amp; Assumptions'!$H$34="CPM",'Model Inputs &amp; Assumptions'!$I$34*'Model Inputs &amp; Assumptions'!$K$34*C3340/1000,IF('Model Inputs &amp; Assumptions'!$H$34="CPC",'Model Inputs &amp; Assumptions'!$I$34*'Model Inputs &amp; Assumptions'!$K$34*G3340,0)))</f>
        <v>4758.2</v>
      </c>
      <c r="J3340" s="50" t="n">
        <f aca="false">H3340*INDEX('Model Inputs &amp; Assumptions'!$D$40:$D$42,MATCH('Model Inputs &amp; Assumptions'!$L$34,'Model Inputs &amp; Assumptions'!$A$40:$A$42,0))*INDEX('Model Inputs &amp; Assumptions'!$H$40:$H$42,MATCH('Model Inputs &amp; Assumptions'!$L$34,'Model Inputs &amp; Assumptions'!$A$40:$A$42,0))</f>
        <v>499678.577876172</v>
      </c>
      <c r="K3340" s="49" t="n">
        <f aca="false">H3340*INDEX('Model Inputs &amp; Assumptions'!$G$40:$G$42,MATCH('Model Inputs &amp; Assumptions'!$L$34,'Model Inputs &amp; Assumptions'!$A$40:$A$42,0))*INDEX('Model Inputs &amp; Assumptions'!$H$40:$H$42,MATCH('Model Inputs &amp; Assumptions'!$L$34,'Model Inputs &amp; Assumptions'!$A$40:$A$42,0))</f>
        <v>11017.9126421696</v>
      </c>
      <c r="L3340" s="51" t="n">
        <f aca="false">IFERROR(K3340/I3340,0)</f>
        <v>2.31556316299643</v>
      </c>
      <c r="M3340" s="49" t="n">
        <f aca="false">IFERROR(I3340/H3340,0)</f>
        <v>68.5621547868116</v>
      </c>
      <c r="N3340" s="52" t="str">
        <f aca="false">'Model Inputs &amp; Assumptions'!$L$34</f>
        <v>PRD-USIQ</v>
      </c>
      <c r="P3340" s="53" t="n">
        <v>-0.631767</v>
      </c>
      <c r="Q3340" s="53" t="n">
        <v>-1.602991</v>
      </c>
      <c r="R3340" s="53" t="n">
        <v>-0.169325</v>
      </c>
      <c r="S3340" s="53" t="n">
        <v>0.734027</v>
      </c>
    </row>
    <row r="3341" customFormat="false" ht="15" hidden="false" customHeight="false" outlineLevel="0" collapsed="false">
      <c r="A3341" s="43" t="n">
        <v>338</v>
      </c>
      <c r="B3341" s="44" t="str">
        <f aca="false">'Model Inputs &amp; Assumptions'!$B$34</f>
        <v>Meta — Lookalike Feed Video</v>
      </c>
      <c r="C3341" s="45" t="n">
        <f aca="false">ROUND(MAX(0,'Model Inputs &amp; Assumptions'!$S$34*EXP('Model Inputs &amp; Assumptions'!$T$34*P3341-'Model Inputs &amp; Assumptions'!$T$34^2/2)),0)</f>
        <v>550283</v>
      </c>
      <c r="D3341" s="46" t="n">
        <f aca="false">MIN(1,'Model Inputs &amp; Assumptions'!$U$34*EXP('Model Inputs &amp; Assumptions'!$V$34*Q3341-'Model Inputs &amp; Assumptions'!$V$34^2/2))</f>
        <v>0.27947014437836</v>
      </c>
      <c r="E3341" s="45" t="n">
        <f aca="false">ROUND(C3341*D3341,0)</f>
        <v>153788</v>
      </c>
      <c r="F3341" s="47" t="n">
        <f aca="false">MIN(1,'Model Inputs &amp; Assumptions'!$W$34*EXP('Model Inputs &amp; Assumptions'!$X$34*R3341-'Model Inputs &amp; Assumptions'!$X$34^2/2))</f>
        <v>0.00539445486558762</v>
      </c>
      <c r="G3341" s="45" t="n">
        <f aca="false">ROUND(C3341*F3341,0)</f>
        <v>2968</v>
      </c>
      <c r="H3341" s="48" t="n">
        <f aca="false">MAX(0,(C3341*'Model Inputs &amp; Assumptions'!$N$34+E3341*'Model Inputs &amp; Assumptions'!$O$34+G3341*'Model Inputs &amp; Assumptions'!$P$34)*EXP('Model Inputs &amp; Assumptions'!$Q$34*S3341-'Model Inputs &amp; Assumptions'!$Q$34^2/2))</f>
        <v>69.7413036118207</v>
      </c>
      <c r="I3341" s="49" t="n">
        <f aca="false">IF('Model Inputs &amp; Assumptions'!$H$34="Fixed",'Model Inputs &amp; Assumptions'!$I$34*'Model Inputs &amp; Assumptions'!$K$34,IF('Model Inputs &amp; Assumptions'!$H$34="CPM",'Model Inputs &amp; Assumptions'!$I$34*'Model Inputs &amp; Assumptions'!$K$34*C3341/1000,IF('Model Inputs &amp; Assumptions'!$H$34="CPC",'Model Inputs &amp; Assumptions'!$I$34*'Model Inputs &amp; Assumptions'!$K$34*G3341,0)))</f>
        <v>5490.8</v>
      </c>
      <c r="J3341" s="50" t="n">
        <f aca="false">H3341*INDEX('Model Inputs &amp; Assumptions'!$D$40:$D$42,MATCH('Model Inputs &amp; Assumptions'!$L$34,'Model Inputs &amp; Assumptions'!$A$40:$A$42,0))*INDEX('Model Inputs &amp; Assumptions'!$H$40:$H$42,MATCH('Model Inputs &amp; Assumptions'!$L$34,'Model Inputs &amp; Assumptions'!$A$40:$A$42,0))</f>
        <v>502137.386005109</v>
      </c>
      <c r="K3341" s="49" t="n">
        <f aca="false">H3341*INDEX('Model Inputs &amp; Assumptions'!$G$40:$G$42,MATCH('Model Inputs &amp; Assumptions'!$L$34,'Model Inputs &amp; Assumptions'!$A$40:$A$42,0))*INDEX('Model Inputs &amp; Assumptions'!$H$40:$H$42,MATCH('Model Inputs &amp; Assumptions'!$L$34,'Model Inputs &amp; Assumptions'!$A$40:$A$42,0))</f>
        <v>11072.1293614126</v>
      </c>
      <c r="L3341" s="51" t="n">
        <f aca="false">IFERROR(K3341/I3341,0)</f>
        <v>2.0164874629221</v>
      </c>
      <c r="M3341" s="49" t="n">
        <f aca="false">IFERROR(I3341/H3341,0)</f>
        <v>78.7309630826767</v>
      </c>
      <c r="N3341" s="52" t="str">
        <f aca="false">'Model Inputs &amp; Assumptions'!$L$34</f>
        <v>PRD-USIQ</v>
      </c>
      <c r="P3341" s="53" t="n">
        <v>0.383018</v>
      </c>
      <c r="Q3341" s="53" t="n">
        <v>1.297601</v>
      </c>
      <c r="R3341" s="53" t="n">
        <v>-0.501044</v>
      </c>
      <c r="S3341" s="53" t="n">
        <v>0.075055</v>
      </c>
    </row>
    <row r="3342" customFormat="false" ht="15" hidden="false" customHeight="false" outlineLevel="0" collapsed="false">
      <c r="A3342" s="43" t="n">
        <v>339</v>
      </c>
      <c r="B3342" s="44" t="str">
        <f aca="false">'Model Inputs &amp; Assumptions'!$B$34</f>
        <v>Meta — Lookalike Feed Video</v>
      </c>
      <c r="C3342" s="45" t="n">
        <f aca="false">ROUND(MAX(0,'Model Inputs &amp; Assumptions'!$S$34*EXP('Model Inputs &amp; Assumptions'!$T$34*P3342-'Model Inputs &amp; Assumptions'!$T$34^2/2)),0)</f>
        <v>402183</v>
      </c>
      <c r="D3342" s="46" t="n">
        <f aca="false">MIN(1,'Model Inputs &amp; Assumptions'!$U$34*EXP('Model Inputs &amp; Assumptions'!$V$34*Q3342-'Model Inputs &amp; Assumptions'!$V$34^2/2))</f>
        <v>0.183078698880283</v>
      </c>
      <c r="E3342" s="45" t="n">
        <f aca="false">ROUND(C3342*D3342,0)</f>
        <v>73631</v>
      </c>
      <c r="F3342" s="47" t="n">
        <f aca="false">MIN(1,'Model Inputs &amp; Assumptions'!$W$34*EXP('Model Inputs &amp; Assumptions'!$X$34*R3342-'Model Inputs &amp; Assumptions'!$X$34^2/2))</f>
        <v>0.0054852455991206</v>
      </c>
      <c r="G3342" s="45" t="n">
        <f aca="false">ROUND(C3342*F3342,0)</f>
        <v>2206</v>
      </c>
      <c r="H3342" s="48" t="n">
        <f aca="false">MAX(0,(C3342*'Model Inputs &amp; Assumptions'!$N$34+E3342*'Model Inputs &amp; Assumptions'!$O$34+G3342*'Model Inputs &amp; Assumptions'!$P$34)*EXP('Model Inputs &amp; Assumptions'!$Q$34*S3342-'Model Inputs &amp; Assumptions'!$Q$34^2/2))</f>
        <v>53.6465705005567</v>
      </c>
      <c r="I3342" s="49" t="n">
        <f aca="false">IF('Model Inputs &amp; Assumptions'!$H$34="Fixed",'Model Inputs &amp; Assumptions'!$I$34*'Model Inputs &amp; Assumptions'!$K$34,IF('Model Inputs &amp; Assumptions'!$H$34="CPM",'Model Inputs &amp; Assumptions'!$I$34*'Model Inputs &amp; Assumptions'!$K$34*C3342/1000,IF('Model Inputs &amp; Assumptions'!$H$34="CPC",'Model Inputs &amp; Assumptions'!$I$34*'Model Inputs &amp; Assumptions'!$K$34*G3342,0)))</f>
        <v>4081.1</v>
      </c>
      <c r="J3342" s="50" t="n">
        <f aca="false">H3342*INDEX('Model Inputs &amp; Assumptions'!$D$40:$D$42,MATCH('Model Inputs &amp; Assumptions'!$L$34,'Model Inputs &amp; Assumptions'!$A$40:$A$42,0))*INDEX('Model Inputs &amp; Assumptions'!$H$40:$H$42,MATCH('Model Inputs &amp; Assumptions'!$L$34,'Model Inputs &amp; Assumptions'!$A$40:$A$42,0))</f>
        <v>386255.307604008</v>
      </c>
      <c r="K3342" s="49" t="n">
        <f aca="false">H3342*INDEX('Model Inputs &amp; Assumptions'!$G$40:$G$42,MATCH('Model Inputs &amp; Assumptions'!$L$34,'Model Inputs &amp; Assumptions'!$A$40:$A$42,0))*INDEX('Model Inputs &amp; Assumptions'!$H$40:$H$42,MATCH('Model Inputs &amp; Assumptions'!$L$34,'Model Inputs &amp; Assumptions'!$A$40:$A$42,0))</f>
        <v>8516.92953266839</v>
      </c>
      <c r="L3342" s="51" t="n">
        <f aca="false">IFERROR(K3342/I3342,0)</f>
        <v>2.08692007857401</v>
      </c>
      <c r="M3342" s="49" t="n">
        <f aca="false">IFERROR(I3342/H3342,0)</f>
        <v>76.0738284278144</v>
      </c>
      <c r="N3342" s="52" t="str">
        <f aca="false">'Model Inputs &amp; Assumptions'!$L$34</f>
        <v>PRD-USIQ</v>
      </c>
      <c r="P3342" s="53" t="n">
        <v>-1.184606</v>
      </c>
      <c r="Q3342" s="53" t="n">
        <v>-1.34602</v>
      </c>
      <c r="R3342" s="53" t="n">
        <v>-0.40832</v>
      </c>
      <c r="S3342" s="53" t="n">
        <v>0.379328</v>
      </c>
    </row>
    <row r="3343" customFormat="false" ht="15" hidden="false" customHeight="false" outlineLevel="0" collapsed="false">
      <c r="A3343" s="43" t="n">
        <v>340</v>
      </c>
      <c r="B3343" s="44" t="str">
        <f aca="false">'Model Inputs &amp; Assumptions'!$B$34</f>
        <v>Meta — Lookalike Feed Video</v>
      </c>
      <c r="C3343" s="45" t="n">
        <f aca="false">ROUND(MAX(0,'Model Inputs &amp; Assumptions'!$S$34*EXP('Model Inputs &amp; Assumptions'!$T$34*P3343-'Model Inputs &amp; Assumptions'!$T$34^2/2)),0)</f>
        <v>410282</v>
      </c>
      <c r="D3343" s="46" t="n">
        <f aca="false">MIN(1,'Model Inputs &amp; Assumptions'!$U$34*EXP('Model Inputs &amp; Assumptions'!$V$34*Q3343-'Model Inputs &amp; Assumptions'!$V$34^2/2))</f>
        <v>0.188066621347008</v>
      </c>
      <c r="E3343" s="45" t="n">
        <f aca="false">ROUND(C3343*D3343,0)</f>
        <v>77160</v>
      </c>
      <c r="F3343" s="47" t="n">
        <f aca="false">MIN(1,'Model Inputs &amp; Assumptions'!$W$34*EXP('Model Inputs &amp; Assumptions'!$X$34*R3343-'Model Inputs &amp; Assumptions'!$X$34^2/2))</f>
        <v>0.00777831558704241</v>
      </c>
      <c r="G3343" s="45" t="n">
        <f aca="false">ROUND(C3343*F3343,0)</f>
        <v>3191</v>
      </c>
      <c r="H3343" s="48" t="n">
        <f aca="false">MAX(0,(C3343*'Model Inputs &amp; Assumptions'!$N$34+E3343*'Model Inputs &amp; Assumptions'!$O$34+G3343*'Model Inputs &amp; Assumptions'!$P$34)*EXP('Model Inputs &amp; Assumptions'!$Q$34*S3343-'Model Inputs &amp; Assumptions'!$Q$34^2/2))</f>
        <v>44.7192000007677</v>
      </c>
      <c r="I3343" s="49" t="n">
        <f aca="false">IF('Model Inputs &amp; Assumptions'!$H$34="Fixed",'Model Inputs &amp; Assumptions'!$I$34*'Model Inputs &amp; Assumptions'!$K$34,IF('Model Inputs &amp; Assumptions'!$H$34="CPM",'Model Inputs &amp; Assumptions'!$I$34*'Model Inputs &amp; Assumptions'!$K$34*C3343/1000,IF('Model Inputs &amp; Assumptions'!$H$34="CPC",'Model Inputs &amp; Assumptions'!$I$34*'Model Inputs &amp; Assumptions'!$K$34*G3343,0)))</f>
        <v>5903.35</v>
      </c>
      <c r="J3343" s="50" t="n">
        <f aca="false">H3343*INDEX('Model Inputs &amp; Assumptions'!$D$40:$D$42,MATCH('Model Inputs &amp; Assumptions'!$L$34,'Model Inputs &amp; Assumptions'!$A$40:$A$42,0))*INDEX('Model Inputs &amp; Assumptions'!$H$40:$H$42,MATCH('Model Inputs &amp; Assumptions'!$L$34,'Model Inputs &amp; Assumptions'!$A$40:$A$42,0))</f>
        <v>321978.240005528</v>
      </c>
      <c r="K3343" s="49" t="n">
        <f aca="false">H3343*INDEX('Model Inputs &amp; Assumptions'!$G$40:$G$42,MATCH('Model Inputs &amp; Assumptions'!$L$34,'Model Inputs &amp; Assumptions'!$A$40:$A$42,0))*INDEX('Model Inputs &amp; Assumptions'!$H$40:$H$42,MATCH('Model Inputs &amp; Assumptions'!$L$34,'Model Inputs &amp; Assumptions'!$A$40:$A$42,0))</f>
        <v>7099.62019212188</v>
      </c>
      <c r="L3343" s="51" t="n">
        <f aca="false">IFERROR(K3343/I3343,0)</f>
        <v>1.20264259990038</v>
      </c>
      <c r="M3343" s="49" t="n">
        <f aca="false">IFERROR(I3343/H3343,0)</f>
        <v>132.009293545024</v>
      </c>
      <c r="N3343" s="52" t="str">
        <f aca="false">'Model Inputs &amp; Assumptions'!$L$34</f>
        <v>PRD-USIQ</v>
      </c>
      <c r="P3343" s="53" t="n">
        <v>-1.084925</v>
      </c>
      <c r="Q3343" s="53" t="n">
        <v>-1.178019</v>
      </c>
      <c r="R3343" s="53" t="n">
        <v>1.532113</v>
      </c>
      <c r="S3343" s="53" t="n">
        <v>-1.239967</v>
      </c>
    </row>
    <row r="3344" customFormat="false" ht="15" hidden="false" customHeight="false" outlineLevel="0" collapsed="false">
      <c r="A3344" s="43" t="n">
        <v>341</v>
      </c>
      <c r="B3344" s="44" t="str">
        <f aca="false">'Model Inputs &amp; Assumptions'!$B$34</f>
        <v>Meta — Lookalike Feed Video</v>
      </c>
      <c r="C3344" s="45" t="n">
        <f aca="false">ROUND(MAX(0,'Model Inputs &amp; Assumptions'!$S$34*EXP('Model Inputs &amp; Assumptions'!$T$34*P3344-'Model Inputs &amp; Assumptions'!$T$34^2/2)),0)</f>
        <v>395829</v>
      </c>
      <c r="D3344" s="46" t="n">
        <f aca="false">MIN(1,'Model Inputs &amp; Assumptions'!$U$34*EXP('Model Inputs &amp; Assumptions'!$V$34*Q3344-'Model Inputs &amp; Assumptions'!$V$34^2/2))</f>
        <v>0.233125493881691</v>
      </c>
      <c r="E3344" s="45" t="n">
        <f aca="false">ROUND(C3344*D3344,0)</f>
        <v>92278</v>
      </c>
      <c r="F3344" s="47" t="n">
        <f aca="false">MIN(1,'Model Inputs &amp; Assumptions'!$W$34*EXP('Model Inputs &amp; Assumptions'!$X$34*R3344-'Model Inputs &amp; Assumptions'!$X$34^2/2))</f>
        <v>0.00474867774218481</v>
      </c>
      <c r="G3344" s="45" t="n">
        <f aca="false">ROUND(C3344*F3344,0)</f>
        <v>1880</v>
      </c>
      <c r="H3344" s="48" t="n">
        <f aca="false">MAX(0,(C3344*'Model Inputs &amp; Assumptions'!$N$34+E3344*'Model Inputs &amp; Assumptions'!$O$34+G3344*'Model Inputs &amp; Assumptions'!$P$34)*EXP('Model Inputs &amp; Assumptions'!$Q$34*S3344-'Model Inputs &amp; Assumptions'!$Q$34^2/2))</f>
        <v>31.3368720566248</v>
      </c>
      <c r="I3344" s="49" t="n">
        <f aca="false">IF('Model Inputs &amp; Assumptions'!$H$34="Fixed",'Model Inputs &amp; Assumptions'!$I$34*'Model Inputs &amp; Assumptions'!$K$34,IF('Model Inputs &amp; Assumptions'!$H$34="CPM",'Model Inputs &amp; Assumptions'!$I$34*'Model Inputs &amp; Assumptions'!$K$34*C3344/1000,IF('Model Inputs &amp; Assumptions'!$H$34="CPC",'Model Inputs &amp; Assumptions'!$I$34*'Model Inputs &amp; Assumptions'!$K$34*G3344,0)))</f>
        <v>3478</v>
      </c>
      <c r="J3344" s="50" t="n">
        <f aca="false">H3344*INDEX('Model Inputs &amp; Assumptions'!$D$40:$D$42,MATCH('Model Inputs &amp; Assumptions'!$L$34,'Model Inputs &amp; Assumptions'!$A$40:$A$42,0))*INDEX('Model Inputs &amp; Assumptions'!$H$40:$H$42,MATCH('Model Inputs &amp; Assumptions'!$L$34,'Model Inputs &amp; Assumptions'!$A$40:$A$42,0))</f>
        <v>225625.478807698</v>
      </c>
      <c r="K3344" s="49" t="n">
        <f aca="false">H3344*INDEX('Model Inputs &amp; Assumptions'!$G$40:$G$42,MATCH('Model Inputs &amp; Assumptions'!$L$34,'Model Inputs &amp; Assumptions'!$A$40:$A$42,0))*INDEX('Model Inputs &amp; Assumptions'!$H$40:$H$42,MATCH('Model Inputs &amp; Assumptions'!$L$34,'Model Inputs &amp; Assumptions'!$A$40:$A$42,0))</f>
        <v>4975.04180770975</v>
      </c>
      <c r="L3344" s="51" t="n">
        <f aca="false">IFERROR(K3344/I3344,0)</f>
        <v>1.43043180210171</v>
      </c>
      <c r="M3344" s="49" t="n">
        <f aca="false">IFERROR(I3344/H3344,0)</f>
        <v>110.987465300154</v>
      </c>
      <c r="N3344" s="52" t="str">
        <f aca="false">'Model Inputs &amp; Assumptions'!$L$34</f>
        <v>PRD-USIQ</v>
      </c>
      <c r="P3344" s="53" t="n">
        <v>-1.264235</v>
      </c>
      <c r="Q3344" s="53" t="n">
        <v>0.16436</v>
      </c>
      <c r="R3344" s="53" t="n">
        <v>-1.209407</v>
      </c>
      <c r="S3344" s="53" t="n">
        <v>-0.969601</v>
      </c>
    </row>
    <row r="3345" customFormat="false" ht="15" hidden="false" customHeight="false" outlineLevel="0" collapsed="false">
      <c r="A3345" s="43" t="n">
        <v>342</v>
      </c>
      <c r="B3345" s="44" t="str">
        <f aca="false">'Model Inputs &amp; Assumptions'!$B$34</f>
        <v>Meta — Lookalike Feed Video</v>
      </c>
      <c r="C3345" s="45" t="n">
        <f aca="false">ROUND(MAX(0,'Model Inputs &amp; Assumptions'!$S$34*EXP('Model Inputs &amp; Assumptions'!$T$34*P3345-'Model Inputs &amp; Assumptions'!$T$34^2/2)),0)</f>
        <v>848243</v>
      </c>
      <c r="D3345" s="46" t="n">
        <f aca="false">MIN(1,'Model Inputs &amp; Assumptions'!$U$34*EXP('Model Inputs &amp; Assumptions'!$V$34*Q3345-'Model Inputs &amp; Assumptions'!$V$34^2/2))</f>
        <v>0.256590653962117</v>
      </c>
      <c r="E3345" s="45" t="n">
        <f aca="false">ROUND(C3345*D3345,0)</f>
        <v>217651</v>
      </c>
      <c r="F3345" s="47" t="n">
        <f aca="false">MIN(1,'Model Inputs &amp; Assumptions'!$W$34*EXP('Model Inputs &amp; Assumptions'!$X$34*R3345-'Model Inputs &amp; Assumptions'!$X$34^2/2))</f>
        <v>0.00583505755374528</v>
      </c>
      <c r="G3345" s="45" t="n">
        <f aca="false">ROUND(C3345*F3345,0)</f>
        <v>4950</v>
      </c>
      <c r="H3345" s="48" t="n">
        <f aca="false">MAX(0,(C3345*'Model Inputs &amp; Assumptions'!$N$34+E3345*'Model Inputs &amp; Assumptions'!$O$34+G3345*'Model Inputs &amp; Assumptions'!$P$34)*EXP('Model Inputs &amp; Assumptions'!$Q$34*S3345-'Model Inputs &amp; Assumptions'!$Q$34^2/2))</f>
        <v>263.961312799368</v>
      </c>
      <c r="I3345" s="49" t="n">
        <f aca="false">IF('Model Inputs &amp; Assumptions'!$H$34="Fixed",'Model Inputs &amp; Assumptions'!$I$34*'Model Inputs &amp; Assumptions'!$K$34,IF('Model Inputs &amp; Assumptions'!$H$34="CPM",'Model Inputs &amp; Assumptions'!$I$34*'Model Inputs &amp; Assumptions'!$K$34*C3345/1000,IF('Model Inputs &amp; Assumptions'!$H$34="CPC",'Model Inputs &amp; Assumptions'!$I$34*'Model Inputs &amp; Assumptions'!$K$34*G3345,0)))</f>
        <v>9157.5</v>
      </c>
      <c r="J3345" s="50" t="n">
        <f aca="false">H3345*INDEX('Model Inputs &amp; Assumptions'!$D$40:$D$42,MATCH('Model Inputs &amp; Assumptions'!$L$34,'Model Inputs &amp; Assumptions'!$A$40:$A$42,0))*INDEX('Model Inputs &amp; Assumptions'!$H$40:$H$42,MATCH('Model Inputs &amp; Assumptions'!$L$34,'Model Inputs &amp; Assumptions'!$A$40:$A$42,0))</f>
        <v>1900521.45215545</v>
      </c>
      <c r="K3345" s="49" t="n">
        <f aca="false">H3345*INDEX('Model Inputs &amp; Assumptions'!$G$40:$G$42,MATCH('Model Inputs &amp; Assumptions'!$L$34,'Model Inputs &amp; Assumptions'!$A$40:$A$42,0))*INDEX('Model Inputs &amp; Assumptions'!$H$40:$H$42,MATCH('Model Inputs &amp; Assumptions'!$L$34,'Model Inputs &amp; Assumptions'!$A$40:$A$42,0))</f>
        <v>41906.4980200276</v>
      </c>
      <c r="L3345" s="51" t="n">
        <f aca="false">IFERROR(K3345/I3345,0)</f>
        <v>4.57619415998117</v>
      </c>
      <c r="M3345" s="49" t="n">
        <f aca="false">IFERROR(I3345/H3345,0)</f>
        <v>34.6925839354363</v>
      </c>
      <c r="N3345" s="52" t="str">
        <f aca="false">'Model Inputs &amp; Assumptions'!$L$34</f>
        <v>PRD-USIQ</v>
      </c>
      <c r="P3345" s="53" t="n">
        <v>2.54669</v>
      </c>
      <c r="Q3345" s="53" t="n">
        <v>0.763767</v>
      </c>
      <c r="R3345" s="53" t="n">
        <v>-0.064863</v>
      </c>
      <c r="S3345" s="53" t="n">
        <v>2.718332</v>
      </c>
    </row>
    <row r="3346" customFormat="false" ht="15" hidden="false" customHeight="false" outlineLevel="0" collapsed="false">
      <c r="A3346" s="43" t="n">
        <v>343</v>
      </c>
      <c r="B3346" s="44" t="str">
        <f aca="false">'Model Inputs &amp; Assumptions'!$B$34</f>
        <v>Meta — Lookalike Feed Video</v>
      </c>
      <c r="C3346" s="45" t="n">
        <f aca="false">ROUND(MAX(0,'Model Inputs &amp; Assumptions'!$S$34*EXP('Model Inputs &amp; Assumptions'!$T$34*P3346-'Model Inputs &amp; Assumptions'!$T$34^2/2)),0)</f>
        <v>440196</v>
      </c>
      <c r="D3346" s="46" t="n">
        <f aca="false">MIN(1,'Model Inputs &amp; Assumptions'!$U$34*EXP('Model Inputs &amp; Assumptions'!$V$34*Q3346-'Model Inputs &amp; Assumptions'!$V$34^2/2))</f>
        <v>0.281055036313604</v>
      </c>
      <c r="E3346" s="45" t="n">
        <f aca="false">ROUND(C3346*D3346,0)</f>
        <v>123719</v>
      </c>
      <c r="F3346" s="47" t="n">
        <f aca="false">MIN(1,'Model Inputs &amp; Assumptions'!$W$34*EXP('Model Inputs &amp; Assumptions'!$X$34*R3346-'Model Inputs &amp; Assumptions'!$X$34^2/2))</f>
        <v>0.00703882624162856</v>
      </c>
      <c r="G3346" s="45" t="n">
        <f aca="false">ROUND(C3346*F3346,0)</f>
        <v>3098</v>
      </c>
      <c r="H3346" s="48" t="n">
        <f aca="false">MAX(0,(C3346*'Model Inputs &amp; Assumptions'!$N$34+E3346*'Model Inputs &amp; Assumptions'!$O$34+G3346*'Model Inputs &amp; Assumptions'!$P$34)*EXP('Model Inputs &amp; Assumptions'!$Q$34*S3346-'Model Inputs &amp; Assumptions'!$Q$34^2/2))</f>
        <v>75.161287877208</v>
      </c>
      <c r="I3346" s="49" t="n">
        <f aca="false">IF('Model Inputs &amp; Assumptions'!$H$34="Fixed",'Model Inputs &amp; Assumptions'!$I$34*'Model Inputs &amp; Assumptions'!$K$34,IF('Model Inputs &amp; Assumptions'!$H$34="CPM",'Model Inputs &amp; Assumptions'!$I$34*'Model Inputs &amp; Assumptions'!$K$34*C3346/1000,IF('Model Inputs &amp; Assumptions'!$H$34="CPC",'Model Inputs &amp; Assumptions'!$I$34*'Model Inputs &amp; Assumptions'!$K$34*G3346,0)))</f>
        <v>5731.3</v>
      </c>
      <c r="J3346" s="50" t="n">
        <f aca="false">H3346*INDEX('Model Inputs &amp; Assumptions'!$D$40:$D$42,MATCH('Model Inputs &amp; Assumptions'!$L$34,'Model Inputs &amp; Assumptions'!$A$40:$A$42,0))*INDEX('Model Inputs &amp; Assumptions'!$H$40:$H$42,MATCH('Model Inputs &amp; Assumptions'!$L$34,'Model Inputs &amp; Assumptions'!$A$40:$A$42,0))</f>
        <v>541161.272715898</v>
      </c>
      <c r="K3346" s="49" t="n">
        <f aca="false">H3346*INDEX('Model Inputs &amp; Assumptions'!$G$40:$G$42,MATCH('Model Inputs &amp; Assumptions'!$L$34,'Model Inputs &amp; Assumptions'!$A$40:$A$42,0))*INDEX('Model Inputs &amp; Assumptions'!$H$40:$H$42,MATCH('Model Inputs &amp; Assumptions'!$L$34,'Model Inputs &amp; Assumptions'!$A$40:$A$42,0))</f>
        <v>11932.6060633855</v>
      </c>
      <c r="L3346" s="51" t="n">
        <f aca="false">IFERROR(K3346/I3346,0)</f>
        <v>2.08200688559062</v>
      </c>
      <c r="M3346" s="49" t="n">
        <f aca="false">IFERROR(I3346/H3346,0)</f>
        <v>76.2533501203878</v>
      </c>
      <c r="N3346" s="52" t="str">
        <f aca="false">'Model Inputs &amp; Assumptions'!$L$34</f>
        <v>PRD-USIQ</v>
      </c>
      <c r="P3346" s="53" t="n">
        <v>-0.733041</v>
      </c>
      <c r="Q3346" s="53" t="n">
        <v>1.332945</v>
      </c>
      <c r="R3346" s="53" t="n">
        <v>0.977122</v>
      </c>
      <c r="S3346" s="53" t="n">
        <v>0.300472</v>
      </c>
    </row>
    <row r="3347" customFormat="false" ht="15" hidden="false" customHeight="false" outlineLevel="0" collapsed="false">
      <c r="A3347" s="43" t="n">
        <v>344</v>
      </c>
      <c r="B3347" s="44" t="str">
        <f aca="false">'Model Inputs &amp; Assumptions'!$B$34</f>
        <v>Meta — Lookalike Feed Video</v>
      </c>
      <c r="C3347" s="45" t="n">
        <f aca="false">ROUND(MAX(0,'Model Inputs &amp; Assumptions'!$S$34*EXP('Model Inputs &amp; Assumptions'!$T$34*P3347-'Model Inputs &amp; Assumptions'!$T$34^2/2)),0)</f>
        <v>322838</v>
      </c>
      <c r="D3347" s="46" t="n">
        <f aca="false">MIN(1,'Model Inputs &amp; Assumptions'!$U$34*EXP('Model Inputs &amp; Assumptions'!$V$34*Q3347-'Model Inputs &amp; Assumptions'!$V$34^2/2))</f>
        <v>0.283223253686382</v>
      </c>
      <c r="E3347" s="45" t="n">
        <f aca="false">ROUND(C3347*D3347,0)</f>
        <v>91435</v>
      </c>
      <c r="F3347" s="47" t="n">
        <f aca="false">MIN(1,'Model Inputs &amp; Assumptions'!$W$34*EXP('Model Inputs &amp; Assumptions'!$X$34*R3347-'Model Inputs &amp; Assumptions'!$X$34^2/2))</f>
        <v>0.00637039622405454</v>
      </c>
      <c r="G3347" s="45" t="n">
        <f aca="false">ROUND(C3347*F3347,0)</f>
        <v>2057</v>
      </c>
      <c r="H3347" s="48" t="n">
        <f aca="false">MAX(0,(C3347*'Model Inputs &amp; Assumptions'!$N$34+E3347*'Model Inputs &amp; Assumptions'!$O$34+G3347*'Model Inputs &amp; Assumptions'!$P$34)*EXP('Model Inputs &amp; Assumptions'!$Q$34*S3347-'Model Inputs &amp; Assumptions'!$Q$34^2/2))</f>
        <v>31.2006249366907</v>
      </c>
      <c r="I3347" s="49" t="n">
        <f aca="false">IF('Model Inputs &amp; Assumptions'!$H$34="Fixed",'Model Inputs &amp; Assumptions'!$I$34*'Model Inputs &amp; Assumptions'!$K$34,IF('Model Inputs &amp; Assumptions'!$H$34="CPM",'Model Inputs &amp; Assumptions'!$I$34*'Model Inputs &amp; Assumptions'!$K$34*C3347/1000,IF('Model Inputs &amp; Assumptions'!$H$34="CPC",'Model Inputs &amp; Assumptions'!$I$34*'Model Inputs &amp; Assumptions'!$K$34*G3347,0)))</f>
        <v>3805.45</v>
      </c>
      <c r="J3347" s="50" t="n">
        <f aca="false">H3347*INDEX('Model Inputs &amp; Assumptions'!$D$40:$D$42,MATCH('Model Inputs &amp; Assumptions'!$L$34,'Model Inputs &amp; Assumptions'!$A$40:$A$42,0))*INDEX('Model Inputs &amp; Assumptions'!$H$40:$H$42,MATCH('Model Inputs &amp; Assumptions'!$L$34,'Model Inputs &amp; Assumptions'!$A$40:$A$42,0))</f>
        <v>224644.499544173</v>
      </c>
      <c r="K3347" s="49" t="n">
        <f aca="false">H3347*INDEX('Model Inputs &amp; Assumptions'!$G$40:$G$42,MATCH('Model Inputs &amp; Assumptions'!$L$34,'Model Inputs &amp; Assumptions'!$A$40:$A$42,0))*INDEX('Model Inputs &amp; Assumptions'!$H$40:$H$42,MATCH('Model Inputs &amp; Assumptions'!$L$34,'Model Inputs &amp; Assumptions'!$A$40:$A$42,0))</f>
        <v>4953.41121494902</v>
      </c>
      <c r="L3347" s="51" t="n">
        <f aca="false">IFERROR(K3347/I3347,0)</f>
        <v>1.30166240916292</v>
      </c>
      <c r="M3347" s="49" t="n">
        <f aca="false">IFERROR(I3347/H3347,0)</f>
        <v>121.967108278172</v>
      </c>
      <c r="N3347" s="52" t="str">
        <f aca="false">'Model Inputs &amp; Assumptions'!$L$34</f>
        <v>PRD-USIQ</v>
      </c>
      <c r="P3347" s="53" t="n">
        <v>-2.283393</v>
      </c>
      <c r="Q3347" s="53" t="n">
        <v>1.380976</v>
      </c>
      <c r="R3347" s="53" t="n">
        <v>0.42279</v>
      </c>
      <c r="S3347" s="53" t="n">
        <v>-1.215604</v>
      </c>
    </row>
    <row r="3348" customFormat="false" ht="15" hidden="false" customHeight="false" outlineLevel="0" collapsed="false">
      <c r="A3348" s="43" t="n">
        <v>345</v>
      </c>
      <c r="B3348" s="44" t="str">
        <f aca="false">'Model Inputs &amp; Assumptions'!$B$34</f>
        <v>Meta — Lookalike Feed Video</v>
      </c>
      <c r="C3348" s="45" t="n">
        <f aca="false">ROUND(MAX(0,'Model Inputs &amp; Assumptions'!$S$34*EXP('Model Inputs &amp; Assumptions'!$T$34*P3348-'Model Inputs &amp; Assumptions'!$T$34^2/2)),0)</f>
        <v>519013</v>
      </c>
      <c r="D3348" s="46" t="n">
        <f aca="false">MIN(1,'Model Inputs &amp; Assumptions'!$U$34*EXP('Model Inputs &amp; Assumptions'!$V$34*Q3348-'Model Inputs &amp; Assumptions'!$V$34^2/2))</f>
        <v>0.241635682814394</v>
      </c>
      <c r="E3348" s="45" t="n">
        <f aca="false">ROUND(C3348*D3348,0)</f>
        <v>125412</v>
      </c>
      <c r="F3348" s="47" t="n">
        <f aca="false">MIN(1,'Model Inputs &amp; Assumptions'!$W$34*EXP('Model Inputs &amp; Assumptions'!$X$34*R3348-'Model Inputs &amp; Assumptions'!$X$34^2/2))</f>
        <v>0.0044747817036426</v>
      </c>
      <c r="G3348" s="45" t="n">
        <f aca="false">ROUND(C3348*F3348,0)</f>
        <v>2322</v>
      </c>
      <c r="H3348" s="48" t="n">
        <f aca="false">MAX(0,(C3348*'Model Inputs &amp; Assumptions'!$N$34+E3348*'Model Inputs &amp; Assumptions'!$O$34+G3348*'Model Inputs &amp; Assumptions'!$P$34)*EXP('Model Inputs &amp; Assumptions'!$Q$34*S3348-'Model Inputs &amp; Assumptions'!$Q$34^2/2))</f>
        <v>93.8472536598805</v>
      </c>
      <c r="I3348" s="49" t="n">
        <f aca="false">IF('Model Inputs &amp; Assumptions'!$H$34="Fixed",'Model Inputs &amp; Assumptions'!$I$34*'Model Inputs &amp; Assumptions'!$K$34,IF('Model Inputs &amp; Assumptions'!$H$34="CPM",'Model Inputs &amp; Assumptions'!$I$34*'Model Inputs &amp; Assumptions'!$K$34*C3348/1000,IF('Model Inputs &amp; Assumptions'!$H$34="CPC",'Model Inputs &amp; Assumptions'!$I$34*'Model Inputs &amp; Assumptions'!$K$34*G3348,0)))</f>
        <v>4295.7</v>
      </c>
      <c r="J3348" s="50" t="n">
        <f aca="false">H3348*INDEX('Model Inputs &amp; Assumptions'!$D$40:$D$42,MATCH('Model Inputs &amp; Assumptions'!$L$34,'Model Inputs &amp; Assumptions'!$A$40:$A$42,0))*INDEX('Model Inputs &amp; Assumptions'!$H$40:$H$42,MATCH('Model Inputs &amp; Assumptions'!$L$34,'Model Inputs &amp; Assumptions'!$A$40:$A$42,0))</f>
        <v>675700.22635114</v>
      </c>
      <c r="K3348" s="49" t="n">
        <f aca="false">H3348*INDEX('Model Inputs &amp; Assumptions'!$G$40:$G$42,MATCH('Model Inputs &amp; Assumptions'!$L$34,'Model Inputs &amp; Assumptions'!$A$40:$A$42,0))*INDEX('Model Inputs &amp; Assumptions'!$H$40:$H$42,MATCH('Model Inputs &amp; Assumptions'!$L$34,'Model Inputs &amp; Assumptions'!$A$40:$A$42,0))</f>
        <v>14899.1899910426</v>
      </c>
      <c r="L3348" s="51" t="n">
        <f aca="false">IFERROR(K3348/I3348,0)</f>
        <v>3.46839630119483</v>
      </c>
      <c r="M3348" s="49" t="n">
        <f aca="false">IFERROR(I3348/H3348,0)</f>
        <v>45.7733160265765</v>
      </c>
      <c r="N3348" s="52" t="str">
        <f aca="false">'Model Inputs &amp; Assumptions'!$L$34</f>
        <v>PRD-USIQ</v>
      </c>
      <c r="P3348" s="53" t="n">
        <v>0.090501</v>
      </c>
      <c r="Q3348" s="53" t="n">
        <v>0.388449</v>
      </c>
      <c r="R3348" s="53" t="n">
        <v>-1.539455</v>
      </c>
      <c r="S3348" s="53" t="n">
        <v>1.747208</v>
      </c>
    </row>
    <row r="3349" customFormat="false" ht="15" hidden="false" customHeight="false" outlineLevel="0" collapsed="false">
      <c r="A3349" s="43" t="n">
        <v>346</v>
      </c>
      <c r="B3349" s="44" t="str">
        <f aca="false">'Model Inputs &amp; Assumptions'!$B$34</f>
        <v>Meta — Lookalike Feed Video</v>
      </c>
      <c r="C3349" s="45" t="n">
        <f aca="false">ROUND(MAX(0,'Model Inputs &amp; Assumptions'!$S$34*EXP('Model Inputs &amp; Assumptions'!$T$34*P3349-'Model Inputs &amp; Assumptions'!$T$34^2/2)),0)</f>
        <v>455147</v>
      </c>
      <c r="D3349" s="46" t="n">
        <f aca="false">MIN(1,'Model Inputs &amp; Assumptions'!$U$34*EXP('Model Inputs &amp; Assumptions'!$V$34*Q3349-'Model Inputs &amp; Assumptions'!$V$34^2/2))</f>
        <v>0.191311224374126</v>
      </c>
      <c r="E3349" s="45" t="n">
        <f aca="false">ROUND(C3349*D3349,0)</f>
        <v>87075</v>
      </c>
      <c r="F3349" s="47" t="n">
        <f aca="false">MIN(1,'Model Inputs &amp; Assumptions'!$W$34*EXP('Model Inputs &amp; Assumptions'!$X$34*R3349-'Model Inputs &amp; Assumptions'!$X$34^2/2))</f>
        <v>0.00642530479925005</v>
      </c>
      <c r="G3349" s="45" t="n">
        <f aca="false">ROUND(C3349*F3349,0)</f>
        <v>2924</v>
      </c>
      <c r="H3349" s="48" t="n">
        <f aca="false">MAX(0,(C3349*'Model Inputs &amp; Assumptions'!$N$34+E3349*'Model Inputs &amp; Assumptions'!$O$34+G3349*'Model Inputs &amp; Assumptions'!$P$34)*EXP('Model Inputs &amp; Assumptions'!$Q$34*S3349-'Model Inputs &amp; Assumptions'!$Q$34^2/2))</f>
        <v>65.0014368563132</v>
      </c>
      <c r="I3349" s="49" t="n">
        <f aca="false">IF('Model Inputs &amp; Assumptions'!$H$34="Fixed",'Model Inputs &amp; Assumptions'!$I$34*'Model Inputs &amp; Assumptions'!$K$34,IF('Model Inputs &amp; Assumptions'!$H$34="CPM",'Model Inputs &amp; Assumptions'!$I$34*'Model Inputs &amp; Assumptions'!$K$34*C3349/1000,IF('Model Inputs &amp; Assumptions'!$H$34="CPC",'Model Inputs &amp; Assumptions'!$I$34*'Model Inputs &amp; Assumptions'!$K$34*G3349,0)))</f>
        <v>5409.4</v>
      </c>
      <c r="J3349" s="50" t="n">
        <f aca="false">H3349*INDEX('Model Inputs &amp; Assumptions'!$D$40:$D$42,MATCH('Model Inputs &amp; Assumptions'!$L$34,'Model Inputs &amp; Assumptions'!$A$40:$A$42,0))*INDEX('Model Inputs &amp; Assumptions'!$H$40:$H$42,MATCH('Model Inputs &amp; Assumptions'!$L$34,'Model Inputs &amp; Assumptions'!$A$40:$A$42,0))</f>
        <v>468010.345365455</v>
      </c>
      <c r="K3349" s="49" t="n">
        <f aca="false">H3349*INDEX('Model Inputs &amp; Assumptions'!$G$40:$G$42,MATCH('Model Inputs &amp; Assumptions'!$L$34,'Model Inputs &amp; Assumptions'!$A$40:$A$42,0))*INDEX('Model Inputs &amp; Assumptions'!$H$40:$H$42,MATCH('Model Inputs &amp; Assumptions'!$L$34,'Model Inputs &amp; Assumptions'!$A$40:$A$42,0))</f>
        <v>10319.6281153083</v>
      </c>
      <c r="L3349" s="51" t="n">
        <f aca="false">IFERROR(K3349/I3349,0)</f>
        <v>1.90772139522096</v>
      </c>
      <c r="M3349" s="49" t="n">
        <f aca="false">IFERROR(I3349/H3349,0)</f>
        <v>83.219698850005</v>
      </c>
      <c r="N3349" s="52" t="str">
        <f aca="false">'Model Inputs &amp; Assumptions'!$L$34</f>
        <v>PRD-USIQ</v>
      </c>
      <c r="P3349" s="53" t="n">
        <v>-0.566037</v>
      </c>
      <c r="Q3349" s="53" t="n">
        <v>-1.071111</v>
      </c>
      <c r="R3349" s="53" t="n">
        <v>0.47047</v>
      </c>
      <c r="S3349" s="53" t="n">
        <v>0.1387</v>
      </c>
    </row>
    <row r="3350" customFormat="false" ht="15" hidden="false" customHeight="false" outlineLevel="0" collapsed="false">
      <c r="A3350" s="43" t="n">
        <v>347</v>
      </c>
      <c r="B3350" s="44" t="str">
        <f aca="false">'Model Inputs &amp; Assumptions'!$B$34</f>
        <v>Meta — Lookalike Feed Video</v>
      </c>
      <c r="C3350" s="45" t="n">
        <f aca="false">ROUND(MAX(0,'Model Inputs &amp; Assumptions'!$S$34*EXP('Model Inputs &amp; Assumptions'!$T$34*P3350-'Model Inputs &amp; Assumptions'!$T$34^2/2)),0)</f>
        <v>512435</v>
      </c>
      <c r="D3350" s="46" t="n">
        <f aca="false">MIN(1,'Model Inputs &amp; Assumptions'!$U$34*EXP('Model Inputs &amp; Assumptions'!$V$34*Q3350-'Model Inputs &amp; Assumptions'!$V$34^2/2))</f>
        <v>0.237577191835679</v>
      </c>
      <c r="E3350" s="45" t="n">
        <f aca="false">ROUND(C3350*D3350,0)</f>
        <v>121743</v>
      </c>
      <c r="F3350" s="47" t="n">
        <f aca="false">MIN(1,'Model Inputs &amp; Assumptions'!$W$34*EXP('Model Inputs &amp; Assumptions'!$X$34*R3350-'Model Inputs &amp; Assumptions'!$X$34^2/2))</f>
        <v>0.00701552821903657</v>
      </c>
      <c r="G3350" s="45" t="n">
        <f aca="false">ROUND(C3350*F3350,0)</f>
        <v>3595</v>
      </c>
      <c r="H3350" s="48" t="n">
        <f aca="false">MAX(0,(C3350*'Model Inputs &amp; Assumptions'!$N$34+E3350*'Model Inputs &amp; Assumptions'!$O$34+G3350*'Model Inputs &amp; Assumptions'!$P$34)*EXP('Model Inputs &amp; Assumptions'!$Q$34*S3350-'Model Inputs &amp; Assumptions'!$Q$34^2/2))</f>
        <v>106.494527466216</v>
      </c>
      <c r="I3350" s="49" t="n">
        <f aca="false">IF('Model Inputs &amp; Assumptions'!$H$34="Fixed",'Model Inputs &amp; Assumptions'!$I$34*'Model Inputs &amp; Assumptions'!$K$34,IF('Model Inputs &amp; Assumptions'!$H$34="CPM",'Model Inputs &amp; Assumptions'!$I$34*'Model Inputs &amp; Assumptions'!$K$34*C3350/1000,IF('Model Inputs &amp; Assumptions'!$H$34="CPC",'Model Inputs &amp; Assumptions'!$I$34*'Model Inputs &amp; Assumptions'!$K$34*G3350,0)))</f>
        <v>6650.75</v>
      </c>
      <c r="J3350" s="50" t="n">
        <f aca="false">H3350*INDEX('Model Inputs &amp; Assumptions'!$D$40:$D$42,MATCH('Model Inputs &amp; Assumptions'!$L$34,'Model Inputs &amp; Assumptions'!$A$40:$A$42,0))*INDEX('Model Inputs &amp; Assumptions'!$H$40:$H$42,MATCH('Model Inputs &amp; Assumptions'!$L$34,'Model Inputs &amp; Assumptions'!$A$40:$A$42,0))</f>
        <v>766760.597756755</v>
      </c>
      <c r="K3350" s="49" t="n">
        <f aca="false">H3350*INDEX('Model Inputs &amp; Assumptions'!$G$40:$G$42,MATCH('Model Inputs &amp; Assumptions'!$L$34,'Model Inputs &amp; Assumptions'!$A$40:$A$42,0))*INDEX('Model Inputs &amp; Assumptions'!$H$40:$H$42,MATCH('Model Inputs &amp; Assumptions'!$L$34,'Model Inputs &amp; Assumptions'!$A$40:$A$42,0))</f>
        <v>16907.0711805364</v>
      </c>
      <c r="L3350" s="51" t="n">
        <f aca="false">IFERROR(K3350/I3350,0)</f>
        <v>2.54213001248527</v>
      </c>
      <c r="M3350" s="49" t="n">
        <f aca="false">IFERROR(I3350/H3350,0)</f>
        <v>62.4515658995705</v>
      </c>
      <c r="N3350" s="52" t="str">
        <f aca="false">'Model Inputs &amp; Assumptions'!$L$34</f>
        <v>PRD-USIQ</v>
      </c>
      <c r="P3350" s="53" t="n">
        <v>0.026729</v>
      </c>
      <c r="Q3350" s="53" t="n">
        <v>0.282583</v>
      </c>
      <c r="R3350" s="53" t="n">
        <v>0.958703</v>
      </c>
      <c r="S3350" s="53" t="n">
        <v>0.990566</v>
      </c>
    </row>
    <row r="3351" customFormat="false" ht="15" hidden="false" customHeight="false" outlineLevel="0" collapsed="false">
      <c r="A3351" s="43" t="n">
        <v>348</v>
      </c>
      <c r="B3351" s="44" t="str">
        <f aca="false">'Model Inputs &amp; Assumptions'!$B$34</f>
        <v>Meta — Lookalike Feed Video</v>
      </c>
      <c r="C3351" s="45" t="n">
        <f aca="false">ROUND(MAX(0,'Model Inputs &amp; Assumptions'!$S$34*EXP('Model Inputs &amp; Assumptions'!$T$34*P3351-'Model Inputs &amp; Assumptions'!$T$34^2/2)),0)</f>
        <v>433429</v>
      </c>
      <c r="D3351" s="46" t="n">
        <f aca="false">MIN(1,'Model Inputs &amp; Assumptions'!$U$34*EXP('Model Inputs &amp; Assumptions'!$V$34*Q3351-'Model Inputs &amp; Assumptions'!$V$34^2/2))</f>
        <v>0.251754485551409</v>
      </c>
      <c r="E3351" s="45" t="n">
        <f aca="false">ROUND(C3351*D3351,0)</f>
        <v>109118</v>
      </c>
      <c r="F3351" s="47" t="n">
        <f aca="false">MIN(1,'Model Inputs &amp; Assumptions'!$W$34*EXP('Model Inputs &amp; Assumptions'!$X$34*R3351-'Model Inputs &amp; Assumptions'!$X$34^2/2))</f>
        <v>0.00646590501467152</v>
      </c>
      <c r="G3351" s="45" t="n">
        <f aca="false">ROUND(C3351*F3351,0)</f>
        <v>2803</v>
      </c>
      <c r="H3351" s="48" t="n">
        <f aca="false">MAX(0,(C3351*'Model Inputs &amp; Assumptions'!$N$34+E3351*'Model Inputs &amp; Assumptions'!$O$34+G3351*'Model Inputs &amp; Assumptions'!$P$34)*EXP('Model Inputs &amp; Assumptions'!$Q$34*S3351-'Model Inputs &amp; Assumptions'!$Q$34^2/2))</f>
        <v>59.5613734277164</v>
      </c>
      <c r="I3351" s="49" t="n">
        <f aca="false">IF('Model Inputs &amp; Assumptions'!$H$34="Fixed",'Model Inputs &amp; Assumptions'!$I$34*'Model Inputs &amp; Assumptions'!$K$34,IF('Model Inputs &amp; Assumptions'!$H$34="CPM",'Model Inputs &amp; Assumptions'!$I$34*'Model Inputs &amp; Assumptions'!$K$34*C3351/1000,IF('Model Inputs &amp; Assumptions'!$H$34="CPC",'Model Inputs &amp; Assumptions'!$I$34*'Model Inputs &amp; Assumptions'!$K$34*G3351,0)))</f>
        <v>5185.55</v>
      </c>
      <c r="J3351" s="50" t="n">
        <f aca="false">H3351*INDEX('Model Inputs &amp; Assumptions'!$D$40:$D$42,MATCH('Model Inputs &amp; Assumptions'!$L$34,'Model Inputs &amp; Assumptions'!$A$40:$A$42,0))*INDEX('Model Inputs &amp; Assumptions'!$H$40:$H$42,MATCH('Model Inputs &amp; Assumptions'!$L$34,'Model Inputs &amp; Assumptions'!$A$40:$A$42,0))</f>
        <v>428841.888679558</v>
      </c>
      <c r="K3351" s="49" t="n">
        <f aca="false">H3351*INDEX('Model Inputs &amp; Assumptions'!$G$40:$G$42,MATCH('Model Inputs &amp; Assumptions'!$L$34,'Model Inputs &amp; Assumptions'!$A$40:$A$42,0))*INDEX('Model Inputs &amp; Assumptions'!$H$40:$H$42,MATCH('Model Inputs &amp; Assumptions'!$L$34,'Model Inputs &amp; Assumptions'!$A$40:$A$42,0))</f>
        <v>9455.96364538425</v>
      </c>
      <c r="L3351" s="51" t="n">
        <f aca="false">IFERROR(K3351/I3351,0)</f>
        <v>1.82352183382365</v>
      </c>
      <c r="M3351" s="49" t="n">
        <f aca="false">IFERROR(I3351/H3351,0)</f>
        <v>87.0622972838795</v>
      </c>
      <c r="N3351" s="52" t="str">
        <f aca="false">'Model Inputs &amp; Assumptions'!$L$34</f>
        <v>PRD-USIQ</v>
      </c>
      <c r="P3351" s="53" t="n">
        <v>-0.810509</v>
      </c>
      <c r="Q3351" s="53" t="n">
        <v>0.644844</v>
      </c>
      <c r="R3351" s="53" t="n">
        <v>0.505464</v>
      </c>
      <c r="S3351" s="53" t="n">
        <v>-0.102923</v>
      </c>
    </row>
    <row r="3352" customFormat="false" ht="15" hidden="false" customHeight="false" outlineLevel="0" collapsed="false">
      <c r="A3352" s="43" t="n">
        <v>349</v>
      </c>
      <c r="B3352" s="44" t="str">
        <f aca="false">'Model Inputs &amp; Assumptions'!$B$34</f>
        <v>Meta — Lookalike Feed Video</v>
      </c>
      <c r="C3352" s="45" t="n">
        <f aca="false">ROUND(MAX(0,'Model Inputs &amp; Assumptions'!$S$34*EXP('Model Inputs &amp; Assumptions'!$T$34*P3352-'Model Inputs &amp; Assumptions'!$T$34^2/2)),0)</f>
        <v>506637</v>
      </c>
      <c r="D3352" s="46" t="n">
        <f aca="false">MIN(1,'Model Inputs &amp; Assumptions'!$U$34*EXP('Model Inputs &amp; Assumptions'!$V$34*Q3352-'Model Inputs &amp; Assumptions'!$V$34^2/2))</f>
        <v>0.169291057773616</v>
      </c>
      <c r="E3352" s="45" t="n">
        <f aca="false">ROUND(C3352*D3352,0)</f>
        <v>85769</v>
      </c>
      <c r="F3352" s="47" t="n">
        <f aca="false">MIN(1,'Model Inputs &amp; Assumptions'!$W$34*EXP('Model Inputs &amp; Assumptions'!$X$34*R3352-'Model Inputs &amp; Assumptions'!$X$34^2/2))</f>
        <v>0.00428218121405171</v>
      </c>
      <c r="G3352" s="45" t="n">
        <f aca="false">ROUND(C3352*F3352,0)</f>
        <v>2170</v>
      </c>
      <c r="H3352" s="48" t="n">
        <f aca="false">MAX(0,(C3352*'Model Inputs &amp; Assumptions'!$N$34+E3352*'Model Inputs &amp; Assumptions'!$O$34+G3352*'Model Inputs &amp; Assumptions'!$P$34)*EXP('Model Inputs &amp; Assumptions'!$Q$34*S3352-'Model Inputs &amp; Assumptions'!$Q$34^2/2))</f>
        <v>60.4500095109079</v>
      </c>
      <c r="I3352" s="49" t="n">
        <f aca="false">IF('Model Inputs &amp; Assumptions'!$H$34="Fixed",'Model Inputs &amp; Assumptions'!$I$34*'Model Inputs &amp; Assumptions'!$K$34,IF('Model Inputs &amp; Assumptions'!$H$34="CPM",'Model Inputs &amp; Assumptions'!$I$34*'Model Inputs &amp; Assumptions'!$K$34*C3352/1000,IF('Model Inputs &amp; Assumptions'!$H$34="CPC",'Model Inputs &amp; Assumptions'!$I$34*'Model Inputs &amp; Assumptions'!$K$34*G3352,0)))</f>
        <v>4014.5</v>
      </c>
      <c r="J3352" s="50" t="n">
        <f aca="false">H3352*INDEX('Model Inputs &amp; Assumptions'!$D$40:$D$42,MATCH('Model Inputs &amp; Assumptions'!$L$34,'Model Inputs &amp; Assumptions'!$A$40:$A$42,0))*INDEX('Model Inputs &amp; Assumptions'!$H$40:$H$42,MATCH('Model Inputs &amp; Assumptions'!$L$34,'Model Inputs &amp; Assumptions'!$A$40:$A$42,0))</f>
        <v>435240.068478537</v>
      </c>
      <c r="K3352" s="49" t="n">
        <f aca="false">H3352*INDEX('Model Inputs &amp; Assumptions'!$G$40:$G$42,MATCH('Model Inputs &amp; Assumptions'!$L$34,'Model Inputs &amp; Assumptions'!$A$40:$A$42,0))*INDEX('Model Inputs &amp; Assumptions'!$H$40:$H$42,MATCH('Model Inputs &amp; Assumptions'!$L$34,'Model Inputs &amp; Assumptions'!$A$40:$A$42,0))</f>
        <v>9597.04350995174</v>
      </c>
      <c r="L3352" s="51" t="n">
        <f aca="false">IFERROR(K3352/I3352,0)</f>
        <v>2.39059497071908</v>
      </c>
      <c r="M3352" s="49" t="n">
        <f aca="false">IFERROR(I3352/H3352,0)</f>
        <v>66.4102459615925</v>
      </c>
      <c r="N3352" s="52" t="str">
        <f aca="false">'Model Inputs &amp; Assumptions'!$L$34</f>
        <v>PRD-USIQ</v>
      </c>
      <c r="P3352" s="53" t="n">
        <v>-0.03017</v>
      </c>
      <c r="Q3352" s="53" t="n">
        <v>-1.835374</v>
      </c>
      <c r="R3352" s="53" t="n">
        <v>-1.783872</v>
      </c>
      <c r="S3352" s="53" t="n">
        <v>0.736803</v>
      </c>
    </row>
    <row r="3353" customFormat="false" ht="15" hidden="false" customHeight="false" outlineLevel="0" collapsed="false">
      <c r="A3353" s="43" t="n">
        <v>350</v>
      </c>
      <c r="B3353" s="44" t="str">
        <f aca="false">'Model Inputs &amp; Assumptions'!$B$34</f>
        <v>Meta — Lookalike Feed Video</v>
      </c>
      <c r="C3353" s="45" t="n">
        <f aca="false">ROUND(MAX(0,'Model Inputs &amp; Assumptions'!$S$34*EXP('Model Inputs &amp; Assumptions'!$T$34*P3353-'Model Inputs &amp; Assumptions'!$T$34^2/2)),0)</f>
        <v>379038</v>
      </c>
      <c r="D3353" s="46" t="n">
        <f aca="false">MIN(1,'Model Inputs &amp; Assumptions'!$U$34*EXP('Model Inputs &amp; Assumptions'!$V$34*Q3353-'Model Inputs &amp; Assumptions'!$V$34^2/2))</f>
        <v>0.234286580479149</v>
      </c>
      <c r="E3353" s="45" t="n">
        <f aca="false">ROUND(C3353*D3353,0)</f>
        <v>88804</v>
      </c>
      <c r="F3353" s="47" t="n">
        <f aca="false">MIN(1,'Model Inputs &amp; Assumptions'!$W$34*EXP('Model Inputs &amp; Assumptions'!$X$34*R3353-'Model Inputs &amp; Assumptions'!$X$34^2/2))</f>
        <v>0.00664156301244427</v>
      </c>
      <c r="G3353" s="45" t="n">
        <f aca="false">ROUND(C3353*F3353,0)</f>
        <v>2517</v>
      </c>
      <c r="H3353" s="48" t="n">
        <f aca="false">MAX(0,(C3353*'Model Inputs &amp; Assumptions'!$N$34+E3353*'Model Inputs &amp; Assumptions'!$O$34+G3353*'Model Inputs &amp; Assumptions'!$P$34)*EXP('Model Inputs &amp; Assumptions'!$Q$34*S3353-'Model Inputs &amp; Assumptions'!$Q$34^2/2))</f>
        <v>59.6313194887864</v>
      </c>
      <c r="I3353" s="49" t="n">
        <f aca="false">IF('Model Inputs &amp; Assumptions'!$H$34="Fixed",'Model Inputs &amp; Assumptions'!$I$34*'Model Inputs &amp; Assumptions'!$K$34,IF('Model Inputs &amp; Assumptions'!$H$34="CPM",'Model Inputs &amp; Assumptions'!$I$34*'Model Inputs &amp; Assumptions'!$K$34*C3353/1000,IF('Model Inputs &amp; Assumptions'!$H$34="CPC",'Model Inputs &amp; Assumptions'!$I$34*'Model Inputs &amp; Assumptions'!$K$34*G3353,0)))</f>
        <v>4656.45</v>
      </c>
      <c r="J3353" s="50" t="n">
        <f aca="false">H3353*INDEX('Model Inputs &amp; Assumptions'!$D$40:$D$42,MATCH('Model Inputs &amp; Assumptions'!$L$34,'Model Inputs &amp; Assumptions'!$A$40:$A$42,0))*INDEX('Model Inputs &amp; Assumptions'!$H$40:$H$42,MATCH('Model Inputs &amp; Assumptions'!$L$34,'Model Inputs &amp; Assumptions'!$A$40:$A$42,0))</f>
        <v>429345.500319262</v>
      </c>
      <c r="K3353" s="49" t="n">
        <f aca="false">H3353*INDEX('Model Inputs &amp; Assumptions'!$G$40:$G$42,MATCH('Model Inputs &amp; Assumptions'!$L$34,'Model Inputs &amp; Assumptions'!$A$40:$A$42,0))*INDEX('Model Inputs &amp; Assumptions'!$H$40:$H$42,MATCH('Model Inputs &amp; Assumptions'!$L$34,'Model Inputs &amp; Assumptions'!$A$40:$A$42,0))</f>
        <v>9467.06828203972</v>
      </c>
      <c r="L3353" s="51" t="n">
        <f aca="false">IFERROR(K3353/I3353,0)</f>
        <v>2.03310854450058</v>
      </c>
      <c r="M3353" s="49" t="n">
        <f aca="false">IFERROR(I3353/H3353,0)</f>
        <v>78.0873212251432</v>
      </c>
      <c r="N3353" s="52" t="str">
        <f aca="false">'Model Inputs &amp; Assumptions'!$L$34</f>
        <v>PRD-USIQ</v>
      </c>
      <c r="P3353" s="53" t="n">
        <v>-1.480958</v>
      </c>
      <c r="Q3353" s="53" t="n">
        <v>0.195411</v>
      </c>
      <c r="R3353" s="53" t="n">
        <v>0.654377</v>
      </c>
      <c r="S3353" s="53" t="n">
        <v>0.276765</v>
      </c>
    </row>
    <row r="3354" customFormat="false" ht="15" hidden="false" customHeight="false" outlineLevel="0" collapsed="false">
      <c r="A3354" s="43" t="n">
        <v>351</v>
      </c>
      <c r="B3354" s="44" t="str">
        <f aca="false">'Model Inputs &amp; Assumptions'!$B$34</f>
        <v>Meta — Lookalike Feed Video</v>
      </c>
      <c r="C3354" s="45" t="n">
        <f aca="false">ROUND(MAX(0,'Model Inputs &amp; Assumptions'!$S$34*EXP('Model Inputs &amp; Assumptions'!$T$34*P3354-'Model Inputs &amp; Assumptions'!$T$34^2/2)),0)</f>
        <v>361915</v>
      </c>
      <c r="D3354" s="46" t="n">
        <f aca="false">MIN(1,'Model Inputs &amp; Assumptions'!$U$34*EXP('Model Inputs &amp; Assumptions'!$V$34*Q3354-'Model Inputs &amp; Assumptions'!$V$34^2/2))</f>
        <v>0.219125772566386</v>
      </c>
      <c r="E3354" s="45" t="n">
        <f aca="false">ROUND(C3354*D3354,0)</f>
        <v>79305</v>
      </c>
      <c r="F3354" s="47" t="n">
        <f aca="false">MIN(1,'Model Inputs &amp; Assumptions'!$W$34*EXP('Model Inputs &amp; Assumptions'!$X$34*R3354-'Model Inputs &amp; Assumptions'!$X$34^2/2))</f>
        <v>0.00713420576387387</v>
      </c>
      <c r="G3354" s="45" t="n">
        <f aca="false">ROUND(C3354*F3354,0)</f>
        <v>2582</v>
      </c>
      <c r="H3354" s="48" t="n">
        <f aca="false">MAX(0,(C3354*'Model Inputs &amp; Assumptions'!$N$34+E3354*'Model Inputs &amp; Assumptions'!$O$34+G3354*'Model Inputs &amp; Assumptions'!$P$34)*EXP('Model Inputs &amp; Assumptions'!$Q$34*S3354-'Model Inputs &amp; Assumptions'!$Q$34^2/2))</f>
        <v>51.1038628788952</v>
      </c>
      <c r="I3354" s="49" t="n">
        <f aca="false">IF('Model Inputs &amp; Assumptions'!$H$34="Fixed",'Model Inputs &amp; Assumptions'!$I$34*'Model Inputs &amp; Assumptions'!$K$34,IF('Model Inputs &amp; Assumptions'!$H$34="CPM",'Model Inputs &amp; Assumptions'!$I$34*'Model Inputs &amp; Assumptions'!$K$34*C3354/1000,IF('Model Inputs &amp; Assumptions'!$H$34="CPC",'Model Inputs &amp; Assumptions'!$I$34*'Model Inputs &amp; Assumptions'!$K$34*G3354,0)))</f>
        <v>4776.7</v>
      </c>
      <c r="J3354" s="50" t="n">
        <f aca="false">H3354*INDEX('Model Inputs &amp; Assumptions'!$D$40:$D$42,MATCH('Model Inputs &amp; Assumptions'!$L$34,'Model Inputs &amp; Assumptions'!$A$40:$A$42,0))*INDEX('Model Inputs &amp; Assumptions'!$H$40:$H$42,MATCH('Model Inputs &amp; Assumptions'!$L$34,'Model Inputs &amp; Assumptions'!$A$40:$A$42,0))</f>
        <v>367947.812728045</v>
      </c>
      <c r="K3354" s="49" t="n">
        <f aca="false">H3354*INDEX('Model Inputs &amp; Assumptions'!$G$40:$G$42,MATCH('Model Inputs &amp; Assumptions'!$L$34,'Model Inputs &amp; Assumptions'!$A$40:$A$42,0))*INDEX('Model Inputs &amp; Assumptions'!$H$40:$H$42,MATCH('Model Inputs &amp; Assumptions'!$L$34,'Model Inputs &amp; Assumptions'!$A$40:$A$42,0))</f>
        <v>8113.2492706534</v>
      </c>
      <c r="L3354" s="51" t="n">
        <f aca="false">IFERROR(K3354/I3354,0)</f>
        <v>1.69850509151787</v>
      </c>
      <c r="M3354" s="49" t="n">
        <f aca="false">IFERROR(I3354/H3354,0)</f>
        <v>93.4704292573678</v>
      </c>
      <c r="N3354" s="52" t="str">
        <f aca="false">'Model Inputs &amp; Assumptions'!$L$34</f>
        <v>PRD-USIQ</v>
      </c>
      <c r="P3354" s="53" t="n">
        <v>-1.712095</v>
      </c>
      <c r="Q3354" s="53" t="n">
        <v>-0.222709</v>
      </c>
      <c r="R3354" s="53" t="n">
        <v>1.051897</v>
      </c>
      <c r="S3354" s="53" t="n">
        <v>-0.234731</v>
      </c>
    </row>
    <row r="3355" customFormat="false" ht="15" hidden="false" customHeight="false" outlineLevel="0" collapsed="false">
      <c r="A3355" s="43" t="n">
        <v>352</v>
      </c>
      <c r="B3355" s="44" t="str">
        <f aca="false">'Model Inputs &amp; Assumptions'!$B$34</f>
        <v>Meta — Lookalike Feed Video</v>
      </c>
      <c r="C3355" s="45" t="n">
        <f aca="false">ROUND(MAX(0,'Model Inputs &amp; Assumptions'!$S$34*EXP('Model Inputs &amp; Assumptions'!$T$34*P3355-'Model Inputs &amp; Assumptions'!$T$34^2/2)),0)</f>
        <v>704088</v>
      </c>
      <c r="D3355" s="46" t="n">
        <f aca="false">MIN(1,'Model Inputs &amp; Assumptions'!$U$34*EXP('Model Inputs &amp; Assumptions'!$V$34*Q3355-'Model Inputs &amp; Assumptions'!$V$34^2/2))</f>
        <v>0.190699976413619</v>
      </c>
      <c r="E3355" s="45" t="n">
        <f aca="false">ROUND(C3355*D3355,0)</f>
        <v>134270</v>
      </c>
      <c r="F3355" s="47" t="n">
        <f aca="false">MIN(1,'Model Inputs &amp; Assumptions'!$W$34*EXP('Model Inputs &amp; Assumptions'!$X$34*R3355-'Model Inputs &amp; Assumptions'!$X$34^2/2))</f>
        <v>0.00722061572130722</v>
      </c>
      <c r="G3355" s="45" t="n">
        <f aca="false">ROUND(C3355*F3355,0)</f>
        <v>5084</v>
      </c>
      <c r="H3355" s="48" t="n">
        <f aca="false">MAX(0,(C3355*'Model Inputs &amp; Assumptions'!$N$34+E3355*'Model Inputs &amp; Assumptions'!$O$34+G3355*'Model Inputs &amp; Assumptions'!$P$34)*EXP('Model Inputs &amp; Assumptions'!$Q$34*S3355-'Model Inputs &amp; Assumptions'!$Q$34^2/2))</f>
        <v>161.116819658799</v>
      </c>
      <c r="I3355" s="49" t="n">
        <f aca="false">IF('Model Inputs &amp; Assumptions'!$H$34="Fixed",'Model Inputs &amp; Assumptions'!$I$34*'Model Inputs &amp; Assumptions'!$K$34,IF('Model Inputs &amp; Assumptions'!$H$34="CPM",'Model Inputs &amp; Assumptions'!$I$34*'Model Inputs &amp; Assumptions'!$K$34*C3355/1000,IF('Model Inputs &amp; Assumptions'!$H$34="CPC",'Model Inputs &amp; Assumptions'!$I$34*'Model Inputs &amp; Assumptions'!$K$34*G3355,0)))</f>
        <v>9405.4</v>
      </c>
      <c r="J3355" s="50" t="n">
        <f aca="false">H3355*INDEX('Model Inputs &amp; Assumptions'!$D$40:$D$42,MATCH('Model Inputs &amp; Assumptions'!$L$34,'Model Inputs &amp; Assumptions'!$A$40:$A$42,0))*INDEX('Model Inputs &amp; Assumptions'!$H$40:$H$42,MATCH('Model Inputs &amp; Assumptions'!$L$34,'Model Inputs &amp; Assumptions'!$A$40:$A$42,0))</f>
        <v>1160041.10154335</v>
      </c>
      <c r="K3355" s="49" t="n">
        <f aca="false">H3355*INDEX('Model Inputs &amp; Assumptions'!$G$40:$G$42,MATCH('Model Inputs &amp; Assumptions'!$L$34,'Model Inputs &amp; Assumptions'!$A$40:$A$42,0))*INDEX('Model Inputs &amp; Assumptions'!$H$40:$H$42,MATCH('Model Inputs &amp; Assumptions'!$L$34,'Model Inputs &amp; Assumptions'!$A$40:$A$42,0))</f>
        <v>25578.906289031</v>
      </c>
      <c r="L3355" s="51" t="n">
        <f aca="false">IFERROR(K3355/I3355,0)</f>
        <v>2.71959792130382</v>
      </c>
      <c r="M3355" s="49" t="n">
        <f aca="false">IFERROR(I3355/H3355,0)</f>
        <v>58.3762764180551</v>
      </c>
      <c r="N3355" s="52" t="str">
        <f aca="false">'Model Inputs &amp; Assumptions'!$L$34</f>
        <v>PRD-USIQ</v>
      </c>
      <c r="P3355" s="53" t="n">
        <v>1.61537</v>
      </c>
      <c r="Q3355" s="53" t="n">
        <v>-1.091112</v>
      </c>
      <c r="R3355" s="53" t="n">
        <v>1.118782</v>
      </c>
      <c r="S3355" s="53" t="n">
        <v>1.284605</v>
      </c>
    </row>
    <row r="3356" customFormat="false" ht="15" hidden="false" customHeight="false" outlineLevel="0" collapsed="false">
      <c r="A3356" s="43" t="n">
        <v>353</v>
      </c>
      <c r="B3356" s="44" t="str">
        <f aca="false">'Model Inputs &amp; Assumptions'!$B$34</f>
        <v>Meta — Lookalike Feed Video</v>
      </c>
      <c r="C3356" s="45" t="n">
        <f aca="false">ROUND(MAX(0,'Model Inputs &amp; Assumptions'!$S$34*EXP('Model Inputs &amp; Assumptions'!$T$34*P3356-'Model Inputs &amp; Assumptions'!$T$34^2/2)),0)</f>
        <v>743078</v>
      </c>
      <c r="D3356" s="46" t="n">
        <f aca="false">MIN(1,'Model Inputs &amp; Assumptions'!$U$34*EXP('Model Inputs &amp; Assumptions'!$V$34*Q3356-'Model Inputs &amp; Assumptions'!$V$34^2/2))</f>
        <v>0.290333989701908</v>
      </c>
      <c r="E3356" s="45" t="n">
        <f aca="false">ROUND(C3356*D3356,0)</f>
        <v>215741</v>
      </c>
      <c r="F3356" s="47" t="n">
        <f aca="false">MIN(1,'Model Inputs &amp; Assumptions'!$W$34*EXP('Model Inputs &amp; Assumptions'!$X$34*R3356-'Model Inputs &amp; Assumptions'!$X$34^2/2))</f>
        <v>0.00659009002471778</v>
      </c>
      <c r="G3356" s="45" t="n">
        <f aca="false">ROUND(C3356*F3356,0)</f>
        <v>4897</v>
      </c>
      <c r="H3356" s="48" t="n">
        <f aca="false">MAX(0,(C3356*'Model Inputs &amp; Assumptions'!$N$34+E3356*'Model Inputs &amp; Assumptions'!$O$34+G3356*'Model Inputs &amp; Assumptions'!$P$34)*EXP('Model Inputs &amp; Assumptions'!$Q$34*S3356-'Model Inputs &amp; Assumptions'!$Q$34^2/2))</f>
        <v>83.0258876233136</v>
      </c>
      <c r="I3356" s="49" t="n">
        <f aca="false">IF('Model Inputs &amp; Assumptions'!$H$34="Fixed",'Model Inputs &amp; Assumptions'!$I$34*'Model Inputs &amp; Assumptions'!$K$34,IF('Model Inputs &amp; Assumptions'!$H$34="CPM",'Model Inputs &amp; Assumptions'!$I$34*'Model Inputs &amp; Assumptions'!$K$34*C3356/1000,IF('Model Inputs &amp; Assumptions'!$H$34="CPC",'Model Inputs &amp; Assumptions'!$I$34*'Model Inputs &amp; Assumptions'!$K$34*G3356,0)))</f>
        <v>9059.45</v>
      </c>
      <c r="J3356" s="50" t="n">
        <f aca="false">H3356*INDEX('Model Inputs &amp; Assumptions'!$D$40:$D$42,MATCH('Model Inputs &amp; Assumptions'!$L$34,'Model Inputs &amp; Assumptions'!$A$40:$A$42,0))*INDEX('Model Inputs &amp; Assumptions'!$H$40:$H$42,MATCH('Model Inputs &amp; Assumptions'!$L$34,'Model Inputs &amp; Assumptions'!$A$40:$A$42,0))</f>
        <v>597786.390887858</v>
      </c>
      <c r="K3356" s="49" t="n">
        <f aca="false">H3356*INDEX('Model Inputs &amp; Assumptions'!$G$40:$G$42,MATCH('Model Inputs &amp; Assumptions'!$L$34,'Model Inputs &amp; Assumptions'!$A$40:$A$42,0))*INDEX('Model Inputs &amp; Assumptions'!$H$40:$H$42,MATCH('Model Inputs &amp; Assumptions'!$L$34,'Model Inputs &amp; Assumptions'!$A$40:$A$42,0))</f>
        <v>13181.1899190773</v>
      </c>
      <c r="L3356" s="51" t="n">
        <f aca="false">IFERROR(K3356/I3356,0)</f>
        <v>1.45496580025026</v>
      </c>
      <c r="M3356" s="49" t="n">
        <f aca="false">IFERROR(I3356/H3356,0)</f>
        <v>109.115966830761</v>
      </c>
      <c r="N3356" s="52" t="str">
        <f aca="false">'Model Inputs &amp; Assumptions'!$L$34</f>
        <v>PRD-USIQ</v>
      </c>
      <c r="P3356" s="53" t="n">
        <v>1.884862</v>
      </c>
      <c r="Q3356" s="53" t="n">
        <v>1.535954</v>
      </c>
      <c r="R3356" s="53" t="n">
        <v>0.611153</v>
      </c>
      <c r="S3356" s="53" t="n">
        <v>-0.863472</v>
      </c>
    </row>
    <row r="3357" customFormat="false" ht="15" hidden="false" customHeight="false" outlineLevel="0" collapsed="false">
      <c r="A3357" s="43" t="n">
        <v>354</v>
      </c>
      <c r="B3357" s="44" t="str">
        <f aca="false">'Model Inputs &amp; Assumptions'!$B$34</f>
        <v>Meta — Lookalike Feed Video</v>
      </c>
      <c r="C3357" s="45" t="n">
        <f aca="false">ROUND(MAX(0,'Model Inputs &amp; Assumptions'!$S$34*EXP('Model Inputs &amp; Assumptions'!$T$34*P3357-'Model Inputs &amp; Assumptions'!$T$34^2/2)),0)</f>
        <v>491910</v>
      </c>
      <c r="D3357" s="46" t="n">
        <f aca="false">MIN(1,'Model Inputs &amp; Assumptions'!$U$34*EXP('Model Inputs &amp; Assumptions'!$V$34*Q3357-'Model Inputs &amp; Assumptions'!$V$34^2/2))</f>
        <v>0.203689853077875</v>
      </c>
      <c r="E3357" s="45" t="n">
        <f aca="false">ROUND(C3357*D3357,0)</f>
        <v>100197</v>
      </c>
      <c r="F3357" s="47" t="n">
        <f aca="false">MIN(1,'Model Inputs &amp; Assumptions'!$W$34*EXP('Model Inputs &amp; Assumptions'!$X$34*R3357-'Model Inputs &amp; Assumptions'!$X$34^2/2))</f>
        <v>0.00500085465700531</v>
      </c>
      <c r="G3357" s="45" t="n">
        <f aca="false">ROUND(C3357*F3357,0)</f>
        <v>2460</v>
      </c>
      <c r="H3357" s="48" t="n">
        <f aca="false">MAX(0,(C3357*'Model Inputs &amp; Assumptions'!$N$34+E3357*'Model Inputs &amp; Assumptions'!$O$34+G3357*'Model Inputs &amp; Assumptions'!$P$34)*EXP('Model Inputs &amp; Assumptions'!$Q$34*S3357-'Model Inputs &amp; Assumptions'!$Q$34^2/2))</f>
        <v>38.2673382408509</v>
      </c>
      <c r="I3357" s="49" t="n">
        <f aca="false">IF('Model Inputs &amp; Assumptions'!$H$34="Fixed",'Model Inputs &amp; Assumptions'!$I$34*'Model Inputs &amp; Assumptions'!$K$34,IF('Model Inputs &amp; Assumptions'!$H$34="CPM",'Model Inputs &amp; Assumptions'!$I$34*'Model Inputs &amp; Assumptions'!$K$34*C3357/1000,IF('Model Inputs &amp; Assumptions'!$H$34="CPC",'Model Inputs &amp; Assumptions'!$I$34*'Model Inputs &amp; Assumptions'!$K$34*G3357,0)))</f>
        <v>4551</v>
      </c>
      <c r="J3357" s="50" t="n">
        <f aca="false">H3357*INDEX('Model Inputs &amp; Assumptions'!$D$40:$D$42,MATCH('Model Inputs &amp; Assumptions'!$L$34,'Model Inputs &amp; Assumptions'!$A$40:$A$42,0))*INDEX('Model Inputs &amp; Assumptions'!$H$40:$H$42,MATCH('Model Inputs &amp; Assumptions'!$L$34,'Model Inputs &amp; Assumptions'!$A$40:$A$42,0))</f>
        <v>275524.835334126</v>
      </c>
      <c r="K3357" s="49" t="n">
        <f aca="false">H3357*INDEX('Model Inputs &amp; Assumptions'!$G$40:$G$42,MATCH('Model Inputs &amp; Assumptions'!$L$34,'Model Inputs &amp; Assumptions'!$A$40:$A$42,0))*INDEX('Model Inputs &amp; Assumptions'!$H$40:$H$42,MATCH('Model Inputs &amp; Assumptions'!$L$34,'Model Inputs &amp; Assumptions'!$A$40:$A$42,0))</f>
        <v>6075.32261911748</v>
      </c>
      <c r="L3357" s="51" t="n">
        <f aca="false">IFERROR(K3357/I3357,0)</f>
        <v>1.33494234654306</v>
      </c>
      <c r="M3357" s="49" t="n">
        <f aca="false">IFERROR(I3357/H3357,0)</f>
        <v>118.926484286847</v>
      </c>
      <c r="N3357" s="52" t="str">
        <f aca="false">'Model Inputs &amp; Assumptions'!$L$34</f>
        <v>PRD-USIQ</v>
      </c>
      <c r="P3357" s="53" t="n">
        <v>-0.177662</v>
      </c>
      <c r="Q3357" s="53" t="n">
        <v>-0.679255</v>
      </c>
      <c r="R3357" s="53" t="n">
        <v>-0.921948</v>
      </c>
      <c r="S3357" s="53" t="n">
        <v>-1.096977</v>
      </c>
    </row>
    <row r="3358" customFormat="false" ht="15" hidden="false" customHeight="false" outlineLevel="0" collapsed="false">
      <c r="A3358" s="43" t="n">
        <v>355</v>
      </c>
      <c r="B3358" s="44" t="str">
        <f aca="false">'Model Inputs &amp; Assumptions'!$B$34</f>
        <v>Meta — Lookalike Feed Video</v>
      </c>
      <c r="C3358" s="45" t="n">
        <f aca="false">ROUND(MAX(0,'Model Inputs &amp; Assumptions'!$S$34*EXP('Model Inputs &amp; Assumptions'!$T$34*P3358-'Model Inputs &amp; Assumptions'!$T$34^2/2)),0)</f>
        <v>540474</v>
      </c>
      <c r="D3358" s="46" t="n">
        <f aca="false">MIN(1,'Model Inputs &amp; Assumptions'!$U$34*EXP('Model Inputs &amp; Assumptions'!$V$34*Q3358-'Model Inputs &amp; Assumptions'!$V$34^2/2))</f>
        <v>0.198523561124189</v>
      </c>
      <c r="E3358" s="45" t="n">
        <f aca="false">ROUND(C3358*D3358,0)</f>
        <v>107297</v>
      </c>
      <c r="F3358" s="47" t="n">
        <f aca="false">MIN(1,'Model Inputs &amp; Assumptions'!$W$34*EXP('Model Inputs &amp; Assumptions'!$X$34*R3358-'Model Inputs &amp; Assumptions'!$X$34^2/2))</f>
        <v>0.00628593997434654</v>
      </c>
      <c r="G3358" s="45" t="n">
        <f aca="false">ROUND(C3358*F3358,0)</f>
        <v>3397</v>
      </c>
      <c r="H3358" s="48" t="n">
        <f aca="false">MAX(0,(C3358*'Model Inputs &amp; Assumptions'!$N$34+E3358*'Model Inputs &amp; Assumptions'!$O$34+G3358*'Model Inputs &amp; Assumptions'!$P$34)*EXP('Model Inputs &amp; Assumptions'!$Q$34*S3358-'Model Inputs &amp; Assumptions'!$Q$34^2/2))</f>
        <v>69.6843891630449</v>
      </c>
      <c r="I3358" s="49" t="n">
        <f aca="false">IF('Model Inputs &amp; Assumptions'!$H$34="Fixed",'Model Inputs &amp; Assumptions'!$I$34*'Model Inputs &amp; Assumptions'!$K$34,IF('Model Inputs &amp; Assumptions'!$H$34="CPM",'Model Inputs &amp; Assumptions'!$I$34*'Model Inputs &amp; Assumptions'!$K$34*C3358/1000,IF('Model Inputs &amp; Assumptions'!$H$34="CPC",'Model Inputs &amp; Assumptions'!$I$34*'Model Inputs &amp; Assumptions'!$K$34*G3358,0)))</f>
        <v>6284.45</v>
      </c>
      <c r="J3358" s="50" t="n">
        <f aca="false">H3358*INDEX('Model Inputs &amp; Assumptions'!$D$40:$D$42,MATCH('Model Inputs &amp; Assumptions'!$L$34,'Model Inputs &amp; Assumptions'!$A$40:$A$42,0))*INDEX('Model Inputs &amp; Assumptions'!$H$40:$H$42,MATCH('Model Inputs &amp; Assumptions'!$L$34,'Model Inputs &amp; Assumptions'!$A$40:$A$42,0))</f>
        <v>501727.601973923</v>
      </c>
      <c r="K3358" s="49" t="n">
        <f aca="false">H3358*INDEX('Model Inputs &amp; Assumptions'!$G$40:$G$42,MATCH('Model Inputs &amp; Assumptions'!$L$34,'Model Inputs &amp; Assumptions'!$A$40:$A$42,0))*INDEX('Model Inputs &amp; Assumptions'!$H$40:$H$42,MATCH('Model Inputs &amp; Assumptions'!$L$34,'Model Inputs &amp; Assumptions'!$A$40:$A$42,0))</f>
        <v>11063.093623525</v>
      </c>
      <c r="L3358" s="51" t="n">
        <f aca="false">IFERROR(K3358/I3358,0)</f>
        <v>1.76039170070969</v>
      </c>
      <c r="M3358" s="49" t="n">
        <f aca="false">IFERROR(I3358/H3358,0)</f>
        <v>90.184474248542</v>
      </c>
      <c r="N3358" s="52" t="str">
        <f aca="false">'Model Inputs &amp; Assumptions'!$L$34</f>
        <v>PRD-USIQ</v>
      </c>
      <c r="P3358" s="53" t="n">
        <v>0.293086</v>
      </c>
      <c r="Q3358" s="53" t="n">
        <v>-0.839822</v>
      </c>
      <c r="R3358" s="53" t="n">
        <v>0.348644</v>
      </c>
      <c r="S3358" s="53" t="n">
        <v>-0.132578</v>
      </c>
    </row>
    <row r="3359" customFormat="false" ht="15" hidden="false" customHeight="false" outlineLevel="0" collapsed="false">
      <c r="A3359" s="43" t="n">
        <v>356</v>
      </c>
      <c r="B3359" s="44" t="str">
        <f aca="false">'Model Inputs &amp; Assumptions'!$B$34</f>
        <v>Meta — Lookalike Feed Video</v>
      </c>
      <c r="C3359" s="45" t="n">
        <f aca="false">ROUND(MAX(0,'Model Inputs &amp; Assumptions'!$S$34*EXP('Model Inputs &amp; Assumptions'!$T$34*P3359-'Model Inputs &amp; Assumptions'!$T$34^2/2)),0)</f>
        <v>452215</v>
      </c>
      <c r="D3359" s="46" t="n">
        <f aca="false">MIN(1,'Model Inputs &amp; Assumptions'!$U$34*EXP('Model Inputs &amp; Assumptions'!$V$34*Q3359-'Model Inputs &amp; Assumptions'!$V$34^2/2))</f>
        <v>0.232694889641814</v>
      </c>
      <c r="E3359" s="45" t="n">
        <f aca="false">ROUND(C3359*D3359,0)</f>
        <v>105228</v>
      </c>
      <c r="F3359" s="47" t="n">
        <f aca="false">MIN(1,'Model Inputs &amp; Assumptions'!$W$34*EXP('Model Inputs &amp; Assumptions'!$X$34*R3359-'Model Inputs &amp; Assumptions'!$X$34^2/2))</f>
        <v>0.00585202683774422</v>
      </c>
      <c r="G3359" s="45" t="n">
        <f aca="false">ROUND(C3359*F3359,0)</f>
        <v>2646</v>
      </c>
      <c r="H3359" s="48" t="n">
        <f aca="false">MAX(0,(C3359*'Model Inputs &amp; Assumptions'!$N$34+E3359*'Model Inputs &amp; Assumptions'!$O$34+G3359*'Model Inputs &amp; Assumptions'!$P$34)*EXP('Model Inputs &amp; Assumptions'!$Q$34*S3359-'Model Inputs &amp; Assumptions'!$Q$34^2/2))</f>
        <v>40.1190958115992</v>
      </c>
      <c r="I3359" s="49" t="n">
        <f aca="false">IF('Model Inputs &amp; Assumptions'!$H$34="Fixed",'Model Inputs &amp; Assumptions'!$I$34*'Model Inputs &amp; Assumptions'!$K$34,IF('Model Inputs &amp; Assumptions'!$H$34="CPM",'Model Inputs &amp; Assumptions'!$I$34*'Model Inputs &amp; Assumptions'!$K$34*C3359/1000,IF('Model Inputs &amp; Assumptions'!$H$34="CPC",'Model Inputs &amp; Assumptions'!$I$34*'Model Inputs &amp; Assumptions'!$K$34*G3359,0)))</f>
        <v>4895.1</v>
      </c>
      <c r="J3359" s="50" t="n">
        <f aca="false">H3359*INDEX('Model Inputs &amp; Assumptions'!$D$40:$D$42,MATCH('Model Inputs &amp; Assumptions'!$L$34,'Model Inputs &amp; Assumptions'!$A$40:$A$42,0))*INDEX('Model Inputs &amp; Assumptions'!$H$40:$H$42,MATCH('Model Inputs &amp; Assumptions'!$L$34,'Model Inputs &amp; Assumptions'!$A$40:$A$42,0))</f>
        <v>288857.489843514</v>
      </c>
      <c r="K3359" s="49" t="n">
        <f aca="false">H3359*INDEX('Model Inputs &amp; Assumptions'!$G$40:$G$42,MATCH('Model Inputs &amp; Assumptions'!$L$34,'Model Inputs &amp; Assumptions'!$A$40:$A$42,0))*INDEX('Model Inputs &amp; Assumptions'!$H$40:$H$42,MATCH('Model Inputs &amp; Assumptions'!$L$34,'Model Inputs &amp; Assumptions'!$A$40:$A$42,0))</f>
        <v>6369.30765104949</v>
      </c>
      <c r="L3359" s="51" t="n">
        <f aca="false">IFERROR(K3359/I3359,0)</f>
        <v>1.30115986415997</v>
      </c>
      <c r="M3359" s="49" t="n">
        <f aca="false">IFERROR(I3359/H3359,0)</f>
        <v>122.01421544961</v>
      </c>
      <c r="N3359" s="52" t="str">
        <f aca="false">'Model Inputs &amp; Assumptions'!$L$34</f>
        <v>PRD-USIQ</v>
      </c>
      <c r="P3359" s="53" t="n">
        <v>-0.598354</v>
      </c>
      <c r="Q3359" s="53" t="n">
        <v>0.152805</v>
      </c>
      <c r="R3359" s="53" t="n">
        <v>-0.04873</v>
      </c>
      <c r="S3359" s="53" t="n">
        <v>-1.166722</v>
      </c>
    </row>
    <row r="3360" customFormat="false" ht="15" hidden="false" customHeight="false" outlineLevel="0" collapsed="false">
      <c r="A3360" s="43" t="n">
        <v>357</v>
      </c>
      <c r="B3360" s="44" t="str">
        <f aca="false">'Model Inputs &amp; Assumptions'!$B$34</f>
        <v>Meta — Lookalike Feed Video</v>
      </c>
      <c r="C3360" s="45" t="n">
        <f aca="false">ROUND(MAX(0,'Model Inputs &amp; Assumptions'!$S$34*EXP('Model Inputs &amp; Assumptions'!$T$34*P3360-'Model Inputs &amp; Assumptions'!$T$34^2/2)),0)</f>
        <v>648225</v>
      </c>
      <c r="D3360" s="46" t="n">
        <f aca="false">MIN(1,'Model Inputs &amp; Assumptions'!$U$34*EXP('Model Inputs &amp; Assumptions'!$V$34*Q3360-'Model Inputs &amp; Assumptions'!$V$34^2/2))</f>
        <v>0.317694182218951</v>
      </c>
      <c r="E3360" s="45" t="n">
        <f aca="false">ROUND(C3360*D3360,0)</f>
        <v>205937</v>
      </c>
      <c r="F3360" s="47" t="n">
        <f aca="false">MIN(1,'Model Inputs &amp; Assumptions'!$W$34*EXP('Model Inputs &amp; Assumptions'!$X$34*R3360-'Model Inputs &amp; Assumptions'!$X$34^2/2))</f>
        <v>0.00691932989686851</v>
      </c>
      <c r="G3360" s="45" t="n">
        <f aca="false">ROUND(C3360*F3360,0)</f>
        <v>4485</v>
      </c>
      <c r="H3360" s="48" t="n">
        <f aca="false">MAX(0,(C3360*'Model Inputs &amp; Assumptions'!$N$34+E3360*'Model Inputs &amp; Assumptions'!$O$34+G3360*'Model Inputs &amp; Assumptions'!$P$34)*EXP('Model Inputs &amp; Assumptions'!$Q$34*S3360-'Model Inputs &amp; Assumptions'!$Q$34^2/2))</f>
        <v>117.449594605326</v>
      </c>
      <c r="I3360" s="49" t="n">
        <f aca="false">IF('Model Inputs &amp; Assumptions'!$H$34="Fixed",'Model Inputs &amp; Assumptions'!$I$34*'Model Inputs &amp; Assumptions'!$K$34,IF('Model Inputs &amp; Assumptions'!$H$34="CPM",'Model Inputs &amp; Assumptions'!$I$34*'Model Inputs &amp; Assumptions'!$K$34*C3360/1000,IF('Model Inputs &amp; Assumptions'!$H$34="CPC",'Model Inputs &amp; Assumptions'!$I$34*'Model Inputs &amp; Assumptions'!$K$34*G3360,0)))</f>
        <v>8297.25</v>
      </c>
      <c r="J3360" s="50" t="n">
        <f aca="false">H3360*INDEX('Model Inputs &amp; Assumptions'!$D$40:$D$42,MATCH('Model Inputs &amp; Assumptions'!$L$34,'Model Inputs &amp; Assumptions'!$A$40:$A$42,0))*INDEX('Model Inputs &amp; Assumptions'!$H$40:$H$42,MATCH('Model Inputs &amp; Assumptions'!$L$34,'Model Inputs &amp; Assumptions'!$A$40:$A$42,0))</f>
        <v>845637.081158346</v>
      </c>
      <c r="K3360" s="49" t="n">
        <f aca="false">H3360*INDEX('Model Inputs &amp; Assumptions'!$G$40:$G$42,MATCH('Model Inputs &amp; Assumptions'!$L$34,'Model Inputs &amp; Assumptions'!$A$40:$A$42,0))*INDEX('Model Inputs &amp; Assumptions'!$H$40:$H$42,MATCH('Model Inputs &amp; Assumptions'!$L$34,'Model Inputs &amp; Assumptions'!$A$40:$A$42,0))</f>
        <v>18646.2976395415</v>
      </c>
      <c r="L3360" s="51" t="n">
        <f aca="false">IFERROR(K3360/I3360,0)</f>
        <v>2.24728646714773</v>
      </c>
      <c r="M3360" s="49" t="n">
        <f aca="false">IFERROR(I3360/H3360,0)</f>
        <v>70.6451991416559</v>
      </c>
      <c r="N3360" s="52" t="str">
        <f aca="false">'Model Inputs &amp; Assumptions'!$L$34</f>
        <v>PRD-USIQ</v>
      </c>
      <c r="P3360" s="53" t="n">
        <v>1.202042</v>
      </c>
      <c r="Q3360" s="53" t="n">
        <v>2.098812</v>
      </c>
      <c r="R3360" s="53" t="n">
        <v>0.881997</v>
      </c>
      <c r="S3360" s="53" t="n">
        <v>0.475378</v>
      </c>
    </row>
    <row r="3361" customFormat="false" ht="15" hidden="false" customHeight="false" outlineLevel="0" collapsed="false">
      <c r="A3361" s="43" t="n">
        <v>358</v>
      </c>
      <c r="B3361" s="44" t="str">
        <f aca="false">'Model Inputs &amp; Assumptions'!$B$34</f>
        <v>Meta — Lookalike Feed Video</v>
      </c>
      <c r="C3361" s="45" t="n">
        <f aca="false">ROUND(MAX(0,'Model Inputs &amp; Assumptions'!$S$34*EXP('Model Inputs &amp; Assumptions'!$T$34*P3361-'Model Inputs &amp; Assumptions'!$T$34^2/2)),0)</f>
        <v>405967</v>
      </c>
      <c r="D3361" s="46" t="n">
        <f aca="false">MIN(1,'Model Inputs &amp; Assumptions'!$U$34*EXP('Model Inputs &amp; Assumptions'!$V$34*Q3361-'Model Inputs &amp; Assumptions'!$V$34^2/2))</f>
        <v>0.206853701823987</v>
      </c>
      <c r="E3361" s="45" t="n">
        <f aca="false">ROUND(C3361*D3361,0)</f>
        <v>83976</v>
      </c>
      <c r="F3361" s="47" t="n">
        <f aca="false">MIN(1,'Model Inputs &amp; Assumptions'!$W$34*EXP('Model Inputs &amp; Assumptions'!$X$34*R3361-'Model Inputs &amp; Assumptions'!$X$34^2/2))</f>
        <v>0.00527538250341022</v>
      </c>
      <c r="G3361" s="45" t="n">
        <f aca="false">ROUND(C3361*F3361,0)</f>
        <v>2142</v>
      </c>
      <c r="H3361" s="48" t="n">
        <f aca="false">MAX(0,(C3361*'Model Inputs &amp; Assumptions'!$N$34+E3361*'Model Inputs &amp; Assumptions'!$O$34+G3361*'Model Inputs &amp; Assumptions'!$P$34)*EXP('Model Inputs &amp; Assumptions'!$Q$34*S3361-'Model Inputs &amp; Assumptions'!$Q$34^2/2))</f>
        <v>55.2377941202281</v>
      </c>
      <c r="I3361" s="49" t="n">
        <f aca="false">IF('Model Inputs &amp; Assumptions'!$H$34="Fixed",'Model Inputs &amp; Assumptions'!$I$34*'Model Inputs &amp; Assumptions'!$K$34,IF('Model Inputs &amp; Assumptions'!$H$34="CPM",'Model Inputs &amp; Assumptions'!$I$34*'Model Inputs &amp; Assumptions'!$K$34*C3361/1000,IF('Model Inputs &amp; Assumptions'!$H$34="CPC",'Model Inputs &amp; Assumptions'!$I$34*'Model Inputs &amp; Assumptions'!$K$34*G3361,0)))</f>
        <v>3962.7</v>
      </c>
      <c r="J3361" s="50" t="n">
        <f aca="false">H3361*INDEX('Model Inputs &amp; Assumptions'!$D$40:$D$42,MATCH('Model Inputs &amp; Assumptions'!$L$34,'Model Inputs &amp; Assumptions'!$A$40:$A$42,0))*INDEX('Model Inputs &amp; Assumptions'!$H$40:$H$42,MATCH('Model Inputs &amp; Assumptions'!$L$34,'Model Inputs &amp; Assumptions'!$A$40:$A$42,0))</f>
        <v>397712.117665642</v>
      </c>
      <c r="K3361" s="49" t="n">
        <f aca="false">H3361*INDEX('Model Inputs &amp; Assumptions'!$G$40:$G$42,MATCH('Model Inputs &amp; Assumptions'!$L$34,'Model Inputs &amp; Assumptions'!$A$40:$A$42,0))*INDEX('Model Inputs &amp; Assumptions'!$H$40:$H$42,MATCH('Model Inputs &amp; Assumptions'!$L$34,'Model Inputs &amp; Assumptions'!$A$40:$A$42,0))</f>
        <v>8769.55219452741</v>
      </c>
      <c r="L3361" s="51" t="n">
        <f aca="false">IFERROR(K3361/I3361,0)</f>
        <v>2.21302450211407</v>
      </c>
      <c r="M3361" s="49" t="n">
        <f aca="false">IFERROR(I3361/H3361,0)</f>
        <v>71.7389255511356</v>
      </c>
      <c r="N3361" s="52" t="str">
        <f aca="false">'Model Inputs &amp; Assumptions'!$L$34</f>
        <v>PRD-USIQ</v>
      </c>
      <c r="P3361" s="53" t="n">
        <v>-1.137787</v>
      </c>
      <c r="Q3361" s="53" t="n">
        <v>-0.582922</v>
      </c>
      <c r="R3361" s="53" t="n">
        <v>-0.625046</v>
      </c>
      <c r="S3361" s="53" t="n">
        <v>0.499069</v>
      </c>
    </row>
    <row r="3362" customFormat="false" ht="15" hidden="false" customHeight="false" outlineLevel="0" collapsed="false">
      <c r="A3362" s="43" t="n">
        <v>359</v>
      </c>
      <c r="B3362" s="44" t="str">
        <f aca="false">'Model Inputs &amp; Assumptions'!$B$34</f>
        <v>Meta — Lookalike Feed Video</v>
      </c>
      <c r="C3362" s="45" t="n">
        <f aca="false">ROUND(MAX(0,'Model Inputs &amp; Assumptions'!$S$34*EXP('Model Inputs &amp; Assumptions'!$T$34*P3362-'Model Inputs &amp; Assumptions'!$T$34^2/2)),0)</f>
        <v>736503</v>
      </c>
      <c r="D3362" s="46" t="n">
        <f aca="false">MIN(1,'Model Inputs &amp; Assumptions'!$U$34*EXP('Model Inputs &amp; Assumptions'!$V$34*Q3362-'Model Inputs &amp; Assumptions'!$V$34^2/2))</f>
        <v>0.226873099681197</v>
      </c>
      <c r="E3362" s="45" t="n">
        <f aca="false">ROUND(C3362*D3362,0)</f>
        <v>167093</v>
      </c>
      <c r="F3362" s="47" t="n">
        <f aca="false">MIN(1,'Model Inputs &amp; Assumptions'!$W$34*EXP('Model Inputs &amp; Assumptions'!$X$34*R3362-'Model Inputs &amp; Assumptions'!$X$34^2/2))</f>
        <v>0.00401784234816521</v>
      </c>
      <c r="G3362" s="45" t="n">
        <f aca="false">ROUND(C3362*F3362,0)</f>
        <v>2959</v>
      </c>
      <c r="H3362" s="48" t="n">
        <f aca="false">MAX(0,(C3362*'Model Inputs &amp; Assumptions'!$N$34+E3362*'Model Inputs &amp; Assumptions'!$O$34+G3362*'Model Inputs &amp; Assumptions'!$P$34)*EXP('Model Inputs &amp; Assumptions'!$Q$34*S3362-'Model Inputs &amp; Assumptions'!$Q$34^2/2))</f>
        <v>53.7734694532204</v>
      </c>
      <c r="I3362" s="49" t="n">
        <f aca="false">IF('Model Inputs &amp; Assumptions'!$H$34="Fixed",'Model Inputs &amp; Assumptions'!$I$34*'Model Inputs &amp; Assumptions'!$K$34,IF('Model Inputs &amp; Assumptions'!$H$34="CPM",'Model Inputs &amp; Assumptions'!$I$34*'Model Inputs &amp; Assumptions'!$K$34*C3362/1000,IF('Model Inputs &amp; Assumptions'!$H$34="CPC",'Model Inputs &amp; Assumptions'!$I$34*'Model Inputs &amp; Assumptions'!$K$34*G3362,0)))</f>
        <v>5474.15</v>
      </c>
      <c r="J3362" s="50" t="n">
        <f aca="false">H3362*INDEX('Model Inputs &amp; Assumptions'!$D$40:$D$42,MATCH('Model Inputs &amp; Assumptions'!$L$34,'Model Inputs &amp; Assumptions'!$A$40:$A$42,0))*INDEX('Model Inputs &amp; Assumptions'!$H$40:$H$42,MATCH('Model Inputs &amp; Assumptions'!$L$34,'Model Inputs &amp; Assumptions'!$A$40:$A$42,0))</f>
        <v>387168.980063187</v>
      </c>
      <c r="K3362" s="49" t="n">
        <f aca="false">H3362*INDEX('Model Inputs &amp; Assumptions'!$G$40:$G$42,MATCH('Model Inputs &amp; Assumptions'!$L$34,'Model Inputs &amp; Assumptions'!$A$40:$A$42,0))*INDEX('Model Inputs &amp; Assumptions'!$H$40:$H$42,MATCH('Model Inputs &amp; Assumptions'!$L$34,'Model Inputs &amp; Assumptions'!$A$40:$A$42,0))</f>
        <v>8537.07601039327</v>
      </c>
      <c r="L3362" s="51" t="n">
        <f aca="false">IFERROR(K3362/I3362,0)</f>
        <v>1.55952540766937</v>
      </c>
      <c r="M3362" s="49" t="n">
        <f aca="false">IFERROR(I3362/H3362,0)</f>
        <v>101.800201022219</v>
      </c>
      <c r="N3362" s="52" t="str">
        <f aca="false">'Model Inputs &amp; Assumptions'!$L$34</f>
        <v>PRD-USIQ</v>
      </c>
      <c r="P3362" s="53" t="n">
        <v>1.840425</v>
      </c>
      <c r="Q3362" s="53" t="n">
        <v>-0.005553</v>
      </c>
      <c r="R3362" s="53" t="n">
        <v>-2.137858</v>
      </c>
      <c r="S3362" s="53" t="n">
        <v>-0.775814</v>
      </c>
    </row>
    <row r="3363" customFormat="false" ht="15" hidden="false" customHeight="false" outlineLevel="0" collapsed="false">
      <c r="A3363" s="43" t="n">
        <v>360</v>
      </c>
      <c r="B3363" s="44" t="str">
        <f aca="false">'Model Inputs &amp; Assumptions'!$B$34</f>
        <v>Meta — Lookalike Feed Video</v>
      </c>
      <c r="C3363" s="45" t="n">
        <f aca="false">ROUND(MAX(0,'Model Inputs &amp; Assumptions'!$S$34*EXP('Model Inputs &amp; Assumptions'!$T$34*P3363-'Model Inputs &amp; Assumptions'!$T$34^2/2)),0)</f>
        <v>444054</v>
      </c>
      <c r="D3363" s="46" t="n">
        <f aca="false">MIN(1,'Model Inputs &amp; Assumptions'!$U$34*EXP('Model Inputs &amp; Assumptions'!$V$34*Q3363-'Model Inputs &amp; Assumptions'!$V$34^2/2))</f>
        <v>0.302648416111246</v>
      </c>
      <c r="E3363" s="45" t="n">
        <f aca="false">ROUND(C3363*D3363,0)</f>
        <v>134392</v>
      </c>
      <c r="F3363" s="47" t="n">
        <f aca="false">MIN(1,'Model Inputs &amp; Assumptions'!$W$34*EXP('Model Inputs &amp; Assumptions'!$X$34*R3363-'Model Inputs &amp; Assumptions'!$X$34^2/2))</f>
        <v>0.00561358385683715</v>
      </c>
      <c r="G3363" s="45" t="n">
        <f aca="false">ROUND(C3363*F3363,0)</f>
        <v>2493</v>
      </c>
      <c r="H3363" s="48" t="n">
        <f aca="false">MAX(0,(C3363*'Model Inputs &amp; Assumptions'!$N$34+E3363*'Model Inputs &amp; Assumptions'!$O$34+G3363*'Model Inputs &amp; Assumptions'!$P$34)*EXP('Model Inputs &amp; Assumptions'!$Q$34*S3363-'Model Inputs &amp; Assumptions'!$Q$34^2/2))</f>
        <v>39.3562256384114</v>
      </c>
      <c r="I3363" s="49" t="n">
        <f aca="false">IF('Model Inputs &amp; Assumptions'!$H$34="Fixed",'Model Inputs &amp; Assumptions'!$I$34*'Model Inputs &amp; Assumptions'!$K$34,IF('Model Inputs &amp; Assumptions'!$H$34="CPM",'Model Inputs &amp; Assumptions'!$I$34*'Model Inputs &amp; Assumptions'!$K$34*C3363/1000,IF('Model Inputs &amp; Assumptions'!$H$34="CPC",'Model Inputs &amp; Assumptions'!$I$34*'Model Inputs &amp; Assumptions'!$K$34*G3363,0)))</f>
        <v>4612.05</v>
      </c>
      <c r="J3363" s="50" t="n">
        <f aca="false">H3363*INDEX('Model Inputs &amp; Assumptions'!$D$40:$D$42,MATCH('Model Inputs &amp; Assumptions'!$L$34,'Model Inputs &amp; Assumptions'!$A$40:$A$42,0))*INDEX('Model Inputs &amp; Assumptions'!$H$40:$H$42,MATCH('Model Inputs &amp; Assumptions'!$L$34,'Model Inputs &amp; Assumptions'!$A$40:$A$42,0))</f>
        <v>283364.824596562</v>
      </c>
      <c r="K3363" s="49" t="n">
        <f aca="false">H3363*INDEX('Model Inputs &amp; Assumptions'!$G$40:$G$42,MATCH('Model Inputs &amp; Assumptions'!$L$34,'Model Inputs &amp; Assumptions'!$A$40:$A$42,0))*INDEX('Model Inputs &amp; Assumptions'!$H$40:$H$42,MATCH('Model Inputs &amp; Assumptions'!$L$34,'Model Inputs &amp; Assumptions'!$A$40:$A$42,0))</f>
        <v>6248.19438235419</v>
      </c>
      <c r="L3363" s="51" t="n">
        <f aca="false">IFERROR(K3363/I3363,0)</f>
        <v>1.35475425946254</v>
      </c>
      <c r="M3363" s="49" t="n">
        <f aca="false">IFERROR(I3363/H3363,0)</f>
        <v>117.187304554395</v>
      </c>
      <c r="N3363" s="52" t="str">
        <f aca="false">'Model Inputs &amp; Assumptions'!$L$34</f>
        <v>PRD-USIQ</v>
      </c>
      <c r="P3363" s="53" t="n">
        <v>-0.689409</v>
      </c>
      <c r="Q3363" s="53" t="n">
        <v>1.795578</v>
      </c>
      <c r="R3363" s="53" t="n">
        <v>-0.279834</v>
      </c>
      <c r="S3363" s="53" t="n">
        <v>-1.189463</v>
      </c>
    </row>
    <row r="3364" customFormat="false" ht="15" hidden="false" customHeight="false" outlineLevel="0" collapsed="false">
      <c r="A3364" s="43" t="n">
        <v>361</v>
      </c>
      <c r="B3364" s="44" t="str">
        <f aca="false">'Model Inputs &amp; Assumptions'!$B$34</f>
        <v>Meta — Lookalike Feed Video</v>
      </c>
      <c r="C3364" s="45" t="n">
        <f aca="false">ROUND(MAX(0,'Model Inputs &amp; Assumptions'!$S$34*EXP('Model Inputs &amp; Assumptions'!$T$34*P3364-'Model Inputs &amp; Assumptions'!$T$34^2/2)),0)</f>
        <v>368610</v>
      </c>
      <c r="D3364" s="46" t="n">
        <f aca="false">MIN(1,'Model Inputs &amp; Assumptions'!$U$34*EXP('Model Inputs &amp; Assumptions'!$V$34*Q3364-'Model Inputs &amp; Assumptions'!$V$34^2/2))</f>
        <v>0.216963207597487</v>
      </c>
      <c r="E3364" s="45" t="n">
        <f aca="false">ROUND(C3364*D3364,0)</f>
        <v>79975</v>
      </c>
      <c r="F3364" s="47" t="n">
        <f aca="false">MIN(1,'Model Inputs &amp; Assumptions'!$W$34*EXP('Model Inputs &amp; Assumptions'!$X$34*R3364-'Model Inputs &amp; Assumptions'!$X$34^2/2))</f>
        <v>0.00797612631347068</v>
      </c>
      <c r="G3364" s="45" t="n">
        <f aca="false">ROUND(C3364*F3364,0)</f>
        <v>2940</v>
      </c>
      <c r="H3364" s="48" t="n">
        <f aca="false">MAX(0,(C3364*'Model Inputs &amp; Assumptions'!$N$34+E3364*'Model Inputs &amp; Assumptions'!$O$34+G3364*'Model Inputs &amp; Assumptions'!$P$34)*EXP('Model Inputs &amp; Assumptions'!$Q$34*S3364-'Model Inputs &amp; Assumptions'!$Q$34^2/2))</f>
        <v>61.2105177624316</v>
      </c>
      <c r="I3364" s="49" t="n">
        <f aca="false">IF('Model Inputs &amp; Assumptions'!$H$34="Fixed",'Model Inputs &amp; Assumptions'!$I$34*'Model Inputs &amp; Assumptions'!$K$34,IF('Model Inputs &amp; Assumptions'!$H$34="CPM",'Model Inputs &amp; Assumptions'!$I$34*'Model Inputs &amp; Assumptions'!$K$34*C3364/1000,IF('Model Inputs &amp; Assumptions'!$H$34="CPC",'Model Inputs &amp; Assumptions'!$I$34*'Model Inputs &amp; Assumptions'!$K$34*G3364,0)))</f>
        <v>5439</v>
      </c>
      <c r="J3364" s="50" t="n">
        <f aca="false">H3364*INDEX('Model Inputs &amp; Assumptions'!$D$40:$D$42,MATCH('Model Inputs &amp; Assumptions'!$L$34,'Model Inputs &amp; Assumptions'!$A$40:$A$42,0))*INDEX('Model Inputs &amp; Assumptions'!$H$40:$H$42,MATCH('Model Inputs &amp; Assumptions'!$L$34,'Model Inputs &amp; Assumptions'!$A$40:$A$42,0))</f>
        <v>440715.727889507</v>
      </c>
      <c r="K3364" s="49" t="n">
        <f aca="false">H3364*INDEX('Model Inputs &amp; Assumptions'!$G$40:$G$42,MATCH('Model Inputs &amp; Assumptions'!$L$34,'Model Inputs &amp; Assumptions'!$A$40:$A$42,0))*INDEX('Model Inputs &amp; Assumptions'!$H$40:$H$42,MATCH('Model Inputs &amp; Assumptions'!$L$34,'Model Inputs &amp; Assumptions'!$A$40:$A$42,0))</f>
        <v>9717.78179996364</v>
      </c>
      <c r="L3364" s="51" t="n">
        <f aca="false">IFERROR(K3364/I3364,0)</f>
        <v>1.78668538333584</v>
      </c>
      <c r="M3364" s="49" t="n">
        <f aca="false">IFERROR(I3364/H3364,0)</f>
        <v>88.8572781087996</v>
      </c>
      <c r="N3364" s="52" t="str">
        <f aca="false">'Model Inputs &amp; Assumptions'!$L$34</f>
        <v>PRD-USIQ</v>
      </c>
      <c r="P3364" s="53" t="n">
        <v>-1.62045</v>
      </c>
      <c r="Q3364" s="53" t="n">
        <v>-0.284697</v>
      </c>
      <c r="R3364" s="53" t="n">
        <v>1.67163</v>
      </c>
      <c r="S3364" s="53" t="n">
        <v>-0.037218</v>
      </c>
    </row>
    <row r="3365" customFormat="false" ht="15" hidden="false" customHeight="false" outlineLevel="0" collapsed="false">
      <c r="A3365" s="43" t="n">
        <v>362</v>
      </c>
      <c r="B3365" s="44" t="str">
        <f aca="false">'Model Inputs &amp; Assumptions'!$B$34</f>
        <v>Meta — Lookalike Feed Video</v>
      </c>
      <c r="C3365" s="45" t="n">
        <f aca="false">ROUND(MAX(0,'Model Inputs &amp; Assumptions'!$S$34*EXP('Model Inputs &amp; Assumptions'!$T$34*P3365-'Model Inputs &amp; Assumptions'!$T$34^2/2)),0)</f>
        <v>542656</v>
      </c>
      <c r="D3365" s="46" t="n">
        <f aca="false">MIN(1,'Model Inputs &amp; Assumptions'!$U$34*EXP('Model Inputs &amp; Assumptions'!$V$34*Q3365-'Model Inputs &amp; Assumptions'!$V$34^2/2))</f>
        <v>0.337848817163886</v>
      </c>
      <c r="E3365" s="45" t="n">
        <f aca="false">ROUND(C3365*D3365,0)</f>
        <v>183336</v>
      </c>
      <c r="F3365" s="47" t="n">
        <f aca="false">MIN(1,'Model Inputs &amp; Assumptions'!$W$34*EXP('Model Inputs &amp; Assumptions'!$X$34*R3365-'Model Inputs &amp; Assumptions'!$X$34^2/2))</f>
        <v>0.00744629660821496</v>
      </c>
      <c r="G3365" s="45" t="n">
        <f aca="false">ROUND(C3365*F3365,0)</f>
        <v>4041</v>
      </c>
      <c r="H3365" s="48" t="n">
        <f aca="false">MAX(0,(C3365*'Model Inputs &amp; Assumptions'!$N$34+E3365*'Model Inputs &amp; Assumptions'!$O$34+G3365*'Model Inputs &amp; Assumptions'!$P$34)*EXP('Model Inputs &amp; Assumptions'!$Q$34*S3365-'Model Inputs &amp; Assumptions'!$Q$34^2/2))</f>
        <v>115.325413603019</v>
      </c>
      <c r="I3365" s="49" t="n">
        <f aca="false">IF('Model Inputs &amp; Assumptions'!$H$34="Fixed",'Model Inputs &amp; Assumptions'!$I$34*'Model Inputs &amp; Assumptions'!$K$34,IF('Model Inputs &amp; Assumptions'!$H$34="CPM",'Model Inputs &amp; Assumptions'!$I$34*'Model Inputs &amp; Assumptions'!$K$34*C3365/1000,IF('Model Inputs &amp; Assumptions'!$H$34="CPC",'Model Inputs &amp; Assumptions'!$I$34*'Model Inputs &amp; Assumptions'!$K$34*G3365,0)))</f>
        <v>7475.85</v>
      </c>
      <c r="J3365" s="50" t="n">
        <f aca="false">H3365*INDEX('Model Inputs &amp; Assumptions'!$D$40:$D$42,MATCH('Model Inputs &amp; Assumptions'!$L$34,'Model Inputs &amp; Assumptions'!$A$40:$A$42,0))*INDEX('Model Inputs &amp; Assumptions'!$H$40:$H$42,MATCH('Model Inputs &amp; Assumptions'!$L$34,'Model Inputs &amp; Assumptions'!$A$40:$A$42,0))</f>
        <v>830342.977941739</v>
      </c>
      <c r="K3365" s="49" t="n">
        <f aca="false">H3365*INDEX('Model Inputs &amp; Assumptions'!$G$40:$G$42,MATCH('Model Inputs &amp; Assumptions'!$L$34,'Model Inputs &amp; Assumptions'!$A$40:$A$42,0))*INDEX('Model Inputs &amp; Assumptions'!$H$40:$H$42,MATCH('Model Inputs &amp; Assumptions'!$L$34,'Model Inputs &amp; Assumptions'!$A$40:$A$42,0))</f>
        <v>18309.0626636153</v>
      </c>
      <c r="L3365" s="51" t="n">
        <f aca="false">IFERROR(K3365/I3365,0)</f>
        <v>2.44909443924307</v>
      </c>
      <c r="M3365" s="49" t="n">
        <f aca="false">IFERROR(I3365/H3365,0)</f>
        <v>64.8239600139989</v>
      </c>
      <c r="N3365" s="52" t="str">
        <f aca="false">'Model Inputs &amp; Assumptions'!$L$34</f>
        <v>PRD-USIQ</v>
      </c>
      <c r="P3365" s="53" t="n">
        <v>0.313236</v>
      </c>
      <c r="Q3365" s="53" t="n">
        <v>2.483245</v>
      </c>
      <c r="R3365" s="53" t="n">
        <v>1.289763</v>
      </c>
      <c r="S3365" s="53" t="n">
        <v>0.749903</v>
      </c>
    </row>
    <row r="3366" customFormat="false" ht="15" hidden="false" customHeight="false" outlineLevel="0" collapsed="false">
      <c r="A3366" s="43" t="n">
        <v>363</v>
      </c>
      <c r="B3366" s="44" t="str">
        <f aca="false">'Model Inputs &amp; Assumptions'!$B$34</f>
        <v>Meta — Lookalike Feed Video</v>
      </c>
      <c r="C3366" s="45" t="n">
        <f aca="false">ROUND(MAX(0,'Model Inputs &amp; Assumptions'!$S$34*EXP('Model Inputs &amp; Assumptions'!$T$34*P3366-'Model Inputs &amp; Assumptions'!$T$34^2/2)),0)</f>
        <v>722499</v>
      </c>
      <c r="D3366" s="46" t="n">
        <f aca="false">MIN(1,'Model Inputs &amp; Assumptions'!$U$34*EXP('Model Inputs &amp; Assumptions'!$V$34*Q3366-'Model Inputs &amp; Assumptions'!$V$34^2/2))</f>
        <v>0.219835097598306</v>
      </c>
      <c r="E3366" s="45" t="n">
        <f aca="false">ROUND(C3366*D3366,0)</f>
        <v>158831</v>
      </c>
      <c r="F3366" s="47" t="n">
        <f aca="false">MIN(1,'Model Inputs &amp; Assumptions'!$W$34*EXP('Model Inputs &amp; Assumptions'!$X$34*R3366-'Model Inputs &amp; Assumptions'!$X$34^2/2))</f>
        <v>0.00774904716401546</v>
      </c>
      <c r="G3366" s="45" t="n">
        <f aca="false">ROUND(C3366*F3366,0)</f>
        <v>5599</v>
      </c>
      <c r="H3366" s="48" t="n">
        <f aca="false">MAX(0,(C3366*'Model Inputs &amp; Assumptions'!$N$34+E3366*'Model Inputs &amp; Assumptions'!$O$34+G3366*'Model Inputs &amp; Assumptions'!$P$34)*EXP('Model Inputs &amp; Assumptions'!$Q$34*S3366-'Model Inputs &amp; Assumptions'!$Q$34^2/2))</f>
        <v>183.581212881939</v>
      </c>
      <c r="I3366" s="49" t="n">
        <f aca="false">IF('Model Inputs &amp; Assumptions'!$H$34="Fixed",'Model Inputs &amp; Assumptions'!$I$34*'Model Inputs &amp; Assumptions'!$K$34,IF('Model Inputs &amp; Assumptions'!$H$34="CPM",'Model Inputs &amp; Assumptions'!$I$34*'Model Inputs &amp; Assumptions'!$K$34*C3366/1000,IF('Model Inputs &amp; Assumptions'!$H$34="CPC",'Model Inputs &amp; Assumptions'!$I$34*'Model Inputs &amp; Assumptions'!$K$34*G3366,0)))</f>
        <v>10358.15</v>
      </c>
      <c r="J3366" s="50" t="n">
        <f aca="false">H3366*INDEX('Model Inputs &amp; Assumptions'!$D$40:$D$42,MATCH('Model Inputs &amp; Assumptions'!$L$34,'Model Inputs &amp; Assumptions'!$A$40:$A$42,0))*INDEX('Model Inputs &amp; Assumptions'!$H$40:$H$42,MATCH('Model Inputs &amp; Assumptions'!$L$34,'Model Inputs &amp; Assumptions'!$A$40:$A$42,0))</f>
        <v>1321784.73274996</v>
      </c>
      <c r="K3366" s="49" t="n">
        <f aca="false">H3366*INDEX('Model Inputs &amp; Assumptions'!$G$40:$G$42,MATCH('Model Inputs &amp; Assumptions'!$L$34,'Model Inputs &amp; Assumptions'!$A$40:$A$42,0))*INDEX('Model Inputs &amp; Assumptions'!$H$40:$H$42,MATCH('Model Inputs &amp; Assumptions'!$L$34,'Model Inputs &amp; Assumptions'!$A$40:$A$42,0))</f>
        <v>29145.3533571366</v>
      </c>
      <c r="L3366" s="51" t="n">
        <f aca="false">IFERROR(K3366/I3366,0)</f>
        <v>2.81376050328838</v>
      </c>
      <c r="M3366" s="49" t="n">
        <f aca="false">IFERROR(I3366/H3366,0)</f>
        <v>56.4227125281134</v>
      </c>
      <c r="N3366" s="52" t="str">
        <f aca="false">'Model Inputs &amp; Assumptions'!$L$34</f>
        <v>PRD-USIQ</v>
      </c>
      <c r="P3366" s="53" t="n">
        <v>1.744436</v>
      </c>
      <c r="Q3366" s="53" t="n">
        <v>-0.20251</v>
      </c>
      <c r="R3366" s="53" t="n">
        <v>1.511169</v>
      </c>
      <c r="S3366" s="53" t="n">
        <v>1.368921</v>
      </c>
    </row>
    <row r="3367" customFormat="false" ht="15" hidden="false" customHeight="false" outlineLevel="0" collapsed="false">
      <c r="A3367" s="43" t="n">
        <v>364</v>
      </c>
      <c r="B3367" s="44" t="str">
        <f aca="false">'Model Inputs &amp; Assumptions'!$B$34</f>
        <v>Meta — Lookalike Feed Video</v>
      </c>
      <c r="C3367" s="45" t="n">
        <f aca="false">ROUND(MAX(0,'Model Inputs &amp; Assumptions'!$S$34*EXP('Model Inputs &amp; Assumptions'!$T$34*P3367-'Model Inputs &amp; Assumptions'!$T$34^2/2)),0)</f>
        <v>534458</v>
      </c>
      <c r="D3367" s="46" t="n">
        <f aca="false">MIN(1,'Model Inputs &amp; Assumptions'!$U$34*EXP('Model Inputs &amp; Assumptions'!$V$34*Q3367-'Model Inputs &amp; Assumptions'!$V$34^2/2))</f>
        <v>0.174142294400642</v>
      </c>
      <c r="E3367" s="45" t="n">
        <f aca="false">ROUND(C3367*D3367,0)</f>
        <v>93072</v>
      </c>
      <c r="F3367" s="47" t="n">
        <f aca="false">MIN(1,'Model Inputs &amp; Assumptions'!$W$34*EXP('Model Inputs &amp; Assumptions'!$X$34*R3367-'Model Inputs &amp; Assumptions'!$X$34^2/2))</f>
        <v>0.00648912260165736</v>
      </c>
      <c r="G3367" s="45" t="n">
        <f aca="false">ROUND(C3367*F3367,0)</f>
        <v>3468</v>
      </c>
      <c r="H3367" s="48" t="n">
        <f aca="false">MAX(0,(C3367*'Model Inputs &amp; Assumptions'!$N$34+E3367*'Model Inputs &amp; Assumptions'!$O$34+G3367*'Model Inputs &amp; Assumptions'!$P$34)*EXP('Model Inputs &amp; Assumptions'!$Q$34*S3367-'Model Inputs &amp; Assumptions'!$Q$34^2/2))</f>
        <v>64.6403815793478</v>
      </c>
      <c r="I3367" s="49" t="n">
        <f aca="false">IF('Model Inputs &amp; Assumptions'!$H$34="Fixed",'Model Inputs &amp; Assumptions'!$I$34*'Model Inputs &amp; Assumptions'!$K$34,IF('Model Inputs &amp; Assumptions'!$H$34="CPM",'Model Inputs &amp; Assumptions'!$I$34*'Model Inputs &amp; Assumptions'!$K$34*C3367/1000,IF('Model Inputs &amp; Assumptions'!$H$34="CPC",'Model Inputs &amp; Assumptions'!$I$34*'Model Inputs &amp; Assumptions'!$K$34*G3367,0)))</f>
        <v>6415.8</v>
      </c>
      <c r="J3367" s="50" t="n">
        <f aca="false">H3367*INDEX('Model Inputs &amp; Assumptions'!$D$40:$D$42,MATCH('Model Inputs &amp; Assumptions'!$L$34,'Model Inputs &amp; Assumptions'!$A$40:$A$42,0))*INDEX('Model Inputs &amp; Assumptions'!$H$40:$H$42,MATCH('Model Inputs &amp; Assumptions'!$L$34,'Model Inputs &amp; Assumptions'!$A$40:$A$42,0))</f>
        <v>465410.747371304</v>
      </c>
      <c r="K3367" s="49" t="n">
        <f aca="false">H3367*INDEX('Model Inputs &amp; Assumptions'!$G$40:$G$42,MATCH('Model Inputs &amp; Assumptions'!$L$34,'Model Inputs &amp; Assumptions'!$A$40:$A$42,0))*INDEX('Model Inputs &amp; Assumptions'!$H$40:$H$42,MATCH('Model Inputs &amp; Assumptions'!$L$34,'Model Inputs &amp; Assumptions'!$A$40:$A$42,0))</f>
        <v>10262.3069795373</v>
      </c>
      <c r="L3367" s="51" t="n">
        <f aca="false">IFERROR(K3367/I3367,0)</f>
        <v>1.59953660954787</v>
      </c>
      <c r="M3367" s="49" t="n">
        <f aca="false">IFERROR(I3367/H3367,0)</f>
        <v>99.2537457738308</v>
      </c>
      <c r="N3367" s="52" t="str">
        <f aca="false">'Model Inputs &amp; Assumptions'!$L$34</f>
        <v>PRD-USIQ</v>
      </c>
      <c r="P3367" s="53" t="n">
        <v>0.237119</v>
      </c>
      <c r="Q3367" s="53" t="n">
        <v>-1.658791</v>
      </c>
      <c r="R3367" s="53" t="n">
        <v>0.525377</v>
      </c>
      <c r="S3367" s="53" t="n">
        <v>-0.378876</v>
      </c>
    </row>
    <row r="3368" customFormat="false" ht="15" hidden="false" customHeight="false" outlineLevel="0" collapsed="false">
      <c r="A3368" s="43" t="n">
        <v>365</v>
      </c>
      <c r="B3368" s="44" t="str">
        <f aca="false">'Model Inputs &amp; Assumptions'!$B$34</f>
        <v>Meta — Lookalike Feed Video</v>
      </c>
      <c r="C3368" s="45" t="n">
        <f aca="false">ROUND(MAX(0,'Model Inputs &amp; Assumptions'!$S$34*EXP('Model Inputs &amp; Assumptions'!$T$34*P3368-'Model Inputs &amp; Assumptions'!$T$34^2/2)),0)</f>
        <v>467117</v>
      </c>
      <c r="D3368" s="46" t="n">
        <f aca="false">MIN(1,'Model Inputs &amp; Assumptions'!$U$34*EXP('Model Inputs &amp; Assumptions'!$V$34*Q3368-'Model Inputs &amp; Assumptions'!$V$34^2/2))</f>
        <v>0.243278215682542</v>
      </c>
      <c r="E3368" s="45" t="n">
        <f aca="false">ROUND(C3368*D3368,0)</f>
        <v>113639</v>
      </c>
      <c r="F3368" s="47" t="n">
        <f aca="false">MIN(1,'Model Inputs &amp; Assumptions'!$W$34*EXP('Model Inputs &amp; Assumptions'!$X$34*R3368-'Model Inputs &amp; Assumptions'!$X$34^2/2))</f>
        <v>0.00569055708447019</v>
      </c>
      <c r="G3368" s="45" t="n">
        <f aca="false">ROUND(C3368*F3368,0)</f>
        <v>2658</v>
      </c>
      <c r="H3368" s="48" t="n">
        <f aca="false">MAX(0,(C3368*'Model Inputs &amp; Assumptions'!$N$34+E3368*'Model Inputs &amp; Assumptions'!$O$34+G3368*'Model Inputs &amp; Assumptions'!$P$34)*EXP('Model Inputs &amp; Assumptions'!$Q$34*S3368-'Model Inputs &amp; Assumptions'!$Q$34^2/2))</f>
        <v>47.2965789929038</v>
      </c>
      <c r="I3368" s="49" t="n">
        <f aca="false">IF('Model Inputs &amp; Assumptions'!$H$34="Fixed",'Model Inputs &amp; Assumptions'!$I$34*'Model Inputs &amp; Assumptions'!$K$34,IF('Model Inputs &amp; Assumptions'!$H$34="CPM",'Model Inputs &amp; Assumptions'!$I$34*'Model Inputs &amp; Assumptions'!$K$34*C3368/1000,IF('Model Inputs &amp; Assumptions'!$H$34="CPC",'Model Inputs &amp; Assumptions'!$I$34*'Model Inputs &amp; Assumptions'!$K$34*G3368,0)))</f>
        <v>4917.3</v>
      </c>
      <c r="J3368" s="50" t="n">
        <f aca="false">H3368*INDEX('Model Inputs &amp; Assumptions'!$D$40:$D$42,MATCH('Model Inputs &amp; Assumptions'!$L$34,'Model Inputs &amp; Assumptions'!$A$40:$A$42,0))*INDEX('Model Inputs &amp; Assumptions'!$H$40:$H$42,MATCH('Model Inputs &amp; Assumptions'!$L$34,'Model Inputs &amp; Assumptions'!$A$40:$A$42,0))</f>
        <v>340535.368748907</v>
      </c>
      <c r="K3368" s="49" t="n">
        <f aca="false">H3368*INDEX('Model Inputs &amp; Assumptions'!$G$40:$G$42,MATCH('Model Inputs &amp; Assumptions'!$L$34,'Model Inputs &amp; Assumptions'!$A$40:$A$42,0))*INDEX('Model Inputs &amp; Assumptions'!$H$40:$H$42,MATCH('Model Inputs &amp; Assumptions'!$L$34,'Model Inputs &amp; Assumptions'!$A$40:$A$42,0))</f>
        <v>7508.80488091341</v>
      </c>
      <c r="L3368" s="51" t="n">
        <f aca="false">IFERROR(K3368/I3368,0)</f>
        <v>1.52701785144559</v>
      </c>
      <c r="M3368" s="49" t="n">
        <f aca="false">IFERROR(I3368/H3368,0)</f>
        <v>103.967350381468</v>
      </c>
      <c r="N3368" s="52" t="str">
        <f aca="false">'Model Inputs &amp; Assumptions'!$L$34</f>
        <v>PRD-USIQ</v>
      </c>
      <c r="P3368" s="53" t="n">
        <v>-0.436246</v>
      </c>
      <c r="Q3368" s="53" t="n">
        <v>0.43079</v>
      </c>
      <c r="R3368" s="53" t="n">
        <v>-0.204174</v>
      </c>
      <c r="S3368" s="53" t="n">
        <v>-0.698558</v>
      </c>
    </row>
    <row r="3369" customFormat="false" ht="15" hidden="false" customHeight="false" outlineLevel="0" collapsed="false">
      <c r="A3369" s="43" t="n">
        <v>366</v>
      </c>
      <c r="B3369" s="44" t="str">
        <f aca="false">'Model Inputs &amp; Assumptions'!$B$34</f>
        <v>Meta — Lookalike Feed Video</v>
      </c>
      <c r="C3369" s="45" t="n">
        <f aca="false">ROUND(MAX(0,'Model Inputs &amp; Assumptions'!$S$34*EXP('Model Inputs &amp; Assumptions'!$T$34*P3369-'Model Inputs &amp; Assumptions'!$T$34^2/2)),0)</f>
        <v>640908</v>
      </c>
      <c r="D3369" s="46" t="n">
        <f aca="false">MIN(1,'Model Inputs &amp; Assumptions'!$U$34*EXP('Model Inputs &amp; Assumptions'!$V$34*Q3369-'Model Inputs &amp; Assumptions'!$V$34^2/2))</f>
        <v>0.226901669340617</v>
      </c>
      <c r="E3369" s="45" t="n">
        <f aca="false">ROUND(C3369*D3369,0)</f>
        <v>145423</v>
      </c>
      <c r="F3369" s="47" t="n">
        <f aca="false">MIN(1,'Model Inputs &amp; Assumptions'!$W$34*EXP('Model Inputs &amp; Assumptions'!$X$34*R3369-'Model Inputs &amp; Assumptions'!$X$34^2/2))</f>
        <v>0.00683357395120691</v>
      </c>
      <c r="G3369" s="45" t="n">
        <f aca="false">ROUND(C3369*F3369,0)</f>
        <v>4380</v>
      </c>
      <c r="H3369" s="48" t="n">
        <f aca="false">MAX(0,(C3369*'Model Inputs &amp; Assumptions'!$N$34+E3369*'Model Inputs &amp; Assumptions'!$O$34+G3369*'Model Inputs &amp; Assumptions'!$P$34)*EXP('Model Inputs &amp; Assumptions'!$Q$34*S3369-'Model Inputs &amp; Assumptions'!$Q$34^2/2))</f>
        <v>123.315008370573</v>
      </c>
      <c r="I3369" s="49" t="n">
        <f aca="false">IF('Model Inputs &amp; Assumptions'!$H$34="Fixed",'Model Inputs &amp; Assumptions'!$I$34*'Model Inputs &amp; Assumptions'!$K$34,IF('Model Inputs &amp; Assumptions'!$H$34="CPM",'Model Inputs &amp; Assumptions'!$I$34*'Model Inputs &amp; Assumptions'!$K$34*C3369/1000,IF('Model Inputs &amp; Assumptions'!$H$34="CPC",'Model Inputs &amp; Assumptions'!$I$34*'Model Inputs &amp; Assumptions'!$K$34*G3369,0)))</f>
        <v>8103</v>
      </c>
      <c r="J3369" s="50" t="n">
        <f aca="false">H3369*INDEX('Model Inputs &amp; Assumptions'!$D$40:$D$42,MATCH('Model Inputs &amp; Assumptions'!$L$34,'Model Inputs &amp; Assumptions'!$A$40:$A$42,0))*INDEX('Model Inputs &amp; Assumptions'!$H$40:$H$42,MATCH('Model Inputs &amp; Assumptions'!$L$34,'Model Inputs &amp; Assumptions'!$A$40:$A$42,0))</f>
        <v>887868.060268126</v>
      </c>
      <c r="K3369" s="49" t="n">
        <f aca="false">H3369*INDEX('Model Inputs &amp; Assumptions'!$G$40:$G$42,MATCH('Model Inputs &amp; Assumptions'!$L$34,'Model Inputs &amp; Assumptions'!$A$40:$A$42,0))*INDEX('Model Inputs &amp; Assumptions'!$H$40:$H$42,MATCH('Model Inputs &amp; Assumptions'!$L$34,'Model Inputs &amp; Assumptions'!$A$40:$A$42,0))</f>
        <v>19577.4907289122</v>
      </c>
      <c r="L3369" s="51" t="n">
        <f aca="false">IFERROR(K3369/I3369,0)</f>
        <v>2.41607931987069</v>
      </c>
      <c r="M3369" s="49" t="n">
        <f aca="false">IFERROR(I3369/H3369,0)</f>
        <v>65.7097632078143</v>
      </c>
      <c r="N3369" s="52" t="str">
        <f aca="false">'Model Inputs &amp; Assumptions'!$L$34</f>
        <v>PRD-USIQ</v>
      </c>
      <c r="P3369" s="53" t="n">
        <v>1.145282</v>
      </c>
      <c r="Q3369" s="53" t="n">
        <v>-0.004766</v>
      </c>
      <c r="R3369" s="53" t="n">
        <v>0.812713</v>
      </c>
      <c r="S3369" s="53" t="n">
        <v>0.838947</v>
      </c>
    </row>
    <row r="3370" customFormat="false" ht="15" hidden="false" customHeight="false" outlineLevel="0" collapsed="false">
      <c r="A3370" s="43" t="n">
        <v>367</v>
      </c>
      <c r="B3370" s="44" t="str">
        <f aca="false">'Model Inputs &amp; Assumptions'!$B$34</f>
        <v>Meta — Lookalike Feed Video</v>
      </c>
      <c r="C3370" s="45" t="n">
        <f aca="false">ROUND(MAX(0,'Model Inputs &amp; Assumptions'!$S$34*EXP('Model Inputs &amp; Assumptions'!$T$34*P3370-'Model Inputs &amp; Assumptions'!$T$34^2/2)),0)</f>
        <v>451524</v>
      </c>
      <c r="D3370" s="46" t="n">
        <f aca="false">MIN(1,'Model Inputs &amp; Assumptions'!$U$34*EXP('Model Inputs &amp; Assumptions'!$V$34*Q3370-'Model Inputs &amp; Assumptions'!$V$34^2/2))</f>
        <v>0.242092515589151</v>
      </c>
      <c r="E3370" s="45" t="n">
        <f aca="false">ROUND(C3370*D3370,0)</f>
        <v>109311</v>
      </c>
      <c r="F3370" s="47" t="n">
        <f aca="false">MIN(1,'Model Inputs &amp; Assumptions'!$W$34*EXP('Model Inputs &amp; Assumptions'!$X$34*R3370-'Model Inputs &amp; Assumptions'!$X$34^2/2))</f>
        <v>0.00712396041774572</v>
      </c>
      <c r="G3370" s="45" t="n">
        <f aca="false">ROUND(C3370*F3370,0)</f>
        <v>3217</v>
      </c>
      <c r="H3370" s="48" t="n">
        <f aca="false">MAX(0,(C3370*'Model Inputs &amp; Assumptions'!$N$34+E3370*'Model Inputs &amp; Assumptions'!$O$34+G3370*'Model Inputs &amp; Assumptions'!$P$34)*EXP('Model Inputs &amp; Assumptions'!$Q$34*S3370-'Model Inputs &amp; Assumptions'!$Q$34^2/2))</f>
        <v>133.445034359915</v>
      </c>
      <c r="I3370" s="49" t="n">
        <f aca="false">IF('Model Inputs &amp; Assumptions'!$H$34="Fixed",'Model Inputs &amp; Assumptions'!$I$34*'Model Inputs &amp; Assumptions'!$K$34,IF('Model Inputs &amp; Assumptions'!$H$34="CPM",'Model Inputs &amp; Assumptions'!$I$34*'Model Inputs &amp; Assumptions'!$K$34*C3370/1000,IF('Model Inputs &amp; Assumptions'!$H$34="CPC",'Model Inputs &amp; Assumptions'!$I$34*'Model Inputs &amp; Assumptions'!$K$34*G3370,0)))</f>
        <v>5951.45</v>
      </c>
      <c r="J3370" s="50" t="n">
        <f aca="false">H3370*INDEX('Model Inputs &amp; Assumptions'!$D$40:$D$42,MATCH('Model Inputs &amp; Assumptions'!$L$34,'Model Inputs &amp; Assumptions'!$A$40:$A$42,0))*INDEX('Model Inputs &amp; Assumptions'!$H$40:$H$42,MATCH('Model Inputs &amp; Assumptions'!$L$34,'Model Inputs &amp; Assumptions'!$A$40:$A$42,0))</f>
        <v>960804.247391388</v>
      </c>
      <c r="K3370" s="49" t="n">
        <f aca="false">H3370*INDEX('Model Inputs &amp; Assumptions'!$G$40:$G$42,MATCH('Model Inputs &amp; Assumptions'!$L$34,'Model Inputs &amp; Assumptions'!$A$40:$A$42,0))*INDEX('Model Inputs &amp; Assumptions'!$H$40:$H$42,MATCH('Model Inputs &amp; Assumptions'!$L$34,'Model Inputs &amp; Assumptions'!$A$40:$A$42,0))</f>
        <v>21185.7336549801</v>
      </c>
      <c r="L3370" s="51" t="n">
        <f aca="false">IFERROR(K3370/I3370,0)</f>
        <v>3.55976000050074</v>
      </c>
      <c r="M3370" s="49" t="n">
        <f aca="false">IFERROR(I3370/H3370,0)</f>
        <v>44.5985122529799</v>
      </c>
      <c r="N3370" s="52" t="str">
        <f aca="false">'Model Inputs &amp; Assumptions'!$L$34</f>
        <v>PRD-USIQ</v>
      </c>
      <c r="P3370" s="53" t="n">
        <v>-0.605998</v>
      </c>
      <c r="Q3370" s="53" t="n">
        <v>0.400254</v>
      </c>
      <c r="R3370" s="53" t="n">
        <v>1.043913</v>
      </c>
      <c r="S3370" s="53" t="n">
        <v>2.041463</v>
      </c>
    </row>
    <row r="3371" customFormat="false" ht="15" hidden="false" customHeight="false" outlineLevel="0" collapsed="false">
      <c r="A3371" s="43" t="n">
        <v>368</v>
      </c>
      <c r="B3371" s="44" t="str">
        <f aca="false">'Model Inputs &amp; Assumptions'!$B$34</f>
        <v>Meta — Lookalike Feed Video</v>
      </c>
      <c r="C3371" s="45" t="n">
        <f aca="false">ROUND(MAX(0,'Model Inputs &amp; Assumptions'!$S$34*EXP('Model Inputs &amp; Assumptions'!$T$34*P3371-'Model Inputs &amp; Assumptions'!$T$34^2/2)),0)</f>
        <v>552666</v>
      </c>
      <c r="D3371" s="46" t="n">
        <f aca="false">MIN(1,'Model Inputs &amp; Assumptions'!$U$34*EXP('Model Inputs &amp; Assumptions'!$V$34*Q3371-'Model Inputs &amp; Assumptions'!$V$34^2/2))</f>
        <v>0.218615261694041</v>
      </c>
      <c r="E3371" s="45" t="n">
        <f aca="false">ROUND(C3371*D3371,0)</f>
        <v>120821</v>
      </c>
      <c r="F3371" s="47" t="n">
        <f aca="false">MIN(1,'Model Inputs &amp; Assumptions'!$W$34*EXP('Model Inputs &amp; Assumptions'!$X$34*R3371-'Model Inputs &amp; Assumptions'!$X$34^2/2))</f>
        <v>0.00464036111272435</v>
      </c>
      <c r="G3371" s="45" t="n">
        <f aca="false">ROUND(C3371*F3371,0)</f>
        <v>2565</v>
      </c>
      <c r="H3371" s="48" t="n">
        <f aca="false">MAX(0,(C3371*'Model Inputs &amp; Assumptions'!$N$34+E3371*'Model Inputs &amp; Assumptions'!$O$34+G3371*'Model Inputs &amp; Assumptions'!$P$34)*EXP('Model Inputs &amp; Assumptions'!$Q$34*S3371-'Model Inputs &amp; Assumptions'!$Q$34^2/2))</f>
        <v>36.7433465456393</v>
      </c>
      <c r="I3371" s="49" t="n">
        <f aca="false">IF('Model Inputs &amp; Assumptions'!$H$34="Fixed",'Model Inputs &amp; Assumptions'!$I$34*'Model Inputs &amp; Assumptions'!$K$34,IF('Model Inputs &amp; Assumptions'!$H$34="CPM",'Model Inputs &amp; Assumptions'!$I$34*'Model Inputs &amp; Assumptions'!$K$34*C3371/1000,IF('Model Inputs &amp; Assumptions'!$H$34="CPC",'Model Inputs &amp; Assumptions'!$I$34*'Model Inputs &amp; Assumptions'!$K$34*G3371,0)))</f>
        <v>4745.25</v>
      </c>
      <c r="J3371" s="50" t="n">
        <f aca="false">H3371*INDEX('Model Inputs &amp; Assumptions'!$D$40:$D$42,MATCH('Model Inputs &amp; Assumptions'!$L$34,'Model Inputs &amp; Assumptions'!$A$40:$A$42,0))*INDEX('Model Inputs &amp; Assumptions'!$H$40:$H$42,MATCH('Model Inputs &amp; Assumptions'!$L$34,'Model Inputs &amp; Assumptions'!$A$40:$A$42,0))</f>
        <v>264552.095128603</v>
      </c>
      <c r="K3371" s="49" t="n">
        <f aca="false">H3371*INDEX('Model Inputs &amp; Assumptions'!$G$40:$G$42,MATCH('Model Inputs &amp; Assumptions'!$L$34,'Model Inputs &amp; Assumptions'!$A$40:$A$42,0))*INDEX('Model Inputs &amp; Assumptions'!$H$40:$H$42,MATCH('Model Inputs &amp; Assumptions'!$L$34,'Model Inputs &amp; Assumptions'!$A$40:$A$42,0))</f>
        <v>5833.37369758569</v>
      </c>
      <c r="L3371" s="51" t="n">
        <f aca="false">IFERROR(K3371/I3371,0)</f>
        <v>1.22930798115709</v>
      </c>
      <c r="M3371" s="49" t="n">
        <f aca="false">IFERROR(I3371/H3371,0)</f>
        <v>129.145830364305</v>
      </c>
      <c r="N3371" s="52" t="str">
        <f aca="false">'Model Inputs &amp; Assumptions'!$L$34</f>
        <v>PRD-USIQ</v>
      </c>
      <c r="P3371" s="53" t="n">
        <v>0.404622</v>
      </c>
      <c r="Q3371" s="53" t="n">
        <v>-0.237287</v>
      </c>
      <c r="R3371" s="53" t="n">
        <v>-1.337596</v>
      </c>
      <c r="S3371" s="53" t="n">
        <v>-1.422356</v>
      </c>
    </row>
    <row r="3372" customFormat="false" ht="15" hidden="false" customHeight="false" outlineLevel="0" collapsed="false">
      <c r="A3372" s="43" t="n">
        <v>369</v>
      </c>
      <c r="B3372" s="44" t="str">
        <f aca="false">'Model Inputs &amp; Assumptions'!$B$34</f>
        <v>Meta — Lookalike Feed Video</v>
      </c>
      <c r="C3372" s="45" t="n">
        <f aca="false">ROUND(MAX(0,'Model Inputs &amp; Assumptions'!$S$34*EXP('Model Inputs &amp; Assumptions'!$T$34*P3372-'Model Inputs &amp; Assumptions'!$T$34^2/2)),0)</f>
        <v>624070</v>
      </c>
      <c r="D3372" s="46" t="n">
        <f aca="false">MIN(1,'Model Inputs &amp; Assumptions'!$U$34*EXP('Model Inputs &amp; Assumptions'!$V$34*Q3372-'Model Inputs &amp; Assumptions'!$V$34^2/2))</f>
        <v>0.22816515001657</v>
      </c>
      <c r="E3372" s="45" t="n">
        <f aca="false">ROUND(C3372*D3372,0)</f>
        <v>142391</v>
      </c>
      <c r="F3372" s="47" t="n">
        <f aca="false">MIN(1,'Model Inputs &amp; Assumptions'!$W$34*EXP('Model Inputs &amp; Assumptions'!$X$34*R3372-'Model Inputs &amp; Assumptions'!$X$34^2/2))</f>
        <v>0.00623292128644158</v>
      </c>
      <c r="G3372" s="45" t="n">
        <f aca="false">ROUND(C3372*F3372,0)</f>
        <v>3890</v>
      </c>
      <c r="H3372" s="48" t="n">
        <f aca="false">MAX(0,(C3372*'Model Inputs &amp; Assumptions'!$N$34+E3372*'Model Inputs &amp; Assumptions'!$O$34+G3372*'Model Inputs &amp; Assumptions'!$P$34)*EXP('Model Inputs &amp; Assumptions'!$Q$34*S3372-'Model Inputs &amp; Assumptions'!$Q$34^2/2))</f>
        <v>98.9477484095854</v>
      </c>
      <c r="I3372" s="49" t="n">
        <f aca="false">IF('Model Inputs &amp; Assumptions'!$H$34="Fixed",'Model Inputs &amp; Assumptions'!$I$34*'Model Inputs &amp; Assumptions'!$K$34,IF('Model Inputs &amp; Assumptions'!$H$34="CPM",'Model Inputs &amp; Assumptions'!$I$34*'Model Inputs &amp; Assumptions'!$K$34*C3372/1000,IF('Model Inputs &amp; Assumptions'!$H$34="CPC",'Model Inputs &amp; Assumptions'!$I$34*'Model Inputs &amp; Assumptions'!$K$34*G3372,0)))</f>
        <v>7196.5</v>
      </c>
      <c r="J3372" s="50" t="n">
        <f aca="false">H3372*INDEX('Model Inputs &amp; Assumptions'!$D$40:$D$42,MATCH('Model Inputs &amp; Assumptions'!$L$34,'Model Inputs &amp; Assumptions'!$A$40:$A$42,0))*INDEX('Model Inputs &amp; Assumptions'!$H$40:$H$42,MATCH('Model Inputs &amp; Assumptions'!$L$34,'Model Inputs &amp; Assumptions'!$A$40:$A$42,0))</f>
        <v>712423.788549015</v>
      </c>
      <c r="K3372" s="49" t="n">
        <f aca="false">H3372*INDEX('Model Inputs &amp; Assumptions'!$G$40:$G$42,MATCH('Model Inputs &amp; Assumptions'!$L$34,'Model Inputs &amp; Assumptions'!$A$40:$A$42,0))*INDEX('Model Inputs &amp; Assumptions'!$H$40:$H$42,MATCH('Model Inputs &amp; Assumptions'!$L$34,'Model Inputs &amp; Assumptions'!$A$40:$A$42,0))</f>
        <v>15708.9445375058</v>
      </c>
      <c r="L3372" s="51" t="n">
        <f aca="false">IFERROR(K3372/I3372,0)</f>
        <v>2.18285896442796</v>
      </c>
      <c r="M3372" s="49" t="n">
        <f aca="false">IFERROR(I3372/H3372,0)</f>
        <v>72.7303057994885</v>
      </c>
      <c r="N3372" s="52" t="str">
        <f aca="false">'Model Inputs &amp; Assumptions'!$L$34</f>
        <v>PRD-USIQ</v>
      </c>
      <c r="P3372" s="53" t="n">
        <v>1.012168</v>
      </c>
      <c r="Q3372" s="53" t="n">
        <v>0.02994</v>
      </c>
      <c r="R3372" s="53" t="n">
        <v>0.301587</v>
      </c>
      <c r="S3372" s="53" t="n">
        <v>0.484402</v>
      </c>
    </row>
    <row r="3373" customFormat="false" ht="15" hidden="false" customHeight="false" outlineLevel="0" collapsed="false">
      <c r="A3373" s="43" t="n">
        <v>370</v>
      </c>
      <c r="B3373" s="44" t="str">
        <f aca="false">'Model Inputs &amp; Assumptions'!$B$34</f>
        <v>Meta — Lookalike Feed Video</v>
      </c>
      <c r="C3373" s="45" t="n">
        <f aca="false">ROUND(MAX(0,'Model Inputs &amp; Assumptions'!$S$34*EXP('Model Inputs &amp; Assumptions'!$T$34*P3373-'Model Inputs &amp; Assumptions'!$T$34^2/2)),0)</f>
        <v>467181</v>
      </c>
      <c r="D3373" s="46" t="n">
        <f aca="false">MIN(1,'Model Inputs &amp; Assumptions'!$U$34*EXP('Model Inputs &amp; Assumptions'!$V$34*Q3373-'Model Inputs &amp; Assumptions'!$V$34^2/2))</f>
        <v>0.199659814119605</v>
      </c>
      <c r="E3373" s="45" t="n">
        <f aca="false">ROUND(C3373*D3373,0)</f>
        <v>93277</v>
      </c>
      <c r="F3373" s="47" t="n">
        <f aca="false">MIN(1,'Model Inputs &amp; Assumptions'!$W$34*EXP('Model Inputs &amp; Assumptions'!$X$34*R3373-'Model Inputs &amp; Assumptions'!$X$34^2/2))</f>
        <v>0.00575995734459461</v>
      </c>
      <c r="G3373" s="45" t="n">
        <f aca="false">ROUND(C3373*F3373,0)</f>
        <v>2691</v>
      </c>
      <c r="H3373" s="48" t="n">
        <f aca="false">MAX(0,(C3373*'Model Inputs &amp; Assumptions'!$N$34+E3373*'Model Inputs &amp; Assumptions'!$O$34+G3373*'Model Inputs &amp; Assumptions'!$P$34)*EXP('Model Inputs &amp; Assumptions'!$Q$34*S3373-'Model Inputs &amp; Assumptions'!$Q$34^2/2))</f>
        <v>38.2571952178614</v>
      </c>
      <c r="I3373" s="49" t="n">
        <f aca="false">IF('Model Inputs &amp; Assumptions'!$H$34="Fixed",'Model Inputs &amp; Assumptions'!$I$34*'Model Inputs &amp; Assumptions'!$K$34,IF('Model Inputs &amp; Assumptions'!$H$34="CPM",'Model Inputs &amp; Assumptions'!$I$34*'Model Inputs &amp; Assumptions'!$K$34*C3373/1000,IF('Model Inputs &amp; Assumptions'!$H$34="CPC",'Model Inputs &amp; Assumptions'!$I$34*'Model Inputs &amp; Assumptions'!$K$34*G3373,0)))</f>
        <v>4978.35</v>
      </c>
      <c r="J3373" s="50" t="n">
        <f aca="false">H3373*INDEX('Model Inputs &amp; Assumptions'!$D$40:$D$42,MATCH('Model Inputs &amp; Assumptions'!$L$34,'Model Inputs &amp; Assumptions'!$A$40:$A$42,0))*INDEX('Model Inputs &amp; Assumptions'!$H$40:$H$42,MATCH('Model Inputs &amp; Assumptions'!$L$34,'Model Inputs &amp; Assumptions'!$A$40:$A$42,0))</f>
        <v>275451.805568602</v>
      </c>
      <c r="K3373" s="49" t="n">
        <f aca="false">H3373*INDEX('Model Inputs &amp; Assumptions'!$G$40:$G$42,MATCH('Model Inputs &amp; Assumptions'!$L$34,'Model Inputs &amp; Assumptions'!$A$40:$A$42,0))*INDEX('Model Inputs &amp; Assumptions'!$H$40:$H$42,MATCH('Model Inputs &amp; Assumptions'!$L$34,'Model Inputs &amp; Assumptions'!$A$40:$A$42,0))</f>
        <v>6073.71231278768</v>
      </c>
      <c r="L3373" s="51" t="n">
        <f aca="false">IFERROR(K3373/I3373,0)</f>
        <v>1.22002517155035</v>
      </c>
      <c r="M3373" s="49" t="n">
        <f aca="false">IFERROR(I3373/H3373,0)</f>
        <v>130.128462676106</v>
      </c>
      <c r="N3373" s="52" t="str">
        <f aca="false">'Model Inputs &amp; Assumptions'!$L$34</f>
        <v>PRD-USIQ</v>
      </c>
      <c r="P3373" s="53" t="n">
        <v>-0.435565</v>
      </c>
      <c r="Q3373" s="53" t="n">
        <v>-0.804152</v>
      </c>
      <c r="R3373" s="53" t="n">
        <v>-0.13683</v>
      </c>
      <c r="S3373" s="53" t="n">
        <v>-1.312366</v>
      </c>
    </row>
    <row r="3374" customFormat="false" ht="15" hidden="false" customHeight="false" outlineLevel="0" collapsed="false">
      <c r="A3374" s="43" t="n">
        <v>371</v>
      </c>
      <c r="B3374" s="44" t="str">
        <f aca="false">'Model Inputs &amp; Assumptions'!$B$34</f>
        <v>Meta — Lookalike Feed Video</v>
      </c>
      <c r="C3374" s="45" t="n">
        <f aca="false">ROUND(MAX(0,'Model Inputs &amp; Assumptions'!$S$34*EXP('Model Inputs &amp; Assumptions'!$T$34*P3374-'Model Inputs &amp; Assumptions'!$T$34^2/2)),0)</f>
        <v>578120</v>
      </c>
      <c r="D3374" s="46" t="n">
        <f aca="false">MIN(1,'Model Inputs &amp; Assumptions'!$U$34*EXP('Model Inputs &amp; Assumptions'!$V$34*Q3374-'Model Inputs &amp; Assumptions'!$V$34^2/2))</f>
        <v>0.227439791114754</v>
      </c>
      <c r="E3374" s="45" t="n">
        <f aca="false">ROUND(C3374*D3374,0)</f>
        <v>131487</v>
      </c>
      <c r="F3374" s="47" t="n">
        <f aca="false">MIN(1,'Model Inputs &amp; Assumptions'!$W$34*EXP('Model Inputs &amp; Assumptions'!$X$34*R3374-'Model Inputs &amp; Assumptions'!$X$34^2/2))</f>
        <v>0.00440611130070163</v>
      </c>
      <c r="G3374" s="45" t="n">
        <f aca="false">ROUND(C3374*F3374,0)</f>
        <v>2547</v>
      </c>
      <c r="H3374" s="48" t="n">
        <f aca="false">MAX(0,(C3374*'Model Inputs &amp; Assumptions'!$N$34+E3374*'Model Inputs &amp; Assumptions'!$O$34+G3374*'Model Inputs &amp; Assumptions'!$P$34)*EXP('Model Inputs &amp; Assumptions'!$Q$34*S3374-'Model Inputs &amp; Assumptions'!$Q$34^2/2))</f>
        <v>62.6421337615542</v>
      </c>
      <c r="I3374" s="49" t="n">
        <f aca="false">IF('Model Inputs &amp; Assumptions'!$H$34="Fixed",'Model Inputs &amp; Assumptions'!$I$34*'Model Inputs &amp; Assumptions'!$K$34,IF('Model Inputs &amp; Assumptions'!$H$34="CPM",'Model Inputs &amp; Assumptions'!$I$34*'Model Inputs &amp; Assumptions'!$K$34*C3374/1000,IF('Model Inputs &amp; Assumptions'!$H$34="CPC",'Model Inputs &amp; Assumptions'!$I$34*'Model Inputs &amp; Assumptions'!$K$34*G3374,0)))</f>
        <v>4711.95</v>
      </c>
      <c r="J3374" s="50" t="n">
        <f aca="false">H3374*INDEX('Model Inputs &amp; Assumptions'!$D$40:$D$42,MATCH('Model Inputs &amp; Assumptions'!$L$34,'Model Inputs &amp; Assumptions'!$A$40:$A$42,0))*INDEX('Model Inputs &amp; Assumptions'!$H$40:$H$42,MATCH('Model Inputs &amp; Assumptions'!$L$34,'Model Inputs &amp; Assumptions'!$A$40:$A$42,0))</f>
        <v>451023.36308319</v>
      </c>
      <c r="K3374" s="49" t="n">
        <f aca="false">H3374*INDEX('Model Inputs &amp; Assumptions'!$G$40:$G$42,MATCH('Model Inputs &amp; Assumptions'!$L$34,'Model Inputs &amp; Assumptions'!$A$40:$A$42,0))*INDEX('Model Inputs &amp; Assumptions'!$H$40:$H$42,MATCH('Model Inputs &amp; Assumptions'!$L$34,'Model Inputs &amp; Assumptions'!$A$40:$A$42,0))</f>
        <v>9945.06515598435</v>
      </c>
      <c r="L3374" s="51" t="n">
        <f aca="false">IFERROR(K3374/I3374,0)</f>
        <v>2.11060498434498</v>
      </c>
      <c r="M3374" s="49" t="n">
        <f aca="false">IFERROR(I3374/H3374,0)</f>
        <v>75.2201388595083</v>
      </c>
      <c r="N3374" s="52" t="str">
        <f aca="false">'Model Inputs &amp; Assumptions'!$L$34</f>
        <v>PRD-USIQ</v>
      </c>
      <c r="P3374" s="53" t="n">
        <v>0.629765</v>
      </c>
      <c r="Q3374" s="53" t="n">
        <v>0.010039</v>
      </c>
      <c r="R3374" s="53" t="n">
        <v>-1.625372</v>
      </c>
      <c r="S3374" s="53" t="n">
        <v>0.219589</v>
      </c>
    </row>
    <row r="3375" customFormat="false" ht="15" hidden="false" customHeight="false" outlineLevel="0" collapsed="false">
      <c r="A3375" s="43" t="n">
        <v>372</v>
      </c>
      <c r="B3375" s="44" t="str">
        <f aca="false">'Model Inputs &amp; Assumptions'!$B$34</f>
        <v>Meta — Lookalike Feed Video</v>
      </c>
      <c r="C3375" s="45" t="n">
        <f aca="false">ROUND(MAX(0,'Model Inputs &amp; Assumptions'!$S$34*EXP('Model Inputs &amp; Assumptions'!$T$34*P3375-'Model Inputs &amp; Assumptions'!$T$34^2/2)),0)</f>
        <v>484602</v>
      </c>
      <c r="D3375" s="46" t="n">
        <f aca="false">MIN(1,'Model Inputs &amp; Assumptions'!$U$34*EXP('Model Inputs &amp; Assumptions'!$V$34*Q3375-'Model Inputs &amp; Assumptions'!$V$34^2/2))</f>
        <v>0.275571374855061</v>
      </c>
      <c r="E3375" s="45" t="n">
        <f aca="false">ROUND(C3375*D3375,0)</f>
        <v>133542</v>
      </c>
      <c r="F3375" s="47" t="n">
        <f aca="false">MIN(1,'Model Inputs &amp; Assumptions'!$W$34*EXP('Model Inputs &amp; Assumptions'!$X$34*R3375-'Model Inputs &amp; Assumptions'!$X$34^2/2))</f>
        <v>0.0071142855311125</v>
      </c>
      <c r="G3375" s="45" t="n">
        <f aca="false">ROUND(C3375*F3375,0)</f>
        <v>3448</v>
      </c>
      <c r="H3375" s="48" t="n">
        <f aca="false">MAX(0,(C3375*'Model Inputs &amp; Assumptions'!$N$34+E3375*'Model Inputs &amp; Assumptions'!$O$34+G3375*'Model Inputs &amp; Assumptions'!$P$34)*EXP('Model Inputs &amp; Assumptions'!$Q$34*S3375-'Model Inputs &amp; Assumptions'!$Q$34^2/2))</f>
        <v>112.039139286085</v>
      </c>
      <c r="I3375" s="49" t="n">
        <f aca="false">IF('Model Inputs &amp; Assumptions'!$H$34="Fixed",'Model Inputs &amp; Assumptions'!$I$34*'Model Inputs &amp; Assumptions'!$K$34,IF('Model Inputs &amp; Assumptions'!$H$34="CPM",'Model Inputs &amp; Assumptions'!$I$34*'Model Inputs &amp; Assumptions'!$K$34*C3375/1000,IF('Model Inputs &amp; Assumptions'!$H$34="CPC",'Model Inputs &amp; Assumptions'!$I$34*'Model Inputs &amp; Assumptions'!$K$34*G3375,0)))</f>
        <v>6378.8</v>
      </c>
      <c r="J3375" s="50" t="n">
        <f aca="false">H3375*INDEX('Model Inputs &amp; Assumptions'!$D$40:$D$42,MATCH('Model Inputs &amp; Assumptions'!$L$34,'Model Inputs &amp; Assumptions'!$A$40:$A$42,0))*INDEX('Model Inputs &amp; Assumptions'!$H$40:$H$42,MATCH('Model Inputs &amp; Assumptions'!$L$34,'Model Inputs &amp; Assumptions'!$A$40:$A$42,0))</f>
        <v>806681.802859812</v>
      </c>
      <c r="K3375" s="49" t="n">
        <f aca="false">H3375*INDEX('Model Inputs &amp; Assumptions'!$G$40:$G$42,MATCH('Model Inputs &amp; Assumptions'!$L$34,'Model Inputs &amp; Assumptions'!$A$40:$A$42,0))*INDEX('Model Inputs &amp; Assumptions'!$H$40:$H$42,MATCH('Model Inputs &amp; Assumptions'!$L$34,'Model Inputs &amp; Assumptions'!$A$40:$A$42,0))</f>
        <v>17787.3337530589</v>
      </c>
      <c r="L3375" s="51" t="n">
        <f aca="false">IFERROR(K3375/I3375,0)</f>
        <v>2.78850783110598</v>
      </c>
      <c r="M3375" s="49" t="n">
        <f aca="false">IFERROR(I3375/H3375,0)</f>
        <v>56.9336755052369</v>
      </c>
      <c r="N3375" s="52" t="str">
        <f aca="false">'Model Inputs &amp; Assumptions'!$L$34</f>
        <v>PRD-USIQ</v>
      </c>
      <c r="P3375" s="53" t="n">
        <v>-0.252506</v>
      </c>
      <c r="Q3375" s="53" t="n">
        <v>1.209796</v>
      </c>
      <c r="R3375" s="53" t="n">
        <v>1.036363</v>
      </c>
      <c r="S3375" s="53" t="n">
        <v>1.22653</v>
      </c>
    </row>
    <row r="3376" customFormat="false" ht="15" hidden="false" customHeight="false" outlineLevel="0" collapsed="false">
      <c r="A3376" s="43" t="n">
        <v>373</v>
      </c>
      <c r="B3376" s="44" t="str">
        <f aca="false">'Model Inputs &amp; Assumptions'!$B$34</f>
        <v>Meta — Lookalike Feed Video</v>
      </c>
      <c r="C3376" s="45" t="n">
        <f aca="false">ROUND(MAX(0,'Model Inputs &amp; Assumptions'!$S$34*EXP('Model Inputs &amp; Assumptions'!$T$34*P3376-'Model Inputs &amp; Assumptions'!$T$34^2/2)),0)</f>
        <v>503023</v>
      </c>
      <c r="D3376" s="46" t="n">
        <f aca="false">MIN(1,'Model Inputs &amp; Assumptions'!$U$34*EXP('Model Inputs &amp; Assumptions'!$V$34*Q3376-'Model Inputs &amp; Assumptions'!$V$34^2/2))</f>
        <v>0.199032336982595</v>
      </c>
      <c r="E3376" s="45" t="n">
        <f aca="false">ROUND(C3376*D3376,0)</f>
        <v>100118</v>
      </c>
      <c r="F3376" s="47" t="n">
        <f aca="false">MIN(1,'Model Inputs &amp; Assumptions'!$W$34*EXP('Model Inputs &amp; Assumptions'!$X$34*R3376-'Model Inputs &amp; Assumptions'!$X$34^2/2))</f>
        <v>0.0063485335500088</v>
      </c>
      <c r="G3376" s="45" t="n">
        <f aca="false">ROUND(C3376*F3376,0)</f>
        <v>3193</v>
      </c>
      <c r="H3376" s="48" t="n">
        <f aca="false">MAX(0,(C3376*'Model Inputs &amp; Assumptions'!$N$34+E3376*'Model Inputs &amp; Assumptions'!$O$34+G3376*'Model Inputs &amp; Assumptions'!$P$34)*EXP('Model Inputs &amp; Assumptions'!$Q$34*S3376-'Model Inputs &amp; Assumptions'!$Q$34^2/2))</f>
        <v>77.9582463067373</v>
      </c>
      <c r="I3376" s="49" t="n">
        <f aca="false">IF('Model Inputs &amp; Assumptions'!$H$34="Fixed",'Model Inputs &amp; Assumptions'!$I$34*'Model Inputs &amp; Assumptions'!$K$34,IF('Model Inputs &amp; Assumptions'!$H$34="CPM",'Model Inputs &amp; Assumptions'!$I$34*'Model Inputs &amp; Assumptions'!$K$34*C3376/1000,IF('Model Inputs &amp; Assumptions'!$H$34="CPC",'Model Inputs &amp; Assumptions'!$I$34*'Model Inputs &amp; Assumptions'!$K$34*G3376,0)))</f>
        <v>5907.05</v>
      </c>
      <c r="J3376" s="50" t="n">
        <f aca="false">H3376*INDEX('Model Inputs &amp; Assumptions'!$D$40:$D$42,MATCH('Model Inputs &amp; Assumptions'!$L$34,'Model Inputs &amp; Assumptions'!$A$40:$A$42,0))*INDEX('Model Inputs &amp; Assumptions'!$H$40:$H$42,MATCH('Model Inputs &amp; Assumptions'!$L$34,'Model Inputs &amp; Assumptions'!$A$40:$A$42,0))</f>
        <v>561299.373408509</v>
      </c>
      <c r="K3376" s="49" t="n">
        <f aca="false">H3376*INDEX('Model Inputs &amp; Assumptions'!$G$40:$G$42,MATCH('Model Inputs &amp; Assumptions'!$L$34,'Model Inputs &amp; Assumptions'!$A$40:$A$42,0))*INDEX('Model Inputs &amp; Assumptions'!$H$40:$H$42,MATCH('Model Inputs &amp; Assumptions'!$L$34,'Model Inputs &amp; Assumptions'!$A$40:$A$42,0))</f>
        <v>12376.6511836576</v>
      </c>
      <c r="L3376" s="51" t="n">
        <f aca="false">IFERROR(K3376/I3376,0)</f>
        <v>2.09523386185281</v>
      </c>
      <c r="M3376" s="49" t="n">
        <f aca="false">IFERROR(I3376/H3376,0)</f>
        <v>75.7719712775209</v>
      </c>
      <c r="N3376" s="52" t="str">
        <f aca="false">'Model Inputs &amp; Assumptions'!$L$34</f>
        <v>PRD-USIQ</v>
      </c>
      <c r="P3376" s="53" t="n">
        <v>-0.06596</v>
      </c>
      <c r="Q3376" s="53" t="n">
        <v>-0.823825</v>
      </c>
      <c r="R3376" s="53" t="n">
        <v>0.403691</v>
      </c>
      <c r="S3376" s="53" t="n">
        <v>0.414132</v>
      </c>
    </row>
    <row r="3377" customFormat="false" ht="15" hidden="false" customHeight="false" outlineLevel="0" collapsed="false">
      <c r="A3377" s="43" t="n">
        <v>374</v>
      </c>
      <c r="B3377" s="44" t="str">
        <f aca="false">'Model Inputs &amp; Assumptions'!$B$34</f>
        <v>Meta — Lookalike Feed Video</v>
      </c>
      <c r="C3377" s="45" t="n">
        <f aca="false">ROUND(MAX(0,'Model Inputs &amp; Assumptions'!$S$34*EXP('Model Inputs &amp; Assumptions'!$T$34*P3377-'Model Inputs &amp; Assumptions'!$T$34^2/2)),0)</f>
        <v>620798</v>
      </c>
      <c r="D3377" s="46" t="n">
        <f aca="false">MIN(1,'Model Inputs &amp; Assumptions'!$U$34*EXP('Model Inputs &amp; Assumptions'!$V$34*Q3377-'Model Inputs &amp; Assumptions'!$V$34^2/2))</f>
        <v>0.272645634240768</v>
      </c>
      <c r="E3377" s="45" t="n">
        <f aca="false">ROUND(C3377*D3377,0)</f>
        <v>169258</v>
      </c>
      <c r="F3377" s="47" t="n">
        <f aca="false">MIN(1,'Model Inputs &amp; Assumptions'!$W$34*EXP('Model Inputs &amp; Assumptions'!$X$34*R3377-'Model Inputs &amp; Assumptions'!$X$34^2/2))</f>
        <v>0.0041927324156369</v>
      </c>
      <c r="G3377" s="45" t="n">
        <f aca="false">ROUND(C3377*F3377,0)</f>
        <v>2603</v>
      </c>
      <c r="H3377" s="48" t="n">
        <f aca="false">MAX(0,(C3377*'Model Inputs &amp; Assumptions'!$N$34+E3377*'Model Inputs &amp; Assumptions'!$O$34+G3377*'Model Inputs &amp; Assumptions'!$P$34)*EXP('Model Inputs &amp; Assumptions'!$Q$34*S3377-'Model Inputs &amp; Assumptions'!$Q$34^2/2))</f>
        <v>67.126961365507</v>
      </c>
      <c r="I3377" s="49" t="n">
        <f aca="false">IF('Model Inputs &amp; Assumptions'!$H$34="Fixed",'Model Inputs &amp; Assumptions'!$I$34*'Model Inputs &amp; Assumptions'!$K$34,IF('Model Inputs &amp; Assumptions'!$H$34="CPM",'Model Inputs &amp; Assumptions'!$I$34*'Model Inputs &amp; Assumptions'!$K$34*C3377/1000,IF('Model Inputs &amp; Assumptions'!$H$34="CPC",'Model Inputs &amp; Assumptions'!$I$34*'Model Inputs &amp; Assumptions'!$K$34*G3377,0)))</f>
        <v>4815.55</v>
      </c>
      <c r="J3377" s="50" t="n">
        <f aca="false">H3377*INDEX('Model Inputs &amp; Assumptions'!$D$40:$D$42,MATCH('Model Inputs &amp; Assumptions'!$L$34,'Model Inputs &amp; Assumptions'!$A$40:$A$42,0))*INDEX('Model Inputs &amp; Assumptions'!$H$40:$H$42,MATCH('Model Inputs &amp; Assumptions'!$L$34,'Model Inputs &amp; Assumptions'!$A$40:$A$42,0))</f>
        <v>483314.12183165</v>
      </c>
      <c r="K3377" s="49" t="n">
        <f aca="false">H3377*INDEX('Model Inputs &amp; Assumptions'!$G$40:$G$42,MATCH('Model Inputs &amp; Assumptions'!$L$34,'Model Inputs &amp; Assumptions'!$A$40:$A$42,0))*INDEX('Model Inputs &amp; Assumptions'!$H$40:$H$42,MATCH('Model Inputs &amp; Assumptions'!$L$34,'Model Inputs &amp; Assumptions'!$A$40:$A$42,0))</f>
        <v>10657.0763863879</v>
      </c>
      <c r="L3377" s="51" t="n">
        <f aca="false">IFERROR(K3377/I3377,0)</f>
        <v>2.21305487148672</v>
      </c>
      <c r="M3377" s="49" t="n">
        <f aca="false">IFERROR(I3377/H3377,0)</f>
        <v>71.7379410901572</v>
      </c>
      <c r="N3377" s="52" t="str">
        <f aca="false">'Model Inputs &amp; Assumptions'!$L$34</f>
        <v>PRD-USIQ</v>
      </c>
      <c r="P3377" s="53" t="n">
        <v>0.985888</v>
      </c>
      <c r="Q3377" s="53" t="n">
        <v>1.143085</v>
      </c>
      <c r="R3377" s="53" t="n">
        <v>-1.901149</v>
      </c>
      <c r="S3377" s="53" t="n">
        <v>0.231876</v>
      </c>
    </row>
    <row r="3378" customFormat="false" ht="15" hidden="false" customHeight="false" outlineLevel="0" collapsed="false">
      <c r="A3378" s="43" t="n">
        <v>375</v>
      </c>
      <c r="B3378" s="44" t="str">
        <f aca="false">'Model Inputs &amp; Assumptions'!$B$34</f>
        <v>Meta — Lookalike Feed Video</v>
      </c>
      <c r="C3378" s="45" t="n">
        <f aca="false">ROUND(MAX(0,'Model Inputs &amp; Assumptions'!$S$34*EXP('Model Inputs &amp; Assumptions'!$T$34*P3378-'Model Inputs &amp; Assumptions'!$T$34^2/2)),0)</f>
        <v>506287</v>
      </c>
      <c r="D3378" s="46" t="n">
        <f aca="false">MIN(1,'Model Inputs &amp; Assumptions'!$U$34*EXP('Model Inputs &amp; Assumptions'!$V$34*Q3378-'Model Inputs &amp; Assumptions'!$V$34^2/2))</f>
        <v>0.222459501414155</v>
      </c>
      <c r="E3378" s="45" t="n">
        <f aca="false">ROUND(C3378*D3378,0)</f>
        <v>112628</v>
      </c>
      <c r="F3378" s="47" t="n">
        <f aca="false">MIN(1,'Model Inputs &amp; Assumptions'!$W$34*EXP('Model Inputs &amp; Assumptions'!$X$34*R3378-'Model Inputs &amp; Assumptions'!$X$34^2/2))</f>
        <v>0.0058729988999148</v>
      </c>
      <c r="G3378" s="45" t="n">
        <f aca="false">ROUND(C3378*F3378,0)</f>
        <v>2973</v>
      </c>
      <c r="H3378" s="48" t="n">
        <f aca="false">MAX(0,(C3378*'Model Inputs &amp; Assumptions'!$N$34+E3378*'Model Inputs &amp; Assumptions'!$O$34+G3378*'Model Inputs &amp; Assumptions'!$P$34)*EXP('Model Inputs &amp; Assumptions'!$Q$34*S3378-'Model Inputs &amp; Assumptions'!$Q$34^2/2))</f>
        <v>65.0807807018078</v>
      </c>
      <c r="I3378" s="49" t="n">
        <f aca="false">IF('Model Inputs &amp; Assumptions'!$H$34="Fixed",'Model Inputs &amp; Assumptions'!$I$34*'Model Inputs &amp; Assumptions'!$K$34,IF('Model Inputs &amp; Assumptions'!$H$34="CPM",'Model Inputs &amp; Assumptions'!$I$34*'Model Inputs &amp; Assumptions'!$K$34*C3378/1000,IF('Model Inputs &amp; Assumptions'!$H$34="CPC",'Model Inputs &amp; Assumptions'!$I$34*'Model Inputs &amp; Assumptions'!$K$34*G3378,0)))</f>
        <v>5500.05</v>
      </c>
      <c r="J3378" s="50" t="n">
        <f aca="false">H3378*INDEX('Model Inputs &amp; Assumptions'!$D$40:$D$42,MATCH('Model Inputs &amp; Assumptions'!$L$34,'Model Inputs &amp; Assumptions'!$A$40:$A$42,0))*INDEX('Model Inputs &amp; Assumptions'!$H$40:$H$42,MATCH('Model Inputs &amp; Assumptions'!$L$34,'Model Inputs &amp; Assumptions'!$A$40:$A$42,0))</f>
        <v>468581.621053016</v>
      </c>
      <c r="K3378" s="49" t="n">
        <f aca="false">H3378*INDEX('Model Inputs &amp; Assumptions'!$G$40:$G$42,MATCH('Model Inputs &amp; Assumptions'!$L$34,'Model Inputs &amp; Assumptions'!$A$40:$A$42,0))*INDEX('Model Inputs &amp; Assumptions'!$H$40:$H$42,MATCH('Model Inputs &amp; Assumptions'!$L$34,'Model Inputs &amp; Assumptions'!$A$40:$A$42,0))</f>
        <v>10332.224744219</v>
      </c>
      <c r="L3378" s="51" t="n">
        <f aca="false">IFERROR(K3378/I3378,0)</f>
        <v>1.87856923922855</v>
      </c>
      <c r="M3378" s="49" t="n">
        <f aca="false">IFERROR(I3378/H3378,0)</f>
        <v>84.511125107742</v>
      </c>
      <c r="N3378" s="52" t="str">
        <f aca="false">'Model Inputs &amp; Assumptions'!$L$34</f>
        <v>PRD-USIQ</v>
      </c>
      <c r="P3378" s="53" t="n">
        <v>-0.033622</v>
      </c>
      <c r="Q3378" s="53" t="n">
        <v>-0.128339</v>
      </c>
      <c r="R3378" s="53" t="n">
        <v>-0.028856</v>
      </c>
      <c r="S3378" s="53" t="n">
        <v>0.001344</v>
      </c>
    </row>
    <row r="3379" customFormat="false" ht="15" hidden="false" customHeight="false" outlineLevel="0" collapsed="false">
      <c r="A3379" s="43" t="n">
        <v>376</v>
      </c>
      <c r="B3379" s="44" t="str">
        <f aca="false">'Model Inputs &amp; Assumptions'!$B$34</f>
        <v>Meta — Lookalike Feed Video</v>
      </c>
      <c r="C3379" s="45" t="n">
        <f aca="false">ROUND(MAX(0,'Model Inputs &amp; Assumptions'!$S$34*EXP('Model Inputs &amp; Assumptions'!$T$34*P3379-'Model Inputs &amp; Assumptions'!$T$34^2/2)),0)</f>
        <v>449739</v>
      </c>
      <c r="D3379" s="46" t="n">
        <f aca="false">MIN(1,'Model Inputs &amp; Assumptions'!$U$34*EXP('Model Inputs &amp; Assumptions'!$V$34*Q3379-'Model Inputs &amp; Assumptions'!$V$34^2/2))</f>
        <v>0.220326634803788</v>
      </c>
      <c r="E3379" s="45" t="n">
        <f aca="false">ROUND(C3379*D3379,0)</f>
        <v>99089</v>
      </c>
      <c r="F3379" s="47" t="n">
        <f aca="false">MIN(1,'Model Inputs &amp; Assumptions'!$W$34*EXP('Model Inputs &amp; Assumptions'!$X$34*R3379-'Model Inputs &amp; Assumptions'!$X$34^2/2))</f>
        <v>0.00473555735456411</v>
      </c>
      <c r="G3379" s="45" t="n">
        <f aca="false">ROUND(C3379*F3379,0)</f>
        <v>2130</v>
      </c>
      <c r="H3379" s="48" t="n">
        <f aca="false">MAX(0,(C3379*'Model Inputs &amp; Assumptions'!$N$34+E3379*'Model Inputs &amp; Assumptions'!$O$34+G3379*'Model Inputs &amp; Assumptions'!$P$34)*EXP('Model Inputs &amp; Assumptions'!$Q$34*S3379-'Model Inputs &amp; Assumptions'!$Q$34^2/2))</f>
        <v>58.2234282993499</v>
      </c>
      <c r="I3379" s="49" t="n">
        <f aca="false">IF('Model Inputs &amp; Assumptions'!$H$34="Fixed",'Model Inputs &amp; Assumptions'!$I$34*'Model Inputs &amp; Assumptions'!$K$34,IF('Model Inputs &amp; Assumptions'!$H$34="CPM",'Model Inputs &amp; Assumptions'!$I$34*'Model Inputs &amp; Assumptions'!$K$34*C3379/1000,IF('Model Inputs &amp; Assumptions'!$H$34="CPC",'Model Inputs &amp; Assumptions'!$I$34*'Model Inputs &amp; Assumptions'!$K$34*G3379,0)))</f>
        <v>3940.5</v>
      </c>
      <c r="J3379" s="50" t="n">
        <f aca="false">H3379*INDEX('Model Inputs &amp; Assumptions'!$D$40:$D$42,MATCH('Model Inputs &amp; Assumptions'!$L$34,'Model Inputs &amp; Assumptions'!$A$40:$A$42,0))*INDEX('Model Inputs &amp; Assumptions'!$H$40:$H$42,MATCH('Model Inputs &amp; Assumptions'!$L$34,'Model Inputs &amp; Assumptions'!$A$40:$A$42,0))</f>
        <v>419208.683755319</v>
      </c>
      <c r="K3379" s="49" t="n">
        <f aca="false">H3379*INDEX('Model Inputs &amp; Assumptions'!$G$40:$G$42,MATCH('Model Inputs &amp; Assumptions'!$L$34,'Model Inputs &amp; Assumptions'!$A$40:$A$42,0))*INDEX('Model Inputs &amp; Assumptions'!$H$40:$H$42,MATCH('Model Inputs &amp; Assumptions'!$L$34,'Model Inputs &amp; Assumptions'!$A$40:$A$42,0))</f>
        <v>9243.55147680479</v>
      </c>
      <c r="L3379" s="51" t="n">
        <f aca="false">IFERROR(K3379/I3379,0)</f>
        <v>2.34578136703586</v>
      </c>
      <c r="M3379" s="49" t="n">
        <f aca="false">IFERROR(I3379/H3379,0)</f>
        <v>67.6789415377658</v>
      </c>
      <c r="N3379" s="52" t="str">
        <f aca="false">'Model Inputs &amp; Assumptions'!$L$34</f>
        <v>PRD-USIQ</v>
      </c>
      <c r="P3379" s="53" t="n">
        <v>-0.625807</v>
      </c>
      <c r="Q3379" s="53" t="n">
        <v>-0.188551</v>
      </c>
      <c r="R3379" s="53" t="n">
        <v>-1.224778</v>
      </c>
      <c r="S3379" s="53" t="n">
        <v>0.603055</v>
      </c>
    </row>
    <row r="3380" customFormat="false" ht="15" hidden="false" customHeight="false" outlineLevel="0" collapsed="false">
      <c r="A3380" s="43" t="n">
        <v>377</v>
      </c>
      <c r="B3380" s="44" t="str">
        <f aca="false">'Model Inputs &amp; Assumptions'!$B$34</f>
        <v>Meta — Lookalike Feed Video</v>
      </c>
      <c r="C3380" s="45" t="n">
        <f aca="false">ROUND(MAX(0,'Model Inputs &amp; Assumptions'!$S$34*EXP('Model Inputs &amp; Assumptions'!$T$34*P3380-'Model Inputs &amp; Assumptions'!$T$34^2/2)),0)</f>
        <v>430274</v>
      </c>
      <c r="D3380" s="46" t="n">
        <f aca="false">MIN(1,'Model Inputs &amp; Assumptions'!$U$34*EXP('Model Inputs &amp; Assumptions'!$V$34*Q3380-'Model Inputs &amp; Assumptions'!$V$34^2/2))</f>
        <v>0.172913527574016</v>
      </c>
      <c r="E3380" s="45" t="n">
        <f aca="false">ROUND(C3380*D3380,0)</f>
        <v>74400</v>
      </c>
      <c r="F3380" s="47" t="n">
        <f aca="false">MIN(1,'Model Inputs &amp; Assumptions'!$W$34*EXP('Model Inputs &amp; Assumptions'!$X$34*R3380-'Model Inputs &amp; Assumptions'!$X$34^2/2))</f>
        <v>0.00677874572976115</v>
      </c>
      <c r="G3380" s="45" t="n">
        <f aca="false">ROUND(C3380*F3380,0)</f>
        <v>2917</v>
      </c>
      <c r="H3380" s="48" t="n">
        <f aca="false">MAX(0,(C3380*'Model Inputs &amp; Assumptions'!$N$34+E3380*'Model Inputs &amp; Assumptions'!$O$34+G3380*'Model Inputs &amp; Assumptions'!$P$34)*EXP('Model Inputs &amp; Assumptions'!$Q$34*S3380-'Model Inputs &amp; Assumptions'!$Q$34^2/2))</f>
        <v>58.920050383248</v>
      </c>
      <c r="I3380" s="49" t="n">
        <f aca="false">IF('Model Inputs &amp; Assumptions'!$H$34="Fixed",'Model Inputs &amp; Assumptions'!$I$34*'Model Inputs &amp; Assumptions'!$K$34,IF('Model Inputs &amp; Assumptions'!$H$34="CPM",'Model Inputs &amp; Assumptions'!$I$34*'Model Inputs &amp; Assumptions'!$K$34*C3380/1000,IF('Model Inputs &amp; Assumptions'!$H$34="CPC",'Model Inputs &amp; Assumptions'!$I$34*'Model Inputs &amp; Assumptions'!$K$34*G3380,0)))</f>
        <v>5396.45</v>
      </c>
      <c r="J3380" s="50" t="n">
        <f aca="false">H3380*INDEX('Model Inputs &amp; Assumptions'!$D$40:$D$42,MATCH('Model Inputs &amp; Assumptions'!$L$34,'Model Inputs &amp; Assumptions'!$A$40:$A$42,0))*INDEX('Model Inputs &amp; Assumptions'!$H$40:$H$42,MATCH('Model Inputs &amp; Assumptions'!$L$34,'Model Inputs &amp; Assumptions'!$A$40:$A$42,0))</f>
        <v>424224.362759386</v>
      </c>
      <c r="K3380" s="49" t="n">
        <f aca="false">H3380*INDEX('Model Inputs &amp; Assumptions'!$G$40:$G$42,MATCH('Model Inputs &amp; Assumptions'!$L$34,'Model Inputs &amp; Assumptions'!$A$40:$A$42,0))*INDEX('Model Inputs &amp; Assumptions'!$H$40:$H$42,MATCH('Model Inputs &amp; Assumptions'!$L$34,'Model Inputs &amp; Assumptions'!$A$40:$A$42,0))</f>
        <v>9354.14719884445</v>
      </c>
      <c r="L3380" s="51" t="n">
        <f aca="false">IFERROR(K3380/I3380,0)</f>
        <v>1.73338902405182</v>
      </c>
      <c r="M3380" s="49" t="n">
        <f aca="false">IFERROR(I3380/H3380,0)</f>
        <v>91.5893649937256</v>
      </c>
      <c r="N3380" s="52" t="str">
        <f aca="false">'Model Inputs &amp; Assumptions'!$L$34</f>
        <v>PRD-USIQ</v>
      </c>
      <c r="P3380" s="53" t="n">
        <v>-0.847037</v>
      </c>
      <c r="Q3380" s="53" t="n">
        <v>-1.703048</v>
      </c>
      <c r="R3380" s="53" t="n">
        <v>0.767959</v>
      </c>
      <c r="S3380" s="53" t="n">
        <v>-0.112668</v>
      </c>
    </row>
    <row r="3381" customFormat="false" ht="15" hidden="false" customHeight="false" outlineLevel="0" collapsed="false">
      <c r="A3381" s="43" t="n">
        <v>378</v>
      </c>
      <c r="B3381" s="44" t="str">
        <f aca="false">'Model Inputs &amp; Assumptions'!$B$34</f>
        <v>Meta — Lookalike Feed Video</v>
      </c>
      <c r="C3381" s="45" t="n">
        <f aca="false">ROUND(MAX(0,'Model Inputs &amp; Assumptions'!$S$34*EXP('Model Inputs &amp; Assumptions'!$T$34*P3381-'Model Inputs &amp; Assumptions'!$T$34^2/2)),0)</f>
        <v>604580</v>
      </c>
      <c r="D3381" s="46" t="n">
        <f aca="false">MIN(1,'Model Inputs &amp; Assumptions'!$U$34*EXP('Model Inputs &amp; Assumptions'!$V$34*Q3381-'Model Inputs &amp; Assumptions'!$V$34^2/2))</f>
        <v>0.255620731641628</v>
      </c>
      <c r="E3381" s="45" t="n">
        <f aca="false">ROUND(C3381*D3381,0)</f>
        <v>154543</v>
      </c>
      <c r="F3381" s="47" t="n">
        <f aca="false">MIN(1,'Model Inputs &amp; Assumptions'!$W$34*EXP('Model Inputs &amp; Assumptions'!$X$34*R3381-'Model Inputs &amp; Assumptions'!$X$34^2/2))</f>
        <v>0.00813434034785807</v>
      </c>
      <c r="G3381" s="45" t="n">
        <f aca="false">ROUND(C3381*F3381,0)</f>
        <v>4918</v>
      </c>
      <c r="H3381" s="48" t="n">
        <f aca="false">MAX(0,(C3381*'Model Inputs &amp; Assumptions'!$N$34+E3381*'Model Inputs &amp; Assumptions'!$O$34+G3381*'Model Inputs &amp; Assumptions'!$P$34)*EXP('Model Inputs &amp; Assumptions'!$Q$34*S3381-'Model Inputs &amp; Assumptions'!$Q$34^2/2))</f>
        <v>86.7718517735986</v>
      </c>
      <c r="I3381" s="49" t="n">
        <f aca="false">IF('Model Inputs &amp; Assumptions'!$H$34="Fixed",'Model Inputs &amp; Assumptions'!$I$34*'Model Inputs &amp; Assumptions'!$K$34,IF('Model Inputs &amp; Assumptions'!$H$34="CPM",'Model Inputs &amp; Assumptions'!$I$34*'Model Inputs &amp; Assumptions'!$K$34*C3381/1000,IF('Model Inputs &amp; Assumptions'!$H$34="CPC",'Model Inputs &amp; Assumptions'!$I$34*'Model Inputs &amp; Assumptions'!$K$34*G3381,0)))</f>
        <v>9098.3</v>
      </c>
      <c r="J3381" s="50" t="n">
        <f aca="false">H3381*INDEX('Model Inputs &amp; Assumptions'!$D$40:$D$42,MATCH('Model Inputs &amp; Assumptions'!$L$34,'Model Inputs &amp; Assumptions'!$A$40:$A$42,0))*INDEX('Model Inputs &amp; Assumptions'!$H$40:$H$42,MATCH('Model Inputs &amp; Assumptions'!$L$34,'Model Inputs &amp; Assumptions'!$A$40:$A$42,0))</f>
        <v>624757.33276991</v>
      </c>
      <c r="K3381" s="49" t="n">
        <f aca="false">H3381*INDEX('Model Inputs &amp; Assumptions'!$G$40:$G$42,MATCH('Model Inputs &amp; Assumptions'!$L$34,'Model Inputs &amp; Assumptions'!$A$40:$A$42,0))*INDEX('Model Inputs &amp; Assumptions'!$H$40:$H$42,MATCH('Model Inputs &amp; Assumptions'!$L$34,'Model Inputs &amp; Assumptions'!$A$40:$A$42,0))</f>
        <v>13775.8991875765</v>
      </c>
      <c r="L3381" s="51" t="n">
        <f aca="false">IFERROR(K3381/I3381,0)</f>
        <v>1.51411793275409</v>
      </c>
      <c r="M3381" s="49" t="n">
        <f aca="false">IFERROR(I3381/H3381,0)</f>
        <v>104.853127068659</v>
      </c>
      <c r="N3381" s="52" t="str">
        <f aca="false">'Model Inputs &amp; Assumptions'!$L$34</f>
        <v>PRD-USIQ</v>
      </c>
      <c r="P3381" s="53" t="n">
        <v>0.85353</v>
      </c>
      <c r="Q3381" s="53" t="n">
        <v>0.740097</v>
      </c>
      <c r="R3381" s="53" t="n">
        <v>1.780751</v>
      </c>
      <c r="S3381" s="53" t="n">
        <v>-0.601729</v>
      </c>
    </row>
    <row r="3382" customFormat="false" ht="15" hidden="false" customHeight="false" outlineLevel="0" collapsed="false">
      <c r="A3382" s="43" t="n">
        <v>379</v>
      </c>
      <c r="B3382" s="44" t="str">
        <f aca="false">'Model Inputs &amp; Assumptions'!$B$34</f>
        <v>Meta — Lookalike Feed Video</v>
      </c>
      <c r="C3382" s="45" t="n">
        <f aca="false">ROUND(MAX(0,'Model Inputs &amp; Assumptions'!$S$34*EXP('Model Inputs &amp; Assumptions'!$T$34*P3382-'Model Inputs &amp; Assumptions'!$T$34^2/2)),0)</f>
        <v>748517</v>
      </c>
      <c r="D3382" s="46" t="n">
        <f aca="false">MIN(1,'Model Inputs &amp; Assumptions'!$U$34*EXP('Model Inputs &amp; Assumptions'!$V$34*Q3382-'Model Inputs &amp; Assumptions'!$V$34^2/2))</f>
        <v>0.204887176463985</v>
      </c>
      <c r="E3382" s="45" t="n">
        <f aca="false">ROUND(C3382*D3382,0)</f>
        <v>153362</v>
      </c>
      <c r="F3382" s="47" t="n">
        <f aca="false">MIN(1,'Model Inputs &amp; Assumptions'!$W$34*EXP('Model Inputs &amp; Assumptions'!$X$34*R3382-'Model Inputs &amp; Assumptions'!$X$34^2/2))</f>
        <v>0.00530739902382404</v>
      </c>
      <c r="G3382" s="45" t="n">
        <f aca="false">ROUND(C3382*F3382,0)</f>
        <v>3973</v>
      </c>
      <c r="H3382" s="48" t="n">
        <f aca="false">MAX(0,(C3382*'Model Inputs &amp; Assumptions'!$N$34+E3382*'Model Inputs &amp; Assumptions'!$O$34+G3382*'Model Inputs &amp; Assumptions'!$P$34)*EXP('Model Inputs &amp; Assumptions'!$Q$34*S3382-'Model Inputs &amp; Assumptions'!$Q$34^2/2))</f>
        <v>139.190734312242</v>
      </c>
      <c r="I3382" s="49" t="n">
        <f aca="false">IF('Model Inputs &amp; Assumptions'!$H$34="Fixed",'Model Inputs &amp; Assumptions'!$I$34*'Model Inputs &amp; Assumptions'!$K$34,IF('Model Inputs &amp; Assumptions'!$H$34="CPM",'Model Inputs &amp; Assumptions'!$I$34*'Model Inputs &amp; Assumptions'!$K$34*C3382/1000,IF('Model Inputs &amp; Assumptions'!$H$34="CPC",'Model Inputs &amp; Assumptions'!$I$34*'Model Inputs &amp; Assumptions'!$K$34*G3382,0)))</f>
        <v>7350.05</v>
      </c>
      <c r="J3382" s="50" t="n">
        <f aca="false">H3382*INDEX('Model Inputs &amp; Assumptions'!$D$40:$D$42,MATCH('Model Inputs &amp; Assumptions'!$L$34,'Model Inputs &amp; Assumptions'!$A$40:$A$42,0))*INDEX('Model Inputs &amp; Assumptions'!$H$40:$H$42,MATCH('Model Inputs &amp; Assumptions'!$L$34,'Model Inputs &amp; Assumptions'!$A$40:$A$42,0))</f>
        <v>1002173.28704814</v>
      </c>
      <c r="K3382" s="49" t="n">
        <f aca="false">H3382*INDEX('Model Inputs &amp; Assumptions'!$G$40:$G$42,MATCH('Model Inputs &amp; Assumptions'!$L$34,'Model Inputs &amp; Assumptions'!$A$40:$A$42,0))*INDEX('Model Inputs &amp; Assumptions'!$H$40:$H$42,MATCH('Model Inputs &amp; Assumptions'!$L$34,'Model Inputs &amp; Assumptions'!$A$40:$A$42,0))</f>
        <v>22097.9209794116</v>
      </c>
      <c r="L3382" s="51" t="n">
        <f aca="false">IFERROR(K3382/I3382,0)</f>
        <v>3.0064994087675</v>
      </c>
      <c r="M3382" s="49" t="n">
        <f aca="false">IFERROR(I3382/H3382,0)</f>
        <v>52.8055982771947</v>
      </c>
      <c r="N3382" s="52" t="str">
        <f aca="false">'Model Inputs &amp; Assumptions'!$L$34</f>
        <v>PRD-USIQ</v>
      </c>
      <c r="P3382" s="53" t="n">
        <v>1.921328</v>
      </c>
      <c r="Q3382" s="53" t="n">
        <v>-0.642624</v>
      </c>
      <c r="R3382" s="53" t="n">
        <v>-0.591431</v>
      </c>
      <c r="S3382" s="53" t="n">
        <v>1.463147</v>
      </c>
    </row>
    <row r="3383" customFormat="false" ht="15" hidden="false" customHeight="false" outlineLevel="0" collapsed="false">
      <c r="A3383" s="43" t="n">
        <v>380</v>
      </c>
      <c r="B3383" s="44" t="str">
        <f aca="false">'Model Inputs &amp; Assumptions'!$B$34</f>
        <v>Meta — Lookalike Feed Video</v>
      </c>
      <c r="C3383" s="45" t="n">
        <f aca="false">ROUND(MAX(0,'Model Inputs &amp; Assumptions'!$S$34*EXP('Model Inputs &amp; Assumptions'!$T$34*P3383-'Model Inputs &amp; Assumptions'!$T$34^2/2)),0)</f>
        <v>572506</v>
      </c>
      <c r="D3383" s="46" t="n">
        <f aca="false">MIN(1,'Model Inputs &amp; Assumptions'!$U$34*EXP('Model Inputs &amp; Assumptions'!$V$34*Q3383-'Model Inputs &amp; Assumptions'!$V$34^2/2))</f>
        <v>0.221248855041991</v>
      </c>
      <c r="E3383" s="45" t="n">
        <f aca="false">ROUND(C3383*D3383,0)</f>
        <v>126666</v>
      </c>
      <c r="F3383" s="47" t="n">
        <f aca="false">MIN(1,'Model Inputs &amp; Assumptions'!$W$34*EXP('Model Inputs &amp; Assumptions'!$X$34*R3383-'Model Inputs &amp; Assumptions'!$X$34^2/2))</f>
        <v>0.0051972878864429</v>
      </c>
      <c r="G3383" s="45" t="n">
        <f aca="false">ROUND(C3383*F3383,0)</f>
        <v>2975</v>
      </c>
      <c r="H3383" s="48" t="n">
        <f aca="false">MAX(0,(C3383*'Model Inputs &amp; Assumptions'!$N$34+E3383*'Model Inputs &amp; Assumptions'!$O$34+G3383*'Model Inputs &amp; Assumptions'!$P$34)*EXP('Model Inputs &amp; Assumptions'!$Q$34*S3383-'Model Inputs &amp; Assumptions'!$Q$34^2/2))</f>
        <v>57.8280697713292</v>
      </c>
      <c r="I3383" s="49" t="n">
        <f aca="false">IF('Model Inputs &amp; Assumptions'!$H$34="Fixed",'Model Inputs &amp; Assumptions'!$I$34*'Model Inputs &amp; Assumptions'!$K$34,IF('Model Inputs &amp; Assumptions'!$H$34="CPM",'Model Inputs &amp; Assumptions'!$I$34*'Model Inputs &amp; Assumptions'!$K$34*C3383/1000,IF('Model Inputs &amp; Assumptions'!$H$34="CPC",'Model Inputs &amp; Assumptions'!$I$34*'Model Inputs &amp; Assumptions'!$K$34*G3383,0)))</f>
        <v>5503.75</v>
      </c>
      <c r="J3383" s="50" t="n">
        <f aca="false">H3383*INDEX('Model Inputs &amp; Assumptions'!$D$40:$D$42,MATCH('Model Inputs &amp; Assumptions'!$L$34,'Model Inputs &amp; Assumptions'!$A$40:$A$42,0))*INDEX('Model Inputs &amp; Assumptions'!$H$40:$H$42,MATCH('Model Inputs &amp; Assumptions'!$L$34,'Model Inputs &amp; Assumptions'!$A$40:$A$42,0))</f>
        <v>416362.10235357</v>
      </c>
      <c r="K3383" s="49" t="n">
        <f aca="false">H3383*INDEX('Model Inputs &amp; Assumptions'!$G$40:$G$42,MATCH('Model Inputs &amp; Assumptions'!$L$34,'Model Inputs &amp; Assumptions'!$A$40:$A$42,0))*INDEX('Model Inputs &amp; Assumptions'!$H$40:$H$42,MATCH('Model Inputs &amp; Assumptions'!$L$34,'Model Inputs &amp; Assumptions'!$A$40:$A$42,0))</f>
        <v>9180.78435689622</v>
      </c>
      <c r="L3383" s="51" t="n">
        <f aca="false">IFERROR(K3383/I3383,0)</f>
        <v>1.66809618113036</v>
      </c>
      <c r="M3383" s="49" t="n">
        <f aca="false">IFERROR(I3383/H3383,0)</f>
        <v>95.174368118521</v>
      </c>
      <c r="N3383" s="52" t="str">
        <f aca="false">'Model Inputs &amp; Assumptions'!$L$34</f>
        <v>PRD-USIQ</v>
      </c>
      <c r="P3383" s="53" t="n">
        <v>0.580968</v>
      </c>
      <c r="Q3383" s="53" t="n">
        <v>-0.162445</v>
      </c>
      <c r="R3383" s="53" t="n">
        <v>-0.707903</v>
      </c>
      <c r="S3383" s="53" t="n">
        <v>-0.420526</v>
      </c>
    </row>
    <row r="3384" customFormat="false" ht="15" hidden="false" customHeight="false" outlineLevel="0" collapsed="false">
      <c r="A3384" s="43" t="n">
        <v>381</v>
      </c>
      <c r="B3384" s="44" t="str">
        <f aca="false">'Model Inputs &amp; Assumptions'!$B$34</f>
        <v>Meta — Lookalike Feed Video</v>
      </c>
      <c r="C3384" s="45" t="n">
        <f aca="false">ROUND(MAX(0,'Model Inputs &amp; Assumptions'!$S$34*EXP('Model Inputs &amp; Assumptions'!$T$34*P3384-'Model Inputs &amp; Assumptions'!$T$34^2/2)),0)</f>
        <v>569781</v>
      </c>
      <c r="D3384" s="46" t="n">
        <f aca="false">MIN(1,'Model Inputs &amp; Assumptions'!$U$34*EXP('Model Inputs &amp; Assumptions'!$V$34*Q3384-'Model Inputs &amp; Assumptions'!$V$34^2/2))</f>
        <v>0.181595387919057</v>
      </c>
      <c r="E3384" s="45" t="n">
        <f aca="false">ROUND(C3384*D3384,0)</f>
        <v>103470</v>
      </c>
      <c r="F3384" s="47" t="n">
        <f aca="false">MIN(1,'Model Inputs &amp; Assumptions'!$W$34*EXP('Model Inputs &amp; Assumptions'!$X$34*R3384-'Model Inputs &amp; Assumptions'!$X$34^2/2))</f>
        <v>0.00549330627002551</v>
      </c>
      <c r="G3384" s="45" t="n">
        <f aca="false">ROUND(C3384*F3384,0)</f>
        <v>3130</v>
      </c>
      <c r="H3384" s="48" t="n">
        <f aca="false">MAX(0,(C3384*'Model Inputs &amp; Assumptions'!$N$34+E3384*'Model Inputs &amp; Assumptions'!$O$34+G3384*'Model Inputs &amp; Assumptions'!$P$34)*EXP('Model Inputs &amp; Assumptions'!$Q$34*S3384-'Model Inputs &amp; Assumptions'!$Q$34^2/2))</f>
        <v>67.4132648001667</v>
      </c>
      <c r="I3384" s="49" t="n">
        <f aca="false">IF('Model Inputs &amp; Assumptions'!$H$34="Fixed",'Model Inputs &amp; Assumptions'!$I$34*'Model Inputs &amp; Assumptions'!$K$34,IF('Model Inputs &amp; Assumptions'!$H$34="CPM",'Model Inputs &amp; Assumptions'!$I$34*'Model Inputs &amp; Assumptions'!$K$34*C3384/1000,IF('Model Inputs &amp; Assumptions'!$H$34="CPC",'Model Inputs &amp; Assumptions'!$I$34*'Model Inputs &amp; Assumptions'!$K$34*G3384,0)))</f>
        <v>5790.5</v>
      </c>
      <c r="J3384" s="50" t="n">
        <f aca="false">H3384*INDEX('Model Inputs &amp; Assumptions'!$D$40:$D$42,MATCH('Model Inputs &amp; Assumptions'!$L$34,'Model Inputs &amp; Assumptions'!$A$40:$A$42,0))*INDEX('Model Inputs &amp; Assumptions'!$H$40:$H$42,MATCH('Model Inputs &amp; Assumptions'!$L$34,'Model Inputs &amp; Assumptions'!$A$40:$A$42,0))</f>
        <v>485375.5065612</v>
      </c>
      <c r="K3384" s="49" t="n">
        <f aca="false">H3384*INDEX('Model Inputs &amp; Assumptions'!$G$40:$G$42,MATCH('Model Inputs &amp; Assumptions'!$L$34,'Model Inputs &amp; Assumptions'!$A$40:$A$42,0))*INDEX('Model Inputs &amp; Assumptions'!$H$40:$H$42,MATCH('Model Inputs &amp; Assumptions'!$L$34,'Model Inputs &amp; Assumptions'!$A$40:$A$42,0))</f>
        <v>10702.5299196745</v>
      </c>
      <c r="L3384" s="51" t="n">
        <f aca="false">IFERROR(K3384/I3384,0)</f>
        <v>1.84829115269397</v>
      </c>
      <c r="M3384" s="49" t="n">
        <f aca="false">IFERROR(I3384/H3384,0)</f>
        <v>85.8955580502561</v>
      </c>
      <c r="N3384" s="52" t="str">
        <f aca="false">'Model Inputs &amp; Assumptions'!$L$34</f>
        <v>PRD-USIQ</v>
      </c>
      <c r="P3384" s="53" t="n">
        <v>0.557115</v>
      </c>
      <c r="Q3384" s="53" t="n">
        <v>-1.396864</v>
      </c>
      <c r="R3384" s="53" t="n">
        <v>-0.400162</v>
      </c>
      <c r="S3384" s="53" t="n">
        <v>0.003398</v>
      </c>
    </row>
    <row r="3385" customFormat="false" ht="15" hidden="false" customHeight="false" outlineLevel="0" collapsed="false">
      <c r="A3385" s="43" t="n">
        <v>382</v>
      </c>
      <c r="B3385" s="44" t="str">
        <f aca="false">'Model Inputs &amp; Assumptions'!$B$34</f>
        <v>Meta — Lookalike Feed Video</v>
      </c>
      <c r="C3385" s="45" t="n">
        <f aca="false">ROUND(MAX(0,'Model Inputs &amp; Assumptions'!$S$34*EXP('Model Inputs &amp; Assumptions'!$T$34*P3385-'Model Inputs &amp; Assumptions'!$T$34^2/2)),0)</f>
        <v>459377</v>
      </c>
      <c r="D3385" s="46" t="n">
        <f aca="false">MIN(1,'Model Inputs &amp; Assumptions'!$U$34*EXP('Model Inputs &amp; Assumptions'!$V$34*Q3385-'Model Inputs &amp; Assumptions'!$V$34^2/2))</f>
        <v>0.219314266696452</v>
      </c>
      <c r="E3385" s="45" t="n">
        <f aca="false">ROUND(C3385*D3385,0)</f>
        <v>100748</v>
      </c>
      <c r="F3385" s="47" t="n">
        <f aca="false">MIN(1,'Model Inputs &amp; Assumptions'!$W$34*EXP('Model Inputs &amp; Assumptions'!$X$34*R3385-'Model Inputs &amp; Assumptions'!$X$34^2/2))</f>
        <v>0.0053161695213153</v>
      </c>
      <c r="G3385" s="45" t="n">
        <f aca="false">ROUND(C3385*F3385,0)</f>
        <v>2442</v>
      </c>
      <c r="H3385" s="48" t="n">
        <f aca="false">MAX(0,(C3385*'Model Inputs &amp; Assumptions'!$N$34+E3385*'Model Inputs &amp; Assumptions'!$O$34+G3385*'Model Inputs &amp; Assumptions'!$P$34)*EXP('Model Inputs &amp; Assumptions'!$Q$34*S3385-'Model Inputs &amp; Assumptions'!$Q$34^2/2))</f>
        <v>37.0384132181494</v>
      </c>
      <c r="I3385" s="49" t="n">
        <f aca="false">IF('Model Inputs &amp; Assumptions'!$H$34="Fixed",'Model Inputs &amp; Assumptions'!$I$34*'Model Inputs &amp; Assumptions'!$K$34,IF('Model Inputs &amp; Assumptions'!$H$34="CPM",'Model Inputs &amp; Assumptions'!$I$34*'Model Inputs &amp; Assumptions'!$K$34*C3385/1000,IF('Model Inputs &amp; Assumptions'!$H$34="CPC",'Model Inputs &amp; Assumptions'!$I$34*'Model Inputs &amp; Assumptions'!$K$34*G3385,0)))</f>
        <v>4517.7</v>
      </c>
      <c r="J3385" s="50" t="n">
        <f aca="false">H3385*INDEX('Model Inputs &amp; Assumptions'!$D$40:$D$42,MATCH('Model Inputs &amp; Assumptions'!$L$34,'Model Inputs &amp; Assumptions'!$A$40:$A$42,0))*INDEX('Model Inputs &amp; Assumptions'!$H$40:$H$42,MATCH('Model Inputs &amp; Assumptions'!$L$34,'Model Inputs &amp; Assumptions'!$A$40:$A$42,0))</f>
        <v>266676.575170675</v>
      </c>
      <c r="K3385" s="49" t="n">
        <f aca="false">H3385*INDEX('Model Inputs &amp; Assumptions'!$G$40:$G$42,MATCH('Model Inputs &amp; Assumptions'!$L$34,'Model Inputs &amp; Assumptions'!$A$40:$A$42,0))*INDEX('Model Inputs &amp; Assumptions'!$H$40:$H$42,MATCH('Model Inputs &amp; Assumptions'!$L$34,'Model Inputs &amp; Assumptions'!$A$40:$A$42,0))</f>
        <v>5880.21848251339</v>
      </c>
      <c r="L3385" s="51" t="n">
        <f aca="false">IFERROR(K3385/I3385,0)</f>
        <v>1.30159560894114</v>
      </c>
      <c r="M3385" s="49" t="n">
        <f aca="false">IFERROR(I3385/H3385,0)</f>
        <v>121.973367848984</v>
      </c>
      <c r="N3385" s="52" t="str">
        <f aca="false">'Model Inputs &amp; Assumptions'!$L$34</f>
        <v>PRD-USIQ</v>
      </c>
      <c r="P3385" s="53" t="n">
        <v>-0.519792</v>
      </c>
      <c r="Q3385" s="53" t="n">
        <v>-0.217335</v>
      </c>
      <c r="R3385" s="53" t="n">
        <v>-0.582258</v>
      </c>
      <c r="S3385" s="53" t="n">
        <v>-1.181678</v>
      </c>
    </row>
    <row r="3386" customFormat="false" ht="15" hidden="false" customHeight="false" outlineLevel="0" collapsed="false">
      <c r="A3386" s="43" t="n">
        <v>383</v>
      </c>
      <c r="B3386" s="44" t="str">
        <f aca="false">'Model Inputs &amp; Assumptions'!$B$34</f>
        <v>Meta — Lookalike Feed Video</v>
      </c>
      <c r="C3386" s="45" t="n">
        <f aca="false">ROUND(MAX(0,'Model Inputs &amp; Assumptions'!$S$34*EXP('Model Inputs &amp; Assumptions'!$T$34*P3386-'Model Inputs &amp; Assumptions'!$T$34^2/2)),0)</f>
        <v>600361</v>
      </c>
      <c r="D3386" s="46" t="n">
        <f aca="false">MIN(1,'Model Inputs &amp; Assumptions'!$U$34*EXP('Model Inputs &amp; Assumptions'!$V$34*Q3386-'Model Inputs &amp; Assumptions'!$V$34^2/2))</f>
        <v>0.264119599487897</v>
      </c>
      <c r="E3386" s="45" t="n">
        <f aca="false">ROUND(C3386*D3386,0)</f>
        <v>158567</v>
      </c>
      <c r="F3386" s="47" t="n">
        <f aca="false">MIN(1,'Model Inputs &amp; Assumptions'!$W$34*EXP('Model Inputs &amp; Assumptions'!$X$34*R3386-'Model Inputs &amp; Assumptions'!$X$34^2/2))</f>
        <v>0.00556806796451377</v>
      </c>
      <c r="G3386" s="45" t="n">
        <f aca="false">ROUND(C3386*F3386,0)</f>
        <v>3343</v>
      </c>
      <c r="H3386" s="48" t="n">
        <f aca="false">MAX(0,(C3386*'Model Inputs &amp; Assumptions'!$N$34+E3386*'Model Inputs &amp; Assumptions'!$O$34+G3386*'Model Inputs &amp; Assumptions'!$P$34)*EXP('Model Inputs &amp; Assumptions'!$Q$34*S3386-'Model Inputs &amp; Assumptions'!$Q$34^2/2))</f>
        <v>83.9913372028003</v>
      </c>
      <c r="I3386" s="49" t="n">
        <f aca="false">IF('Model Inputs &amp; Assumptions'!$H$34="Fixed",'Model Inputs &amp; Assumptions'!$I$34*'Model Inputs &amp; Assumptions'!$K$34,IF('Model Inputs &amp; Assumptions'!$H$34="CPM",'Model Inputs &amp; Assumptions'!$I$34*'Model Inputs &amp; Assumptions'!$K$34*C3386/1000,IF('Model Inputs &amp; Assumptions'!$H$34="CPC",'Model Inputs &amp; Assumptions'!$I$34*'Model Inputs &amp; Assumptions'!$K$34*G3386,0)))</f>
        <v>6184.55</v>
      </c>
      <c r="J3386" s="50" t="n">
        <f aca="false">H3386*INDEX('Model Inputs &amp; Assumptions'!$D$40:$D$42,MATCH('Model Inputs &amp; Assumptions'!$L$34,'Model Inputs &amp; Assumptions'!$A$40:$A$42,0))*INDEX('Model Inputs &amp; Assumptions'!$H$40:$H$42,MATCH('Model Inputs &amp; Assumptions'!$L$34,'Model Inputs &amp; Assumptions'!$A$40:$A$42,0))</f>
        <v>604737.627860162</v>
      </c>
      <c r="K3386" s="49" t="n">
        <f aca="false">H3386*INDEX('Model Inputs &amp; Assumptions'!$G$40:$G$42,MATCH('Model Inputs &amp; Assumptions'!$L$34,'Model Inputs &amp; Assumptions'!$A$40:$A$42,0))*INDEX('Model Inputs &amp; Assumptions'!$H$40:$H$42,MATCH('Model Inputs &amp; Assumptions'!$L$34,'Model Inputs &amp; Assumptions'!$A$40:$A$42,0))</f>
        <v>13334.4646943166</v>
      </c>
      <c r="L3386" s="51" t="n">
        <f aca="false">IFERROR(K3386/I3386,0)</f>
        <v>2.15609295653145</v>
      </c>
      <c r="M3386" s="49" t="n">
        <f aca="false">IFERROR(I3386/H3386,0)</f>
        <v>73.6331889212237</v>
      </c>
      <c r="N3386" s="52" t="str">
        <f aca="false">'Model Inputs &amp; Assumptions'!$L$34</f>
        <v>PRD-USIQ</v>
      </c>
      <c r="P3386" s="53" t="n">
        <v>0.818511</v>
      </c>
      <c r="Q3386" s="53" t="n">
        <v>0.944517</v>
      </c>
      <c r="R3386" s="53" t="n">
        <v>-0.325063</v>
      </c>
      <c r="S3386" s="53" t="n">
        <v>0.329957</v>
      </c>
    </row>
    <row r="3387" customFormat="false" ht="15" hidden="false" customHeight="false" outlineLevel="0" collapsed="false">
      <c r="A3387" s="43" t="n">
        <v>384</v>
      </c>
      <c r="B3387" s="44" t="str">
        <f aca="false">'Model Inputs &amp; Assumptions'!$B$34</f>
        <v>Meta — Lookalike Feed Video</v>
      </c>
      <c r="C3387" s="45" t="n">
        <f aca="false">ROUND(MAX(0,'Model Inputs &amp; Assumptions'!$S$34*EXP('Model Inputs &amp; Assumptions'!$T$34*P3387-'Model Inputs &amp; Assumptions'!$T$34^2/2)),0)</f>
        <v>620696</v>
      </c>
      <c r="D3387" s="46" t="n">
        <f aca="false">MIN(1,'Model Inputs &amp; Assumptions'!$U$34*EXP('Model Inputs &amp; Assumptions'!$V$34*Q3387-'Model Inputs &amp; Assumptions'!$V$34^2/2))</f>
        <v>0.206101265669506</v>
      </c>
      <c r="E3387" s="45" t="n">
        <f aca="false">ROUND(C3387*D3387,0)</f>
        <v>127926</v>
      </c>
      <c r="F3387" s="47" t="n">
        <f aca="false">MIN(1,'Model Inputs &amp; Assumptions'!$W$34*EXP('Model Inputs &amp; Assumptions'!$X$34*R3387-'Model Inputs &amp; Assumptions'!$X$34^2/2))</f>
        <v>0.00583877053138083</v>
      </c>
      <c r="G3387" s="45" t="n">
        <f aca="false">ROUND(C3387*F3387,0)</f>
        <v>3624</v>
      </c>
      <c r="H3387" s="48" t="n">
        <f aca="false">MAX(0,(C3387*'Model Inputs &amp; Assumptions'!$N$34+E3387*'Model Inputs &amp; Assumptions'!$O$34+G3387*'Model Inputs &amp; Assumptions'!$P$34)*EXP('Model Inputs &amp; Assumptions'!$Q$34*S3387-'Model Inputs &amp; Assumptions'!$Q$34^2/2))</f>
        <v>148.626088898662</v>
      </c>
      <c r="I3387" s="49" t="n">
        <f aca="false">IF('Model Inputs &amp; Assumptions'!$H$34="Fixed",'Model Inputs &amp; Assumptions'!$I$34*'Model Inputs &amp; Assumptions'!$K$34,IF('Model Inputs &amp; Assumptions'!$H$34="CPM",'Model Inputs &amp; Assumptions'!$I$34*'Model Inputs &amp; Assumptions'!$K$34*C3387/1000,IF('Model Inputs &amp; Assumptions'!$H$34="CPC",'Model Inputs &amp; Assumptions'!$I$34*'Model Inputs &amp; Assumptions'!$K$34*G3387,0)))</f>
        <v>6704.4</v>
      </c>
      <c r="J3387" s="50" t="n">
        <f aca="false">H3387*INDEX('Model Inputs &amp; Assumptions'!$D$40:$D$42,MATCH('Model Inputs &amp; Assumptions'!$L$34,'Model Inputs &amp; Assumptions'!$A$40:$A$42,0))*INDEX('Model Inputs &amp; Assumptions'!$H$40:$H$42,MATCH('Model Inputs &amp; Assumptions'!$L$34,'Model Inputs &amp; Assumptions'!$A$40:$A$42,0))</f>
        <v>1070107.84007037</v>
      </c>
      <c r="K3387" s="49" t="n">
        <f aca="false">H3387*INDEX('Model Inputs &amp; Assumptions'!$G$40:$G$42,MATCH('Model Inputs &amp; Assumptions'!$L$34,'Model Inputs &amp; Assumptions'!$A$40:$A$42,0))*INDEX('Model Inputs &amp; Assumptions'!$H$40:$H$42,MATCH('Model Inputs &amp; Assumptions'!$L$34,'Model Inputs &amp; Assumptions'!$A$40:$A$42,0))</f>
        <v>23595.8778735516</v>
      </c>
      <c r="L3387" s="51" t="n">
        <f aca="false">IFERROR(K3387/I3387,0)</f>
        <v>3.51946152877985</v>
      </c>
      <c r="M3387" s="49" t="n">
        <f aca="false">IFERROR(I3387/H3387,0)</f>
        <v>45.1091732930634</v>
      </c>
      <c r="N3387" s="52" t="str">
        <f aca="false">'Model Inputs &amp; Assumptions'!$L$34</f>
        <v>PRD-USIQ</v>
      </c>
      <c r="P3387" s="53" t="n">
        <v>0.985064</v>
      </c>
      <c r="Q3387" s="53" t="n">
        <v>-0.605698</v>
      </c>
      <c r="R3387" s="53" t="n">
        <v>-0.061329</v>
      </c>
      <c r="S3387" s="53" t="n">
        <v>1.991387</v>
      </c>
    </row>
    <row r="3388" customFormat="false" ht="15" hidden="false" customHeight="false" outlineLevel="0" collapsed="false">
      <c r="A3388" s="43" t="n">
        <v>385</v>
      </c>
      <c r="B3388" s="44" t="str">
        <f aca="false">'Model Inputs &amp; Assumptions'!$B$34</f>
        <v>Meta — Lookalike Feed Video</v>
      </c>
      <c r="C3388" s="45" t="n">
        <f aca="false">ROUND(MAX(0,'Model Inputs &amp; Assumptions'!$S$34*EXP('Model Inputs &amp; Assumptions'!$T$34*P3388-'Model Inputs &amp; Assumptions'!$T$34^2/2)),0)</f>
        <v>519403</v>
      </c>
      <c r="D3388" s="46" t="n">
        <f aca="false">MIN(1,'Model Inputs &amp; Assumptions'!$U$34*EXP('Model Inputs &amp; Assumptions'!$V$34*Q3388-'Model Inputs &amp; Assumptions'!$V$34^2/2))</f>
        <v>0.208160594122585</v>
      </c>
      <c r="E3388" s="45" t="n">
        <f aca="false">ROUND(C3388*D3388,0)</f>
        <v>108119</v>
      </c>
      <c r="F3388" s="47" t="n">
        <f aca="false">MIN(1,'Model Inputs &amp; Assumptions'!$W$34*EXP('Model Inputs &amp; Assumptions'!$X$34*R3388-'Model Inputs &amp; Assumptions'!$X$34^2/2))</f>
        <v>0.00855597619730867</v>
      </c>
      <c r="G3388" s="45" t="n">
        <f aca="false">ROUND(C3388*F3388,0)</f>
        <v>4444</v>
      </c>
      <c r="H3388" s="48" t="n">
        <f aca="false">MAX(0,(C3388*'Model Inputs &amp; Assumptions'!$N$34+E3388*'Model Inputs &amp; Assumptions'!$O$34+G3388*'Model Inputs &amp; Assumptions'!$P$34)*EXP('Model Inputs &amp; Assumptions'!$Q$34*S3388-'Model Inputs &amp; Assumptions'!$Q$34^2/2))</f>
        <v>116.2297901764</v>
      </c>
      <c r="I3388" s="49" t="n">
        <f aca="false">IF('Model Inputs &amp; Assumptions'!$H$34="Fixed",'Model Inputs &amp; Assumptions'!$I$34*'Model Inputs &amp; Assumptions'!$K$34,IF('Model Inputs &amp; Assumptions'!$H$34="CPM",'Model Inputs &amp; Assumptions'!$I$34*'Model Inputs &amp; Assumptions'!$K$34*C3388/1000,IF('Model Inputs &amp; Assumptions'!$H$34="CPC",'Model Inputs &amp; Assumptions'!$I$34*'Model Inputs &amp; Assumptions'!$K$34*G3388,0)))</f>
        <v>8221.4</v>
      </c>
      <c r="J3388" s="50" t="n">
        <f aca="false">H3388*INDEX('Model Inputs &amp; Assumptions'!$D$40:$D$42,MATCH('Model Inputs &amp; Assumptions'!$L$34,'Model Inputs &amp; Assumptions'!$A$40:$A$42,0))*INDEX('Model Inputs &amp; Assumptions'!$H$40:$H$42,MATCH('Model Inputs &amp; Assumptions'!$L$34,'Model Inputs &amp; Assumptions'!$A$40:$A$42,0))</f>
        <v>836854.489270082</v>
      </c>
      <c r="K3388" s="49" t="n">
        <f aca="false">H3388*INDEX('Model Inputs &amp; Assumptions'!$G$40:$G$42,MATCH('Model Inputs &amp; Assumptions'!$L$34,'Model Inputs &amp; Assumptions'!$A$40:$A$42,0))*INDEX('Model Inputs &amp; Assumptions'!$H$40:$H$42,MATCH('Model Inputs &amp; Assumptions'!$L$34,'Model Inputs &amp; Assumptions'!$A$40:$A$42,0))</f>
        <v>18452.6414884053</v>
      </c>
      <c r="L3388" s="51" t="n">
        <f aca="false">IFERROR(K3388/I3388,0)</f>
        <v>2.24446462748502</v>
      </c>
      <c r="M3388" s="49" t="n">
        <f aca="false">IFERROR(I3388/H3388,0)</f>
        <v>70.734017393669</v>
      </c>
      <c r="N3388" s="52" t="str">
        <f aca="false">'Model Inputs &amp; Assumptions'!$L$34</f>
        <v>PRD-USIQ</v>
      </c>
      <c r="P3388" s="53" t="n">
        <v>0.094252</v>
      </c>
      <c r="Q3388" s="53" t="n">
        <v>-0.543559</v>
      </c>
      <c r="R3388" s="53" t="n">
        <v>2.061503</v>
      </c>
      <c r="S3388" s="53" t="n">
        <v>0.708169</v>
      </c>
    </row>
    <row r="3389" customFormat="false" ht="15" hidden="false" customHeight="false" outlineLevel="0" collapsed="false">
      <c r="A3389" s="43" t="n">
        <v>386</v>
      </c>
      <c r="B3389" s="44" t="str">
        <f aca="false">'Model Inputs &amp; Assumptions'!$B$34</f>
        <v>Meta — Lookalike Feed Video</v>
      </c>
      <c r="C3389" s="45" t="n">
        <f aca="false">ROUND(MAX(0,'Model Inputs &amp; Assumptions'!$S$34*EXP('Model Inputs &amp; Assumptions'!$T$34*P3389-'Model Inputs &amp; Assumptions'!$T$34^2/2)),0)</f>
        <v>424773</v>
      </c>
      <c r="D3389" s="46" t="n">
        <f aca="false">MIN(1,'Model Inputs &amp; Assumptions'!$U$34*EXP('Model Inputs &amp; Assumptions'!$V$34*Q3389-'Model Inputs &amp; Assumptions'!$V$34^2/2))</f>
        <v>0.261439983595048</v>
      </c>
      <c r="E3389" s="45" t="n">
        <f aca="false">ROUND(C3389*D3389,0)</f>
        <v>111053</v>
      </c>
      <c r="F3389" s="47" t="n">
        <f aca="false">MIN(1,'Model Inputs &amp; Assumptions'!$W$34*EXP('Model Inputs &amp; Assumptions'!$X$34*R3389-'Model Inputs &amp; Assumptions'!$X$34^2/2))</f>
        <v>0.00588369525487245</v>
      </c>
      <c r="G3389" s="45" t="n">
        <f aca="false">ROUND(C3389*F3389,0)</f>
        <v>2499</v>
      </c>
      <c r="H3389" s="48" t="n">
        <f aca="false">MAX(0,(C3389*'Model Inputs &amp; Assumptions'!$N$34+E3389*'Model Inputs &amp; Assumptions'!$O$34+G3389*'Model Inputs &amp; Assumptions'!$P$34)*EXP('Model Inputs &amp; Assumptions'!$Q$34*S3389-'Model Inputs &amp; Assumptions'!$Q$34^2/2))</f>
        <v>36.2563861539589</v>
      </c>
      <c r="I3389" s="49" t="n">
        <f aca="false">IF('Model Inputs &amp; Assumptions'!$H$34="Fixed",'Model Inputs &amp; Assumptions'!$I$34*'Model Inputs &amp; Assumptions'!$K$34,IF('Model Inputs &amp; Assumptions'!$H$34="CPM",'Model Inputs &amp; Assumptions'!$I$34*'Model Inputs &amp; Assumptions'!$K$34*C3389/1000,IF('Model Inputs &amp; Assumptions'!$H$34="CPC",'Model Inputs &amp; Assumptions'!$I$34*'Model Inputs &amp; Assumptions'!$K$34*G3389,0)))</f>
        <v>4623.15</v>
      </c>
      <c r="J3389" s="50" t="n">
        <f aca="false">H3389*INDEX('Model Inputs &amp; Assumptions'!$D$40:$D$42,MATCH('Model Inputs &amp; Assumptions'!$L$34,'Model Inputs &amp; Assumptions'!$A$40:$A$42,0))*INDEX('Model Inputs &amp; Assumptions'!$H$40:$H$42,MATCH('Model Inputs &amp; Assumptions'!$L$34,'Model Inputs &amp; Assumptions'!$A$40:$A$42,0))</f>
        <v>261045.980308504</v>
      </c>
      <c r="K3389" s="49" t="n">
        <f aca="false">H3389*INDEX('Model Inputs &amp; Assumptions'!$G$40:$G$42,MATCH('Model Inputs &amp; Assumptions'!$L$34,'Model Inputs &amp; Assumptions'!$A$40:$A$42,0))*INDEX('Model Inputs &amp; Assumptions'!$H$40:$H$42,MATCH('Model Inputs &amp; Assumptions'!$L$34,'Model Inputs &amp; Assumptions'!$A$40:$A$42,0))</f>
        <v>5756.06386580252</v>
      </c>
      <c r="L3389" s="51" t="n">
        <f aca="false">IFERROR(K3389/I3389,0)</f>
        <v>1.24505237031083</v>
      </c>
      <c r="M3389" s="49" t="n">
        <f aca="false">IFERROR(I3389/H3389,0)</f>
        <v>127.512708529975</v>
      </c>
      <c r="N3389" s="52" t="str">
        <f aca="false">'Model Inputs &amp; Assumptions'!$L$34</f>
        <v>PRD-USIQ</v>
      </c>
      <c r="P3389" s="53" t="n">
        <v>-0.911368</v>
      </c>
      <c r="Q3389" s="53" t="n">
        <v>0.880784</v>
      </c>
      <c r="R3389" s="53" t="n">
        <v>-0.018747</v>
      </c>
      <c r="S3389" s="53" t="n">
        <v>-1.354432</v>
      </c>
    </row>
    <row r="3390" customFormat="false" ht="15" hidden="false" customHeight="false" outlineLevel="0" collapsed="false">
      <c r="A3390" s="43" t="n">
        <v>387</v>
      </c>
      <c r="B3390" s="44" t="str">
        <f aca="false">'Model Inputs &amp; Assumptions'!$B$34</f>
        <v>Meta — Lookalike Feed Video</v>
      </c>
      <c r="C3390" s="45" t="n">
        <f aca="false">ROUND(MAX(0,'Model Inputs &amp; Assumptions'!$S$34*EXP('Model Inputs &amp; Assumptions'!$T$34*P3390-'Model Inputs &amp; Assumptions'!$T$34^2/2)),0)</f>
        <v>436083</v>
      </c>
      <c r="D3390" s="46" t="n">
        <f aca="false">MIN(1,'Model Inputs &amp; Assumptions'!$U$34*EXP('Model Inputs &amp; Assumptions'!$V$34*Q3390-'Model Inputs &amp; Assumptions'!$V$34^2/2))</f>
        <v>0.267933289278721</v>
      </c>
      <c r="E3390" s="45" t="n">
        <f aca="false">ROUND(C3390*D3390,0)</f>
        <v>116841</v>
      </c>
      <c r="F3390" s="47" t="n">
        <f aca="false">MIN(1,'Model Inputs &amp; Assumptions'!$W$34*EXP('Model Inputs &amp; Assumptions'!$X$34*R3390-'Model Inputs &amp; Assumptions'!$X$34^2/2))</f>
        <v>0.0047042579679969</v>
      </c>
      <c r="G3390" s="45" t="n">
        <f aca="false">ROUND(C3390*F3390,0)</f>
        <v>2051</v>
      </c>
      <c r="H3390" s="48" t="n">
        <f aca="false">MAX(0,(C3390*'Model Inputs &amp; Assumptions'!$N$34+E3390*'Model Inputs &amp; Assumptions'!$O$34+G3390*'Model Inputs &amp; Assumptions'!$P$34)*EXP('Model Inputs &amp; Assumptions'!$Q$34*S3390-'Model Inputs &amp; Assumptions'!$Q$34^2/2))</f>
        <v>39.5300869895698</v>
      </c>
      <c r="I3390" s="49" t="n">
        <f aca="false">IF('Model Inputs &amp; Assumptions'!$H$34="Fixed",'Model Inputs &amp; Assumptions'!$I$34*'Model Inputs &amp; Assumptions'!$K$34,IF('Model Inputs &amp; Assumptions'!$H$34="CPM",'Model Inputs &amp; Assumptions'!$I$34*'Model Inputs &amp; Assumptions'!$K$34*C3390/1000,IF('Model Inputs &amp; Assumptions'!$H$34="CPC",'Model Inputs &amp; Assumptions'!$I$34*'Model Inputs &amp; Assumptions'!$K$34*G3390,0)))</f>
        <v>3794.35</v>
      </c>
      <c r="J3390" s="50" t="n">
        <f aca="false">H3390*INDEX('Model Inputs &amp; Assumptions'!$D$40:$D$42,MATCH('Model Inputs &amp; Assumptions'!$L$34,'Model Inputs &amp; Assumptions'!$A$40:$A$42,0))*INDEX('Model Inputs &amp; Assumptions'!$H$40:$H$42,MATCH('Model Inputs &amp; Assumptions'!$L$34,'Model Inputs &amp; Assumptions'!$A$40:$A$42,0))</f>
        <v>284616.626324903</v>
      </c>
      <c r="K3390" s="49" t="n">
        <f aca="false">H3390*INDEX('Model Inputs &amp; Assumptions'!$G$40:$G$42,MATCH('Model Inputs &amp; Assumptions'!$L$34,'Model Inputs &amp; Assumptions'!$A$40:$A$42,0))*INDEX('Model Inputs &amp; Assumptions'!$H$40:$H$42,MATCH('Model Inputs &amp; Assumptions'!$L$34,'Model Inputs &amp; Assumptions'!$A$40:$A$42,0))</f>
        <v>6275.7966104641</v>
      </c>
      <c r="L3390" s="51" t="n">
        <f aca="false">IFERROR(K3390/I3390,0)</f>
        <v>1.65398463780729</v>
      </c>
      <c r="M3390" s="49" t="n">
        <f aca="false">IFERROR(I3390/H3390,0)</f>
        <v>95.986381234151</v>
      </c>
      <c r="N3390" s="52" t="str">
        <f aca="false">'Model Inputs &amp; Assumptions'!$L$34</f>
        <v>PRD-USIQ</v>
      </c>
      <c r="P3390" s="53" t="n">
        <v>-0.779985</v>
      </c>
      <c r="Q3390" s="53" t="n">
        <v>1.034117</v>
      </c>
      <c r="R3390" s="53" t="n">
        <v>-1.261619</v>
      </c>
      <c r="S3390" s="53" t="n">
        <v>-0.597124</v>
      </c>
    </row>
    <row r="3391" customFormat="false" ht="15" hidden="false" customHeight="false" outlineLevel="0" collapsed="false">
      <c r="A3391" s="43" t="n">
        <v>388</v>
      </c>
      <c r="B3391" s="44" t="str">
        <f aca="false">'Model Inputs &amp; Assumptions'!$B$34</f>
        <v>Meta — Lookalike Feed Video</v>
      </c>
      <c r="C3391" s="45" t="n">
        <f aca="false">ROUND(MAX(0,'Model Inputs &amp; Assumptions'!$S$34*EXP('Model Inputs &amp; Assumptions'!$T$34*P3391-'Model Inputs &amp; Assumptions'!$T$34^2/2)),0)</f>
        <v>522292</v>
      </c>
      <c r="D3391" s="46" t="n">
        <f aca="false">MIN(1,'Model Inputs &amp; Assumptions'!$U$34*EXP('Model Inputs &amp; Assumptions'!$V$34*Q3391-'Model Inputs &amp; Assumptions'!$V$34^2/2))</f>
        <v>0.24387168087894</v>
      </c>
      <c r="E3391" s="45" t="n">
        <f aca="false">ROUND(C3391*D3391,0)</f>
        <v>127372</v>
      </c>
      <c r="F3391" s="47" t="n">
        <f aca="false">MIN(1,'Model Inputs &amp; Assumptions'!$W$34*EXP('Model Inputs &amp; Assumptions'!$X$34*R3391-'Model Inputs &amp; Assumptions'!$X$34^2/2))</f>
        <v>0.00632253028273626</v>
      </c>
      <c r="G3391" s="45" t="n">
        <f aca="false">ROUND(C3391*F3391,0)</f>
        <v>3302</v>
      </c>
      <c r="H3391" s="48" t="n">
        <f aca="false">MAX(0,(C3391*'Model Inputs &amp; Assumptions'!$N$34+E3391*'Model Inputs &amp; Assumptions'!$O$34+G3391*'Model Inputs &amp; Assumptions'!$P$34)*EXP('Model Inputs &amp; Assumptions'!$Q$34*S3391-'Model Inputs &amp; Assumptions'!$Q$34^2/2))</f>
        <v>53.3421239810567</v>
      </c>
      <c r="I3391" s="49" t="n">
        <f aca="false">IF('Model Inputs &amp; Assumptions'!$H$34="Fixed",'Model Inputs &amp; Assumptions'!$I$34*'Model Inputs &amp; Assumptions'!$K$34,IF('Model Inputs &amp; Assumptions'!$H$34="CPM",'Model Inputs &amp; Assumptions'!$I$34*'Model Inputs &amp; Assumptions'!$K$34*C3391/1000,IF('Model Inputs &amp; Assumptions'!$H$34="CPC",'Model Inputs &amp; Assumptions'!$I$34*'Model Inputs &amp; Assumptions'!$K$34*G3391,0)))</f>
        <v>6108.7</v>
      </c>
      <c r="J3391" s="50" t="n">
        <f aca="false">H3391*INDEX('Model Inputs &amp; Assumptions'!$D$40:$D$42,MATCH('Model Inputs &amp; Assumptions'!$L$34,'Model Inputs &amp; Assumptions'!$A$40:$A$42,0))*INDEX('Model Inputs &amp; Assumptions'!$H$40:$H$42,MATCH('Model Inputs &amp; Assumptions'!$L$34,'Model Inputs &amp; Assumptions'!$A$40:$A$42,0))</f>
        <v>384063.292663609</v>
      </c>
      <c r="K3391" s="49" t="n">
        <f aca="false">H3391*INDEX('Model Inputs &amp; Assumptions'!$G$40:$G$42,MATCH('Model Inputs &amp; Assumptions'!$L$34,'Model Inputs &amp; Assumptions'!$A$40:$A$42,0))*INDEX('Model Inputs &amp; Assumptions'!$H$40:$H$42,MATCH('Model Inputs &amp; Assumptions'!$L$34,'Model Inputs &amp; Assumptions'!$A$40:$A$42,0))</f>
        <v>8468.59560323257</v>
      </c>
      <c r="L3391" s="51" t="n">
        <f aca="false">IFERROR(K3391/I3391,0)</f>
        <v>1.38631715475184</v>
      </c>
      <c r="M3391" s="49" t="n">
        <f aca="false">IFERROR(I3391/H3391,0)</f>
        <v>114.519249405392</v>
      </c>
      <c r="N3391" s="52" t="str">
        <f aca="false">'Model Inputs &amp; Assumptions'!$L$34</f>
        <v>PRD-USIQ</v>
      </c>
      <c r="P3391" s="53" t="n">
        <v>0.121992</v>
      </c>
      <c r="Q3391" s="53" t="n">
        <v>0.446018</v>
      </c>
      <c r="R3391" s="53" t="n">
        <v>0.380889</v>
      </c>
      <c r="S3391" s="53" t="n">
        <v>-0.955705</v>
      </c>
    </row>
    <row r="3392" customFormat="false" ht="15" hidden="false" customHeight="false" outlineLevel="0" collapsed="false">
      <c r="A3392" s="43" t="n">
        <v>389</v>
      </c>
      <c r="B3392" s="44" t="str">
        <f aca="false">'Model Inputs &amp; Assumptions'!$B$34</f>
        <v>Meta — Lookalike Feed Video</v>
      </c>
      <c r="C3392" s="45" t="n">
        <f aca="false">ROUND(MAX(0,'Model Inputs &amp; Assumptions'!$S$34*EXP('Model Inputs &amp; Assumptions'!$T$34*P3392-'Model Inputs &amp; Assumptions'!$T$34^2/2)),0)</f>
        <v>510229</v>
      </c>
      <c r="D3392" s="46" t="n">
        <f aca="false">MIN(1,'Model Inputs &amp; Assumptions'!$U$34*EXP('Model Inputs &amp; Assumptions'!$V$34*Q3392-'Model Inputs &amp; Assumptions'!$V$34^2/2))</f>
        <v>0.247570202665837</v>
      </c>
      <c r="E3392" s="45" t="n">
        <f aca="false">ROUND(C3392*D3392,0)</f>
        <v>126317</v>
      </c>
      <c r="F3392" s="47" t="n">
        <f aca="false">MIN(1,'Model Inputs &amp; Assumptions'!$W$34*EXP('Model Inputs &amp; Assumptions'!$X$34*R3392-'Model Inputs &amp; Assumptions'!$X$34^2/2))</f>
        <v>0.00334882249235254</v>
      </c>
      <c r="G3392" s="45" t="n">
        <f aca="false">ROUND(C3392*F3392,0)</f>
        <v>1709</v>
      </c>
      <c r="H3392" s="48" t="n">
        <f aca="false">MAX(0,(C3392*'Model Inputs &amp; Assumptions'!$N$34+E3392*'Model Inputs &amp; Assumptions'!$O$34+G3392*'Model Inputs &amp; Assumptions'!$P$34)*EXP('Model Inputs &amp; Assumptions'!$Q$34*S3392-'Model Inputs &amp; Assumptions'!$Q$34^2/2))</f>
        <v>85.3883221433197</v>
      </c>
      <c r="I3392" s="49" t="n">
        <f aca="false">IF('Model Inputs &amp; Assumptions'!$H$34="Fixed",'Model Inputs &amp; Assumptions'!$I$34*'Model Inputs &amp; Assumptions'!$K$34,IF('Model Inputs &amp; Assumptions'!$H$34="CPM",'Model Inputs &amp; Assumptions'!$I$34*'Model Inputs &amp; Assumptions'!$K$34*C3392/1000,IF('Model Inputs &amp; Assumptions'!$H$34="CPC",'Model Inputs &amp; Assumptions'!$I$34*'Model Inputs &amp; Assumptions'!$K$34*G3392,0)))</f>
        <v>3161.65</v>
      </c>
      <c r="J3392" s="50" t="n">
        <f aca="false">H3392*INDEX('Model Inputs &amp; Assumptions'!$D$40:$D$42,MATCH('Model Inputs &amp; Assumptions'!$L$34,'Model Inputs &amp; Assumptions'!$A$40:$A$42,0))*INDEX('Model Inputs &amp; Assumptions'!$H$40:$H$42,MATCH('Model Inputs &amp; Assumptions'!$L$34,'Model Inputs &amp; Assumptions'!$A$40:$A$42,0))</f>
        <v>614795.919431902</v>
      </c>
      <c r="K3392" s="49" t="n">
        <f aca="false">H3392*INDEX('Model Inputs &amp; Assumptions'!$G$40:$G$42,MATCH('Model Inputs &amp; Assumptions'!$L$34,'Model Inputs &amp; Assumptions'!$A$40:$A$42,0))*INDEX('Model Inputs &amp; Assumptions'!$H$40:$H$42,MATCH('Model Inputs &amp; Assumptions'!$L$34,'Model Inputs &amp; Assumptions'!$A$40:$A$42,0))</f>
        <v>13556.2500234734</v>
      </c>
      <c r="L3392" s="51" t="n">
        <f aca="false">IFERROR(K3392/I3392,0)</f>
        <v>4.28771370122355</v>
      </c>
      <c r="M3392" s="49" t="n">
        <f aca="false">IFERROR(I3392/H3392,0)</f>
        <v>37.0267259109898</v>
      </c>
      <c r="N3392" s="52" t="str">
        <f aca="false">'Model Inputs &amp; Assumptions'!$L$34</f>
        <v>PRD-USIQ</v>
      </c>
      <c r="P3392" s="53" t="n">
        <v>0.005158</v>
      </c>
      <c r="Q3392" s="53" t="n">
        <v>0.540093</v>
      </c>
      <c r="R3392" s="53" t="n">
        <v>-3.149726</v>
      </c>
      <c r="S3392" s="53" t="n">
        <v>2.211735</v>
      </c>
    </row>
    <row r="3393" customFormat="false" ht="15" hidden="false" customHeight="false" outlineLevel="0" collapsed="false">
      <c r="A3393" s="43" t="n">
        <v>390</v>
      </c>
      <c r="B3393" s="44" t="str">
        <f aca="false">'Model Inputs &amp; Assumptions'!$B$34</f>
        <v>Meta — Lookalike Feed Video</v>
      </c>
      <c r="C3393" s="45" t="n">
        <f aca="false">ROUND(MAX(0,'Model Inputs &amp; Assumptions'!$S$34*EXP('Model Inputs &amp; Assumptions'!$T$34*P3393-'Model Inputs &amp; Assumptions'!$T$34^2/2)),0)</f>
        <v>524656</v>
      </c>
      <c r="D3393" s="46" t="n">
        <f aca="false">MIN(1,'Model Inputs &amp; Assumptions'!$U$34*EXP('Model Inputs &amp; Assumptions'!$V$34*Q3393-'Model Inputs &amp; Assumptions'!$V$34^2/2))</f>
        <v>0.263257402143639</v>
      </c>
      <c r="E3393" s="45" t="n">
        <f aca="false">ROUND(C3393*D3393,0)</f>
        <v>138120</v>
      </c>
      <c r="F3393" s="47" t="n">
        <f aca="false">MIN(1,'Model Inputs &amp; Assumptions'!$W$34*EXP('Model Inputs &amp; Assumptions'!$X$34*R3393-'Model Inputs &amp; Assumptions'!$X$34^2/2))</f>
        <v>0.00573615112224942</v>
      </c>
      <c r="G3393" s="45" t="n">
        <f aca="false">ROUND(C3393*F3393,0)</f>
        <v>3010</v>
      </c>
      <c r="H3393" s="48" t="n">
        <f aca="false">MAX(0,(C3393*'Model Inputs &amp; Assumptions'!$N$34+E3393*'Model Inputs &amp; Assumptions'!$O$34+G3393*'Model Inputs &amp; Assumptions'!$P$34)*EXP('Model Inputs &amp; Assumptions'!$Q$34*S3393-'Model Inputs &amp; Assumptions'!$Q$34^2/2))</f>
        <v>56.4638564780109</v>
      </c>
      <c r="I3393" s="49" t="n">
        <f aca="false">IF('Model Inputs &amp; Assumptions'!$H$34="Fixed",'Model Inputs &amp; Assumptions'!$I$34*'Model Inputs &amp; Assumptions'!$K$34,IF('Model Inputs &amp; Assumptions'!$H$34="CPM",'Model Inputs &amp; Assumptions'!$I$34*'Model Inputs &amp; Assumptions'!$K$34*C3393/1000,IF('Model Inputs &amp; Assumptions'!$H$34="CPC",'Model Inputs &amp; Assumptions'!$I$34*'Model Inputs &amp; Assumptions'!$K$34*G3393,0)))</f>
        <v>5568.5</v>
      </c>
      <c r="J3393" s="50" t="n">
        <f aca="false">H3393*INDEX('Model Inputs &amp; Assumptions'!$D$40:$D$42,MATCH('Model Inputs &amp; Assumptions'!$L$34,'Model Inputs &amp; Assumptions'!$A$40:$A$42,0))*INDEX('Model Inputs &amp; Assumptions'!$H$40:$H$42,MATCH('Model Inputs &amp; Assumptions'!$L$34,'Model Inputs &amp; Assumptions'!$A$40:$A$42,0))</f>
        <v>406539.766641679</v>
      </c>
      <c r="K3393" s="49" t="n">
        <f aca="false">H3393*INDEX('Model Inputs &amp; Assumptions'!$G$40:$G$42,MATCH('Model Inputs &amp; Assumptions'!$L$34,'Model Inputs &amp; Assumptions'!$A$40:$A$42,0))*INDEX('Model Inputs &amp; Assumptions'!$H$40:$H$42,MATCH('Model Inputs &amp; Assumptions'!$L$34,'Model Inputs &amp; Assumptions'!$A$40:$A$42,0))</f>
        <v>8964.20185444901</v>
      </c>
      <c r="L3393" s="51" t="n">
        <f aca="false">IFERROR(K3393/I3393,0)</f>
        <v>1.60980548701608</v>
      </c>
      <c r="M3393" s="49" t="n">
        <f aca="false">IFERROR(I3393/H3393,0)</f>
        <v>98.6206105523199</v>
      </c>
      <c r="N3393" s="52" t="str">
        <f aca="false">'Model Inputs &amp; Assumptions'!$L$34</f>
        <v>PRD-USIQ</v>
      </c>
      <c r="P3393" s="53" t="n">
        <v>0.144571</v>
      </c>
      <c r="Q3393" s="53" t="n">
        <v>0.924081</v>
      </c>
      <c r="R3393" s="53" t="n">
        <v>-0.159839</v>
      </c>
      <c r="S3393" s="53" t="n">
        <v>-0.566839</v>
      </c>
    </row>
    <row r="3394" customFormat="false" ht="15" hidden="false" customHeight="false" outlineLevel="0" collapsed="false">
      <c r="A3394" s="43" t="n">
        <v>391</v>
      </c>
      <c r="B3394" s="44" t="str">
        <f aca="false">'Model Inputs &amp; Assumptions'!$B$34</f>
        <v>Meta — Lookalike Feed Video</v>
      </c>
      <c r="C3394" s="45" t="n">
        <f aca="false">ROUND(MAX(0,'Model Inputs &amp; Assumptions'!$S$34*EXP('Model Inputs &amp; Assumptions'!$T$34*P3394-'Model Inputs &amp; Assumptions'!$T$34^2/2)),0)</f>
        <v>504239</v>
      </c>
      <c r="D3394" s="46" t="n">
        <f aca="false">MIN(1,'Model Inputs &amp; Assumptions'!$U$34*EXP('Model Inputs &amp; Assumptions'!$V$34*Q3394-'Model Inputs &amp; Assumptions'!$V$34^2/2))</f>
        <v>0.222284948121564</v>
      </c>
      <c r="E3394" s="45" t="n">
        <f aca="false">ROUND(C3394*D3394,0)</f>
        <v>112085</v>
      </c>
      <c r="F3394" s="47" t="n">
        <f aca="false">MIN(1,'Model Inputs &amp; Assumptions'!$W$34*EXP('Model Inputs &amp; Assumptions'!$X$34*R3394-'Model Inputs &amp; Assumptions'!$X$34^2/2))</f>
        <v>0.00504432368954208</v>
      </c>
      <c r="G3394" s="45" t="n">
        <f aca="false">ROUND(C3394*F3394,0)</f>
        <v>2544</v>
      </c>
      <c r="H3394" s="48" t="n">
        <f aca="false">MAX(0,(C3394*'Model Inputs &amp; Assumptions'!$N$34+E3394*'Model Inputs &amp; Assumptions'!$O$34+G3394*'Model Inputs &amp; Assumptions'!$P$34)*EXP('Model Inputs &amp; Assumptions'!$Q$34*S3394-'Model Inputs &amp; Assumptions'!$Q$34^2/2))</f>
        <v>63.0933971845615</v>
      </c>
      <c r="I3394" s="49" t="n">
        <f aca="false">IF('Model Inputs &amp; Assumptions'!$H$34="Fixed",'Model Inputs &amp; Assumptions'!$I$34*'Model Inputs &amp; Assumptions'!$K$34,IF('Model Inputs &amp; Assumptions'!$H$34="CPM",'Model Inputs &amp; Assumptions'!$I$34*'Model Inputs &amp; Assumptions'!$K$34*C3394/1000,IF('Model Inputs &amp; Assumptions'!$H$34="CPC",'Model Inputs &amp; Assumptions'!$I$34*'Model Inputs &amp; Assumptions'!$K$34*G3394,0)))</f>
        <v>4706.4</v>
      </c>
      <c r="J3394" s="50" t="n">
        <f aca="false">H3394*INDEX('Model Inputs &amp; Assumptions'!$D$40:$D$42,MATCH('Model Inputs &amp; Assumptions'!$L$34,'Model Inputs &amp; Assumptions'!$A$40:$A$42,0))*INDEX('Model Inputs &amp; Assumptions'!$H$40:$H$42,MATCH('Model Inputs &amp; Assumptions'!$L$34,'Model Inputs &amp; Assumptions'!$A$40:$A$42,0))</f>
        <v>454272.459728843</v>
      </c>
      <c r="K3394" s="49" t="n">
        <f aca="false">H3394*INDEX('Model Inputs &amp; Assumptions'!$G$40:$G$42,MATCH('Model Inputs &amp; Assumptions'!$L$34,'Model Inputs &amp; Assumptions'!$A$40:$A$42,0))*INDEX('Model Inputs &amp; Assumptions'!$H$40:$H$42,MATCH('Model Inputs &amp; Assumptions'!$L$34,'Model Inputs &amp; Assumptions'!$A$40:$A$42,0))</f>
        <v>10016.707737021</v>
      </c>
      <c r="L3394" s="51" t="n">
        <f aca="false">IFERROR(K3394/I3394,0)</f>
        <v>2.12831627932623</v>
      </c>
      <c r="M3394" s="49" t="n">
        <f aca="false">IFERROR(I3394/H3394,0)</f>
        <v>74.5941764117216</v>
      </c>
      <c r="N3394" s="52" t="str">
        <f aca="false">'Model Inputs &amp; Assumptions'!$L$34</f>
        <v>PRD-USIQ</v>
      </c>
      <c r="P3394" s="53" t="n">
        <v>-0.053895</v>
      </c>
      <c r="Q3394" s="53" t="n">
        <v>-0.133245</v>
      </c>
      <c r="R3394" s="53" t="n">
        <v>-0.873866</v>
      </c>
      <c r="S3394" s="53" t="n">
        <v>0.325088</v>
      </c>
    </row>
    <row r="3395" customFormat="false" ht="15" hidden="false" customHeight="false" outlineLevel="0" collapsed="false">
      <c r="A3395" s="43" t="n">
        <v>392</v>
      </c>
      <c r="B3395" s="44" t="str">
        <f aca="false">'Model Inputs &amp; Assumptions'!$B$34</f>
        <v>Meta — Lookalike Feed Video</v>
      </c>
      <c r="C3395" s="45" t="n">
        <f aca="false">ROUND(MAX(0,'Model Inputs &amp; Assumptions'!$S$34*EXP('Model Inputs &amp; Assumptions'!$T$34*P3395-'Model Inputs &amp; Assumptions'!$T$34^2/2)),0)</f>
        <v>593656</v>
      </c>
      <c r="D3395" s="46" t="n">
        <f aca="false">MIN(1,'Model Inputs &amp; Assumptions'!$U$34*EXP('Model Inputs &amp; Assumptions'!$V$34*Q3395-'Model Inputs &amp; Assumptions'!$V$34^2/2))</f>
        <v>0.26053408806373</v>
      </c>
      <c r="E3395" s="45" t="n">
        <f aca="false">ROUND(C3395*D3395,0)</f>
        <v>154668</v>
      </c>
      <c r="F3395" s="47" t="n">
        <f aca="false">MIN(1,'Model Inputs &amp; Assumptions'!$W$34*EXP('Model Inputs &amp; Assumptions'!$X$34*R3395-'Model Inputs &amp; Assumptions'!$X$34^2/2))</f>
        <v>0.00667669636600449</v>
      </c>
      <c r="G3395" s="45" t="n">
        <f aca="false">ROUND(C3395*F3395,0)</f>
        <v>3964</v>
      </c>
      <c r="H3395" s="48" t="n">
        <f aca="false">MAX(0,(C3395*'Model Inputs &amp; Assumptions'!$N$34+E3395*'Model Inputs &amp; Assumptions'!$O$34+G3395*'Model Inputs &amp; Assumptions'!$P$34)*EXP('Model Inputs &amp; Assumptions'!$Q$34*S3395-'Model Inputs &amp; Assumptions'!$Q$34^2/2))</f>
        <v>79.5640746657269</v>
      </c>
      <c r="I3395" s="49" t="n">
        <f aca="false">IF('Model Inputs &amp; Assumptions'!$H$34="Fixed",'Model Inputs &amp; Assumptions'!$I$34*'Model Inputs &amp; Assumptions'!$K$34,IF('Model Inputs &amp; Assumptions'!$H$34="CPM",'Model Inputs &amp; Assumptions'!$I$34*'Model Inputs &amp; Assumptions'!$K$34*C3395/1000,IF('Model Inputs &amp; Assumptions'!$H$34="CPC",'Model Inputs &amp; Assumptions'!$I$34*'Model Inputs &amp; Assumptions'!$K$34*G3395,0)))</f>
        <v>7333.4</v>
      </c>
      <c r="J3395" s="50" t="n">
        <f aca="false">H3395*INDEX('Model Inputs &amp; Assumptions'!$D$40:$D$42,MATCH('Model Inputs &amp; Assumptions'!$L$34,'Model Inputs &amp; Assumptions'!$A$40:$A$42,0))*INDEX('Model Inputs &amp; Assumptions'!$H$40:$H$42,MATCH('Model Inputs &amp; Assumptions'!$L$34,'Model Inputs &amp; Assumptions'!$A$40:$A$42,0))</f>
        <v>572861.337593233</v>
      </c>
      <c r="K3395" s="49" t="n">
        <f aca="false">H3395*INDEX('Model Inputs &amp; Assumptions'!$G$40:$G$42,MATCH('Model Inputs &amp; Assumptions'!$L$34,'Model Inputs &amp; Assumptions'!$A$40:$A$42,0))*INDEX('Model Inputs &amp; Assumptions'!$H$40:$H$42,MATCH('Model Inputs &amp; Assumptions'!$L$34,'Model Inputs &amp; Assumptions'!$A$40:$A$42,0))</f>
        <v>12631.5924939308</v>
      </c>
      <c r="L3395" s="51" t="n">
        <f aca="false">IFERROR(K3395/I3395,0)</f>
        <v>1.72247422667941</v>
      </c>
      <c r="M3395" s="49" t="n">
        <f aca="false">IFERROR(I3395/H3395,0)</f>
        <v>92.1697390538364</v>
      </c>
      <c r="N3395" s="52" t="str">
        <f aca="false">'Model Inputs &amp; Assumptions'!$L$34</f>
        <v>PRD-USIQ</v>
      </c>
      <c r="P3395" s="53" t="n">
        <v>0.762356</v>
      </c>
      <c r="Q3395" s="53" t="n">
        <v>0.85909</v>
      </c>
      <c r="R3395" s="53" t="n">
        <v>0.683688</v>
      </c>
      <c r="S3395" s="53" t="n">
        <v>-0.282037</v>
      </c>
    </row>
    <row r="3396" customFormat="false" ht="15" hidden="false" customHeight="false" outlineLevel="0" collapsed="false">
      <c r="A3396" s="43" t="n">
        <v>393</v>
      </c>
      <c r="B3396" s="44" t="str">
        <f aca="false">'Model Inputs &amp; Assumptions'!$B$34</f>
        <v>Meta — Lookalike Feed Video</v>
      </c>
      <c r="C3396" s="45" t="n">
        <f aca="false">ROUND(MAX(0,'Model Inputs &amp; Assumptions'!$S$34*EXP('Model Inputs &amp; Assumptions'!$T$34*P3396-'Model Inputs &amp; Assumptions'!$T$34^2/2)),0)</f>
        <v>579031</v>
      </c>
      <c r="D3396" s="46" t="n">
        <f aca="false">MIN(1,'Model Inputs &amp; Assumptions'!$U$34*EXP('Model Inputs &amp; Assumptions'!$V$34*Q3396-'Model Inputs &amp; Assumptions'!$V$34^2/2))</f>
        <v>0.179785549494768</v>
      </c>
      <c r="E3396" s="45" t="n">
        <f aca="false">ROUND(C3396*D3396,0)</f>
        <v>104101</v>
      </c>
      <c r="F3396" s="47" t="n">
        <f aca="false">MIN(1,'Model Inputs &amp; Assumptions'!$W$34*EXP('Model Inputs &amp; Assumptions'!$X$34*R3396-'Model Inputs &amp; Assumptions'!$X$34^2/2))</f>
        <v>0.00643547432961885</v>
      </c>
      <c r="G3396" s="45" t="n">
        <f aca="false">ROUND(C3396*F3396,0)</f>
        <v>3726</v>
      </c>
      <c r="H3396" s="48" t="n">
        <f aca="false">MAX(0,(C3396*'Model Inputs &amp; Assumptions'!$N$34+E3396*'Model Inputs &amp; Assumptions'!$O$34+G3396*'Model Inputs &amp; Assumptions'!$P$34)*EXP('Model Inputs &amp; Assumptions'!$Q$34*S3396-'Model Inputs &amp; Assumptions'!$Q$34^2/2))</f>
        <v>83.7215096203893</v>
      </c>
      <c r="I3396" s="49" t="n">
        <f aca="false">IF('Model Inputs &amp; Assumptions'!$H$34="Fixed",'Model Inputs &amp; Assumptions'!$I$34*'Model Inputs &amp; Assumptions'!$K$34,IF('Model Inputs &amp; Assumptions'!$H$34="CPM",'Model Inputs &amp; Assumptions'!$I$34*'Model Inputs &amp; Assumptions'!$K$34*C3396/1000,IF('Model Inputs &amp; Assumptions'!$H$34="CPC",'Model Inputs &amp; Assumptions'!$I$34*'Model Inputs &amp; Assumptions'!$K$34*G3396,0)))</f>
        <v>6893.1</v>
      </c>
      <c r="J3396" s="50" t="n">
        <f aca="false">H3396*INDEX('Model Inputs &amp; Assumptions'!$D$40:$D$42,MATCH('Model Inputs &amp; Assumptions'!$L$34,'Model Inputs &amp; Assumptions'!$A$40:$A$42,0))*INDEX('Model Inputs &amp; Assumptions'!$H$40:$H$42,MATCH('Model Inputs &amp; Assumptions'!$L$34,'Model Inputs &amp; Assumptions'!$A$40:$A$42,0))</f>
        <v>602794.869266803</v>
      </c>
      <c r="K3396" s="49" t="n">
        <f aca="false">H3396*INDEX('Model Inputs &amp; Assumptions'!$G$40:$G$42,MATCH('Model Inputs &amp; Assumptions'!$L$34,'Model Inputs &amp; Assumptions'!$A$40:$A$42,0))*INDEX('Model Inputs &amp; Assumptions'!$H$40:$H$42,MATCH('Model Inputs &amp; Assumptions'!$L$34,'Model Inputs &amp; Assumptions'!$A$40:$A$42,0))</f>
        <v>13291.626867333</v>
      </c>
      <c r="L3396" s="51" t="n">
        <f aca="false">IFERROR(K3396/I3396,0)</f>
        <v>1.92825098538147</v>
      </c>
      <c r="M3396" s="49" t="n">
        <f aca="false">IFERROR(I3396/H3396,0)</f>
        <v>82.3336802125851</v>
      </c>
      <c r="N3396" s="52" t="str">
        <f aca="false">'Model Inputs &amp; Assumptions'!$L$34</f>
        <v>PRD-USIQ</v>
      </c>
      <c r="P3396" s="53" t="n">
        <v>0.63764</v>
      </c>
      <c r="Q3396" s="53" t="n">
        <v>-1.459466</v>
      </c>
      <c r="R3396" s="53" t="n">
        <v>0.479256</v>
      </c>
      <c r="S3396" s="53" t="n">
        <v>0.192773</v>
      </c>
    </row>
    <row r="3397" customFormat="false" ht="15" hidden="false" customHeight="false" outlineLevel="0" collapsed="false">
      <c r="A3397" s="43" t="n">
        <v>394</v>
      </c>
      <c r="B3397" s="44" t="str">
        <f aca="false">'Model Inputs &amp; Assumptions'!$B$34</f>
        <v>Meta — Lookalike Feed Video</v>
      </c>
      <c r="C3397" s="45" t="n">
        <f aca="false">ROUND(MAX(0,'Model Inputs &amp; Assumptions'!$S$34*EXP('Model Inputs &amp; Assumptions'!$T$34*P3397-'Model Inputs &amp; Assumptions'!$T$34^2/2)),0)</f>
        <v>489043</v>
      </c>
      <c r="D3397" s="46" t="n">
        <f aca="false">MIN(1,'Model Inputs &amp; Assumptions'!$U$34*EXP('Model Inputs &amp; Assumptions'!$V$34*Q3397-'Model Inputs &amp; Assumptions'!$V$34^2/2))</f>
        <v>0.231239143652556</v>
      </c>
      <c r="E3397" s="45" t="n">
        <f aca="false">ROUND(C3397*D3397,0)</f>
        <v>113086</v>
      </c>
      <c r="F3397" s="47" t="n">
        <f aca="false">MIN(1,'Model Inputs &amp; Assumptions'!$W$34*EXP('Model Inputs &amp; Assumptions'!$X$34*R3397-'Model Inputs &amp; Assumptions'!$X$34^2/2))</f>
        <v>0.00442365620223478</v>
      </c>
      <c r="G3397" s="45" t="n">
        <f aca="false">ROUND(C3397*F3397,0)</f>
        <v>2163</v>
      </c>
      <c r="H3397" s="48" t="n">
        <f aca="false">MAX(0,(C3397*'Model Inputs &amp; Assumptions'!$N$34+E3397*'Model Inputs &amp; Assumptions'!$O$34+G3397*'Model Inputs &amp; Assumptions'!$P$34)*EXP('Model Inputs &amp; Assumptions'!$Q$34*S3397-'Model Inputs &amp; Assumptions'!$Q$34^2/2))</f>
        <v>41.3738165876197</v>
      </c>
      <c r="I3397" s="49" t="n">
        <f aca="false">IF('Model Inputs &amp; Assumptions'!$H$34="Fixed",'Model Inputs &amp; Assumptions'!$I$34*'Model Inputs &amp; Assumptions'!$K$34,IF('Model Inputs &amp; Assumptions'!$H$34="CPM",'Model Inputs &amp; Assumptions'!$I$34*'Model Inputs &amp; Assumptions'!$K$34*C3397/1000,IF('Model Inputs &amp; Assumptions'!$H$34="CPC",'Model Inputs &amp; Assumptions'!$I$34*'Model Inputs &amp; Assumptions'!$K$34*G3397,0)))</f>
        <v>4001.55</v>
      </c>
      <c r="J3397" s="50" t="n">
        <f aca="false">H3397*INDEX('Model Inputs &amp; Assumptions'!$D$40:$D$42,MATCH('Model Inputs &amp; Assumptions'!$L$34,'Model Inputs &amp; Assumptions'!$A$40:$A$42,0))*INDEX('Model Inputs &amp; Assumptions'!$H$40:$H$42,MATCH('Model Inputs &amp; Assumptions'!$L$34,'Model Inputs &amp; Assumptions'!$A$40:$A$42,0))</f>
        <v>297891.479430862</v>
      </c>
      <c r="K3397" s="49" t="n">
        <f aca="false">H3397*INDEX('Model Inputs &amp; Assumptions'!$G$40:$G$42,MATCH('Model Inputs &amp; Assumptions'!$L$34,'Model Inputs &amp; Assumptions'!$A$40:$A$42,0))*INDEX('Model Inputs &amp; Assumptions'!$H$40:$H$42,MATCH('Model Inputs &amp; Assumptions'!$L$34,'Model Inputs &amp; Assumptions'!$A$40:$A$42,0))</f>
        <v>6568.5071214505</v>
      </c>
      <c r="L3397" s="51" t="n">
        <f aca="false">IFERROR(K3397/I3397,0)</f>
        <v>1.64149070271532</v>
      </c>
      <c r="M3397" s="49" t="n">
        <f aca="false">IFERROR(I3397/H3397,0)</f>
        <v>96.7169657052471</v>
      </c>
      <c r="N3397" s="52" t="str">
        <f aca="false">'Model Inputs &amp; Assumptions'!$L$34</f>
        <v>PRD-USIQ</v>
      </c>
      <c r="P3397" s="53" t="n">
        <v>-0.206891</v>
      </c>
      <c r="Q3397" s="53" t="n">
        <v>0.113582</v>
      </c>
      <c r="R3397" s="53" t="n">
        <v>-1.603294</v>
      </c>
      <c r="S3397" s="53" t="n">
        <v>-0.572749</v>
      </c>
    </row>
    <row r="3398" customFormat="false" ht="15" hidden="false" customHeight="false" outlineLevel="0" collapsed="false">
      <c r="A3398" s="43" t="n">
        <v>395</v>
      </c>
      <c r="B3398" s="44" t="str">
        <f aca="false">'Model Inputs &amp; Assumptions'!$B$34</f>
        <v>Meta — Lookalike Feed Video</v>
      </c>
      <c r="C3398" s="45" t="n">
        <f aca="false">ROUND(MAX(0,'Model Inputs &amp; Assumptions'!$S$34*EXP('Model Inputs &amp; Assumptions'!$T$34*P3398-'Model Inputs &amp; Assumptions'!$T$34^2/2)),0)</f>
        <v>647554</v>
      </c>
      <c r="D3398" s="46" t="n">
        <f aca="false">MIN(1,'Model Inputs &amp; Assumptions'!$U$34*EXP('Model Inputs &amp; Assumptions'!$V$34*Q3398-'Model Inputs &amp; Assumptions'!$V$34^2/2))</f>
        <v>0.208867572956392</v>
      </c>
      <c r="E3398" s="45" t="n">
        <f aca="false">ROUND(C3398*D3398,0)</f>
        <v>135253</v>
      </c>
      <c r="F3398" s="47" t="n">
        <f aca="false">MIN(1,'Model Inputs &amp; Assumptions'!$W$34*EXP('Model Inputs &amp; Assumptions'!$X$34*R3398-'Model Inputs &amp; Assumptions'!$X$34^2/2))</f>
        <v>0.00812389573327167</v>
      </c>
      <c r="G3398" s="45" t="n">
        <f aca="false">ROUND(C3398*F3398,0)</f>
        <v>5261</v>
      </c>
      <c r="H3398" s="48" t="n">
        <f aca="false">MAX(0,(C3398*'Model Inputs &amp; Assumptions'!$N$34+E3398*'Model Inputs &amp; Assumptions'!$O$34+G3398*'Model Inputs &amp; Assumptions'!$P$34)*EXP('Model Inputs &amp; Assumptions'!$Q$34*S3398-'Model Inputs &amp; Assumptions'!$Q$34^2/2))</f>
        <v>113.896774061708</v>
      </c>
      <c r="I3398" s="49" t="n">
        <f aca="false">IF('Model Inputs &amp; Assumptions'!$H$34="Fixed",'Model Inputs &amp; Assumptions'!$I$34*'Model Inputs &amp; Assumptions'!$K$34,IF('Model Inputs &amp; Assumptions'!$H$34="CPM",'Model Inputs &amp; Assumptions'!$I$34*'Model Inputs &amp; Assumptions'!$K$34*C3398/1000,IF('Model Inputs &amp; Assumptions'!$H$34="CPC",'Model Inputs &amp; Assumptions'!$I$34*'Model Inputs &amp; Assumptions'!$K$34*G3398,0)))</f>
        <v>9732.85</v>
      </c>
      <c r="J3398" s="50" t="n">
        <f aca="false">H3398*INDEX('Model Inputs &amp; Assumptions'!$D$40:$D$42,MATCH('Model Inputs &amp; Assumptions'!$L$34,'Model Inputs &amp; Assumptions'!$A$40:$A$42,0))*INDEX('Model Inputs &amp; Assumptions'!$H$40:$H$42,MATCH('Model Inputs &amp; Assumptions'!$L$34,'Model Inputs &amp; Assumptions'!$A$40:$A$42,0))</f>
        <v>820056.7732443</v>
      </c>
      <c r="K3398" s="49" t="n">
        <f aca="false">H3398*INDEX('Model Inputs &amp; Assumptions'!$G$40:$G$42,MATCH('Model Inputs &amp; Assumptions'!$L$34,'Model Inputs &amp; Assumptions'!$A$40:$A$42,0))*INDEX('Model Inputs &amp; Assumptions'!$H$40:$H$42,MATCH('Model Inputs &amp; Assumptions'!$L$34,'Model Inputs &amp; Assumptions'!$A$40:$A$42,0))</f>
        <v>18082.2518500368</v>
      </c>
      <c r="L3398" s="51" t="n">
        <f aca="false">IFERROR(K3398/I3398,0)</f>
        <v>1.85785785767137</v>
      </c>
      <c r="M3398" s="49" t="n">
        <f aca="false">IFERROR(I3398/H3398,0)</f>
        <v>85.4532543189224</v>
      </c>
      <c r="N3398" s="52" t="str">
        <f aca="false">'Model Inputs &amp; Assumptions'!$L$34</f>
        <v>PRD-USIQ</v>
      </c>
      <c r="P3398" s="53" t="n">
        <v>1.196864</v>
      </c>
      <c r="Q3398" s="53" t="n">
        <v>-0.522368</v>
      </c>
      <c r="R3398" s="53" t="n">
        <v>1.773613</v>
      </c>
      <c r="S3398" s="53" t="n">
        <v>0.101736</v>
      </c>
    </row>
    <row r="3399" customFormat="false" ht="15" hidden="false" customHeight="false" outlineLevel="0" collapsed="false">
      <c r="A3399" s="43" t="n">
        <v>396</v>
      </c>
      <c r="B3399" s="44" t="str">
        <f aca="false">'Model Inputs &amp; Assumptions'!$B$34</f>
        <v>Meta — Lookalike Feed Video</v>
      </c>
      <c r="C3399" s="45" t="n">
        <f aca="false">ROUND(MAX(0,'Model Inputs &amp; Assumptions'!$S$34*EXP('Model Inputs &amp; Assumptions'!$T$34*P3399-'Model Inputs &amp; Assumptions'!$T$34^2/2)),0)</f>
        <v>736473</v>
      </c>
      <c r="D3399" s="46" t="n">
        <f aca="false">MIN(1,'Model Inputs &amp; Assumptions'!$U$34*EXP('Model Inputs &amp; Assumptions'!$V$34*Q3399-'Model Inputs &amp; Assumptions'!$V$34^2/2))</f>
        <v>0.263373429446578</v>
      </c>
      <c r="E3399" s="45" t="n">
        <f aca="false">ROUND(C3399*D3399,0)</f>
        <v>193967</v>
      </c>
      <c r="F3399" s="47" t="n">
        <f aca="false">MIN(1,'Model Inputs &amp; Assumptions'!$W$34*EXP('Model Inputs &amp; Assumptions'!$X$34*R3399-'Model Inputs &amp; Assumptions'!$X$34^2/2))</f>
        <v>0.0054976903585282</v>
      </c>
      <c r="G3399" s="45" t="n">
        <f aca="false">ROUND(C3399*F3399,0)</f>
        <v>4049</v>
      </c>
      <c r="H3399" s="48" t="n">
        <f aca="false">MAX(0,(C3399*'Model Inputs &amp; Assumptions'!$N$34+E3399*'Model Inputs &amp; Assumptions'!$O$34+G3399*'Model Inputs &amp; Assumptions'!$P$34)*EXP('Model Inputs &amp; Assumptions'!$Q$34*S3399-'Model Inputs &amp; Assumptions'!$Q$34^2/2))</f>
        <v>70.1287564594796</v>
      </c>
      <c r="I3399" s="49" t="n">
        <f aca="false">IF('Model Inputs &amp; Assumptions'!$H$34="Fixed",'Model Inputs &amp; Assumptions'!$I$34*'Model Inputs &amp; Assumptions'!$K$34,IF('Model Inputs &amp; Assumptions'!$H$34="CPM",'Model Inputs &amp; Assumptions'!$I$34*'Model Inputs &amp; Assumptions'!$K$34*C3399/1000,IF('Model Inputs &amp; Assumptions'!$H$34="CPC",'Model Inputs &amp; Assumptions'!$I$34*'Model Inputs &amp; Assumptions'!$K$34*G3399,0)))</f>
        <v>7490.65</v>
      </c>
      <c r="J3399" s="50" t="n">
        <f aca="false">H3399*INDEX('Model Inputs &amp; Assumptions'!$D$40:$D$42,MATCH('Model Inputs &amp; Assumptions'!$L$34,'Model Inputs &amp; Assumptions'!$A$40:$A$42,0))*INDEX('Model Inputs &amp; Assumptions'!$H$40:$H$42,MATCH('Model Inputs &amp; Assumptions'!$L$34,'Model Inputs &amp; Assumptions'!$A$40:$A$42,0))</f>
        <v>504927.046508253</v>
      </c>
      <c r="K3399" s="49" t="n">
        <f aca="false">H3399*INDEX('Model Inputs &amp; Assumptions'!$G$40:$G$42,MATCH('Model Inputs &amp; Assumptions'!$L$34,'Model Inputs &amp; Assumptions'!$A$40:$A$42,0))*INDEX('Model Inputs &amp; Assumptions'!$H$40:$H$42,MATCH('Model Inputs &amp; Assumptions'!$L$34,'Model Inputs &amp; Assumptions'!$A$40:$A$42,0))</f>
        <v>11133.641375507</v>
      </c>
      <c r="L3399" s="51" t="n">
        <f aca="false">IFERROR(K3399/I3399,0)</f>
        <v>1.48633848537937</v>
      </c>
      <c r="M3399" s="49" t="n">
        <f aca="false">IFERROR(I3399/H3399,0)</f>
        <v>106.812816570163</v>
      </c>
      <c r="N3399" s="52" t="str">
        <f aca="false">'Model Inputs &amp; Assumptions'!$L$34</f>
        <v>PRD-USIQ</v>
      </c>
      <c r="P3399" s="53" t="n">
        <v>1.840217</v>
      </c>
      <c r="Q3399" s="53" t="n">
        <v>0.926835</v>
      </c>
      <c r="R3399" s="53" t="n">
        <v>-0.39573</v>
      </c>
      <c r="S3399" s="53" t="n">
        <v>-0.837446</v>
      </c>
    </row>
    <row r="3400" customFormat="false" ht="15" hidden="false" customHeight="false" outlineLevel="0" collapsed="false">
      <c r="A3400" s="43" t="n">
        <v>397</v>
      </c>
      <c r="B3400" s="44" t="str">
        <f aca="false">'Model Inputs &amp; Assumptions'!$B$34</f>
        <v>Meta — Lookalike Feed Video</v>
      </c>
      <c r="C3400" s="45" t="n">
        <f aca="false">ROUND(MAX(0,'Model Inputs &amp; Assumptions'!$S$34*EXP('Model Inputs &amp; Assumptions'!$T$34*P3400-'Model Inputs &amp; Assumptions'!$T$34^2/2)),0)</f>
        <v>346265</v>
      </c>
      <c r="D3400" s="46" t="n">
        <f aca="false">MIN(1,'Model Inputs &amp; Assumptions'!$U$34*EXP('Model Inputs &amp; Assumptions'!$V$34*Q3400-'Model Inputs &amp; Assumptions'!$V$34^2/2))</f>
        <v>0.225319444563605</v>
      </c>
      <c r="E3400" s="45" t="n">
        <f aca="false">ROUND(C3400*D3400,0)</f>
        <v>78020</v>
      </c>
      <c r="F3400" s="47" t="n">
        <f aca="false">MIN(1,'Model Inputs &amp; Assumptions'!$W$34*EXP('Model Inputs &amp; Assumptions'!$X$34*R3400-'Model Inputs &amp; Assumptions'!$X$34^2/2))</f>
        <v>0.0040171249862835</v>
      </c>
      <c r="G3400" s="45" t="n">
        <f aca="false">ROUND(C3400*F3400,0)</f>
        <v>1391</v>
      </c>
      <c r="H3400" s="48" t="n">
        <f aca="false">MAX(0,(C3400*'Model Inputs &amp; Assumptions'!$N$34+E3400*'Model Inputs &amp; Assumptions'!$O$34+G3400*'Model Inputs &amp; Assumptions'!$P$34)*EXP('Model Inputs &amp; Assumptions'!$Q$34*S3400-'Model Inputs &amp; Assumptions'!$Q$34^2/2))</f>
        <v>41.6077118067342</v>
      </c>
      <c r="I3400" s="49" t="n">
        <f aca="false">IF('Model Inputs &amp; Assumptions'!$H$34="Fixed",'Model Inputs &amp; Assumptions'!$I$34*'Model Inputs &amp; Assumptions'!$K$34,IF('Model Inputs &amp; Assumptions'!$H$34="CPM",'Model Inputs &amp; Assumptions'!$I$34*'Model Inputs &amp; Assumptions'!$K$34*C3400/1000,IF('Model Inputs &amp; Assumptions'!$H$34="CPC",'Model Inputs &amp; Assumptions'!$I$34*'Model Inputs &amp; Assumptions'!$K$34*G3400,0)))</f>
        <v>2573.35</v>
      </c>
      <c r="J3400" s="50" t="n">
        <f aca="false">H3400*INDEX('Model Inputs &amp; Assumptions'!$D$40:$D$42,MATCH('Model Inputs &amp; Assumptions'!$L$34,'Model Inputs &amp; Assumptions'!$A$40:$A$42,0))*INDEX('Model Inputs &amp; Assumptions'!$H$40:$H$42,MATCH('Model Inputs &amp; Assumptions'!$L$34,'Model Inputs &amp; Assumptions'!$A$40:$A$42,0))</f>
        <v>299575.525008486</v>
      </c>
      <c r="K3400" s="49" t="n">
        <f aca="false">H3400*INDEX('Model Inputs &amp; Assumptions'!$G$40:$G$42,MATCH('Model Inputs &amp; Assumptions'!$L$34,'Model Inputs &amp; Assumptions'!$A$40:$A$42,0))*INDEX('Model Inputs &amp; Assumptions'!$H$40:$H$42,MATCH('Model Inputs &amp; Assumptions'!$L$34,'Model Inputs &amp; Assumptions'!$A$40:$A$42,0))</f>
        <v>6605.64032643712</v>
      </c>
      <c r="L3400" s="51" t="n">
        <f aca="false">IFERROR(K3400/I3400,0)</f>
        <v>2.56694205080425</v>
      </c>
      <c r="M3400" s="49" t="n">
        <f aca="false">IFERROR(I3400/H3400,0)</f>
        <v>61.8479096363935</v>
      </c>
      <c r="N3400" s="52" t="str">
        <f aca="false">'Model Inputs &amp; Assumptions'!$L$34</f>
        <v>PRD-USIQ</v>
      </c>
      <c r="P3400" s="53" t="n">
        <v>-1.933116</v>
      </c>
      <c r="Q3400" s="53" t="n">
        <v>-0.048501</v>
      </c>
      <c r="R3400" s="53" t="n">
        <v>-2.13885</v>
      </c>
      <c r="S3400" s="53" t="n">
        <v>0.785359</v>
      </c>
    </row>
    <row r="3401" customFormat="false" ht="15" hidden="false" customHeight="false" outlineLevel="0" collapsed="false">
      <c r="A3401" s="43" t="n">
        <v>398</v>
      </c>
      <c r="B3401" s="44" t="str">
        <f aca="false">'Model Inputs &amp; Assumptions'!$B$34</f>
        <v>Meta — Lookalike Feed Video</v>
      </c>
      <c r="C3401" s="45" t="n">
        <f aca="false">ROUND(MAX(0,'Model Inputs &amp; Assumptions'!$S$34*EXP('Model Inputs &amp; Assumptions'!$T$34*P3401-'Model Inputs &amp; Assumptions'!$T$34^2/2)),0)</f>
        <v>447161</v>
      </c>
      <c r="D3401" s="46" t="n">
        <f aca="false">MIN(1,'Model Inputs &amp; Assumptions'!$U$34*EXP('Model Inputs &amp; Assumptions'!$V$34*Q3401-'Model Inputs &amp; Assumptions'!$V$34^2/2))</f>
        <v>0.236959800575426</v>
      </c>
      <c r="E3401" s="45" t="n">
        <f aca="false">ROUND(C3401*D3401,0)</f>
        <v>105959</v>
      </c>
      <c r="F3401" s="47" t="n">
        <f aca="false">MIN(1,'Model Inputs &amp; Assumptions'!$W$34*EXP('Model Inputs &amp; Assumptions'!$X$34*R3401-'Model Inputs &amp; Assumptions'!$X$34^2/2))</f>
        <v>0.00651064434616524</v>
      </c>
      <c r="G3401" s="45" t="n">
        <f aca="false">ROUND(C3401*F3401,0)</f>
        <v>2911</v>
      </c>
      <c r="H3401" s="48" t="n">
        <f aca="false">MAX(0,(C3401*'Model Inputs &amp; Assumptions'!$N$34+E3401*'Model Inputs &amp; Assumptions'!$O$34+G3401*'Model Inputs &amp; Assumptions'!$P$34)*EXP('Model Inputs &amp; Assumptions'!$Q$34*S3401-'Model Inputs &amp; Assumptions'!$Q$34^2/2))</f>
        <v>32.6951626674097</v>
      </c>
      <c r="I3401" s="49" t="n">
        <f aca="false">IF('Model Inputs &amp; Assumptions'!$H$34="Fixed",'Model Inputs &amp; Assumptions'!$I$34*'Model Inputs &amp; Assumptions'!$K$34,IF('Model Inputs &amp; Assumptions'!$H$34="CPM",'Model Inputs &amp; Assumptions'!$I$34*'Model Inputs &amp; Assumptions'!$K$34*C3401/1000,IF('Model Inputs &amp; Assumptions'!$H$34="CPC",'Model Inputs &amp; Assumptions'!$I$34*'Model Inputs &amp; Assumptions'!$K$34*G3401,0)))</f>
        <v>5385.35</v>
      </c>
      <c r="J3401" s="50" t="n">
        <f aca="false">H3401*INDEX('Model Inputs &amp; Assumptions'!$D$40:$D$42,MATCH('Model Inputs &amp; Assumptions'!$L$34,'Model Inputs &amp; Assumptions'!$A$40:$A$42,0))*INDEX('Model Inputs &amp; Assumptions'!$H$40:$H$42,MATCH('Model Inputs &amp; Assumptions'!$L$34,'Model Inputs &amp; Assumptions'!$A$40:$A$42,0))</f>
        <v>235405.17120535</v>
      </c>
      <c r="K3401" s="49" t="n">
        <f aca="false">H3401*INDEX('Model Inputs &amp; Assumptions'!$G$40:$G$42,MATCH('Model Inputs &amp; Assumptions'!$L$34,'Model Inputs &amp; Assumptions'!$A$40:$A$42,0))*INDEX('Model Inputs &amp; Assumptions'!$H$40:$H$42,MATCH('Model Inputs &amp; Assumptions'!$L$34,'Model Inputs &amp; Assumptions'!$A$40:$A$42,0))</f>
        <v>5190.68402507796</v>
      </c>
      <c r="L3401" s="51" t="n">
        <f aca="false">IFERROR(K3401/I3401,0)</f>
        <v>0.963852679041838</v>
      </c>
      <c r="M3401" s="49" t="n">
        <f aca="false">IFERROR(I3401/H3401,0)</f>
        <v>164.713968692625</v>
      </c>
      <c r="N3401" s="52" t="str">
        <f aca="false">'Model Inputs &amp; Assumptions'!$L$34</f>
        <v>PRD-USIQ</v>
      </c>
      <c r="P3401" s="53" t="n">
        <v>-0.654555</v>
      </c>
      <c r="Q3401" s="53" t="n">
        <v>0.26632</v>
      </c>
      <c r="R3401" s="53" t="n">
        <v>0.543772</v>
      </c>
      <c r="S3401" s="53" t="n">
        <v>-2.067902</v>
      </c>
    </row>
    <row r="3402" customFormat="false" ht="15" hidden="false" customHeight="false" outlineLevel="0" collapsed="false">
      <c r="A3402" s="43" t="n">
        <v>399</v>
      </c>
      <c r="B3402" s="44" t="str">
        <f aca="false">'Model Inputs &amp; Assumptions'!$B$34</f>
        <v>Meta — Lookalike Feed Video</v>
      </c>
      <c r="C3402" s="45" t="n">
        <f aca="false">ROUND(MAX(0,'Model Inputs &amp; Assumptions'!$S$34*EXP('Model Inputs &amp; Assumptions'!$T$34*P3402-'Model Inputs &amp; Assumptions'!$T$34^2/2)),0)</f>
        <v>656278</v>
      </c>
      <c r="D3402" s="46" t="n">
        <f aca="false">MIN(1,'Model Inputs &amp; Assumptions'!$U$34*EXP('Model Inputs &amp; Assumptions'!$V$34*Q3402-'Model Inputs &amp; Assumptions'!$V$34^2/2))</f>
        <v>0.270035531617452</v>
      </c>
      <c r="E3402" s="45" t="n">
        <f aca="false">ROUND(C3402*D3402,0)</f>
        <v>177218</v>
      </c>
      <c r="F3402" s="47" t="n">
        <f aca="false">MIN(1,'Model Inputs &amp; Assumptions'!$W$34*EXP('Model Inputs &amp; Assumptions'!$X$34*R3402-'Model Inputs &amp; Assumptions'!$X$34^2/2))</f>
        <v>0.00494144999421974</v>
      </c>
      <c r="G3402" s="45" t="n">
        <f aca="false">ROUND(C3402*F3402,0)</f>
        <v>3243</v>
      </c>
      <c r="H3402" s="48" t="n">
        <f aca="false">MAX(0,(C3402*'Model Inputs &amp; Assumptions'!$N$34+E3402*'Model Inputs &amp; Assumptions'!$O$34+G3402*'Model Inputs &amp; Assumptions'!$P$34)*EXP('Model Inputs &amp; Assumptions'!$Q$34*S3402-'Model Inputs &amp; Assumptions'!$Q$34^2/2))</f>
        <v>100.395833184615</v>
      </c>
      <c r="I3402" s="49" t="n">
        <f aca="false">IF('Model Inputs &amp; Assumptions'!$H$34="Fixed",'Model Inputs &amp; Assumptions'!$I$34*'Model Inputs &amp; Assumptions'!$K$34,IF('Model Inputs &amp; Assumptions'!$H$34="CPM",'Model Inputs &amp; Assumptions'!$I$34*'Model Inputs &amp; Assumptions'!$K$34*C3402/1000,IF('Model Inputs &amp; Assumptions'!$H$34="CPC",'Model Inputs &amp; Assumptions'!$I$34*'Model Inputs &amp; Assumptions'!$K$34*G3402,0)))</f>
        <v>5999.55</v>
      </c>
      <c r="J3402" s="50" t="n">
        <f aca="false">H3402*INDEX('Model Inputs &amp; Assumptions'!$D$40:$D$42,MATCH('Model Inputs &amp; Assumptions'!$L$34,'Model Inputs &amp; Assumptions'!$A$40:$A$42,0))*INDEX('Model Inputs &amp; Assumptions'!$H$40:$H$42,MATCH('Model Inputs &amp; Assumptions'!$L$34,'Model Inputs &amp; Assumptions'!$A$40:$A$42,0))</f>
        <v>722849.998929227</v>
      </c>
      <c r="K3402" s="49" t="n">
        <f aca="false">H3402*INDEX('Model Inputs &amp; Assumptions'!$G$40:$G$42,MATCH('Model Inputs &amp; Assumptions'!$L$34,'Model Inputs &amp; Assumptions'!$A$40:$A$42,0))*INDEX('Model Inputs &amp; Assumptions'!$H$40:$H$42,MATCH('Model Inputs &amp; Assumptions'!$L$34,'Model Inputs &amp; Assumptions'!$A$40:$A$42,0))</f>
        <v>15938.8424763895</v>
      </c>
      <c r="L3402" s="51" t="n">
        <f aca="false">IFERROR(K3402/I3402,0)</f>
        <v>2.65667299653965</v>
      </c>
      <c r="M3402" s="49" t="n">
        <f aca="false">IFERROR(I3402/H3402,0)</f>
        <v>59.7589542283852</v>
      </c>
      <c r="N3402" s="52" t="str">
        <f aca="false">'Model Inputs &amp; Assumptions'!$L$34</f>
        <v>PRD-USIQ</v>
      </c>
      <c r="P3402" s="53" t="n">
        <v>1.263775</v>
      </c>
      <c r="Q3402" s="53" t="n">
        <v>1.082964</v>
      </c>
      <c r="R3402" s="53" t="n">
        <v>-0.988337</v>
      </c>
      <c r="S3402" s="53" t="n">
        <v>0.907497</v>
      </c>
    </row>
    <row r="3403" customFormat="false" ht="15" hidden="false" customHeight="false" outlineLevel="0" collapsed="false">
      <c r="A3403" s="43" t="n">
        <v>400</v>
      </c>
      <c r="B3403" s="44" t="str">
        <f aca="false">'Model Inputs &amp; Assumptions'!$B$34</f>
        <v>Meta — Lookalike Feed Video</v>
      </c>
      <c r="C3403" s="45" t="n">
        <f aca="false">ROUND(MAX(0,'Model Inputs &amp; Assumptions'!$S$34*EXP('Model Inputs &amp; Assumptions'!$T$34*P3403-'Model Inputs &amp; Assumptions'!$T$34^2/2)),0)</f>
        <v>565163</v>
      </c>
      <c r="D3403" s="46" t="n">
        <f aca="false">MIN(1,'Model Inputs &amp; Assumptions'!$U$34*EXP('Model Inputs &amp; Assumptions'!$V$34*Q3403-'Model Inputs &amp; Assumptions'!$V$34^2/2))</f>
        <v>0.273611853477389</v>
      </c>
      <c r="E3403" s="45" t="n">
        <f aca="false">ROUND(C3403*D3403,0)</f>
        <v>154635</v>
      </c>
      <c r="F3403" s="47" t="n">
        <f aca="false">MIN(1,'Model Inputs &amp; Assumptions'!$W$34*EXP('Model Inputs &amp; Assumptions'!$X$34*R3403-'Model Inputs &amp; Assumptions'!$X$34^2/2))</f>
        <v>0.00604915122751507</v>
      </c>
      <c r="G3403" s="45" t="n">
        <f aca="false">ROUND(C3403*F3403,0)</f>
        <v>3419</v>
      </c>
      <c r="H3403" s="48" t="n">
        <f aca="false">MAX(0,(C3403*'Model Inputs &amp; Assumptions'!$N$34+E3403*'Model Inputs &amp; Assumptions'!$O$34+G3403*'Model Inputs &amp; Assumptions'!$P$34)*EXP('Model Inputs &amp; Assumptions'!$Q$34*S3403-'Model Inputs &amp; Assumptions'!$Q$34^2/2))</f>
        <v>70.059541206943</v>
      </c>
      <c r="I3403" s="49" t="n">
        <f aca="false">IF('Model Inputs &amp; Assumptions'!$H$34="Fixed",'Model Inputs &amp; Assumptions'!$I$34*'Model Inputs &amp; Assumptions'!$K$34,IF('Model Inputs &amp; Assumptions'!$H$34="CPM",'Model Inputs &amp; Assumptions'!$I$34*'Model Inputs &amp; Assumptions'!$K$34*C3403/1000,IF('Model Inputs &amp; Assumptions'!$H$34="CPC",'Model Inputs &amp; Assumptions'!$I$34*'Model Inputs &amp; Assumptions'!$K$34*G3403,0)))</f>
        <v>6325.15</v>
      </c>
      <c r="J3403" s="50" t="n">
        <f aca="false">H3403*INDEX('Model Inputs &amp; Assumptions'!$D$40:$D$42,MATCH('Model Inputs &amp; Assumptions'!$L$34,'Model Inputs &amp; Assumptions'!$A$40:$A$42,0))*INDEX('Model Inputs &amp; Assumptions'!$H$40:$H$42,MATCH('Model Inputs &amp; Assumptions'!$L$34,'Model Inputs &amp; Assumptions'!$A$40:$A$42,0))</f>
        <v>504428.69668999</v>
      </c>
      <c r="K3403" s="49" t="n">
        <f aca="false">H3403*INDEX('Model Inputs &amp; Assumptions'!$G$40:$G$42,MATCH('Model Inputs &amp; Assumptions'!$L$34,'Model Inputs &amp; Assumptions'!$A$40:$A$42,0))*INDEX('Model Inputs &amp; Assumptions'!$H$40:$H$42,MATCH('Model Inputs &amp; Assumptions'!$L$34,'Model Inputs &amp; Assumptions'!$A$40:$A$42,0))</f>
        <v>11122.6527620143</v>
      </c>
      <c r="L3403" s="51" t="n">
        <f aca="false">IFERROR(K3403/I3403,0)</f>
        <v>1.75848047271832</v>
      </c>
      <c r="M3403" s="49" t="n">
        <f aca="false">IFERROR(I3403/H3403,0)</f>
        <v>90.2824924490537</v>
      </c>
      <c r="N3403" s="52" t="str">
        <f aca="false">'Model Inputs &amp; Assumptions'!$L$34</f>
        <v>PRD-USIQ</v>
      </c>
      <c r="P3403" s="53" t="n">
        <v>0.516423</v>
      </c>
      <c r="Q3403" s="53" t="n">
        <v>1.165195</v>
      </c>
      <c r="R3403" s="53" t="n">
        <v>0.135325</v>
      </c>
      <c r="S3403" s="53" t="n">
        <v>-0.28382</v>
      </c>
    </row>
    <row r="3404" customFormat="false" ht="15" hidden="false" customHeight="false" outlineLevel="0" collapsed="false">
      <c r="A3404" s="43" t="n">
        <v>401</v>
      </c>
      <c r="B3404" s="44" t="str">
        <f aca="false">'Model Inputs &amp; Assumptions'!$B$34</f>
        <v>Meta — Lookalike Feed Video</v>
      </c>
      <c r="C3404" s="45" t="n">
        <f aca="false">ROUND(MAX(0,'Model Inputs &amp; Assumptions'!$S$34*EXP('Model Inputs &amp; Assumptions'!$T$34*P3404-'Model Inputs &amp; Assumptions'!$T$34^2/2)),0)</f>
        <v>673715</v>
      </c>
      <c r="D3404" s="46" t="n">
        <f aca="false">MIN(1,'Model Inputs &amp; Assumptions'!$U$34*EXP('Model Inputs &amp; Assumptions'!$V$34*Q3404-'Model Inputs &amp; Assumptions'!$V$34^2/2))</f>
        <v>0.255427555398328</v>
      </c>
      <c r="E3404" s="45" t="n">
        <f aca="false">ROUND(C3404*D3404,0)</f>
        <v>172085</v>
      </c>
      <c r="F3404" s="47" t="n">
        <f aca="false">MIN(1,'Model Inputs &amp; Assumptions'!$W$34*EXP('Model Inputs &amp; Assumptions'!$X$34*R3404-'Model Inputs &amp; Assumptions'!$X$34^2/2))</f>
        <v>0.00419053080310101</v>
      </c>
      <c r="G3404" s="45" t="n">
        <f aca="false">ROUND(C3404*F3404,0)</f>
        <v>2823</v>
      </c>
      <c r="H3404" s="48" t="n">
        <f aca="false">MAX(0,(C3404*'Model Inputs &amp; Assumptions'!$N$34+E3404*'Model Inputs &amp; Assumptions'!$O$34+G3404*'Model Inputs &amp; Assumptions'!$P$34)*EXP('Model Inputs &amp; Assumptions'!$Q$34*S3404-'Model Inputs &amp; Assumptions'!$Q$34^2/2))</f>
        <v>73.1197365793419</v>
      </c>
      <c r="I3404" s="49" t="n">
        <f aca="false">IF('Model Inputs &amp; Assumptions'!$H$34="Fixed",'Model Inputs &amp; Assumptions'!$I$34*'Model Inputs &amp; Assumptions'!$K$34,IF('Model Inputs &amp; Assumptions'!$H$34="CPM",'Model Inputs &amp; Assumptions'!$I$34*'Model Inputs &amp; Assumptions'!$K$34*C3404/1000,IF('Model Inputs &amp; Assumptions'!$H$34="CPC",'Model Inputs &amp; Assumptions'!$I$34*'Model Inputs &amp; Assumptions'!$K$34*G3404,0)))</f>
        <v>5222.55</v>
      </c>
      <c r="J3404" s="50" t="n">
        <f aca="false">H3404*INDEX('Model Inputs &amp; Assumptions'!$D$40:$D$42,MATCH('Model Inputs &amp; Assumptions'!$L$34,'Model Inputs &amp; Assumptions'!$A$40:$A$42,0))*INDEX('Model Inputs &amp; Assumptions'!$H$40:$H$42,MATCH('Model Inputs &amp; Assumptions'!$L$34,'Model Inputs &amp; Assumptions'!$A$40:$A$42,0))</f>
        <v>526462.103371261</v>
      </c>
      <c r="K3404" s="49" t="n">
        <f aca="false">H3404*INDEX('Model Inputs &amp; Assumptions'!$G$40:$G$42,MATCH('Model Inputs &amp; Assumptions'!$L$34,'Model Inputs &amp; Assumptions'!$A$40:$A$42,0))*INDEX('Model Inputs &amp; Assumptions'!$H$40:$H$42,MATCH('Model Inputs &amp; Assumptions'!$L$34,'Model Inputs &amp; Assumptions'!$A$40:$A$42,0))</f>
        <v>11608.4893793363</v>
      </c>
      <c r="L3404" s="51" t="n">
        <f aca="false">IFERROR(K3404/I3404,0)</f>
        <v>2.22276270774551</v>
      </c>
      <c r="M3404" s="49" t="n">
        <f aca="false">IFERROR(I3404/H3404,0)</f>
        <v>71.4246282101008</v>
      </c>
      <c r="N3404" s="52" t="str">
        <f aca="false">'Model Inputs &amp; Assumptions'!$L$34</f>
        <v>PRD-USIQ</v>
      </c>
      <c r="P3404" s="53" t="n">
        <v>1.394895</v>
      </c>
      <c r="Q3404" s="53" t="n">
        <v>0.735372</v>
      </c>
      <c r="R3404" s="53" t="n">
        <v>-1.904067</v>
      </c>
      <c r="S3404" s="53" t="n">
        <v>0.286151</v>
      </c>
    </row>
    <row r="3405" customFormat="false" ht="15" hidden="false" customHeight="false" outlineLevel="0" collapsed="false">
      <c r="A3405" s="43" t="n">
        <v>402</v>
      </c>
      <c r="B3405" s="44" t="str">
        <f aca="false">'Model Inputs &amp; Assumptions'!$B$34</f>
        <v>Meta — Lookalike Feed Video</v>
      </c>
      <c r="C3405" s="45" t="n">
        <f aca="false">ROUND(MAX(0,'Model Inputs &amp; Assumptions'!$S$34*EXP('Model Inputs &amp; Assumptions'!$T$34*P3405-'Model Inputs &amp; Assumptions'!$T$34^2/2)),0)</f>
        <v>576865</v>
      </c>
      <c r="D3405" s="46" t="n">
        <f aca="false">MIN(1,'Model Inputs &amp; Assumptions'!$U$34*EXP('Model Inputs &amp; Assumptions'!$V$34*Q3405-'Model Inputs &amp; Assumptions'!$V$34^2/2))</f>
        <v>0.183914061037374</v>
      </c>
      <c r="E3405" s="45" t="n">
        <f aca="false">ROUND(C3405*D3405,0)</f>
        <v>106094</v>
      </c>
      <c r="F3405" s="47" t="n">
        <f aca="false">MIN(1,'Model Inputs &amp; Assumptions'!$W$34*EXP('Model Inputs &amp; Assumptions'!$X$34*R3405-'Model Inputs &amp; Assumptions'!$X$34^2/2))</f>
        <v>0.00634528444042692</v>
      </c>
      <c r="G3405" s="45" t="n">
        <f aca="false">ROUND(C3405*F3405,0)</f>
        <v>3660</v>
      </c>
      <c r="H3405" s="48" t="n">
        <f aca="false">MAX(0,(C3405*'Model Inputs &amp; Assumptions'!$N$34+E3405*'Model Inputs &amp; Assumptions'!$O$34+G3405*'Model Inputs &amp; Assumptions'!$P$34)*EXP('Model Inputs &amp; Assumptions'!$Q$34*S3405-'Model Inputs &amp; Assumptions'!$Q$34^2/2))</f>
        <v>99.1011688798948</v>
      </c>
      <c r="I3405" s="49" t="n">
        <f aca="false">IF('Model Inputs &amp; Assumptions'!$H$34="Fixed",'Model Inputs &amp; Assumptions'!$I$34*'Model Inputs &amp; Assumptions'!$K$34,IF('Model Inputs &amp; Assumptions'!$H$34="CPM",'Model Inputs &amp; Assumptions'!$I$34*'Model Inputs &amp; Assumptions'!$K$34*C3405/1000,IF('Model Inputs &amp; Assumptions'!$H$34="CPC",'Model Inputs &amp; Assumptions'!$I$34*'Model Inputs &amp; Assumptions'!$K$34*G3405,0)))</f>
        <v>6771</v>
      </c>
      <c r="J3405" s="50" t="n">
        <f aca="false">H3405*INDEX('Model Inputs &amp; Assumptions'!$D$40:$D$42,MATCH('Model Inputs &amp; Assumptions'!$L$34,'Model Inputs &amp; Assumptions'!$A$40:$A$42,0))*INDEX('Model Inputs &amp; Assumptions'!$H$40:$H$42,MATCH('Model Inputs &amp; Assumptions'!$L$34,'Model Inputs &amp; Assumptions'!$A$40:$A$42,0))</f>
        <v>713528.415935242</v>
      </c>
      <c r="K3405" s="49" t="n">
        <f aca="false">H3405*INDEX('Model Inputs &amp; Assumptions'!$G$40:$G$42,MATCH('Model Inputs &amp; Assumptions'!$L$34,'Model Inputs &amp; Assumptions'!$A$40:$A$42,0))*INDEX('Model Inputs &amp; Assumptions'!$H$40:$H$42,MATCH('Model Inputs &amp; Assumptions'!$L$34,'Model Inputs &amp; Assumptions'!$A$40:$A$42,0))</f>
        <v>15733.3015713721</v>
      </c>
      <c r="L3405" s="51" t="n">
        <f aca="false">IFERROR(K3405/I3405,0)</f>
        <v>2.32363041963847</v>
      </c>
      <c r="M3405" s="49" t="n">
        <f aca="false">IFERROR(I3405/H3405,0)</f>
        <v>68.3241184390679</v>
      </c>
      <c r="N3405" s="52" t="str">
        <f aca="false">'Model Inputs &amp; Assumptions'!$L$34</f>
        <v>PRD-USIQ</v>
      </c>
      <c r="P3405" s="53" t="n">
        <v>0.618893</v>
      </c>
      <c r="Q3405" s="53" t="n">
        <v>-1.317567</v>
      </c>
      <c r="R3405" s="53" t="n">
        <v>0.400847</v>
      </c>
      <c r="S3405" s="53" t="n">
        <v>0.763875</v>
      </c>
    </row>
    <row r="3406" customFormat="false" ht="15" hidden="false" customHeight="false" outlineLevel="0" collapsed="false">
      <c r="A3406" s="43" t="n">
        <v>403</v>
      </c>
      <c r="B3406" s="44" t="str">
        <f aca="false">'Model Inputs &amp; Assumptions'!$B$34</f>
        <v>Meta — Lookalike Feed Video</v>
      </c>
      <c r="C3406" s="45" t="n">
        <f aca="false">ROUND(MAX(0,'Model Inputs &amp; Assumptions'!$S$34*EXP('Model Inputs &amp; Assumptions'!$T$34*P3406-'Model Inputs &amp; Assumptions'!$T$34^2/2)),0)</f>
        <v>420042</v>
      </c>
      <c r="D3406" s="46" t="n">
        <f aca="false">MIN(1,'Model Inputs &amp; Assumptions'!$U$34*EXP('Model Inputs &amp; Assumptions'!$V$34*Q3406-'Model Inputs &amp; Assumptions'!$V$34^2/2))</f>
        <v>0.192115068751445</v>
      </c>
      <c r="E3406" s="45" t="n">
        <f aca="false">ROUND(C3406*D3406,0)</f>
        <v>80696</v>
      </c>
      <c r="F3406" s="47" t="n">
        <f aca="false">MIN(1,'Model Inputs &amp; Assumptions'!$W$34*EXP('Model Inputs &amp; Assumptions'!$X$34*R3406-'Model Inputs &amp; Assumptions'!$X$34^2/2))</f>
        <v>0.00610176314285777</v>
      </c>
      <c r="G3406" s="45" t="n">
        <f aca="false">ROUND(C3406*F3406,0)</f>
        <v>2563</v>
      </c>
      <c r="H3406" s="48" t="n">
        <f aca="false">MAX(0,(C3406*'Model Inputs &amp; Assumptions'!$N$34+E3406*'Model Inputs &amp; Assumptions'!$O$34+G3406*'Model Inputs &amp; Assumptions'!$P$34)*EXP('Model Inputs &amp; Assumptions'!$Q$34*S3406-'Model Inputs &amp; Assumptions'!$Q$34^2/2))</f>
        <v>58.793574224103</v>
      </c>
      <c r="I3406" s="49" t="n">
        <f aca="false">IF('Model Inputs &amp; Assumptions'!$H$34="Fixed",'Model Inputs &amp; Assumptions'!$I$34*'Model Inputs &amp; Assumptions'!$K$34,IF('Model Inputs &amp; Assumptions'!$H$34="CPM",'Model Inputs &amp; Assumptions'!$I$34*'Model Inputs &amp; Assumptions'!$K$34*C3406/1000,IF('Model Inputs &amp; Assumptions'!$H$34="CPC",'Model Inputs &amp; Assumptions'!$I$34*'Model Inputs &amp; Assumptions'!$K$34*G3406,0)))</f>
        <v>4741.55</v>
      </c>
      <c r="J3406" s="50" t="n">
        <f aca="false">H3406*INDEX('Model Inputs &amp; Assumptions'!$D$40:$D$42,MATCH('Model Inputs &amp; Assumptions'!$L$34,'Model Inputs &amp; Assumptions'!$A$40:$A$42,0))*INDEX('Model Inputs &amp; Assumptions'!$H$40:$H$42,MATCH('Model Inputs &amp; Assumptions'!$L$34,'Model Inputs &amp; Assumptions'!$A$40:$A$42,0))</f>
        <v>423313.734413542</v>
      </c>
      <c r="K3406" s="49" t="n">
        <f aca="false">H3406*INDEX('Model Inputs &amp; Assumptions'!$G$40:$G$42,MATCH('Model Inputs &amp; Assumptions'!$L$34,'Model Inputs &amp; Assumptions'!$A$40:$A$42,0))*INDEX('Model Inputs &amp; Assumptions'!$H$40:$H$42,MATCH('Model Inputs &amp; Assumptions'!$L$34,'Model Inputs &amp; Assumptions'!$A$40:$A$42,0))</f>
        <v>9334.06784381859</v>
      </c>
      <c r="L3406" s="51" t="n">
        <f aca="false">IFERROR(K3406/I3406,0)</f>
        <v>1.96856889494334</v>
      </c>
      <c r="M3406" s="49" t="n">
        <f aca="false">IFERROR(I3406/H3406,0)</f>
        <v>80.6474187455703</v>
      </c>
      <c r="N3406" s="52" t="str">
        <f aca="false">'Model Inputs &amp; Assumptions'!$L$34</f>
        <v>PRD-USIQ</v>
      </c>
      <c r="P3406" s="53" t="n">
        <v>-0.967375</v>
      </c>
      <c r="Q3406" s="53" t="n">
        <v>-1.044905</v>
      </c>
      <c r="R3406" s="53" t="n">
        <v>0.183435</v>
      </c>
      <c r="S3406" s="53" t="n">
        <v>0.217824</v>
      </c>
    </row>
    <row r="3407" customFormat="false" ht="15" hidden="false" customHeight="false" outlineLevel="0" collapsed="false">
      <c r="A3407" s="43" t="n">
        <v>404</v>
      </c>
      <c r="B3407" s="44" t="str">
        <f aca="false">'Model Inputs &amp; Assumptions'!$B$34</f>
        <v>Meta — Lookalike Feed Video</v>
      </c>
      <c r="C3407" s="45" t="n">
        <f aca="false">ROUND(MAX(0,'Model Inputs &amp; Assumptions'!$S$34*EXP('Model Inputs &amp; Assumptions'!$T$34*P3407-'Model Inputs &amp; Assumptions'!$T$34^2/2)),0)</f>
        <v>653572</v>
      </c>
      <c r="D3407" s="46" t="n">
        <f aca="false">MIN(1,'Model Inputs &amp; Assumptions'!$U$34*EXP('Model Inputs &amp; Assumptions'!$V$34*Q3407-'Model Inputs &amp; Assumptions'!$V$34^2/2))</f>
        <v>0.258263512231964</v>
      </c>
      <c r="E3407" s="45" t="n">
        <f aca="false">ROUND(C3407*D3407,0)</f>
        <v>168794</v>
      </c>
      <c r="F3407" s="47" t="n">
        <f aca="false">MIN(1,'Model Inputs &amp; Assumptions'!$W$34*EXP('Model Inputs &amp; Assumptions'!$X$34*R3407-'Model Inputs &amp; Assumptions'!$X$34^2/2))</f>
        <v>0.00514244398142285</v>
      </c>
      <c r="G3407" s="45" t="n">
        <f aca="false">ROUND(C3407*F3407,0)</f>
        <v>3361</v>
      </c>
      <c r="H3407" s="48" t="n">
        <f aca="false">MAX(0,(C3407*'Model Inputs &amp; Assumptions'!$N$34+E3407*'Model Inputs &amp; Assumptions'!$O$34+G3407*'Model Inputs &amp; Assumptions'!$P$34)*EXP('Model Inputs &amp; Assumptions'!$Q$34*S3407-'Model Inputs &amp; Assumptions'!$Q$34^2/2))</f>
        <v>37.8126636088297</v>
      </c>
      <c r="I3407" s="49" t="n">
        <f aca="false">IF('Model Inputs &amp; Assumptions'!$H$34="Fixed",'Model Inputs &amp; Assumptions'!$I$34*'Model Inputs &amp; Assumptions'!$K$34,IF('Model Inputs &amp; Assumptions'!$H$34="CPM",'Model Inputs &amp; Assumptions'!$I$34*'Model Inputs &amp; Assumptions'!$K$34*C3407/1000,IF('Model Inputs &amp; Assumptions'!$H$34="CPC",'Model Inputs &amp; Assumptions'!$I$34*'Model Inputs &amp; Assumptions'!$K$34*G3407,0)))</f>
        <v>6217.85</v>
      </c>
      <c r="J3407" s="50" t="n">
        <f aca="false">H3407*INDEX('Model Inputs &amp; Assumptions'!$D$40:$D$42,MATCH('Model Inputs &amp; Assumptions'!$L$34,'Model Inputs &amp; Assumptions'!$A$40:$A$42,0))*INDEX('Model Inputs &amp; Assumptions'!$H$40:$H$42,MATCH('Model Inputs &amp; Assumptions'!$L$34,'Model Inputs &amp; Assumptions'!$A$40:$A$42,0))</f>
        <v>272251.177983574</v>
      </c>
      <c r="K3407" s="49" t="n">
        <f aca="false">H3407*INDEX('Model Inputs &amp; Assumptions'!$G$40:$G$42,MATCH('Model Inputs &amp; Assumptions'!$L$34,'Model Inputs &amp; Assumptions'!$A$40:$A$42,0))*INDEX('Model Inputs &amp; Assumptions'!$H$40:$H$42,MATCH('Model Inputs &amp; Assumptions'!$L$34,'Model Inputs &amp; Assumptions'!$A$40:$A$42,0))</f>
        <v>6003.13847453781</v>
      </c>
      <c r="L3407" s="51" t="n">
        <f aca="false">IFERROR(K3407/I3407,0)</f>
        <v>0.965468526023916</v>
      </c>
      <c r="M3407" s="49" t="n">
        <f aca="false">IFERROR(I3407/H3407,0)</f>
        <v>164.438296765427</v>
      </c>
      <c r="N3407" s="52" t="str">
        <f aca="false">'Model Inputs &amp; Assumptions'!$L$34</f>
        <v>PRD-USIQ</v>
      </c>
      <c r="P3407" s="53" t="n">
        <v>1.243122</v>
      </c>
      <c r="Q3407" s="53" t="n">
        <v>0.804382</v>
      </c>
      <c r="R3407" s="53" t="n">
        <v>-0.766839</v>
      </c>
      <c r="S3407" s="53" t="n">
        <v>-2.209956</v>
      </c>
    </row>
    <row r="3408" customFormat="false" ht="15" hidden="false" customHeight="false" outlineLevel="0" collapsed="false">
      <c r="A3408" s="43" t="n">
        <v>405</v>
      </c>
      <c r="B3408" s="44" t="str">
        <f aca="false">'Model Inputs &amp; Assumptions'!$B$34</f>
        <v>Meta — Lookalike Feed Video</v>
      </c>
      <c r="C3408" s="45" t="n">
        <f aca="false">ROUND(MAX(0,'Model Inputs &amp; Assumptions'!$S$34*EXP('Model Inputs &amp; Assumptions'!$T$34*P3408-'Model Inputs &amp; Assumptions'!$T$34^2/2)),0)</f>
        <v>533376</v>
      </c>
      <c r="D3408" s="46" t="n">
        <f aca="false">MIN(1,'Model Inputs &amp; Assumptions'!$U$34*EXP('Model Inputs &amp; Assumptions'!$V$34*Q3408-'Model Inputs &amp; Assumptions'!$V$34^2/2))</f>
        <v>0.23050179940216</v>
      </c>
      <c r="E3408" s="45" t="n">
        <f aca="false">ROUND(C3408*D3408,0)</f>
        <v>122944</v>
      </c>
      <c r="F3408" s="47" t="n">
        <f aca="false">MIN(1,'Model Inputs &amp; Assumptions'!$W$34*EXP('Model Inputs &amp; Assumptions'!$X$34*R3408-'Model Inputs &amp; Assumptions'!$X$34^2/2))</f>
        <v>0.00494473853585109</v>
      </c>
      <c r="G3408" s="45" t="n">
        <f aca="false">ROUND(C3408*F3408,0)</f>
        <v>2637</v>
      </c>
      <c r="H3408" s="48" t="n">
        <f aca="false">MAX(0,(C3408*'Model Inputs &amp; Assumptions'!$N$34+E3408*'Model Inputs &amp; Assumptions'!$O$34+G3408*'Model Inputs &amp; Assumptions'!$P$34)*EXP('Model Inputs &amp; Assumptions'!$Q$34*S3408-'Model Inputs &amp; Assumptions'!$Q$34^2/2))</f>
        <v>96.5387099522193</v>
      </c>
      <c r="I3408" s="49" t="n">
        <f aca="false">IF('Model Inputs &amp; Assumptions'!$H$34="Fixed",'Model Inputs &amp; Assumptions'!$I$34*'Model Inputs &amp; Assumptions'!$K$34,IF('Model Inputs &amp; Assumptions'!$H$34="CPM",'Model Inputs &amp; Assumptions'!$I$34*'Model Inputs &amp; Assumptions'!$K$34*C3408/1000,IF('Model Inputs &amp; Assumptions'!$H$34="CPC",'Model Inputs &amp; Assumptions'!$I$34*'Model Inputs &amp; Assumptions'!$K$34*G3408,0)))</f>
        <v>4878.45</v>
      </c>
      <c r="J3408" s="50" t="n">
        <f aca="false">H3408*INDEX('Model Inputs &amp; Assumptions'!$D$40:$D$42,MATCH('Model Inputs &amp; Assumptions'!$L$34,'Model Inputs &amp; Assumptions'!$A$40:$A$42,0))*INDEX('Model Inputs &amp; Assumptions'!$H$40:$H$42,MATCH('Model Inputs &amp; Assumptions'!$L$34,'Model Inputs &amp; Assumptions'!$A$40:$A$42,0))</f>
        <v>695078.711655979</v>
      </c>
      <c r="K3408" s="49" t="n">
        <f aca="false">H3408*INDEX('Model Inputs &amp; Assumptions'!$G$40:$G$42,MATCH('Model Inputs &amp; Assumptions'!$L$34,'Model Inputs &amp; Assumptions'!$A$40:$A$42,0))*INDEX('Model Inputs &amp; Assumptions'!$H$40:$H$42,MATCH('Model Inputs &amp; Assumptions'!$L$34,'Model Inputs &amp; Assumptions'!$A$40:$A$42,0))</f>
        <v>15326.4855920143</v>
      </c>
      <c r="L3408" s="51" t="n">
        <f aca="false">IFERROR(K3408/I3408,0)</f>
        <v>3.14167114391135</v>
      </c>
      <c r="M3408" s="49" t="n">
        <f aca="false">IFERROR(I3408/H3408,0)</f>
        <v>50.5336149863048</v>
      </c>
      <c r="N3408" s="52" t="str">
        <f aca="false">'Model Inputs &amp; Assumptions'!$L$34</f>
        <v>PRD-USIQ</v>
      </c>
      <c r="P3408" s="53" t="n">
        <v>0.226987</v>
      </c>
      <c r="Q3408" s="53" t="n">
        <v>0.093621</v>
      </c>
      <c r="R3408" s="53" t="n">
        <v>-0.984641</v>
      </c>
      <c r="S3408" s="53" t="n">
        <v>1.514906</v>
      </c>
    </row>
    <row r="3409" customFormat="false" ht="15" hidden="false" customHeight="false" outlineLevel="0" collapsed="false">
      <c r="A3409" s="43" t="n">
        <v>406</v>
      </c>
      <c r="B3409" s="44" t="str">
        <f aca="false">'Model Inputs &amp; Assumptions'!$B$34</f>
        <v>Meta — Lookalike Feed Video</v>
      </c>
      <c r="C3409" s="45" t="n">
        <f aca="false">ROUND(MAX(0,'Model Inputs &amp; Assumptions'!$S$34*EXP('Model Inputs &amp; Assumptions'!$T$34*P3409-'Model Inputs &amp; Assumptions'!$T$34^2/2)),0)</f>
        <v>504368</v>
      </c>
      <c r="D3409" s="46" t="n">
        <f aca="false">MIN(1,'Model Inputs &amp; Assumptions'!$U$34*EXP('Model Inputs &amp; Assumptions'!$V$34*Q3409-'Model Inputs &amp; Assumptions'!$V$34^2/2))</f>
        <v>0.196332040274423</v>
      </c>
      <c r="E3409" s="45" t="n">
        <f aca="false">ROUND(C3409*D3409,0)</f>
        <v>99024</v>
      </c>
      <c r="F3409" s="47" t="n">
        <f aca="false">MIN(1,'Model Inputs &amp; Assumptions'!$W$34*EXP('Model Inputs &amp; Assumptions'!$X$34*R3409-'Model Inputs &amp; Assumptions'!$X$34^2/2))</f>
        <v>0.00530645428474354</v>
      </c>
      <c r="G3409" s="45" t="n">
        <f aca="false">ROUND(C3409*F3409,0)</f>
        <v>2676</v>
      </c>
      <c r="H3409" s="48" t="n">
        <f aca="false">MAX(0,(C3409*'Model Inputs &amp; Assumptions'!$N$34+E3409*'Model Inputs &amp; Assumptions'!$O$34+G3409*'Model Inputs &amp; Assumptions'!$P$34)*EXP('Model Inputs &amp; Assumptions'!$Q$34*S3409-'Model Inputs &amp; Assumptions'!$Q$34^2/2))</f>
        <v>44.0279710819788</v>
      </c>
      <c r="I3409" s="49" t="n">
        <f aca="false">IF('Model Inputs &amp; Assumptions'!$H$34="Fixed",'Model Inputs &amp; Assumptions'!$I$34*'Model Inputs &amp; Assumptions'!$K$34,IF('Model Inputs &amp; Assumptions'!$H$34="CPM",'Model Inputs &amp; Assumptions'!$I$34*'Model Inputs &amp; Assumptions'!$K$34*C3409/1000,IF('Model Inputs &amp; Assumptions'!$H$34="CPC",'Model Inputs &amp; Assumptions'!$I$34*'Model Inputs &amp; Assumptions'!$K$34*G3409,0)))</f>
        <v>4950.6</v>
      </c>
      <c r="J3409" s="50" t="n">
        <f aca="false">H3409*INDEX('Model Inputs &amp; Assumptions'!$D$40:$D$42,MATCH('Model Inputs &amp; Assumptions'!$L$34,'Model Inputs &amp; Assumptions'!$A$40:$A$42,0))*INDEX('Model Inputs &amp; Assumptions'!$H$40:$H$42,MATCH('Model Inputs &amp; Assumptions'!$L$34,'Model Inputs &amp; Assumptions'!$A$40:$A$42,0))</f>
        <v>317001.391790248</v>
      </c>
      <c r="K3409" s="49" t="n">
        <f aca="false">H3409*INDEX('Model Inputs &amp; Assumptions'!$G$40:$G$42,MATCH('Model Inputs &amp; Assumptions'!$L$34,'Model Inputs &amp; Assumptions'!$A$40:$A$42,0))*INDEX('Model Inputs &amp; Assumptions'!$H$40:$H$42,MATCH('Model Inputs &amp; Assumptions'!$L$34,'Model Inputs &amp; Assumptions'!$A$40:$A$42,0))</f>
        <v>6989.88068897496</v>
      </c>
      <c r="L3409" s="51" t="n">
        <f aca="false">IFERROR(K3409/I3409,0)</f>
        <v>1.41192596634246</v>
      </c>
      <c r="M3409" s="49" t="n">
        <f aca="false">IFERROR(I3409/H3409,0)</f>
        <v>112.442156164365</v>
      </c>
      <c r="N3409" s="52" t="str">
        <f aca="false">'Model Inputs &amp; Assumptions'!$L$34</f>
        <v>PRD-USIQ</v>
      </c>
      <c r="P3409" s="53" t="n">
        <v>-0.052609</v>
      </c>
      <c r="Q3409" s="53" t="n">
        <v>-0.9092</v>
      </c>
      <c r="R3409" s="53" t="n">
        <v>-0.59242</v>
      </c>
      <c r="S3409" s="53" t="n">
        <v>-0.88146</v>
      </c>
    </row>
    <row r="3410" customFormat="false" ht="15" hidden="false" customHeight="false" outlineLevel="0" collapsed="false">
      <c r="A3410" s="43" t="n">
        <v>407</v>
      </c>
      <c r="B3410" s="44" t="str">
        <f aca="false">'Model Inputs &amp; Assumptions'!$B$34</f>
        <v>Meta — Lookalike Feed Video</v>
      </c>
      <c r="C3410" s="45" t="n">
        <f aca="false">ROUND(MAX(0,'Model Inputs &amp; Assumptions'!$S$34*EXP('Model Inputs &amp; Assumptions'!$T$34*P3410-'Model Inputs &amp; Assumptions'!$T$34^2/2)),0)</f>
        <v>449766</v>
      </c>
      <c r="D3410" s="46" t="n">
        <f aca="false">MIN(1,'Model Inputs &amp; Assumptions'!$U$34*EXP('Model Inputs &amp; Assumptions'!$V$34*Q3410-'Model Inputs &amp; Assumptions'!$V$34^2/2))</f>
        <v>0.173115082295899</v>
      </c>
      <c r="E3410" s="45" t="n">
        <f aca="false">ROUND(C3410*D3410,0)</f>
        <v>77861</v>
      </c>
      <c r="F3410" s="47" t="n">
        <f aca="false">MIN(1,'Model Inputs &amp; Assumptions'!$W$34*EXP('Model Inputs &amp; Assumptions'!$X$34*R3410-'Model Inputs &amp; Assumptions'!$X$34^2/2))</f>
        <v>0.00497698929623461</v>
      </c>
      <c r="G3410" s="45" t="n">
        <f aca="false">ROUND(C3410*F3410,0)</f>
        <v>2238</v>
      </c>
      <c r="H3410" s="48" t="n">
        <f aca="false">MAX(0,(C3410*'Model Inputs &amp; Assumptions'!$N$34+E3410*'Model Inputs &amp; Assumptions'!$O$34+G3410*'Model Inputs &amp; Assumptions'!$P$34)*EXP('Model Inputs &amp; Assumptions'!$Q$34*S3410-'Model Inputs &amp; Assumptions'!$Q$34^2/2))</f>
        <v>64.3704662767337</v>
      </c>
      <c r="I3410" s="49" t="n">
        <f aca="false">IF('Model Inputs &amp; Assumptions'!$H$34="Fixed",'Model Inputs &amp; Assumptions'!$I$34*'Model Inputs &amp; Assumptions'!$K$34,IF('Model Inputs &amp; Assumptions'!$H$34="CPM",'Model Inputs &amp; Assumptions'!$I$34*'Model Inputs &amp; Assumptions'!$K$34*C3410/1000,IF('Model Inputs &amp; Assumptions'!$H$34="CPC",'Model Inputs &amp; Assumptions'!$I$34*'Model Inputs &amp; Assumptions'!$K$34*G3410,0)))</f>
        <v>4140.3</v>
      </c>
      <c r="J3410" s="50" t="n">
        <f aca="false">H3410*INDEX('Model Inputs &amp; Assumptions'!$D$40:$D$42,MATCH('Model Inputs &amp; Assumptions'!$L$34,'Model Inputs &amp; Assumptions'!$A$40:$A$42,0))*INDEX('Model Inputs &amp; Assumptions'!$H$40:$H$42,MATCH('Model Inputs &amp; Assumptions'!$L$34,'Model Inputs &amp; Assumptions'!$A$40:$A$42,0))</f>
        <v>463467.357192483</v>
      </c>
      <c r="K3410" s="49" t="n">
        <f aca="false">H3410*INDEX('Model Inputs &amp; Assumptions'!$G$40:$G$42,MATCH('Model Inputs &amp; Assumptions'!$L$34,'Model Inputs &amp; Assumptions'!$A$40:$A$42,0))*INDEX('Model Inputs &amp; Assumptions'!$H$40:$H$42,MATCH('Model Inputs &amp; Assumptions'!$L$34,'Model Inputs &amp; Assumptions'!$A$40:$A$42,0))</f>
        <v>10219.4552260942</v>
      </c>
      <c r="L3410" s="51" t="n">
        <f aca="false">IFERROR(K3410/I3410,0)</f>
        <v>2.46828858442486</v>
      </c>
      <c r="M3410" s="49" t="n">
        <f aca="false">IFERROR(I3410/H3410,0)</f>
        <v>64.3198696464389</v>
      </c>
      <c r="N3410" s="52" t="str">
        <f aca="false">'Model Inputs &amp; Assumptions'!$L$34</f>
        <v>PRD-USIQ</v>
      </c>
      <c r="P3410" s="53" t="n">
        <v>-0.625506</v>
      </c>
      <c r="Q3410" s="53" t="n">
        <v>-1.695767</v>
      </c>
      <c r="R3410" s="53" t="n">
        <v>-0.948524</v>
      </c>
      <c r="S3410" s="53" t="n">
        <v>0.888273</v>
      </c>
    </row>
    <row r="3411" customFormat="false" ht="15" hidden="false" customHeight="false" outlineLevel="0" collapsed="false">
      <c r="A3411" s="43" t="n">
        <v>408</v>
      </c>
      <c r="B3411" s="44" t="str">
        <f aca="false">'Model Inputs &amp; Assumptions'!$B$34</f>
        <v>Meta — Lookalike Feed Video</v>
      </c>
      <c r="C3411" s="45" t="n">
        <f aca="false">ROUND(MAX(0,'Model Inputs &amp; Assumptions'!$S$34*EXP('Model Inputs &amp; Assumptions'!$T$34*P3411-'Model Inputs &amp; Assumptions'!$T$34^2/2)),0)</f>
        <v>511096</v>
      </c>
      <c r="D3411" s="46" t="n">
        <f aca="false">MIN(1,'Model Inputs &amp; Assumptions'!$U$34*EXP('Model Inputs &amp; Assumptions'!$V$34*Q3411-'Model Inputs &amp; Assumptions'!$V$34^2/2))</f>
        <v>0.234145413817621</v>
      </c>
      <c r="E3411" s="45" t="n">
        <f aca="false">ROUND(C3411*D3411,0)</f>
        <v>119671</v>
      </c>
      <c r="F3411" s="47" t="n">
        <f aca="false">MIN(1,'Model Inputs &amp; Assumptions'!$W$34*EXP('Model Inputs &amp; Assumptions'!$X$34*R3411-'Model Inputs &amp; Assumptions'!$X$34^2/2))</f>
        <v>0.0082678133719201</v>
      </c>
      <c r="G3411" s="45" t="n">
        <f aca="false">ROUND(C3411*F3411,0)</f>
        <v>4226</v>
      </c>
      <c r="H3411" s="48" t="n">
        <f aca="false">MAX(0,(C3411*'Model Inputs &amp; Assumptions'!$N$34+E3411*'Model Inputs &amp; Assumptions'!$O$34+G3411*'Model Inputs &amp; Assumptions'!$P$34)*EXP('Model Inputs &amp; Assumptions'!$Q$34*S3411-'Model Inputs &amp; Assumptions'!$Q$34^2/2))</f>
        <v>102.822561804087</v>
      </c>
      <c r="I3411" s="49" t="n">
        <f aca="false">IF('Model Inputs &amp; Assumptions'!$H$34="Fixed",'Model Inputs &amp; Assumptions'!$I$34*'Model Inputs &amp; Assumptions'!$K$34,IF('Model Inputs &amp; Assumptions'!$H$34="CPM",'Model Inputs &amp; Assumptions'!$I$34*'Model Inputs &amp; Assumptions'!$K$34*C3411/1000,IF('Model Inputs &amp; Assumptions'!$H$34="CPC",'Model Inputs &amp; Assumptions'!$I$34*'Model Inputs &amp; Assumptions'!$K$34*G3411,0)))</f>
        <v>7818.1</v>
      </c>
      <c r="J3411" s="50" t="n">
        <f aca="false">H3411*INDEX('Model Inputs &amp; Assumptions'!$D$40:$D$42,MATCH('Model Inputs &amp; Assumptions'!$L$34,'Model Inputs &amp; Assumptions'!$A$40:$A$42,0))*INDEX('Model Inputs &amp; Assumptions'!$H$40:$H$42,MATCH('Model Inputs &amp; Assumptions'!$L$34,'Model Inputs &amp; Assumptions'!$A$40:$A$42,0))</f>
        <v>740322.44498943</v>
      </c>
      <c r="K3411" s="49" t="n">
        <f aca="false">H3411*INDEX('Model Inputs &amp; Assumptions'!$G$40:$G$42,MATCH('Model Inputs &amp; Assumptions'!$L$34,'Model Inputs &amp; Assumptions'!$A$40:$A$42,0))*INDEX('Model Inputs &amp; Assumptions'!$H$40:$H$42,MATCH('Model Inputs &amp; Assumptions'!$L$34,'Model Inputs &amp; Assumptions'!$A$40:$A$42,0))</f>
        <v>16324.1099120169</v>
      </c>
      <c r="L3411" s="51" t="n">
        <f aca="false">IFERROR(K3411/I3411,0)</f>
        <v>2.08798939793772</v>
      </c>
      <c r="M3411" s="49" t="n">
        <f aca="false">IFERROR(I3411/H3411,0)</f>
        <v>76.0348688344897</v>
      </c>
      <c r="N3411" s="52" t="str">
        <f aca="false">'Model Inputs &amp; Assumptions'!$L$34</f>
        <v>PRD-USIQ</v>
      </c>
      <c r="P3411" s="53" t="n">
        <v>0.013645</v>
      </c>
      <c r="Q3411" s="53" t="n">
        <v>0.191644</v>
      </c>
      <c r="R3411" s="53" t="n">
        <v>1.87117</v>
      </c>
      <c r="S3411" s="53" t="n">
        <v>0.437231</v>
      </c>
    </row>
    <row r="3412" customFormat="false" ht="15" hidden="false" customHeight="false" outlineLevel="0" collapsed="false">
      <c r="A3412" s="43" t="n">
        <v>409</v>
      </c>
      <c r="B3412" s="44" t="str">
        <f aca="false">'Model Inputs &amp; Assumptions'!$B$34</f>
        <v>Meta — Lookalike Feed Video</v>
      </c>
      <c r="C3412" s="45" t="n">
        <f aca="false">ROUND(MAX(0,'Model Inputs &amp; Assumptions'!$S$34*EXP('Model Inputs &amp; Assumptions'!$T$34*P3412-'Model Inputs &amp; Assumptions'!$T$34^2/2)),0)</f>
        <v>603692</v>
      </c>
      <c r="D3412" s="46" t="n">
        <f aca="false">MIN(1,'Model Inputs &amp; Assumptions'!$U$34*EXP('Model Inputs &amp; Assumptions'!$V$34*Q3412-'Model Inputs &amp; Assumptions'!$V$34^2/2))</f>
        <v>0.232488571486663</v>
      </c>
      <c r="E3412" s="45" t="n">
        <f aca="false">ROUND(C3412*D3412,0)</f>
        <v>140351</v>
      </c>
      <c r="F3412" s="47" t="n">
        <f aca="false">MIN(1,'Model Inputs &amp; Assumptions'!$W$34*EXP('Model Inputs &amp; Assumptions'!$X$34*R3412-'Model Inputs &amp; Assumptions'!$X$34^2/2))</f>
        <v>0.0064576945237534</v>
      </c>
      <c r="G3412" s="45" t="n">
        <f aca="false">ROUND(C3412*F3412,0)</f>
        <v>3898</v>
      </c>
      <c r="H3412" s="48" t="n">
        <f aca="false">MAX(0,(C3412*'Model Inputs &amp; Assumptions'!$N$34+E3412*'Model Inputs &amp; Assumptions'!$O$34+G3412*'Model Inputs &amp; Assumptions'!$P$34)*EXP('Model Inputs &amp; Assumptions'!$Q$34*S3412-'Model Inputs &amp; Assumptions'!$Q$34^2/2))</f>
        <v>93.6461575705637</v>
      </c>
      <c r="I3412" s="49" t="n">
        <f aca="false">IF('Model Inputs &amp; Assumptions'!$H$34="Fixed",'Model Inputs &amp; Assumptions'!$I$34*'Model Inputs &amp; Assumptions'!$K$34,IF('Model Inputs &amp; Assumptions'!$H$34="CPM",'Model Inputs &amp; Assumptions'!$I$34*'Model Inputs &amp; Assumptions'!$K$34*C3412/1000,IF('Model Inputs &amp; Assumptions'!$H$34="CPC",'Model Inputs &amp; Assumptions'!$I$34*'Model Inputs &amp; Assumptions'!$K$34*G3412,0)))</f>
        <v>7211.3</v>
      </c>
      <c r="J3412" s="50" t="n">
        <f aca="false">H3412*INDEX('Model Inputs &amp; Assumptions'!$D$40:$D$42,MATCH('Model Inputs &amp; Assumptions'!$L$34,'Model Inputs &amp; Assumptions'!$A$40:$A$42,0))*INDEX('Model Inputs &amp; Assumptions'!$H$40:$H$42,MATCH('Model Inputs &amp; Assumptions'!$L$34,'Model Inputs &amp; Assumptions'!$A$40:$A$42,0))</f>
        <v>674252.334508058</v>
      </c>
      <c r="K3412" s="49" t="n">
        <f aca="false">H3412*INDEX('Model Inputs &amp; Assumptions'!$G$40:$G$42,MATCH('Model Inputs &amp; Assumptions'!$L$34,'Model Inputs &amp; Assumptions'!$A$40:$A$42,0))*INDEX('Model Inputs &amp; Assumptions'!$H$40:$H$42,MATCH('Model Inputs &amp; Assumptions'!$L$34,'Model Inputs &amp; Assumptions'!$A$40:$A$42,0))</f>
        <v>14867.2639759027</v>
      </c>
      <c r="L3412" s="51" t="n">
        <f aca="false">IFERROR(K3412/I3412,0)</f>
        <v>2.06166211028562</v>
      </c>
      <c r="M3412" s="49" t="n">
        <f aca="false">IFERROR(I3412/H3412,0)</f>
        <v>77.0058290385934</v>
      </c>
      <c r="N3412" s="52" t="str">
        <f aca="false">'Model Inputs &amp; Assumptions'!$L$34</f>
        <v>PRD-USIQ</v>
      </c>
      <c r="P3412" s="53" t="n">
        <v>0.846173</v>
      </c>
      <c r="Q3412" s="53" t="n">
        <v>0.147261</v>
      </c>
      <c r="R3412" s="53" t="n">
        <v>0.498405</v>
      </c>
      <c r="S3412" s="53" t="n">
        <v>0.312425</v>
      </c>
    </row>
    <row r="3413" customFormat="false" ht="15" hidden="false" customHeight="false" outlineLevel="0" collapsed="false">
      <c r="A3413" s="43" t="n">
        <v>410</v>
      </c>
      <c r="B3413" s="44" t="str">
        <f aca="false">'Model Inputs &amp; Assumptions'!$B$34</f>
        <v>Meta — Lookalike Feed Video</v>
      </c>
      <c r="C3413" s="45" t="n">
        <f aca="false">ROUND(MAX(0,'Model Inputs &amp; Assumptions'!$S$34*EXP('Model Inputs &amp; Assumptions'!$T$34*P3413-'Model Inputs &amp; Assumptions'!$T$34^2/2)),0)</f>
        <v>404837</v>
      </c>
      <c r="D3413" s="46" t="n">
        <f aca="false">MIN(1,'Model Inputs &amp; Assumptions'!$U$34*EXP('Model Inputs &amp; Assumptions'!$V$34*Q3413-'Model Inputs &amp; Assumptions'!$V$34^2/2))</f>
        <v>0.168459328862758</v>
      </c>
      <c r="E3413" s="45" t="n">
        <f aca="false">ROUND(C3413*D3413,0)</f>
        <v>68199</v>
      </c>
      <c r="F3413" s="47" t="n">
        <f aca="false">MIN(1,'Model Inputs &amp; Assumptions'!$W$34*EXP('Model Inputs &amp; Assumptions'!$X$34*R3413-'Model Inputs &amp; Assumptions'!$X$34^2/2))</f>
        <v>0.00652543076874458</v>
      </c>
      <c r="G3413" s="45" t="n">
        <f aca="false">ROUND(C3413*F3413,0)</f>
        <v>2642</v>
      </c>
      <c r="H3413" s="48" t="n">
        <f aca="false">MAX(0,(C3413*'Model Inputs &amp; Assumptions'!$N$34+E3413*'Model Inputs &amp; Assumptions'!$O$34+G3413*'Model Inputs &amp; Assumptions'!$P$34)*EXP('Model Inputs &amp; Assumptions'!$Q$34*S3413-'Model Inputs &amp; Assumptions'!$Q$34^2/2))</f>
        <v>52.6277795184346</v>
      </c>
      <c r="I3413" s="49" t="n">
        <f aca="false">IF('Model Inputs &amp; Assumptions'!$H$34="Fixed",'Model Inputs &amp; Assumptions'!$I$34*'Model Inputs &amp; Assumptions'!$K$34,IF('Model Inputs &amp; Assumptions'!$H$34="CPM",'Model Inputs &amp; Assumptions'!$I$34*'Model Inputs &amp; Assumptions'!$K$34*C3413/1000,IF('Model Inputs &amp; Assumptions'!$H$34="CPC",'Model Inputs &amp; Assumptions'!$I$34*'Model Inputs &amp; Assumptions'!$K$34*G3413,0)))</f>
        <v>4887.7</v>
      </c>
      <c r="J3413" s="50" t="n">
        <f aca="false">H3413*INDEX('Model Inputs &amp; Assumptions'!$D$40:$D$42,MATCH('Model Inputs &amp; Assumptions'!$L$34,'Model Inputs &amp; Assumptions'!$A$40:$A$42,0))*INDEX('Model Inputs &amp; Assumptions'!$H$40:$H$42,MATCH('Model Inputs &amp; Assumptions'!$L$34,'Model Inputs &amp; Assumptions'!$A$40:$A$42,0))</f>
        <v>378920.012532729</v>
      </c>
      <c r="K3413" s="49" t="n">
        <f aca="false">H3413*INDEX('Model Inputs &amp; Assumptions'!$G$40:$G$42,MATCH('Model Inputs &amp; Assumptions'!$L$34,'Model Inputs &amp; Assumptions'!$A$40:$A$42,0))*INDEX('Model Inputs &amp; Assumptions'!$H$40:$H$42,MATCH('Model Inputs &amp; Assumptions'!$L$34,'Model Inputs &amp; Assumptions'!$A$40:$A$42,0))</f>
        <v>8355.18627634667</v>
      </c>
      <c r="L3413" s="51" t="n">
        <f aca="false">IFERROR(K3413/I3413,0)</f>
        <v>1.7094310772647</v>
      </c>
      <c r="M3413" s="49" t="n">
        <f aca="false">IFERROR(I3413/H3413,0)</f>
        <v>92.8730044232234</v>
      </c>
      <c r="N3413" s="52" t="str">
        <f aca="false">'Model Inputs &amp; Assumptions'!$L$34</f>
        <v>PRD-USIQ</v>
      </c>
      <c r="P3413" s="53" t="n">
        <v>-1.151723</v>
      </c>
      <c r="Q3413" s="53" t="n">
        <v>-1.866156</v>
      </c>
      <c r="R3413" s="53" t="n">
        <v>0.556375</v>
      </c>
      <c r="S3413" s="53" t="n">
        <v>-0.15965</v>
      </c>
    </row>
    <row r="3414" customFormat="false" ht="15" hidden="false" customHeight="false" outlineLevel="0" collapsed="false">
      <c r="A3414" s="43" t="n">
        <v>411</v>
      </c>
      <c r="B3414" s="44" t="str">
        <f aca="false">'Model Inputs &amp; Assumptions'!$B$34</f>
        <v>Meta — Lookalike Feed Video</v>
      </c>
      <c r="C3414" s="45" t="n">
        <f aca="false">ROUND(MAX(0,'Model Inputs &amp; Assumptions'!$S$34*EXP('Model Inputs &amp; Assumptions'!$T$34*P3414-'Model Inputs &amp; Assumptions'!$T$34^2/2)),0)</f>
        <v>465746</v>
      </c>
      <c r="D3414" s="46" t="n">
        <f aca="false">MIN(1,'Model Inputs &amp; Assumptions'!$U$34*EXP('Model Inputs &amp; Assumptions'!$V$34*Q3414-'Model Inputs &amp; Assumptions'!$V$34^2/2))</f>
        <v>0.312522038197911</v>
      </c>
      <c r="E3414" s="45" t="n">
        <f aca="false">ROUND(C3414*D3414,0)</f>
        <v>145556</v>
      </c>
      <c r="F3414" s="47" t="n">
        <f aca="false">MIN(1,'Model Inputs &amp; Assumptions'!$W$34*EXP('Model Inputs &amp; Assumptions'!$X$34*R3414-'Model Inputs &amp; Assumptions'!$X$34^2/2))</f>
        <v>0.0067159505033481</v>
      </c>
      <c r="G3414" s="45" t="n">
        <f aca="false">ROUND(C3414*F3414,0)</f>
        <v>3128</v>
      </c>
      <c r="H3414" s="48" t="n">
        <f aca="false">MAX(0,(C3414*'Model Inputs &amp; Assumptions'!$N$34+E3414*'Model Inputs &amp; Assumptions'!$O$34+G3414*'Model Inputs &amp; Assumptions'!$P$34)*EXP('Model Inputs &amp; Assumptions'!$Q$34*S3414-'Model Inputs &amp; Assumptions'!$Q$34^2/2))</f>
        <v>78.7636854192807</v>
      </c>
      <c r="I3414" s="49" t="n">
        <f aca="false">IF('Model Inputs &amp; Assumptions'!$H$34="Fixed",'Model Inputs &amp; Assumptions'!$I$34*'Model Inputs &amp; Assumptions'!$K$34,IF('Model Inputs &amp; Assumptions'!$H$34="CPM",'Model Inputs &amp; Assumptions'!$I$34*'Model Inputs &amp; Assumptions'!$K$34*C3414/1000,IF('Model Inputs &amp; Assumptions'!$H$34="CPC",'Model Inputs &amp; Assumptions'!$I$34*'Model Inputs &amp; Assumptions'!$K$34*G3414,0)))</f>
        <v>5786.8</v>
      </c>
      <c r="J3414" s="50" t="n">
        <f aca="false">H3414*INDEX('Model Inputs &amp; Assumptions'!$D$40:$D$42,MATCH('Model Inputs &amp; Assumptions'!$L$34,'Model Inputs &amp; Assumptions'!$A$40:$A$42,0))*INDEX('Model Inputs &amp; Assumptions'!$H$40:$H$42,MATCH('Model Inputs &amp; Assumptions'!$L$34,'Model Inputs &amp; Assumptions'!$A$40:$A$42,0))</f>
        <v>567098.535018821</v>
      </c>
      <c r="K3414" s="49" t="n">
        <f aca="false">H3414*INDEX('Model Inputs &amp; Assumptions'!$G$40:$G$42,MATCH('Model Inputs &amp; Assumptions'!$L$34,'Model Inputs &amp; Assumptions'!$A$40:$A$42,0))*INDEX('Model Inputs &amp; Assumptions'!$H$40:$H$42,MATCH('Model Inputs &amp; Assumptions'!$L$34,'Model Inputs &amp; Assumptions'!$A$40:$A$42,0))</f>
        <v>12504.522697165</v>
      </c>
      <c r="L3414" s="51" t="n">
        <f aca="false">IFERROR(K3414/I3414,0)</f>
        <v>2.1608700313066</v>
      </c>
      <c r="M3414" s="49" t="n">
        <f aca="false">IFERROR(I3414/H3414,0)</f>
        <v>73.4704066879968</v>
      </c>
      <c r="N3414" s="52" t="str">
        <f aca="false">'Model Inputs &amp; Assumptions'!$L$34</f>
        <v>PRD-USIQ</v>
      </c>
      <c r="P3414" s="53" t="n">
        <v>-0.450937</v>
      </c>
      <c r="Q3414" s="53" t="n">
        <v>1.996223</v>
      </c>
      <c r="R3414" s="53" t="n">
        <v>0.716255</v>
      </c>
      <c r="S3414" s="53" t="n">
        <v>0.346336</v>
      </c>
    </row>
    <row r="3415" customFormat="false" ht="15" hidden="false" customHeight="false" outlineLevel="0" collapsed="false">
      <c r="A3415" s="43" t="n">
        <v>412</v>
      </c>
      <c r="B3415" s="44" t="str">
        <f aca="false">'Model Inputs &amp; Assumptions'!$B$34</f>
        <v>Meta — Lookalike Feed Video</v>
      </c>
      <c r="C3415" s="45" t="n">
        <f aca="false">ROUND(MAX(0,'Model Inputs &amp; Assumptions'!$S$34*EXP('Model Inputs &amp; Assumptions'!$T$34*P3415-'Model Inputs &amp; Assumptions'!$T$34^2/2)),0)</f>
        <v>482318</v>
      </c>
      <c r="D3415" s="46" t="n">
        <f aca="false">MIN(1,'Model Inputs &amp; Assumptions'!$U$34*EXP('Model Inputs &amp; Assumptions'!$V$34*Q3415-'Model Inputs &amp; Assumptions'!$V$34^2/2))</f>
        <v>0.187726123150255</v>
      </c>
      <c r="E3415" s="45" t="n">
        <f aca="false">ROUND(C3415*D3415,0)</f>
        <v>90544</v>
      </c>
      <c r="F3415" s="47" t="n">
        <f aca="false">MIN(1,'Model Inputs &amp; Assumptions'!$W$34*EXP('Model Inputs &amp; Assumptions'!$X$34*R3415-'Model Inputs &amp; Assumptions'!$X$34^2/2))</f>
        <v>0.0048032077176489</v>
      </c>
      <c r="G3415" s="45" t="n">
        <f aca="false">ROUND(C3415*F3415,0)</f>
        <v>2317</v>
      </c>
      <c r="H3415" s="48" t="n">
        <f aca="false">MAX(0,(C3415*'Model Inputs &amp; Assumptions'!$N$34+E3415*'Model Inputs &amp; Assumptions'!$O$34+G3415*'Model Inputs &amp; Assumptions'!$P$34)*EXP('Model Inputs &amp; Assumptions'!$Q$34*S3415-'Model Inputs &amp; Assumptions'!$Q$34^2/2))</f>
        <v>61.8546227969305</v>
      </c>
      <c r="I3415" s="49" t="n">
        <f aca="false">IF('Model Inputs &amp; Assumptions'!$H$34="Fixed",'Model Inputs &amp; Assumptions'!$I$34*'Model Inputs &amp; Assumptions'!$K$34,IF('Model Inputs &amp; Assumptions'!$H$34="CPM",'Model Inputs &amp; Assumptions'!$I$34*'Model Inputs &amp; Assumptions'!$K$34*C3415/1000,IF('Model Inputs &amp; Assumptions'!$H$34="CPC",'Model Inputs &amp; Assumptions'!$I$34*'Model Inputs &amp; Assumptions'!$K$34*G3415,0)))</f>
        <v>4286.45</v>
      </c>
      <c r="J3415" s="50" t="n">
        <f aca="false">H3415*INDEX('Model Inputs &amp; Assumptions'!$D$40:$D$42,MATCH('Model Inputs &amp; Assumptions'!$L$34,'Model Inputs &amp; Assumptions'!$A$40:$A$42,0))*INDEX('Model Inputs &amp; Assumptions'!$H$40:$H$42,MATCH('Model Inputs &amp; Assumptions'!$L$34,'Model Inputs &amp; Assumptions'!$A$40:$A$42,0))</f>
        <v>445353.284137899</v>
      </c>
      <c r="K3415" s="49" t="n">
        <f aca="false">H3415*INDEX('Model Inputs &amp; Assumptions'!$G$40:$G$42,MATCH('Model Inputs &amp; Assumptions'!$L$34,'Model Inputs &amp; Assumptions'!$A$40:$A$42,0))*INDEX('Model Inputs &amp; Assumptions'!$H$40:$H$42,MATCH('Model Inputs &amp; Assumptions'!$L$34,'Model Inputs &amp; Assumptions'!$A$40:$A$42,0))</f>
        <v>9820.03991524068</v>
      </c>
      <c r="L3415" s="51" t="n">
        <f aca="false">IFERROR(K3415/I3415,0)</f>
        <v>2.29094936724812</v>
      </c>
      <c r="M3415" s="49" t="n">
        <f aca="false">IFERROR(I3415/H3415,0)</f>
        <v>69.2987816621641</v>
      </c>
      <c r="N3415" s="52" t="str">
        <f aca="false">'Model Inputs &amp; Assumptions'!$L$34</f>
        <v>PRD-USIQ</v>
      </c>
      <c r="P3415" s="53" t="n">
        <v>-0.276123</v>
      </c>
      <c r="Q3415" s="53" t="n">
        <v>-1.189345</v>
      </c>
      <c r="R3415" s="53" t="n">
        <v>-1.145975</v>
      </c>
      <c r="S3415" s="53" t="n">
        <v>0.608579</v>
      </c>
    </row>
    <row r="3416" customFormat="false" ht="15" hidden="false" customHeight="false" outlineLevel="0" collapsed="false">
      <c r="A3416" s="43" t="n">
        <v>413</v>
      </c>
      <c r="B3416" s="44" t="str">
        <f aca="false">'Model Inputs &amp; Assumptions'!$B$34</f>
        <v>Meta — Lookalike Feed Video</v>
      </c>
      <c r="C3416" s="45" t="n">
        <f aca="false">ROUND(MAX(0,'Model Inputs &amp; Assumptions'!$S$34*EXP('Model Inputs &amp; Assumptions'!$T$34*P3416-'Model Inputs &amp; Assumptions'!$T$34^2/2)),0)</f>
        <v>414582</v>
      </c>
      <c r="D3416" s="46" t="n">
        <f aca="false">MIN(1,'Model Inputs &amp; Assumptions'!$U$34*EXP('Model Inputs &amp; Assumptions'!$V$34*Q3416-'Model Inputs &amp; Assumptions'!$V$34^2/2))</f>
        <v>0.179080364526742</v>
      </c>
      <c r="E3416" s="45" t="n">
        <f aca="false">ROUND(C3416*D3416,0)</f>
        <v>74243</v>
      </c>
      <c r="F3416" s="47" t="n">
        <f aca="false">MIN(1,'Model Inputs &amp; Assumptions'!$W$34*EXP('Model Inputs &amp; Assumptions'!$X$34*R3416-'Model Inputs &amp; Assumptions'!$X$34^2/2))</f>
        <v>0.00654307912720504</v>
      </c>
      <c r="G3416" s="45" t="n">
        <f aca="false">ROUND(C3416*F3416,0)</f>
        <v>2713</v>
      </c>
      <c r="H3416" s="48" t="n">
        <f aca="false">MAX(0,(C3416*'Model Inputs &amp; Assumptions'!$N$34+E3416*'Model Inputs &amp; Assumptions'!$O$34+G3416*'Model Inputs &amp; Assumptions'!$P$34)*EXP('Model Inputs &amp; Assumptions'!$Q$34*S3416-'Model Inputs &amp; Assumptions'!$Q$34^2/2))</f>
        <v>38.109832890309</v>
      </c>
      <c r="I3416" s="49" t="n">
        <f aca="false">IF('Model Inputs &amp; Assumptions'!$H$34="Fixed",'Model Inputs &amp; Assumptions'!$I$34*'Model Inputs &amp; Assumptions'!$K$34,IF('Model Inputs &amp; Assumptions'!$H$34="CPM",'Model Inputs &amp; Assumptions'!$I$34*'Model Inputs &amp; Assumptions'!$K$34*C3416/1000,IF('Model Inputs &amp; Assumptions'!$H$34="CPC",'Model Inputs &amp; Assumptions'!$I$34*'Model Inputs &amp; Assumptions'!$K$34*G3416,0)))</f>
        <v>5019.05</v>
      </c>
      <c r="J3416" s="50" t="n">
        <f aca="false">H3416*INDEX('Model Inputs &amp; Assumptions'!$D$40:$D$42,MATCH('Model Inputs &amp; Assumptions'!$L$34,'Model Inputs &amp; Assumptions'!$A$40:$A$42,0))*INDEX('Model Inputs &amp; Assumptions'!$H$40:$H$42,MATCH('Model Inputs &amp; Assumptions'!$L$34,'Model Inputs &amp; Assumptions'!$A$40:$A$42,0))</f>
        <v>274390.796810225</v>
      </c>
      <c r="K3416" s="49" t="n">
        <f aca="false">H3416*INDEX('Model Inputs &amp; Assumptions'!$G$40:$G$42,MATCH('Model Inputs &amp; Assumptions'!$L$34,'Model Inputs &amp; Assumptions'!$A$40:$A$42,0))*INDEX('Model Inputs &amp; Assumptions'!$H$40:$H$42,MATCH('Model Inputs &amp; Assumptions'!$L$34,'Model Inputs &amp; Assumptions'!$A$40:$A$42,0))</f>
        <v>6050.31706966546</v>
      </c>
      <c r="L3416" s="51" t="n">
        <f aca="false">IFERROR(K3416/I3416,0)</f>
        <v>1.20547057105736</v>
      </c>
      <c r="M3416" s="49" t="n">
        <f aca="false">IFERROR(I3416/H3416,0)</f>
        <v>131.6996066198</v>
      </c>
      <c r="N3416" s="52" t="str">
        <f aca="false">'Model Inputs &amp; Assumptions'!$L$34</f>
        <v>PRD-USIQ</v>
      </c>
      <c r="P3416" s="53" t="n">
        <v>-1.032788</v>
      </c>
      <c r="Q3416" s="53" t="n">
        <v>-1.484029</v>
      </c>
      <c r="R3416" s="53" t="n">
        <v>0.57138</v>
      </c>
      <c r="S3416" s="53" t="n">
        <v>-1.268721</v>
      </c>
    </row>
    <row r="3417" customFormat="false" ht="15" hidden="false" customHeight="false" outlineLevel="0" collapsed="false">
      <c r="A3417" s="43" t="n">
        <v>414</v>
      </c>
      <c r="B3417" s="44" t="str">
        <f aca="false">'Model Inputs &amp; Assumptions'!$B$34</f>
        <v>Meta — Lookalike Feed Video</v>
      </c>
      <c r="C3417" s="45" t="n">
        <f aca="false">ROUND(MAX(0,'Model Inputs &amp; Assumptions'!$S$34*EXP('Model Inputs &amp; Assumptions'!$T$34*P3417-'Model Inputs &amp; Assumptions'!$T$34^2/2)),0)</f>
        <v>553580</v>
      </c>
      <c r="D3417" s="46" t="n">
        <f aca="false">MIN(1,'Model Inputs &amp; Assumptions'!$U$34*EXP('Model Inputs &amp; Assumptions'!$V$34*Q3417-'Model Inputs &amp; Assumptions'!$V$34^2/2))</f>
        <v>0.197365257089541</v>
      </c>
      <c r="E3417" s="45" t="n">
        <f aca="false">ROUND(C3417*D3417,0)</f>
        <v>109257</v>
      </c>
      <c r="F3417" s="47" t="n">
        <f aca="false">MIN(1,'Model Inputs &amp; Assumptions'!$W$34*EXP('Model Inputs &amp; Assumptions'!$X$34*R3417-'Model Inputs &amp; Assumptions'!$X$34^2/2))</f>
        <v>0.00735305394190858</v>
      </c>
      <c r="G3417" s="45" t="n">
        <f aca="false">ROUND(C3417*F3417,0)</f>
        <v>4071</v>
      </c>
      <c r="H3417" s="48" t="n">
        <f aca="false">MAX(0,(C3417*'Model Inputs &amp; Assumptions'!$N$34+E3417*'Model Inputs &amp; Assumptions'!$O$34+G3417*'Model Inputs &amp; Assumptions'!$P$34)*EXP('Model Inputs &amp; Assumptions'!$Q$34*S3417-'Model Inputs &amp; Assumptions'!$Q$34^2/2))</f>
        <v>70.7547223216998</v>
      </c>
      <c r="I3417" s="49" t="n">
        <f aca="false">IF('Model Inputs &amp; Assumptions'!$H$34="Fixed",'Model Inputs &amp; Assumptions'!$I$34*'Model Inputs &amp; Assumptions'!$K$34,IF('Model Inputs &amp; Assumptions'!$H$34="CPM",'Model Inputs &amp; Assumptions'!$I$34*'Model Inputs &amp; Assumptions'!$K$34*C3417/1000,IF('Model Inputs &amp; Assumptions'!$H$34="CPC",'Model Inputs &amp; Assumptions'!$I$34*'Model Inputs &amp; Assumptions'!$K$34*G3417,0)))</f>
        <v>7531.35</v>
      </c>
      <c r="J3417" s="50" t="n">
        <f aca="false">H3417*INDEX('Model Inputs &amp; Assumptions'!$D$40:$D$42,MATCH('Model Inputs &amp; Assumptions'!$L$34,'Model Inputs &amp; Assumptions'!$A$40:$A$42,0))*INDEX('Model Inputs &amp; Assumptions'!$H$40:$H$42,MATCH('Model Inputs &amp; Assumptions'!$L$34,'Model Inputs &amp; Assumptions'!$A$40:$A$42,0))</f>
        <v>509434.000716239</v>
      </c>
      <c r="K3417" s="49" t="n">
        <f aca="false">H3417*INDEX('Model Inputs &amp; Assumptions'!$G$40:$G$42,MATCH('Model Inputs &amp; Assumptions'!$L$34,'Model Inputs &amp; Assumptions'!$A$40:$A$42,0))*INDEX('Model Inputs &amp; Assumptions'!$H$40:$H$42,MATCH('Model Inputs &amp; Assumptions'!$L$34,'Model Inputs &amp; Assumptions'!$A$40:$A$42,0))</f>
        <v>11233.0197157931</v>
      </c>
      <c r="L3417" s="51" t="n">
        <f aca="false">IFERROR(K3417/I3417,0)</f>
        <v>1.4915014858947</v>
      </c>
      <c r="M3417" s="49" t="n">
        <f aca="false">IFERROR(I3417/H3417,0)</f>
        <v>106.443071965674</v>
      </c>
      <c r="N3417" s="52" t="str">
        <f aca="false">'Model Inputs &amp; Assumptions'!$L$34</f>
        <v>PRD-USIQ</v>
      </c>
      <c r="P3417" s="53" t="n">
        <v>0.412887</v>
      </c>
      <c r="Q3417" s="53" t="n">
        <v>-0.876395</v>
      </c>
      <c r="R3417" s="53" t="n">
        <v>1.219757</v>
      </c>
      <c r="S3417" s="53" t="n">
        <v>-0.597415</v>
      </c>
    </row>
    <row r="3418" customFormat="false" ht="15" hidden="false" customHeight="false" outlineLevel="0" collapsed="false">
      <c r="A3418" s="43" t="n">
        <v>415</v>
      </c>
      <c r="B3418" s="44" t="str">
        <f aca="false">'Model Inputs &amp; Assumptions'!$B$34</f>
        <v>Meta — Lookalike Feed Video</v>
      </c>
      <c r="C3418" s="45" t="n">
        <f aca="false">ROUND(MAX(0,'Model Inputs &amp; Assumptions'!$S$34*EXP('Model Inputs &amp; Assumptions'!$T$34*P3418-'Model Inputs &amp; Assumptions'!$T$34^2/2)),0)</f>
        <v>686426</v>
      </c>
      <c r="D3418" s="46" t="n">
        <f aca="false">MIN(1,'Model Inputs &amp; Assumptions'!$U$34*EXP('Model Inputs &amp; Assumptions'!$V$34*Q3418-'Model Inputs &amp; Assumptions'!$V$34^2/2))</f>
        <v>0.285454460622967</v>
      </c>
      <c r="E3418" s="45" t="n">
        <f aca="false">ROUND(C3418*D3418,0)</f>
        <v>195943</v>
      </c>
      <c r="F3418" s="47" t="n">
        <f aca="false">MIN(1,'Model Inputs &amp; Assumptions'!$W$34*EXP('Model Inputs &amp; Assumptions'!$X$34*R3418-'Model Inputs &amp; Assumptions'!$X$34^2/2))</f>
        <v>0.00749182832013649</v>
      </c>
      <c r="G3418" s="45" t="n">
        <f aca="false">ROUND(C3418*F3418,0)</f>
        <v>5143</v>
      </c>
      <c r="H3418" s="48" t="n">
        <f aca="false">MAX(0,(C3418*'Model Inputs &amp; Assumptions'!$N$34+E3418*'Model Inputs &amp; Assumptions'!$O$34+G3418*'Model Inputs &amp; Assumptions'!$P$34)*EXP('Model Inputs &amp; Assumptions'!$Q$34*S3418-'Model Inputs &amp; Assumptions'!$Q$34^2/2))</f>
        <v>103.387227323488</v>
      </c>
      <c r="I3418" s="49" t="n">
        <f aca="false">IF('Model Inputs &amp; Assumptions'!$H$34="Fixed",'Model Inputs &amp; Assumptions'!$I$34*'Model Inputs &amp; Assumptions'!$K$34,IF('Model Inputs &amp; Assumptions'!$H$34="CPM",'Model Inputs &amp; Assumptions'!$I$34*'Model Inputs &amp; Assumptions'!$K$34*C3418/1000,IF('Model Inputs &amp; Assumptions'!$H$34="CPC",'Model Inputs &amp; Assumptions'!$I$34*'Model Inputs &amp; Assumptions'!$K$34*G3418,0)))</f>
        <v>9514.55</v>
      </c>
      <c r="J3418" s="50" t="n">
        <f aca="false">H3418*INDEX('Model Inputs &amp; Assumptions'!$D$40:$D$42,MATCH('Model Inputs &amp; Assumptions'!$L$34,'Model Inputs &amp; Assumptions'!$A$40:$A$42,0))*INDEX('Model Inputs &amp; Assumptions'!$H$40:$H$42,MATCH('Model Inputs &amp; Assumptions'!$L$34,'Model Inputs &amp; Assumptions'!$A$40:$A$42,0))</f>
        <v>744388.036729111</v>
      </c>
      <c r="K3418" s="49" t="n">
        <f aca="false">H3418*INDEX('Model Inputs &amp; Assumptions'!$G$40:$G$42,MATCH('Model Inputs &amp; Assumptions'!$L$34,'Model Inputs &amp; Assumptions'!$A$40:$A$42,0))*INDEX('Model Inputs &amp; Assumptions'!$H$40:$H$42,MATCH('Model Inputs &amp; Assumptions'!$L$34,'Model Inputs &amp; Assumptions'!$A$40:$A$42,0))</f>
        <v>16413.7562098769</v>
      </c>
      <c r="L3418" s="51" t="n">
        <f aca="false">IFERROR(K3418/I3418,0)</f>
        <v>1.72512165156281</v>
      </c>
      <c r="M3418" s="49" t="n">
        <f aca="false">IFERROR(I3418/H3418,0)</f>
        <v>92.0282925300819</v>
      </c>
      <c r="N3418" s="52" t="str">
        <f aca="false">'Model Inputs &amp; Assumptions'!$L$34</f>
        <v>PRD-USIQ</v>
      </c>
      <c r="P3418" s="53" t="n">
        <v>1.488348</v>
      </c>
      <c r="Q3418" s="53" t="n">
        <v>1.43002</v>
      </c>
      <c r="R3418" s="53" t="n">
        <v>1.32363</v>
      </c>
      <c r="S3418" s="53" t="n">
        <v>-0.267283</v>
      </c>
    </row>
    <row r="3419" customFormat="false" ht="15" hidden="false" customHeight="false" outlineLevel="0" collapsed="false">
      <c r="A3419" s="43" t="n">
        <v>416</v>
      </c>
      <c r="B3419" s="44" t="str">
        <f aca="false">'Model Inputs &amp; Assumptions'!$B$34</f>
        <v>Meta — Lookalike Feed Video</v>
      </c>
      <c r="C3419" s="45" t="n">
        <f aca="false">ROUND(MAX(0,'Model Inputs &amp; Assumptions'!$S$34*EXP('Model Inputs &amp; Assumptions'!$T$34*P3419-'Model Inputs &amp; Assumptions'!$T$34^2/2)),0)</f>
        <v>460757</v>
      </c>
      <c r="D3419" s="46" t="n">
        <f aca="false">MIN(1,'Model Inputs &amp; Assumptions'!$U$34*EXP('Model Inputs &amp; Assumptions'!$V$34*Q3419-'Model Inputs &amp; Assumptions'!$V$34^2/2))</f>
        <v>0.230139698408145</v>
      </c>
      <c r="E3419" s="45" t="n">
        <f aca="false">ROUND(C3419*D3419,0)</f>
        <v>106038</v>
      </c>
      <c r="F3419" s="47" t="n">
        <f aca="false">MIN(1,'Model Inputs &amp; Assumptions'!$W$34*EXP('Model Inputs &amp; Assumptions'!$X$34*R3419-'Model Inputs &amp; Assumptions'!$X$34^2/2))</f>
        <v>0.00410749144942109</v>
      </c>
      <c r="G3419" s="45" t="n">
        <f aca="false">ROUND(C3419*F3419,0)</f>
        <v>1893</v>
      </c>
      <c r="H3419" s="48" t="n">
        <f aca="false">MAX(0,(C3419*'Model Inputs &amp; Assumptions'!$N$34+E3419*'Model Inputs &amp; Assumptions'!$O$34+G3419*'Model Inputs &amp; Assumptions'!$P$34)*EXP('Model Inputs &amp; Assumptions'!$Q$34*S3419-'Model Inputs &amp; Assumptions'!$Q$34^2/2))</f>
        <v>31.2236280945822</v>
      </c>
      <c r="I3419" s="49" t="n">
        <f aca="false">IF('Model Inputs &amp; Assumptions'!$H$34="Fixed",'Model Inputs &amp; Assumptions'!$I$34*'Model Inputs &amp; Assumptions'!$K$34,IF('Model Inputs &amp; Assumptions'!$H$34="CPM",'Model Inputs &amp; Assumptions'!$I$34*'Model Inputs &amp; Assumptions'!$K$34*C3419/1000,IF('Model Inputs &amp; Assumptions'!$H$34="CPC",'Model Inputs &amp; Assumptions'!$I$34*'Model Inputs &amp; Assumptions'!$K$34*G3419,0)))</f>
        <v>3502.05</v>
      </c>
      <c r="J3419" s="50" t="n">
        <f aca="false">H3419*INDEX('Model Inputs &amp; Assumptions'!$D$40:$D$42,MATCH('Model Inputs &amp; Assumptions'!$L$34,'Model Inputs &amp; Assumptions'!$A$40:$A$42,0))*INDEX('Model Inputs &amp; Assumptions'!$H$40:$H$42,MATCH('Model Inputs &amp; Assumptions'!$L$34,'Model Inputs &amp; Assumptions'!$A$40:$A$42,0))</f>
        <v>224810.122280992</v>
      </c>
      <c r="K3419" s="49" t="n">
        <f aca="false">H3419*INDEX('Model Inputs &amp; Assumptions'!$G$40:$G$42,MATCH('Model Inputs &amp; Assumptions'!$L$34,'Model Inputs &amp; Assumptions'!$A$40:$A$42,0))*INDEX('Model Inputs &amp; Assumptions'!$H$40:$H$42,MATCH('Model Inputs &amp; Assumptions'!$L$34,'Model Inputs &amp; Assumptions'!$A$40:$A$42,0))</f>
        <v>4957.06319629586</v>
      </c>
      <c r="L3419" s="51" t="n">
        <f aca="false">IFERROR(K3419/I3419,0)</f>
        <v>1.41547470661352</v>
      </c>
      <c r="M3419" s="49" t="n">
        <f aca="false">IFERROR(I3419/H3419,0)</f>
        <v>112.16025214596</v>
      </c>
      <c r="N3419" s="52" t="str">
        <f aca="false">'Model Inputs &amp; Assumptions'!$L$34</f>
        <v>PRD-USIQ</v>
      </c>
      <c r="P3419" s="53" t="n">
        <v>-0.504794</v>
      </c>
      <c r="Q3419" s="53" t="n">
        <v>0.083795</v>
      </c>
      <c r="R3419" s="53" t="n">
        <v>-2.015261</v>
      </c>
      <c r="S3419" s="53" t="n">
        <v>-1.07405</v>
      </c>
    </row>
    <row r="3420" customFormat="false" ht="15" hidden="false" customHeight="false" outlineLevel="0" collapsed="false">
      <c r="A3420" s="43" t="n">
        <v>417</v>
      </c>
      <c r="B3420" s="44" t="str">
        <f aca="false">'Model Inputs &amp; Assumptions'!$B$34</f>
        <v>Meta — Lookalike Feed Video</v>
      </c>
      <c r="C3420" s="45" t="n">
        <f aca="false">ROUND(MAX(0,'Model Inputs &amp; Assumptions'!$S$34*EXP('Model Inputs &amp; Assumptions'!$T$34*P3420-'Model Inputs &amp; Assumptions'!$T$34^2/2)),0)</f>
        <v>562141</v>
      </c>
      <c r="D3420" s="46" t="n">
        <f aca="false">MIN(1,'Model Inputs &amp; Assumptions'!$U$34*EXP('Model Inputs &amp; Assumptions'!$V$34*Q3420-'Model Inputs &amp; Assumptions'!$V$34^2/2))</f>
        <v>0.233110984602485</v>
      </c>
      <c r="E3420" s="45" t="n">
        <f aca="false">ROUND(C3420*D3420,0)</f>
        <v>131041</v>
      </c>
      <c r="F3420" s="47" t="n">
        <f aca="false">MIN(1,'Model Inputs &amp; Assumptions'!$W$34*EXP('Model Inputs &amp; Assumptions'!$X$34*R3420-'Model Inputs &amp; Assumptions'!$X$34^2/2))</f>
        <v>0.00854195606697358</v>
      </c>
      <c r="G3420" s="45" t="n">
        <f aca="false">ROUND(C3420*F3420,0)</f>
        <v>4802</v>
      </c>
      <c r="H3420" s="48" t="n">
        <f aca="false">MAX(0,(C3420*'Model Inputs &amp; Assumptions'!$N$34+E3420*'Model Inputs &amp; Assumptions'!$O$34+G3420*'Model Inputs &amp; Assumptions'!$P$34)*EXP('Model Inputs &amp; Assumptions'!$Q$34*S3420-'Model Inputs &amp; Assumptions'!$Q$34^2/2))</f>
        <v>67.7201459737453</v>
      </c>
      <c r="I3420" s="49" t="n">
        <f aca="false">IF('Model Inputs &amp; Assumptions'!$H$34="Fixed",'Model Inputs &amp; Assumptions'!$I$34*'Model Inputs &amp; Assumptions'!$K$34,IF('Model Inputs &amp; Assumptions'!$H$34="CPM",'Model Inputs &amp; Assumptions'!$I$34*'Model Inputs &amp; Assumptions'!$K$34*C3420/1000,IF('Model Inputs &amp; Assumptions'!$H$34="CPC",'Model Inputs &amp; Assumptions'!$I$34*'Model Inputs &amp; Assumptions'!$K$34*G3420,0)))</f>
        <v>8883.7</v>
      </c>
      <c r="J3420" s="50" t="n">
        <f aca="false">H3420*INDEX('Model Inputs &amp; Assumptions'!$D$40:$D$42,MATCH('Model Inputs &amp; Assumptions'!$L$34,'Model Inputs &amp; Assumptions'!$A$40:$A$42,0))*INDEX('Model Inputs &amp; Assumptions'!$H$40:$H$42,MATCH('Model Inputs &amp; Assumptions'!$L$34,'Model Inputs &amp; Assumptions'!$A$40:$A$42,0))</f>
        <v>487585.051010966</v>
      </c>
      <c r="K3420" s="49" t="n">
        <f aca="false">H3420*INDEX('Model Inputs &amp; Assumptions'!$G$40:$G$42,MATCH('Model Inputs &amp; Assumptions'!$L$34,'Model Inputs &amp; Assumptions'!$A$40:$A$42,0))*INDEX('Model Inputs &amp; Assumptions'!$H$40:$H$42,MATCH('Model Inputs &amp; Assumptions'!$L$34,'Model Inputs &amp; Assumptions'!$A$40:$A$42,0))</f>
        <v>10751.2503747918</v>
      </c>
      <c r="L3420" s="51" t="n">
        <f aca="false">IFERROR(K3420/I3420,0)</f>
        <v>1.210222134335</v>
      </c>
      <c r="M3420" s="49" t="n">
        <f aca="false">IFERROR(I3420/H3420,0)</f>
        <v>131.182528806777</v>
      </c>
      <c r="N3420" s="52" t="str">
        <f aca="false">'Model Inputs &amp; Assumptions'!$L$34</f>
        <v>PRD-USIQ</v>
      </c>
      <c r="P3420" s="53" t="n">
        <v>0.489616</v>
      </c>
      <c r="Q3420" s="53" t="n">
        <v>0.163971</v>
      </c>
      <c r="R3420" s="53" t="n">
        <v>2.052392</v>
      </c>
      <c r="S3420" s="53" t="n">
        <v>-1.255562</v>
      </c>
    </row>
    <row r="3421" customFormat="false" ht="15" hidden="false" customHeight="false" outlineLevel="0" collapsed="false">
      <c r="A3421" s="43" t="n">
        <v>418</v>
      </c>
      <c r="B3421" s="44" t="str">
        <f aca="false">'Model Inputs &amp; Assumptions'!$B$34</f>
        <v>Meta — Lookalike Feed Video</v>
      </c>
      <c r="C3421" s="45" t="n">
        <f aca="false">ROUND(MAX(0,'Model Inputs &amp; Assumptions'!$S$34*EXP('Model Inputs &amp; Assumptions'!$T$34*P3421-'Model Inputs &amp; Assumptions'!$T$34^2/2)),0)</f>
        <v>708268</v>
      </c>
      <c r="D3421" s="46" t="n">
        <f aca="false">MIN(1,'Model Inputs &amp; Assumptions'!$U$34*EXP('Model Inputs &amp; Assumptions'!$V$34*Q3421-'Model Inputs &amp; Assumptions'!$V$34^2/2))</f>
        <v>0.175492858351344</v>
      </c>
      <c r="E3421" s="45" t="n">
        <f aca="false">ROUND(C3421*D3421,0)</f>
        <v>124296</v>
      </c>
      <c r="F3421" s="47" t="n">
        <f aca="false">MIN(1,'Model Inputs &amp; Assumptions'!$W$34*EXP('Model Inputs &amp; Assumptions'!$X$34*R3421-'Model Inputs &amp; Assumptions'!$X$34^2/2))</f>
        <v>0.00573353844170884</v>
      </c>
      <c r="G3421" s="45" t="n">
        <f aca="false">ROUND(C3421*F3421,0)</f>
        <v>4061</v>
      </c>
      <c r="H3421" s="48" t="n">
        <f aca="false">MAX(0,(C3421*'Model Inputs &amp; Assumptions'!$N$34+E3421*'Model Inputs &amp; Assumptions'!$O$34+G3421*'Model Inputs &amp; Assumptions'!$P$34)*EXP('Model Inputs &amp; Assumptions'!$Q$34*S3421-'Model Inputs &amp; Assumptions'!$Q$34^2/2))</f>
        <v>105.228381721596</v>
      </c>
      <c r="I3421" s="49" t="n">
        <f aca="false">IF('Model Inputs &amp; Assumptions'!$H$34="Fixed",'Model Inputs &amp; Assumptions'!$I$34*'Model Inputs &amp; Assumptions'!$K$34,IF('Model Inputs &amp; Assumptions'!$H$34="CPM",'Model Inputs &amp; Assumptions'!$I$34*'Model Inputs &amp; Assumptions'!$K$34*C3421/1000,IF('Model Inputs &amp; Assumptions'!$H$34="CPC",'Model Inputs &amp; Assumptions'!$I$34*'Model Inputs &amp; Assumptions'!$K$34*G3421,0)))</f>
        <v>7512.85</v>
      </c>
      <c r="J3421" s="50" t="n">
        <f aca="false">H3421*INDEX('Model Inputs &amp; Assumptions'!$D$40:$D$42,MATCH('Model Inputs &amp; Assumptions'!$L$34,'Model Inputs &amp; Assumptions'!$A$40:$A$42,0))*INDEX('Model Inputs &amp; Assumptions'!$H$40:$H$42,MATCH('Model Inputs &amp; Assumptions'!$L$34,'Model Inputs &amp; Assumptions'!$A$40:$A$42,0))</f>
        <v>757644.348395489</v>
      </c>
      <c r="K3421" s="49" t="n">
        <f aca="false">H3421*INDEX('Model Inputs &amp; Assumptions'!$G$40:$G$42,MATCH('Model Inputs &amp; Assumptions'!$L$34,'Model Inputs &amp; Assumptions'!$A$40:$A$42,0))*INDEX('Model Inputs &amp; Assumptions'!$H$40:$H$42,MATCH('Model Inputs &amp; Assumptions'!$L$34,'Model Inputs &amp; Assumptions'!$A$40:$A$42,0))</f>
        <v>16706.0578821205</v>
      </c>
      <c r="L3421" s="51" t="n">
        <f aca="false">IFERROR(K3421/I3421,0)</f>
        <v>2.22366450576286</v>
      </c>
      <c r="M3421" s="49" t="n">
        <f aca="false">IFERROR(I3421/H3421,0)</f>
        <v>71.3956622451617</v>
      </c>
      <c r="N3421" s="52" t="str">
        <f aca="false">'Model Inputs &amp; Assumptions'!$L$34</f>
        <v>PRD-USIQ</v>
      </c>
      <c r="P3421" s="53" t="n">
        <v>1.644969</v>
      </c>
      <c r="Q3421" s="53" t="n">
        <v>-1.610506</v>
      </c>
      <c r="R3421" s="53" t="n">
        <v>-0.16237</v>
      </c>
      <c r="S3421" s="53" t="n">
        <v>0.608364</v>
      </c>
    </row>
    <row r="3422" customFormat="false" ht="15" hidden="false" customHeight="false" outlineLevel="0" collapsed="false">
      <c r="A3422" s="43" t="n">
        <v>419</v>
      </c>
      <c r="B3422" s="44" t="str">
        <f aca="false">'Model Inputs &amp; Assumptions'!$B$34</f>
        <v>Meta — Lookalike Feed Video</v>
      </c>
      <c r="C3422" s="45" t="n">
        <f aca="false">ROUND(MAX(0,'Model Inputs &amp; Assumptions'!$S$34*EXP('Model Inputs &amp; Assumptions'!$T$34*P3422-'Model Inputs &amp; Assumptions'!$T$34^2/2)),0)</f>
        <v>599599</v>
      </c>
      <c r="D3422" s="46" t="n">
        <f aca="false">MIN(1,'Model Inputs &amp; Assumptions'!$U$34*EXP('Model Inputs &amp; Assumptions'!$V$34*Q3422-'Model Inputs &amp; Assumptions'!$V$34^2/2))</f>
        <v>0.25898762196672</v>
      </c>
      <c r="E3422" s="45" t="n">
        <f aca="false">ROUND(C3422*D3422,0)</f>
        <v>155289</v>
      </c>
      <c r="F3422" s="47" t="n">
        <f aca="false">MIN(1,'Model Inputs &amp; Assumptions'!$W$34*EXP('Model Inputs &amp; Assumptions'!$X$34*R3422-'Model Inputs &amp; Assumptions'!$X$34^2/2))</f>
        <v>0.00825685702131478</v>
      </c>
      <c r="G3422" s="45" t="n">
        <f aca="false">ROUND(C3422*F3422,0)</f>
        <v>4951</v>
      </c>
      <c r="H3422" s="48" t="n">
        <f aca="false">MAX(0,(C3422*'Model Inputs &amp; Assumptions'!$N$34+E3422*'Model Inputs &amp; Assumptions'!$O$34+G3422*'Model Inputs &amp; Assumptions'!$P$34)*EXP('Model Inputs &amp; Assumptions'!$Q$34*S3422-'Model Inputs &amp; Assumptions'!$Q$34^2/2))</f>
        <v>95.1582719836847</v>
      </c>
      <c r="I3422" s="49" t="n">
        <f aca="false">IF('Model Inputs &amp; Assumptions'!$H$34="Fixed",'Model Inputs &amp; Assumptions'!$I$34*'Model Inputs &amp; Assumptions'!$K$34,IF('Model Inputs &amp; Assumptions'!$H$34="CPM",'Model Inputs &amp; Assumptions'!$I$34*'Model Inputs &amp; Assumptions'!$K$34*C3422/1000,IF('Model Inputs &amp; Assumptions'!$H$34="CPC",'Model Inputs &amp; Assumptions'!$I$34*'Model Inputs &amp; Assumptions'!$K$34*G3422,0)))</f>
        <v>9159.35</v>
      </c>
      <c r="J3422" s="50" t="n">
        <f aca="false">H3422*INDEX('Model Inputs &amp; Assumptions'!$D$40:$D$42,MATCH('Model Inputs &amp; Assumptions'!$L$34,'Model Inputs &amp; Assumptions'!$A$40:$A$42,0))*INDEX('Model Inputs &amp; Assumptions'!$H$40:$H$42,MATCH('Model Inputs &amp; Assumptions'!$L$34,'Model Inputs &amp; Assumptions'!$A$40:$A$42,0))</f>
        <v>685139.55828253</v>
      </c>
      <c r="K3422" s="49" t="n">
        <f aca="false">H3422*INDEX('Model Inputs &amp; Assumptions'!$G$40:$G$42,MATCH('Model Inputs &amp; Assumptions'!$L$34,'Model Inputs &amp; Assumptions'!$A$40:$A$42,0))*INDEX('Model Inputs &amp; Assumptions'!$H$40:$H$42,MATCH('Model Inputs &amp; Assumptions'!$L$34,'Model Inputs &amp; Assumptions'!$A$40:$A$42,0))</f>
        <v>15107.3272601298</v>
      </c>
      <c r="L3422" s="51" t="n">
        <f aca="false">IFERROR(K3422/I3422,0)</f>
        <v>1.64938857671448</v>
      </c>
      <c r="M3422" s="49" t="n">
        <f aca="false">IFERROR(I3422/H3422,0)</f>
        <v>96.253849603011</v>
      </c>
      <c r="N3422" s="52" t="str">
        <f aca="false">'Model Inputs &amp; Assumptions'!$L$34</f>
        <v>PRD-USIQ</v>
      </c>
      <c r="P3422" s="53" t="n">
        <v>0.812162</v>
      </c>
      <c r="Q3422" s="53" t="n">
        <v>0.821881</v>
      </c>
      <c r="R3422" s="53" t="n">
        <v>1.863803</v>
      </c>
      <c r="S3422" s="53" t="n">
        <v>-0.333665</v>
      </c>
    </row>
    <row r="3423" customFormat="false" ht="15" hidden="false" customHeight="false" outlineLevel="0" collapsed="false">
      <c r="A3423" s="43" t="n">
        <v>420</v>
      </c>
      <c r="B3423" s="44" t="str">
        <f aca="false">'Model Inputs &amp; Assumptions'!$B$34</f>
        <v>Meta — Lookalike Feed Video</v>
      </c>
      <c r="C3423" s="45" t="n">
        <f aca="false">ROUND(MAX(0,'Model Inputs &amp; Assumptions'!$S$34*EXP('Model Inputs &amp; Assumptions'!$T$34*P3423-'Model Inputs &amp; Assumptions'!$T$34^2/2)),0)</f>
        <v>543423</v>
      </c>
      <c r="D3423" s="46" t="n">
        <f aca="false">MIN(1,'Model Inputs &amp; Assumptions'!$U$34*EXP('Model Inputs &amp; Assumptions'!$V$34*Q3423-'Model Inputs &amp; Assumptions'!$V$34^2/2))</f>
        <v>0.242469116814027</v>
      </c>
      <c r="E3423" s="45" t="n">
        <f aca="false">ROUND(C3423*D3423,0)</f>
        <v>131763</v>
      </c>
      <c r="F3423" s="47" t="n">
        <f aca="false">MIN(1,'Model Inputs &amp; Assumptions'!$W$34*EXP('Model Inputs &amp; Assumptions'!$X$34*R3423-'Model Inputs &amp; Assumptions'!$X$34^2/2))</f>
        <v>0.00566779871815509</v>
      </c>
      <c r="G3423" s="45" t="n">
        <f aca="false">ROUND(C3423*F3423,0)</f>
        <v>3080</v>
      </c>
      <c r="H3423" s="48" t="n">
        <f aca="false">MAX(0,(C3423*'Model Inputs &amp; Assumptions'!$N$34+E3423*'Model Inputs &amp; Assumptions'!$O$34+G3423*'Model Inputs &amp; Assumptions'!$P$34)*EXP('Model Inputs &amp; Assumptions'!$Q$34*S3423-'Model Inputs &amp; Assumptions'!$Q$34^2/2))</f>
        <v>59.7126213996921</v>
      </c>
      <c r="I3423" s="49" t="n">
        <f aca="false">IF('Model Inputs &amp; Assumptions'!$H$34="Fixed",'Model Inputs &amp; Assumptions'!$I$34*'Model Inputs &amp; Assumptions'!$K$34,IF('Model Inputs &amp; Assumptions'!$H$34="CPM",'Model Inputs &amp; Assumptions'!$I$34*'Model Inputs &amp; Assumptions'!$K$34*C3423/1000,IF('Model Inputs &amp; Assumptions'!$H$34="CPC",'Model Inputs &amp; Assumptions'!$I$34*'Model Inputs &amp; Assumptions'!$K$34*G3423,0)))</f>
        <v>5698</v>
      </c>
      <c r="J3423" s="50" t="n">
        <f aca="false">H3423*INDEX('Model Inputs &amp; Assumptions'!$D$40:$D$42,MATCH('Model Inputs &amp; Assumptions'!$L$34,'Model Inputs &amp; Assumptions'!$A$40:$A$42,0))*INDEX('Model Inputs &amp; Assumptions'!$H$40:$H$42,MATCH('Model Inputs &amp; Assumptions'!$L$34,'Model Inputs &amp; Assumptions'!$A$40:$A$42,0))</f>
        <v>429930.874077783</v>
      </c>
      <c r="K3423" s="49" t="n">
        <f aca="false">H3423*INDEX('Model Inputs &amp; Assumptions'!$G$40:$G$42,MATCH('Model Inputs &amp; Assumptions'!$L$34,'Model Inputs &amp; Assumptions'!$A$40:$A$42,0))*INDEX('Model Inputs &amp; Assumptions'!$H$40:$H$42,MATCH('Model Inputs &amp; Assumptions'!$L$34,'Model Inputs &amp; Assumptions'!$A$40:$A$42,0))</f>
        <v>9479.97577341512</v>
      </c>
      <c r="L3423" s="51" t="n">
        <f aca="false">IFERROR(K3423/I3423,0)</f>
        <v>1.66373741197176</v>
      </c>
      <c r="M3423" s="49" t="n">
        <f aca="false">IFERROR(I3423/H3423,0)</f>
        <v>95.4237122142051</v>
      </c>
      <c r="N3423" s="52" t="str">
        <f aca="false">'Model Inputs &amp; Assumptions'!$L$34</f>
        <v>PRD-USIQ</v>
      </c>
      <c r="P3423" s="53" t="n">
        <v>0.320294</v>
      </c>
      <c r="Q3423" s="53" t="n">
        <v>0.409969</v>
      </c>
      <c r="R3423" s="53" t="n">
        <v>-0.226437</v>
      </c>
      <c r="S3423" s="53" t="n">
        <v>-0.430874</v>
      </c>
    </row>
    <row r="3424" customFormat="false" ht="15" hidden="false" customHeight="false" outlineLevel="0" collapsed="false">
      <c r="A3424" s="43" t="n">
        <v>421</v>
      </c>
      <c r="B3424" s="44" t="str">
        <f aca="false">'Model Inputs &amp; Assumptions'!$B$34</f>
        <v>Meta — Lookalike Feed Video</v>
      </c>
      <c r="C3424" s="45" t="n">
        <f aca="false">ROUND(MAX(0,'Model Inputs &amp; Assumptions'!$S$34*EXP('Model Inputs &amp; Assumptions'!$T$34*P3424-'Model Inputs &amp; Assumptions'!$T$34^2/2)),0)</f>
        <v>533170</v>
      </c>
      <c r="D3424" s="46" t="n">
        <f aca="false">MIN(1,'Model Inputs &amp; Assumptions'!$U$34*EXP('Model Inputs &amp; Assumptions'!$V$34*Q3424-'Model Inputs &amp; Assumptions'!$V$34^2/2))</f>
        <v>0.245258537418256</v>
      </c>
      <c r="E3424" s="45" t="n">
        <f aca="false">ROUND(C3424*D3424,0)</f>
        <v>130764</v>
      </c>
      <c r="F3424" s="47" t="n">
        <f aca="false">MIN(1,'Model Inputs &amp; Assumptions'!$W$34*EXP('Model Inputs &amp; Assumptions'!$X$34*R3424-'Model Inputs &amp; Assumptions'!$X$34^2/2))</f>
        <v>0.00697490849920654</v>
      </c>
      <c r="G3424" s="45" t="n">
        <f aca="false">ROUND(C3424*F3424,0)</f>
        <v>3719</v>
      </c>
      <c r="H3424" s="48" t="n">
        <f aca="false">MAX(0,(C3424*'Model Inputs &amp; Assumptions'!$N$34+E3424*'Model Inputs &amp; Assumptions'!$O$34+G3424*'Model Inputs &amp; Assumptions'!$P$34)*EXP('Model Inputs &amp; Assumptions'!$Q$34*S3424-'Model Inputs &amp; Assumptions'!$Q$34^2/2))</f>
        <v>58.7114290688944</v>
      </c>
      <c r="I3424" s="49" t="n">
        <f aca="false">IF('Model Inputs &amp; Assumptions'!$H$34="Fixed",'Model Inputs &amp; Assumptions'!$I$34*'Model Inputs &amp; Assumptions'!$K$34,IF('Model Inputs &amp; Assumptions'!$H$34="CPM",'Model Inputs &amp; Assumptions'!$I$34*'Model Inputs &amp; Assumptions'!$K$34*C3424/1000,IF('Model Inputs &amp; Assumptions'!$H$34="CPC",'Model Inputs &amp; Assumptions'!$I$34*'Model Inputs &amp; Assumptions'!$K$34*G3424,0)))</f>
        <v>6880.15</v>
      </c>
      <c r="J3424" s="50" t="n">
        <f aca="false">H3424*INDEX('Model Inputs &amp; Assumptions'!$D$40:$D$42,MATCH('Model Inputs &amp; Assumptions'!$L$34,'Model Inputs &amp; Assumptions'!$A$40:$A$42,0))*INDEX('Model Inputs &amp; Assumptions'!$H$40:$H$42,MATCH('Model Inputs &amp; Assumptions'!$L$34,'Model Inputs &amp; Assumptions'!$A$40:$A$42,0))</f>
        <v>422722.28929604</v>
      </c>
      <c r="K3424" s="49" t="n">
        <f aca="false">H3424*INDEX('Model Inputs &amp; Assumptions'!$G$40:$G$42,MATCH('Model Inputs &amp; Assumptions'!$L$34,'Model Inputs &amp; Assumptions'!$A$40:$A$42,0))*INDEX('Model Inputs &amp; Assumptions'!$H$40:$H$42,MATCH('Model Inputs &amp; Assumptions'!$L$34,'Model Inputs &amp; Assumptions'!$A$40:$A$42,0))</f>
        <v>9321.02647897767</v>
      </c>
      <c r="L3424" s="51" t="n">
        <f aca="false">IFERROR(K3424/I3424,0)</f>
        <v>1.35477082316195</v>
      </c>
      <c r="M3424" s="49" t="n">
        <f aca="false">IFERROR(I3424/H3424,0)</f>
        <v>117.18587179894</v>
      </c>
      <c r="N3424" s="52" t="str">
        <f aca="false">'Model Inputs &amp; Assumptions'!$L$34</f>
        <v>PRD-USIQ</v>
      </c>
      <c r="P3424" s="53" t="n">
        <v>0.225053</v>
      </c>
      <c r="Q3424" s="53" t="n">
        <v>0.48146</v>
      </c>
      <c r="R3424" s="53" t="n">
        <v>0.926443</v>
      </c>
      <c r="S3424" s="53" t="n">
        <v>-0.990456</v>
      </c>
    </row>
    <row r="3425" customFormat="false" ht="15" hidden="false" customHeight="false" outlineLevel="0" collapsed="false">
      <c r="A3425" s="43" t="n">
        <v>422</v>
      </c>
      <c r="B3425" s="44" t="str">
        <f aca="false">'Model Inputs &amp; Assumptions'!$B$34</f>
        <v>Meta — Lookalike Feed Video</v>
      </c>
      <c r="C3425" s="45" t="n">
        <f aca="false">ROUND(MAX(0,'Model Inputs &amp; Assumptions'!$S$34*EXP('Model Inputs &amp; Assumptions'!$T$34*P3425-'Model Inputs &amp; Assumptions'!$T$34^2/2)),0)</f>
        <v>353019</v>
      </c>
      <c r="D3425" s="46" t="n">
        <f aca="false">MIN(1,'Model Inputs &amp; Assumptions'!$U$34*EXP('Model Inputs &amp; Assumptions'!$V$34*Q3425-'Model Inputs &amp; Assumptions'!$V$34^2/2))</f>
        <v>0.219011716617778</v>
      </c>
      <c r="E3425" s="45" t="n">
        <f aca="false">ROUND(C3425*D3425,0)</f>
        <v>77315</v>
      </c>
      <c r="F3425" s="47" t="n">
        <f aca="false">MIN(1,'Model Inputs &amp; Assumptions'!$W$34*EXP('Model Inputs &amp; Assumptions'!$X$34*R3425-'Model Inputs &amp; Assumptions'!$X$34^2/2))</f>
        <v>0.0062449992858875</v>
      </c>
      <c r="G3425" s="45" t="n">
        <f aca="false">ROUND(C3425*F3425,0)</f>
        <v>2205</v>
      </c>
      <c r="H3425" s="48" t="n">
        <f aca="false">MAX(0,(C3425*'Model Inputs &amp; Assumptions'!$N$34+E3425*'Model Inputs &amp; Assumptions'!$O$34+G3425*'Model Inputs &amp; Assumptions'!$P$34)*EXP('Model Inputs &amp; Assumptions'!$Q$34*S3425-'Model Inputs &amp; Assumptions'!$Q$34^2/2))</f>
        <v>42.7821807901895</v>
      </c>
      <c r="I3425" s="49" t="n">
        <f aca="false">IF('Model Inputs &amp; Assumptions'!$H$34="Fixed",'Model Inputs &amp; Assumptions'!$I$34*'Model Inputs &amp; Assumptions'!$K$34,IF('Model Inputs &amp; Assumptions'!$H$34="CPM",'Model Inputs &amp; Assumptions'!$I$34*'Model Inputs &amp; Assumptions'!$K$34*C3425/1000,IF('Model Inputs &amp; Assumptions'!$H$34="CPC",'Model Inputs &amp; Assumptions'!$I$34*'Model Inputs &amp; Assumptions'!$K$34*G3425,0)))</f>
        <v>4079.25</v>
      </c>
      <c r="J3425" s="50" t="n">
        <f aca="false">H3425*INDEX('Model Inputs &amp; Assumptions'!$D$40:$D$42,MATCH('Model Inputs &amp; Assumptions'!$L$34,'Model Inputs &amp; Assumptions'!$A$40:$A$42,0))*INDEX('Model Inputs &amp; Assumptions'!$H$40:$H$42,MATCH('Model Inputs &amp; Assumptions'!$L$34,'Model Inputs &amp; Assumptions'!$A$40:$A$42,0))</f>
        <v>308031.701689364</v>
      </c>
      <c r="K3425" s="49" t="n">
        <f aca="false">H3425*INDEX('Model Inputs &amp; Assumptions'!$G$40:$G$42,MATCH('Model Inputs &amp; Assumptions'!$L$34,'Model Inputs &amp; Assumptions'!$A$40:$A$42,0))*INDEX('Model Inputs &amp; Assumptions'!$H$40:$H$42,MATCH('Model Inputs &amp; Assumptions'!$L$34,'Model Inputs &amp; Assumptions'!$A$40:$A$42,0))</f>
        <v>6792.09902225048</v>
      </c>
      <c r="L3425" s="51" t="n">
        <f aca="false">IFERROR(K3425/I3425,0)</f>
        <v>1.66503622534791</v>
      </c>
      <c r="M3425" s="49" t="n">
        <f aca="false">IFERROR(I3425/H3425,0)</f>
        <v>95.3492768404042</v>
      </c>
      <c r="N3425" s="52" t="str">
        <f aca="false">'Model Inputs &amp; Assumptions'!$L$34</f>
        <v>PRD-USIQ</v>
      </c>
      <c r="P3425" s="53" t="n">
        <v>-1.836536</v>
      </c>
      <c r="Q3425" s="53" t="n">
        <v>-0.225963</v>
      </c>
      <c r="R3425" s="53" t="n">
        <v>0.312342</v>
      </c>
      <c r="S3425" s="53" t="n">
        <v>-0.344966</v>
      </c>
    </row>
    <row r="3426" customFormat="false" ht="15" hidden="false" customHeight="false" outlineLevel="0" collapsed="false">
      <c r="A3426" s="43" t="n">
        <v>423</v>
      </c>
      <c r="B3426" s="44" t="str">
        <f aca="false">'Model Inputs &amp; Assumptions'!$B$34</f>
        <v>Meta — Lookalike Feed Video</v>
      </c>
      <c r="C3426" s="45" t="n">
        <f aca="false">ROUND(MAX(0,'Model Inputs &amp; Assumptions'!$S$34*EXP('Model Inputs &amp; Assumptions'!$T$34*P3426-'Model Inputs &amp; Assumptions'!$T$34^2/2)),0)</f>
        <v>743124</v>
      </c>
      <c r="D3426" s="46" t="n">
        <f aca="false">MIN(1,'Model Inputs &amp; Assumptions'!$U$34*EXP('Model Inputs &amp; Assumptions'!$V$34*Q3426-'Model Inputs &amp; Assumptions'!$V$34^2/2))</f>
        <v>0.205465839489395</v>
      </c>
      <c r="E3426" s="45" t="n">
        <f aca="false">ROUND(C3426*D3426,0)</f>
        <v>152687</v>
      </c>
      <c r="F3426" s="47" t="n">
        <f aca="false">MIN(1,'Model Inputs &amp; Assumptions'!$W$34*EXP('Model Inputs &amp; Assumptions'!$X$34*R3426-'Model Inputs &amp; Assumptions'!$X$34^2/2))</f>
        <v>0.00622803833505424</v>
      </c>
      <c r="G3426" s="45" t="n">
        <f aca="false">ROUND(C3426*F3426,0)</f>
        <v>4628</v>
      </c>
      <c r="H3426" s="48" t="n">
        <f aca="false">MAX(0,(C3426*'Model Inputs &amp; Assumptions'!$N$34+E3426*'Model Inputs &amp; Assumptions'!$O$34+G3426*'Model Inputs &amp; Assumptions'!$P$34)*EXP('Model Inputs &amp; Assumptions'!$Q$34*S3426-'Model Inputs &amp; Assumptions'!$Q$34^2/2))</f>
        <v>94.5179886095151</v>
      </c>
      <c r="I3426" s="49" t="n">
        <f aca="false">IF('Model Inputs &amp; Assumptions'!$H$34="Fixed",'Model Inputs &amp; Assumptions'!$I$34*'Model Inputs &amp; Assumptions'!$K$34,IF('Model Inputs &amp; Assumptions'!$H$34="CPM",'Model Inputs &amp; Assumptions'!$I$34*'Model Inputs &amp; Assumptions'!$K$34*C3426/1000,IF('Model Inputs &amp; Assumptions'!$H$34="CPC",'Model Inputs &amp; Assumptions'!$I$34*'Model Inputs &amp; Assumptions'!$K$34*G3426,0)))</f>
        <v>8561.8</v>
      </c>
      <c r="J3426" s="50" t="n">
        <f aca="false">H3426*INDEX('Model Inputs &amp; Assumptions'!$D$40:$D$42,MATCH('Model Inputs &amp; Assumptions'!$L$34,'Model Inputs &amp; Assumptions'!$A$40:$A$42,0))*INDEX('Model Inputs &amp; Assumptions'!$H$40:$H$42,MATCH('Model Inputs &amp; Assumptions'!$L$34,'Model Inputs &amp; Assumptions'!$A$40:$A$42,0))</f>
        <v>680529.517988509</v>
      </c>
      <c r="K3426" s="49" t="n">
        <f aca="false">H3426*INDEX('Model Inputs &amp; Assumptions'!$G$40:$G$42,MATCH('Model Inputs &amp; Assumptions'!$L$34,'Model Inputs &amp; Assumptions'!$A$40:$A$42,0))*INDEX('Model Inputs &amp; Assumptions'!$H$40:$H$42,MATCH('Model Inputs &amp; Assumptions'!$L$34,'Model Inputs &amp; Assumptions'!$A$40:$A$42,0))</f>
        <v>15005.6758716466</v>
      </c>
      <c r="L3426" s="51" t="n">
        <f aca="false">IFERROR(K3426/I3426,0)</f>
        <v>1.75263097381936</v>
      </c>
      <c r="M3426" s="49" t="n">
        <f aca="false">IFERROR(I3426/H3426,0)</f>
        <v>90.5838150594975</v>
      </c>
      <c r="N3426" s="52" t="str">
        <f aca="false">'Model Inputs &amp; Assumptions'!$L$34</f>
        <v>PRD-USIQ</v>
      </c>
      <c r="P3426" s="53" t="n">
        <v>1.885168</v>
      </c>
      <c r="Q3426" s="53" t="n">
        <v>-0.624997</v>
      </c>
      <c r="R3426" s="53" t="n">
        <v>0.297233</v>
      </c>
      <c r="S3426" s="53" t="n">
        <v>-0.161952</v>
      </c>
    </row>
    <row r="3427" customFormat="false" ht="15" hidden="false" customHeight="false" outlineLevel="0" collapsed="false">
      <c r="A3427" s="43" t="n">
        <v>424</v>
      </c>
      <c r="B3427" s="44" t="str">
        <f aca="false">'Model Inputs &amp; Assumptions'!$B$34</f>
        <v>Meta — Lookalike Feed Video</v>
      </c>
      <c r="C3427" s="45" t="n">
        <f aca="false">ROUND(MAX(0,'Model Inputs &amp; Assumptions'!$S$34*EXP('Model Inputs &amp; Assumptions'!$T$34*P3427-'Model Inputs &amp; Assumptions'!$T$34^2/2)),0)</f>
        <v>472559</v>
      </c>
      <c r="D3427" s="46" t="n">
        <f aca="false">MIN(1,'Model Inputs &amp; Assumptions'!$U$34*EXP('Model Inputs &amp; Assumptions'!$V$34*Q3427-'Model Inputs &amp; Assumptions'!$V$34^2/2))</f>
        <v>0.17528163600735</v>
      </c>
      <c r="E3427" s="45" t="n">
        <f aca="false">ROUND(C3427*D3427,0)</f>
        <v>82831</v>
      </c>
      <c r="F3427" s="47" t="n">
        <f aca="false">MIN(1,'Model Inputs &amp; Assumptions'!$W$34*EXP('Model Inputs &amp; Assumptions'!$X$34*R3427-'Model Inputs &amp; Assumptions'!$X$34^2/2))</f>
        <v>0.00633677769488424</v>
      </c>
      <c r="G3427" s="45" t="n">
        <f aca="false">ROUND(C3427*F3427,0)</f>
        <v>2995</v>
      </c>
      <c r="H3427" s="48" t="n">
        <f aca="false">MAX(0,(C3427*'Model Inputs &amp; Assumptions'!$N$34+E3427*'Model Inputs &amp; Assumptions'!$O$34+G3427*'Model Inputs &amp; Assumptions'!$P$34)*EXP('Model Inputs &amp; Assumptions'!$Q$34*S3427-'Model Inputs &amp; Assumptions'!$Q$34^2/2))</f>
        <v>69.4901505548004</v>
      </c>
      <c r="I3427" s="49" t="n">
        <f aca="false">IF('Model Inputs &amp; Assumptions'!$H$34="Fixed",'Model Inputs &amp; Assumptions'!$I$34*'Model Inputs &amp; Assumptions'!$K$34,IF('Model Inputs &amp; Assumptions'!$H$34="CPM",'Model Inputs &amp; Assumptions'!$I$34*'Model Inputs &amp; Assumptions'!$K$34*C3427/1000,IF('Model Inputs &amp; Assumptions'!$H$34="CPC",'Model Inputs &amp; Assumptions'!$I$34*'Model Inputs &amp; Assumptions'!$K$34*G3427,0)))</f>
        <v>5540.75</v>
      </c>
      <c r="J3427" s="50" t="n">
        <f aca="false">H3427*INDEX('Model Inputs &amp; Assumptions'!$D$40:$D$42,MATCH('Model Inputs &amp; Assumptions'!$L$34,'Model Inputs &amp; Assumptions'!$A$40:$A$42,0))*INDEX('Model Inputs &amp; Assumptions'!$H$40:$H$42,MATCH('Model Inputs &amp; Assumptions'!$L$34,'Model Inputs &amp; Assumptions'!$A$40:$A$42,0))</f>
        <v>500329.083994563</v>
      </c>
      <c r="K3427" s="49" t="n">
        <f aca="false">H3427*INDEX('Model Inputs &amp; Assumptions'!$G$40:$G$42,MATCH('Model Inputs &amp; Assumptions'!$L$34,'Model Inputs &amp; Assumptions'!$A$40:$A$42,0))*INDEX('Model Inputs &amp; Assumptions'!$H$40:$H$42,MATCH('Model Inputs &amp; Assumptions'!$L$34,'Model Inputs &amp; Assumptions'!$A$40:$A$42,0))</f>
        <v>11032.2563020801</v>
      </c>
      <c r="L3427" s="51" t="n">
        <f aca="false">IFERROR(K3427/I3427,0)</f>
        <v>1.99111244905114</v>
      </c>
      <c r="M3427" s="49" t="n">
        <f aca="false">IFERROR(I3427/H3427,0)</f>
        <v>79.7343214220054</v>
      </c>
      <c r="N3427" s="52" t="str">
        <f aca="false">'Model Inputs &amp; Assumptions'!$L$34</f>
        <v>PRD-USIQ</v>
      </c>
      <c r="P3427" s="53" t="n">
        <v>-0.378329</v>
      </c>
      <c r="Q3427" s="53" t="n">
        <v>-1.618033</v>
      </c>
      <c r="R3427" s="53" t="n">
        <v>0.393394</v>
      </c>
      <c r="S3427" s="53" t="n">
        <v>0.296203</v>
      </c>
    </row>
    <row r="3428" customFormat="false" ht="15" hidden="false" customHeight="false" outlineLevel="0" collapsed="false">
      <c r="A3428" s="43" t="n">
        <v>425</v>
      </c>
      <c r="B3428" s="44" t="str">
        <f aca="false">'Model Inputs &amp; Assumptions'!$B$34</f>
        <v>Meta — Lookalike Feed Video</v>
      </c>
      <c r="C3428" s="45" t="n">
        <f aca="false">ROUND(MAX(0,'Model Inputs &amp; Assumptions'!$S$34*EXP('Model Inputs &amp; Assumptions'!$T$34*P3428-'Model Inputs &amp; Assumptions'!$T$34^2/2)),0)</f>
        <v>536808</v>
      </c>
      <c r="D3428" s="46" t="n">
        <f aca="false">MIN(1,'Model Inputs &amp; Assumptions'!$U$34*EXP('Model Inputs &amp; Assumptions'!$V$34*Q3428-'Model Inputs &amp; Assumptions'!$V$34^2/2))</f>
        <v>0.196930806091101</v>
      </c>
      <c r="E3428" s="45" t="n">
        <f aca="false">ROUND(C3428*D3428,0)</f>
        <v>105714</v>
      </c>
      <c r="F3428" s="47" t="n">
        <f aca="false">MIN(1,'Model Inputs &amp; Assumptions'!$W$34*EXP('Model Inputs &amp; Assumptions'!$X$34*R3428-'Model Inputs &amp; Assumptions'!$X$34^2/2))</f>
        <v>0.00530939986571908</v>
      </c>
      <c r="G3428" s="45" t="n">
        <f aca="false">ROUND(C3428*F3428,0)</f>
        <v>2850</v>
      </c>
      <c r="H3428" s="48" t="n">
        <f aca="false">MAX(0,(C3428*'Model Inputs &amp; Assumptions'!$N$34+E3428*'Model Inputs &amp; Assumptions'!$O$34+G3428*'Model Inputs &amp; Assumptions'!$P$34)*EXP('Model Inputs &amp; Assumptions'!$Q$34*S3428-'Model Inputs &amp; Assumptions'!$Q$34^2/2))</f>
        <v>79.8709008462092</v>
      </c>
      <c r="I3428" s="49" t="n">
        <f aca="false">IF('Model Inputs &amp; Assumptions'!$H$34="Fixed",'Model Inputs &amp; Assumptions'!$I$34*'Model Inputs &amp; Assumptions'!$K$34,IF('Model Inputs &amp; Assumptions'!$H$34="CPM",'Model Inputs &amp; Assumptions'!$I$34*'Model Inputs &amp; Assumptions'!$K$34*C3428/1000,IF('Model Inputs &amp; Assumptions'!$H$34="CPC",'Model Inputs &amp; Assumptions'!$I$34*'Model Inputs &amp; Assumptions'!$K$34*G3428,0)))</f>
        <v>5272.5</v>
      </c>
      <c r="J3428" s="50" t="n">
        <f aca="false">H3428*INDEX('Model Inputs &amp; Assumptions'!$D$40:$D$42,MATCH('Model Inputs &amp; Assumptions'!$L$34,'Model Inputs &amp; Assumptions'!$A$40:$A$42,0))*INDEX('Model Inputs &amp; Assumptions'!$H$40:$H$42,MATCH('Model Inputs &amp; Assumptions'!$L$34,'Model Inputs &amp; Assumptions'!$A$40:$A$42,0))</f>
        <v>575070.486092706</v>
      </c>
      <c r="K3428" s="49" t="n">
        <f aca="false">H3428*INDEX('Model Inputs &amp; Assumptions'!$G$40:$G$42,MATCH('Model Inputs &amp; Assumptions'!$L$34,'Model Inputs &amp; Assumptions'!$A$40:$A$42,0))*INDEX('Model Inputs &amp; Assumptions'!$H$40:$H$42,MATCH('Model Inputs &amp; Assumptions'!$L$34,'Model Inputs &amp; Assumptions'!$A$40:$A$42,0))</f>
        <v>12680.3042183442</v>
      </c>
      <c r="L3428" s="51" t="n">
        <f aca="false">IFERROR(K3428/I3428,0)</f>
        <v>2.40498894610606</v>
      </c>
      <c r="M3428" s="49" t="n">
        <f aca="false">IFERROR(I3428/H3428,0)</f>
        <v>66.0127774213059</v>
      </c>
      <c r="N3428" s="52" t="str">
        <f aca="false">'Model Inputs &amp; Assumptions'!$L$34</f>
        <v>PRD-USIQ</v>
      </c>
      <c r="P3428" s="53" t="n">
        <v>0.259058</v>
      </c>
      <c r="Q3428" s="53" t="n">
        <v>-0.890168</v>
      </c>
      <c r="R3428" s="53" t="n">
        <v>-0.589337</v>
      </c>
      <c r="S3428" s="53" t="n">
        <v>0.781926</v>
      </c>
    </row>
    <row r="3429" customFormat="false" ht="15" hidden="false" customHeight="false" outlineLevel="0" collapsed="false">
      <c r="A3429" s="43" t="n">
        <v>426</v>
      </c>
      <c r="B3429" s="44" t="str">
        <f aca="false">'Model Inputs &amp; Assumptions'!$B$34</f>
        <v>Meta — Lookalike Feed Video</v>
      </c>
      <c r="C3429" s="45" t="n">
        <f aca="false">ROUND(MAX(0,'Model Inputs &amp; Assumptions'!$S$34*EXP('Model Inputs &amp; Assumptions'!$T$34*P3429-'Model Inputs &amp; Assumptions'!$T$34^2/2)),0)</f>
        <v>484249</v>
      </c>
      <c r="D3429" s="46" t="n">
        <f aca="false">MIN(1,'Model Inputs &amp; Assumptions'!$U$34*EXP('Model Inputs &amp; Assumptions'!$V$34*Q3429-'Model Inputs &amp; Assumptions'!$V$34^2/2))</f>
        <v>0.199781531882791</v>
      </c>
      <c r="E3429" s="45" t="n">
        <f aca="false">ROUND(C3429*D3429,0)</f>
        <v>96744</v>
      </c>
      <c r="F3429" s="47" t="n">
        <f aca="false">MIN(1,'Model Inputs &amp; Assumptions'!$W$34*EXP('Model Inputs &amp; Assumptions'!$X$34*R3429-'Model Inputs &amp; Assumptions'!$X$34^2/2))</f>
        <v>0.00592974902528637</v>
      </c>
      <c r="G3429" s="45" t="n">
        <f aca="false">ROUND(C3429*F3429,0)</f>
        <v>2871</v>
      </c>
      <c r="H3429" s="48" t="n">
        <f aca="false">MAX(0,(C3429*'Model Inputs &amp; Assumptions'!$N$34+E3429*'Model Inputs &amp; Assumptions'!$O$34+G3429*'Model Inputs &amp; Assumptions'!$P$34)*EXP('Model Inputs &amp; Assumptions'!$Q$34*S3429-'Model Inputs &amp; Assumptions'!$Q$34^2/2))</f>
        <v>70.0413496702551</v>
      </c>
      <c r="I3429" s="49" t="n">
        <f aca="false">IF('Model Inputs &amp; Assumptions'!$H$34="Fixed",'Model Inputs &amp; Assumptions'!$I$34*'Model Inputs &amp; Assumptions'!$K$34,IF('Model Inputs &amp; Assumptions'!$H$34="CPM",'Model Inputs &amp; Assumptions'!$I$34*'Model Inputs &amp; Assumptions'!$K$34*C3429/1000,IF('Model Inputs &amp; Assumptions'!$H$34="CPC",'Model Inputs &amp; Assumptions'!$I$34*'Model Inputs &amp; Assumptions'!$K$34*G3429,0)))</f>
        <v>5311.35</v>
      </c>
      <c r="J3429" s="50" t="n">
        <f aca="false">H3429*INDEX('Model Inputs &amp; Assumptions'!$D$40:$D$42,MATCH('Model Inputs &amp; Assumptions'!$L$34,'Model Inputs &amp; Assumptions'!$A$40:$A$42,0))*INDEX('Model Inputs &amp; Assumptions'!$H$40:$H$42,MATCH('Model Inputs &amp; Assumptions'!$L$34,'Model Inputs &amp; Assumptions'!$A$40:$A$42,0))</f>
        <v>504297.717625837</v>
      </c>
      <c r="K3429" s="49" t="n">
        <f aca="false">H3429*INDEX('Model Inputs &amp; Assumptions'!$G$40:$G$42,MATCH('Model Inputs &amp; Assumptions'!$L$34,'Model Inputs &amp; Assumptions'!$A$40:$A$42,0))*INDEX('Model Inputs &amp; Assumptions'!$H$40:$H$42,MATCH('Model Inputs &amp; Assumptions'!$L$34,'Model Inputs &amp; Assumptions'!$A$40:$A$42,0))</f>
        <v>11119.7646736497</v>
      </c>
      <c r="L3429" s="51" t="n">
        <f aca="false">IFERROR(K3429/I3429,0)</f>
        <v>2.0935853735208</v>
      </c>
      <c r="M3429" s="49" t="n">
        <f aca="false">IFERROR(I3429/H3429,0)</f>
        <v>75.8316340990729</v>
      </c>
      <c r="N3429" s="52" t="str">
        <f aca="false">'Model Inputs &amp; Assumptions'!$L$34</f>
        <v>PRD-USIQ</v>
      </c>
      <c r="P3429" s="53" t="n">
        <v>-0.256144</v>
      </c>
      <c r="Q3429" s="53" t="n">
        <v>-0.800343</v>
      </c>
      <c r="R3429" s="53" t="n">
        <v>0.024569</v>
      </c>
      <c r="S3429" s="53" t="n">
        <v>0.385773</v>
      </c>
    </row>
    <row r="3430" customFormat="false" ht="15" hidden="false" customHeight="false" outlineLevel="0" collapsed="false">
      <c r="A3430" s="43" t="n">
        <v>427</v>
      </c>
      <c r="B3430" s="44" t="str">
        <f aca="false">'Model Inputs &amp; Assumptions'!$B$34</f>
        <v>Meta — Lookalike Feed Video</v>
      </c>
      <c r="C3430" s="45" t="n">
        <f aca="false">ROUND(MAX(0,'Model Inputs &amp; Assumptions'!$S$34*EXP('Model Inputs &amp; Assumptions'!$T$34*P3430-'Model Inputs &amp; Assumptions'!$T$34^2/2)),0)</f>
        <v>545508</v>
      </c>
      <c r="D3430" s="46" t="n">
        <f aca="false">MIN(1,'Model Inputs &amp; Assumptions'!$U$34*EXP('Model Inputs &amp; Assumptions'!$V$34*Q3430-'Model Inputs &amp; Assumptions'!$V$34^2/2))</f>
        <v>0.264627323276962</v>
      </c>
      <c r="E3430" s="45" t="n">
        <f aca="false">ROUND(C3430*D3430,0)</f>
        <v>144356</v>
      </c>
      <c r="F3430" s="47" t="n">
        <f aca="false">MIN(1,'Model Inputs &amp; Assumptions'!$W$34*EXP('Model Inputs &amp; Assumptions'!$X$34*R3430-'Model Inputs &amp; Assumptions'!$X$34^2/2))</f>
        <v>0.00643013175834185</v>
      </c>
      <c r="G3430" s="45" t="n">
        <f aca="false">ROUND(C3430*F3430,0)</f>
        <v>3508</v>
      </c>
      <c r="H3430" s="48" t="n">
        <f aca="false">MAX(0,(C3430*'Model Inputs &amp; Assumptions'!$N$34+E3430*'Model Inputs &amp; Assumptions'!$O$34+G3430*'Model Inputs &amp; Assumptions'!$P$34)*EXP('Model Inputs &amp; Assumptions'!$Q$34*S3430-'Model Inputs &amp; Assumptions'!$Q$34^2/2))</f>
        <v>86.4428818894086</v>
      </c>
      <c r="I3430" s="49" t="n">
        <f aca="false">IF('Model Inputs &amp; Assumptions'!$H$34="Fixed",'Model Inputs &amp; Assumptions'!$I$34*'Model Inputs &amp; Assumptions'!$K$34,IF('Model Inputs &amp; Assumptions'!$H$34="CPM",'Model Inputs &amp; Assumptions'!$I$34*'Model Inputs &amp; Assumptions'!$K$34*C3430/1000,IF('Model Inputs &amp; Assumptions'!$H$34="CPC",'Model Inputs &amp; Assumptions'!$I$34*'Model Inputs &amp; Assumptions'!$K$34*G3430,0)))</f>
        <v>6489.8</v>
      </c>
      <c r="J3430" s="50" t="n">
        <f aca="false">H3430*INDEX('Model Inputs &amp; Assumptions'!$D$40:$D$42,MATCH('Model Inputs &amp; Assumptions'!$L$34,'Model Inputs &amp; Assumptions'!$A$40:$A$42,0))*INDEX('Model Inputs &amp; Assumptions'!$H$40:$H$42,MATCH('Model Inputs &amp; Assumptions'!$L$34,'Model Inputs &amp; Assumptions'!$A$40:$A$42,0))</f>
        <v>622388.749603742</v>
      </c>
      <c r="K3430" s="49" t="n">
        <f aca="false">H3430*INDEX('Model Inputs &amp; Assumptions'!$G$40:$G$42,MATCH('Model Inputs &amp; Assumptions'!$L$34,'Model Inputs &amp; Assumptions'!$A$40:$A$42,0))*INDEX('Model Inputs &amp; Assumptions'!$H$40:$H$42,MATCH('Model Inputs &amp; Assumptions'!$L$34,'Model Inputs &amp; Assumptions'!$A$40:$A$42,0))</f>
        <v>13723.6719287625</v>
      </c>
      <c r="L3430" s="51" t="n">
        <f aca="false">IFERROR(K3430/I3430,0)</f>
        <v>2.11465252068824</v>
      </c>
      <c r="M3430" s="49" t="n">
        <f aca="false">IFERROR(I3430/H3430,0)</f>
        <v>75.0761642618854</v>
      </c>
      <c r="N3430" s="52" t="str">
        <f aca="false">'Model Inputs &amp; Assumptions'!$L$34</f>
        <v>PRD-USIQ</v>
      </c>
      <c r="P3430" s="53" t="n">
        <v>0.339442</v>
      </c>
      <c r="Q3430" s="53" t="n">
        <v>0.95652</v>
      </c>
      <c r="R3430" s="53" t="n">
        <v>0.474642</v>
      </c>
      <c r="S3430" s="53" t="n">
        <v>0.336019</v>
      </c>
    </row>
    <row r="3431" customFormat="false" ht="15" hidden="false" customHeight="false" outlineLevel="0" collapsed="false">
      <c r="A3431" s="43" t="n">
        <v>428</v>
      </c>
      <c r="B3431" s="44" t="str">
        <f aca="false">'Model Inputs &amp; Assumptions'!$B$34</f>
        <v>Meta — Lookalike Feed Video</v>
      </c>
      <c r="C3431" s="45" t="n">
        <f aca="false">ROUND(MAX(0,'Model Inputs &amp; Assumptions'!$S$34*EXP('Model Inputs &amp; Assumptions'!$T$34*P3431-'Model Inputs &amp; Assumptions'!$T$34^2/2)),0)</f>
        <v>707777</v>
      </c>
      <c r="D3431" s="46" t="n">
        <f aca="false">MIN(1,'Model Inputs &amp; Assumptions'!$U$34*EXP('Model Inputs &amp; Assumptions'!$V$34*Q3431-'Model Inputs &amp; Assumptions'!$V$34^2/2))</f>
        <v>0.203294589911118</v>
      </c>
      <c r="E3431" s="45" t="n">
        <f aca="false">ROUND(C3431*D3431,0)</f>
        <v>143887</v>
      </c>
      <c r="F3431" s="47" t="n">
        <f aca="false">MIN(1,'Model Inputs &amp; Assumptions'!$W$34*EXP('Model Inputs &amp; Assumptions'!$X$34*R3431-'Model Inputs &amp; Assumptions'!$X$34^2/2))</f>
        <v>0.00887117067692837</v>
      </c>
      <c r="G3431" s="45" t="n">
        <f aca="false">ROUND(C3431*F3431,0)</f>
        <v>6279</v>
      </c>
      <c r="H3431" s="48" t="n">
        <f aca="false">MAX(0,(C3431*'Model Inputs &amp; Assumptions'!$N$34+E3431*'Model Inputs &amp; Assumptions'!$O$34+G3431*'Model Inputs &amp; Assumptions'!$P$34)*EXP('Model Inputs &amp; Assumptions'!$Q$34*S3431-'Model Inputs &amp; Assumptions'!$Q$34^2/2))</f>
        <v>151.916016803738</v>
      </c>
      <c r="I3431" s="49" t="n">
        <f aca="false">IF('Model Inputs &amp; Assumptions'!$H$34="Fixed",'Model Inputs &amp; Assumptions'!$I$34*'Model Inputs &amp; Assumptions'!$K$34,IF('Model Inputs &amp; Assumptions'!$H$34="CPM",'Model Inputs &amp; Assumptions'!$I$34*'Model Inputs &amp; Assumptions'!$K$34*C3431/1000,IF('Model Inputs &amp; Assumptions'!$H$34="CPC",'Model Inputs &amp; Assumptions'!$I$34*'Model Inputs &amp; Assumptions'!$K$34*G3431,0)))</f>
        <v>11616.15</v>
      </c>
      <c r="J3431" s="50" t="n">
        <f aca="false">H3431*INDEX('Model Inputs &amp; Assumptions'!$D$40:$D$42,MATCH('Model Inputs &amp; Assumptions'!$L$34,'Model Inputs &amp; Assumptions'!$A$40:$A$42,0))*INDEX('Model Inputs &amp; Assumptions'!$H$40:$H$42,MATCH('Model Inputs &amp; Assumptions'!$L$34,'Model Inputs &amp; Assumptions'!$A$40:$A$42,0))</f>
        <v>1093795.32098691</v>
      </c>
      <c r="K3431" s="49" t="n">
        <f aca="false">H3431*INDEX('Model Inputs &amp; Assumptions'!$G$40:$G$42,MATCH('Model Inputs &amp; Assumptions'!$L$34,'Model Inputs &amp; Assumptions'!$A$40:$A$42,0))*INDEX('Model Inputs &amp; Assumptions'!$H$40:$H$42,MATCH('Model Inputs &amp; Assumptions'!$L$34,'Model Inputs &amp; Assumptions'!$A$40:$A$42,0))</f>
        <v>24118.1868277615</v>
      </c>
      <c r="L3431" s="51" t="n">
        <f aca="false">IFERROR(K3431/I3431,0)</f>
        <v>2.07626337708806</v>
      </c>
      <c r="M3431" s="49" t="n">
        <f aca="false">IFERROR(I3431/H3431,0)</f>
        <v>76.4642876004775</v>
      </c>
      <c r="N3431" s="52" t="str">
        <f aca="false">'Model Inputs &amp; Assumptions'!$L$34</f>
        <v>PRD-USIQ</v>
      </c>
      <c r="P3431" s="53" t="n">
        <v>1.641498</v>
      </c>
      <c r="Q3431" s="53" t="n">
        <v>-0.691395</v>
      </c>
      <c r="R3431" s="53" t="n">
        <v>2.262485</v>
      </c>
      <c r="S3431" s="53" t="n">
        <v>0.480885</v>
      </c>
    </row>
    <row r="3432" customFormat="false" ht="15" hidden="false" customHeight="false" outlineLevel="0" collapsed="false">
      <c r="A3432" s="43" t="n">
        <v>429</v>
      </c>
      <c r="B3432" s="44" t="str">
        <f aca="false">'Model Inputs &amp; Assumptions'!$B$34</f>
        <v>Meta — Lookalike Feed Video</v>
      </c>
      <c r="C3432" s="45" t="n">
        <f aca="false">ROUND(MAX(0,'Model Inputs &amp; Assumptions'!$S$34*EXP('Model Inputs &amp; Assumptions'!$T$34*P3432-'Model Inputs &amp; Assumptions'!$T$34^2/2)),0)</f>
        <v>478262</v>
      </c>
      <c r="D3432" s="46" t="n">
        <f aca="false">MIN(1,'Model Inputs &amp; Assumptions'!$U$34*EXP('Model Inputs &amp; Assumptions'!$V$34*Q3432-'Model Inputs &amp; Assumptions'!$V$34^2/2))</f>
        <v>0.218401018849831</v>
      </c>
      <c r="E3432" s="45" t="n">
        <f aca="false">ROUND(C3432*D3432,0)</f>
        <v>104453</v>
      </c>
      <c r="F3432" s="47" t="n">
        <f aca="false">MIN(1,'Model Inputs &amp; Assumptions'!$W$34*EXP('Model Inputs &amp; Assumptions'!$X$34*R3432-'Model Inputs &amp; Assumptions'!$X$34^2/2))</f>
        <v>0.00364177874765509</v>
      </c>
      <c r="G3432" s="45" t="n">
        <f aca="false">ROUND(C3432*F3432,0)</f>
        <v>1742</v>
      </c>
      <c r="H3432" s="48" t="n">
        <f aca="false">MAX(0,(C3432*'Model Inputs &amp; Assumptions'!$N$34+E3432*'Model Inputs &amp; Assumptions'!$O$34+G3432*'Model Inputs &amp; Assumptions'!$P$34)*EXP('Model Inputs &amp; Assumptions'!$Q$34*S3432-'Model Inputs &amp; Assumptions'!$Q$34^2/2))</f>
        <v>48.3377879711114</v>
      </c>
      <c r="I3432" s="49" t="n">
        <f aca="false">IF('Model Inputs &amp; Assumptions'!$H$34="Fixed",'Model Inputs &amp; Assumptions'!$I$34*'Model Inputs &amp; Assumptions'!$K$34,IF('Model Inputs &amp; Assumptions'!$H$34="CPM",'Model Inputs &amp; Assumptions'!$I$34*'Model Inputs &amp; Assumptions'!$K$34*C3432/1000,IF('Model Inputs &amp; Assumptions'!$H$34="CPC",'Model Inputs &amp; Assumptions'!$I$34*'Model Inputs &amp; Assumptions'!$K$34*G3432,0)))</f>
        <v>3222.7</v>
      </c>
      <c r="J3432" s="50" t="n">
        <f aca="false">H3432*INDEX('Model Inputs &amp; Assumptions'!$D$40:$D$42,MATCH('Model Inputs &amp; Assumptions'!$L$34,'Model Inputs &amp; Assumptions'!$A$40:$A$42,0))*INDEX('Model Inputs &amp; Assumptions'!$H$40:$H$42,MATCH('Model Inputs &amp; Assumptions'!$L$34,'Model Inputs &amp; Assumptions'!$A$40:$A$42,0))</f>
        <v>348032.073392002</v>
      </c>
      <c r="K3432" s="49" t="n">
        <f aca="false">H3432*INDEX('Model Inputs &amp; Assumptions'!$G$40:$G$42,MATCH('Model Inputs &amp; Assumptions'!$L$34,'Model Inputs &amp; Assumptions'!$A$40:$A$42,0))*INDEX('Model Inputs &amp; Assumptions'!$H$40:$H$42,MATCH('Model Inputs &amp; Assumptions'!$L$34,'Model Inputs &amp; Assumptions'!$A$40:$A$42,0))</f>
        <v>7674.10721829364</v>
      </c>
      <c r="L3432" s="51" t="n">
        <f aca="false">IFERROR(K3432/I3432,0)</f>
        <v>2.38126639721154</v>
      </c>
      <c r="M3432" s="49" t="n">
        <f aca="false">IFERROR(I3432/H3432,0)</f>
        <v>66.670407051436</v>
      </c>
      <c r="N3432" s="52" t="str">
        <f aca="false">'Model Inputs &amp; Assumptions'!$L$34</f>
        <v>PRD-USIQ</v>
      </c>
      <c r="P3432" s="53" t="n">
        <v>-0.318351</v>
      </c>
      <c r="Q3432" s="53" t="n">
        <v>-0.243415</v>
      </c>
      <c r="R3432" s="53" t="n">
        <v>-2.683818</v>
      </c>
      <c r="S3432" s="53" t="n">
        <v>0.511438</v>
      </c>
    </row>
    <row r="3433" customFormat="false" ht="15" hidden="false" customHeight="false" outlineLevel="0" collapsed="false">
      <c r="A3433" s="43" t="n">
        <v>430</v>
      </c>
      <c r="B3433" s="44" t="str">
        <f aca="false">'Model Inputs &amp; Assumptions'!$B$34</f>
        <v>Meta — Lookalike Feed Video</v>
      </c>
      <c r="C3433" s="45" t="n">
        <f aca="false">ROUND(MAX(0,'Model Inputs &amp; Assumptions'!$S$34*EXP('Model Inputs &amp; Assumptions'!$T$34*P3433-'Model Inputs &amp; Assumptions'!$T$34^2/2)),0)</f>
        <v>376547</v>
      </c>
      <c r="D3433" s="46" t="n">
        <f aca="false">MIN(1,'Model Inputs &amp; Assumptions'!$U$34*EXP('Model Inputs &amp; Assumptions'!$V$34*Q3433-'Model Inputs &amp; Assumptions'!$V$34^2/2))</f>
        <v>0.219388319692331</v>
      </c>
      <c r="E3433" s="45" t="n">
        <f aca="false">ROUND(C3433*D3433,0)</f>
        <v>82610</v>
      </c>
      <c r="F3433" s="47" t="n">
        <f aca="false">MIN(1,'Model Inputs &amp; Assumptions'!$W$34*EXP('Model Inputs &amp; Assumptions'!$X$34*R3433-'Model Inputs &amp; Assumptions'!$X$34^2/2))</f>
        <v>0.00549379574541998</v>
      </c>
      <c r="G3433" s="45" t="n">
        <f aca="false">ROUND(C3433*F3433,0)</f>
        <v>2069</v>
      </c>
      <c r="H3433" s="48" t="n">
        <f aca="false">MAX(0,(C3433*'Model Inputs &amp; Assumptions'!$N$34+E3433*'Model Inputs &amp; Assumptions'!$O$34+G3433*'Model Inputs &amp; Assumptions'!$P$34)*EXP('Model Inputs &amp; Assumptions'!$Q$34*S3433-'Model Inputs &amp; Assumptions'!$Q$34^2/2))</f>
        <v>67.4615233122053</v>
      </c>
      <c r="I3433" s="49" t="n">
        <f aca="false">IF('Model Inputs &amp; Assumptions'!$H$34="Fixed",'Model Inputs &amp; Assumptions'!$I$34*'Model Inputs &amp; Assumptions'!$K$34,IF('Model Inputs &amp; Assumptions'!$H$34="CPM",'Model Inputs &amp; Assumptions'!$I$34*'Model Inputs &amp; Assumptions'!$K$34*C3433/1000,IF('Model Inputs &amp; Assumptions'!$H$34="CPC",'Model Inputs &amp; Assumptions'!$I$34*'Model Inputs &amp; Assumptions'!$K$34*G3433,0)))</f>
        <v>3827.65</v>
      </c>
      <c r="J3433" s="50" t="n">
        <f aca="false">H3433*INDEX('Model Inputs &amp; Assumptions'!$D$40:$D$42,MATCH('Model Inputs &amp; Assumptions'!$L$34,'Model Inputs &amp; Assumptions'!$A$40:$A$42,0))*INDEX('Model Inputs &amp; Assumptions'!$H$40:$H$42,MATCH('Model Inputs &amp; Assumptions'!$L$34,'Model Inputs &amp; Assumptions'!$A$40:$A$42,0))</f>
        <v>485722.967847878</v>
      </c>
      <c r="K3433" s="49" t="n">
        <f aca="false">H3433*INDEX('Model Inputs &amp; Assumptions'!$G$40:$G$42,MATCH('Model Inputs &amp; Assumptions'!$L$34,'Model Inputs &amp; Assumptions'!$A$40:$A$42,0))*INDEX('Model Inputs &amp; Assumptions'!$H$40:$H$42,MATCH('Model Inputs &amp; Assumptions'!$L$34,'Model Inputs &amp; Assumptions'!$A$40:$A$42,0))</f>
        <v>10710.1914410457</v>
      </c>
      <c r="L3433" s="51" t="n">
        <f aca="false">IFERROR(K3433/I3433,0)</f>
        <v>2.79811148904569</v>
      </c>
      <c r="M3433" s="49" t="n">
        <f aca="false">IFERROR(I3433/H3433,0)</f>
        <v>56.7382681574801</v>
      </c>
      <c r="N3433" s="52" t="str">
        <f aca="false">'Model Inputs &amp; Assumptions'!$L$34</f>
        <v>PRD-USIQ</v>
      </c>
      <c r="P3433" s="53" t="n">
        <v>-1.513932</v>
      </c>
      <c r="Q3433" s="53" t="n">
        <v>-0.215225</v>
      </c>
      <c r="R3433" s="53" t="n">
        <v>-0.399667</v>
      </c>
      <c r="S3433" s="53" t="n">
        <v>1.224343</v>
      </c>
    </row>
    <row r="3434" customFormat="false" ht="15" hidden="false" customHeight="false" outlineLevel="0" collapsed="false">
      <c r="A3434" s="43" t="n">
        <v>431</v>
      </c>
      <c r="B3434" s="44" t="str">
        <f aca="false">'Model Inputs &amp; Assumptions'!$B$34</f>
        <v>Meta — Lookalike Feed Video</v>
      </c>
      <c r="C3434" s="45" t="n">
        <f aca="false">ROUND(MAX(0,'Model Inputs &amp; Assumptions'!$S$34*EXP('Model Inputs &amp; Assumptions'!$T$34*P3434-'Model Inputs &amp; Assumptions'!$T$34^2/2)),0)</f>
        <v>561035</v>
      </c>
      <c r="D3434" s="46" t="n">
        <f aca="false">MIN(1,'Model Inputs &amp; Assumptions'!$U$34*EXP('Model Inputs &amp; Assumptions'!$V$34*Q3434-'Model Inputs &amp; Assumptions'!$V$34^2/2))</f>
        <v>0.250907922430777</v>
      </c>
      <c r="E3434" s="45" t="n">
        <f aca="false">ROUND(C3434*D3434,0)</f>
        <v>140768</v>
      </c>
      <c r="F3434" s="47" t="n">
        <f aca="false">MIN(1,'Model Inputs &amp; Assumptions'!$W$34*EXP('Model Inputs &amp; Assumptions'!$X$34*R3434-'Model Inputs &amp; Assumptions'!$X$34^2/2))</f>
        <v>0.00595007955007135</v>
      </c>
      <c r="G3434" s="45" t="n">
        <f aca="false">ROUND(C3434*F3434,0)</f>
        <v>3338</v>
      </c>
      <c r="H3434" s="48" t="n">
        <f aca="false">MAX(0,(C3434*'Model Inputs &amp; Assumptions'!$N$34+E3434*'Model Inputs &amp; Assumptions'!$O$34+G3434*'Model Inputs &amp; Assumptions'!$P$34)*EXP('Model Inputs &amp; Assumptions'!$Q$34*S3434-'Model Inputs &amp; Assumptions'!$Q$34^2/2))</f>
        <v>88.4087141121079</v>
      </c>
      <c r="I3434" s="49" t="n">
        <f aca="false">IF('Model Inputs &amp; Assumptions'!$H$34="Fixed",'Model Inputs &amp; Assumptions'!$I$34*'Model Inputs &amp; Assumptions'!$K$34,IF('Model Inputs &amp; Assumptions'!$H$34="CPM",'Model Inputs &amp; Assumptions'!$I$34*'Model Inputs &amp; Assumptions'!$K$34*C3434/1000,IF('Model Inputs &amp; Assumptions'!$H$34="CPC",'Model Inputs &amp; Assumptions'!$I$34*'Model Inputs &amp; Assumptions'!$K$34*G3434,0)))</f>
        <v>6175.3</v>
      </c>
      <c r="J3434" s="50" t="n">
        <f aca="false">H3434*INDEX('Model Inputs &amp; Assumptions'!$D$40:$D$42,MATCH('Model Inputs &amp; Assumptions'!$L$34,'Model Inputs &amp; Assumptions'!$A$40:$A$42,0))*INDEX('Model Inputs &amp; Assumptions'!$H$40:$H$42,MATCH('Model Inputs &amp; Assumptions'!$L$34,'Model Inputs &amp; Assumptions'!$A$40:$A$42,0))</f>
        <v>636542.741607177</v>
      </c>
      <c r="K3434" s="49" t="n">
        <f aca="false">H3434*INDEX('Model Inputs &amp; Assumptions'!$G$40:$G$42,MATCH('Model Inputs &amp; Assumptions'!$L$34,'Model Inputs &amp; Assumptions'!$A$40:$A$42,0))*INDEX('Model Inputs &amp; Assumptions'!$H$40:$H$42,MATCH('Model Inputs &amp; Assumptions'!$L$34,'Model Inputs &amp; Assumptions'!$A$40:$A$42,0))</f>
        <v>14035.7674524383</v>
      </c>
      <c r="L3434" s="51" t="n">
        <f aca="false">IFERROR(K3434/I3434,0)</f>
        <v>2.27288835399709</v>
      </c>
      <c r="M3434" s="49" t="n">
        <f aca="false">IFERROR(I3434/H3434,0)</f>
        <v>69.8494493672798</v>
      </c>
      <c r="N3434" s="52" t="str">
        <f aca="false">'Model Inputs &amp; Assumptions'!$L$34</f>
        <v>PRD-USIQ</v>
      </c>
      <c r="P3434" s="53" t="n">
        <v>0.479773</v>
      </c>
      <c r="Q3434" s="53" t="n">
        <v>0.623792</v>
      </c>
      <c r="R3434" s="53" t="n">
        <v>0.043584</v>
      </c>
      <c r="S3434" s="53" t="n">
        <v>0.550584</v>
      </c>
    </row>
    <row r="3435" customFormat="false" ht="15" hidden="false" customHeight="false" outlineLevel="0" collapsed="false">
      <c r="A3435" s="43" t="n">
        <v>432</v>
      </c>
      <c r="B3435" s="44" t="str">
        <f aca="false">'Model Inputs &amp; Assumptions'!$B$34</f>
        <v>Meta — Lookalike Feed Video</v>
      </c>
      <c r="C3435" s="45" t="n">
        <f aca="false">ROUND(MAX(0,'Model Inputs &amp; Assumptions'!$S$34*EXP('Model Inputs &amp; Assumptions'!$T$34*P3435-'Model Inputs &amp; Assumptions'!$T$34^2/2)),0)</f>
        <v>577269</v>
      </c>
      <c r="D3435" s="46" t="n">
        <f aca="false">MIN(1,'Model Inputs &amp; Assumptions'!$U$34*EXP('Model Inputs &amp; Assumptions'!$V$34*Q3435-'Model Inputs &amp; Assumptions'!$V$34^2/2))</f>
        <v>0.178174682053279</v>
      </c>
      <c r="E3435" s="45" t="n">
        <f aca="false">ROUND(C3435*D3435,0)</f>
        <v>102855</v>
      </c>
      <c r="F3435" s="47" t="n">
        <f aca="false">MIN(1,'Model Inputs &amp; Assumptions'!$W$34*EXP('Model Inputs &amp; Assumptions'!$X$34*R3435-'Model Inputs &amp; Assumptions'!$X$34^2/2))</f>
        <v>0.00539637002116841</v>
      </c>
      <c r="G3435" s="45" t="n">
        <f aca="false">ROUND(C3435*F3435,0)</f>
        <v>3115</v>
      </c>
      <c r="H3435" s="48" t="n">
        <f aca="false">MAX(0,(C3435*'Model Inputs &amp; Assumptions'!$N$34+E3435*'Model Inputs &amp; Assumptions'!$O$34+G3435*'Model Inputs &amp; Assumptions'!$P$34)*EXP('Model Inputs &amp; Assumptions'!$Q$34*S3435-'Model Inputs &amp; Assumptions'!$Q$34^2/2))</f>
        <v>63.1101760761684</v>
      </c>
      <c r="I3435" s="49" t="n">
        <f aca="false">IF('Model Inputs &amp; Assumptions'!$H$34="Fixed",'Model Inputs &amp; Assumptions'!$I$34*'Model Inputs &amp; Assumptions'!$K$34,IF('Model Inputs &amp; Assumptions'!$H$34="CPM",'Model Inputs &amp; Assumptions'!$I$34*'Model Inputs &amp; Assumptions'!$K$34*C3435/1000,IF('Model Inputs &amp; Assumptions'!$H$34="CPC",'Model Inputs &amp; Assumptions'!$I$34*'Model Inputs &amp; Assumptions'!$K$34*G3435,0)))</f>
        <v>5762.75</v>
      </c>
      <c r="J3435" s="50" t="n">
        <f aca="false">H3435*INDEX('Model Inputs &amp; Assumptions'!$D$40:$D$42,MATCH('Model Inputs &amp; Assumptions'!$L$34,'Model Inputs &amp; Assumptions'!$A$40:$A$42,0))*INDEX('Model Inputs &amp; Assumptions'!$H$40:$H$42,MATCH('Model Inputs &amp; Assumptions'!$L$34,'Model Inputs &amp; Assumptions'!$A$40:$A$42,0))</f>
        <v>454393.267748413</v>
      </c>
      <c r="K3435" s="49" t="n">
        <f aca="false">H3435*INDEX('Model Inputs &amp; Assumptions'!$G$40:$G$42,MATCH('Model Inputs &amp; Assumptions'!$L$34,'Model Inputs &amp; Assumptions'!$A$40:$A$42,0))*INDEX('Model Inputs &amp; Assumptions'!$H$40:$H$42,MATCH('Model Inputs &amp; Assumptions'!$L$34,'Model Inputs &amp; Assumptions'!$A$40:$A$42,0))</f>
        <v>10019.3715538525</v>
      </c>
      <c r="L3435" s="51" t="n">
        <f aca="false">IFERROR(K3435/I3435,0)</f>
        <v>1.73864414625873</v>
      </c>
      <c r="M3435" s="49" t="n">
        <f aca="false">IFERROR(I3435/H3435,0)</f>
        <v>91.3125324360507</v>
      </c>
      <c r="N3435" s="52" t="str">
        <f aca="false">'Model Inputs &amp; Assumptions'!$L$34</f>
        <v>PRD-USIQ</v>
      </c>
      <c r="P3435" s="53" t="n">
        <v>0.622398</v>
      </c>
      <c r="Q3435" s="53" t="n">
        <v>-1.515718</v>
      </c>
      <c r="R3435" s="53" t="n">
        <v>-0.499072</v>
      </c>
      <c r="S3435" s="53" t="n">
        <v>-0.187292</v>
      </c>
    </row>
    <row r="3436" customFormat="false" ht="15" hidden="false" customHeight="false" outlineLevel="0" collapsed="false">
      <c r="A3436" s="43" t="n">
        <v>433</v>
      </c>
      <c r="B3436" s="44" t="str">
        <f aca="false">'Model Inputs &amp; Assumptions'!$B$34</f>
        <v>Meta — Lookalike Feed Video</v>
      </c>
      <c r="C3436" s="45" t="n">
        <f aca="false">ROUND(MAX(0,'Model Inputs &amp; Assumptions'!$S$34*EXP('Model Inputs &amp; Assumptions'!$T$34*P3436-'Model Inputs &amp; Assumptions'!$T$34^2/2)),0)</f>
        <v>451060</v>
      </c>
      <c r="D3436" s="46" t="n">
        <f aca="false">MIN(1,'Model Inputs &amp; Assumptions'!$U$34*EXP('Model Inputs &amp; Assumptions'!$V$34*Q3436-'Model Inputs &amp; Assumptions'!$V$34^2/2))</f>
        <v>0.202156604921782</v>
      </c>
      <c r="E3436" s="45" t="n">
        <f aca="false">ROUND(C3436*D3436,0)</f>
        <v>91185</v>
      </c>
      <c r="F3436" s="47" t="n">
        <f aca="false">MIN(1,'Model Inputs &amp; Assumptions'!$W$34*EXP('Model Inputs &amp; Assumptions'!$X$34*R3436-'Model Inputs &amp; Assumptions'!$X$34^2/2))</f>
        <v>0.00653691060450487</v>
      </c>
      <c r="G3436" s="45" t="n">
        <f aca="false">ROUND(C3436*F3436,0)</f>
        <v>2949</v>
      </c>
      <c r="H3436" s="48" t="n">
        <f aca="false">MAX(0,(C3436*'Model Inputs &amp; Assumptions'!$N$34+E3436*'Model Inputs &amp; Assumptions'!$O$34+G3436*'Model Inputs &amp; Assumptions'!$P$34)*EXP('Model Inputs &amp; Assumptions'!$Q$34*S3436-'Model Inputs &amp; Assumptions'!$Q$34^2/2))</f>
        <v>48.2587160233198</v>
      </c>
      <c r="I3436" s="49" t="n">
        <f aca="false">IF('Model Inputs &amp; Assumptions'!$H$34="Fixed",'Model Inputs &amp; Assumptions'!$I$34*'Model Inputs &amp; Assumptions'!$K$34,IF('Model Inputs &amp; Assumptions'!$H$34="CPM",'Model Inputs &amp; Assumptions'!$I$34*'Model Inputs &amp; Assumptions'!$K$34*C3436/1000,IF('Model Inputs &amp; Assumptions'!$H$34="CPC",'Model Inputs &amp; Assumptions'!$I$34*'Model Inputs &amp; Assumptions'!$K$34*G3436,0)))</f>
        <v>5455.65</v>
      </c>
      <c r="J3436" s="50" t="n">
        <f aca="false">H3436*INDEX('Model Inputs &amp; Assumptions'!$D$40:$D$42,MATCH('Model Inputs &amp; Assumptions'!$L$34,'Model Inputs &amp; Assumptions'!$A$40:$A$42,0))*INDEX('Model Inputs &amp; Assumptions'!$H$40:$H$42,MATCH('Model Inputs &amp; Assumptions'!$L$34,'Model Inputs &amp; Assumptions'!$A$40:$A$42,0))</f>
        <v>347462.755367903</v>
      </c>
      <c r="K3436" s="49" t="n">
        <f aca="false">H3436*INDEX('Model Inputs &amp; Assumptions'!$G$40:$G$42,MATCH('Model Inputs &amp; Assumptions'!$L$34,'Model Inputs &amp; Assumptions'!$A$40:$A$42,0))*INDEX('Model Inputs &amp; Assumptions'!$H$40:$H$42,MATCH('Model Inputs &amp; Assumptions'!$L$34,'Model Inputs &amp; Assumptions'!$A$40:$A$42,0))</f>
        <v>7661.55375586225</v>
      </c>
      <c r="L3436" s="51" t="n">
        <f aca="false">IFERROR(K3436/I3436,0)</f>
        <v>1.40433381097802</v>
      </c>
      <c r="M3436" s="49" t="n">
        <f aca="false">IFERROR(I3436/H3436,0)</f>
        <v>113.050044625383</v>
      </c>
      <c r="N3436" s="52" t="str">
        <f aca="false">'Model Inputs &amp; Assumptions'!$L$34</f>
        <v>PRD-USIQ</v>
      </c>
      <c r="P3436" s="53" t="n">
        <v>-0.611146</v>
      </c>
      <c r="Q3436" s="53" t="n">
        <v>-0.726479</v>
      </c>
      <c r="R3436" s="53" t="n">
        <v>0.56614</v>
      </c>
      <c r="S3436" s="53" t="n">
        <v>-0.831354</v>
      </c>
    </row>
    <row r="3437" customFormat="false" ht="15" hidden="false" customHeight="false" outlineLevel="0" collapsed="false">
      <c r="A3437" s="43" t="n">
        <v>434</v>
      </c>
      <c r="B3437" s="44" t="str">
        <f aca="false">'Model Inputs &amp; Assumptions'!$B$34</f>
        <v>Meta — Lookalike Feed Video</v>
      </c>
      <c r="C3437" s="45" t="n">
        <f aca="false">ROUND(MAX(0,'Model Inputs &amp; Assumptions'!$S$34*EXP('Model Inputs &amp; Assumptions'!$T$34*P3437-'Model Inputs &amp; Assumptions'!$T$34^2/2)),0)</f>
        <v>395048</v>
      </c>
      <c r="D3437" s="46" t="n">
        <f aca="false">MIN(1,'Model Inputs &amp; Assumptions'!$U$34*EXP('Model Inputs &amp; Assumptions'!$V$34*Q3437-'Model Inputs &amp; Assumptions'!$V$34^2/2))</f>
        <v>0.232405485621661</v>
      </c>
      <c r="E3437" s="45" t="n">
        <f aca="false">ROUND(C3437*D3437,0)</f>
        <v>91811</v>
      </c>
      <c r="F3437" s="47" t="n">
        <f aca="false">MIN(1,'Model Inputs &amp; Assumptions'!$W$34*EXP('Model Inputs &amp; Assumptions'!$X$34*R3437-'Model Inputs &amp; Assumptions'!$X$34^2/2))</f>
        <v>0.00615741452350522</v>
      </c>
      <c r="G3437" s="45" t="n">
        <f aca="false">ROUND(C3437*F3437,0)</f>
        <v>2432</v>
      </c>
      <c r="H3437" s="48" t="n">
        <f aca="false">MAX(0,(C3437*'Model Inputs &amp; Assumptions'!$N$34+E3437*'Model Inputs &amp; Assumptions'!$O$34+G3437*'Model Inputs &amp; Assumptions'!$P$34)*EXP('Model Inputs &amp; Assumptions'!$Q$34*S3437-'Model Inputs &amp; Assumptions'!$Q$34^2/2))</f>
        <v>60.1471063648569</v>
      </c>
      <c r="I3437" s="49" t="n">
        <f aca="false">IF('Model Inputs &amp; Assumptions'!$H$34="Fixed",'Model Inputs &amp; Assumptions'!$I$34*'Model Inputs &amp; Assumptions'!$K$34,IF('Model Inputs &amp; Assumptions'!$H$34="CPM",'Model Inputs &amp; Assumptions'!$I$34*'Model Inputs &amp; Assumptions'!$K$34*C3437/1000,IF('Model Inputs &amp; Assumptions'!$H$34="CPC",'Model Inputs &amp; Assumptions'!$I$34*'Model Inputs &amp; Assumptions'!$K$34*G3437,0)))</f>
        <v>4499.2</v>
      </c>
      <c r="J3437" s="50" t="n">
        <f aca="false">H3437*INDEX('Model Inputs &amp; Assumptions'!$D$40:$D$42,MATCH('Model Inputs &amp; Assumptions'!$L$34,'Model Inputs &amp; Assumptions'!$A$40:$A$42,0))*INDEX('Model Inputs &amp; Assumptions'!$H$40:$H$42,MATCH('Model Inputs &amp; Assumptions'!$L$34,'Model Inputs &amp; Assumptions'!$A$40:$A$42,0))</f>
        <v>433059.16582697</v>
      </c>
      <c r="K3437" s="49" t="n">
        <f aca="false">H3437*INDEX('Model Inputs &amp; Assumptions'!$G$40:$G$42,MATCH('Model Inputs &amp; Assumptions'!$L$34,'Model Inputs &amp; Assumptions'!$A$40:$A$42,0))*INDEX('Model Inputs &amp; Assumptions'!$H$40:$H$42,MATCH('Model Inputs &amp; Assumptions'!$L$34,'Model Inputs &amp; Assumptions'!$A$40:$A$42,0))</f>
        <v>9548.95460648468</v>
      </c>
      <c r="L3437" s="51" t="n">
        <f aca="false">IFERROR(K3437/I3437,0)</f>
        <v>2.12236722228056</v>
      </c>
      <c r="M3437" s="49" t="n">
        <f aca="false">IFERROR(I3437/H3437,0)</f>
        <v>74.8032660575143</v>
      </c>
      <c r="N3437" s="52" t="str">
        <f aca="false">'Model Inputs &amp; Assumptions'!$L$34</f>
        <v>PRD-USIQ</v>
      </c>
      <c r="P3437" s="53" t="n">
        <v>-1.274106</v>
      </c>
      <c r="Q3437" s="53" t="n">
        <v>0.145027</v>
      </c>
      <c r="R3437" s="53" t="n">
        <v>0.233875</v>
      </c>
      <c r="S3437" s="53" t="n">
        <v>0.384099</v>
      </c>
    </row>
    <row r="3438" customFormat="false" ht="15" hidden="false" customHeight="false" outlineLevel="0" collapsed="false">
      <c r="A3438" s="43" t="n">
        <v>435</v>
      </c>
      <c r="B3438" s="44" t="str">
        <f aca="false">'Model Inputs &amp; Assumptions'!$B$34</f>
        <v>Meta — Lookalike Feed Video</v>
      </c>
      <c r="C3438" s="45" t="n">
        <f aca="false">ROUND(MAX(0,'Model Inputs &amp; Assumptions'!$S$34*EXP('Model Inputs &amp; Assumptions'!$T$34*P3438-'Model Inputs &amp; Assumptions'!$T$34^2/2)),0)</f>
        <v>542442</v>
      </c>
      <c r="D3438" s="46" t="n">
        <f aca="false">MIN(1,'Model Inputs &amp; Assumptions'!$U$34*EXP('Model Inputs &amp; Assumptions'!$V$34*Q3438-'Model Inputs &amp; Assumptions'!$V$34^2/2))</f>
        <v>0.226024117667877</v>
      </c>
      <c r="E3438" s="45" t="n">
        <f aca="false">ROUND(C3438*D3438,0)</f>
        <v>122605</v>
      </c>
      <c r="F3438" s="47" t="n">
        <f aca="false">MIN(1,'Model Inputs &amp; Assumptions'!$W$34*EXP('Model Inputs &amp; Assumptions'!$X$34*R3438-'Model Inputs &amp; Assumptions'!$X$34^2/2))</f>
        <v>0.00664844657229313</v>
      </c>
      <c r="G3438" s="45" t="n">
        <f aca="false">ROUND(C3438*F3438,0)</f>
        <v>3606</v>
      </c>
      <c r="H3438" s="48" t="n">
        <f aca="false">MAX(0,(C3438*'Model Inputs &amp; Assumptions'!$N$34+E3438*'Model Inputs &amp; Assumptions'!$O$34+G3438*'Model Inputs &amp; Assumptions'!$P$34)*EXP('Model Inputs &amp; Assumptions'!$Q$34*S3438-'Model Inputs &amp; Assumptions'!$Q$34^2/2))</f>
        <v>65.5817341994915</v>
      </c>
      <c r="I3438" s="49" t="n">
        <f aca="false">IF('Model Inputs &amp; Assumptions'!$H$34="Fixed",'Model Inputs &amp; Assumptions'!$I$34*'Model Inputs &amp; Assumptions'!$K$34,IF('Model Inputs &amp; Assumptions'!$H$34="CPM",'Model Inputs &amp; Assumptions'!$I$34*'Model Inputs &amp; Assumptions'!$K$34*C3438/1000,IF('Model Inputs &amp; Assumptions'!$H$34="CPC",'Model Inputs &amp; Assumptions'!$I$34*'Model Inputs &amp; Assumptions'!$K$34*G3438,0)))</f>
        <v>6671.1</v>
      </c>
      <c r="J3438" s="50" t="n">
        <f aca="false">H3438*INDEX('Model Inputs &amp; Assumptions'!$D$40:$D$42,MATCH('Model Inputs &amp; Assumptions'!$L$34,'Model Inputs &amp; Assumptions'!$A$40:$A$42,0))*INDEX('Model Inputs &amp; Assumptions'!$H$40:$H$42,MATCH('Model Inputs &amp; Assumptions'!$L$34,'Model Inputs &amp; Assumptions'!$A$40:$A$42,0))</f>
        <v>472188.486236339</v>
      </c>
      <c r="K3438" s="49" t="n">
        <f aca="false">H3438*INDEX('Model Inputs &amp; Assumptions'!$G$40:$G$42,MATCH('Model Inputs &amp; Assumptions'!$L$34,'Model Inputs &amp; Assumptions'!$A$40:$A$42,0))*INDEX('Model Inputs &amp; Assumptions'!$H$40:$H$42,MATCH('Model Inputs &amp; Assumptions'!$L$34,'Model Inputs &amp; Assumptions'!$A$40:$A$42,0))</f>
        <v>10411.7561215113</v>
      </c>
      <c r="L3438" s="51" t="n">
        <f aca="false">IFERROR(K3438/I3438,0)</f>
        <v>1.56072553574542</v>
      </c>
      <c r="M3438" s="49" t="n">
        <f aca="false">IFERROR(I3438/H3438,0)</f>
        <v>101.721921224397</v>
      </c>
      <c r="N3438" s="52" t="str">
        <f aca="false">'Model Inputs &amp; Assumptions'!$L$34</f>
        <v>PRD-USIQ</v>
      </c>
      <c r="P3438" s="53" t="n">
        <v>0.311262</v>
      </c>
      <c r="Q3438" s="53" t="n">
        <v>-0.028985</v>
      </c>
      <c r="R3438" s="53" t="n">
        <v>0.660132</v>
      </c>
      <c r="S3438" s="53" t="n">
        <v>-0.535464</v>
      </c>
    </row>
    <row r="3439" customFormat="false" ht="15" hidden="false" customHeight="false" outlineLevel="0" collapsed="false">
      <c r="A3439" s="43" t="n">
        <v>436</v>
      </c>
      <c r="B3439" s="44" t="str">
        <f aca="false">'Model Inputs &amp; Assumptions'!$B$34</f>
        <v>Meta — Lookalike Feed Video</v>
      </c>
      <c r="C3439" s="45" t="n">
        <f aca="false">ROUND(MAX(0,'Model Inputs &amp; Assumptions'!$S$34*EXP('Model Inputs &amp; Assumptions'!$T$34*P3439-'Model Inputs &amp; Assumptions'!$T$34^2/2)),0)</f>
        <v>512540</v>
      </c>
      <c r="D3439" s="46" t="n">
        <f aca="false">MIN(1,'Model Inputs &amp; Assumptions'!$U$34*EXP('Model Inputs &amp; Assumptions'!$V$34*Q3439-'Model Inputs &amp; Assumptions'!$V$34^2/2))</f>
        <v>0.257767750829442</v>
      </c>
      <c r="E3439" s="45" t="n">
        <f aca="false">ROUND(C3439*D3439,0)</f>
        <v>132116</v>
      </c>
      <c r="F3439" s="47" t="n">
        <f aca="false">MIN(1,'Model Inputs &amp; Assumptions'!$W$34*EXP('Model Inputs &amp; Assumptions'!$X$34*R3439-'Model Inputs &amp; Assumptions'!$X$34^2/2))</f>
        <v>0.00804331578488417</v>
      </c>
      <c r="G3439" s="45" t="n">
        <f aca="false">ROUND(C3439*F3439,0)</f>
        <v>4123</v>
      </c>
      <c r="H3439" s="48" t="n">
        <f aca="false">MAX(0,(C3439*'Model Inputs &amp; Assumptions'!$N$34+E3439*'Model Inputs &amp; Assumptions'!$O$34+G3439*'Model Inputs &amp; Assumptions'!$P$34)*EXP('Model Inputs &amp; Assumptions'!$Q$34*S3439-'Model Inputs &amp; Assumptions'!$Q$34^2/2))</f>
        <v>75.1597645816885</v>
      </c>
      <c r="I3439" s="49" t="n">
        <f aca="false">IF('Model Inputs &amp; Assumptions'!$H$34="Fixed",'Model Inputs &amp; Assumptions'!$I$34*'Model Inputs &amp; Assumptions'!$K$34,IF('Model Inputs &amp; Assumptions'!$H$34="CPM",'Model Inputs &amp; Assumptions'!$I$34*'Model Inputs &amp; Assumptions'!$K$34*C3439/1000,IF('Model Inputs &amp; Assumptions'!$H$34="CPC",'Model Inputs &amp; Assumptions'!$I$34*'Model Inputs &amp; Assumptions'!$K$34*G3439,0)))</f>
        <v>7627.55</v>
      </c>
      <c r="J3439" s="50" t="n">
        <f aca="false">H3439*INDEX('Model Inputs &amp; Assumptions'!$D$40:$D$42,MATCH('Model Inputs &amp; Assumptions'!$L$34,'Model Inputs &amp; Assumptions'!$A$40:$A$42,0))*INDEX('Model Inputs &amp; Assumptions'!$H$40:$H$42,MATCH('Model Inputs &amp; Assumptions'!$L$34,'Model Inputs &amp; Assumptions'!$A$40:$A$42,0))</f>
        <v>541150.304988157</v>
      </c>
      <c r="K3439" s="49" t="n">
        <f aca="false">H3439*INDEX('Model Inputs &amp; Assumptions'!$G$40:$G$42,MATCH('Model Inputs &amp; Assumptions'!$L$34,'Model Inputs &amp; Assumptions'!$A$40:$A$42,0))*INDEX('Model Inputs &amp; Assumptions'!$H$40:$H$42,MATCH('Model Inputs &amp; Assumptions'!$L$34,'Model Inputs &amp; Assumptions'!$A$40:$A$42,0))</f>
        <v>11932.3642249889</v>
      </c>
      <c r="L3439" s="51" t="n">
        <f aca="false">IFERROR(K3439/I3439,0)</f>
        <v>1.56437705750718</v>
      </c>
      <c r="M3439" s="49" t="n">
        <f aca="false">IFERROR(I3439/H3439,0)</f>
        <v>101.484484982785</v>
      </c>
      <c r="N3439" s="52" t="str">
        <f aca="false">'Model Inputs &amp; Assumptions'!$L$34</f>
        <v>PRD-USIQ</v>
      </c>
      <c r="P3439" s="53" t="n">
        <v>0.027748</v>
      </c>
      <c r="Q3439" s="53" t="n">
        <v>0.792373</v>
      </c>
      <c r="R3439" s="53" t="n">
        <v>1.718233</v>
      </c>
      <c r="S3439" s="53" t="n">
        <v>-0.506557</v>
      </c>
    </row>
    <row r="3440" customFormat="false" ht="15" hidden="false" customHeight="false" outlineLevel="0" collapsed="false">
      <c r="A3440" s="43" t="n">
        <v>437</v>
      </c>
      <c r="B3440" s="44" t="str">
        <f aca="false">'Model Inputs &amp; Assumptions'!$B$34</f>
        <v>Meta — Lookalike Feed Video</v>
      </c>
      <c r="C3440" s="45" t="n">
        <f aca="false">ROUND(MAX(0,'Model Inputs &amp; Assumptions'!$S$34*EXP('Model Inputs &amp; Assumptions'!$T$34*P3440-'Model Inputs &amp; Assumptions'!$T$34^2/2)),0)</f>
        <v>599888</v>
      </c>
      <c r="D3440" s="46" t="n">
        <f aca="false">MIN(1,'Model Inputs &amp; Assumptions'!$U$34*EXP('Model Inputs &amp; Assumptions'!$V$34*Q3440-'Model Inputs &amp; Assumptions'!$V$34^2/2))</f>
        <v>0.208132319507935</v>
      </c>
      <c r="E3440" s="45" t="n">
        <f aca="false">ROUND(C3440*D3440,0)</f>
        <v>124856</v>
      </c>
      <c r="F3440" s="47" t="n">
        <f aca="false">MIN(1,'Model Inputs &amp; Assumptions'!$W$34*EXP('Model Inputs &amp; Assumptions'!$X$34*R3440-'Model Inputs &amp; Assumptions'!$X$34^2/2))</f>
        <v>0.00634443016884072</v>
      </c>
      <c r="G3440" s="45" t="n">
        <f aca="false">ROUND(C3440*F3440,0)</f>
        <v>3806</v>
      </c>
      <c r="H3440" s="48" t="n">
        <f aca="false">MAX(0,(C3440*'Model Inputs &amp; Assumptions'!$N$34+E3440*'Model Inputs &amp; Assumptions'!$O$34+G3440*'Model Inputs &amp; Assumptions'!$P$34)*EXP('Model Inputs &amp; Assumptions'!$Q$34*S3440-'Model Inputs &amp; Assumptions'!$Q$34^2/2))</f>
        <v>83.0246188703613</v>
      </c>
      <c r="I3440" s="49" t="n">
        <f aca="false">IF('Model Inputs &amp; Assumptions'!$H$34="Fixed",'Model Inputs &amp; Assumptions'!$I$34*'Model Inputs &amp; Assumptions'!$K$34,IF('Model Inputs &amp; Assumptions'!$H$34="CPM",'Model Inputs &amp; Assumptions'!$I$34*'Model Inputs &amp; Assumptions'!$K$34*C3440/1000,IF('Model Inputs &amp; Assumptions'!$H$34="CPC",'Model Inputs &amp; Assumptions'!$I$34*'Model Inputs &amp; Assumptions'!$K$34*G3440,0)))</f>
        <v>7041.1</v>
      </c>
      <c r="J3440" s="50" t="n">
        <f aca="false">H3440*INDEX('Model Inputs &amp; Assumptions'!$D$40:$D$42,MATCH('Model Inputs &amp; Assumptions'!$L$34,'Model Inputs &amp; Assumptions'!$A$40:$A$42,0))*INDEX('Model Inputs &amp; Assumptions'!$H$40:$H$42,MATCH('Model Inputs &amp; Assumptions'!$L$34,'Model Inputs &amp; Assumptions'!$A$40:$A$42,0))</f>
        <v>597777.255866602</v>
      </c>
      <c r="K3440" s="49" t="n">
        <f aca="false">H3440*INDEX('Model Inputs &amp; Assumptions'!$G$40:$G$42,MATCH('Model Inputs &amp; Assumptions'!$L$34,'Model Inputs &amp; Assumptions'!$A$40:$A$42,0))*INDEX('Model Inputs &amp; Assumptions'!$H$40:$H$42,MATCH('Model Inputs &amp; Assumptions'!$L$34,'Model Inputs &amp; Assumptions'!$A$40:$A$42,0))</f>
        <v>13180.9884918586</v>
      </c>
      <c r="L3440" s="51" t="n">
        <f aca="false">IFERROR(K3440/I3440,0)</f>
        <v>1.87200700059061</v>
      </c>
      <c r="M3440" s="49" t="n">
        <f aca="false">IFERROR(I3440/H3440,0)</f>
        <v>84.8073751593406</v>
      </c>
      <c r="N3440" s="52" t="str">
        <f aca="false">'Model Inputs &amp; Assumptions'!$L$34</f>
        <v>PRD-USIQ</v>
      </c>
      <c r="P3440" s="53" t="n">
        <v>0.814573</v>
      </c>
      <c r="Q3440" s="53" t="n">
        <v>-0.544408</v>
      </c>
      <c r="R3440" s="53" t="n">
        <v>0.400099</v>
      </c>
      <c r="S3440" s="53" t="n">
        <v>0.046029</v>
      </c>
    </row>
    <row r="3441" customFormat="false" ht="15" hidden="false" customHeight="false" outlineLevel="0" collapsed="false">
      <c r="A3441" s="43" t="n">
        <v>438</v>
      </c>
      <c r="B3441" s="44" t="str">
        <f aca="false">'Model Inputs &amp; Assumptions'!$B$34</f>
        <v>Meta — Lookalike Feed Video</v>
      </c>
      <c r="C3441" s="45" t="n">
        <f aca="false">ROUND(MAX(0,'Model Inputs &amp; Assumptions'!$S$34*EXP('Model Inputs &amp; Assumptions'!$T$34*P3441-'Model Inputs &amp; Assumptions'!$T$34^2/2)),0)</f>
        <v>529072</v>
      </c>
      <c r="D3441" s="46" t="n">
        <f aca="false">MIN(1,'Model Inputs &amp; Assumptions'!$U$34*EXP('Model Inputs &amp; Assumptions'!$V$34*Q3441-'Model Inputs &amp; Assumptions'!$V$34^2/2))</f>
        <v>0.239925761623808</v>
      </c>
      <c r="E3441" s="45" t="n">
        <f aca="false">ROUND(C3441*D3441,0)</f>
        <v>126938</v>
      </c>
      <c r="F3441" s="47" t="n">
        <f aca="false">MIN(1,'Model Inputs &amp; Assumptions'!$W$34*EXP('Model Inputs &amp; Assumptions'!$X$34*R3441-'Model Inputs &amp; Assumptions'!$X$34^2/2))</f>
        <v>0.00568216913177036</v>
      </c>
      <c r="G3441" s="45" t="n">
        <f aca="false">ROUND(C3441*F3441,0)</f>
        <v>3006</v>
      </c>
      <c r="H3441" s="48" t="n">
        <f aca="false">MAX(0,(C3441*'Model Inputs &amp; Assumptions'!$N$34+E3441*'Model Inputs &amp; Assumptions'!$O$34+G3441*'Model Inputs &amp; Assumptions'!$P$34)*EXP('Model Inputs &amp; Assumptions'!$Q$34*S3441-'Model Inputs &amp; Assumptions'!$Q$34^2/2))</f>
        <v>46.750203374639</v>
      </c>
      <c r="I3441" s="49" t="n">
        <f aca="false">IF('Model Inputs &amp; Assumptions'!$H$34="Fixed",'Model Inputs &amp; Assumptions'!$I$34*'Model Inputs &amp; Assumptions'!$K$34,IF('Model Inputs &amp; Assumptions'!$H$34="CPM",'Model Inputs &amp; Assumptions'!$I$34*'Model Inputs &amp; Assumptions'!$K$34*C3441/1000,IF('Model Inputs &amp; Assumptions'!$H$34="CPC",'Model Inputs &amp; Assumptions'!$I$34*'Model Inputs &amp; Assumptions'!$K$34*G3441,0)))</f>
        <v>5561.1</v>
      </c>
      <c r="J3441" s="50" t="n">
        <f aca="false">H3441*INDEX('Model Inputs &amp; Assumptions'!$D$40:$D$42,MATCH('Model Inputs &amp; Assumptions'!$L$34,'Model Inputs &amp; Assumptions'!$A$40:$A$42,0))*INDEX('Model Inputs &amp; Assumptions'!$H$40:$H$42,MATCH('Model Inputs &amp; Assumptions'!$L$34,'Model Inputs &amp; Assumptions'!$A$40:$A$42,0))</f>
        <v>336601.464297401</v>
      </c>
      <c r="K3441" s="49" t="n">
        <f aca="false">H3441*INDEX('Model Inputs &amp; Assumptions'!$G$40:$G$42,MATCH('Model Inputs &amp; Assumptions'!$L$34,'Model Inputs &amp; Assumptions'!$A$40:$A$42,0))*INDEX('Model Inputs &amp; Assumptions'!$H$40:$H$42,MATCH('Model Inputs &amp; Assumptions'!$L$34,'Model Inputs &amp; Assumptions'!$A$40:$A$42,0))</f>
        <v>7422.06228775769</v>
      </c>
      <c r="L3441" s="51" t="n">
        <f aca="false">IFERROR(K3441/I3441,0)</f>
        <v>1.33463924183303</v>
      </c>
      <c r="M3441" s="49" t="n">
        <f aca="false">IFERROR(I3441/H3441,0)</f>
        <v>118.953493216604</v>
      </c>
      <c r="N3441" s="52" t="str">
        <f aca="false">'Model Inputs &amp; Assumptions'!$L$34</f>
        <v>PRD-USIQ</v>
      </c>
      <c r="P3441" s="53" t="n">
        <v>0.186479</v>
      </c>
      <c r="Q3441" s="53" t="n">
        <v>0.344064</v>
      </c>
      <c r="R3441" s="53" t="n">
        <v>-0.212369</v>
      </c>
      <c r="S3441" s="53" t="n">
        <v>-1.113744</v>
      </c>
    </row>
    <row r="3442" customFormat="false" ht="15" hidden="false" customHeight="false" outlineLevel="0" collapsed="false">
      <c r="A3442" s="43" t="n">
        <v>439</v>
      </c>
      <c r="B3442" s="44" t="str">
        <f aca="false">'Model Inputs &amp; Assumptions'!$B$34</f>
        <v>Meta — Lookalike Feed Video</v>
      </c>
      <c r="C3442" s="45" t="n">
        <f aca="false">ROUND(MAX(0,'Model Inputs &amp; Assumptions'!$S$34*EXP('Model Inputs &amp; Assumptions'!$T$34*P3442-'Model Inputs &amp; Assumptions'!$T$34^2/2)),0)</f>
        <v>528557</v>
      </c>
      <c r="D3442" s="46" t="n">
        <f aca="false">MIN(1,'Model Inputs &amp; Assumptions'!$U$34*EXP('Model Inputs &amp; Assumptions'!$V$34*Q3442-'Model Inputs &amp; Assumptions'!$V$34^2/2))</f>
        <v>0.199394203804498</v>
      </c>
      <c r="E3442" s="45" t="n">
        <f aca="false">ROUND(C3442*D3442,0)</f>
        <v>105391</v>
      </c>
      <c r="F3442" s="47" t="n">
        <f aca="false">MIN(1,'Model Inputs &amp; Assumptions'!$W$34*EXP('Model Inputs &amp; Assumptions'!$X$34*R3442-'Model Inputs &amp; Assumptions'!$X$34^2/2))</f>
        <v>0.0067909767958473</v>
      </c>
      <c r="G3442" s="45" t="n">
        <f aca="false">ROUND(C3442*F3442,0)</f>
        <v>3589</v>
      </c>
      <c r="H3442" s="48" t="n">
        <f aca="false">MAX(0,(C3442*'Model Inputs &amp; Assumptions'!$N$34+E3442*'Model Inputs &amp; Assumptions'!$O$34+G3442*'Model Inputs &amp; Assumptions'!$P$34)*EXP('Model Inputs &amp; Assumptions'!$Q$34*S3442-'Model Inputs &amp; Assumptions'!$Q$34^2/2))</f>
        <v>37.8718280838485</v>
      </c>
      <c r="I3442" s="49" t="n">
        <f aca="false">IF('Model Inputs &amp; Assumptions'!$H$34="Fixed",'Model Inputs &amp; Assumptions'!$I$34*'Model Inputs &amp; Assumptions'!$K$34,IF('Model Inputs &amp; Assumptions'!$H$34="CPM",'Model Inputs &amp; Assumptions'!$I$34*'Model Inputs &amp; Assumptions'!$K$34*C3442/1000,IF('Model Inputs &amp; Assumptions'!$H$34="CPC",'Model Inputs &amp; Assumptions'!$I$34*'Model Inputs &amp; Assumptions'!$K$34*G3442,0)))</f>
        <v>6639.65</v>
      </c>
      <c r="J3442" s="50" t="n">
        <f aca="false">H3442*INDEX('Model Inputs &amp; Assumptions'!$D$40:$D$42,MATCH('Model Inputs &amp; Assumptions'!$L$34,'Model Inputs &amp; Assumptions'!$A$40:$A$42,0))*INDEX('Model Inputs &amp; Assumptions'!$H$40:$H$42,MATCH('Model Inputs &amp; Assumptions'!$L$34,'Model Inputs &amp; Assumptions'!$A$40:$A$42,0))</f>
        <v>272677.162203709</v>
      </c>
      <c r="K3442" s="49" t="n">
        <f aca="false">H3442*INDEX('Model Inputs &amp; Assumptions'!$G$40:$G$42,MATCH('Model Inputs &amp; Assumptions'!$L$34,'Model Inputs &amp; Assumptions'!$A$40:$A$42,0))*INDEX('Model Inputs &amp; Assumptions'!$H$40:$H$42,MATCH('Model Inputs &amp; Assumptions'!$L$34,'Model Inputs &amp; Assumptions'!$A$40:$A$42,0))</f>
        <v>6012.53142659179</v>
      </c>
      <c r="L3442" s="51" t="n">
        <f aca="false">IFERROR(K3442/I3442,0)</f>
        <v>0.905549453147649</v>
      </c>
      <c r="M3442" s="49" t="n">
        <f aca="false">IFERROR(I3442/H3442,0)</f>
        <v>175.318972860242</v>
      </c>
      <c r="N3442" s="52" t="str">
        <f aca="false">'Model Inputs &amp; Assumptions'!$L$34</f>
        <v>PRD-USIQ</v>
      </c>
      <c r="P3442" s="53" t="n">
        <v>0.181612</v>
      </c>
      <c r="Q3442" s="53" t="n">
        <v>-0.812472</v>
      </c>
      <c r="R3442" s="53" t="n">
        <v>0.777974</v>
      </c>
      <c r="S3442" s="53" t="n">
        <v>-2.185177</v>
      </c>
    </row>
    <row r="3443" customFormat="false" ht="15" hidden="false" customHeight="false" outlineLevel="0" collapsed="false">
      <c r="A3443" s="43" t="n">
        <v>440</v>
      </c>
      <c r="B3443" s="44" t="str">
        <f aca="false">'Model Inputs &amp; Assumptions'!$B$34</f>
        <v>Meta — Lookalike Feed Video</v>
      </c>
      <c r="C3443" s="45" t="n">
        <f aca="false">ROUND(MAX(0,'Model Inputs &amp; Assumptions'!$S$34*EXP('Model Inputs &amp; Assumptions'!$T$34*P3443-'Model Inputs &amp; Assumptions'!$T$34^2/2)),0)</f>
        <v>551837</v>
      </c>
      <c r="D3443" s="46" t="n">
        <f aca="false">MIN(1,'Model Inputs &amp; Assumptions'!$U$34*EXP('Model Inputs &amp; Assumptions'!$V$34*Q3443-'Model Inputs &amp; Assumptions'!$V$34^2/2))</f>
        <v>0.17980119871004</v>
      </c>
      <c r="E3443" s="45" t="n">
        <f aca="false">ROUND(C3443*D3443,0)</f>
        <v>99221</v>
      </c>
      <c r="F3443" s="47" t="n">
        <f aca="false">MIN(1,'Model Inputs &amp; Assumptions'!$W$34*EXP('Model Inputs &amp; Assumptions'!$X$34*R3443-'Model Inputs &amp; Assumptions'!$X$34^2/2))</f>
        <v>0.00550427008018413</v>
      </c>
      <c r="G3443" s="45" t="n">
        <f aca="false">ROUND(C3443*F3443,0)</f>
        <v>3037</v>
      </c>
      <c r="H3443" s="48" t="n">
        <f aca="false">MAX(0,(C3443*'Model Inputs &amp; Assumptions'!$N$34+E3443*'Model Inputs &amp; Assumptions'!$O$34+G3443*'Model Inputs &amp; Assumptions'!$P$34)*EXP('Model Inputs &amp; Assumptions'!$Q$34*S3443-'Model Inputs &amp; Assumptions'!$Q$34^2/2))</f>
        <v>92.5232917579614</v>
      </c>
      <c r="I3443" s="49" t="n">
        <f aca="false">IF('Model Inputs &amp; Assumptions'!$H$34="Fixed",'Model Inputs &amp; Assumptions'!$I$34*'Model Inputs &amp; Assumptions'!$K$34,IF('Model Inputs &amp; Assumptions'!$H$34="CPM",'Model Inputs &amp; Assumptions'!$I$34*'Model Inputs &amp; Assumptions'!$K$34*C3443/1000,IF('Model Inputs &amp; Assumptions'!$H$34="CPC",'Model Inputs &amp; Assumptions'!$I$34*'Model Inputs &amp; Assumptions'!$K$34*G3443,0)))</f>
        <v>5618.45</v>
      </c>
      <c r="J3443" s="50" t="n">
        <f aca="false">H3443*INDEX('Model Inputs &amp; Assumptions'!$D$40:$D$42,MATCH('Model Inputs &amp; Assumptions'!$L$34,'Model Inputs &amp; Assumptions'!$A$40:$A$42,0))*INDEX('Model Inputs &amp; Assumptions'!$H$40:$H$42,MATCH('Model Inputs &amp; Assumptions'!$L$34,'Model Inputs &amp; Assumptions'!$A$40:$A$42,0))</f>
        <v>666167.700657322</v>
      </c>
      <c r="K3443" s="49" t="n">
        <f aca="false">H3443*INDEX('Model Inputs &amp; Assumptions'!$G$40:$G$42,MATCH('Model Inputs &amp; Assumptions'!$L$34,'Model Inputs &amp; Assumptions'!$A$40:$A$42,0))*INDEX('Model Inputs &amp; Assumptions'!$H$40:$H$42,MATCH('Model Inputs &amp; Assumptions'!$L$34,'Model Inputs &amp; Assumptions'!$A$40:$A$42,0))</f>
        <v>14688.9977994939</v>
      </c>
      <c r="L3443" s="51" t="n">
        <f aca="false">IFERROR(K3443/I3443,0)</f>
        <v>2.61442173544197</v>
      </c>
      <c r="M3443" s="49" t="n">
        <f aca="false">IFERROR(I3443/H3443,0)</f>
        <v>60.7247093488386</v>
      </c>
      <c r="N3443" s="52" t="str">
        <f aca="false">'Model Inputs &amp; Assumptions'!$L$34</f>
        <v>PRD-USIQ</v>
      </c>
      <c r="P3443" s="53" t="n">
        <v>0.397124</v>
      </c>
      <c r="Q3443" s="53" t="n">
        <v>-1.458922</v>
      </c>
      <c r="R3443" s="53" t="n">
        <v>-0.389085</v>
      </c>
      <c r="S3443" s="53" t="n">
        <v>1.091363</v>
      </c>
    </row>
    <row r="3444" customFormat="false" ht="15" hidden="false" customHeight="false" outlineLevel="0" collapsed="false">
      <c r="A3444" s="43" t="n">
        <v>441</v>
      </c>
      <c r="B3444" s="44" t="str">
        <f aca="false">'Model Inputs &amp; Assumptions'!$B$34</f>
        <v>Meta — Lookalike Feed Video</v>
      </c>
      <c r="C3444" s="45" t="n">
        <f aca="false">ROUND(MAX(0,'Model Inputs &amp; Assumptions'!$S$34*EXP('Model Inputs &amp; Assumptions'!$T$34*P3444-'Model Inputs &amp; Assumptions'!$T$34^2/2)),0)</f>
        <v>641614</v>
      </c>
      <c r="D3444" s="46" t="n">
        <f aca="false">MIN(1,'Model Inputs &amp; Assumptions'!$U$34*EXP('Model Inputs &amp; Assumptions'!$V$34*Q3444-'Model Inputs &amp; Assumptions'!$V$34^2/2))</f>
        <v>0.186478290768646</v>
      </c>
      <c r="E3444" s="45" t="n">
        <f aca="false">ROUND(C3444*D3444,0)</f>
        <v>119647</v>
      </c>
      <c r="F3444" s="47" t="n">
        <f aca="false">MIN(1,'Model Inputs &amp; Assumptions'!$W$34*EXP('Model Inputs &amp; Assumptions'!$X$34*R3444-'Model Inputs &amp; Assumptions'!$X$34^2/2))</f>
        <v>0.00812635862180287</v>
      </c>
      <c r="G3444" s="45" t="n">
        <f aca="false">ROUND(C3444*F3444,0)</f>
        <v>5214</v>
      </c>
      <c r="H3444" s="48" t="n">
        <f aca="false">MAX(0,(C3444*'Model Inputs &amp; Assumptions'!$N$34+E3444*'Model Inputs &amp; Assumptions'!$O$34+G3444*'Model Inputs &amp; Assumptions'!$P$34)*EXP('Model Inputs &amp; Assumptions'!$Q$34*S3444-'Model Inputs &amp; Assumptions'!$Q$34^2/2))</f>
        <v>72.3764471840259</v>
      </c>
      <c r="I3444" s="49" t="n">
        <f aca="false">IF('Model Inputs &amp; Assumptions'!$H$34="Fixed",'Model Inputs &amp; Assumptions'!$I$34*'Model Inputs &amp; Assumptions'!$K$34,IF('Model Inputs &amp; Assumptions'!$H$34="CPM",'Model Inputs &amp; Assumptions'!$I$34*'Model Inputs &amp; Assumptions'!$K$34*C3444/1000,IF('Model Inputs &amp; Assumptions'!$H$34="CPC",'Model Inputs &amp; Assumptions'!$I$34*'Model Inputs &amp; Assumptions'!$K$34*G3444,0)))</f>
        <v>9645.9</v>
      </c>
      <c r="J3444" s="50" t="n">
        <f aca="false">H3444*INDEX('Model Inputs &amp; Assumptions'!$D$40:$D$42,MATCH('Model Inputs &amp; Assumptions'!$L$34,'Model Inputs &amp; Assumptions'!$A$40:$A$42,0))*INDEX('Model Inputs &amp; Assumptions'!$H$40:$H$42,MATCH('Model Inputs &amp; Assumptions'!$L$34,'Model Inputs &amp; Assumptions'!$A$40:$A$42,0))</f>
        <v>521110.419724986</v>
      </c>
      <c r="K3444" s="49" t="n">
        <f aca="false">H3444*INDEX('Model Inputs &amp; Assumptions'!$G$40:$G$42,MATCH('Model Inputs &amp; Assumptions'!$L$34,'Model Inputs &amp; Assumptions'!$A$40:$A$42,0))*INDEX('Model Inputs &amp; Assumptions'!$H$40:$H$42,MATCH('Model Inputs &amp; Assumptions'!$L$34,'Model Inputs &amp; Assumptions'!$A$40:$A$42,0))</f>
        <v>11490.484754936</v>
      </c>
      <c r="L3444" s="51" t="n">
        <f aca="false">IFERROR(K3444/I3444,0)</f>
        <v>1.19122992721633</v>
      </c>
      <c r="M3444" s="49" t="n">
        <f aca="false">IFERROR(I3444/H3444,0)</f>
        <v>133.27401903929</v>
      </c>
      <c r="N3444" s="52" t="str">
        <f aca="false">'Model Inputs &amp; Assumptions'!$L$34</f>
        <v>PRD-USIQ</v>
      </c>
      <c r="P3444" s="53" t="n">
        <v>1.150791</v>
      </c>
      <c r="Q3444" s="53" t="n">
        <v>-1.231028</v>
      </c>
      <c r="R3444" s="53" t="n">
        <v>1.775297</v>
      </c>
      <c r="S3444" s="53" t="n">
        <v>-1.255676</v>
      </c>
    </row>
    <row r="3445" customFormat="false" ht="15" hidden="false" customHeight="false" outlineLevel="0" collapsed="false">
      <c r="A3445" s="43" t="n">
        <v>442</v>
      </c>
      <c r="B3445" s="44" t="str">
        <f aca="false">'Model Inputs &amp; Assumptions'!$B$34</f>
        <v>Meta — Lookalike Feed Video</v>
      </c>
      <c r="C3445" s="45" t="n">
        <f aca="false">ROUND(MAX(0,'Model Inputs &amp; Assumptions'!$S$34*EXP('Model Inputs &amp; Assumptions'!$T$34*P3445-'Model Inputs &amp; Assumptions'!$T$34^2/2)),0)</f>
        <v>451776</v>
      </c>
      <c r="D3445" s="46" t="n">
        <f aca="false">MIN(1,'Model Inputs &amp; Assumptions'!$U$34*EXP('Model Inputs &amp; Assumptions'!$V$34*Q3445-'Model Inputs &amp; Assumptions'!$V$34^2/2))</f>
        <v>0.251115197724849</v>
      </c>
      <c r="E3445" s="45" t="n">
        <f aca="false">ROUND(C3445*D3445,0)</f>
        <v>113448</v>
      </c>
      <c r="F3445" s="47" t="n">
        <f aca="false">MIN(1,'Model Inputs &amp; Assumptions'!$W$34*EXP('Model Inputs &amp; Assumptions'!$X$34*R3445-'Model Inputs &amp; Assumptions'!$X$34^2/2))</f>
        <v>0.00593319224389306</v>
      </c>
      <c r="G3445" s="45" t="n">
        <f aca="false">ROUND(C3445*F3445,0)</f>
        <v>2680</v>
      </c>
      <c r="H3445" s="48" t="n">
        <f aca="false">MAX(0,(C3445*'Model Inputs &amp; Assumptions'!$N$34+E3445*'Model Inputs &amp; Assumptions'!$O$34+G3445*'Model Inputs &amp; Assumptions'!$P$34)*EXP('Model Inputs &amp; Assumptions'!$Q$34*S3445-'Model Inputs &amp; Assumptions'!$Q$34^2/2))</f>
        <v>69.4540905328931</v>
      </c>
      <c r="I3445" s="49" t="n">
        <f aca="false">IF('Model Inputs &amp; Assumptions'!$H$34="Fixed",'Model Inputs &amp; Assumptions'!$I$34*'Model Inputs &amp; Assumptions'!$K$34,IF('Model Inputs &amp; Assumptions'!$H$34="CPM",'Model Inputs &amp; Assumptions'!$I$34*'Model Inputs &amp; Assumptions'!$K$34*C3445/1000,IF('Model Inputs &amp; Assumptions'!$H$34="CPC",'Model Inputs &amp; Assumptions'!$I$34*'Model Inputs &amp; Assumptions'!$K$34*G3445,0)))</f>
        <v>4958</v>
      </c>
      <c r="J3445" s="50" t="n">
        <f aca="false">H3445*INDEX('Model Inputs &amp; Assumptions'!$D$40:$D$42,MATCH('Model Inputs &amp; Assumptions'!$L$34,'Model Inputs &amp; Assumptions'!$A$40:$A$42,0))*INDEX('Model Inputs &amp; Assumptions'!$H$40:$H$42,MATCH('Model Inputs &amp; Assumptions'!$L$34,'Model Inputs &amp; Assumptions'!$A$40:$A$42,0))</f>
        <v>500069.45183683</v>
      </c>
      <c r="K3445" s="49" t="n">
        <f aca="false">H3445*INDEX('Model Inputs &amp; Assumptions'!$G$40:$G$42,MATCH('Model Inputs &amp; Assumptions'!$L$34,'Model Inputs &amp; Assumptions'!$A$40:$A$42,0))*INDEX('Model Inputs &amp; Assumptions'!$H$40:$H$42,MATCH('Model Inputs &amp; Assumptions'!$L$34,'Model Inputs &amp; Assumptions'!$A$40:$A$42,0))</f>
        <v>11026.5314130021</v>
      </c>
      <c r="L3445" s="51" t="n">
        <f aca="false">IFERROR(K3445/I3445,0)</f>
        <v>2.22398777995202</v>
      </c>
      <c r="M3445" s="49" t="n">
        <f aca="false">IFERROR(I3445/H3445,0)</f>
        <v>71.3852843217624</v>
      </c>
      <c r="N3445" s="52" t="str">
        <f aca="false">'Model Inputs &amp; Assumptions'!$L$34</f>
        <v>PRD-USIQ</v>
      </c>
      <c r="P3445" s="53" t="n">
        <v>-0.603213</v>
      </c>
      <c r="Q3445" s="53" t="n">
        <v>0.628953</v>
      </c>
      <c r="R3445" s="53" t="n">
        <v>0.027794</v>
      </c>
      <c r="S3445" s="53" t="n">
        <v>0.480906</v>
      </c>
    </row>
    <row r="3446" customFormat="false" ht="15" hidden="false" customHeight="false" outlineLevel="0" collapsed="false">
      <c r="A3446" s="43" t="n">
        <v>443</v>
      </c>
      <c r="B3446" s="44" t="str">
        <f aca="false">'Model Inputs &amp; Assumptions'!$B$34</f>
        <v>Meta — Lookalike Feed Video</v>
      </c>
      <c r="C3446" s="45" t="n">
        <f aca="false">ROUND(MAX(0,'Model Inputs &amp; Assumptions'!$S$34*EXP('Model Inputs &amp; Assumptions'!$T$34*P3446-'Model Inputs &amp; Assumptions'!$T$34^2/2)),0)</f>
        <v>596871</v>
      </c>
      <c r="D3446" s="46" t="n">
        <f aca="false">MIN(1,'Model Inputs &amp; Assumptions'!$U$34*EXP('Model Inputs &amp; Assumptions'!$V$34*Q3446-'Model Inputs &amp; Assumptions'!$V$34^2/2))</f>
        <v>0.257552099790943</v>
      </c>
      <c r="E3446" s="45" t="n">
        <f aca="false">ROUND(C3446*D3446,0)</f>
        <v>153725</v>
      </c>
      <c r="F3446" s="47" t="n">
        <f aca="false">MIN(1,'Model Inputs &amp; Assumptions'!$W$34*EXP('Model Inputs &amp; Assumptions'!$X$34*R3446-'Model Inputs &amp; Assumptions'!$X$34^2/2))</f>
        <v>0.0053624421119851</v>
      </c>
      <c r="G3446" s="45" t="n">
        <f aca="false">ROUND(C3446*F3446,0)</f>
        <v>3201</v>
      </c>
      <c r="H3446" s="48" t="n">
        <f aca="false">MAX(0,(C3446*'Model Inputs &amp; Assumptions'!$N$34+E3446*'Model Inputs &amp; Assumptions'!$O$34+G3446*'Model Inputs &amp; Assumptions'!$P$34)*EXP('Model Inputs &amp; Assumptions'!$Q$34*S3446-'Model Inputs &amp; Assumptions'!$Q$34^2/2))</f>
        <v>39.0213706464832</v>
      </c>
      <c r="I3446" s="49" t="n">
        <f aca="false">IF('Model Inputs &amp; Assumptions'!$H$34="Fixed",'Model Inputs &amp; Assumptions'!$I$34*'Model Inputs &amp; Assumptions'!$K$34,IF('Model Inputs &amp; Assumptions'!$H$34="CPM",'Model Inputs &amp; Assumptions'!$I$34*'Model Inputs &amp; Assumptions'!$K$34*C3446/1000,IF('Model Inputs &amp; Assumptions'!$H$34="CPC",'Model Inputs &amp; Assumptions'!$I$34*'Model Inputs &amp; Assumptions'!$K$34*G3446,0)))</f>
        <v>5921.85</v>
      </c>
      <c r="J3446" s="50" t="n">
        <f aca="false">H3446*INDEX('Model Inputs &amp; Assumptions'!$D$40:$D$42,MATCH('Model Inputs &amp; Assumptions'!$L$34,'Model Inputs &amp; Assumptions'!$A$40:$A$42,0))*INDEX('Model Inputs &amp; Assumptions'!$H$40:$H$42,MATCH('Model Inputs &amp; Assumptions'!$L$34,'Model Inputs &amp; Assumptions'!$A$40:$A$42,0))</f>
        <v>280953.868654679</v>
      </c>
      <c r="K3446" s="49" t="n">
        <f aca="false">H3446*INDEX('Model Inputs &amp; Assumptions'!$G$40:$G$42,MATCH('Model Inputs &amp; Assumptions'!$L$34,'Model Inputs &amp; Assumptions'!$A$40:$A$42,0))*INDEX('Model Inputs &amp; Assumptions'!$H$40:$H$42,MATCH('Model Inputs &amp; Assumptions'!$L$34,'Model Inputs &amp; Assumptions'!$A$40:$A$42,0))</f>
        <v>6195.03280383568</v>
      </c>
      <c r="L3446" s="51" t="n">
        <f aca="false">IFERROR(K3446/I3446,0)</f>
        <v>1.04613132785121</v>
      </c>
      <c r="M3446" s="49" t="n">
        <f aca="false">IFERROR(I3446/H3446,0)</f>
        <v>151.759148945572</v>
      </c>
      <c r="N3446" s="52" t="str">
        <f aca="false">'Model Inputs &amp; Assumptions'!$L$34</f>
        <v>PRD-USIQ</v>
      </c>
      <c r="P3446" s="53" t="n">
        <v>0.789359</v>
      </c>
      <c r="Q3446" s="53" t="n">
        <v>0.787142</v>
      </c>
      <c r="R3446" s="53" t="n">
        <v>-0.534111</v>
      </c>
      <c r="S3446" s="53" t="n">
        <v>-1.936248</v>
      </c>
    </row>
    <row r="3447" customFormat="false" ht="15" hidden="false" customHeight="false" outlineLevel="0" collapsed="false">
      <c r="A3447" s="43" t="n">
        <v>444</v>
      </c>
      <c r="B3447" s="44" t="str">
        <f aca="false">'Model Inputs &amp; Assumptions'!$B$34</f>
        <v>Meta — Lookalike Feed Video</v>
      </c>
      <c r="C3447" s="45" t="n">
        <f aca="false">ROUND(MAX(0,'Model Inputs &amp; Assumptions'!$S$34*EXP('Model Inputs &amp; Assumptions'!$T$34*P3447-'Model Inputs &amp; Assumptions'!$T$34^2/2)),0)</f>
        <v>529666</v>
      </c>
      <c r="D3447" s="46" t="n">
        <f aca="false">MIN(1,'Model Inputs &amp; Assumptions'!$U$34*EXP('Model Inputs &amp; Assumptions'!$V$34*Q3447-'Model Inputs &amp; Assumptions'!$V$34^2/2))</f>
        <v>0.237434384359714</v>
      </c>
      <c r="E3447" s="45" t="n">
        <f aca="false">ROUND(C3447*D3447,0)</f>
        <v>125761</v>
      </c>
      <c r="F3447" s="47" t="n">
        <f aca="false">MIN(1,'Model Inputs &amp; Assumptions'!$W$34*EXP('Model Inputs &amp; Assumptions'!$X$34*R3447-'Model Inputs &amp; Assumptions'!$X$34^2/2))</f>
        <v>0.00581488767422683</v>
      </c>
      <c r="G3447" s="45" t="n">
        <f aca="false">ROUND(C3447*F3447,0)</f>
        <v>3080</v>
      </c>
      <c r="H3447" s="48" t="n">
        <f aca="false">MAX(0,(C3447*'Model Inputs &amp; Assumptions'!$N$34+E3447*'Model Inputs &amp; Assumptions'!$O$34+G3447*'Model Inputs &amp; Assumptions'!$P$34)*EXP('Model Inputs &amp; Assumptions'!$Q$34*S3447-'Model Inputs &amp; Assumptions'!$Q$34^2/2))</f>
        <v>71.2639159754152</v>
      </c>
      <c r="I3447" s="49" t="n">
        <f aca="false">IF('Model Inputs &amp; Assumptions'!$H$34="Fixed",'Model Inputs &amp; Assumptions'!$I$34*'Model Inputs &amp; Assumptions'!$K$34,IF('Model Inputs &amp; Assumptions'!$H$34="CPM",'Model Inputs &amp; Assumptions'!$I$34*'Model Inputs &amp; Assumptions'!$K$34*C3447/1000,IF('Model Inputs &amp; Assumptions'!$H$34="CPC",'Model Inputs &amp; Assumptions'!$I$34*'Model Inputs &amp; Assumptions'!$K$34*G3447,0)))</f>
        <v>5698</v>
      </c>
      <c r="J3447" s="50" t="n">
        <f aca="false">H3447*INDEX('Model Inputs &amp; Assumptions'!$D$40:$D$42,MATCH('Model Inputs &amp; Assumptions'!$L$34,'Model Inputs &amp; Assumptions'!$A$40:$A$42,0))*INDEX('Model Inputs &amp; Assumptions'!$H$40:$H$42,MATCH('Model Inputs &amp; Assumptions'!$L$34,'Model Inputs &amp; Assumptions'!$A$40:$A$42,0))</f>
        <v>513100.19502299</v>
      </c>
      <c r="K3447" s="49" t="n">
        <f aca="false">H3447*INDEX('Model Inputs &amp; Assumptions'!$G$40:$G$42,MATCH('Model Inputs &amp; Assumptions'!$L$34,'Model Inputs &amp; Assumptions'!$A$40:$A$42,0))*INDEX('Model Inputs &amp; Assumptions'!$H$40:$H$42,MATCH('Model Inputs &amp; Assumptions'!$L$34,'Model Inputs &amp; Assumptions'!$A$40:$A$42,0))</f>
        <v>11313.8593002569</v>
      </c>
      <c r="L3447" s="51" t="n">
        <f aca="false">IFERROR(K3447/I3447,0)</f>
        <v>1.98558429277938</v>
      </c>
      <c r="M3447" s="49" t="n">
        <f aca="false">IFERROR(I3447/H3447,0)</f>
        <v>79.9563134022232</v>
      </c>
      <c r="N3447" s="52" t="str">
        <f aca="false">'Model Inputs &amp; Assumptions'!$L$34</f>
        <v>PRD-USIQ</v>
      </c>
      <c r="P3447" s="53" t="n">
        <v>0.192087</v>
      </c>
      <c r="Q3447" s="53" t="n">
        <v>0.278825</v>
      </c>
      <c r="R3447" s="53" t="n">
        <v>-0.0841</v>
      </c>
      <c r="S3447" s="53" t="n">
        <v>0.142641</v>
      </c>
    </row>
    <row r="3448" customFormat="false" ht="15" hidden="false" customHeight="false" outlineLevel="0" collapsed="false">
      <c r="A3448" s="43" t="n">
        <v>445</v>
      </c>
      <c r="B3448" s="44" t="str">
        <f aca="false">'Model Inputs &amp; Assumptions'!$B$34</f>
        <v>Meta — Lookalike Feed Video</v>
      </c>
      <c r="C3448" s="45" t="n">
        <f aca="false">ROUND(MAX(0,'Model Inputs &amp; Assumptions'!$S$34*EXP('Model Inputs &amp; Assumptions'!$T$34*P3448-'Model Inputs &amp; Assumptions'!$T$34^2/2)),0)</f>
        <v>473157</v>
      </c>
      <c r="D3448" s="46" t="n">
        <f aca="false">MIN(1,'Model Inputs &amp; Assumptions'!$U$34*EXP('Model Inputs &amp; Assumptions'!$V$34*Q3448-'Model Inputs &amp; Assumptions'!$V$34^2/2))</f>
        <v>0.16699383723029</v>
      </c>
      <c r="E3448" s="45" t="n">
        <f aca="false">ROUND(C3448*D3448,0)</f>
        <v>79014</v>
      </c>
      <c r="F3448" s="47" t="n">
        <f aca="false">MIN(1,'Model Inputs &amp; Assumptions'!$W$34*EXP('Model Inputs &amp; Assumptions'!$X$34*R3448-'Model Inputs &amp; Assumptions'!$X$34^2/2))</f>
        <v>0.00687562514243883</v>
      </c>
      <c r="G3448" s="45" t="n">
        <f aca="false">ROUND(C3448*F3448,0)</f>
        <v>3253</v>
      </c>
      <c r="H3448" s="48" t="n">
        <f aca="false">MAX(0,(C3448*'Model Inputs &amp; Assumptions'!$N$34+E3448*'Model Inputs &amp; Assumptions'!$O$34+G3448*'Model Inputs &amp; Assumptions'!$P$34)*EXP('Model Inputs &amp; Assumptions'!$Q$34*S3448-'Model Inputs &amp; Assumptions'!$Q$34^2/2))</f>
        <v>59.2293057289448</v>
      </c>
      <c r="I3448" s="49" t="n">
        <f aca="false">IF('Model Inputs &amp; Assumptions'!$H$34="Fixed",'Model Inputs &amp; Assumptions'!$I$34*'Model Inputs &amp; Assumptions'!$K$34,IF('Model Inputs &amp; Assumptions'!$H$34="CPM",'Model Inputs &amp; Assumptions'!$I$34*'Model Inputs &amp; Assumptions'!$K$34*C3448/1000,IF('Model Inputs &amp; Assumptions'!$H$34="CPC",'Model Inputs &amp; Assumptions'!$I$34*'Model Inputs &amp; Assumptions'!$K$34*G3448,0)))</f>
        <v>6018.05</v>
      </c>
      <c r="J3448" s="50" t="n">
        <f aca="false">H3448*INDEX('Model Inputs &amp; Assumptions'!$D$40:$D$42,MATCH('Model Inputs &amp; Assumptions'!$L$34,'Model Inputs &amp; Assumptions'!$A$40:$A$42,0))*INDEX('Model Inputs &amp; Assumptions'!$H$40:$H$42,MATCH('Model Inputs &amp; Assumptions'!$L$34,'Model Inputs &amp; Assumptions'!$A$40:$A$42,0))</f>
        <v>426451.001248402</v>
      </c>
      <c r="K3448" s="49" t="n">
        <f aca="false">H3448*INDEX('Model Inputs &amp; Assumptions'!$G$40:$G$42,MATCH('Model Inputs &amp; Assumptions'!$L$34,'Model Inputs &amp; Assumptions'!$A$40:$A$42,0))*INDEX('Model Inputs &amp; Assumptions'!$H$40:$H$42,MATCH('Model Inputs &amp; Assumptions'!$L$34,'Model Inputs &amp; Assumptions'!$A$40:$A$42,0))</f>
        <v>9403.24457752727</v>
      </c>
      <c r="L3448" s="51" t="n">
        <f aca="false">IFERROR(K3448/I3448,0)</f>
        <v>1.56250688803305</v>
      </c>
      <c r="M3448" s="49" t="n">
        <f aca="false">IFERROR(I3448/H3448,0)</f>
        <v>101.6059520863</v>
      </c>
      <c r="N3448" s="52" t="str">
        <f aca="false">'Model Inputs &amp; Assumptions'!$L$34</f>
        <v>PRD-USIQ</v>
      </c>
      <c r="P3448" s="53" t="n">
        <v>-0.372009</v>
      </c>
      <c r="Q3448" s="53" t="n">
        <v>-1.920765</v>
      </c>
      <c r="R3448" s="53" t="n">
        <v>0.846795</v>
      </c>
      <c r="S3448" s="53" t="n">
        <v>-0.423178</v>
      </c>
    </row>
    <row r="3449" customFormat="false" ht="15" hidden="false" customHeight="false" outlineLevel="0" collapsed="false">
      <c r="A3449" s="43" t="n">
        <v>446</v>
      </c>
      <c r="B3449" s="44" t="str">
        <f aca="false">'Model Inputs &amp; Assumptions'!$B$34</f>
        <v>Meta — Lookalike Feed Video</v>
      </c>
      <c r="C3449" s="45" t="n">
        <f aca="false">ROUND(MAX(0,'Model Inputs &amp; Assumptions'!$S$34*EXP('Model Inputs &amp; Assumptions'!$T$34*P3449-'Model Inputs &amp; Assumptions'!$T$34^2/2)),0)</f>
        <v>567257</v>
      </c>
      <c r="D3449" s="46" t="n">
        <f aca="false">MIN(1,'Model Inputs &amp; Assumptions'!$U$34*EXP('Model Inputs &amp; Assumptions'!$V$34*Q3449-'Model Inputs &amp; Assumptions'!$V$34^2/2))</f>
        <v>0.273216955653235</v>
      </c>
      <c r="E3449" s="45" t="n">
        <f aca="false">ROUND(C3449*D3449,0)</f>
        <v>154984</v>
      </c>
      <c r="F3449" s="47" t="n">
        <f aca="false">MIN(1,'Model Inputs &amp; Assumptions'!$W$34*EXP('Model Inputs &amp; Assumptions'!$X$34*R3449-'Model Inputs &amp; Assumptions'!$X$34^2/2))</f>
        <v>0.00620452068580967</v>
      </c>
      <c r="G3449" s="45" t="n">
        <f aca="false">ROUND(C3449*F3449,0)</f>
        <v>3520</v>
      </c>
      <c r="H3449" s="48" t="n">
        <f aca="false">MAX(0,(C3449*'Model Inputs &amp; Assumptions'!$N$34+E3449*'Model Inputs &amp; Assumptions'!$O$34+G3449*'Model Inputs &amp; Assumptions'!$P$34)*EXP('Model Inputs &amp; Assumptions'!$Q$34*S3449-'Model Inputs &amp; Assumptions'!$Q$34^2/2))</f>
        <v>119.237492829438</v>
      </c>
      <c r="I3449" s="49" t="n">
        <f aca="false">IF('Model Inputs &amp; Assumptions'!$H$34="Fixed",'Model Inputs &amp; Assumptions'!$I$34*'Model Inputs &amp; Assumptions'!$K$34,IF('Model Inputs &amp; Assumptions'!$H$34="CPM",'Model Inputs &amp; Assumptions'!$I$34*'Model Inputs &amp; Assumptions'!$K$34*C3449/1000,IF('Model Inputs &amp; Assumptions'!$H$34="CPC",'Model Inputs &amp; Assumptions'!$I$34*'Model Inputs &amp; Assumptions'!$K$34*G3449,0)))</f>
        <v>6512</v>
      </c>
      <c r="J3449" s="50" t="n">
        <f aca="false">H3449*INDEX('Model Inputs &amp; Assumptions'!$D$40:$D$42,MATCH('Model Inputs &amp; Assumptions'!$L$34,'Model Inputs &amp; Assumptions'!$A$40:$A$42,0))*INDEX('Model Inputs &amp; Assumptions'!$H$40:$H$42,MATCH('Model Inputs &amp; Assumptions'!$L$34,'Model Inputs &amp; Assumptions'!$A$40:$A$42,0))</f>
        <v>858509.948371957</v>
      </c>
      <c r="K3449" s="49" t="n">
        <f aca="false">H3449*INDEX('Model Inputs &amp; Assumptions'!$G$40:$G$42,MATCH('Model Inputs &amp; Assumptions'!$L$34,'Model Inputs &amp; Assumptions'!$A$40:$A$42,0))*INDEX('Model Inputs &amp; Assumptions'!$H$40:$H$42,MATCH('Model Inputs &amp; Assumptions'!$L$34,'Model Inputs &amp; Assumptions'!$A$40:$A$42,0))</f>
        <v>18930.1443616016</v>
      </c>
      <c r="L3449" s="51" t="n">
        <f aca="false">IFERROR(K3449/I3449,0)</f>
        <v>2.90696320049165</v>
      </c>
      <c r="M3449" s="49" t="n">
        <f aca="false">IFERROR(I3449/H3449,0)</f>
        <v>54.6136944468884</v>
      </c>
      <c r="N3449" s="52" t="str">
        <f aca="false">'Model Inputs &amp; Assumptions'!$L$34</f>
        <v>PRD-USIQ</v>
      </c>
      <c r="P3449" s="53" t="n">
        <v>0.534917</v>
      </c>
      <c r="Q3449" s="53" t="n">
        <v>1.156168</v>
      </c>
      <c r="R3449" s="53" t="n">
        <v>0.276215</v>
      </c>
      <c r="S3449" s="53" t="n">
        <v>1.299702</v>
      </c>
    </row>
    <row r="3450" customFormat="false" ht="15" hidden="false" customHeight="false" outlineLevel="0" collapsed="false">
      <c r="A3450" s="43" t="n">
        <v>447</v>
      </c>
      <c r="B3450" s="44" t="str">
        <f aca="false">'Model Inputs &amp; Assumptions'!$B$34</f>
        <v>Meta — Lookalike Feed Video</v>
      </c>
      <c r="C3450" s="45" t="n">
        <f aca="false">ROUND(MAX(0,'Model Inputs &amp; Assumptions'!$S$34*EXP('Model Inputs &amp; Assumptions'!$T$34*P3450-'Model Inputs &amp; Assumptions'!$T$34^2/2)),0)</f>
        <v>666729</v>
      </c>
      <c r="D3450" s="46" t="n">
        <f aca="false">MIN(1,'Model Inputs &amp; Assumptions'!$U$34*EXP('Model Inputs &amp; Assumptions'!$V$34*Q3450-'Model Inputs &amp; Assumptions'!$V$34^2/2))</f>
        <v>0.230465770176995</v>
      </c>
      <c r="E3450" s="45" t="n">
        <f aca="false">ROUND(C3450*D3450,0)</f>
        <v>153658</v>
      </c>
      <c r="F3450" s="47" t="n">
        <f aca="false">MIN(1,'Model Inputs &amp; Assumptions'!$W$34*EXP('Model Inputs &amp; Assumptions'!$X$34*R3450-'Model Inputs &amp; Assumptions'!$X$34^2/2))</f>
        <v>0.0068472188958522</v>
      </c>
      <c r="G3450" s="45" t="n">
        <f aca="false">ROUND(C3450*F3450,0)</f>
        <v>4565</v>
      </c>
      <c r="H3450" s="48" t="n">
        <f aca="false">MAX(0,(C3450*'Model Inputs &amp; Assumptions'!$N$34+E3450*'Model Inputs &amp; Assumptions'!$O$34+G3450*'Model Inputs &amp; Assumptions'!$P$34)*EXP('Model Inputs &amp; Assumptions'!$Q$34*S3450-'Model Inputs &amp; Assumptions'!$Q$34^2/2))</f>
        <v>91.879546757979</v>
      </c>
      <c r="I3450" s="49" t="n">
        <f aca="false">IF('Model Inputs &amp; Assumptions'!$H$34="Fixed",'Model Inputs &amp; Assumptions'!$I$34*'Model Inputs &amp; Assumptions'!$K$34,IF('Model Inputs &amp; Assumptions'!$H$34="CPM",'Model Inputs &amp; Assumptions'!$I$34*'Model Inputs &amp; Assumptions'!$K$34*C3450/1000,IF('Model Inputs &amp; Assumptions'!$H$34="CPC",'Model Inputs &amp; Assumptions'!$I$34*'Model Inputs &amp; Assumptions'!$K$34*G3450,0)))</f>
        <v>8445.25</v>
      </c>
      <c r="J3450" s="50" t="n">
        <f aca="false">H3450*INDEX('Model Inputs &amp; Assumptions'!$D$40:$D$42,MATCH('Model Inputs &amp; Assumptions'!$L$34,'Model Inputs &amp; Assumptions'!$A$40:$A$42,0))*INDEX('Model Inputs &amp; Assumptions'!$H$40:$H$42,MATCH('Model Inputs &amp; Assumptions'!$L$34,'Model Inputs &amp; Assumptions'!$A$40:$A$42,0))</f>
        <v>661532.736657449</v>
      </c>
      <c r="K3450" s="49" t="n">
        <f aca="false">H3450*INDEX('Model Inputs &amp; Assumptions'!$G$40:$G$42,MATCH('Model Inputs &amp; Assumptions'!$L$34,'Model Inputs &amp; Assumptions'!$A$40:$A$42,0))*INDEX('Model Inputs &amp; Assumptions'!$H$40:$H$42,MATCH('Model Inputs &amp; Assumptions'!$L$34,'Model Inputs &amp; Assumptions'!$A$40:$A$42,0))</f>
        <v>14586.7968432967</v>
      </c>
      <c r="L3450" s="51" t="n">
        <f aca="false">IFERROR(K3450/I3450,0)</f>
        <v>1.72721906909763</v>
      </c>
      <c r="M3450" s="49" t="n">
        <f aca="false">IFERROR(I3450/H3450,0)</f>
        <v>91.9165396216607</v>
      </c>
      <c r="N3450" s="52" t="str">
        <f aca="false">'Model Inputs &amp; Assumptions'!$L$34</f>
        <v>PRD-USIQ</v>
      </c>
      <c r="P3450" s="53" t="n">
        <v>1.342772</v>
      </c>
      <c r="Q3450" s="53" t="n">
        <v>0.092644</v>
      </c>
      <c r="R3450" s="53" t="n">
        <v>0.823795</v>
      </c>
      <c r="S3450" s="53" t="n">
        <v>-0.214962</v>
      </c>
    </row>
    <row r="3451" customFormat="false" ht="15" hidden="false" customHeight="false" outlineLevel="0" collapsed="false">
      <c r="A3451" s="43" t="n">
        <v>448</v>
      </c>
      <c r="B3451" s="44" t="str">
        <f aca="false">'Model Inputs &amp; Assumptions'!$B$34</f>
        <v>Meta — Lookalike Feed Video</v>
      </c>
      <c r="C3451" s="45" t="n">
        <f aca="false">ROUND(MAX(0,'Model Inputs &amp; Assumptions'!$S$34*EXP('Model Inputs &amp; Assumptions'!$T$34*P3451-'Model Inputs &amp; Assumptions'!$T$34^2/2)),0)</f>
        <v>617906</v>
      </c>
      <c r="D3451" s="46" t="n">
        <f aca="false">MIN(1,'Model Inputs &amp; Assumptions'!$U$34*EXP('Model Inputs &amp; Assumptions'!$V$34*Q3451-'Model Inputs &amp; Assumptions'!$V$34^2/2))</f>
        <v>0.200172911177667</v>
      </c>
      <c r="E3451" s="45" t="n">
        <f aca="false">ROUND(C3451*D3451,0)</f>
        <v>123688</v>
      </c>
      <c r="F3451" s="47" t="n">
        <f aca="false">MIN(1,'Model Inputs &amp; Assumptions'!$W$34*EXP('Model Inputs &amp; Assumptions'!$X$34*R3451-'Model Inputs &amp; Assumptions'!$X$34^2/2))</f>
        <v>0.00525831603065237</v>
      </c>
      <c r="G3451" s="45" t="n">
        <f aca="false">ROUND(C3451*F3451,0)</f>
        <v>3249</v>
      </c>
      <c r="H3451" s="48" t="n">
        <f aca="false">MAX(0,(C3451*'Model Inputs &amp; Assumptions'!$N$34+E3451*'Model Inputs &amp; Assumptions'!$O$34+G3451*'Model Inputs &amp; Assumptions'!$P$34)*EXP('Model Inputs &amp; Assumptions'!$Q$34*S3451-'Model Inputs &amp; Assumptions'!$Q$34^2/2))</f>
        <v>99.3200983287567</v>
      </c>
      <c r="I3451" s="49" t="n">
        <f aca="false">IF('Model Inputs &amp; Assumptions'!$H$34="Fixed",'Model Inputs &amp; Assumptions'!$I$34*'Model Inputs &amp; Assumptions'!$K$34,IF('Model Inputs &amp; Assumptions'!$H$34="CPM",'Model Inputs &amp; Assumptions'!$I$34*'Model Inputs &amp; Assumptions'!$K$34*C3451/1000,IF('Model Inputs &amp; Assumptions'!$H$34="CPC",'Model Inputs &amp; Assumptions'!$I$34*'Model Inputs &amp; Assumptions'!$K$34*G3451,0)))</f>
        <v>6010.65</v>
      </c>
      <c r="J3451" s="50" t="n">
        <f aca="false">H3451*INDEX('Model Inputs &amp; Assumptions'!$D$40:$D$42,MATCH('Model Inputs &amp; Assumptions'!$L$34,'Model Inputs &amp; Assumptions'!$A$40:$A$42,0))*INDEX('Model Inputs &amp; Assumptions'!$H$40:$H$42,MATCH('Model Inputs &amp; Assumptions'!$L$34,'Model Inputs &amp; Assumptions'!$A$40:$A$42,0))</f>
        <v>715104.707967048</v>
      </c>
      <c r="K3451" s="49" t="n">
        <f aca="false">H3451*INDEX('Model Inputs &amp; Assumptions'!$G$40:$G$42,MATCH('Model Inputs &amp; Assumptions'!$L$34,'Model Inputs &amp; Assumptions'!$A$40:$A$42,0))*INDEX('Model Inputs &amp; Assumptions'!$H$40:$H$42,MATCH('Model Inputs &amp; Assumptions'!$L$34,'Model Inputs &amp; Assumptions'!$A$40:$A$42,0))</f>
        <v>15768.0588106734</v>
      </c>
      <c r="L3451" s="51" t="n">
        <f aca="false">IFERROR(K3451/I3451,0)</f>
        <v>2.62335334958339</v>
      </c>
      <c r="M3451" s="49" t="n">
        <f aca="false">IFERROR(I3451/H3451,0)</f>
        <v>60.5179626393876</v>
      </c>
      <c r="N3451" s="52" t="str">
        <f aca="false">'Model Inputs &amp; Assumptions'!$L$34</f>
        <v>PRD-USIQ</v>
      </c>
      <c r="P3451" s="53" t="n">
        <v>0.962541</v>
      </c>
      <c r="Q3451" s="53" t="n">
        <v>-0.788111</v>
      </c>
      <c r="R3451" s="53" t="n">
        <v>-0.643048</v>
      </c>
      <c r="S3451" s="53" t="n">
        <v>1.042898</v>
      </c>
    </row>
    <row r="3452" customFormat="false" ht="15" hidden="false" customHeight="false" outlineLevel="0" collapsed="false">
      <c r="A3452" s="43" t="n">
        <v>449</v>
      </c>
      <c r="B3452" s="44" t="str">
        <f aca="false">'Model Inputs &amp; Assumptions'!$B$34</f>
        <v>Meta — Lookalike Feed Video</v>
      </c>
      <c r="C3452" s="45" t="n">
        <f aca="false">ROUND(MAX(0,'Model Inputs &amp; Assumptions'!$S$34*EXP('Model Inputs &amp; Assumptions'!$T$34*P3452-'Model Inputs &amp; Assumptions'!$T$34^2/2)),0)</f>
        <v>691722</v>
      </c>
      <c r="D3452" s="46" t="n">
        <f aca="false">MIN(1,'Model Inputs &amp; Assumptions'!$U$34*EXP('Model Inputs &amp; Assumptions'!$V$34*Q3452-'Model Inputs &amp; Assumptions'!$V$34^2/2))</f>
        <v>0.240155586149058</v>
      </c>
      <c r="E3452" s="45" t="n">
        <f aca="false">ROUND(C3452*D3452,0)</f>
        <v>166121</v>
      </c>
      <c r="F3452" s="47" t="n">
        <f aca="false">MIN(1,'Model Inputs &amp; Assumptions'!$W$34*EXP('Model Inputs &amp; Assumptions'!$X$34*R3452-'Model Inputs &amp; Assumptions'!$X$34^2/2))</f>
        <v>0.00656153696676741</v>
      </c>
      <c r="G3452" s="45" t="n">
        <f aca="false">ROUND(C3452*F3452,0)</f>
        <v>4539</v>
      </c>
      <c r="H3452" s="48" t="n">
        <f aca="false">MAX(0,(C3452*'Model Inputs &amp; Assumptions'!$N$34+E3452*'Model Inputs &amp; Assumptions'!$O$34+G3452*'Model Inputs &amp; Assumptions'!$P$34)*EXP('Model Inputs &amp; Assumptions'!$Q$34*S3452-'Model Inputs &amp; Assumptions'!$Q$34^2/2))</f>
        <v>66.2040073296626</v>
      </c>
      <c r="I3452" s="49" t="n">
        <f aca="false">IF('Model Inputs &amp; Assumptions'!$H$34="Fixed",'Model Inputs &amp; Assumptions'!$I$34*'Model Inputs &amp; Assumptions'!$K$34,IF('Model Inputs &amp; Assumptions'!$H$34="CPM",'Model Inputs &amp; Assumptions'!$I$34*'Model Inputs &amp; Assumptions'!$K$34*C3452/1000,IF('Model Inputs &amp; Assumptions'!$H$34="CPC",'Model Inputs &amp; Assumptions'!$I$34*'Model Inputs &amp; Assumptions'!$K$34*G3452,0)))</f>
        <v>8397.15</v>
      </c>
      <c r="J3452" s="50" t="n">
        <f aca="false">H3452*INDEX('Model Inputs &amp; Assumptions'!$D$40:$D$42,MATCH('Model Inputs &amp; Assumptions'!$L$34,'Model Inputs &amp; Assumptions'!$A$40:$A$42,0))*INDEX('Model Inputs &amp; Assumptions'!$H$40:$H$42,MATCH('Model Inputs &amp; Assumptions'!$L$34,'Model Inputs &amp; Assumptions'!$A$40:$A$42,0))</f>
        <v>476668.852773571</v>
      </c>
      <c r="K3452" s="49" t="n">
        <f aca="false">H3452*INDEX('Model Inputs &amp; Assumptions'!$G$40:$G$42,MATCH('Model Inputs &amp; Assumptions'!$L$34,'Model Inputs &amp; Assumptions'!$A$40:$A$42,0))*INDEX('Model Inputs &amp; Assumptions'!$H$40:$H$42,MATCH('Model Inputs &amp; Assumptions'!$L$34,'Model Inputs &amp; Assumptions'!$A$40:$A$42,0))</f>
        <v>10510.5482036572</v>
      </c>
      <c r="L3452" s="51" t="n">
        <f aca="false">IFERROR(K3452/I3452,0)</f>
        <v>1.25168041581456</v>
      </c>
      <c r="M3452" s="49" t="n">
        <f aca="false">IFERROR(I3452/H3452,0)</f>
        <v>126.837488223129</v>
      </c>
      <c r="N3452" s="52" t="str">
        <f aca="false">'Model Inputs &amp; Assumptions'!$L$34</f>
        <v>PRD-USIQ</v>
      </c>
      <c r="P3452" s="53" t="n">
        <v>1.526779</v>
      </c>
      <c r="Q3452" s="53" t="n">
        <v>0.350048</v>
      </c>
      <c r="R3452" s="53" t="n">
        <v>0.58703</v>
      </c>
      <c r="S3452" s="53" t="n">
        <v>-1.253499</v>
      </c>
    </row>
    <row r="3453" customFormat="false" ht="15" hidden="false" customHeight="false" outlineLevel="0" collapsed="false">
      <c r="A3453" s="43" t="n">
        <v>450</v>
      </c>
      <c r="B3453" s="44" t="str">
        <f aca="false">'Model Inputs &amp; Assumptions'!$B$34</f>
        <v>Meta — Lookalike Feed Video</v>
      </c>
      <c r="C3453" s="45" t="n">
        <f aca="false">ROUND(MAX(0,'Model Inputs &amp; Assumptions'!$S$34*EXP('Model Inputs &amp; Assumptions'!$T$34*P3453-'Model Inputs &amp; Assumptions'!$T$34^2/2)),0)</f>
        <v>502994</v>
      </c>
      <c r="D3453" s="46" t="n">
        <f aca="false">MIN(1,'Model Inputs &amp; Assumptions'!$U$34*EXP('Model Inputs &amp; Assumptions'!$V$34*Q3453-'Model Inputs &amp; Assumptions'!$V$34^2/2))</f>
        <v>0.264897338469077</v>
      </c>
      <c r="E3453" s="45" t="n">
        <f aca="false">ROUND(C3453*D3453,0)</f>
        <v>133242</v>
      </c>
      <c r="F3453" s="47" t="n">
        <f aca="false">MIN(1,'Model Inputs &amp; Assumptions'!$W$34*EXP('Model Inputs &amp; Assumptions'!$X$34*R3453-'Model Inputs &amp; Assumptions'!$X$34^2/2))</f>
        <v>0.0048080613119836</v>
      </c>
      <c r="G3453" s="45" t="n">
        <f aca="false">ROUND(C3453*F3453,0)</f>
        <v>2418</v>
      </c>
      <c r="H3453" s="48" t="n">
        <f aca="false">MAX(0,(C3453*'Model Inputs &amp; Assumptions'!$N$34+E3453*'Model Inputs &amp; Assumptions'!$O$34+G3453*'Model Inputs &amp; Assumptions'!$P$34)*EXP('Model Inputs &amp; Assumptions'!$Q$34*S3453-'Model Inputs &amp; Assumptions'!$Q$34^2/2))</f>
        <v>50.8406019162685</v>
      </c>
      <c r="I3453" s="49" t="n">
        <f aca="false">IF('Model Inputs &amp; Assumptions'!$H$34="Fixed",'Model Inputs &amp; Assumptions'!$I$34*'Model Inputs &amp; Assumptions'!$K$34,IF('Model Inputs &amp; Assumptions'!$H$34="CPM",'Model Inputs &amp; Assumptions'!$I$34*'Model Inputs &amp; Assumptions'!$K$34*C3453/1000,IF('Model Inputs &amp; Assumptions'!$H$34="CPC",'Model Inputs &amp; Assumptions'!$I$34*'Model Inputs &amp; Assumptions'!$K$34*G3453,0)))</f>
        <v>4473.3</v>
      </c>
      <c r="J3453" s="50" t="n">
        <f aca="false">H3453*INDEX('Model Inputs &amp; Assumptions'!$D$40:$D$42,MATCH('Model Inputs &amp; Assumptions'!$L$34,'Model Inputs &amp; Assumptions'!$A$40:$A$42,0))*INDEX('Model Inputs &amp; Assumptions'!$H$40:$H$42,MATCH('Model Inputs &amp; Assumptions'!$L$34,'Model Inputs &amp; Assumptions'!$A$40:$A$42,0))</f>
        <v>366052.333797133</v>
      </c>
      <c r="K3453" s="49" t="n">
        <f aca="false">H3453*INDEX('Model Inputs &amp; Assumptions'!$G$40:$G$42,MATCH('Model Inputs &amp; Assumptions'!$L$34,'Model Inputs &amp; Assumptions'!$A$40:$A$42,0))*INDEX('Model Inputs &amp; Assumptions'!$H$40:$H$42,MATCH('Model Inputs &amp; Assumptions'!$L$34,'Model Inputs &amp; Assumptions'!$A$40:$A$42,0))</f>
        <v>8071.45396022679</v>
      </c>
      <c r="L3453" s="51" t="n">
        <f aca="false">IFERROR(K3453/I3453,0)</f>
        <v>1.80436231869689</v>
      </c>
      <c r="M3453" s="49" t="n">
        <f aca="false">IFERROR(I3453/H3453,0)</f>
        <v>87.9867631655358</v>
      </c>
      <c r="N3453" s="52" t="str">
        <f aca="false">'Model Inputs &amp; Assumptions'!$L$34</f>
        <v>PRD-USIQ</v>
      </c>
      <c r="P3453" s="53" t="n">
        <v>-0.066254</v>
      </c>
      <c r="Q3453" s="53" t="n">
        <v>0.962894</v>
      </c>
      <c r="R3453" s="53" t="n">
        <v>-1.140364</v>
      </c>
      <c r="S3453" s="53" t="n">
        <v>-0.306157</v>
      </c>
    </row>
    <row r="3454" customFormat="false" ht="15" hidden="false" customHeight="false" outlineLevel="0" collapsed="false">
      <c r="A3454" s="43" t="n">
        <v>451</v>
      </c>
      <c r="B3454" s="44" t="str">
        <f aca="false">'Model Inputs &amp; Assumptions'!$B$34</f>
        <v>Meta — Lookalike Feed Video</v>
      </c>
      <c r="C3454" s="45" t="n">
        <f aca="false">ROUND(MAX(0,'Model Inputs &amp; Assumptions'!$S$34*EXP('Model Inputs &amp; Assumptions'!$T$34*P3454-'Model Inputs &amp; Assumptions'!$T$34^2/2)),0)</f>
        <v>416182</v>
      </c>
      <c r="D3454" s="46" t="n">
        <f aca="false">MIN(1,'Model Inputs &amp; Assumptions'!$U$34*EXP('Model Inputs &amp; Assumptions'!$V$34*Q3454-'Model Inputs &amp; Assumptions'!$V$34^2/2))</f>
        <v>0.236876936007777</v>
      </c>
      <c r="E3454" s="45" t="n">
        <f aca="false">ROUND(C3454*D3454,0)</f>
        <v>98584</v>
      </c>
      <c r="F3454" s="47" t="n">
        <f aca="false">MIN(1,'Model Inputs &amp; Assumptions'!$W$34*EXP('Model Inputs &amp; Assumptions'!$X$34*R3454-'Model Inputs &amp; Assumptions'!$X$34^2/2))</f>
        <v>0.00675124403394388</v>
      </c>
      <c r="G3454" s="45" t="n">
        <f aca="false">ROUND(C3454*F3454,0)</f>
        <v>2810</v>
      </c>
      <c r="H3454" s="48" t="n">
        <f aca="false">MAX(0,(C3454*'Model Inputs &amp; Assumptions'!$N$34+E3454*'Model Inputs &amp; Assumptions'!$O$34+G3454*'Model Inputs &amp; Assumptions'!$P$34)*EXP('Model Inputs &amp; Assumptions'!$Q$34*S3454-'Model Inputs &amp; Assumptions'!$Q$34^2/2))</f>
        <v>82.1859502709627</v>
      </c>
      <c r="I3454" s="49" t="n">
        <f aca="false">IF('Model Inputs &amp; Assumptions'!$H$34="Fixed",'Model Inputs &amp; Assumptions'!$I$34*'Model Inputs &amp; Assumptions'!$K$34,IF('Model Inputs &amp; Assumptions'!$H$34="CPM",'Model Inputs &amp; Assumptions'!$I$34*'Model Inputs &amp; Assumptions'!$K$34*C3454/1000,IF('Model Inputs &amp; Assumptions'!$H$34="CPC",'Model Inputs &amp; Assumptions'!$I$34*'Model Inputs &amp; Assumptions'!$K$34*G3454,0)))</f>
        <v>5198.5</v>
      </c>
      <c r="J3454" s="50" t="n">
        <f aca="false">H3454*INDEX('Model Inputs &amp; Assumptions'!$D$40:$D$42,MATCH('Model Inputs &amp; Assumptions'!$L$34,'Model Inputs &amp; Assumptions'!$A$40:$A$42,0))*INDEX('Model Inputs &amp; Assumptions'!$H$40:$H$42,MATCH('Model Inputs &amp; Assumptions'!$L$34,'Model Inputs &amp; Assumptions'!$A$40:$A$42,0))</f>
        <v>591738.841950931</v>
      </c>
      <c r="K3454" s="49" t="n">
        <f aca="false">H3454*INDEX('Model Inputs &amp; Assumptions'!$G$40:$G$42,MATCH('Model Inputs &amp; Assumptions'!$L$34,'Model Inputs &amp; Assumptions'!$A$40:$A$42,0))*INDEX('Model Inputs &amp; Assumptions'!$H$40:$H$42,MATCH('Model Inputs &amp; Assumptions'!$L$34,'Model Inputs &amp; Assumptions'!$A$40:$A$42,0))</f>
        <v>13047.841465018</v>
      </c>
      <c r="L3454" s="51" t="n">
        <f aca="false">IFERROR(K3454/I3454,0)</f>
        <v>2.50992429835876</v>
      </c>
      <c r="M3454" s="49" t="n">
        <f aca="false">IFERROR(I3454/H3454,0)</f>
        <v>63.2529037245518</v>
      </c>
      <c r="N3454" s="52" t="str">
        <f aca="false">'Model Inputs &amp; Assumptions'!$L$34</f>
        <v>PRD-USIQ</v>
      </c>
      <c r="P3454" s="53" t="n">
        <v>-1.013533</v>
      </c>
      <c r="Q3454" s="53" t="n">
        <v>0.264134</v>
      </c>
      <c r="R3454" s="53" t="n">
        <v>0.745374</v>
      </c>
      <c r="S3454" s="53" t="n">
        <v>0.937335</v>
      </c>
    </row>
    <row r="3455" customFormat="false" ht="15" hidden="false" customHeight="false" outlineLevel="0" collapsed="false">
      <c r="A3455" s="43" t="n">
        <v>452</v>
      </c>
      <c r="B3455" s="44" t="str">
        <f aca="false">'Model Inputs &amp; Assumptions'!$B$34</f>
        <v>Meta — Lookalike Feed Video</v>
      </c>
      <c r="C3455" s="45" t="n">
        <f aca="false">ROUND(MAX(0,'Model Inputs &amp; Assumptions'!$S$34*EXP('Model Inputs &amp; Assumptions'!$T$34*P3455-'Model Inputs &amp; Assumptions'!$T$34^2/2)),0)</f>
        <v>600588</v>
      </c>
      <c r="D3455" s="46" t="n">
        <f aca="false">MIN(1,'Model Inputs &amp; Assumptions'!$U$34*EXP('Model Inputs &amp; Assumptions'!$V$34*Q3455-'Model Inputs &amp; Assumptions'!$V$34^2/2))</f>
        <v>0.300286803286327</v>
      </c>
      <c r="E3455" s="45" t="n">
        <f aca="false">ROUND(C3455*D3455,0)</f>
        <v>180349</v>
      </c>
      <c r="F3455" s="47" t="n">
        <f aca="false">MIN(1,'Model Inputs &amp; Assumptions'!$W$34*EXP('Model Inputs &amp; Assumptions'!$X$34*R3455-'Model Inputs &amp; Assumptions'!$X$34^2/2))</f>
        <v>0.00404551544155045</v>
      </c>
      <c r="G3455" s="45" t="n">
        <f aca="false">ROUND(C3455*F3455,0)</f>
        <v>2430</v>
      </c>
      <c r="H3455" s="48" t="n">
        <f aca="false">MAX(0,(C3455*'Model Inputs &amp; Assumptions'!$N$34+E3455*'Model Inputs &amp; Assumptions'!$O$34+G3455*'Model Inputs &amp; Assumptions'!$P$34)*EXP('Model Inputs &amp; Assumptions'!$Q$34*S3455-'Model Inputs &amp; Assumptions'!$Q$34^2/2))</f>
        <v>54.0895757704677</v>
      </c>
      <c r="I3455" s="49" t="n">
        <f aca="false">IF('Model Inputs &amp; Assumptions'!$H$34="Fixed",'Model Inputs &amp; Assumptions'!$I$34*'Model Inputs &amp; Assumptions'!$K$34,IF('Model Inputs &amp; Assumptions'!$H$34="CPM",'Model Inputs &amp; Assumptions'!$I$34*'Model Inputs &amp; Assumptions'!$K$34*C3455/1000,IF('Model Inputs &amp; Assumptions'!$H$34="CPC",'Model Inputs &amp; Assumptions'!$I$34*'Model Inputs &amp; Assumptions'!$K$34*G3455,0)))</f>
        <v>4495.5</v>
      </c>
      <c r="J3455" s="50" t="n">
        <f aca="false">H3455*INDEX('Model Inputs &amp; Assumptions'!$D$40:$D$42,MATCH('Model Inputs &amp; Assumptions'!$L$34,'Model Inputs &amp; Assumptions'!$A$40:$A$42,0))*INDEX('Model Inputs &amp; Assumptions'!$H$40:$H$42,MATCH('Model Inputs &amp; Assumptions'!$L$34,'Model Inputs &amp; Assumptions'!$A$40:$A$42,0))</f>
        <v>389444.945547368</v>
      </c>
      <c r="K3455" s="49" t="n">
        <f aca="false">H3455*INDEX('Model Inputs &amp; Assumptions'!$G$40:$G$42,MATCH('Model Inputs &amp; Assumptions'!$L$34,'Model Inputs &amp; Assumptions'!$A$40:$A$42,0))*INDEX('Model Inputs &amp; Assumptions'!$H$40:$H$42,MATCH('Model Inputs &amp; Assumptions'!$L$34,'Model Inputs &amp; Assumptions'!$A$40:$A$42,0))</f>
        <v>8587.26104931945</v>
      </c>
      <c r="L3455" s="51" t="n">
        <f aca="false">IFERROR(K3455/I3455,0)</f>
        <v>1.91019042360571</v>
      </c>
      <c r="M3455" s="49" t="n">
        <f aca="false">IFERROR(I3455/H3455,0)</f>
        <v>83.1121327162357</v>
      </c>
      <c r="N3455" s="52" t="str">
        <f aca="false">'Model Inputs &amp; Assumptions'!$L$34</f>
        <v>PRD-USIQ</v>
      </c>
      <c r="P3455" s="53" t="n">
        <v>0.820399</v>
      </c>
      <c r="Q3455" s="53" t="n">
        <v>1.746617</v>
      </c>
      <c r="R3455" s="53" t="n">
        <v>-2.099725</v>
      </c>
      <c r="S3455" s="53" t="n">
        <v>-0.317926</v>
      </c>
    </row>
    <row r="3456" customFormat="false" ht="15" hidden="false" customHeight="false" outlineLevel="0" collapsed="false">
      <c r="A3456" s="43" t="n">
        <v>453</v>
      </c>
      <c r="B3456" s="44" t="str">
        <f aca="false">'Model Inputs &amp; Assumptions'!$B$34</f>
        <v>Meta — Lookalike Feed Video</v>
      </c>
      <c r="C3456" s="45" t="n">
        <f aca="false">ROUND(MAX(0,'Model Inputs &amp; Assumptions'!$S$34*EXP('Model Inputs &amp; Assumptions'!$T$34*P3456-'Model Inputs &amp; Assumptions'!$T$34^2/2)),0)</f>
        <v>574984</v>
      </c>
      <c r="D3456" s="46" t="n">
        <f aca="false">MIN(1,'Model Inputs &amp; Assumptions'!$U$34*EXP('Model Inputs &amp; Assumptions'!$V$34*Q3456-'Model Inputs &amp; Assumptions'!$V$34^2/2))</f>
        <v>0.201906215305393</v>
      </c>
      <c r="E3456" s="45" t="n">
        <f aca="false">ROUND(C3456*D3456,0)</f>
        <v>116093</v>
      </c>
      <c r="F3456" s="47" t="n">
        <f aca="false">MIN(1,'Model Inputs &amp; Assumptions'!$W$34*EXP('Model Inputs &amp; Assumptions'!$X$34*R3456-'Model Inputs &amp; Assumptions'!$X$34^2/2))</f>
        <v>0.00526055875991248</v>
      </c>
      <c r="G3456" s="45" t="n">
        <f aca="false">ROUND(C3456*F3456,0)</f>
        <v>3025</v>
      </c>
      <c r="H3456" s="48" t="n">
        <f aca="false">MAX(0,(C3456*'Model Inputs &amp; Assumptions'!$N$34+E3456*'Model Inputs &amp; Assumptions'!$O$34+G3456*'Model Inputs &amp; Assumptions'!$P$34)*EXP('Model Inputs &amp; Assumptions'!$Q$34*S3456-'Model Inputs &amp; Assumptions'!$Q$34^2/2))</f>
        <v>44.4006332126781</v>
      </c>
      <c r="I3456" s="49" t="n">
        <f aca="false">IF('Model Inputs &amp; Assumptions'!$H$34="Fixed",'Model Inputs &amp; Assumptions'!$I$34*'Model Inputs &amp; Assumptions'!$K$34,IF('Model Inputs &amp; Assumptions'!$H$34="CPM",'Model Inputs &amp; Assumptions'!$I$34*'Model Inputs &amp; Assumptions'!$K$34*C3456/1000,IF('Model Inputs &amp; Assumptions'!$H$34="CPC",'Model Inputs &amp; Assumptions'!$I$34*'Model Inputs &amp; Assumptions'!$K$34*G3456,0)))</f>
        <v>5596.25</v>
      </c>
      <c r="J3456" s="50" t="n">
        <f aca="false">H3456*INDEX('Model Inputs &amp; Assumptions'!$D$40:$D$42,MATCH('Model Inputs &amp; Assumptions'!$L$34,'Model Inputs &amp; Assumptions'!$A$40:$A$42,0))*INDEX('Model Inputs &amp; Assumptions'!$H$40:$H$42,MATCH('Model Inputs &amp; Assumptions'!$L$34,'Model Inputs &amp; Assumptions'!$A$40:$A$42,0))</f>
        <v>319684.559131282</v>
      </c>
      <c r="K3456" s="49" t="n">
        <f aca="false">H3456*INDEX('Model Inputs &amp; Assumptions'!$G$40:$G$42,MATCH('Model Inputs &amp; Assumptions'!$L$34,'Model Inputs &amp; Assumptions'!$A$40:$A$42,0))*INDEX('Model Inputs &amp; Assumptions'!$H$40:$H$42,MATCH('Model Inputs &amp; Assumptions'!$L$34,'Model Inputs &amp; Assumptions'!$A$40:$A$42,0))</f>
        <v>7049.04452884478</v>
      </c>
      <c r="L3456" s="51" t="n">
        <f aca="false">IFERROR(K3456/I3456,0)</f>
        <v>1.25960143468301</v>
      </c>
      <c r="M3456" s="49" t="n">
        <f aca="false">IFERROR(I3456/H3456,0)</f>
        <v>126.039869143174</v>
      </c>
      <c r="N3456" s="52" t="str">
        <f aca="false">'Model Inputs &amp; Assumptions'!$L$34</f>
        <v>PRD-USIQ</v>
      </c>
      <c r="P3456" s="53" t="n">
        <v>0.602565</v>
      </c>
      <c r="Q3456" s="53" t="n">
        <v>-0.734225</v>
      </c>
      <c r="R3456" s="53" t="n">
        <v>-0.640679</v>
      </c>
      <c r="S3456" s="53" t="n">
        <v>-1.253126</v>
      </c>
    </row>
    <row r="3457" customFormat="false" ht="15" hidden="false" customHeight="false" outlineLevel="0" collapsed="false">
      <c r="A3457" s="43" t="n">
        <v>454</v>
      </c>
      <c r="B3457" s="44" t="str">
        <f aca="false">'Model Inputs &amp; Assumptions'!$B$34</f>
        <v>Meta — Lookalike Feed Video</v>
      </c>
      <c r="C3457" s="45" t="n">
        <f aca="false">ROUND(MAX(0,'Model Inputs &amp; Assumptions'!$S$34*EXP('Model Inputs &amp; Assumptions'!$T$34*P3457-'Model Inputs &amp; Assumptions'!$T$34^2/2)),0)</f>
        <v>689143</v>
      </c>
      <c r="D3457" s="46" t="n">
        <f aca="false">MIN(1,'Model Inputs &amp; Assumptions'!$U$34*EXP('Model Inputs &amp; Assumptions'!$V$34*Q3457-'Model Inputs &amp; Assumptions'!$V$34^2/2))</f>
        <v>0.238515893834425</v>
      </c>
      <c r="E3457" s="45" t="n">
        <f aca="false">ROUND(C3457*D3457,0)</f>
        <v>164372</v>
      </c>
      <c r="F3457" s="47" t="n">
        <f aca="false">MIN(1,'Model Inputs &amp; Assumptions'!$W$34*EXP('Model Inputs &amp; Assumptions'!$X$34*R3457-'Model Inputs &amp; Assumptions'!$X$34^2/2))</f>
        <v>0.00615354765041356</v>
      </c>
      <c r="G3457" s="45" t="n">
        <f aca="false">ROUND(C3457*F3457,0)</f>
        <v>4241</v>
      </c>
      <c r="H3457" s="48" t="n">
        <f aca="false">MAX(0,(C3457*'Model Inputs &amp; Assumptions'!$N$34+E3457*'Model Inputs &amp; Assumptions'!$O$34+G3457*'Model Inputs &amp; Assumptions'!$P$34)*EXP('Model Inputs &amp; Assumptions'!$Q$34*S3457-'Model Inputs &amp; Assumptions'!$Q$34^2/2))</f>
        <v>121.549187910378</v>
      </c>
      <c r="I3457" s="49" t="n">
        <f aca="false">IF('Model Inputs &amp; Assumptions'!$H$34="Fixed",'Model Inputs &amp; Assumptions'!$I$34*'Model Inputs &amp; Assumptions'!$K$34,IF('Model Inputs &amp; Assumptions'!$H$34="CPM",'Model Inputs &amp; Assumptions'!$I$34*'Model Inputs &amp; Assumptions'!$K$34*C3457/1000,IF('Model Inputs &amp; Assumptions'!$H$34="CPC",'Model Inputs &amp; Assumptions'!$I$34*'Model Inputs &amp; Assumptions'!$K$34*G3457,0)))</f>
        <v>7845.85</v>
      </c>
      <c r="J3457" s="50" t="n">
        <f aca="false">H3457*INDEX('Model Inputs &amp; Assumptions'!$D$40:$D$42,MATCH('Model Inputs &amp; Assumptions'!$L$34,'Model Inputs &amp; Assumptions'!$A$40:$A$42,0))*INDEX('Model Inputs &amp; Assumptions'!$H$40:$H$42,MATCH('Model Inputs &amp; Assumptions'!$L$34,'Model Inputs &amp; Assumptions'!$A$40:$A$42,0))</f>
        <v>875154.152954721</v>
      </c>
      <c r="K3457" s="49" t="n">
        <f aca="false">H3457*INDEX('Model Inputs &amp; Assumptions'!$G$40:$G$42,MATCH('Model Inputs &amp; Assumptions'!$L$34,'Model Inputs &amp; Assumptions'!$A$40:$A$42,0))*INDEX('Model Inputs &amp; Assumptions'!$H$40:$H$42,MATCH('Model Inputs &amp; Assumptions'!$L$34,'Model Inputs &amp; Assumptions'!$A$40:$A$42,0))</f>
        <v>19297.1490726516</v>
      </c>
      <c r="L3457" s="51" t="n">
        <f aca="false">IFERROR(K3457/I3457,0)</f>
        <v>2.45953581481313</v>
      </c>
      <c r="M3457" s="49" t="n">
        <f aca="false">IFERROR(I3457/H3457,0)</f>
        <v>64.548765276696</v>
      </c>
      <c r="N3457" s="52" t="str">
        <f aca="false">'Model Inputs &amp; Assumptions'!$L$34</f>
        <v>PRD-USIQ</v>
      </c>
      <c r="P3457" s="53" t="n">
        <v>1.508101</v>
      </c>
      <c r="Q3457" s="53" t="n">
        <v>0.307229</v>
      </c>
      <c r="R3457" s="53" t="n">
        <v>0.230385</v>
      </c>
      <c r="S3457" s="53" t="n">
        <v>0.833938</v>
      </c>
    </row>
    <row r="3458" customFormat="false" ht="15" hidden="false" customHeight="false" outlineLevel="0" collapsed="false">
      <c r="A3458" s="43" t="n">
        <v>455</v>
      </c>
      <c r="B3458" s="44" t="str">
        <f aca="false">'Model Inputs &amp; Assumptions'!$B$34</f>
        <v>Meta — Lookalike Feed Video</v>
      </c>
      <c r="C3458" s="45" t="n">
        <f aca="false">ROUND(MAX(0,'Model Inputs &amp; Assumptions'!$S$34*EXP('Model Inputs &amp; Assumptions'!$T$34*P3458-'Model Inputs &amp; Assumptions'!$T$34^2/2)),0)</f>
        <v>765043</v>
      </c>
      <c r="D3458" s="46" t="n">
        <f aca="false">MIN(1,'Model Inputs &amp; Assumptions'!$U$34*EXP('Model Inputs &amp; Assumptions'!$V$34*Q3458-'Model Inputs &amp; Assumptions'!$V$34^2/2))</f>
        <v>0.303790363240596</v>
      </c>
      <c r="E3458" s="45" t="n">
        <f aca="false">ROUND(C3458*D3458,0)</f>
        <v>232413</v>
      </c>
      <c r="F3458" s="47" t="n">
        <f aca="false">MIN(1,'Model Inputs &amp; Assumptions'!$W$34*EXP('Model Inputs &amp; Assumptions'!$X$34*R3458-'Model Inputs &amp; Assumptions'!$X$34^2/2))</f>
        <v>0.006800344204624</v>
      </c>
      <c r="G3458" s="45" t="n">
        <f aca="false">ROUND(C3458*F3458,0)</f>
        <v>5203</v>
      </c>
      <c r="H3458" s="48" t="n">
        <f aca="false">MAX(0,(C3458*'Model Inputs &amp; Assumptions'!$N$34+E3458*'Model Inputs &amp; Assumptions'!$O$34+G3458*'Model Inputs &amp; Assumptions'!$P$34)*EXP('Model Inputs &amp; Assumptions'!$Q$34*S3458-'Model Inputs &amp; Assumptions'!$Q$34^2/2))</f>
        <v>125.656565683595</v>
      </c>
      <c r="I3458" s="49" t="n">
        <f aca="false">IF('Model Inputs &amp; Assumptions'!$H$34="Fixed",'Model Inputs &amp; Assumptions'!$I$34*'Model Inputs &amp; Assumptions'!$K$34,IF('Model Inputs &amp; Assumptions'!$H$34="CPM",'Model Inputs &amp; Assumptions'!$I$34*'Model Inputs &amp; Assumptions'!$K$34*C3458/1000,IF('Model Inputs &amp; Assumptions'!$H$34="CPC",'Model Inputs &amp; Assumptions'!$I$34*'Model Inputs &amp; Assumptions'!$K$34*G3458,0)))</f>
        <v>9625.55</v>
      </c>
      <c r="J3458" s="50" t="n">
        <f aca="false">H3458*INDEX('Model Inputs &amp; Assumptions'!$D$40:$D$42,MATCH('Model Inputs &amp; Assumptions'!$L$34,'Model Inputs &amp; Assumptions'!$A$40:$A$42,0))*INDEX('Model Inputs &amp; Assumptions'!$H$40:$H$42,MATCH('Model Inputs &amp; Assumptions'!$L$34,'Model Inputs &amp; Assumptions'!$A$40:$A$42,0))</f>
        <v>904727.272921885</v>
      </c>
      <c r="K3458" s="49" t="n">
        <f aca="false">H3458*INDEX('Model Inputs &amp; Assumptions'!$G$40:$G$42,MATCH('Model Inputs &amp; Assumptions'!$L$34,'Model Inputs &amp; Assumptions'!$A$40:$A$42,0))*INDEX('Model Inputs &amp; Assumptions'!$H$40:$H$42,MATCH('Model Inputs &amp; Assumptions'!$L$34,'Model Inputs &amp; Assumptions'!$A$40:$A$42,0))</f>
        <v>19949.2363679276</v>
      </c>
      <c r="L3458" s="51" t="n">
        <f aca="false">IFERROR(K3458/I3458,0)</f>
        <v>2.07252950407276</v>
      </c>
      <c r="M3458" s="49" t="n">
        <f aca="false">IFERROR(I3458/H3458,0)</f>
        <v>76.6020458034581</v>
      </c>
      <c r="N3458" s="52" t="str">
        <f aca="false">'Model Inputs &amp; Assumptions'!$L$34</f>
        <v>PRD-USIQ</v>
      </c>
      <c r="P3458" s="53" t="n">
        <v>2.030513</v>
      </c>
      <c r="Q3458" s="53" t="n">
        <v>1.819116</v>
      </c>
      <c r="R3458" s="53" t="n">
        <v>0.785632</v>
      </c>
      <c r="S3458" s="53" t="n">
        <v>0.235603</v>
      </c>
    </row>
    <row r="3459" customFormat="false" ht="15" hidden="false" customHeight="false" outlineLevel="0" collapsed="false">
      <c r="A3459" s="43" t="n">
        <v>456</v>
      </c>
      <c r="B3459" s="44" t="str">
        <f aca="false">'Model Inputs &amp; Assumptions'!$B$34</f>
        <v>Meta — Lookalike Feed Video</v>
      </c>
      <c r="C3459" s="45" t="n">
        <f aca="false">ROUND(MAX(0,'Model Inputs &amp; Assumptions'!$S$34*EXP('Model Inputs &amp; Assumptions'!$T$34*P3459-'Model Inputs &amp; Assumptions'!$T$34^2/2)),0)</f>
        <v>414385</v>
      </c>
      <c r="D3459" s="46" t="n">
        <f aca="false">MIN(1,'Model Inputs &amp; Assumptions'!$U$34*EXP('Model Inputs &amp; Assumptions'!$V$34*Q3459-'Model Inputs &amp; Assumptions'!$V$34^2/2))</f>
        <v>0.207444888939802</v>
      </c>
      <c r="E3459" s="45" t="n">
        <f aca="false">ROUND(C3459*D3459,0)</f>
        <v>85962</v>
      </c>
      <c r="F3459" s="47" t="n">
        <f aca="false">MIN(1,'Model Inputs &amp; Assumptions'!$W$34*EXP('Model Inputs &amp; Assumptions'!$X$34*R3459-'Model Inputs &amp; Assumptions'!$X$34^2/2))</f>
        <v>0.00549594006264364</v>
      </c>
      <c r="G3459" s="45" t="n">
        <f aca="false">ROUND(C3459*F3459,0)</f>
        <v>2277</v>
      </c>
      <c r="H3459" s="48" t="n">
        <f aca="false">MAX(0,(C3459*'Model Inputs &amp; Assumptions'!$N$34+E3459*'Model Inputs &amp; Assumptions'!$O$34+G3459*'Model Inputs &amp; Assumptions'!$P$34)*EXP('Model Inputs &amp; Assumptions'!$Q$34*S3459-'Model Inputs &amp; Assumptions'!$Q$34^2/2))</f>
        <v>52.0989650084504</v>
      </c>
      <c r="I3459" s="49" t="n">
        <f aca="false">IF('Model Inputs &amp; Assumptions'!$H$34="Fixed",'Model Inputs &amp; Assumptions'!$I$34*'Model Inputs &amp; Assumptions'!$K$34,IF('Model Inputs &amp; Assumptions'!$H$34="CPM",'Model Inputs &amp; Assumptions'!$I$34*'Model Inputs &amp; Assumptions'!$K$34*C3459/1000,IF('Model Inputs &amp; Assumptions'!$H$34="CPC",'Model Inputs &amp; Assumptions'!$I$34*'Model Inputs &amp; Assumptions'!$K$34*G3459,0)))</f>
        <v>4212.45</v>
      </c>
      <c r="J3459" s="50" t="n">
        <f aca="false">H3459*INDEX('Model Inputs &amp; Assumptions'!$D$40:$D$42,MATCH('Model Inputs &amp; Assumptions'!$L$34,'Model Inputs &amp; Assumptions'!$A$40:$A$42,0))*INDEX('Model Inputs &amp; Assumptions'!$H$40:$H$42,MATCH('Model Inputs &amp; Assumptions'!$L$34,'Model Inputs &amp; Assumptions'!$A$40:$A$42,0))</f>
        <v>375112.548060843</v>
      </c>
      <c r="K3459" s="49" t="n">
        <f aca="false">H3459*INDEX('Model Inputs &amp; Assumptions'!$G$40:$G$42,MATCH('Model Inputs &amp; Assumptions'!$L$34,'Model Inputs &amp; Assumptions'!$A$40:$A$42,0))*INDEX('Model Inputs &amp; Assumptions'!$H$40:$H$42,MATCH('Model Inputs &amp; Assumptions'!$L$34,'Model Inputs &amp; Assumptions'!$A$40:$A$42,0))</f>
        <v>8271.23168474158</v>
      </c>
      <c r="L3459" s="51" t="n">
        <f aca="false">IFERROR(K3459/I3459,0)</f>
        <v>1.96352044172431</v>
      </c>
      <c r="M3459" s="49" t="n">
        <f aca="false">IFERROR(I3459/H3459,0)</f>
        <v>80.8547732055089</v>
      </c>
      <c r="N3459" s="52" t="str">
        <f aca="false">'Model Inputs &amp; Assumptions'!$L$34</f>
        <v>PRD-USIQ</v>
      </c>
      <c r="P3459" s="53" t="n">
        <v>-1.035163</v>
      </c>
      <c r="Q3459" s="53" t="n">
        <v>-0.565085</v>
      </c>
      <c r="R3459" s="53" t="n">
        <v>-0.397499</v>
      </c>
      <c r="S3459" s="53" t="n">
        <v>0.140984</v>
      </c>
    </row>
    <row r="3460" customFormat="false" ht="15" hidden="false" customHeight="false" outlineLevel="0" collapsed="false">
      <c r="A3460" s="43" t="n">
        <v>457</v>
      </c>
      <c r="B3460" s="44" t="str">
        <f aca="false">'Model Inputs &amp; Assumptions'!$B$34</f>
        <v>Meta — Lookalike Feed Video</v>
      </c>
      <c r="C3460" s="45" t="n">
        <f aca="false">ROUND(MAX(0,'Model Inputs &amp; Assumptions'!$S$34*EXP('Model Inputs &amp; Assumptions'!$T$34*P3460-'Model Inputs &amp; Assumptions'!$T$34^2/2)),0)</f>
        <v>541212</v>
      </c>
      <c r="D3460" s="46" t="n">
        <f aca="false">MIN(1,'Model Inputs &amp; Assumptions'!$U$34*EXP('Model Inputs &amp; Assumptions'!$V$34*Q3460-'Model Inputs &amp; Assumptions'!$V$34^2/2))</f>
        <v>0.257697523840855</v>
      </c>
      <c r="E3460" s="45" t="n">
        <f aca="false">ROUND(C3460*D3460,0)</f>
        <v>139469</v>
      </c>
      <c r="F3460" s="47" t="n">
        <f aca="false">MIN(1,'Model Inputs &amp; Assumptions'!$W$34*EXP('Model Inputs &amp; Assumptions'!$X$34*R3460-'Model Inputs &amp; Assumptions'!$X$34^2/2))</f>
        <v>0.00522043049723165</v>
      </c>
      <c r="G3460" s="45" t="n">
        <f aca="false">ROUND(C3460*F3460,0)</f>
        <v>2825</v>
      </c>
      <c r="H3460" s="48" t="n">
        <f aca="false">MAX(0,(C3460*'Model Inputs &amp; Assumptions'!$N$34+E3460*'Model Inputs &amp; Assumptions'!$O$34+G3460*'Model Inputs &amp; Assumptions'!$P$34)*EXP('Model Inputs &amp; Assumptions'!$Q$34*S3460-'Model Inputs &amp; Assumptions'!$Q$34^2/2))</f>
        <v>78.3266536136818</v>
      </c>
      <c r="I3460" s="49" t="n">
        <f aca="false">IF('Model Inputs &amp; Assumptions'!$H$34="Fixed",'Model Inputs &amp; Assumptions'!$I$34*'Model Inputs &amp; Assumptions'!$K$34,IF('Model Inputs &amp; Assumptions'!$H$34="CPM",'Model Inputs &amp; Assumptions'!$I$34*'Model Inputs &amp; Assumptions'!$K$34*C3460/1000,IF('Model Inputs &amp; Assumptions'!$H$34="CPC",'Model Inputs &amp; Assumptions'!$I$34*'Model Inputs &amp; Assumptions'!$K$34*G3460,0)))</f>
        <v>5226.25</v>
      </c>
      <c r="J3460" s="50" t="n">
        <f aca="false">H3460*INDEX('Model Inputs &amp; Assumptions'!$D$40:$D$42,MATCH('Model Inputs &amp; Assumptions'!$L$34,'Model Inputs &amp; Assumptions'!$A$40:$A$42,0))*INDEX('Model Inputs &amp; Assumptions'!$H$40:$H$42,MATCH('Model Inputs &amp; Assumptions'!$L$34,'Model Inputs &amp; Assumptions'!$A$40:$A$42,0))</f>
        <v>563951.906018509</v>
      </c>
      <c r="K3460" s="49" t="n">
        <f aca="false">H3460*INDEX('Model Inputs &amp; Assumptions'!$G$40:$G$42,MATCH('Model Inputs &amp; Assumptions'!$L$34,'Model Inputs &amp; Assumptions'!$A$40:$A$42,0))*INDEX('Model Inputs &amp; Assumptions'!$H$40:$H$42,MATCH('Model Inputs &amp; Assumptions'!$L$34,'Model Inputs &amp; Assumptions'!$A$40:$A$42,0))</f>
        <v>12435.1395277081</v>
      </c>
      <c r="L3460" s="51" t="n">
        <f aca="false">IFERROR(K3460/I3460,0)</f>
        <v>2.37936178478032</v>
      </c>
      <c r="M3460" s="49" t="n">
        <f aca="false">IFERROR(I3460/H3460,0)</f>
        <v>66.7237748439581</v>
      </c>
      <c r="N3460" s="52" t="str">
        <f aca="false">'Model Inputs &amp; Assumptions'!$L$34</f>
        <v>PRD-USIQ</v>
      </c>
      <c r="P3460" s="53" t="n">
        <v>0.299913</v>
      </c>
      <c r="Q3460" s="53" t="n">
        <v>0.79067</v>
      </c>
      <c r="R3460" s="53" t="n">
        <v>-0.68322</v>
      </c>
      <c r="S3460" s="53" t="n">
        <v>0.617592</v>
      </c>
    </row>
    <row r="3461" customFormat="false" ht="15" hidden="false" customHeight="false" outlineLevel="0" collapsed="false">
      <c r="A3461" s="43" t="n">
        <v>458</v>
      </c>
      <c r="B3461" s="44" t="str">
        <f aca="false">'Model Inputs &amp; Assumptions'!$B$34</f>
        <v>Meta — Lookalike Feed Video</v>
      </c>
      <c r="C3461" s="45" t="n">
        <f aca="false">ROUND(MAX(0,'Model Inputs &amp; Assumptions'!$S$34*EXP('Model Inputs &amp; Assumptions'!$T$34*P3461-'Model Inputs &amp; Assumptions'!$T$34^2/2)),0)</f>
        <v>613555</v>
      </c>
      <c r="D3461" s="46" t="n">
        <f aca="false">MIN(1,'Model Inputs &amp; Assumptions'!$U$34*EXP('Model Inputs &amp; Assumptions'!$V$34*Q3461-'Model Inputs &amp; Assumptions'!$V$34^2/2))</f>
        <v>0.222233348437931</v>
      </c>
      <c r="E3461" s="45" t="n">
        <f aca="false">ROUND(C3461*D3461,0)</f>
        <v>136352</v>
      </c>
      <c r="F3461" s="47" t="n">
        <f aca="false">MIN(1,'Model Inputs &amp; Assumptions'!$W$34*EXP('Model Inputs &amp; Assumptions'!$X$34*R3461-'Model Inputs &amp; Assumptions'!$X$34^2/2))</f>
        <v>0.00486788080411162</v>
      </c>
      <c r="G3461" s="45" t="n">
        <f aca="false">ROUND(C3461*F3461,0)</f>
        <v>2987</v>
      </c>
      <c r="H3461" s="48" t="n">
        <f aca="false">MAX(0,(C3461*'Model Inputs &amp; Assumptions'!$N$34+E3461*'Model Inputs &amp; Assumptions'!$O$34+G3461*'Model Inputs &amp; Assumptions'!$P$34)*EXP('Model Inputs &amp; Assumptions'!$Q$34*S3461-'Model Inputs &amp; Assumptions'!$Q$34^2/2))</f>
        <v>65.3896235730816</v>
      </c>
      <c r="I3461" s="49" t="n">
        <f aca="false">IF('Model Inputs &amp; Assumptions'!$H$34="Fixed",'Model Inputs &amp; Assumptions'!$I$34*'Model Inputs &amp; Assumptions'!$K$34,IF('Model Inputs &amp; Assumptions'!$H$34="CPM",'Model Inputs &amp; Assumptions'!$I$34*'Model Inputs &amp; Assumptions'!$K$34*C3461/1000,IF('Model Inputs &amp; Assumptions'!$H$34="CPC",'Model Inputs &amp; Assumptions'!$I$34*'Model Inputs &amp; Assumptions'!$K$34*G3461,0)))</f>
        <v>5525.95</v>
      </c>
      <c r="J3461" s="50" t="n">
        <f aca="false">H3461*INDEX('Model Inputs &amp; Assumptions'!$D$40:$D$42,MATCH('Model Inputs &amp; Assumptions'!$L$34,'Model Inputs &amp; Assumptions'!$A$40:$A$42,0))*INDEX('Model Inputs &amp; Assumptions'!$H$40:$H$42,MATCH('Model Inputs &amp; Assumptions'!$L$34,'Model Inputs &amp; Assumptions'!$A$40:$A$42,0))</f>
        <v>470805.289726187</v>
      </c>
      <c r="K3461" s="49" t="n">
        <f aca="false">H3461*INDEX('Model Inputs &amp; Assumptions'!$G$40:$G$42,MATCH('Model Inputs &amp; Assumptions'!$L$34,'Model Inputs &amp; Assumptions'!$A$40:$A$42,0))*INDEX('Model Inputs &amp; Assumptions'!$H$40:$H$42,MATCH('Model Inputs &amp; Assumptions'!$L$34,'Model Inputs &amp; Assumptions'!$A$40:$A$42,0))</f>
        <v>10381.2566384624</v>
      </c>
      <c r="L3461" s="51" t="n">
        <f aca="false">IFERROR(K3461/I3461,0)</f>
        <v>1.87863745391515</v>
      </c>
      <c r="M3461" s="49" t="n">
        <f aca="false">IFERROR(I3461/H3461,0)</f>
        <v>84.5080564475802</v>
      </c>
      <c r="N3461" s="52" t="str">
        <f aca="false">'Model Inputs &amp; Assumptions'!$L$34</f>
        <v>PRD-USIQ</v>
      </c>
      <c r="P3461" s="53" t="n">
        <v>0.927202</v>
      </c>
      <c r="Q3461" s="53" t="n">
        <v>-0.134696</v>
      </c>
      <c r="R3461" s="53" t="n">
        <v>-1.071671</v>
      </c>
      <c r="S3461" s="53" t="n">
        <v>-0.081714</v>
      </c>
    </row>
    <row r="3462" customFormat="false" ht="15" hidden="false" customHeight="false" outlineLevel="0" collapsed="false">
      <c r="A3462" s="43" t="n">
        <v>459</v>
      </c>
      <c r="B3462" s="44" t="str">
        <f aca="false">'Model Inputs &amp; Assumptions'!$B$34</f>
        <v>Meta — Lookalike Feed Video</v>
      </c>
      <c r="C3462" s="45" t="n">
        <f aca="false">ROUND(MAX(0,'Model Inputs &amp; Assumptions'!$S$34*EXP('Model Inputs &amp; Assumptions'!$T$34*P3462-'Model Inputs &amp; Assumptions'!$T$34^2/2)),0)</f>
        <v>476519</v>
      </c>
      <c r="D3462" s="46" t="n">
        <f aca="false">MIN(1,'Model Inputs &amp; Assumptions'!$U$34*EXP('Model Inputs &amp; Assumptions'!$V$34*Q3462-'Model Inputs &amp; Assumptions'!$V$34^2/2))</f>
        <v>0.237882512997767</v>
      </c>
      <c r="E3462" s="45" t="n">
        <f aca="false">ROUND(C3462*D3462,0)</f>
        <v>113356</v>
      </c>
      <c r="F3462" s="47" t="n">
        <f aca="false">MIN(1,'Model Inputs &amp; Assumptions'!$W$34*EXP('Model Inputs &amp; Assumptions'!$X$34*R3462-'Model Inputs &amp; Assumptions'!$X$34^2/2))</f>
        <v>0.00328478167725776</v>
      </c>
      <c r="G3462" s="45" t="n">
        <f aca="false">ROUND(C3462*F3462,0)</f>
        <v>1565</v>
      </c>
      <c r="H3462" s="48" t="n">
        <f aca="false">MAX(0,(C3462*'Model Inputs &amp; Assumptions'!$N$34+E3462*'Model Inputs &amp; Assumptions'!$O$34+G3462*'Model Inputs &amp; Assumptions'!$P$34)*EXP('Model Inputs &amp; Assumptions'!$Q$34*S3462-'Model Inputs &amp; Assumptions'!$Q$34^2/2))</f>
        <v>21.9858354415126</v>
      </c>
      <c r="I3462" s="49" t="n">
        <f aca="false">IF('Model Inputs &amp; Assumptions'!$H$34="Fixed",'Model Inputs &amp; Assumptions'!$I$34*'Model Inputs &amp; Assumptions'!$K$34,IF('Model Inputs &amp; Assumptions'!$H$34="CPM",'Model Inputs &amp; Assumptions'!$I$34*'Model Inputs &amp; Assumptions'!$K$34*C3462/1000,IF('Model Inputs &amp; Assumptions'!$H$34="CPC",'Model Inputs &amp; Assumptions'!$I$34*'Model Inputs &amp; Assumptions'!$K$34*G3462,0)))</f>
        <v>2895.25</v>
      </c>
      <c r="J3462" s="50" t="n">
        <f aca="false">H3462*INDEX('Model Inputs &amp; Assumptions'!$D$40:$D$42,MATCH('Model Inputs &amp; Assumptions'!$L$34,'Model Inputs &amp; Assumptions'!$A$40:$A$42,0))*INDEX('Model Inputs &amp; Assumptions'!$H$40:$H$42,MATCH('Model Inputs &amp; Assumptions'!$L$34,'Model Inputs &amp; Assumptions'!$A$40:$A$42,0))</f>
        <v>158298.015178891</v>
      </c>
      <c r="K3462" s="49" t="n">
        <f aca="false">H3462*INDEX('Model Inputs &amp; Assumptions'!$G$40:$G$42,MATCH('Model Inputs &amp; Assumptions'!$L$34,'Model Inputs &amp; Assumptions'!$A$40:$A$42,0))*INDEX('Model Inputs &amp; Assumptions'!$H$40:$H$42,MATCH('Model Inputs &amp; Assumptions'!$L$34,'Model Inputs &amp; Assumptions'!$A$40:$A$42,0))</f>
        <v>3490.47123469455</v>
      </c>
      <c r="L3462" s="51" t="n">
        <f aca="false">IFERROR(K3462/I3462,0)</f>
        <v>1.2055854363853</v>
      </c>
      <c r="M3462" s="49" t="n">
        <f aca="false">IFERROR(I3462/H3462,0)</f>
        <v>131.687058592885</v>
      </c>
      <c r="N3462" s="52" t="str">
        <f aca="false">'Model Inputs &amp; Assumptions'!$L$34</f>
        <v>PRD-USIQ</v>
      </c>
      <c r="P3462" s="53" t="n">
        <v>-0.336608</v>
      </c>
      <c r="Q3462" s="53" t="n">
        <v>0.29061</v>
      </c>
      <c r="R3462" s="53" t="n">
        <v>-3.256996</v>
      </c>
      <c r="S3462" s="53" t="n">
        <v>-1.738909</v>
      </c>
    </row>
    <row r="3463" customFormat="false" ht="15" hidden="false" customHeight="false" outlineLevel="0" collapsed="false">
      <c r="A3463" s="43" t="n">
        <v>460</v>
      </c>
      <c r="B3463" s="44" t="str">
        <f aca="false">'Model Inputs &amp; Assumptions'!$B$34</f>
        <v>Meta — Lookalike Feed Video</v>
      </c>
      <c r="C3463" s="45" t="n">
        <f aca="false">ROUND(MAX(0,'Model Inputs &amp; Assumptions'!$S$34*EXP('Model Inputs &amp; Assumptions'!$T$34*P3463-'Model Inputs &amp; Assumptions'!$T$34^2/2)),0)</f>
        <v>474878</v>
      </c>
      <c r="D3463" s="46" t="n">
        <f aca="false">MIN(1,'Model Inputs &amp; Assumptions'!$U$34*EXP('Model Inputs &amp; Assumptions'!$V$34*Q3463-'Model Inputs &amp; Assumptions'!$V$34^2/2))</f>
        <v>0.174576435045759</v>
      </c>
      <c r="E3463" s="45" t="n">
        <f aca="false">ROUND(C3463*D3463,0)</f>
        <v>82903</v>
      </c>
      <c r="F3463" s="47" t="n">
        <f aca="false">MIN(1,'Model Inputs &amp; Assumptions'!$W$34*EXP('Model Inputs &amp; Assumptions'!$X$34*R3463-'Model Inputs &amp; Assumptions'!$X$34^2/2))</f>
        <v>0.00598347826914394</v>
      </c>
      <c r="G3463" s="45" t="n">
        <f aca="false">ROUND(C3463*F3463,0)</f>
        <v>2841</v>
      </c>
      <c r="H3463" s="48" t="n">
        <f aca="false">MAX(0,(C3463*'Model Inputs &amp; Assumptions'!$N$34+E3463*'Model Inputs &amp; Assumptions'!$O$34+G3463*'Model Inputs &amp; Assumptions'!$P$34)*EXP('Model Inputs &amp; Assumptions'!$Q$34*S3463-'Model Inputs &amp; Assumptions'!$Q$34^2/2))</f>
        <v>50.7489707498823</v>
      </c>
      <c r="I3463" s="49" t="n">
        <f aca="false">IF('Model Inputs &amp; Assumptions'!$H$34="Fixed",'Model Inputs &amp; Assumptions'!$I$34*'Model Inputs &amp; Assumptions'!$K$34,IF('Model Inputs &amp; Assumptions'!$H$34="CPM",'Model Inputs &amp; Assumptions'!$I$34*'Model Inputs &amp; Assumptions'!$K$34*C3463/1000,IF('Model Inputs &amp; Assumptions'!$H$34="CPC",'Model Inputs &amp; Assumptions'!$I$34*'Model Inputs &amp; Assumptions'!$K$34*G3463,0)))</f>
        <v>5255.85</v>
      </c>
      <c r="J3463" s="50" t="n">
        <f aca="false">H3463*INDEX('Model Inputs &amp; Assumptions'!$D$40:$D$42,MATCH('Model Inputs &amp; Assumptions'!$L$34,'Model Inputs &amp; Assumptions'!$A$40:$A$42,0))*INDEX('Model Inputs &amp; Assumptions'!$H$40:$H$42,MATCH('Model Inputs &amp; Assumptions'!$L$34,'Model Inputs &amp; Assumptions'!$A$40:$A$42,0))</f>
        <v>365392.589399152</v>
      </c>
      <c r="K3463" s="49" t="n">
        <f aca="false">H3463*INDEX('Model Inputs &amp; Assumptions'!$G$40:$G$42,MATCH('Model Inputs &amp; Assumptions'!$L$34,'Model Inputs &amp; Assumptions'!$A$40:$A$42,0))*INDEX('Model Inputs &amp; Assumptions'!$H$40:$H$42,MATCH('Model Inputs &amp; Assumptions'!$L$34,'Model Inputs &amp; Assumptions'!$A$40:$A$42,0))</f>
        <v>8056.90659625131</v>
      </c>
      <c r="L3463" s="51" t="n">
        <f aca="false">IFERROR(K3463/I3463,0)</f>
        <v>1.53294074150733</v>
      </c>
      <c r="M3463" s="49" t="n">
        <f aca="false">IFERROR(I3463/H3463,0)</f>
        <v>103.565647191223</v>
      </c>
      <c r="N3463" s="52" t="str">
        <f aca="false">'Model Inputs &amp; Assumptions'!$L$34</f>
        <v>PRD-USIQ</v>
      </c>
      <c r="P3463" s="53" t="n">
        <v>-0.353858</v>
      </c>
      <c r="Q3463" s="53" t="n">
        <v>-1.643229</v>
      </c>
      <c r="R3463" s="53" t="n">
        <v>0.074681</v>
      </c>
      <c r="S3463" s="53" t="n">
        <v>-0.538113</v>
      </c>
    </row>
    <row r="3464" customFormat="false" ht="15" hidden="false" customHeight="false" outlineLevel="0" collapsed="false">
      <c r="A3464" s="43" t="n">
        <v>461</v>
      </c>
      <c r="B3464" s="44" t="str">
        <f aca="false">'Model Inputs &amp; Assumptions'!$B$34</f>
        <v>Meta — Lookalike Feed Video</v>
      </c>
      <c r="C3464" s="45" t="n">
        <f aca="false">ROUND(MAX(0,'Model Inputs &amp; Assumptions'!$S$34*EXP('Model Inputs &amp; Assumptions'!$T$34*P3464-'Model Inputs &amp; Assumptions'!$T$34^2/2)),0)</f>
        <v>417282</v>
      </c>
      <c r="D3464" s="46" t="n">
        <f aca="false">MIN(1,'Model Inputs &amp; Assumptions'!$U$34*EXP('Model Inputs &amp; Assumptions'!$V$34*Q3464-'Model Inputs &amp; Assumptions'!$V$34^2/2))</f>
        <v>0.220033038246075</v>
      </c>
      <c r="E3464" s="45" t="n">
        <f aca="false">ROUND(C3464*D3464,0)</f>
        <v>91816</v>
      </c>
      <c r="F3464" s="47" t="n">
        <f aca="false">MIN(1,'Model Inputs &amp; Assumptions'!$W$34*EXP('Model Inputs &amp; Assumptions'!$X$34*R3464-'Model Inputs &amp; Assumptions'!$X$34^2/2))</f>
        <v>0.00536410258109032</v>
      </c>
      <c r="G3464" s="45" t="n">
        <f aca="false">ROUND(C3464*F3464,0)</f>
        <v>2238</v>
      </c>
      <c r="H3464" s="48" t="n">
        <f aca="false">MAX(0,(C3464*'Model Inputs &amp; Assumptions'!$N$34+E3464*'Model Inputs &amp; Assumptions'!$O$34+G3464*'Model Inputs &amp; Assumptions'!$P$34)*EXP('Model Inputs &amp; Assumptions'!$Q$34*S3464-'Model Inputs &amp; Assumptions'!$Q$34^2/2))</f>
        <v>45.0959754865062</v>
      </c>
      <c r="I3464" s="49" t="n">
        <f aca="false">IF('Model Inputs &amp; Assumptions'!$H$34="Fixed",'Model Inputs &amp; Assumptions'!$I$34*'Model Inputs &amp; Assumptions'!$K$34,IF('Model Inputs &amp; Assumptions'!$H$34="CPM",'Model Inputs &amp; Assumptions'!$I$34*'Model Inputs &amp; Assumptions'!$K$34*C3464/1000,IF('Model Inputs &amp; Assumptions'!$H$34="CPC",'Model Inputs &amp; Assumptions'!$I$34*'Model Inputs &amp; Assumptions'!$K$34*G3464,0)))</f>
        <v>4140.3</v>
      </c>
      <c r="J3464" s="50" t="n">
        <f aca="false">H3464*INDEX('Model Inputs &amp; Assumptions'!$D$40:$D$42,MATCH('Model Inputs &amp; Assumptions'!$L$34,'Model Inputs &amp; Assumptions'!$A$40:$A$42,0))*INDEX('Model Inputs &amp; Assumptions'!$H$40:$H$42,MATCH('Model Inputs &amp; Assumptions'!$L$34,'Model Inputs &amp; Assumptions'!$A$40:$A$42,0))</f>
        <v>324691.023502845</v>
      </c>
      <c r="K3464" s="49" t="n">
        <f aca="false">H3464*INDEX('Model Inputs &amp; Assumptions'!$G$40:$G$42,MATCH('Model Inputs &amp; Assumptions'!$L$34,'Model Inputs &amp; Assumptions'!$A$40:$A$42,0))*INDEX('Model Inputs &amp; Assumptions'!$H$40:$H$42,MATCH('Model Inputs &amp; Assumptions'!$L$34,'Model Inputs &amp; Assumptions'!$A$40:$A$42,0))</f>
        <v>7159.43706823772</v>
      </c>
      <c r="L3464" s="51" t="n">
        <f aca="false">IFERROR(K3464/I3464,0)</f>
        <v>1.72920732029991</v>
      </c>
      <c r="M3464" s="49" t="n">
        <f aca="false">IFERROR(I3464/H3464,0)</f>
        <v>91.8108535259178</v>
      </c>
      <c r="N3464" s="52" t="str">
        <f aca="false">'Model Inputs &amp; Assumptions'!$L$34</f>
        <v>PRD-USIQ</v>
      </c>
      <c r="P3464" s="53" t="n">
        <v>-1.000327</v>
      </c>
      <c r="Q3464" s="53" t="n">
        <v>-0.196885</v>
      </c>
      <c r="R3464" s="53" t="n">
        <v>-0.532391</v>
      </c>
      <c r="S3464" s="53" t="n">
        <v>-0.291479</v>
      </c>
    </row>
    <row r="3465" customFormat="false" ht="15" hidden="false" customHeight="false" outlineLevel="0" collapsed="false">
      <c r="A3465" s="43" t="n">
        <v>462</v>
      </c>
      <c r="B3465" s="44" t="str">
        <f aca="false">'Model Inputs &amp; Assumptions'!$B$34</f>
        <v>Meta — Lookalike Feed Video</v>
      </c>
      <c r="C3465" s="45" t="n">
        <f aca="false">ROUND(MAX(0,'Model Inputs &amp; Assumptions'!$S$34*EXP('Model Inputs &amp; Assumptions'!$T$34*P3465-'Model Inputs &amp; Assumptions'!$T$34^2/2)),0)</f>
        <v>492520</v>
      </c>
      <c r="D3465" s="46" t="n">
        <f aca="false">MIN(1,'Model Inputs &amp; Assumptions'!$U$34*EXP('Model Inputs &amp; Assumptions'!$V$34*Q3465-'Model Inputs &amp; Assumptions'!$V$34^2/2))</f>
        <v>0.193429864407395</v>
      </c>
      <c r="E3465" s="45" t="n">
        <f aca="false">ROUND(C3465*D3465,0)</f>
        <v>95268</v>
      </c>
      <c r="F3465" s="47" t="n">
        <f aca="false">MIN(1,'Model Inputs &amp; Assumptions'!$W$34*EXP('Model Inputs &amp; Assumptions'!$X$34*R3465-'Model Inputs &amp; Assumptions'!$X$34^2/2))</f>
        <v>0.00438478269971052</v>
      </c>
      <c r="G3465" s="45" t="n">
        <f aca="false">ROUND(C3465*F3465,0)</f>
        <v>2160</v>
      </c>
      <c r="H3465" s="48" t="n">
        <f aca="false">MAX(0,(C3465*'Model Inputs &amp; Assumptions'!$N$34+E3465*'Model Inputs &amp; Assumptions'!$O$34+G3465*'Model Inputs &amp; Assumptions'!$P$34)*EXP('Model Inputs &amp; Assumptions'!$Q$34*S3465-'Model Inputs &amp; Assumptions'!$Q$34^2/2))</f>
        <v>38.4606912336003</v>
      </c>
      <c r="I3465" s="49" t="n">
        <f aca="false">IF('Model Inputs &amp; Assumptions'!$H$34="Fixed",'Model Inputs &amp; Assumptions'!$I$34*'Model Inputs &amp; Assumptions'!$K$34,IF('Model Inputs &amp; Assumptions'!$H$34="CPM",'Model Inputs &amp; Assumptions'!$I$34*'Model Inputs &amp; Assumptions'!$K$34*C3465/1000,IF('Model Inputs &amp; Assumptions'!$H$34="CPC",'Model Inputs &amp; Assumptions'!$I$34*'Model Inputs &amp; Assumptions'!$K$34*G3465,0)))</f>
        <v>3996</v>
      </c>
      <c r="J3465" s="50" t="n">
        <f aca="false">H3465*INDEX('Model Inputs &amp; Assumptions'!$D$40:$D$42,MATCH('Model Inputs &amp; Assumptions'!$L$34,'Model Inputs &amp; Assumptions'!$A$40:$A$42,0))*INDEX('Model Inputs &amp; Assumptions'!$H$40:$H$42,MATCH('Model Inputs &amp; Assumptions'!$L$34,'Model Inputs &amp; Assumptions'!$A$40:$A$42,0))</f>
        <v>276916.976881922</v>
      </c>
      <c r="K3465" s="49" t="n">
        <f aca="false">H3465*INDEX('Model Inputs &amp; Assumptions'!$G$40:$G$42,MATCH('Model Inputs &amp; Assumptions'!$L$34,'Model Inputs &amp; Assumptions'!$A$40:$A$42,0))*INDEX('Model Inputs &amp; Assumptions'!$H$40:$H$42,MATCH('Model Inputs &amp; Assumptions'!$L$34,'Model Inputs &amp; Assumptions'!$A$40:$A$42,0))</f>
        <v>6106.01934024638</v>
      </c>
      <c r="L3465" s="51" t="n">
        <f aca="false">IFERROR(K3465/I3465,0)</f>
        <v>1.52803286792952</v>
      </c>
      <c r="M3465" s="49" t="n">
        <f aca="false">IFERROR(I3465/H3465,0)</f>
        <v>103.898288663855</v>
      </c>
      <c r="N3465" s="52" t="str">
        <f aca="false">'Model Inputs &amp; Assumptions'!$L$34</f>
        <v>PRD-USIQ</v>
      </c>
      <c r="P3465" s="53" t="n">
        <v>-0.171467</v>
      </c>
      <c r="Q3465" s="53" t="n">
        <v>-1.002277</v>
      </c>
      <c r="R3465" s="53" t="n">
        <v>-1.65233</v>
      </c>
      <c r="S3465" s="53" t="n">
        <v>-0.71088</v>
      </c>
    </row>
    <row r="3466" customFormat="false" ht="15" hidden="false" customHeight="false" outlineLevel="0" collapsed="false">
      <c r="A3466" s="43" t="n">
        <v>463</v>
      </c>
      <c r="B3466" s="44" t="str">
        <f aca="false">'Model Inputs &amp; Assumptions'!$B$34</f>
        <v>Meta — Lookalike Feed Video</v>
      </c>
      <c r="C3466" s="45" t="n">
        <f aca="false">ROUND(MAX(0,'Model Inputs &amp; Assumptions'!$S$34*EXP('Model Inputs &amp; Assumptions'!$T$34*P3466-'Model Inputs &amp; Assumptions'!$T$34^2/2)),0)</f>
        <v>468377</v>
      </c>
      <c r="D3466" s="46" t="n">
        <f aca="false">MIN(1,'Model Inputs &amp; Assumptions'!$U$34*EXP('Model Inputs &amp; Assumptions'!$V$34*Q3466-'Model Inputs &amp; Assumptions'!$V$34^2/2))</f>
        <v>0.309654620489063</v>
      </c>
      <c r="E3466" s="45" t="n">
        <f aca="false">ROUND(C3466*D3466,0)</f>
        <v>145035</v>
      </c>
      <c r="F3466" s="47" t="n">
        <f aca="false">MIN(1,'Model Inputs &amp; Assumptions'!$W$34*EXP('Model Inputs &amp; Assumptions'!$X$34*R3466-'Model Inputs &amp; Assumptions'!$X$34^2/2))</f>
        <v>0.00561351110526179</v>
      </c>
      <c r="G3466" s="45" t="n">
        <f aca="false">ROUND(C3466*F3466,0)</f>
        <v>2629</v>
      </c>
      <c r="H3466" s="48" t="n">
        <f aca="false">MAX(0,(C3466*'Model Inputs &amp; Assumptions'!$N$34+E3466*'Model Inputs &amp; Assumptions'!$O$34+G3466*'Model Inputs &amp; Assumptions'!$P$34)*EXP('Model Inputs &amp; Assumptions'!$Q$34*S3466-'Model Inputs &amp; Assumptions'!$Q$34^2/2))</f>
        <v>49.2843517542664</v>
      </c>
      <c r="I3466" s="49" t="n">
        <f aca="false">IF('Model Inputs &amp; Assumptions'!$H$34="Fixed",'Model Inputs &amp; Assumptions'!$I$34*'Model Inputs &amp; Assumptions'!$K$34,IF('Model Inputs &amp; Assumptions'!$H$34="CPM",'Model Inputs &amp; Assumptions'!$I$34*'Model Inputs &amp; Assumptions'!$K$34*C3466/1000,IF('Model Inputs &amp; Assumptions'!$H$34="CPC",'Model Inputs &amp; Assumptions'!$I$34*'Model Inputs &amp; Assumptions'!$K$34*G3466,0)))</f>
        <v>4863.65</v>
      </c>
      <c r="J3466" s="50" t="n">
        <f aca="false">H3466*INDEX('Model Inputs &amp; Assumptions'!$D$40:$D$42,MATCH('Model Inputs &amp; Assumptions'!$L$34,'Model Inputs &amp; Assumptions'!$A$40:$A$42,0))*INDEX('Model Inputs &amp; Assumptions'!$H$40:$H$42,MATCH('Model Inputs &amp; Assumptions'!$L$34,'Model Inputs &amp; Assumptions'!$A$40:$A$42,0))</f>
        <v>354847.332630718</v>
      </c>
      <c r="K3466" s="49" t="n">
        <f aca="false">H3466*INDEX('Model Inputs &amp; Assumptions'!$G$40:$G$42,MATCH('Model Inputs &amp; Assumptions'!$L$34,'Model Inputs &amp; Assumptions'!$A$40:$A$42,0))*INDEX('Model Inputs &amp; Assumptions'!$H$40:$H$42,MATCH('Model Inputs &amp; Assumptions'!$L$34,'Model Inputs &amp; Assumptions'!$A$40:$A$42,0))</f>
        <v>7824.38368450733</v>
      </c>
      <c r="L3466" s="51" t="n">
        <f aca="false">IFERROR(K3466/I3466,0)</f>
        <v>1.60874727509326</v>
      </c>
      <c r="M3466" s="49" t="n">
        <f aca="false">IFERROR(I3466/H3466,0)</f>
        <v>98.6854818391513</v>
      </c>
      <c r="N3466" s="52" t="str">
        <f aca="false">'Model Inputs &amp; Assumptions'!$L$34</f>
        <v>PRD-USIQ</v>
      </c>
      <c r="P3466" s="53" t="n">
        <v>-0.422779</v>
      </c>
      <c r="Q3466" s="53" t="n">
        <v>1.938614</v>
      </c>
      <c r="R3466" s="53" t="n">
        <v>-0.279906</v>
      </c>
      <c r="S3466" s="53" t="n">
        <v>-0.665402</v>
      </c>
    </row>
    <row r="3467" customFormat="false" ht="15" hidden="false" customHeight="false" outlineLevel="0" collapsed="false">
      <c r="A3467" s="43" t="n">
        <v>464</v>
      </c>
      <c r="B3467" s="44" t="str">
        <f aca="false">'Model Inputs &amp; Assumptions'!$B$34</f>
        <v>Meta — Lookalike Feed Video</v>
      </c>
      <c r="C3467" s="45" t="n">
        <f aca="false">ROUND(MAX(0,'Model Inputs &amp; Assumptions'!$S$34*EXP('Model Inputs &amp; Assumptions'!$T$34*P3467-'Model Inputs &amp; Assumptions'!$T$34^2/2)),0)</f>
        <v>543441</v>
      </c>
      <c r="D3467" s="46" t="n">
        <f aca="false">MIN(1,'Model Inputs &amp; Assumptions'!$U$34*EXP('Model Inputs &amp; Assumptions'!$V$34*Q3467-'Model Inputs &amp; Assumptions'!$V$34^2/2))</f>
        <v>0.197619121414337</v>
      </c>
      <c r="E3467" s="45" t="n">
        <f aca="false">ROUND(C3467*D3467,0)</f>
        <v>107394</v>
      </c>
      <c r="F3467" s="47" t="n">
        <f aca="false">MIN(1,'Model Inputs &amp; Assumptions'!$W$34*EXP('Model Inputs &amp; Assumptions'!$X$34*R3467-'Model Inputs &amp; Assumptions'!$X$34^2/2))</f>
        <v>0.00609201568201698</v>
      </c>
      <c r="G3467" s="45" t="n">
        <f aca="false">ROUND(C3467*F3467,0)</f>
        <v>3311</v>
      </c>
      <c r="H3467" s="48" t="n">
        <f aca="false">MAX(0,(C3467*'Model Inputs &amp; Assumptions'!$N$34+E3467*'Model Inputs &amp; Assumptions'!$O$34+G3467*'Model Inputs &amp; Assumptions'!$P$34)*EXP('Model Inputs &amp; Assumptions'!$Q$34*S3467-'Model Inputs &amp; Assumptions'!$Q$34^2/2))</f>
        <v>84.4827121775639</v>
      </c>
      <c r="I3467" s="49" t="n">
        <f aca="false">IF('Model Inputs &amp; Assumptions'!$H$34="Fixed",'Model Inputs &amp; Assumptions'!$I$34*'Model Inputs &amp; Assumptions'!$K$34,IF('Model Inputs &amp; Assumptions'!$H$34="CPM",'Model Inputs &amp; Assumptions'!$I$34*'Model Inputs &amp; Assumptions'!$K$34*C3467/1000,IF('Model Inputs &amp; Assumptions'!$H$34="CPC",'Model Inputs &amp; Assumptions'!$I$34*'Model Inputs &amp; Assumptions'!$K$34*G3467,0)))</f>
        <v>6125.35</v>
      </c>
      <c r="J3467" s="50" t="n">
        <f aca="false">H3467*INDEX('Model Inputs &amp; Assumptions'!$D$40:$D$42,MATCH('Model Inputs &amp; Assumptions'!$L$34,'Model Inputs &amp; Assumptions'!$A$40:$A$42,0))*INDEX('Model Inputs &amp; Assumptions'!$H$40:$H$42,MATCH('Model Inputs &amp; Assumptions'!$L$34,'Model Inputs &amp; Assumptions'!$A$40:$A$42,0))</f>
        <v>608275.52767846</v>
      </c>
      <c r="K3467" s="49" t="n">
        <f aca="false">H3467*INDEX('Model Inputs &amp; Assumptions'!$G$40:$G$42,MATCH('Model Inputs &amp; Assumptions'!$L$34,'Model Inputs &amp; Assumptions'!$A$40:$A$42,0))*INDEX('Model Inputs &amp; Assumptions'!$H$40:$H$42,MATCH('Model Inputs &amp; Assumptions'!$L$34,'Model Inputs &amp; Assumptions'!$A$40:$A$42,0))</f>
        <v>13412.47538531</v>
      </c>
      <c r="L3467" s="51" t="n">
        <f aca="false">IFERROR(K3467/I3467,0)</f>
        <v>2.18966677582669</v>
      </c>
      <c r="M3467" s="49" t="n">
        <f aca="false">IFERROR(I3467/H3467,0)</f>
        <v>72.5041827152267</v>
      </c>
      <c r="N3467" s="52" t="str">
        <f aca="false">'Model Inputs &amp; Assumptions'!$L$34</f>
        <v>PRD-USIQ</v>
      </c>
      <c r="P3467" s="53" t="n">
        <v>0.320465</v>
      </c>
      <c r="Q3467" s="53" t="n">
        <v>-0.868361</v>
      </c>
      <c r="R3467" s="53" t="n">
        <v>0.174553</v>
      </c>
      <c r="S3467" s="53" t="n">
        <v>0.539922</v>
      </c>
    </row>
    <row r="3468" customFormat="false" ht="15" hidden="false" customHeight="false" outlineLevel="0" collapsed="false">
      <c r="A3468" s="43" t="n">
        <v>465</v>
      </c>
      <c r="B3468" s="44" t="str">
        <f aca="false">'Model Inputs &amp; Assumptions'!$B$34</f>
        <v>Meta — Lookalike Feed Video</v>
      </c>
      <c r="C3468" s="45" t="n">
        <f aca="false">ROUND(MAX(0,'Model Inputs &amp; Assumptions'!$S$34*EXP('Model Inputs &amp; Assumptions'!$T$34*P3468-'Model Inputs &amp; Assumptions'!$T$34^2/2)),0)</f>
        <v>543269</v>
      </c>
      <c r="D3468" s="46" t="n">
        <f aca="false">MIN(1,'Model Inputs &amp; Assumptions'!$U$34*EXP('Model Inputs &amp; Assumptions'!$V$34*Q3468-'Model Inputs &amp; Assumptions'!$V$34^2/2))</f>
        <v>0.177146697531698</v>
      </c>
      <c r="E3468" s="45" t="n">
        <f aca="false">ROUND(C3468*D3468,0)</f>
        <v>96238</v>
      </c>
      <c r="F3468" s="47" t="n">
        <f aca="false">MIN(1,'Model Inputs &amp; Assumptions'!$W$34*EXP('Model Inputs &amp; Assumptions'!$X$34*R3468-'Model Inputs &amp; Assumptions'!$X$34^2/2))</f>
        <v>0.0049928802578598</v>
      </c>
      <c r="G3468" s="45" t="n">
        <f aca="false">ROUND(C3468*F3468,0)</f>
        <v>2712</v>
      </c>
      <c r="H3468" s="48" t="n">
        <f aca="false">MAX(0,(C3468*'Model Inputs &amp; Assumptions'!$N$34+E3468*'Model Inputs &amp; Assumptions'!$O$34+G3468*'Model Inputs &amp; Assumptions'!$P$34)*EXP('Model Inputs &amp; Assumptions'!$Q$34*S3468-'Model Inputs &amp; Assumptions'!$Q$34^2/2))</f>
        <v>92.1690688618409</v>
      </c>
      <c r="I3468" s="49" t="n">
        <f aca="false">IF('Model Inputs &amp; Assumptions'!$H$34="Fixed",'Model Inputs &amp; Assumptions'!$I$34*'Model Inputs &amp; Assumptions'!$K$34,IF('Model Inputs &amp; Assumptions'!$H$34="CPM",'Model Inputs &amp; Assumptions'!$I$34*'Model Inputs &amp; Assumptions'!$K$34*C3468/1000,IF('Model Inputs &amp; Assumptions'!$H$34="CPC",'Model Inputs &amp; Assumptions'!$I$34*'Model Inputs &amp; Assumptions'!$K$34*G3468,0)))</f>
        <v>5017.2</v>
      </c>
      <c r="J3468" s="50" t="n">
        <f aca="false">H3468*INDEX('Model Inputs &amp; Assumptions'!$D$40:$D$42,MATCH('Model Inputs &amp; Assumptions'!$L$34,'Model Inputs &amp; Assumptions'!$A$40:$A$42,0))*INDEX('Model Inputs &amp; Assumptions'!$H$40:$H$42,MATCH('Model Inputs &amp; Assumptions'!$L$34,'Model Inputs &amp; Assumptions'!$A$40:$A$42,0))</f>
        <v>663617.295805255</v>
      </c>
      <c r="K3468" s="49" t="n">
        <f aca="false">H3468*INDEX('Model Inputs &amp; Assumptions'!$G$40:$G$42,MATCH('Model Inputs &amp; Assumptions'!$L$34,'Model Inputs &amp; Assumptions'!$A$40:$A$42,0))*INDEX('Model Inputs &amp; Assumptions'!$H$40:$H$42,MATCH('Model Inputs &amp; Assumptions'!$L$34,'Model Inputs &amp; Assumptions'!$A$40:$A$42,0))</f>
        <v>14632.7613725059</v>
      </c>
      <c r="L3468" s="51" t="n">
        <f aca="false">IFERROR(K3468/I3468,0)</f>
        <v>2.91651944760142</v>
      </c>
      <c r="M3468" s="49" t="n">
        <f aca="false">IFERROR(I3468/H3468,0)</f>
        <v>54.4347475997686</v>
      </c>
      <c r="N3468" s="52" t="str">
        <f aca="false">'Model Inputs &amp; Assumptions'!$L$34</f>
        <v>PRD-USIQ</v>
      </c>
      <c r="P3468" s="53" t="n">
        <v>0.318882</v>
      </c>
      <c r="Q3468" s="53" t="n">
        <v>-1.551882</v>
      </c>
      <c r="R3468" s="53" t="n">
        <v>-0.930814</v>
      </c>
      <c r="S3468" s="53" t="n">
        <v>1.402106</v>
      </c>
    </row>
    <row r="3469" customFormat="false" ht="15" hidden="false" customHeight="false" outlineLevel="0" collapsed="false">
      <c r="A3469" s="43" t="n">
        <v>466</v>
      </c>
      <c r="B3469" s="44" t="str">
        <f aca="false">'Model Inputs &amp; Assumptions'!$B$34</f>
        <v>Meta — Lookalike Feed Video</v>
      </c>
      <c r="C3469" s="45" t="n">
        <f aca="false">ROUND(MAX(0,'Model Inputs &amp; Assumptions'!$S$34*EXP('Model Inputs &amp; Assumptions'!$T$34*P3469-'Model Inputs &amp; Assumptions'!$T$34^2/2)),0)</f>
        <v>645452</v>
      </c>
      <c r="D3469" s="46" t="n">
        <f aca="false">MIN(1,'Model Inputs &amp; Assumptions'!$U$34*EXP('Model Inputs &amp; Assumptions'!$V$34*Q3469-'Model Inputs &amp; Assumptions'!$V$34^2/2))</f>
        <v>0.172050484610426</v>
      </c>
      <c r="E3469" s="45" t="n">
        <f aca="false">ROUND(C3469*D3469,0)</f>
        <v>111050</v>
      </c>
      <c r="F3469" s="47" t="n">
        <f aca="false">MIN(1,'Model Inputs &amp; Assumptions'!$W$34*EXP('Model Inputs &amp; Assumptions'!$X$34*R3469-'Model Inputs &amp; Assumptions'!$X$34^2/2))</f>
        <v>0.00541965764988123</v>
      </c>
      <c r="G3469" s="45" t="n">
        <f aca="false">ROUND(C3469*F3469,0)</f>
        <v>3498</v>
      </c>
      <c r="H3469" s="48" t="n">
        <f aca="false">MAX(0,(C3469*'Model Inputs &amp; Assumptions'!$N$34+E3469*'Model Inputs &amp; Assumptions'!$O$34+G3469*'Model Inputs &amp; Assumptions'!$P$34)*EXP('Model Inputs &amp; Assumptions'!$Q$34*S3469-'Model Inputs &amp; Assumptions'!$Q$34^2/2))</f>
        <v>78.2044519833918</v>
      </c>
      <c r="I3469" s="49" t="n">
        <f aca="false">IF('Model Inputs &amp; Assumptions'!$H$34="Fixed",'Model Inputs &amp; Assumptions'!$I$34*'Model Inputs &amp; Assumptions'!$K$34,IF('Model Inputs &amp; Assumptions'!$H$34="CPM",'Model Inputs &amp; Assumptions'!$I$34*'Model Inputs &amp; Assumptions'!$K$34*C3469/1000,IF('Model Inputs &amp; Assumptions'!$H$34="CPC",'Model Inputs &amp; Assumptions'!$I$34*'Model Inputs &amp; Assumptions'!$K$34*G3469,0)))</f>
        <v>6471.3</v>
      </c>
      <c r="J3469" s="50" t="n">
        <f aca="false">H3469*INDEX('Model Inputs &amp; Assumptions'!$D$40:$D$42,MATCH('Model Inputs &amp; Assumptions'!$L$34,'Model Inputs &amp; Assumptions'!$A$40:$A$42,0))*INDEX('Model Inputs &amp; Assumptions'!$H$40:$H$42,MATCH('Model Inputs &amp; Assumptions'!$L$34,'Model Inputs &amp; Assumptions'!$A$40:$A$42,0))</f>
        <v>563072.054280421</v>
      </c>
      <c r="K3469" s="49" t="n">
        <f aca="false">H3469*INDEX('Model Inputs &amp; Assumptions'!$G$40:$G$42,MATCH('Model Inputs &amp; Assumptions'!$L$34,'Model Inputs &amp; Assumptions'!$A$40:$A$42,0))*INDEX('Model Inputs &amp; Assumptions'!$H$40:$H$42,MATCH('Model Inputs &amp; Assumptions'!$L$34,'Model Inputs &amp; Assumptions'!$A$40:$A$42,0))</f>
        <v>12415.7387968833</v>
      </c>
      <c r="L3469" s="51" t="n">
        <f aca="false">IFERROR(K3469/I3469,0)</f>
        <v>1.91858495153729</v>
      </c>
      <c r="M3469" s="49" t="n">
        <f aca="false">IFERROR(I3469/H3469,0)</f>
        <v>82.7484859989084</v>
      </c>
      <c r="N3469" s="52" t="str">
        <f aca="false">'Model Inputs &amp; Assumptions'!$L$34</f>
        <v>PRD-USIQ</v>
      </c>
      <c r="P3469" s="53" t="n">
        <v>1.18061</v>
      </c>
      <c r="Q3469" s="53" t="n">
        <v>-1.734321</v>
      </c>
      <c r="R3469" s="53" t="n">
        <v>-0.475149</v>
      </c>
      <c r="S3469" s="53" t="n">
        <v>0.134548</v>
      </c>
    </row>
    <row r="3470" customFormat="false" ht="15" hidden="false" customHeight="false" outlineLevel="0" collapsed="false">
      <c r="A3470" s="43" t="n">
        <v>467</v>
      </c>
      <c r="B3470" s="44" t="str">
        <f aca="false">'Model Inputs &amp; Assumptions'!$B$34</f>
        <v>Meta — Lookalike Feed Video</v>
      </c>
      <c r="C3470" s="45" t="n">
        <f aca="false">ROUND(MAX(0,'Model Inputs &amp; Assumptions'!$S$34*EXP('Model Inputs &amp; Assumptions'!$T$34*P3470-'Model Inputs &amp; Assumptions'!$T$34^2/2)),0)</f>
        <v>664947</v>
      </c>
      <c r="D3470" s="46" t="n">
        <f aca="false">MIN(1,'Model Inputs &amp; Assumptions'!$U$34*EXP('Model Inputs &amp; Assumptions'!$V$34*Q3470-'Model Inputs &amp; Assumptions'!$V$34^2/2))</f>
        <v>0.246682486250889</v>
      </c>
      <c r="E3470" s="45" t="n">
        <f aca="false">ROUND(C3470*D3470,0)</f>
        <v>164031</v>
      </c>
      <c r="F3470" s="47" t="n">
        <f aca="false">MIN(1,'Model Inputs &amp; Assumptions'!$W$34*EXP('Model Inputs &amp; Assumptions'!$X$34*R3470-'Model Inputs &amp; Assumptions'!$X$34^2/2))</f>
        <v>0.00611509258234459</v>
      </c>
      <c r="G3470" s="45" t="n">
        <f aca="false">ROUND(C3470*F3470,0)</f>
        <v>4066</v>
      </c>
      <c r="H3470" s="48" t="n">
        <f aca="false">MAX(0,(C3470*'Model Inputs &amp; Assumptions'!$N$34+E3470*'Model Inputs &amp; Assumptions'!$O$34+G3470*'Model Inputs &amp; Assumptions'!$P$34)*EXP('Model Inputs &amp; Assumptions'!$Q$34*S3470-'Model Inputs &amp; Assumptions'!$Q$34^2/2))</f>
        <v>114.821213331434</v>
      </c>
      <c r="I3470" s="49" t="n">
        <f aca="false">IF('Model Inputs &amp; Assumptions'!$H$34="Fixed",'Model Inputs &amp; Assumptions'!$I$34*'Model Inputs &amp; Assumptions'!$K$34,IF('Model Inputs &amp; Assumptions'!$H$34="CPM",'Model Inputs &amp; Assumptions'!$I$34*'Model Inputs &amp; Assumptions'!$K$34*C3470/1000,IF('Model Inputs &amp; Assumptions'!$H$34="CPC",'Model Inputs &amp; Assumptions'!$I$34*'Model Inputs &amp; Assumptions'!$K$34*G3470,0)))</f>
        <v>7522.1</v>
      </c>
      <c r="J3470" s="50" t="n">
        <f aca="false">H3470*INDEX('Model Inputs &amp; Assumptions'!$D$40:$D$42,MATCH('Model Inputs &amp; Assumptions'!$L$34,'Model Inputs &amp; Assumptions'!$A$40:$A$42,0))*INDEX('Model Inputs &amp; Assumptions'!$H$40:$H$42,MATCH('Model Inputs &amp; Assumptions'!$L$34,'Model Inputs &amp; Assumptions'!$A$40:$A$42,0))</f>
        <v>826712.735986325</v>
      </c>
      <c r="K3470" s="49" t="n">
        <f aca="false">H3470*INDEX('Model Inputs &amp; Assumptions'!$G$40:$G$42,MATCH('Model Inputs &amp; Assumptions'!$L$34,'Model Inputs &amp; Assumptions'!$A$40:$A$42,0))*INDEX('Model Inputs &amp; Assumptions'!$H$40:$H$42,MATCH('Model Inputs &amp; Assumptions'!$L$34,'Model Inputs &amp; Assumptions'!$A$40:$A$42,0))</f>
        <v>18229.0158284985</v>
      </c>
      <c r="L3470" s="51" t="n">
        <f aca="false">IFERROR(K3470/I3470,0)</f>
        <v>2.42339450798294</v>
      </c>
      <c r="M3470" s="49" t="n">
        <f aca="false">IFERROR(I3470/H3470,0)</f>
        <v>65.5114136295294</v>
      </c>
      <c r="N3470" s="52" t="str">
        <f aca="false">'Model Inputs &amp; Assumptions'!$L$34</f>
        <v>PRD-USIQ</v>
      </c>
      <c r="P3470" s="53" t="n">
        <v>1.329391</v>
      </c>
      <c r="Q3470" s="53" t="n">
        <v>0.517642</v>
      </c>
      <c r="R3470" s="53" t="n">
        <v>0.195558</v>
      </c>
      <c r="S3470" s="53" t="n">
        <v>0.770579</v>
      </c>
    </row>
    <row r="3471" customFormat="false" ht="15" hidden="false" customHeight="false" outlineLevel="0" collapsed="false">
      <c r="A3471" s="43" t="n">
        <v>468</v>
      </c>
      <c r="B3471" s="44" t="str">
        <f aca="false">'Model Inputs &amp; Assumptions'!$B$34</f>
        <v>Meta — Lookalike Feed Video</v>
      </c>
      <c r="C3471" s="45" t="n">
        <f aca="false">ROUND(MAX(0,'Model Inputs &amp; Assumptions'!$S$34*EXP('Model Inputs &amp; Assumptions'!$T$34*P3471-'Model Inputs &amp; Assumptions'!$T$34^2/2)),0)</f>
        <v>613202</v>
      </c>
      <c r="D3471" s="46" t="n">
        <f aca="false">MIN(1,'Model Inputs &amp; Assumptions'!$U$34*EXP('Model Inputs &amp; Assumptions'!$V$34*Q3471-'Model Inputs &amp; Assumptions'!$V$34^2/2))</f>
        <v>0.183503817101843</v>
      </c>
      <c r="E3471" s="45" t="n">
        <f aca="false">ROUND(C3471*D3471,0)</f>
        <v>112525</v>
      </c>
      <c r="F3471" s="47" t="n">
        <f aca="false">MIN(1,'Model Inputs &amp; Assumptions'!$W$34*EXP('Model Inputs &amp; Assumptions'!$X$34*R3471-'Model Inputs &amp; Assumptions'!$X$34^2/2))</f>
        <v>0.00421023922545367</v>
      </c>
      <c r="G3471" s="45" t="n">
        <f aca="false">ROUND(C3471*F3471,0)</f>
        <v>2582</v>
      </c>
      <c r="H3471" s="48" t="n">
        <f aca="false">MAX(0,(C3471*'Model Inputs &amp; Assumptions'!$N$34+E3471*'Model Inputs &amp; Assumptions'!$O$34+G3471*'Model Inputs &amp; Assumptions'!$P$34)*EXP('Model Inputs &amp; Assumptions'!$Q$34*S3471-'Model Inputs &amp; Assumptions'!$Q$34^2/2))</f>
        <v>36.9656226182537</v>
      </c>
      <c r="I3471" s="49" t="n">
        <f aca="false">IF('Model Inputs &amp; Assumptions'!$H$34="Fixed",'Model Inputs &amp; Assumptions'!$I$34*'Model Inputs &amp; Assumptions'!$K$34,IF('Model Inputs &amp; Assumptions'!$H$34="CPM",'Model Inputs &amp; Assumptions'!$I$34*'Model Inputs &amp; Assumptions'!$K$34*C3471/1000,IF('Model Inputs &amp; Assumptions'!$H$34="CPC",'Model Inputs &amp; Assumptions'!$I$34*'Model Inputs &amp; Assumptions'!$K$34*G3471,0)))</f>
        <v>4776.7</v>
      </c>
      <c r="J3471" s="50" t="n">
        <f aca="false">H3471*INDEX('Model Inputs &amp; Assumptions'!$D$40:$D$42,MATCH('Model Inputs &amp; Assumptions'!$L$34,'Model Inputs &amp; Assumptions'!$A$40:$A$42,0))*INDEX('Model Inputs &amp; Assumptions'!$H$40:$H$42,MATCH('Model Inputs &amp; Assumptions'!$L$34,'Model Inputs &amp; Assumptions'!$A$40:$A$42,0))</f>
        <v>266152.482851427</v>
      </c>
      <c r="K3471" s="49" t="n">
        <f aca="false">H3471*INDEX('Model Inputs &amp; Assumptions'!$G$40:$G$42,MATCH('Model Inputs &amp; Assumptions'!$L$34,'Model Inputs &amp; Assumptions'!$A$40:$A$42,0))*INDEX('Model Inputs &amp; Assumptions'!$H$40:$H$42,MATCH('Model Inputs &amp; Assumptions'!$L$34,'Model Inputs &amp; Assumptions'!$A$40:$A$42,0))</f>
        <v>5868.66224687396</v>
      </c>
      <c r="L3471" s="51" t="n">
        <f aca="false">IFERROR(K3471/I3471,0)</f>
        <v>1.22860180603219</v>
      </c>
      <c r="M3471" s="49" t="n">
        <f aca="false">IFERROR(I3471/H3471,0)</f>
        <v>129.220060739387</v>
      </c>
      <c r="N3471" s="52" t="str">
        <f aca="false">'Model Inputs &amp; Assumptions'!$L$34</f>
        <v>PRD-USIQ</v>
      </c>
      <c r="P3471" s="53" t="n">
        <v>0.92433</v>
      </c>
      <c r="Q3471" s="53" t="n">
        <v>-1.331524</v>
      </c>
      <c r="R3471" s="53" t="n">
        <v>-1.878</v>
      </c>
      <c r="S3471" s="53" t="n">
        <v>-1.386873</v>
      </c>
    </row>
    <row r="3472" customFormat="false" ht="15" hidden="false" customHeight="false" outlineLevel="0" collapsed="false">
      <c r="A3472" s="43" t="n">
        <v>469</v>
      </c>
      <c r="B3472" s="44" t="str">
        <f aca="false">'Model Inputs &amp; Assumptions'!$B$34</f>
        <v>Meta — Lookalike Feed Video</v>
      </c>
      <c r="C3472" s="45" t="n">
        <f aca="false">ROUND(MAX(0,'Model Inputs &amp; Assumptions'!$S$34*EXP('Model Inputs &amp; Assumptions'!$T$34*P3472-'Model Inputs &amp; Assumptions'!$T$34^2/2)),0)</f>
        <v>526311</v>
      </c>
      <c r="D3472" s="46" t="n">
        <f aca="false">MIN(1,'Model Inputs &amp; Assumptions'!$U$34*EXP('Model Inputs &amp; Assumptions'!$V$34*Q3472-'Model Inputs &amp; Assumptions'!$V$34^2/2))</f>
        <v>0.309013433147845</v>
      </c>
      <c r="E3472" s="45" t="n">
        <f aca="false">ROUND(C3472*D3472,0)</f>
        <v>162637</v>
      </c>
      <c r="F3472" s="47" t="n">
        <f aca="false">MIN(1,'Model Inputs &amp; Assumptions'!$W$34*EXP('Model Inputs &amp; Assumptions'!$X$34*R3472-'Model Inputs &amp; Assumptions'!$X$34^2/2))</f>
        <v>0.0065556259800288</v>
      </c>
      <c r="G3472" s="45" t="n">
        <f aca="false">ROUND(C3472*F3472,0)</f>
        <v>3450</v>
      </c>
      <c r="H3472" s="48" t="n">
        <f aca="false">MAX(0,(C3472*'Model Inputs &amp; Assumptions'!$N$34+E3472*'Model Inputs &amp; Assumptions'!$O$34+G3472*'Model Inputs &amp; Assumptions'!$P$34)*EXP('Model Inputs &amp; Assumptions'!$Q$34*S3472-'Model Inputs &amp; Assumptions'!$Q$34^2/2))</f>
        <v>86.6007864442326</v>
      </c>
      <c r="I3472" s="49" t="n">
        <f aca="false">IF('Model Inputs &amp; Assumptions'!$H$34="Fixed",'Model Inputs &amp; Assumptions'!$I$34*'Model Inputs &amp; Assumptions'!$K$34,IF('Model Inputs &amp; Assumptions'!$H$34="CPM",'Model Inputs &amp; Assumptions'!$I$34*'Model Inputs &amp; Assumptions'!$K$34*C3472/1000,IF('Model Inputs &amp; Assumptions'!$H$34="CPC",'Model Inputs &amp; Assumptions'!$I$34*'Model Inputs &amp; Assumptions'!$K$34*G3472,0)))</f>
        <v>6382.5</v>
      </c>
      <c r="J3472" s="50" t="n">
        <f aca="false">H3472*INDEX('Model Inputs &amp; Assumptions'!$D$40:$D$42,MATCH('Model Inputs &amp; Assumptions'!$L$34,'Model Inputs &amp; Assumptions'!$A$40:$A$42,0))*INDEX('Model Inputs &amp; Assumptions'!$H$40:$H$42,MATCH('Model Inputs &amp; Assumptions'!$L$34,'Model Inputs &amp; Assumptions'!$A$40:$A$42,0))</f>
        <v>623525.662398475</v>
      </c>
      <c r="K3472" s="49" t="n">
        <f aca="false">H3472*INDEX('Model Inputs &amp; Assumptions'!$G$40:$G$42,MATCH('Model Inputs &amp; Assumptions'!$L$34,'Model Inputs &amp; Assumptions'!$A$40:$A$42,0))*INDEX('Model Inputs &amp; Assumptions'!$H$40:$H$42,MATCH('Model Inputs &amp; Assumptions'!$L$34,'Model Inputs &amp; Assumptions'!$A$40:$A$42,0))</f>
        <v>13748.7408558864</v>
      </c>
      <c r="L3472" s="51" t="n">
        <f aca="false">IFERROR(K3472/I3472,0)</f>
        <v>2.15413096057757</v>
      </c>
      <c r="M3472" s="49" t="n">
        <f aca="false">IFERROR(I3472/H3472,0)</f>
        <v>73.7002544902993</v>
      </c>
      <c r="N3472" s="52" t="str">
        <f aca="false">'Model Inputs &amp; Assumptions'!$L$34</f>
        <v>PRD-USIQ</v>
      </c>
      <c r="P3472" s="53" t="n">
        <v>0.160314</v>
      </c>
      <c r="Q3472" s="53" t="n">
        <v>1.925659</v>
      </c>
      <c r="R3472" s="53" t="n">
        <v>0.582023</v>
      </c>
      <c r="S3472" s="53" t="n">
        <v>0.330175</v>
      </c>
    </row>
    <row r="3473" customFormat="false" ht="15" hidden="false" customHeight="false" outlineLevel="0" collapsed="false">
      <c r="A3473" s="43" t="n">
        <v>470</v>
      </c>
      <c r="B3473" s="44" t="str">
        <f aca="false">'Model Inputs &amp; Assumptions'!$B$34</f>
        <v>Meta — Lookalike Feed Video</v>
      </c>
      <c r="C3473" s="45" t="n">
        <f aca="false">ROUND(MAX(0,'Model Inputs &amp; Assumptions'!$S$34*EXP('Model Inputs &amp; Assumptions'!$T$34*P3473-'Model Inputs &amp; Assumptions'!$T$34^2/2)),0)</f>
        <v>497320</v>
      </c>
      <c r="D3473" s="46" t="n">
        <f aca="false">MIN(1,'Model Inputs &amp; Assumptions'!$U$34*EXP('Model Inputs &amp; Assumptions'!$V$34*Q3473-'Model Inputs &amp; Assumptions'!$V$34^2/2))</f>
        <v>0.267977962840595</v>
      </c>
      <c r="E3473" s="45" t="n">
        <f aca="false">ROUND(C3473*D3473,0)</f>
        <v>133271</v>
      </c>
      <c r="F3473" s="47" t="n">
        <f aca="false">MIN(1,'Model Inputs &amp; Assumptions'!$W$34*EXP('Model Inputs &amp; Assumptions'!$X$34*R3473-'Model Inputs &amp; Assumptions'!$X$34^2/2))</f>
        <v>0.00588142082266068</v>
      </c>
      <c r="G3473" s="45" t="n">
        <f aca="false">ROUND(C3473*F3473,0)</f>
        <v>2925</v>
      </c>
      <c r="H3473" s="48" t="n">
        <f aca="false">MAX(0,(C3473*'Model Inputs &amp; Assumptions'!$N$34+E3473*'Model Inputs &amp; Assumptions'!$O$34+G3473*'Model Inputs &amp; Assumptions'!$P$34)*EXP('Model Inputs &amp; Assumptions'!$Q$34*S3473-'Model Inputs &amp; Assumptions'!$Q$34^2/2))</f>
        <v>37.5364534206135</v>
      </c>
      <c r="I3473" s="49" t="n">
        <f aca="false">IF('Model Inputs &amp; Assumptions'!$H$34="Fixed",'Model Inputs &amp; Assumptions'!$I$34*'Model Inputs &amp; Assumptions'!$K$34,IF('Model Inputs &amp; Assumptions'!$H$34="CPM",'Model Inputs &amp; Assumptions'!$I$34*'Model Inputs &amp; Assumptions'!$K$34*C3473/1000,IF('Model Inputs &amp; Assumptions'!$H$34="CPC",'Model Inputs &amp; Assumptions'!$I$34*'Model Inputs &amp; Assumptions'!$K$34*G3473,0)))</f>
        <v>5411.25</v>
      </c>
      <c r="J3473" s="50" t="n">
        <f aca="false">H3473*INDEX('Model Inputs &amp; Assumptions'!$D$40:$D$42,MATCH('Model Inputs &amp; Assumptions'!$L$34,'Model Inputs &amp; Assumptions'!$A$40:$A$42,0))*INDEX('Model Inputs &amp; Assumptions'!$H$40:$H$42,MATCH('Model Inputs &amp; Assumptions'!$L$34,'Model Inputs &amp; Assumptions'!$A$40:$A$42,0))</f>
        <v>270262.464628417</v>
      </c>
      <c r="K3473" s="49" t="n">
        <f aca="false">H3473*INDEX('Model Inputs &amp; Assumptions'!$G$40:$G$42,MATCH('Model Inputs &amp; Assumptions'!$L$34,'Model Inputs &amp; Assumptions'!$A$40:$A$42,0))*INDEX('Model Inputs &amp; Assumptions'!$H$40:$H$42,MATCH('Model Inputs &amp; Assumptions'!$L$34,'Model Inputs &amp; Assumptions'!$A$40:$A$42,0))</f>
        <v>5959.2873450566</v>
      </c>
      <c r="L3473" s="51" t="n">
        <f aca="false">IFERROR(K3473/I3473,0)</f>
        <v>1.10127740264386</v>
      </c>
      <c r="M3473" s="49" t="n">
        <f aca="false">IFERROR(I3473/H3473,0)</f>
        <v>144.159863462976</v>
      </c>
      <c r="N3473" s="52" t="str">
        <f aca="false">'Model Inputs &amp; Assumptions'!$L$34</f>
        <v>PRD-USIQ</v>
      </c>
      <c r="P3473" s="53" t="n">
        <v>-0.122972</v>
      </c>
      <c r="Q3473" s="53" t="n">
        <v>1.035159</v>
      </c>
      <c r="R3473" s="53" t="n">
        <v>-0.020895</v>
      </c>
      <c r="S3473" s="53" t="n">
        <v>-1.749795</v>
      </c>
    </row>
    <row r="3474" customFormat="false" ht="15" hidden="false" customHeight="false" outlineLevel="0" collapsed="false">
      <c r="A3474" s="43" t="n">
        <v>471</v>
      </c>
      <c r="B3474" s="44" t="str">
        <f aca="false">'Model Inputs &amp; Assumptions'!$B$34</f>
        <v>Meta — Lookalike Feed Video</v>
      </c>
      <c r="C3474" s="45" t="n">
        <f aca="false">ROUND(MAX(0,'Model Inputs &amp; Assumptions'!$S$34*EXP('Model Inputs &amp; Assumptions'!$T$34*P3474-'Model Inputs &amp; Assumptions'!$T$34^2/2)),0)</f>
        <v>481289</v>
      </c>
      <c r="D3474" s="46" t="n">
        <f aca="false">MIN(1,'Model Inputs &amp; Assumptions'!$U$34*EXP('Model Inputs &amp; Assumptions'!$V$34*Q3474-'Model Inputs &amp; Assumptions'!$V$34^2/2))</f>
        <v>0.143560965105986</v>
      </c>
      <c r="E3474" s="45" t="n">
        <f aca="false">ROUND(C3474*D3474,0)</f>
        <v>69094</v>
      </c>
      <c r="F3474" s="47" t="n">
        <f aca="false">MIN(1,'Model Inputs &amp; Assumptions'!$W$34*EXP('Model Inputs &amp; Assumptions'!$X$34*R3474-'Model Inputs &amp; Assumptions'!$X$34^2/2))</f>
        <v>0.00684615163455522</v>
      </c>
      <c r="G3474" s="45" t="n">
        <f aca="false">ROUND(C3474*F3474,0)</f>
        <v>3295</v>
      </c>
      <c r="H3474" s="48" t="n">
        <f aca="false">MAX(0,(C3474*'Model Inputs &amp; Assumptions'!$N$34+E3474*'Model Inputs &amp; Assumptions'!$O$34+G3474*'Model Inputs &amp; Assumptions'!$P$34)*EXP('Model Inputs &amp; Assumptions'!$Q$34*S3474-'Model Inputs &amp; Assumptions'!$Q$34^2/2))</f>
        <v>98.9121130870279</v>
      </c>
      <c r="I3474" s="49" t="n">
        <f aca="false">IF('Model Inputs &amp; Assumptions'!$H$34="Fixed",'Model Inputs &amp; Assumptions'!$I$34*'Model Inputs &amp; Assumptions'!$K$34,IF('Model Inputs &amp; Assumptions'!$H$34="CPM",'Model Inputs &amp; Assumptions'!$I$34*'Model Inputs &amp; Assumptions'!$K$34*C3474/1000,IF('Model Inputs &amp; Assumptions'!$H$34="CPC",'Model Inputs &amp; Assumptions'!$I$34*'Model Inputs &amp; Assumptions'!$K$34*G3474,0)))</f>
        <v>6095.75</v>
      </c>
      <c r="J3474" s="50" t="n">
        <f aca="false">H3474*INDEX('Model Inputs &amp; Assumptions'!$D$40:$D$42,MATCH('Model Inputs &amp; Assumptions'!$L$34,'Model Inputs &amp; Assumptions'!$A$40:$A$42,0))*INDEX('Model Inputs &amp; Assumptions'!$H$40:$H$42,MATCH('Model Inputs &amp; Assumptions'!$L$34,'Model Inputs &amp; Assumptions'!$A$40:$A$42,0))</f>
        <v>712167.214226601</v>
      </c>
      <c r="K3474" s="49" t="n">
        <f aca="false">H3474*INDEX('Model Inputs &amp; Assumptions'!$G$40:$G$42,MATCH('Model Inputs &amp; Assumptions'!$L$34,'Model Inputs &amp; Assumptions'!$A$40:$A$42,0))*INDEX('Model Inputs &amp; Assumptions'!$H$40:$H$42,MATCH('Model Inputs &amp; Assumptions'!$L$34,'Model Inputs &amp; Assumptions'!$A$40:$A$42,0))</f>
        <v>15703.2870736965</v>
      </c>
      <c r="L3474" s="51" t="n">
        <f aca="false">IFERROR(K3474/I3474,0)</f>
        <v>2.57610418302859</v>
      </c>
      <c r="M3474" s="49" t="n">
        <f aca="false">IFERROR(I3474/H3474,0)</f>
        <v>61.6279423192249</v>
      </c>
      <c r="N3474" s="52" t="str">
        <f aca="false">'Model Inputs &amp; Assumptions'!$L$34</f>
        <v>PRD-USIQ</v>
      </c>
      <c r="P3474" s="53" t="n">
        <v>-0.286804</v>
      </c>
      <c r="Q3474" s="53" t="n">
        <v>-2.865747</v>
      </c>
      <c r="R3474" s="53" t="n">
        <v>0.822929</v>
      </c>
      <c r="S3474" s="53" t="n">
        <v>1.177339</v>
      </c>
    </row>
    <row r="3475" customFormat="false" ht="15" hidden="false" customHeight="false" outlineLevel="0" collapsed="false">
      <c r="A3475" s="43" t="n">
        <v>472</v>
      </c>
      <c r="B3475" s="44" t="str">
        <f aca="false">'Model Inputs &amp; Assumptions'!$B$34</f>
        <v>Meta — Lookalike Feed Video</v>
      </c>
      <c r="C3475" s="45" t="n">
        <f aca="false">ROUND(MAX(0,'Model Inputs &amp; Assumptions'!$S$34*EXP('Model Inputs &amp; Assumptions'!$T$34*P3475-'Model Inputs &amp; Assumptions'!$T$34^2/2)),0)</f>
        <v>396357</v>
      </c>
      <c r="D3475" s="46" t="n">
        <f aca="false">MIN(1,'Model Inputs &amp; Assumptions'!$U$34*EXP('Model Inputs &amp; Assumptions'!$V$34*Q3475-'Model Inputs &amp; Assumptions'!$V$34^2/2))</f>
        <v>0.177989163446213</v>
      </c>
      <c r="E3475" s="45" t="n">
        <f aca="false">ROUND(C3475*D3475,0)</f>
        <v>70547</v>
      </c>
      <c r="F3475" s="47" t="n">
        <f aca="false">MIN(1,'Model Inputs &amp; Assumptions'!$W$34*EXP('Model Inputs &amp; Assumptions'!$X$34*R3475-'Model Inputs &amp; Assumptions'!$X$34^2/2))</f>
        <v>0.00533729211201738</v>
      </c>
      <c r="G3475" s="45" t="n">
        <f aca="false">ROUND(C3475*F3475,0)</f>
        <v>2115</v>
      </c>
      <c r="H3475" s="48" t="n">
        <f aca="false">MAX(0,(C3475*'Model Inputs &amp; Assumptions'!$N$34+E3475*'Model Inputs &amp; Assumptions'!$O$34+G3475*'Model Inputs &amp; Assumptions'!$P$34)*EXP('Model Inputs &amp; Assumptions'!$Q$34*S3475-'Model Inputs &amp; Assumptions'!$Q$34^2/2))</f>
        <v>71.9813384555183</v>
      </c>
      <c r="I3475" s="49" t="n">
        <f aca="false">IF('Model Inputs &amp; Assumptions'!$H$34="Fixed",'Model Inputs &amp; Assumptions'!$I$34*'Model Inputs &amp; Assumptions'!$K$34,IF('Model Inputs &amp; Assumptions'!$H$34="CPM",'Model Inputs &amp; Assumptions'!$I$34*'Model Inputs &amp; Assumptions'!$K$34*C3475/1000,IF('Model Inputs &amp; Assumptions'!$H$34="CPC",'Model Inputs &amp; Assumptions'!$I$34*'Model Inputs &amp; Assumptions'!$K$34*G3475,0)))</f>
        <v>3912.75</v>
      </c>
      <c r="J3475" s="50" t="n">
        <f aca="false">H3475*INDEX('Model Inputs &amp; Assumptions'!$D$40:$D$42,MATCH('Model Inputs &amp; Assumptions'!$L$34,'Model Inputs &amp; Assumptions'!$A$40:$A$42,0))*INDEX('Model Inputs &amp; Assumptions'!$H$40:$H$42,MATCH('Model Inputs &amp; Assumptions'!$L$34,'Model Inputs &amp; Assumptions'!$A$40:$A$42,0))</f>
        <v>518265.636879732</v>
      </c>
      <c r="K3475" s="49" t="n">
        <f aca="false">H3475*INDEX('Model Inputs &amp; Assumptions'!$G$40:$G$42,MATCH('Model Inputs &amp; Assumptions'!$L$34,'Model Inputs &amp; Assumptions'!$A$40:$A$42,0))*INDEX('Model Inputs &amp; Assumptions'!$H$40:$H$42,MATCH('Model Inputs &amp; Assumptions'!$L$34,'Model Inputs &amp; Assumptions'!$A$40:$A$42,0))</f>
        <v>11427.7572931981</v>
      </c>
      <c r="L3475" s="51" t="n">
        <f aca="false">IFERROR(K3475/I3475,0)</f>
        <v>2.92064591226071</v>
      </c>
      <c r="M3475" s="49" t="n">
        <f aca="false">IFERROR(I3475/H3475,0)</f>
        <v>54.3578389059538</v>
      </c>
      <c r="N3475" s="52" t="str">
        <f aca="false">'Model Inputs &amp; Assumptions'!$L$34</f>
        <v>PRD-USIQ</v>
      </c>
      <c r="P3475" s="53" t="n">
        <v>-1.257573</v>
      </c>
      <c r="Q3475" s="53" t="n">
        <v>-1.522229</v>
      </c>
      <c r="R3475" s="53" t="n">
        <v>-0.560228</v>
      </c>
      <c r="S3475" s="53" t="n">
        <v>1.429932</v>
      </c>
    </row>
    <row r="3476" customFormat="false" ht="15" hidden="false" customHeight="false" outlineLevel="0" collapsed="false">
      <c r="A3476" s="43" t="n">
        <v>473</v>
      </c>
      <c r="B3476" s="44" t="str">
        <f aca="false">'Model Inputs &amp; Assumptions'!$B$34</f>
        <v>Meta — Lookalike Feed Video</v>
      </c>
      <c r="C3476" s="45" t="n">
        <f aca="false">ROUND(MAX(0,'Model Inputs &amp; Assumptions'!$S$34*EXP('Model Inputs &amp; Assumptions'!$T$34*P3476-'Model Inputs &amp; Assumptions'!$T$34^2/2)),0)</f>
        <v>411757</v>
      </c>
      <c r="D3476" s="46" t="n">
        <f aca="false">MIN(1,'Model Inputs &amp; Assumptions'!$U$34*EXP('Model Inputs &amp; Assumptions'!$V$34*Q3476-'Model Inputs &amp; Assumptions'!$V$34^2/2))</f>
        <v>0.209174750400309</v>
      </c>
      <c r="E3476" s="45" t="n">
        <f aca="false">ROUND(C3476*D3476,0)</f>
        <v>86129</v>
      </c>
      <c r="F3476" s="47" t="n">
        <f aca="false">MIN(1,'Model Inputs &amp; Assumptions'!$W$34*EXP('Model Inputs &amp; Assumptions'!$X$34*R3476-'Model Inputs &amp; Assumptions'!$X$34^2/2))</f>
        <v>0.00748829196320689</v>
      </c>
      <c r="G3476" s="45" t="n">
        <f aca="false">ROUND(C3476*F3476,0)</f>
        <v>3083</v>
      </c>
      <c r="H3476" s="48" t="n">
        <f aca="false">MAX(0,(C3476*'Model Inputs &amp; Assumptions'!$N$34+E3476*'Model Inputs &amp; Assumptions'!$O$34+G3476*'Model Inputs &amp; Assumptions'!$P$34)*EXP('Model Inputs &amp; Assumptions'!$Q$34*S3476-'Model Inputs &amp; Assumptions'!$Q$34^2/2))</f>
        <v>62.9853698060887</v>
      </c>
      <c r="I3476" s="49" t="n">
        <f aca="false">IF('Model Inputs &amp; Assumptions'!$H$34="Fixed",'Model Inputs &amp; Assumptions'!$I$34*'Model Inputs &amp; Assumptions'!$K$34,IF('Model Inputs &amp; Assumptions'!$H$34="CPM",'Model Inputs &amp; Assumptions'!$I$34*'Model Inputs &amp; Assumptions'!$K$34*C3476/1000,IF('Model Inputs &amp; Assumptions'!$H$34="CPC",'Model Inputs &amp; Assumptions'!$I$34*'Model Inputs &amp; Assumptions'!$K$34*G3476,0)))</f>
        <v>5703.55</v>
      </c>
      <c r="J3476" s="50" t="n">
        <f aca="false">H3476*INDEX('Model Inputs &amp; Assumptions'!$D$40:$D$42,MATCH('Model Inputs &amp; Assumptions'!$L$34,'Model Inputs &amp; Assumptions'!$A$40:$A$42,0))*INDEX('Model Inputs &amp; Assumptions'!$H$40:$H$42,MATCH('Model Inputs &amp; Assumptions'!$L$34,'Model Inputs &amp; Assumptions'!$A$40:$A$42,0))</f>
        <v>453494.662603839</v>
      </c>
      <c r="K3476" s="49" t="n">
        <f aca="false">H3476*INDEX('Model Inputs &amp; Assumptions'!$G$40:$G$42,MATCH('Model Inputs &amp; Assumptions'!$L$34,'Model Inputs &amp; Assumptions'!$A$40:$A$42,0))*INDEX('Model Inputs &amp; Assumptions'!$H$40:$H$42,MATCH('Model Inputs &amp; Assumptions'!$L$34,'Model Inputs &amp; Assumptions'!$A$40:$A$42,0))</f>
        <v>9999.55731041465</v>
      </c>
      <c r="L3476" s="51" t="n">
        <f aca="false">IFERROR(K3476/I3476,0)</f>
        <v>1.75321638460514</v>
      </c>
      <c r="M3476" s="49" t="n">
        <f aca="false">IFERROR(I3476/H3476,0)</f>
        <v>90.5535685121697</v>
      </c>
      <c r="N3476" s="52" t="str">
        <f aca="false">'Model Inputs &amp; Assumptions'!$L$34</f>
        <v>PRD-USIQ</v>
      </c>
      <c r="P3476" s="53" t="n">
        <v>-1.066974</v>
      </c>
      <c r="Q3476" s="53" t="n">
        <v>-0.513183</v>
      </c>
      <c r="R3476" s="53" t="n">
        <v>1.321007</v>
      </c>
      <c r="S3476" s="53" t="n">
        <v>-0.10458</v>
      </c>
    </row>
    <row r="3477" customFormat="false" ht="15" hidden="false" customHeight="false" outlineLevel="0" collapsed="false">
      <c r="A3477" s="43" t="n">
        <v>474</v>
      </c>
      <c r="B3477" s="44" t="str">
        <f aca="false">'Model Inputs &amp; Assumptions'!$B$34</f>
        <v>Meta — Lookalike Feed Video</v>
      </c>
      <c r="C3477" s="45" t="n">
        <f aca="false">ROUND(MAX(0,'Model Inputs &amp; Assumptions'!$S$34*EXP('Model Inputs &amp; Assumptions'!$T$34*P3477-'Model Inputs &amp; Assumptions'!$T$34^2/2)),0)</f>
        <v>622650</v>
      </c>
      <c r="D3477" s="46" t="n">
        <f aca="false">MIN(1,'Model Inputs &amp; Assumptions'!$U$34*EXP('Model Inputs &amp; Assumptions'!$V$34*Q3477-'Model Inputs &amp; Assumptions'!$V$34^2/2))</f>
        <v>0.242772217921936</v>
      </c>
      <c r="E3477" s="45" t="n">
        <f aca="false">ROUND(C3477*D3477,0)</f>
        <v>151162</v>
      </c>
      <c r="F3477" s="47" t="n">
        <f aca="false">MIN(1,'Model Inputs &amp; Assumptions'!$W$34*EXP('Model Inputs &amp; Assumptions'!$X$34*R3477-'Model Inputs &amp; Assumptions'!$X$34^2/2))</f>
        <v>0.00699027368470428</v>
      </c>
      <c r="G3477" s="45" t="n">
        <f aca="false">ROUND(C3477*F3477,0)</f>
        <v>4352</v>
      </c>
      <c r="H3477" s="48" t="n">
        <f aca="false">MAX(0,(C3477*'Model Inputs &amp; Assumptions'!$N$34+E3477*'Model Inputs &amp; Assumptions'!$O$34+G3477*'Model Inputs &amp; Assumptions'!$P$34)*EXP('Model Inputs &amp; Assumptions'!$Q$34*S3477-'Model Inputs &amp; Assumptions'!$Q$34^2/2))</f>
        <v>111.183747924713</v>
      </c>
      <c r="I3477" s="49" t="n">
        <f aca="false">IF('Model Inputs &amp; Assumptions'!$H$34="Fixed",'Model Inputs &amp; Assumptions'!$I$34*'Model Inputs &amp; Assumptions'!$K$34,IF('Model Inputs &amp; Assumptions'!$H$34="CPM",'Model Inputs &amp; Assumptions'!$I$34*'Model Inputs &amp; Assumptions'!$K$34*C3477/1000,IF('Model Inputs &amp; Assumptions'!$H$34="CPC",'Model Inputs &amp; Assumptions'!$I$34*'Model Inputs &amp; Assumptions'!$K$34*G3477,0)))</f>
        <v>8051.2</v>
      </c>
      <c r="J3477" s="50" t="n">
        <f aca="false">H3477*INDEX('Model Inputs &amp; Assumptions'!$D$40:$D$42,MATCH('Model Inputs &amp; Assumptions'!$L$34,'Model Inputs &amp; Assumptions'!$A$40:$A$42,0))*INDEX('Model Inputs &amp; Assumptions'!$H$40:$H$42,MATCH('Model Inputs &amp; Assumptions'!$L$34,'Model Inputs &amp; Assumptions'!$A$40:$A$42,0))</f>
        <v>800522.985057936</v>
      </c>
      <c r="K3477" s="49" t="n">
        <f aca="false">H3477*INDEX('Model Inputs &amp; Assumptions'!$G$40:$G$42,MATCH('Model Inputs &amp; Assumptions'!$L$34,'Model Inputs &amp; Assumptions'!$A$40:$A$42,0))*INDEX('Model Inputs &amp; Assumptions'!$H$40:$H$42,MATCH('Model Inputs &amp; Assumptions'!$L$34,'Model Inputs &amp; Assumptions'!$A$40:$A$42,0))</f>
        <v>17651.5318205275</v>
      </c>
      <c r="L3477" s="51" t="n">
        <f aca="false">IFERROR(K3477/I3477,0)</f>
        <v>2.19241005322529</v>
      </c>
      <c r="M3477" s="49" t="n">
        <f aca="false">IFERROR(I3477/H3477,0)</f>
        <v>72.4134610523452</v>
      </c>
      <c r="N3477" s="52" t="str">
        <f aca="false">'Model Inputs &amp; Assumptions'!$L$34</f>
        <v>PRD-USIQ</v>
      </c>
      <c r="P3477" s="53" t="n">
        <v>1.000775</v>
      </c>
      <c r="Q3477" s="53" t="n">
        <v>0.417777</v>
      </c>
      <c r="R3477" s="53" t="n">
        <v>0.938668</v>
      </c>
      <c r="S3477" s="53" t="n">
        <v>0.518507</v>
      </c>
    </row>
    <row r="3478" customFormat="false" ht="15" hidden="false" customHeight="false" outlineLevel="0" collapsed="false">
      <c r="A3478" s="43" t="n">
        <v>475</v>
      </c>
      <c r="B3478" s="44" t="str">
        <f aca="false">'Model Inputs &amp; Assumptions'!$B$34</f>
        <v>Meta — Lookalike Feed Video</v>
      </c>
      <c r="C3478" s="45" t="n">
        <f aca="false">ROUND(MAX(0,'Model Inputs &amp; Assumptions'!$S$34*EXP('Model Inputs &amp; Assumptions'!$T$34*P3478-'Model Inputs &amp; Assumptions'!$T$34^2/2)),0)</f>
        <v>527770</v>
      </c>
      <c r="D3478" s="46" t="n">
        <f aca="false">MIN(1,'Model Inputs &amp; Assumptions'!$U$34*EXP('Model Inputs &amp; Assumptions'!$V$34*Q3478-'Model Inputs &amp; Assumptions'!$V$34^2/2))</f>
        <v>0.215974656314558</v>
      </c>
      <c r="E3478" s="45" t="n">
        <f aca="false">ROUND(C3478*D3478,0)</f>
        <v>113985</v>
      </c>
      <c r="F3478" s="47" t="n">
        <f aca="false">MIN(1,'Model Inputs &amp; Assumptions'!$W$34*EXP('Model Inputs &amp; Assumptions'!$X$34*R3478-'Model Inputs &amp; Assumptions'!$X$34^2/2))</f>
        <v>0.00590927842011152</v>
      </c>
      <c r="G3478" s="45" t="n">
        <f aca="false">ROUND(C3478*F3478,0)</f>
        <v>3119</v>
      </c>
      <c r="H3478" s="48" t="n">
        <f aca="false">MAX(0,(C3478*'Model Inputs &amp; Assumptions'!$N$34+E3478*'Model Inputs &amp; Assumptions'!$O$34+G3478*'Model Inputs &amp; Assumptions'!$P$34)*EXP('Model Inputs &amp; Assumptions'!$Q$34*S3478-'Model Inputs &amp; Assumptions'!$Q$34^2/2))</f>
        <v>76.3460905737348</v>
      </c>
      <c r="I3478" s="49" t="n">
        <f aca="false">IF('Model Inputs &amp; Assumptions'!$H$34="Fixed",'Model Inputs &amp; Assumptions'!$I$34*'Model Inputs &amp; Assumptions'!$K$34,IF('Model Inputs &amp; Assumptions'!$H$34="CPM",'Model Inputs &amp; Assumptions'!$I$34*'Model Inputs &amp; Assumptions'!$K$34*C3478/1000,IF('Model Inputs &amp; Assumptions'!$H$34="CPC",'Model Inputs &amp; Assumptions'!$I$34*'Model Inputs &amp; Assumptions'!$K$34*G3478,0)))</f>
        <v>5770.15</v>
      </c>
      <c r="J3478" s="50" t="n">
        <f aca="false">H3478*INDEX('Model Inputs &amp; Assumptions'!$D$40:$D$42,MATCH('Model Inputs &amp; Assumptions'!$L$34,'Model Inputs &amp; Assumptions'!$A$40:$A$42,0))*INDEX('Model Inputs &amp; Assumptions'!$H$40:$H$42,MATCH('Model Inputs &amp; Assumptions'!$L$34,'Model Inputs &amp; Assumptions'!$A$40:$A$42,0))</f>
        <v>549691.852130891</v>
      </c>
      <c r="K3478" s="49" t="n">
        <f aca="false">H3478*INDEX('Model Inputs &amp; Assumptions'!$G$40:$G$42,MATCH('Model Inputs &amp; Assumptions'!$L$34,'Model Inputs &amp; Assumptions'!$A$40:$A$42,0))*INDEX('Model Inputs &amp; Assumptions'!$H$40:$H$42,MATCH('Model Inputs &amp; Assumptions'!$L$34,'Model Inputs &amp; Assumptions'!$A$40:$A$42,0))</f>
        <v>12120.7053394861</v>
      </c>
      <c r="L3478" s="51" t="n">
        <f aca="false">IFERROR(K3478/I3478,0)</f>
        <v>2.10058756522554</v>
      </c>
      <c r="M3478" s="49" t="n">
        <f aca="false">IFERROR(I3478/H3478,0)</f>
        <v>75.5788535685034</v>
      </c>
      <c r="N3478" s="52" t="str">
        <f aca="false">'Model Inputs &amp; Assumptions'!$L$34</f>
        <v>PRD-USIQ</v>
      </c>
      <c r="P3478" s="53" t="n">
        <v>0.174156</v>
      </c>
      <c r="Q3478" s="53" t="n">
        <v>-0.313239</v>
      </c>
      <c r="R3478" s="53" t="n">
        <v>0.005357</v>
      </c>
      <c r="S3478" s="53" t="n">
        <v>0.364988</v>
      </c>
    </row>
    <row r="3479" customFormat="false" ht="15" hidden="false" customHeight="false" outlineLevel="0" collapsed="false">
      <c r="A3479" s="43" t="n">
        <v>476</v>
      </c>
      <c r="B3479" s="44" t="str">
        <f aca="false">'Model Inputs &amp; Assumptions'!$B$34</f>
        <v>Meta — Lookalike Feed Video</v>
      </c>
      <c r="C3479" s="45" t="n">
        <f aca="false">ROUND(MAX(0,'Model Inputs &amp; Assumptions'!$S$34*EXP('Model Inputs &amp; Assumptions'!$T$34*P3479-'Model Inputs &amp; Assumptions'!$T$34^2/2)),0)</f>
        <v>438831</v>
      </c>
      <c r="D3479" s="46" t="n">
        <f aca="false">MIN(1,'Model Inputs &amp; Assumptions'!$U$34*EXP('Model Inputs &amp; Assumptions'!$V$34*Q3479-'Model Inputs &amp; Assumptions'!$V$34^2/2))</f>
        <v>0.230391774890195</v>
      </c>
      <c r="E3479" s="45" t="n">
        <f aca="false">ROUND(C3479*D3479,0)</f>
        <v>101103</v>
      </c>
      <c r="F3479" s="47" t="n">
        <f aca="false">MIN(1,'Model Inputs &amp; Assumptions'!$W$34*EXP('Model Inputs &amp; Assumptions'!$X$34*R3479-'Model Inputs &amp; Assumptions'!$X$34^2/2))</f>
        <v>0.00587898324374474</v>
      </c>
      <c r="G3479" s="45" t="n">
        <f aca="false">ROUND(C3479*F3479,0)</f>
        <v>2580</v>
      </c>
      <c r="H3479" s="48" t="n">
        <f aca="false">MAX(0,(C3479*'Model Inputs &amp; Assumptions'!$N$34+E3479*'Model Inputs &amp; Assumptions'!$O$34+G3479*'Model Inputs &amp; Assumptions'!$P$34)*EXP('Model Inputs &amp; Assumptions'!$Q$34*S3479-'Model Inputs &amp; Assumptions'!$Q$34^2/2))</f>
        <v>89.6931047573902</v>
      </c>
      <c r="I3479" s="49" t="n">
        <f aca="false">IF('Model Inputs &amp; Assumptions'!$H$34="Fixed",'Model Inputs &amp; Assumptions'!$I$34*'Model Inputs &amp; Assumptions'!$K$34,IF('Model Inputs &amp; Assumptions'!$H$34="CPM",'Model Inputs &amp; Assumptions'!$I$34*'Model Inputs &amp; Assumptions'!$K$34*C3479/1000,IF('Model Inputs &amp; Assumptions'!$H$34="CPC",'Model Inputs &amp; Assumptions'!$I$34*'Model Inputs &amp; Assumptions'!$K$34*G3479,0)))</f>
        <v>4773</v>
      </c>
      <c r="J3479" s="50" t="n">
        <f aca="false">H3479*INDEX('Model Inputs &amp; Assumptions'!$D$40:$D$42,MATCH('Model Inputs &amp; Assumptions'!$L$34,'Model Inputs &amp; Assumptions'!$A$40:$A$42,0))*INDEX('Model Inputs &amp; Assumptions'!$H$40:$H$42,MATCH('Model Inputs &amp; Assumptions'!$L$34,'Model Inputs &amp; Assumptions'!$A$40:$A$42,0))</f>
        <v>645790.35425321</v>
      </c>
      <c r="K3479" s="49" t="n">
        <f aca="false">H3479*INDEX('Model Inputs &amp; Assumptions'!$G$40:$G$42,MATCH('Model Inputs &amp; Assumptions'!$L$34,'Model Inputs &amp; Assumptions'!$A$40:$A$42,0))*INDEX('Model Inputs &amp; Assumptions'!$H$40:$H$42,MATCH('Model Inputs &amp; Assumptions'!$L$34,'Model Inputs &amp; Assumptions'!$A$40:$A$42,0))</f>
        <v>14239.6773112833</v>
      </c>
      <c r="L3479" s="51" t="n">
        <f aca="false">IFERROR(K3479/I3479,0)</f>
        <v>2.98338095773796</v>
      </c>
      <c r="M3479" s="49" t="n">
        <f aca="false">IFERROR(I3479/H3479,0)</f>
        <v>53.2147929644138</v>
      </c>
      <c r="N3479" s="52" t="str">
        <f aca="false">'Model Inputs &amp; Assumptions'!$L$34</f>
        <v>PRD-USIQ</v>
      </c>
      <c r="P3479" s="53" t="n">
        <v>-0.748573</v>
      </c>
      <c r="Q3479" s="53" t="n">
        <v>0.090637</v>
      </c>
      <c r="R3479" s="53" t="n">
        <v>-0.023198</v>
      </c>
      <c r="S3479" s="53" t="n">
        <v>1.432684</v>
      </c>
    </row>
    <row r="3480" customFormat="false" ht="15" hidden="false" customHeight="false" outlineLevel="0" collapsed="false">
      <c r="A3480" s="43" t="n">
        <v>477</v>
      </c>
      <c r="B3480" s="44" t="str">
        <f aca="false">'Model Inputs &amp; Assumptions'!$B$34</f>
        <v>Meta — Lookalike Feed Video</v>
      </c>
      <c r="C3480" s="45" t="n">
        <f aca="false">ROUND(MAX(0,'Model Inputs &amp; Assumptions'!$S$34*EXP('Model Inputs &amp; Assumptions'!$T$34*P3480-'Model Inputs &amp; Assumptions'!$T$34^2/2)),0)</f>
        <v>692806</v>
      </c>
      <c r="D3480" s="46" t="n">
        <f aca="false">MIN(1,'Model Inputs &amp; Assumptions'!$U$34*EXP('Model Inputs &amp; Assumptions'!$V$34*Q3480-'Model Inputs &amp; Assumptions'!$V$34^2/2))</f>
        <v>0.231794042357029</v>
      </c>
      <c r="E3480" s="45" t="n">
        <f aca="false">ROUND(C3480*D3480,0)</f>
        <v>160588</v>
      </c>
      <c r="F3480" s="47" t="n">
        <f aca="false">MIN(1,'Model Inputs &amp; Assumptions'!$W$34*EXP('Model Inputs &amp; Assumptions'!$X$34*R3480-'Model Inputs &amp; Assumptions'!$X$34^2/2))</f>
        <v>0.00696489567898539</v>
      </c>
      <c r="G3480" s="45" t="n">
        <f aca="false">ROUND(C3480*F3480,0)</f>
        <v>4825</v>
      </c>
      <c r="H3480" s="48" t="n">
        <f aca="false">MAX(0,(C3480*'Model Inputs &amp; Assumptions'!$N$34+E3480*'Model Inputs &amp; Assumptions'!$O$34+G3480*'Model Inputs &amp; Assumptions'!$P$34)*EXP('Model Inputs &amp; Assumptions'!$Q$34*S3480-'Model Inputs &amp; Assumptions'!$Q$34^2/2))</f>
        <v>70.1997617893602</v>
      </c>
      <c r="I3480" s="49" t="n">
        <f aca="false">IF('Model Inputs &amp; Assumptions'!$H$34="Fixed",'Model Inputs &amp; Assumptions'!$I$34*'Model Inputs &amp; Assumptions'!$K$34,IF('Model Inputs &amp; Assumptions'!$H$34="CPM",'Model Inputs &amp; Assumptions'!$I$34*'Model Inputs &amp; Assumptions'!$K$34*C3480/1000,IF('Model Inputs &amp; Assumptions'!$H$34="CPC",'Model Inputs &amp; Assumptions'!$I$34*'Model Inputs &amp; Assumptions'!$K$34*G3480,0)))</f>
        <v>8926.25</v>
      </c>
      <c r="J3480" s="50" t="n">
        <f aca="false">H3480*INDEX('Model Inputs &amp; Assumptions'!$D$40:$D$42,MATCH('Model Inputs &amp; Assumptions'!$L$34,'Model Inputs &amp; Assumptions'!$A$40:$A$42,0))*INDEX('Model Inputs &amp; Assumptions'!$H$40:$H$42,MATCH('Model Inputs &amp; Assumptions'!$L$34,'Model Inputs &amp; Assumptions'!$A$40:$A$42,0))</f>
        <v>505438.284883393</v>
      </c>
      <c r="K3480" s="49" t="n">
        <f aca="false">H3480*INDEX('Model Inputs &amp; Assumptions'!$G$40:$G$42,MATCH('Model Inputs &amp; Assumptions'!$L$34,'Model Inputs &amp; Assumptions'!$A$40:$A$42,0))*INDEX('Model Inputs &amp; Assumptions'!$H$40:$H$42,MATCH('Model Inputs &amp; Assumptions'!$L$34,'Model Inputs &amp; Assumptions'!$A$40:$A$42,0))</f>
        <v>11144.9141816788</v>
      </c>
      <c r="L3480" s="51" t="n">
        <f aca="false">IFERROR(K3480/I3480,0)</f>
        <v>1.24855501265132</v>
      </c>
      <c r="M3480" s="49" t="n">
        <f aca="false">IFERROR(I3480/H3480,0)</f>
        <v>127.15498988136</v>
      </c>
      <c r="N3480" s="52" t="str">
        <f aca="false">'Model Inputs &amp; Assumptions'!$L$34</f>
        <v>PRD-USIQ</v>
      </c>
      <c r="P3480" s="53" t="n">
        <v>1.534606</v>
      </c>
      <c r="Q3480" s="53" t="n">
        <v>0.128562</v>
      </c>
      <c r="R3480" s="53" t="n">
        <v>0.918462</v>
      </c>
      <c r="S3480" s="53" t="n">
        <v>-1.224943</v>
      </c>
    </row>
    <row r="3481" customFormat="false" ht="15" hidden="false" customHeight="false" outlineLevel="0" collapsed="false">
      <c r="A3481" s="43" t="n">
        <v>478</v>
      </c>
      <c r="B3481" s="44" t="str">
        <f aca="false">'Model Inputs &amp; Assumptions'!$B$34</f>
        <v>Meta — Lookalike Feed Video</v>
      </c>
      <c r="C3481" s="45" t="n">
        <f aca="false">ROUND(MAX(0,'Model Inputs &amp; Assumptions'!$S$34*EXP('Model Inputs &amp; Assumptions'!$T$34*P3481-'Model Inputs &amp; Assumptions'!$T$34^2/2)),0)</f>
        <v>485239</v>
      </c>
      <c r="D3481" s="46" t="n">
        <f aca="false">MIN(1,'Model Inputs &amp; Assumptions'!$U$34*EXP('Model Inputs &amp; Assumptions'!$V$34*Q3481-'Model Inputs &amp; Assumptions'!$V$34^2/2))</f>
        <v>0.256678607781949</v>
      </c>
      <c r="E3481" s="45" t="n">
        <f aca="false">ROUND(C3481*D3481,0)</f>
        <v>124550</v>
      </c>
      <c r="F3481" s="47" t="n">
        <f aca="false">MIN(1,'Model Inputs &amp; Assumptions'!$W$34*EXP('Model Inputs &amp; Assumptions'!$X$34*R3481-'Model Inputs &amp; Assumptions'!$X$34^2/2))</f>
        <v>0.00601613417382059</v>
      </c>
      <c r="G3481" s="45" t="n">
        <f aca="false">ROUND(C3481*F3481,0)</f>
        <v>2919</v>
      </c>
      <c r="H3481" s="48" t="n">
        <f aca="false">MAX(0,(C3481*'Model Inputs &amp; Assumptions'!$N$34+E3481*'Model Inputs &amp; Assumptions'!$O$34+G3481*'Model Inputs &amp; Assumptions'!$P$34)*EXP('Model Inputs &amp; Assumptions'!$Q$34*S3481-'Model Inputs &amp; Assumptions'!$Q$34^2/2))</f>
        <v>64.7207237742196</v>
      </c>
      <c r="I3481" s="49" t="n">
        <f aca="false">IF('Model Inputs &amp; Assumptions'!$H$34="Fixed",'Model Inputs &amp; Assumptions'!$I$34*'Model Inputs &amp; Assumptions'!$K$34,IF('Model Inputs &amp; Assumptions'!$H$34="CPM",'Model Inputs &amp; Assumptions'!$I$34*'Model Inputs &amp; Assumptions'!$K$34*C3481/1000,IF('Model Inputs &amp; Assumptions'!$H$34="CPC",'Model Inputs &amp; Assumptions'!$I$34*'Model Inputs &amp; Assumptions'!$K$34*G3481,0)))</f>
        <v>5400.15</v>
      </c>
      <c r="J3481" s="50" t="n">
        <f aca="false">H3481*INDEX('Model Inputs &amp; Assumptions'!$D$40:$D$42,MATCH('Model Inputs &amp; Assumptions'!$L$34,'Model Inputs &amp; Assumptions'!$A$40:$A$42,0))*INDEX('Model Inputs &amp; Assumptions'!$H$40:$H$42,MATCH('Model Inputs &amp; Assumptions'!$L$34,'Model Inputs &amp; Assumptions'!$A$40:$A$42,0))</f>
        <v>465989.211174381</v>
      </c>
      <c r="K3481" s="49" t="n">
        <f aca="false">H3481*INDEX('Model Inputs &amp; Assumptions'!$G$40:$G$42,MATCH('Model Inputs &amp; Assumptions'!$L$34,'Model Inputs &amp; Assumptions'!$A$40:$A$42,0))*INDEX('Model Inputs &amp; Assumptions'!$H$40:$H$42,MATCH('Model Inputs &amp; Assumptions'!$L$34,'Model Inputs &amp; Assumptions'!$A$40:$A$42,0))</f>
        <v>10275.0621063951</v>
      </c>
      <c r="L3481" s="51" t="n">
        <f aca="false">IFERROR(K3481/I3481,0)</f>
        <v>1.90273642517247</v>
      </c>
      <c r="M3481" s="49" t="n">
        <f aca="false">IFERROR(I3481/H3481,0)</f>
        <v>83.4377257405002</v>
      </c>
      <c r="N3481" s="52" t="str">
        <f aca="false">'Model Inputs &amp; Assumptions'!$L$34</f>
        <v>PRD-USIQ</v>
      </c>
      <c r="P3481" s="53" t="n">
        <v>-0.24594</v>
      </c>
      <c r="Q3481" s="53" t="n">
        <v>0.765909</v>
      </c>
      <c r="R3481" s="53" t="n">
        <v>0.104919</v>
      </c>
      <c r="S3481" s="53" t="n">
        <v>-0.010226</v>
      </c>
    </row>
    <row r="3482" customFormat="false" ht="15" hidden="false" customHeight="false" outlineLevel="0" collapsed="false">
      <c r="A3482" s="43" t="n">
        <v>479</v>
      </c>
      <c r="B3482" s="44" t="str">
        <f aca="false">'Model Inputs &amp; Assumptions'!$B$34</f>
        <v>Meta — Lookalike Feed Video</v>
      </c>
      <c r="C3482" s="45" t="n">
        <f aca="false">ROUND(MAX(0,'Model Inputs &amp; Assumptions'!$S$34*EXP('Model Inputs &amp; Assumptions'!$T$34*P3482-'Model Inputs &amp; Assumptions'!$T$34^2/2)),0)</f>
        <v>682570</v>
      </c>
      <c r="D3482" s="46" t="n">
        <f aca="false">MIN(1,'Model Inputs &amp; Assumptions'!$U$34*EXP('Model Inputs &amp; Assumptions'!$V$34*Q3482-'Model Inputs &amp; Assumptions'!$V$34^2/2))</f>
        <v>0.292213280676846</v>
      </c>
      <c r="E3482" s="45" t="n">
        <f aca="false">ROUND(C3482*D3482,0)</f>
        <v>199456</v>
      </c>
      <c r="F3482" s="47" t="n">
        <f aca="false">MIN(1,'Model Inputs &amp; Assumptions'!$W$34*EXP('Model Inputs &amp; Assumptions'!$X$34*R3482-'Model Inputs &amp; Assumptions'!$X$34^2/2))</f>
        <v>0.00563450257394042</v>
      </c>
      <c r="G3482" s="45" t="n">
        <f aca="false">ROUND(C3482*F3482,0)</f>
        <v>3846</v>
      </c>
      <c r="H3482" s="48" t="n">
        <f aca="false">MAX(0,(C3482*'Model Inputs &amp; Assumptions'!$N$34+E3482*'Model Inputs &amp; Assumptions'!$O$34+G3482*'Model Inputs &amp; Assumptions'!$P$34)*EXP('Model Inputs &amp; Assumptions'!$Q$34*S3482-'Model Inputs &amp; Assumptions'!$Q$34^2/2))</f>
        <v>131.254932052424</v>
      </c>
      <c r="I3482" s="49" t="n">
        <f aca="false">IF('Model Inputs &amp; Assumptions'!$H$34="Fixed",'Model Inputs &amp; Assumptions'!$I$34*'Model Inputs &amp; Assumptions'!$K$34,IF('Model Inputs &amp; Assumptions'!$H$34="CPM",'Model Inputs &amp; Assumptions'!$I$34*'Model Inputs &amp; Assumptions'!$K$34*C3482/1000,IF('Model Inputs &amp; Assumptions'!$H$34="CPC",'Model Inputs &amp; Assumptions'!$I$34*'Model Inputs &amp; Assumptions'!$K$34*G3482,0)))</f>
        <v>7115.1</v>
      </c>
      <c r="J3482" s="50" t="n">
        <f aca="false">H3482*INDEX('Model Inputs &amp; Assumptions'!$D$40:$D$42,MATCH('Model Inputs &amp; Assumptions'!$L$34,'Model Inputs &amp; Assumptions'!$A$40:$A$42,0))*INDEX('Model Inputs &amp; Assumptions'!$H$40:$H$42,MATCH('Model Inputs &amp; Assumptions'!$L$34,'Model Inputs &amp; Assumptions'!$A$40:$A$42,0))</f>
        <v>945035.510777455</v>
      </c>
      <c r="K3482" s="49" t="n">
        <f aca="false">H3482*INDEX('Model Inputs &amp; Assumptions'!$G$40:$G$42,MATCH('Model Inputs &amp; Assumptions'!$L$34,'Model Inputs &amp; Assumptions'!$A$40:$A$42,0))*INDEX('Model Inputs &amp; Assumptions'!$H$40:$H$42,MATCH('Model Inputs &amp; Assumptions'!$L$34,'Model Inputs &amp; Assumptions'!$A$40:$A$42,0))</f>
        <v>20838.0330126429</v>
      </c>
      <c r="L3482" s="51" t="n">
        <f aca="false">IFERROR(K3482/I3482,0)</f>
        <v>2.92870557162132</v>
      </c>
      <c r="M3482" s="49" t="n">
        <f aca="false">IFERROR(I3482/H3482,0)</f>
        <v>54.2082487015282</v>
      </c>
      <c r="N3482" s="52" t="str">
        <f aca="false">'Model Inputs &amp; Assumptions'!$L$34</f>
        <v>PRD-USIQ</v>
      </c>
      <c r="P3482" s="53" t="n">
        <v>1.460185</v>
      </c>
      <c r="Q3482" s="53" t="n">
        <v>1.576279</v>
      </c>
      <c r="R3482" s="53" t="n">
        <v>-0.25917</v>
      </c>
      <c r="S3482" s="53" t="n">
        <v>1.240847</v>
      </c>
    </row>
    <row r="3483" customFormat="false" ht="15" hidden="false" customHeight="false" outlineLevel="0" collapsed="false">
      <c r="A3483" s="43" t="n">
        <v>480</v>
      </c>
      <c r="B3483" s="44" t="str">
        <f aca="false">'Model Inputs &amp; Assumptions'!$B$34</f>
        <v>Meta — Lookalike Feed Video</v>
      </c>
      <c r="C3483" s="45" t="n">
        <f aca="false">ROUND(MAX(0,'Model Inputs &amp; Assumptions'!$S$34*EXP('Model Inputs &amp; Assumptions'!$T$34*P3483-'Model Inputs &amp; Assumptions'!$T$34^2/2)),0)</f>
        <v>492005</v>
      </c>
      <c r="D3483" s="46" t="n">
        <f aca="false">MIN(1,'Model Inputs &amp; Assumptions'!$U$34*EXP('Model Inputs &amp; Assumptions'!$V$34*Q3483-'Model Inputs &amp; Assumptions'!$V$34^2/2))</f>
        <v>0.234992751484865</v>
      </c>
      <c r="E3483" s="45" t="n">
        <f aca="false">ROUND(C3483*D3483,0)</f>
        <v>115618</v>
      </c>
      <c r="F3483" s="47" t="n">
        <f aca="false">MIN(1,'Model Inputs &amp; Assumptions'!$W$34*EXP('Model Inputs &amp; Assumptions'!$X$34*R3483-'Model Inputs &amp; Assumptions'!$X$34^2/2))</f>
        <v>0.00568453431538951</v>
      </c>
      <c r="G3483" s="45" t="n">
        <f aca="false">ROUND(C3483*F3483,0)</f>
        <v>2797</v>
      </c>
      <c r="H3483" s="48" t="n">
        <f aca="false">MAX(0,(C3483*'Model Inputs &amp; Assumptions'!$N$34+E3483*'Model Inputs &amp; Assumptions'!$O$34+G3483*'Model Inputs &amp; Assumptions'!$P$34)*EXP('Model Inputs &amp; Assumptions'!$Q$34*S3483-'Model Inputs &amp; Assumptions'!$Q$34^2/2))</f>
        <v>100.298647730121</v>
      </c>
      <c r="I3483" s="49" t="n">
        <f aca="false">IF('Model Inputs &amp; Assumptions'!$H$34="Fixed",'Model Inputs &amp; Assumptions'!$I$34*'Model Inputs &amp; Assumptions'!$K$34,IF('Model Inputs &amp; Assumptions'!$H$34="CPM",'Model Inputs &amp; Assumptions'!$I$34*'Model Inputs &amp; Assumptions'!$K$34*C3483/1000,IF('Model Inputs &amp; Assumptions'!$H$34="CPC",'Model Inputs &amp; Assumptions'!$I$34*'Model Inputs &amp; Assumptions'!$K$34*G3483,0)))</f>
        <v>5174.45</v>
      </c>
      <c r="J3483" s="50" t="n">
        <f aca="false">H3483*INDEX('Model Inputs &amp; Assumptions'!$D$40:$D$42,MATCH('Model Inputs &amp; Assumptions'!$L$34,'Model Inputs &amp; Assumptions'!$A$40:$A$42,0))*INDEX('Model Inputs &amp; Assumptions'!$H$40:$H$42,MATCH('Model Inputs &amp; Assumptions'!$L$34,'Model Inputs &amp; Assumptions'!$A$40:$A$42,0))</f>
        <v>722150.263656871</v>
      </c>
      <c r="K3483" s="49" t="n">
        <f aca="false">H3483*INDEX('Model Inputs &amp; Assumptions'!$G$40:$G$42,MATCH('Model Inputs &amp; Assumptions'!$L$34,'Model Inputs &amp; Assumptions'!$A$40:$A$42,0))*INDEX('Model Inputs &amp; Assumptions'!$H$40:$H$42,MATCH('Model Inputs &amp; Assumptions'!$L$34,'Model Inputs &amp; Assumptions'!$A$40:$A$42,0))</f>
        <v>15923.413313634</v>
      </c>
      <c r="L3483" s="51" t="n">
        <f aca="false">IFERROR(K3483/I3483,0)</f>
        <v>3.07731513757675</v>
      </c>
      <c r="M3483" s="49" t="n">
        <f aca="false">IFERROR(I3483/H3483,0)</f>
        <v>51.5904263627081</v>
      </c>
      <c r="N3483" s="52" t="str">
        <f aca="false">'Model Inputs &amp; Assumptions'!$L$34</f>
        <v>PRD-USIQ</v>
      </c>
      <c r="P3483" s="53" t="n">
        <v>-0.1767</v>
      </c>
      <c r="Q3483" s="53" t="n">
        <v>0.214221</v>
      </c>
      <c r="R3483" s="53" t="n">
        <v>-0.210057</v>
      </c>
      <c r="S3483" s="53" t="n">
        <v>1.506421</v>
      </c>
    </row>
    <row r="3484" customFormat="false" ht="15" hidden="false" customHeight="false" outlineLevel="0" collapsed="false">
      <c r="A3484" s="43" t="n">
        <v>481</v>
      </c>
      <c r="B3484" s="44" t="str">
        <f aca="false">'Model Inputs &amp; Assumptions'!$B$34</f>
        <v>Meta — Lookalike Feed Video</v>
      </c>
      <c r="C3484" s="45" t="n">
        <f aca="false">ROUND(MAX(0,'Model Inputs &amp; Assumptions'!$S$34*EXP('Model Inputs &amp; Assumptions'!$T$34*P3484-'Model Inputs &amp; Assumptions'!$T$34^2/2)),0)</f>
        <v>494434</v>
      </c>
      <c r="D3484" s="46" t="n">
        <f aca="false">MIN(1,'Model Inputs &amp; Assumptions'!$U$34*EXP('Model Inputs &amp; Assumptions'!$V$34*Q3484-'Model Inputs &amp; Assumptions'!$V$34^2/2))</f>
        <v>0.226255141893568</v>
      </c>
      <c r="E3484" s="45" t="n">
        <f aca="false">ROUND(C3484*D3484,0)</f>
        <v>111868</v>
      </c>
      <c r="F3484" s="47" t="n">
        <f aca="false">MIN(1,'Model Inputs &amp; Assumptions'!$W$34*EXP('Model Inputs &amp; Assumptions'!$X$34*R3484-'Model Inputs &amp; Assumptions'!$X$34^2/2))</f>
        <v>0.00394935095107481</v>
      </c>
      <c r="G3484" s="45" t="n">
        <f aca="false">ROUND(C3484*F3484,0)</f>
        <v>1953</v>
      </c>
      <c r="H3484" s="48" t="n">
        <f aca="false">MAX(0,(C3484*'Model Inputs &amp; Assumptions'!$N$34+E3484*'Model Inputs &amp; Assumptions'!$O$34+G3484*'Model Inputs &amp; Assumptions'!$P$34)*EXP('Model Inputs &amp; Assumptions'!$Q$34*S3484-'Model Inputs &amp; Assumptions'!$Q$34^2/2))</f>
        <v>44.1850483060834</v>
      </c>
      <c r="I3484" s="49" t="n">
        <f aca="false">IF('Model Inputs &amp; Assumptions'!$H$34="Fixed",'Model Inputs &amp; Assumptions'!$I$34*'Model Inputs &amp; Assumptions'!$K$34,IF('Model Inputs &amp; Assumptions'!$H$34="CPM",'Model Inputs &amp; Assumptions'!$I$34*'Model Inputs &amp; Assumptions'!$K$34*C3484/1000,IF('Model Inputs &amp; Assumptions'!$H$34="CPC",'Model Inputs &amp; Assumptions'!$I$34*'Model Inputs &amp; Assumptions'!$K$34*G3484,0)))</f>
        <v>3613.05</v>
      </c>
      <c r="J3484" s="50" t="n">
        <f aca="false">H3484*INDEX('Model Inputs &amp; Assumptions'!$D$40:$D$42,MATCH('Model Inputs &amp; Assumptions'!$L$34,'Model Inputs &amp; Assumptions'!$A$40:$A$42,0))*INDEX('Model Inputs &amp; Assumptions'!$H$40:$H$42,MATCH('Model Inputs &amp; Assumptions'!$L$34,'Model Inputs &amp; Assumptions'!$A$40:$A$42,0))</f>
        <v>318132.347803801</v>
      </c>
      <c r="K3484" s="49" t="n">
        <f aca="false">H3484*INDEX('Model Inputs &amp; Assumptions'!$G$40:$G$42,MATCH('Model Inputs &amp; Assumptions'!$L$34,'Model Inputs &amp; Assumptions'!$A$40:$A$42,0))*INDEX('Model Inputs &amp; Assumptions'!$H$40:$H$42,MATCH('Model Inputs &amp; Assumptions'!$L$34,'Model Inputs &amp; Assumptions'!$A$40:$A$42,0))</f>
        <v>7014.8182690738</v>
      </c>
      <c r="L3484" s="51" t="n">
        <f aca="false">IFERROR(K3484/I3484,0)</f>
        <v>1.94152261083401</v>
      </c>
      <c r="M3484" s="49" t="n">
        <f aca="false">IFERROR(I3484/H3484,0)</f>
        <v>81.7708735989444</v>
      </c>
      <c r="N3484" s="52" t="str">
        <f aca="false">'Model Inputs &amp; Assumptions'!$L$34</f>
        <v>PRD-USIQ</v>
      </c>
      <c r="P3484" s="53" t="n">
        <v>-0.152076</v>
      </c>
      <c r="Q3484" s="53" t="n">
        <v>-0.0226</v>
      </c>
      <c r="R3484" s="53" t="n">
        <v>-2.233379</v>
      </c>
      <c r="S3484" s="53" t="n">
        <v>-0.09941</v>
      </c>
    </row>
    <row r="3485" customFormat="false" ht="15" hidden="false" customHeight="false" outlineLevel="0" collapsed="false">
      <c r="A3485" s="43" t="n">
        <v>482</v>
      </c>
      <c r="B3485" s="44" t="str">
        <f aca="false">'Model Inputs &amp; Assumptions'!$B$34</f>
        <v>Meta — Lookalike Feed Video</v>
      </c>
      <c r="C3485" s="45" t="n">
        <f aca="false">ROUND(MAX(0,'Model Inputs &amp; Assumptions'!$S$34*EXP('Model Inputs &amp; Assumptions'!$T$34*P3485-'Model Inputs &amp; Assumptions'!$T$34^2/2)),0)</f>
        <v>466505</v>
      </c>
      <c r="D3485" s="46" t="n">
        <f aca="false">MIN(1,'Model Inputs &amp; Assumptions'!$U$34*EXP('Model Inputs &amp; Assumptions'!$V$34*Q3485-'Model Inputs &amp; Assumptions'!$V$34^2/2))</f>
        <v>0.223775712985476</v>
      </c>
      <c r="E3485" s="45" t="n">
        <f aca="false">ROUND(C3485*D3485,0)</f>
        <v>104392</v>
      </c>
      <c r="F3485" s="47" t="n">
        <f aca="false">MIN(1,'Model Inputs &amp; Assumptions'!$W$34*EXP('Model Inputs &amp; Assumptions'!$X$34*R3485-'Model Inputs &amp; Assumptions'!$X$34^2/2))</f>
        <v>0.00577656993239085</v>
      </c>
      <c r="G3485" s="45" t="n">
        <f aca="false">ROUND(C3485*F3485,0)</f>
        <v>2695</v>
      </c>
      <c r="H3485" s="48" t="n">
        <f aca="false">MAX(0,(C3485*'Model Inputs &amp; Assumptions'!$N$34+E3485*'Model Inputs &amp; Assumptions'!$O$34+G3485*'Model Inputs &amp; Assumptions'!$P$34)*EXP('Model Inputs &amp; Assumptions'!$Q$34*S3485-'Model Inputs &amp; Assumptions'!$Q$34^2/2))</f>
        <v>64.1023190882297</v>
      </c>
      <c r="I3485" s="49" t="n">
        <f aca="false">IF('Model Inputs &amp; Assumptions'!$H$34="Fixed",'Model Inputs &amp; Assumptions'!$I$34*'Model Inputs &amp; Assumptions'!$K$34,IF('Model Inputs &amp; Assumptions'!$H$34="CPM",'Model Inputs &amp; Assumptions'!$I$34*'Model Inputs &amp; Assumptions'!$K$34*C3485/1000,IF('Model Inputs &amp; Assumptions'!$H$34="CPC",'Model Inputs &amp; Assumptions'!$I$34*'Model Inputs &amp; Assumptions'!$K$34*G3485,0)))</f>
        <v>4985.75</v>
      </c>
      <c r="J3485" s="50" t="n">
        <f aca="false">H3485*INDEX('Model Inputs &amp; Assumptions'!$D$40:$D$42,MATCH('Model Inputs &amp; Assumptions'!$L$34,'Model Inputs &amp; Assumptions'!$A$40:$A$42,0))*INDEX('Model Inputs &amp; Assumptions'!$H$40:$H$42,MATCH('Model Inputs &amp; Assumptions'!$L$34,'Model Inputs &amp; Assumptions'!$A$40:$A$42,0))</f>
        <v>461536.697435254</v>
      </c>
      <c r="K3485" s="49" t="n">
        <f aca="false">H3485*INDEX('Model Inputs &amp; Assumptions'!$G$40:$G$42,MATCH('Model Inputs &amp; Assumptions'!$L$34,'Model Inputs &amp; Assumptions'!$A$40:$A$42,0))*INDEX('Model Inputs &amp; Assumptions'!$H$40:$H$42,MATCH('Model Inputs &amp; Assumptions'!$L$34,'Model Inputs &amp; Assumptions'!$A$40:$A$42,0))</f>
        <v>10176.8841784473</v>
      </c>
      <c r="L3485" s="51" t="n">
        <f aca="false">IFERROR(K3485/I3485,0)</f>
        <v>2.04119423927139</v>
      </c>
      <c r="M3485" s="49" t="n">
        <f aca="false">IFERROR(I3485/H3485,0)</f>
        <v>77.7779972848981</v>
      </c>
      <c r="N3485" s="52" t="str">
        <f aca="false">'Model Inputs &amp; Assumptions'!$L$34</f>
        <v>PRD-USIQ</v>
      </c>
      <c r="P3485" s="53" t="n">
        <v>-0.442796</v>
      </c>
      <c r="Q3485" s="53" t="n">
        <v>-0.091469</v>
      </c>
      <c r="R3485" s="53" t="n">
        <v>-0.12083</v>
      </c>
      <c r="S3485" s="53" t="n">
        <v>0.251563</v>
      </c>
    </row>
    <row r="3486" customFormat="false" ht="15" hidden="false" customHeight="false" outlineLevel="0" collapsed="false">
      <c r="A3486" s="43" t="n">
        <v>483</v>
      </c>
      <c r="B3486" s="44" t="str">
        <f aca="false">'Model Inputs &amp; Assumptions'!$B$34</f>
        <v>Meta — Lookalike Feed Video</v>
      </c>
      <c r="C3486" s="45" t="n">
        <f aca="false">ROUND(MAX(0,'Model Inputs &amp; Assumptions'!$S$34*EXP('Model Inputs &amp; Assumptions'!$T$34*P3486-'Model Inputs &amp; Assumptions'!$T$34^2/2)),0)</f>
        <v>496974</v>
      </c>
      <c r="D3486" s="46" t="n">
        <f aca="false">MIN(1,'Model Inputs &amp; Assumptions'!$U$34*EXP('Model Inputs &amp; Assumptions'!$V$34*Q3486-'Model Inputs &amp; Assumptions'!$V$34^2/2))</f>
        <v>0.307089178440077</v>
      </c>
      <c r="E3486" s="45" t="n">
        <f aca="false">ROUND(C3486*D3486,0)</f>
        <v>152615</v>
      </c>
      <c r="F3486" s="47" t="n">
        <f aca="false">MIN(1,'Model Inputs &amp; Assumptions'!$W$34*EXP('Model Inputs &amp; Assumptions'!$X$34*R3486-'Model Inputs &amp; Assumptions'!$X$34^2/2))</f>
        <v>0.00553056726161934</v>
      </c>
      <c r="G3486" s="45" t="n">
        <f aca="false">ROUND(C3486*F3486,0)</f>
        <v>2749</v>
      </c>
      <c r="H3486" s="48" t="n">
        <f aca="false">MAX(0,(C3486*'Model Inputs &amp; Assumptions'!$N$34+E3486*'Model Inputs &amp; Assumptions'!$O$34+G3486*'Model Inputs &amp; Assumptions'!$P$34)*EXP('Model Inputs &amp; Assumptions'!$Q$34*S3486-'Model Inputs &amp; Assumptions'!$Q$34^2/2))</f>
        <v>41.5875764787704</v>
      </c>
      <c r="I3486" s="49" t="n">
        <f aca="false">IF('Model Inputs &amp; Assumptions'!$H$34="Fixed",'Model Inputs &amp; Assumptions'!$I$34*'Model Inputs &amp; Assumptions'!$K$34,IF('Model Inputs &amp; Assumptions'!$H$34="CPM",'Model Inputs &amp; Assumptions'!$I$34*'Model Inputs &amp; Assumptions'!$K$34*C3486/1000,IF('Model Inputs &amp; Assumptions'!$H$34="CPC",'Model Inputs &amp; Assumptions'!$I$34*'Model Inputs &amp; Assumptions'!$K$34*G3486,0)))</f>
        <v>5085.65</v>
      </c>
      <c r="J3486" s="50" t="n">
        <f aca="false">H3486*INDEX('Model Inputs &amp; Assumptions'!$D$40:$D$42,MATCH('Model Inputs &amp; Assumptions'!$L$34,'Model Inputs &amp; Assumptions'!$A$40:$A$42,0))*INDEX('Model Inputs &amp; Assumptions'!$H$40:$H$42,MATCH('Model Inputs &amp; Assumptions'!$L$34,'Model Inputs &amp; Assumptions'!$A$40:$A$42,0))</f>
        <v>299430.550647147</v>
      </c>
      <c r="K3486" s="49" t="n">
        <f aca="false">H3486*INDEX('Model Inputs &amp; Assumptions'!$G$40:$G$42,MATCH('Model Inputs &amp; Assumptions'!$L$34,'Model Inputs &amp; Assumptions'!$A$40:$A$42,0))*INDEX('Model Inputs &amp; Assumptions'!$H$40:$H$42,MATCH('Model Inputs &amp; Assumptions'!$L$34,'Model Inputs &amp; Assumptions'!$A$40:$A$42,0))</f>
        <v>6602.44364176959</v>
      </c>
      <c r="L3486" s="51" t="n">
        <f aca="false">IFERROR(K3486/I3486,0)</f>
        <v>1.29824971080778</v>
      </c>
      <c r="M3486" s="49" t="n">
        <f aca="false">IFERROR(I3486/H3486,0)</f>
        <v>122.287722214256</v>
      </c>
      <c r="N3486" s="52" t="str">
        <f aca="false">'Model Inputs &amp; Assumptions'!$L$34</f>
        <v>PRD-USIQ</v>
      </c>
      <c r="P3486" s="53" t="n">
        <v>-0.126456</v>
      </c>
      <c r="Q3486" s="53" t="n">
        <v>1.886618</v>
      </c>
      <c r="R3486" s="53" t="n">
        <v>-0.362606</v>
      </c>
      <c r="S3486" s="53" t="n">
        <v>-1.339097</v>
      </c>
    </row>
    <row r="3487" customFormat="false" ht="15" hidden="false" customHeight="false" outlineLevel="0" collapsed="false">
      <c r="A3487" s="43" t="n">
        <v>484</v>
      </c>
      <c r="B3487" s="44" t="str">
        <f aca="false">'Model Inputs &amp; Assumptions'!$B$34</f>
        <v>Meta — Lookalike Feed Video</v>
      </c>
      <c r="C3487" s="45" t="n">
        <f aca="false">ROUND(MAX(0,'Model Inputs &amp; Assumptions'!$S$34*EXP('Model Inputs &amp; Assumptions'!$T$34*P3487-'Model Inputs &amp; Assumptions'!$T$34^2/2)),0)</f>
        <v>474395</v>
      </c>
      <c r="D3487" s="46" t="n">
        <f aca="false">MIN(1,'Model Inputs &amp; Assumptions'!$U$34*EXP('Model Inputs &amp; Assumptions'!$V$34*Q3487-'Model Inputs &amp; Assumptions'!$V$34^2/2))</f>
        <v>0.224700038138764</v>
      </c>
      <c r="E3487" s="45" t="n">
        <f aca="false">ROUND(C3487*D3487,0)</f>
        <v>106597</v>
      </c>
      <c r="F3487" s="47" t="n">
        <f aca="false">MIN(1,'Model Inputs &amp; Assumptions'!$W$34*EXP('Model Inputs &amp; Assumptions'!$X$34*R3487-'Model Inputs &amp; Assumptions'!$X$34^2/2))</f>
        <v>0.00505487270030258</v>
      </c>
      <c r="G3487" s="45" t="n">
        <f aca="false">ROUND(C3487*F3487,0)</f>
        <v>2398</v>
      </c>
      <c r="H3487" s="48" t="n">
        <f aca="false">MAX(0,(C3487*'Model Inputs &amp; Assumptions'!$N$34+E3487*'Model Inputs &amp; Assumptions'!$O$34+G3487*'Model Inputs &amp; Assumptions'!$P$34)*EXP('Model Inputs &amp; Assumptions'!$Q$34*S3487-'Model Inputs &amp; Assumptions'!$Q$34^2/2))</f>
        <v>67.3715200556339</v>
      </c>
      <c r="I3487" s="49" t="n">
        <f aca="false">IF('Model Inputs &amp; Assumptions'!$H$34="Fixed",'Model Inputs &amp; Assumptions'!$I$34*'Model Inputs &amp; Assumptions'!$K$34,IF('Model Inputs &amp; Assumptions'!$H$34="CPM",'Model Inputs &amp; Assumptions'!$I$34*'Model Inputs &amp; Assumptions'!$K$34*C3487/1000,IF('Model Inputs &amp; Assumptions'!$H$34="CPC",'Model Inputs &amp; Assumptions'!$I$34*'Model Inputs &amp; Assumptions'!$K$34*G3487,0)))</f>
        <v>4436.3</v>
      </c>
      <c r="J3487" s="50" t="n">
        <f aca="false">H3487*INDEX('Model Inputs &amp; Assumptions'!$D$40:$D$42,MATCH('Model Inputs &amp; Assumptions'!$L$34,'Model Inputs &amp; Assumptions'!$A$40:$A$42,0))*INDEX('Model Inputs &amp; Assumptions'!$H$40:$H$42,MATCH('Model Inputs &amp; Assumptions'!$L$34,'Model Inputs &amp; Assumptions'!$A$40:$A$42,0))</f>
        <v>485074.944400564</v>
      </c>
      <c r="K3487" s="49" t="n">
        <f aca="false">H3487*INDEX('Model Inputs &amp; Assumptions'!$G$40:$G$42,MATCH('Model Inputs &amp; Assumptions'!$L$34,'Model Inputs &amp; Assumptions'!$A$40:$A$42,0))*INDEX('Model Inputs &amp; Assumptions'!$H$40:$H$42,MATCH('Model Inputs &amp; Assumptions'!$L$34,'Model Inputs &amp; Assumptions'!$A$40:$A$42,0))</f>
        <v>10695.9025240324</v>
      </c>
      <c r="L3487" s="51" t="n">
        <f aca="false">IFERROR(K3487/I3487,0)</f>
        <v>2.41099621847766</v>
      </c>
      <c r="M3487" s="49" t="n">
        <f aca="false">IFERROR(I3487/H3487,0)</f>
        <v>65.8482990488652</v>
      </c>
      <c r="N3487" s="52" t="str">
        <f aca="false">'Model Inputs &amp; Assumptions'!$L$34</f>
        <v>PRD-USIQ</v>
      </c>
      <c r="P3487" s="53" t="n">
        <v>-0.358939</v>
      </c>
      <c r="Q3487" s="53" t="n">
        <v>-0.065706</v>
      </c>
      <c r="R3487" s="53" t="n">
        <v>-0.86226</v>
      </c>
      <c r="S3487" s="53" t="n">
        <v>0.71062</v>
      </c>
    </row>
    <row r="3488" customFormat="false" ht="15" hidden="false" customHeight="false" outlineLevel="0" collapsed="false">
      <c r="A3488" s="43" t="n">
        <v>485</v>
      </c>
      <c r="B3488" s="44" t="str">
        <f aca="false">'Model Inputs &amp; Assumptions'!$B$34</f>
        <v>Meta — Lookalike Feed Video</v>
      </c>
      <c r="C3488" s="45" t="n">
        <f aca="false">ROUND(MAX(0,'Model Inputs &amp; Assumptions'!$S$34*EXP('Model Inputs &amp; Assumptions'!$T$34*P3488-'Model Inputs &amp; Assumptions'!$T$34^2/2)),0)</f>
        <v>612867</v>
      </c>
      <c r="D3488" s="46" t="n">
        <f aca="false">MIN(1,'Model Inputs &amp; Assumptions'!$U$34*EXP('Model Inputs &amp; Assumptions'!$V$34*Q3488-'Model Inputs &amp; Assumptions'!$V$34^2/2))</f>
        <v>0.247108015047952</v>
      </c>
      <c r="E3488" s="45" t="n">
        <f aca="false">ROUND(C3488*D3488,0)</f>
        <v>151444</v>
      </c>
      <c r="F3488" s="47" t="n">
        <f aca="false">MIN(1,'Model Inputs &amp; Assumptions'!$W$34*EXP('Model Inputs &amp; Assumptions'!$X$34*R3488-'Model Inputs &amp; Assumptions'!$X$34^2/2))</f>
        <v>0.00503345873574108</v>
      </c>
      <c r="G3488" s="45" t="n">
        <f aca="false">ROUND(C3488*F3488,0)</f>
        <v>3085</v>
      </c>
      <c r="H3488" s="48" t="n">
        <f aca="false">MAX(0,(C3488*'Model Inputs &amp; Assumptions'!$N$34+E3488*'Model Inputs &amp; Assumptions'!$O$34+G3488*'Model Inputs &amp; Assumptions'!$P$34)*EXP('Model Inputs &amp; Assumptions'!$Q$34*S3488-'Model Inputs &amp; Assumptions'!$Q$34^2/2))</f>
        <v>61.1425710605844</v>
      </c>
      <c r="I3488" s="49" t="n">
        <f aca="false">IF('Model Inputs &amp; Assumptions'!$H$34="Fixed",'Model Inputs &amp; Assumptions'!$I$34*'Model Inputs &amp; Assumptions'!$K$34,IF('Model Inputs &amp; Assumptions'!$H$34="CPM",'Model Inputs &amp; Assumptions'!$I$34*'Model Inputs &amp; Assumptions'!$K$34*C3488/1000,IF('Model Inputs &amp; Assumptions'!$H$34="CPC",'Model Inputs &amp; Assumptions'!$I$34*'Model Inputs &amp; Assumptions'!$K$34*G3488,0)))</f>
        <v>5707.25</v>
      </c>
      <c r="J3488" s="50" t="n">
        <f aca="false">H3488*INDEX('Model Inputs &amp; Assumptions'!$D$40:$D$42,MATCH('Model Inputs &amp; Assumptions'!$L$34,'Model Inputs &amp; Assumptions'!$A$40:$A$42,0))*INDEX('Model Inputs &amp; Assumptions'!$H$40:$H$42,MATCH('Model Inputs &amp; Assumptions'!$L$34,'Model Inputs &amp; Assumptions'!$A$40:$A$42,0))</f>
        <v>440226.511636208</v>
      </c>
      <c r="K3488" s="49" t="n">
        <f aca="false">H3488*INDEX('Model Inputs &amp; Assumptions'!$G$40:$G$42,MATCH('Model Inputs &amp; Assumptions'!$L$34,'Model Inputs &amp; Assumptions'!$A$40:$A$42,0))*INDEX('Model Inputs &amp; Assumptions'!$H$40:$H$42,MATCH('Model Inputs &amp; Assumptions'!$L$34,'Model Inputs &amp; Assumptions'!$A$40:$A$42,0))</f>
        <v>9706.99458157838</v>
      </c>
      <c r="L3488" s="51" t="n">
        <f aca="false">IFERROR(K3488/I3488,0)</f>
        <v>1.70081818416547</v>
      </c>
      <c r="M3488" s="49" t="n">
        <f aca="false">IFERROR(I3488/H3488,0)</f>
        <v>93.3433105772548</v>
      </c>
      <c r="N3488" s="52" t="str">
        <f aca="false">'Model Inputs &amp; Assumptions'!$L$34</f>
        <v>PRD-USIQ</v>
      </c>
      <c r="P3488" s="53" t="n">
        <v>0.921594</v>
      </c>
      <c r="Q3488" s="53" t="n">
        <v>0.528414</v>
      </c>
      <c r="R3488" s="53" t="n">
        <v>-0.885845</v>
      </c>
      <c r="S3488" s="53" t="n">
        <v>-0.428627</v>
      </c>
    </row>
    <row r="3489" customFormat="false" ht="15" hidden="false" customHeight="false" outlineLevel="0" collapsed="false">
      <c r="A3489" s="43" t="n">
        <v>486</v>
      </c>
      <c r="B3489" s="44" t="str">
        <f aca="false">'Model Inputs &amp; Assumptions'!$B$34</f>
        <v>Meta — Lookalike Feed Video</v>
      </c>
      <c r="C3489" s="45" t="n">
        <f aca="false">ROUND(MAX(0,'Model Inputs &amp; Assumptions'!$S$34*EXP('Model Inputs &amp; Assumptions'!$T$34*P3489-'Model Inputs &amp; Assumptions'!$T$34^2/2)),0)</f>
        <v>621332</v>
      </c>
      <c r="D3489" s="46" t="n">
        <f aca="false">MIN(1,'Model Inputs &amp; Assumptions'!$U$34*EXP('Model Inputs &amp; Assumptions'!$V$34*Q3489-'Model Inputs &amp; Assumptions'!$V$34^2/2))</f>
        <v>0.237466183701704</v>
      </c>
      <c r="E3489" s="45" t="n">
        <f aca="false">ROUND(C3489*D3489,0)</f>
        <v>147545</v>
      </c>
      <c r="F3489" s="47" t="n">
        <f aca="false">MIN(1,'Model Inputs &amp; Assumptions'!$W$34*EXP('Model Inputs &amp; Assumptions'!$X$34*R3489-'Model Inputs &amp; Assumptions'!$X$34^2/2))</f>
        <v>0.00641385355694859</v>
      </c>
      <c r="G3489" s="45" t="n">
        <f aca="false">ROUND(C3489*F3489,0)</f>
        <v>3985</v>
      </c>
      <c r="H3489" s="48" t="n">
        <f aca="false">MAX(0,(C3489*'Model Inputs &amp; Assumptions'!$N$34+E3489*'Model Inputs &amp; Assumptions'!$O$34+G3489*'Model Inputs &amp; Assumptions'!$P$34)*EXP('Model Inputs &amp; Assumptions'!$Q$34*S3489-'Model Inputs &amp; Assumptions'!$Q$34^2/2))</f>
        <v>114.896761119795</v>
      </c>
      <c r="I3489" s="49" t="n">
        <f aca="false">IF('Model Inputs &amp; Assumptions'!$H$34="Fixed",'Model Inputs &amp; Assumptions'!$I$34*'Model Inputs &amp; Assumptions'!$K$34,IF('Model Inputs &amp; Assumptions'!$H$34="CPM",'Model Inputs &amp; Assumptions'!$I$34*'Model Inputs &amp; Assumptions'!$K$34*C3489/1000,IF('Model Inputs &amp; Assumptions'!$H$34="CPC",'Model Inputs &amp; Assumptions'!$I$34*'Model Inputs &amp; Assumptions'!$K$34*G3489,0)))</f>
        <v>7372.25</v>
      </c>
      <c r="J3489" s="50" t="n">
        <f aca="false">H3489*INDEX('Model Inputs &amp; Assumptions'!$D$40:$D$42,MATCH('Model Inputs &amp; Assumptions'!$L$34,'Model Inputs &amp; Assumptions'!$A$40:$A$42,0))*INDEX('Model Inputs &amp; Assumptions'!$H$40:$H$42,MATCH('Model Inputs &amp; Assumptions'!$L$34,'Model Inputs &amp; Assumptions'!$A$40:$A$42,0))</f>
        <v>827256.680062526</v>
      </c>
      <c r="K3489" s="49" t="n">
        <f aca="false">H3489*INDEX('Model Inputs &amp; Assumptions'!$G$40:$G$42,MATCH('Model Inputs &amp; Assumptions'!$L$34,'Model Inputs &amp; Assumptions'!$A$40:$A$42,0))*INDEX('Model Inputs &amp; Assumptions'!$H$40:$H$42,MATCH('Model Inputs &amp; Assumptions'!$L$34,'Model Inputs &amp; Assumptions'!$A$40:$A$42,0))</f>
        <v>18241.0097953787</v>
      </c>
      <c r="L3489" s="51" t="n">
        <f aca="false">IFERROR(K3489/I3489,0)</f>
        <v>2.47427987322442</v>
      </c>
      <c r="M3489" s="49" t="n">
        <f aca="false">IFERROR(I3489/H3489,0)</f>
        <v>64.1641237590104</v>
      </c>
      <c r="N3489" s="52" t="str">
        <f aca="false">'Model Inputs &amp; Assumptions'!$L$34</f>
        <v>PRD-USIQ</v>
      </c>
      <c r="P3489" s="53" t="n">
        <v>0.990184</v>
      </c>
      <c r="Q3489" s="53" t="n">
        <v>0.279662</v>
      </c>
      <c r="R3489" s="53" t="n">
        <v>0.46056</v>
      </c>
      <c r="S3489" s="53" t="n">
        <v>0.871424</v>
      </c>
    </row>
    <row r="3490" customFormat="false" ht="15" hidden="false" customHeight="false" outlineLevel="0" collapsed="false">
      <c r="A3490" s="43" t="n">
        <v>487</v>
      </c>
      <c r="B3490" s="44" t="str">
        <f aca="false">'Model Inputs &amp; Assumptions'!$B$34</f>
        <v>Meta — Lookalike Feed Video</v>
      </c>
      <c r="C3490" s="45" t="n">
        <f aca="false">ROUND(MAX(0,'Model Inputs &amp; Assumptions'!$S$34*EXP('Model Inputs &amp; Assumptions'!$T$34*P3490-'Model Inputs &amp; Assumptions'!$T$34^2/2)),0)</f>
        <v>538100</v>
      </c>
      <c r="D3490" s="46" t="n">
        <f aca="false">MIN(1,'Model Inputs &amp; Assumptions'!$U$34*EXP('Model Inputs &amp; Assumptions'!$V$34*Q3490-'Model Inputs &amp; Assumptions'!$V$34^2/2))</f>
        <v>0.231538690447179</v>
      </c>
      <c r="E3490" s="45" t="n">
        <f aca="false">ROUND(C3490*D3490,0)</f>
        <v>124591</v>
      </c>
      <c r="F3490" s="47" t="n">
        <f aca="false">MIN(1,'Model Inputs &amp; Assumptions'!$W$34*EXP('Model Inputs &amp; Assumptions'!$X$34*R3490-'Model Inputs &amp; Assumptions'!$X$34^2/2))</f>
        <v>0.00603148765476711</v>
      </c>
      <c r="G3490" s="45" t="n">
        <f aca="false">ROUND(C3490*F3490,0)</f>
        <v>3246</v>
      </c>
      <c r="H3490" s="48" t="n">
        <f aca="false">MAX(0,(C3490*'Model Inputs &amp; Assumptions'!$N$34+E3490*'Model Inputs &amp; Assumptions'!$O$34+G3490*'Model Inputs &amp; Assumptions'!$P$34)*EXP('Model Inputs &amp; Assumptions'!$Q$34*S3490-'Model Inputs &amp; Assumptions'!$Q$34^2/2))</f>
        <v>68.6320570603337</v>
      </c>
      <c r="I3490" s="49" t="n">
        <f aca="false">IF('Model Inputs &amp; Assumptions'!$H$34="Fixed",'Model Inputs &amp; Assumptions'!$I$34*'Model Inputs &amp; Assumptions'!$K$34,IF('Model Inputs &amp; Assumptions'!$H$34="CPM",'Model Inputs &amp; Assumptions'!$I$34*'Model Inputs &amp; Assumptions'!$K$34*C3490/1000,IF('Model Inputs &amp; Assumptions'!$H$34="CPC",'Model Inputs &amp; Assumptions'!$I$34*'Model Inputs &amp; Assumptions'!$K$34*G3490,0)))</f>
        <v>6005.1</v>
      </c>
      <c r="J3490" s="50" t="n">
        <f aca="false">H3490*INDEX('Model Inputs &amp; Assumptions'!$D$40:$D$42,MATCH('Model Inputs &amp; Assumptions'!$L$34,'Model Inputs &amp; Assumptions'!$A$40:$A$42,0))*INDEX('Model Inputs &amp; Assumptions'!$H$40:$H$42,MATCH('Model Inputs &amp; Assumptions'!$L$34,'Model Inputs &amp; Assumptions'!$A$40:$A$42,0))</f>
        <v>494150.810834402</v>
      </c>
      <c r="K3490" s="49" t="n">
        <f aca="false">H3490*INDEX('Model Inputs &amp; Assumptions'!$G$40:$G$42,MATCH('Model Inputs &amp; Assumptions'!$L$34,'Model Inputs &amp; Assumptions'!$A$40:$A$42,0))*INDEX('Model Inputs &amp; Assumptions'!$H$40:$H$42,MATCH('Model Inputs &amp; Assumptions'!$L$34,'Model Inputs &amp; Assumptions'!$A$40:$A$42,0))</f>
        <v>10896.0253788986</v>
      </c>
      <c r="L3490" s="51" t="n">
        <f aca="false">IFERROR(K3490/I3490,0)</f>
        <v>1.81446193716983</v>
      </c>
      <c r="M3490" s="49" t="n">
        <f aca="false">IFERROR(I3490/H3490,0)</f>
        <v>87.4970131628284</v>
      </c>
      <c r="N3490" s="52" t="str">
        <f aca="false">'Model Inputs &amp; Assumptions'!$L$34</f>
        <v>PRD-USIQ</v>
      </c>
      <c r="P3490" s="53" t="n">
        <v>0.271082</v>
      </c>
      <c r="Q3490" s="53" t="n">
        <v>0.121673</v>
      </c>
      <c r="R3490" s="53" t="n">
        <v>0.119079</v>
      </c>
      <c r="S3490" s="53" t="n">
        <v>-0.112576</v>
      </c>
    </row>
    <row r="3491" customFormat="false" ht="15" hidden="false" customHeight="false" outlineLevel="0" collapsed="false">
      <c r="A3491" s="43" t="n">
        <v>488</v>
      </c>
      <c r="B3491" s="44" t="str">
        <f aca="false">'Model Inputs &amp; Assumptions'!$B$34</f>
        <v>Meta — Lookalike Feed Video</v>
      </c>
      <c r="C3491" s="45" t="n">
        <f aca="false">ROUND(MAX(0,'Model Inputs &amp; Assumptions'!$S$34*EXP('Model Inputs &amp; Assumptions'!$T$34*P3491-'Model Inputs &amp; Assumptions'!$T$34^2/2)),0)</f>
        <v>593019</v>
      </c>
      <c r="D3491" s="46" t="n">
        <f aca="false">MIN(1,'Model Inputs &amp; Assumptions'!$U$34*EXP('Model Inputs &amp; Assumptions'!$V$34*Q3491-'Model Inputs &amp; Assumptions'!$V$34^2/2))</f>
        <v>0.252986859570764</v>
      </c>
      <c r="E3491" s="45" t="n">
        <f aca="false">ROUND(C3491*D3491,0)</f>
        <v>150026</v>
      </c>
      <c r="F3491" s="47" t="n">
        <f aca="false">MIN(1,'Model Inputs &amp; Assumptions'!$W$34*EXP('Model Inputs &amp; Assumptions'!$X$34*R3491-'Model Inputs &amp; Assumptions'!$X$34^2/2))</f>
        <v>0.00626637908377656</v>
      </c>
      <c r="G3491" s="45" t="n">
        <f aca="false">ROUND(C3491*F3491,0)</f>
        <v>3716</v>
      </c>
      <c r="H3491" s="48" t="n">
        <f aca="false">MAX(0,(C3491*'Model Inputs &amp; Assumptions'!$N$34+E3491*'Model Inputs &amp; Assumptions'!$O$34+G3491*'Model Inputs &amp; Assumptions'!$P$34)*EXP('Model Inputs &amp; Assumptions'!$Q$34*S3491-'Model Inputs &amp; Assumptions'!$Q$34^2/2))</f>
        <v>94.5881134042409</v>
      </c>
      <c r="I3491" s="49" t="n">
        <f aca="false">IF('Model Inputs &amp; Assumptions'!$H$34="Fixed",'Model Inputs &amp; Assumptions'!$I$34*'Model Inputs &amp; Assumptions'!$K$34,IF('Model Inputs &amp; Assumptions'!$H$34="CPM",'Model Inputs &amp; Assumptions'!$I$34*'Model Inputs &amp; Assumptions'!$K$34*C3491/1000,IF('Model Inputs &amp; Assumptions'!$H$34="CPC",'Model Inputs &amp; Assumptions'!$I$34*'Model Inputs &amp; Assumptions'!$K$34*G3491,0)))</f>
        <v>6874.6</v>
      </c>
      <c r="J3491" s="50" t="n">
        <f aca="false">H3491*INDEX('Model Inputs &amp; Assumptions'!$D$40:$D$42,MATCH('Model Inputs &amp; Assumptions'!$L$34,'Model Inputs &amp; Assumptions'!$A$40:$A$42,0))*INDEX('Model Inputs &amp; Assumptions'!$H$40:$H$42,MATCH('Model Inputs &amp; Assumptions'!$L$34,'Model Inputs &amp; Assumptions'!$A$40:$A$42,0))</f>
        <v>681034.416510534</v>
      </c>
      <c r="K3491" s="49" t="n">
        <f aca="false">H3491*INDEX('Model Inputs &amp; Assumptions'!$G$40:$G$42,MATCH('Model Inputs &amp; Assumptions'!$L$34,'Model Inputs &amp; Assumptions'!$A$40:$A$42,0))*INDEX('Model Inputs &amp; Assumptions'!$H$40:$H$42,MATCH('Model Inputs &amp; Assumptions'!$L$34,'Model Inputs &amp; Assumptions'!$A$40:$A$42,0))</f>
        <v>15016.8088840573</v>
      </c>
      <c r="L3491" s="51" t="n">
        <f aca="false">IFERROR(K3491/I3491,0)</f>
        <v>2.18439020220191</v>
      </c>
      <c r="M3491" s="49" t="n">
        <f aca="false">IFERROR(I3491/H3491,0)</f>
        <v>72.6793225129679</v>
      </c>
      <c r="N3491" s="52" t="str">
        <f aca="false">'Model Inputs &amp; Assumptions'!$L$34</f>
        <v>PRD-USIQ</v>
      </c>
      <c r="P3491" s="53" t="n">
        <v>0.756986</v>
      </c>
      <c r="Q3491" s="53" t="n">
        <v>0.675364</v>
      </c>
      <c r="R3491" s="53" t="n">
        <v>0.331329</v>
      </c>
      <c r="S3491" s="53" t="n">
        <v>0.44577</v>
      </c>
    </row>
    <row r="3492" customFormat="false" ht="15" hidden="false" customHeight="false" outlineLevel="0" collapsed="false">
      <c r="A3492" s="43" t="n">
        <v>489</v>
      </c>
      <c r="B3492" s="44" t="str">
        <f aca="false">'Model Inputs &amp; Assumptions'!$B$34</f>
        <v>Meta — Lookalike Feed Video</v>
      </c>
      <c r="C3492" s="45" t="n">
        <f aca="false">ROUND(MAX(0,'Model Inputs &amp; Assumptions'!$S$34*EXP('Model Inputs &amp; Assumptions'!$T$34*P3492-'Model Inputs &amp; Assumptions'!$T$34^2/2)),0)</f>
        <v>566225</v>
      </c>
      <c r="D3492" s="46" t="n">
        <f aca="false">MIN(1,'Model Inputs &amp; Assumptions'!$U$34*EXP('Model Inputs &amp; Assumptions'!$V$34*Q3492-'Model Inputs &amp; Assumptions'!$V$34^2/2))</f>
        <v>0.235495270139912</v>
      </c>
      <c r="E3492" s="45" t="n">
        <f aca="false">ROUND(C3492*D3492,0)</f>
        <v>133343</v>
      </c>
      <c r="F3492" s="47" t="n">
        <f aca="false">MIN(1,'Model Inputs &amp; Assumptions'!$W$34*EXP('Model Inputs &amp; Assumptions'!$X$34*R3492-'Model Inputs &amp; Assumptions'!$X$34^2/2))</f>
        <v>0.00549345063601125</v>
      </c>
      <c r="G3492" s="45" t="n">
        <f aca="false">ROUND(C3492*F3492,0)</f>
        <v>3111</v>
      </c>
      <c r="H3492" s="48" t="n">
        <f aca="false">MAX(0,(C3492*'Model Inputs &amp; Assumptions'!$N$34+E3492*'Model Inputs &amp; Assumptions'!$O$34+G3492*'Model Inputs &amp; Assumptions'!$P$34)*EXP('Model Inputs &amp; Assumptions'!$Q$34*S3492-'Model Inputs &amp; Assumptions'!$Q$34^2/2))</f>
        <v>67.7766739260481</v>
      </c>
      <c r="I3492" s="49" t="n">
        <f aca="false">IF('Model Inputs &amp; Assumptions'!$H$34="Fixed",'Model Inputs &amp; Assumptions'!$I$34*'Model Inputs &amp; Assumptions'!$K$34,IF('Model Inputs &amp; Assumptions'!$H$34="CPM",'Model Inputs &amp; Assumptions'!$I$34*'Model Inputs &amp; Assumptions'!$K$34*C3492/1000,IF('Model Inputs &amp; Assumptions'!$H$34="CPC",'Model Inputs &amp; Assumptions'!$I$34*'Model Inputs &amp; Assumptions'!$K$34*G3492,0)))</f>
        <v>5755.35</v>
      </c>
      <c r="J3492" s="50" t="n">
        <f aca="false">H3492*INDEX('Model Inputs &amp; Assumptions'!$D$40:$D$42,MATCH('Model Inputs &amp; Assumptions'!$L$34,'Model Inputs &amp; Assumptions'!$A$40:$A$42,0))*INDEX('Model Inputs &amp; Assumptions'!$H$40:$H$42,MATCH('Model Inputs &amp; Assumptions'!$L$34,'Model Inputs &amp; Assumptions'!$A$40:$A$42,0))</f>
        <v>487992.052267546</v>
      </c>
      <c r="K3492" s="49" t="n">
        <f aca="false">H3492*INDEX('Model Inputs &amp; Assumptions'!$G$40:$G$42,MATCH('Model Inputs &amp; Assumptions'!$L$34,'Model Inputs &amp; Assumptions'!$A$40:$A$42,0))*INDEX('Model Inputs &amp; Assumptions'!$H$40:$H$42,MATCH('Model Inputs &amp; Assumptions'!$L$34,'Model Inputs &amp; Assumptions'!$A$40:$A$42,0))</f>
        <v>10760.2247524994</v>
      </c>
      <c r="L3492" s="51" t="n">
        <f aca="false">IFERROR(K3492/I3492,0)</f>
        <v>1.86960389072765</v>
      </c>
      <c r="M3492" s="49" t="n">
        <f aca="false">IFERROR(I3492/H3492,0)</f>
        <v>84.9163829768296</v>
      </c>
      <c r="N3492" s="52" t="str">
        <f aca="false">'Model Inputs &amp; Assumptions'!$L$34</f>
        <v>PRD-USIQ</v>
      </c>
      <c r="P3492" s="53" t="n">
        <v>0.52581</v>
      </c>
      <c r="Q3492" s="53" t="n">
        <v>0.227572</v>
      </c>
      <c r="R3492" s="53" t="n">
        <v>-0.400016</v>
      </c>
      <c r="S3492" s="53" t="n">
        <v>-0.067182</v>
      </c>
    </row>
    <row r="3493" customFormat="false" ht="15" hidden="false" customHeight="false" outlineLevel="0" collapsed="false">
      <c r="A3493" s="43" t="n">
        <v>490</v>
      </c>
      <c r="B3493" s="44" t="str">
        <f aca="false">'Model Inputs &amp; Assumptions'!$B$34</f>
        <v>Meta — Lookalike Feed Video</v>
      </c>
      <c r="C3493" s="45" t="n">
        <f aca="false">ROUND(MAX(0,'Model Inputs &amp; Assumptions'!$S$34*EXP('Model Inputs &amp; Assumptions'!$T$34*P3493-'Model Inputs &amp; Assumptions'!$T$34^2/2)),0)</f>
        <v>738861</v>
      </c>
      <c r="D3493" s="46" t="n">
        <f aca="false">MIN(1,'Model Inputs &amp; Assumptions'!$U$34*EXP('Model Inputs &amp; Assumptions'!$V$34*Q3493-'Model Inputs &amp; Assumptions'!$V$34^2/2))</f>
        <v>0.186510755735172</v>
      </c>
      <c r="E3493" s="45" t="n">
        <f aca="false">ROUND(C3493*D3493,0)</f>
        <v>137806</v>
      </c>
      <c r="F3493" s="47" t="n">
        <f aca="false">MIN(1,'Model Inputs &amp; Assumptions'!$W$34*EXP('Model Inputs &amp; Assumptions'!$X$34*R3493-'Model Inputs &amp; Assumptions'!$X$34^2/2))</f>
        <v>0.00702300921454142</v>
      </c>
      <c r="G3493" s="45" t="n">
        <f aca="false">ROUND(C3493*F3493,0)</f>
        <v>5189</v>
      </c>
      <c r="H3493" s="48" t="n">
        <f aca="false">MAX(0,(C3493*'Model Inputs &amp; Assumptions'!$N$34+E3493*'Model Inputs &amp; Assumptions'!$O$34+G3493*'Model Inputs &amp; Assumptions'!$P$34)*EXP('Model Inputs &amp; Assumptions'!$Q$34*S3493-'Model Inputs &amp; Assumptions'!$Q$34^2/2))</f>
        <v>169.29720629797</v>
      </c>
      <c r="I3493" s="49" t="n">
        <f aca="false">IF('Model Inputs &amp; Assumptions'!$H$34="Fixed",'Model Inputs &amp; Assumptions'!$I$34*'Model Inputs &amp; Assumptions'!$K$34,IF('Model Inputs &amp; Assumptions'!$H$34="CPM",'Model Inputs &amp; Assumptions'!$I$34*'Model Inputs &amp; Assumptions'!$K$34*C3493/1000,IF('Model Inputs &amp; Assumptions'!$H$34="CPC",'Model Inputs &amp; Assumptions'!$I$34*'Model Inputs &amp; Assumptions'!$K$34*G3493,0)))</f>
        <v>9599.65</v>
      </c>
      <c r="J3493" s="50" t="n">
        <f aca="false">H3493*INDEX('Model Inputs &amp; Assumptions'!$D$40:$D$42,MATCH('Model Inputs &amp; Assumptions'!$L$34,'Model Inputs &amp; Assumptions'!$A$40:$A$42,0))*INDEX('Model Inputs &amp; Assumptions'!$H$40:$H$42,MATCH('Model Inputs &amp; Assumptions'!$L$34,'Model Inputs &amp; Assumptions'!$A$40:$A$42,0))</f>
        <v>1218939.88534538</v>
      </c>
      <c r="K3493" s="49" t="n">
        <f aca="false">H3493*INDEX('Model Inputs &amp; Assumptions'!$G$40:$G$42,MATCH('Model Inputs &amp; Assumptions'!$L$34,'Model Inputs &amp; Assumptions'!$A$40:$A$42,0))*INDEX('Model Inputs &amp; Assumptions'!$H$40:$H$42,MATCH('Model Inputs &amp; Assumptions'!$L$34,'Model Inputs &amp; Assumptions'!$A$40:$A$42,0))</f>
        <v>26877.6244718657</v>
      </c>
      <c r="L3493" s="51" t="n">
        <f aca="false">IFERROR(K3493/I3493,0)</f>
        <v>2.79985462718596</v>
      </c>
      <c r="M3493" s="49" t="n">
        <f aca="false">IFERROR(I3493/H3493,0)</f>
        <v>56.702943952331</v>
      </c>
      <c r="N3493" s="52" t="str">
        <f aca="false">'Model Inputs &amp; Assumptions'!$L$34</f>
        <v>PRD-USIQ</v>
      </c>
      <c r="P3493" s="53" t="n">
        <v>1.856403</v>
      </c>
      <c r="Q3493" s="53" t="n">
        <v>-1.22994</v>
      </c>
      <c r="R3493" s="53" t="n">
        <v>0.964624</v>
      </c>
      <c r="S3493" s="53" t="n">
        <v>1.373829</v>
      </c>
    </row>
    <row r="3494" customFormat="false" ht="15" hidden="false" customHeight="false" outlineLevel="0" collapsed="false">
      <c r="A3494" s="43" t="n">
        <v>491</v>
      </c>
      <c r="B3494" s="44" t="str">
        <f aca="false">'Model Inputs &amp; Assumptions'!$B$34</f>
        <v>Meta — Lookalike Feed Video</v>
      </c>
      <c r="C3494" s="45" t="n">
        <f aca="false">ROUND(MAX(0,'Model Inputs &amp; Assumptions'!$S$34*EXP('Model Inputs &amp; Assumptions'!$T$34*P3494-'Model Inputs &amp; Assumptions'!$T$34^2/2)),0)</f>
        <v>561836</v>
      </c>
      <c r="D3494" s="46" t="n">
        <f aca="false">MIN(1,'Model Inputs &amp; Assumptions'!$U$34*EXP('Model Inputs &amp; Assumptions'!$V$34*Q3494-'Model Inputs &amp; Assumptions'!$V$34^2/2))</f>
        <v>0.291165626626197</v>
      </c>
      <c r="E3494" s="45" t="n">
        <f aca="false">ROUND(C3494*D3494,0)</f>
        <v>163587</v>
      </c>
      <c r="F3494" s="47" t="n">
        <f aca="false">MIN(1,'Model Inputs &amp; Assumptions'!$W$34*EXP('Model Inputs &amp; Assumptions'!$X$34*R3494-'Model Inputs &amp; Assumptions'!$X$34^2/2))</f>
        <v>0.00544875972416172</v>
      </c>
      <c r="G3494" s="45" t="n">
        <f aca="false">ROUND(C3494*F3494,0)</f>
        <v>3061</v>
      </c>
      <c r="H3494" s="48" t="n">
        <f aca="false">MAX(0,(C3494*'Model Inputs &amp; Assumptions'!$N$34+E3494*'Model Inputs &amp; Assumptions'!$O$34+G3494*'Model Inputs &amp; Assumptions'!$P$34)*EXP('Model Inputs &amp; Assumptions'!$Q$34*S3494-'Model Inputs &amp; Assumptions'!$Q$34^2/2))</f>
        <v>67.4319230557337</v>
      </c>
      <c r="I3494" s="49" t="n">
        <f aca="false">IF('Model Inputs &amp; Assumptions'!$H$34="Fixed",'Model Inputs &amp; Assumptions'!$I$34*'Model Inputs &amp; Assumptions'!$K$34,IF('Model Inputs &amp; Assumptions'!$H$34="CPM",'Model Inputs &amp; Assumptions'!$I$34*'Model Inputs &amp; Assumptions'!$K$34*C3494/1000,IF('Model Inputs &amp; Assumptions'!$H$34="CPC",'Model Inputs &amp; Assumptions'!$I$34*'Model Inputs &amp; Assumptions'!$K$34*G3494,0)))</f>
        <v>5662.85</v>
      </c>
      <c r="J3494" s="50" t="n">
        <f aca="false">H3494*INDEX('Model Inputs &amp; Assumptions'!$D$40:$D$42,MATCH('Model Inputs &amp; Assumptions'!$L$34,'Model Inputs &amp; Assumptions'!$A$40:$A$42,0))*INDEX('Model Inputs &amp; Assumptions'!$H$40:$H$42,MATCH('Model Inputs &amp; Assumptions'!$L$34,'Model Inputs &amp; Assumptions'!$A$40:$A$42,0))</f>
        <v>485509.846001282</v>
      </c>
      <c r="K3494" s="49" t="n">
        <f aca="false">H3494*INDEX('Model Inputs &amp; Assumptions'!$G$40:$G$42,MATCH('Model Inputs &amp; Assumptions'!$L$34,'Model Inputs &amp; Assumptions'!$A$40:$A$42,0))*INDEX('Model Inputs &amp; Assumptions'!$H$40:$H$42,MATCH('Model Inputs &amp; Assumptions'!$L$34,'Model Inputs &amp; Assumptions'!$A$40:$A$42,0))</f>
        <v>10705.4921043283</v>
      </c>
      <c r="L3494" s="51" t="n">
        <f aca="false">IFERROR(K3494/I3494,0)</f>
        <v>1.89047778138716</v>
      </c>
      <c r="M3494" s="49" t="n">
        <f aca="false">IFERROR(I3494/H3494,0)</f>
        <v>83.9787706383452</v>
      </c>
      <c r="N3494" s="52" t="str">
        <f aca="false">'Model Inputs &amp; Assumptions'!$L$34</f>
        <v>PRD-USIQ</v>
      </c>
      <c r="P3494" s="53" t="n">
        <v>0.486902</v>
      </c>
      <c r="Q3494" s="53" t="n">
        <v>1.553831</v>
      </c>
      <c r="R3494" s="53" t="n">
        <v>-0.445397</v>
      </c>
      <c r="S3494" s="53" t="n">
        <v>-0.143394</v>
      </c>
    </row>
    <row r="3495" customFormat="false" ht="15" hidden="false" customHeight="false" outlineLevel="0" collapsed="false">
      <c r="A3495" s="43" t="n">
        <v>492</v>
      </c>
      <c r="B3495" s="44" t="str">
        <f aca="false">'Model Inputs &amp; Assumptions'!$B$34</f>
        <v>Meta — Lookalike Feed Video</v>
      </c>
      <c r="C3495" s="45" t="n">
        <f aca="false">ROUND(MAX(0,'Model Inputs &amp; Assumptions'!$S$34*EXP('Model Inputs &amp; Assumptions'!$T$34*P3495-'Model Inputs &amp; Assumptions'!$T$34^2/2)),0)</f>
        <v>544503</v>
      </c>
      <c r="D3495" s="46" t="n">
        <f aca="false">MIN(1,'Model Inputs &amp; Assumptions'!$U$34*EXP('Model Inputs &amp; Assumptions'!$V$34*Q3495-'Model Inputs &amp; Assumptions'!$V$34^2/2))</f>
        <v>0.224745881622421</v>
      </c>
      <c r="E3495" s="45" t="n">
        <f aca="false">ROUND(C3495*D3495,0)</f>
        <v>122375</v>
      </c>
      <c r="F3495" s="47" t="n">
        <f aca="false">MIN(1,'Model Inputs &amp; Assumptions'!$W$34*EXP('Model Inputs &amp; Assumptions'!$X$34*R3495-'Model Inputs &amp; Assumptions'!$X$34^2/2))</f>
        <v>0.00668861688573285</v>
      </c>
      <c r="G3495" s="45" t="n">
        <f aca="false">ROUND(C3495*F3495,0)</f>
        <v>3642</v>
      </c>
      <c r="H3495" s="48" t="n">
        <f aca="false">MAX(0,(C3495*'Model Inputs &amp; Assumptions'!$N$34+E3495*'Model Inputs &amp; Assumptions'!$O$34+G3495*'Model Inputs &amp; Assumptions'!$P$34)*EXP('Model Inputs &amp; Assumptions'!$Q$34*S3495-'Model Inputs &amp; Assumptions'!$Q$34^2/2))</f>
        <v>86.8154820778271</v>
      </c>
      <c r="I3495" s="49" t="n">
        <f aca="false">IF('Model Inputs &amp; Assumptions'!$H$34="Fixed",'Model Inputs &amp; Assumptions'!$I$34*'Model Inputs &amp; Assumptions'!$K$34,IF('Model Inputs &amp; Assumptions'!$H$34="CPM",'Model Inputs &amp; Assumptions'!$I$34*'Model Inputs &amp; Assumptions'!$K$34*C3495/1000,IF('Model Inputs &amp; Assumptions'!$H$34="CPC",'Model Inputs &amp; Assumptions'!$I$34*'Model Inputs &amp; Assumptions'!$K$34*G3495,0)))</f>
        <v>6737.7</v>
      </c>
      <c r="J3495" s="50" t="n">
        <f aca="false">H3495*INDEX('Model Inputs &amp; Assumptions'!$D$40:$D$42,MATCH('Model Inputs &amp; Assumptions'!$L$34,'Model Inputs &amp; Assumptions'!$A$40:$A$42,0))*INDEX('Model Inputs &amp; Assumptions'!$H$40:$H$42,MATCH('Model Inputs &amp; Assumptions'!$L$34,'Model Inputs &amp; Assumptions'!$A$40:$A$42,0))</f>
        <v>625071.470960355</v>
      </c>
      <c r="K3495" s="49" t="n">
        <f aca="false">H3495*INDEX('Model Inputs &amp; Assumptions'!$G$40:$G$42,MATCH('Model Inputs &amp; Assumptions'!$L$34,'Model Inputs &amp; Assumptions'!$A$40:$A$42,0))*INDEX('Model Inputs &amp; Assumptions'!$H$40:$H$42,MATCH('Model Inputs &amp; Assumptions'!$L$34,'Model Inputs &amp; Assumptions'!$A$40:$A$42,0))</f>
        <v>13782.8259346758</v>
      </c>
      <c r="L3495" s="51" t="n">
        <f aca="false">IFERROR(K3495/I3495,0)</f>
        <v>2.04562772677261</v>
      </c>
      <c r="M3495" s="49" t="n">
        <f aca="false">IFERROR(I3495/H3495,0)</f>
        <v>77.6094290873128</v>
      </c>
      <c r="N3495" s="52" t="str">
        <f aca="false">'Model Inputs &amp; Assumptions'!$L$34</f>
        <v>PRD-USIQ</v>
      </c>
      <c r="P3495" s="53" t="n">
        <v>0.330221</v>
      </c>
      <c r="Q3495" s="53" t="n">
        <v>-0.064431</v>
      </c>
      <c r="R3495" s="53" t="n">
        <v>0.693598</v>
      </c>
      <c r="S3495" s="53" t="n">
        <v>0.314413</v>
      </c>
    </row>
    <row r="3496" customFormat="false" ht="15" hidden="false" customHeight="false" outlineLevel="0" collapsed="false">
      <c r="A3496" s="43" t="n">
        <v>493</v>
      </c>
      <c r="B3496" s="44" t="str">
        <f aca="false">'Model Inputs &amp; Assumptions'!$B$34</f>
        <v>Meta — Lookalike Feed Video</v>
      </c>
      <c r="C3496" s="45" t="n">
        <f aca="false">ROUND(MAX(0,'Model Inputs &amp; Assumptions'!$S$34*EXP('Model Inputs &amp; Assumptions'!$T$34*P3496-'Model Inputs &amp; Assumptions'!$T$34^2/2)),0)</f>
        <v>487234</v>
      </c>
      <c r="D3496" s="46" t="n">
        <f aca="false">MIN(1,'Model Inputs &amp; Assumptions'!$U$34*EXP('Model Inputs &amp; Assumptions'!$V$34*Q3496-'Model Inputs &amp; Assumptions'!$V$34^2/2))</f>
        <v>0.266740028735621</v>
      </c>
      <c r="E3496" s="45" t="n">
        <f aca="false">ROUND(C3496*D3496,0)</f>
        <v>129965</v>
      </c>
      <c r="F3496" s="47" t="n">
        <f aca="false">MIN(1,'Model Inputs &amp; Assumptions'!$W$34*EXP('Model Inputs &amp; Assumptions'!$X$34*R3496-'Model Inputs &amp; Assumptions'!$X$34^2/2))</f>
        <v>0.00496564276944693</v>
      </c>
      <c r="G3496" s="45" t="n">
        <f aca="false">ROUND(C3496*F3496,0)</f>
        <v>2419</v>
      </c>
      <c r="H3496" s="48" t="n">
        <f aca="false">MAX(0,(C3496*'Model Inputs &amp; Assumptions'!$N$34+E3496*'Model Inputs &amp; Assumptions'!$O$34+G3496*'Model Inputs &amp; Assumptions'!$P$34)*EXP('Model Inputs &amp; Assumptions'!$Q$34*S3496-'Model Inputs &amp; Assumptions'!$Q$34^2/2))</f>
        <v>59.9268843284427</v>
      </c>
      <c r="I3496" s="49" t="n">
        <f aca="false">IF('Model Inputs &amp; Assumptions'!$H$34="Fixed",'Model Inputs &amp; Assumptions'!$I$34*'Model Inputs &amp; Assumptions'!$K$34,IF('Model Inputs &amp; Assumptions'!$H$34="CPM",'Model Inputs &amp; Assumptions'!$I$34*'Model Inputs &amp; Assumptions'!$K$34*C3496/1000,IF('Model Inputs &amp; Assumptions'!$H$34="CPC",'Model Inputs &amp; Assumptions'!$I$34*'Model Inputs &amp; Assumptions'!$K$34*G3496,0)))</f>
        <v>4475.15</v>
      </c>
      <c r="J3496" s="50" t="n">
        <f aca="false">H3496*INDEX('Model Inputs &amp; Assumptions'!$D$40:$D$42,MATCH('Model Inputs &amp; Assumptions'!$L$34,'Model Inputs &amp; Assumptions'!$A$40:$A$42,0))*INDEX('Model Inputs &amp; Assumptions'!$H$40:$H$42,MATCH('Model Inputs &amp; Assumptions'!$L$34,'Model Inputs &amp; Assumptions'!$A$40:$A$42,0))</f>
        <v>431473.567164788</v>
      </c>
      <c r="K3496" s="49" t="n">
        <f aca="false">H3496*INDEX('Model Inputs &amp; Assumptions'!$G$40:$G$42,MATCH('Model Inputs &amp; Assumptions'!$L$34,'Model Inputs &amp; Assumptions'!$A$40:$A$42,0))*INDEX('Model Inputs &amp; Assumptions'!$H$40:$H$42,MATCH('Model Inputs &amp; Assumptions'!$L$34,'Model Inputs &amp; Assumptions'!$A$40:$A$42,0))</f>
        <v>9513.99215598357</v>
      </c>
      <c r="L3496" s="51" t="n">
        <f aca="false">IFERROR(K3496/I3496,0)</f>
        <v>2.12596050545425</v>
      </c>
      <c r="M3496" s="49" t="n">
        <f aca="false">IFERROR(I3496/H3496,0)</f>
        <v>74.676834114601</v>
      </c>
      <c r="N3496" s="52" t="str">
        <f aca="false">'Model Inputs &amp; Assumptions'!$L$34</f>
        <v>PRD-USIQ</v>
      </c>
      <c r="P3496" s="53" t="n">
        <v>-0.225425</v>
      </c>
      <c r="Q3496" s="53" t="n">
        <v>1.00622</v>
      </c>
      <c r="R3496" s="53" t="n">
        <v>-0.961204</v>
      </c>
      <c r="S3496" s="53" t="n">
        <v>0.220535</v>
      </c>
    </row>
    <row r="3497" customFormat="false" ht="15" hidden="false" customHeight="false" outlineLevel="0" collapsed="false">
      <c r="A3497" s="43" t="n">
        <v>494</v>
      </c>
      <c r="B3497" s="44" t="str">
        <f aca="false">'Model Inputs &amp; Assumptions'!$B$34</f>
        <v>Meta — Lookalike Feed Video</v>
      </c>
      <c r="C3497" s="45" t="n">
        <f aca="false">ROUND(MAX(0,'Model Inputs &amp; Assumptions'!$S$34*EXP('Model Inputs &amp; Assumptions'!$T$34*P3497-'Model Inputs &amp; Assumptions'!$T$34^2/2)),0)</f>
        <v>578436</v>
      </c>
      <c r="D3497" s="46" t="n">
        <f aca="false">MIN(1,'Model Inputs &amp; Assumptions'!$U$34*EXP('Model Inputs &amp; Assumptions'!$V$34*Q3497-'Model Inputs &amp; Assumptions'!$V$34^2/2))</f>
        <v>0.232129886108656</v>
      </c>
      <c r="E3497" s="45" t="n">
        <f aca="false">ROUND(C3497*D3497,0)</f>
        <v>134272</v>
      </c>
      <c r="F3497" s="47" t="n">
        <f aca="false">MIN(1,'Model Inputs &amp; Assumptions'!$W$34*EXP('Model Inputs &amp; Assumptions'!$X$34*R3497-'Model Inputs &amp; Assumptions'!$X$34^2/2))</f>
        <v>0.0047716561658913</v>
      </c>
      <c r="G3497" s="45" t="n">
        <f aca="false">ROUND(C3497*F3497,0)</f>
        <v>2760</v>
      </c>
      <c r="H3497" s="48" t="n">
        <f aca="false">MAX(0,(C3497*'Model Inputs &amp; Assumptions'!$N$34+E3497*'Model Inputs &amp; Assumptions'!$O$34+G3497*'Model Inputs &amp; Assumptions'!$P$34)*EXP('Model Inputs &amp; Assumptions'!$Q$34*S3497-'Model Inputs &amp; Assumptions'!$Q$34^2/2))</f>
        <v>69.8837654421791</v>
      </c>
      <c r="I3497" s="49" t="n">
        <f aca="false">IF('Model Inputs &amp; Assumptions'!$H$34="Fixed",'Model Inputs &amp; Assumptions'!$I$34*'Model Inputs &amp; Assumptions'!$K$34,IF('Model Inputs &amp; Assumptions'!$H$34="CPM",'Model Inputs &amp; Assumptions'!$I$34*'Model Inputs &amp; Assumptions'!$K$34*C3497/1000,IF('Model Inputs &amp; Assumptions'!$H$34="CPC",'Model Inputs &amp; Assumptions'!$I$34*'Model Inputs &amp; Assumptions'!$K$34*G3497,0)))</f>
        <v>5106</v>
      </c>
      <c r="J3497" s="50" t="n">
        <f aca="false">H3497*INDEX('Model Inputs &amp; Assumptions'!$D$40:$D$42,MATCH('Model Inputs &amp; Assumptions'!$L$34,'Model Inputs &amp; Assumptions'!$A$40:$A$42,0))*INDEX('Model Inputs &amp; Assumptions'!$H$40:$H$42,MATCH('Model Inputs &amp; Assumptions'!$L$34,'Model Inputs &amp; Assumptions'!$A$40:$A$42,0))</f>
        <v>503163.11118369</v>
      </c>
      <c r="K3497" s="49" t="n">
        <f aca="false">H3497*INDEX('Model Inputs &amp; Assumptions'!$G$40:$G$42,MATCH('Model Inputs &amp; Assumptions'!$L$34,'Model Inputs &amp; Assumptions'!$A$40:$A$42,0))*INDEX('Model Inputs &amp; Assumptions'!$H$40:$H$42,MATCH('Model Inputs &amp; Assumptions'!$L$34,'Model Inputs &amp; Assumptions'!$A$40:$A$42,0))</f>
        <v>11094.7466016004</v>
      </c>
      <c r="L3497" s="51" t="n">
        <f aca="false">IFERROR(K3497/I3497,0)</f>
        <v>2.17288417579325</v>
      </c>
      <c r="M3497" s="49" t="n">
        <f aca="false">IFERROR(I3497/H3497,0)</f>
        <v>73.0641797518</v>
      </c>
      <c r="N3497" s="52" t="str">
        <f aca="false">'Model Inputs &amp; Assumptions'!$L$34</f>
        <v>PRD-USIQ</v>
      </c>
      <c r="P3497" s="53" t="n">
        <v>0.632497</v>
      </c>
      <c r="Q3497" s="53" t="n">
        <v>0.137611</v>
      </c>
      <c r="R3497" s="53" t="n">
        <v>-1.182589</v>
      </c>
      <c r="S3497" s="53" t="n">
        <v>0.341442</v>
      </c>
    </row>
    <row r="3498" customFormat="false" ht="15" hidden="false" customHeight="false" outlineLevel="0" collapsed="false">
      <c r="A3498" s="43" t="n">
        <v>495</v>
      </c>
      <c r="B3498" s="44" t="str">
        <f aca="false">'Model Inputs &amp; Assumptions'!$B$34</f>
        <v>Meta — Lookalike Feed Video</v>
      </c>
      <c r="C3498" s="45" t="n">
        <f aca="false">ROUND(MAX(0,'Model Inputs &amp; Assumptions'!$S$34*EXP('Model Inputs &amp; Assumptions'!$T$34*P3498-'Model Inputs &amp; Assumptions'!$T$34^2/2)),0)</f>
        <v>513368</v>
      </c>
      <c r="D3498" s="46" t="n">
        <f aca="false">MIN(1,'Model Inputs &amp; Assumptions'!$U$34*EXP('Model Inputs &amp; Assumptions'!$V$34*Q3498-'Model Inputs &amp; Assumptions'!$V$34^2/2))</f>
        <v>0.240260701231059</v>
      </c>
      <c r="E3498" s="45" t="n">
        <f aca="false">ROUND(C3498*D3498,0)</f>
        <v>123342</v>
      </c>
      <c r="F3498" s="47" t="n">
        <f aca="false">MIN(1,'Model Inputs &amp; Assumptions'!$W$34*EXP('Model Inputs &amp; Assumptions'!$X$34*R3498-'Model Inputs &amp; Assumptions'!$X$34^2/2))</f>
        <v>0.00642829981760762</v>
      </c>
      <c r="G3498" s="45" t="n">
        <f aca="false">ROUND(C3498*F3498,0)</f>
        <v>3300</v>
      </c>
      <c r="H3498" s="48" t="n">
        <f aca="false">MAX(0,(C3498*'Model Inputs &amp; Assumptions'!$N$34+E3498*'Model Inputs &amp; Assumptions'!$O$34+G3498*'Model Inputs &amp; Assumptions'!$P$34)*EXP('Model Inputs &amp; Assumptions'!$Q$34*S3498-'Model Inputs &amp; Assumptions'!$Q$34^2/2))</f>
        <v>111.84259403551</v>
      </c>
      <c r="I3498" s="49" t="n">
        <f aca="false">IF('Model Inputs &amp; Assumptions'!$H$34="Fixed",'Model Inputs &amp; Assumptions'!$I$34*'Model Inputs &amp; Assumptions'!$K$34,IF('Model Inputs &amp; Assumptions'!$H$34="CPM",'Model Inputs &amp; Assumptions'!$I$34*'Model Inputs &amp; Assumptions'!$K$34*C3498/1000,IF('Model Inputs &amp; Assumptions'!$H$34="CPC",'Model Inputs &amp; Assumptions'!$I$34*'Model Inputs &amp; Assumptions'!$K$34*G3498,0)))</f>
        <v>6105</v>
      </c>
      <c r="J3498" s="50" t="n">
        <f aca="false">H3498*INDEX('Model Inputs &amp; Assumptions'!$D$40:$D$42,MATCH('Model Inputs &amp; Assumptions'!$L$34,'Model Inputs &amp; Assumptions'!$A$40:$A$42,0))*INDEX('Model Inputs &amp; Assumptions'!$H$40:$H$42,MATCH('Model Inputs &amp; Assumptions'!$L$34,'Model Inputs &amp; Assumptions'!$A$40:$A$42,0))</f>
        <v>805266.677055669</v>
      </c>
      <c r="K3498" s="49" t="n">
        <f aca="false">H3498*INDEX('Model Inputs &amp; Assumptions'!$G$40:$G$42,MATCH('Model Inputs &amp; Assumptions'!$L$34,'Model Inputs &amp; Assumptions'!$A$40:$A$42,0))*INDEX('Model Inputs &amp; Assumptions'!$H$40:$H$42,MATCH('Model Inputs &amp; Assumptions'!$L$34,'Model Inputs &amp; Assumptions'!$A$40:$A$42,0))</f>
        <v>17756.1302290775</v>
      </c>
      <c r="L3498" s="51" t="n">
        <f aca="false">IFERROR(K3498/I3498,0)</f>
        <v>2.90845703997993</v>
      </c>
      <c r="M3498" s="49" t="n">
        <f aca="false">IFERROR(I3498/H3498,0)</f>
        <v>54.5856438027688</v>
      </c>
      <c r="N3498" s="52" t="str">
        <f aca="false">'Model Inputs &amp; Assumptions'!$L$34</f>
        <v>PRD-USIQ</v>
      </c>
      <c r="P3498" s="53" t="n">
        <v>0.035823</v>
      </c>
      <c r="Q3498" s="53" t="n">
        <v>0.352783</v>
      </c>
      <c r="R3498" s="53" t="n">
        <v>0.473059</v>
      </c>
      <c r="S3498" s="53" t="n">
        <v>1.372831</v>
      </c>
    </row>
    <row r="3499" customFormat="false" ht="15" hidden="false" customHeight="false" outlineLevel="0" collapsed="false">
      <c r="A3499" s="43" t="n">
        <v>496</v>
      </c>
      <c r="B3499" s="44" t="str">
        <f aca="false">'Model Inputs &amp; Assumptions'!$B$34</f>
        <v>Meta — Lookalike Feed Video</v>
      </c>
      <c r="C3499" s="45" t="n">
        <f aca="false">ROUND(MAX(0,'Model Inputs &amp; Assumptions'!$S$34*EXP('Model Inputs &amp; Assumptions'!$T$34*P3499-'Model Inputs &amp; Assumptions'!$T$34^2/2)),0)</f>
        <v>425420</v>
      </c>
      <c r="D3499" s="46" t="n">
        <f aca="false">MIN(1,'Model Inputs &amp; Assumptions'!$U$34*EXP('Model Inputs &amp; Assumptions'!$V$34*Q3499-'Model Inputs &amp; Assumptions'!$V$34^2/2))</f>
        <v>0.20413810476239</v>
      </c>
      <c r="E3499" s="45" t="n">
        <f aca="false">ROUND(C3499*D3499,0)</f>
        <v>86844</v>
      </c>
      <c r="F3499" s="47" t="n">
        <f aca="false">MIN(1,'Model Inputs &amp; Assumptions'!$W$34*EXP('Model Inputs &amp; Assumptions'!$X$34*R3499-'Model Inputs &amp; Assumptions'!$X$34^2/2))</f>
        <v>0.00628029647793523</v>
      </c>
      <c r="G3499" s="45" t="n">
        <f aca="false">ROUND(C3499*F3499,0)</f>
        <v>2672</v>
      </c>
      <c r="H3499" s="48" t="n">
        <f aca="false">MAX(0,(C3499*'Model Inputs &amp; Assumptions'!$N$34+E3499*'Model Inputs &amp; Assumptions'!$O$34+G3499*'Model Inputs &amp; Assumptions'!$P$34)*EXP('Model Inputs &amp; Assumptions'!$Q$34*S3499-'Model Inputs &amp; Assumptions'!$Q$34^2/2))</f>
        <v>42.8938603829197</v>
      </c>
      <c r="I3499" s="49" t="n">
        <f aca="false">IF('Model Inputs &amp; Assumptions'!$H$34="Fixed",'Model Inputs &amp; Assumptions'!$I$34*'Model Inputs &amp; Assumptions'!$K$34,IF('Model Inputs &amp; Assumptions'!$H$34="CPM",'Model Inputs &amp; Assumptions'!$I$34*'Model Inputs &amp; Assumptions'!$K$34*C3499/1000,IF('Model Inputs &amp; Assumptions'!$H$34="CPC",'Model Inputs &amp; Assumptions'!$I$34*'Model Inputs &amp; Assumptions'!$K$34*G3499,0)))</f>
        <v>4943.2</v>
      </c>
      <c r="J3499" s="50" t="n">
        <f aca="false">H3499*INDEX('Model Inputs &amp; Assumptions'!$D$40:$D$42,MATCH('Model Inputs &amp; Assumptions'!$L$34,'Model Inputs &amp; Assumptions'!$A$40:$A$42,0))*INDEX('Model Inputs &amp; Assumptions'!$H$40:$H$42,MATCH('Model Inputs &amp; Assumptions'!$L$34,'Model Inputs &amp; Assumptions'!$A$40:$A$42,0))</f>
        <v>308835.794757022</v>
      </c>
      <c r="K3499" s="49" t="n">
        <f aca="false">H3499*INDEX('Model Inputs &amp; Assumptions'!$G$40:$G$42,MATCH('Model Inputs &amp; Assumptions'!$L$34,'Model Inputs &amp; Assumptions'!$A$40:$A$42,0))*INDEX('Model Inputs &amp; Assumptions'!$H$40:$H$42,MATCH('Model Inputs &amp; Assumptions'!$L$34,'Model Inputs &amp; Assumptions'!$A$40:$A$42,0))</f>
        <v>6809.82927439232</v>
      </c>
      <c r="L3499" s="51" t="n">
        <f aca="false">IFERROR(K3499/I3499,0)</f>
        <v>1.37761556772785</v>
      </c>
      <c r="M3499" s="49" t="n">
        <f aca="false">IFERROR(I3499/H3499,0)</f>
        <v>115.242600126716</v>
      </c>
      <c r="N3499" s="52" t="str">
        <f aca="false">'Model Inputs &amp; Assumptions'!$L$34</f>
        <v>PRD-USIQ</v>
      </c>
      <c r="P3499" s="53" t="n">
        <v>-0.903758</v>
      </c>
      <c r="Q3499" s="53" t="n">
        <v>-0.665516</v>
      </c>
      <c r="R3499" s="53" t="n">
        <v>0.343654</v>
      </c>
      <c r="S3499" s="53" t="n">
        <v>-0.908918</v>
      </c>
    </row>
    <row r="3500" customFormat="false" ht="15" hidden="false" customHeight="false" outlineLevel="0" collapsed="false">
      <c r="A3500" s="43" t="n">
        <v>497</v>
      </c>
      <c r="B3500" s="44" t="str">
        <f aca="false">'Model Inputs &amp; Assumptions'!$B$34</f>
        <v>Meta — Lookalike Feed Video</v>
      </c>
      <c r="C3500" s="45" t="n">
        <f aca="false">ROUND(MAX(0,'Model Inputs &amp; Assumptions'!$S$34*EXP('Model Inputs &amp; Assumptions'!$T$34*P3500-'Model Inputs &amp; Assumptions'!$T$34^2/2)),0)</f>
        <v>473109</v>
      </c>
      <c r="D3500" s="46" t="n">
        <f aca="false">MIN(1,'Model Inputs &amp; Assumptions'!$U$34*EXP('Model Inputs &amp; Assumptions'!$V$34*Q3500-'Model Inputs &amp; Assumptions'!$V$34^2/2))</f>
        <v>0.250481420702805</v>
      </c>
      <c r="E3500" s="45" t="n">
        <f aca="false">ROUND(C3500*D3500,0)</f>
        <v>118505</v>
      </c>
      <c r="F3500" s="47" t="n">
        <f aca="false">MIN(1,'Model Inputs &amp; Assumptions'!$W$34*EXP('Model Inputs &amp; Assumptions'!$X$34*R3500-'Model Inputs &amp; Assumptions'!$X$34^2/2))</f>
        <v>0.00678921680276677</v>
      </c>
      <c r="G3500" s="45" t="n">
        <f aca="false">ROUND(C3500*F3500,0)</f>
        <v>3212</v>
      </c>
      <c r="H3500" s="48" t="n">
        <f aca="false">MAX(0,(C3500*'Model Inputs &amp; Assumptions'!$N$34+E3500*'Model Inputs &amp; Assumptions'!$O$34+G3500*'Model Inputs &amp; Assumptions'!$P$34)*EXP('Model Inputs &amp; Assumptions'!$Q$34*S3500-'Model Inputs &amp; Assumptions'!$Q$34^2/2))</f>
        <v>89.6153478896285</v>
      </c>
      <c r="I3500" s="49" t="n">
        <f aca="false">IF('Model Inputs &amp; Assumptions'!$H$34="Fixed",'Model Inputs &amp; Assumptions'!$I$34*'Model Inputs &amp; Assumptions'!$K$34,IF('Model Inputs &amp; Assumptions'!$H$34="CPM",'Model Inputs &amp; Assumptions'!$I$34*'Model Inputs &amp; Assumptions'!$K$34*C3500/1000,IF('Model Inputs &amp; Assumptions'!$H$34="CPC",'Model Inputs &amp; Assumptions'!$I$34*'Model Inputs &amp; Assumptions'!$K$34*G3500,0)))</f>
        <v>5942.2</v>
      </c>
      <c r="J3500" s="50" t="n">
        <f aca="false">H3500*INDEX('Model Inputs &amp; Assumptions'!$D$40:$D$42,MATCH('Model Inputs &amp; Assumptions'!$L$34,'Model Inputs &amp; Assumptions'!$A$40:$A$42,0))*INDEX('Model Inputs &amp; Assumptions'!$H$40:$H$42,MATCH('Model Inputs &amp; Assumptions'!$L$34,'Model Inputs &amp; Assumptions'!$A$40:$A$42,0))</f>
        <v>645230.504805325</v>
      </c>
      <c r="K3500" s="49" t="n">
        <f aca="false">H3500*INDEX('Model Inputs &amp; Assumptions'!$G$40:$G$42,MATCH('Model Inputs &amp; Assumptions'!$L$34,'Model Inputs &amp; Assumptions'!$A$40:$A$42,0))*INDEX('Model Inputs &amp; Assumptions'!$H$40:$H$42,MATCH('Model Inputs &amp; Assumptions'!$L$34,'Model Inputs &amp; Assumptions'!$A$40:$A$42,0))</f>
        <v>14227.3326309574</v>
      </c>
      <c r="L3500" s="51" t="n">
        <f aca="false">IFERROR(K3500/I3500,0)</f>
        <v>2.39428707060641</v>
      </c>
      <c r="M3500" s="49" t="n">
        <f aca="false">IFERROR(I3500/H3500,0)</f>
        <v>66.3078383327652</v>
      </c>
      <c r="N3500" s="52" t="str">
        <f aca="false">'Model Inputs &amp; Assumptions'!$L$34</f>
        <v>PRD-USIQ</v>
      </c>
      <c r="P3500" s="53" t="n">
        <v>-0.372512</v>
      </c>
      <c r="Q3500" s="53" t="n">
        <v>0.613159</v>
      </c>
      <c r="R3500" s="53" t="n">
        <v>0.776534</v>
      </c>
      <c r="S3500" s="53" t="n">
        <v>0.770147</v>
      </c>
    </row>
    <row r="3501" customFormat="false" ht="15" hidden="false" customHeight="false" outlineLevel="0" collapsed="false">
      <c r="A3501" s="43" t="n">
        <v>498</v>
      </c>
      <c r="B3501" s="44" t="str">
        <f aca="false">'Model Inputs &amp; Assumptions'!$B$34</f>
        <v>Meta — Lookalike Feed Video</v>
      </c>
      <c r="C3501" s="45" t="n">
        <f aca="false">ROUND(MAX(0,'Model Inputs &amp; Assumptions'!$S$34*EXP('Model Inputs &amp; Assumptions'!$T$34*P3501-'Model Inputs &amp; Assumptions'!$T$34^2/2)),0)</f>
        <v>424063</v>
      </c>
      <c r="D3501" s="46" t="n">
        <f aca="false">MIN(1,'Model Inputs &amp; Assumptions'!$U$34*EXP('Model Inputs &amp; Assumptions'!$V$34*Q3501-'Model Inputs &amp; Assumptions'!$V$34^2/2))</f>
        <v>0.275025667293333</v>
      </c>
      <c r="E3501" s="45" t="n">
        <f aca="false">ROUND(C3501*D3501,0)</f>
        <v>116628</v>
      </c>
      <c r="F3501" s="47" t="n">
        <f aca="false">MIN(1,'Model Inputs &amp; Assumptions'!$W$34*EXP('Model Inputs &amp; Assumptions'!$X$34*R3501-'Model Inputs &amp; Assumptions'!$X$34^2/2))</f>
        <v>0.00638006196204014</v>
      </c>
      <c r="G3501" s="45" t="n">
        <f aca="false">ROUND(C3501*F3501,0)</f>
        <v>2706</v>
      </c>
      <c r="H3501" s="48" t="n">
        <f aca="false">MAX(0,(C3501*'Model Inputs &amp; Assumptions'!$N$34+E3501*'Model Inputs &amp; Assumptions'!$O$34+G3501*'Model Inputs &amp; Assumptions'!$P$34)*EXP('Model Inputs &amp; Assumptions'!$Q$34*S3501-'Model Inputs &amp; Assumptions'!$Q$34^2/2))</f>
        <v>38.3781257998977</v>
      </c>
      <c r="I3501" s="49" t="n">
        <f aca="false">IF('Model Inputs &amp; Assumptions'!$H$34="Fixed",'Model Inputs &amp; Assumptions'!$I$34*'Model Inputs &amp; Assumptions'!$K$34,IF('Model Inputs &amp; Assumptions'!$H$34="CPM",'Model Inputs &amp; Assumptions'!$I$34*'Model Inputs &amp; Assumptions'!$K$34*C3501/1000,IF('Model Inputs &amp; Assumptions'!$H$34="CPC",'Model Inputs &amp; Assumptions'!$I$34*'Model Inputs &amp; Assumptions'!$K$34*G3501,0)))</f>
        <v>5006.1</v>
      </c>
      <c r="J3501" s="50" t="n">
        <f aca="false">H3501*INDEX('Model Inputs &amp; Assumptions'!$D$40:$D$42,MATCH('Model Inputs &amp; Assumptions'!$L$34,'Model Inputs &amp; Assumptions'!$A$40:$A$42,0))*INDEX('Model Inputs &amp; Assumptions'!$H$40:$H$42,MATCH('Model Inputs &amp; Assumptions'!$L$34,'Model Inputs &amp; Assumptions'!$A$40:$A$42,0))</f>
        <v>276322.505759263</v>
      </c>
      <c r="K3501" s="49" t="n">
        <f aca="false">H3501*INDEX('Model Inputs &amp; Assumptions'!$G$40:$G$42,MATCH('Model Inputs &amp; Assumptions'!$L$34,'Model Inputs &amp; Assumptions'!$A$40:$A$42,0))*INDEX('Model Inputs &amp; Assumptions'!$H$40:$H$42,MATCH('Model Inputs &amp; Assumptions'!$L$34,'Model Inputs &amp; Assumptions'!$A$40:$A$42,0))</f>
        <v>6092.91125199175</v>
      </c>
      <c r="L3501" s="51" t="n">
        <f aca="false">IFERROR(K3501/I3501,0)</f>
        <v>1.21709739158062</v>
      </c>
      <c r="M3501" s="49" t="n">
        <f aca="false">IFERROR(I3501/H3501,0)</f>
        <v>130.441492273532</v>
      </c>
      <c r="N3501" s="52" t="str">
        <f aca="false">'Model Inputs &amp; Assumptions'!$L$34</f>
        <v>PRD-USIQ</v>
      </c>
      <c r="P3501" s="53" t="n">
        <v>-0.919736</v>
      </c>
      <c r="Q3501" s="53" t="n">
        <v>1.197407</v>
      </c>
      <c r="R3501" s="53" t="n">
        <v>0.431213</v>
      </c>
      <c r="S3501" s="53" t="n">
        <v>-1.411151</v>
      </c>
    </row>
    <row r="3502" customFormat="false" ht="15" hidden="false" customHeight="false" outlineLevel="0" collapsed="false">
      <c r="A3502" s="43" t="n">
        <v>499</v>
      </c>
      <c r="B3502" s="44" t="str">
        <f aca="false">'Model Inputs &amp; Assumptions'!$B$34</f>
        <v>Meta — Lookalike Feed Video</v>
      </c>
      <c r="C3502" s="45" t="n">
        <f aca="false">ROUND(MAX(0,'Model Inputs &amp; Assumptions'!$S$34*EXP('Model Inputs &amp; Assumptions'!$T$34*P3502-'Model Inputs &amp; Assumptions'!$T$34^2/2)),0)</f>
        <v>413553</v>
      </c>
      <c r="D3502" s="46" t="n">
        <f aca="false">MIN(1,'Model Inputs &amp; Assumptions'!$U$34*EXP('Model Inputs &amp; Assumptions'!$V$34*Q3502-'Model Inputs &amp; Assumptions'!$V$34^2/2))</f>
        <v>0.278661746712606</v>
      </c>
      <c r="E3502" s="45" t="n">
        <f aca="false">ROUND(C3502*D3502,0)</f>
        <v>115241</v>
      </c>
      <c r="F3502" s="47" t="n">
        <f aca="false">MIN(1,'Model Inputs &amp; Assumptions'!$W$34*EXP('Model Inputs &amp; Assumptions'!$X$34*R3502-'Model Inputs &amp; Assumptions'!$X$34^2/2))</f>
        <v>0.00402354385085264</v>
      </c>
      <c r="G3502" s="45" t="n">
        <f aca="false">ROUND(C3502*F3502,0)</f>
        <v>1664</v>
      </c>
      <c r="H3502" s="48" t="n">
        <f aca="false">MAX(0,(C3502*'Model Inputs &amp; Assumptions'!$N$34+E3502*'Model Inputs &amp; Assumptions'!$O$34+G3502*'Model Inputs &amp; Assumptions'!$P$34)*EXP('Model Inputs &amp; Assumptions'!$Q$34*S3502-'Model Inputs &amp; Assumptions'!$Q$34^2/2))</f>
        <v>63.6184049577669</v>
      </c>
      <c r="I3502" s="49" t="n">
        <f aca="false">IF('Model Inputs &amp; Assumptions'!$H$34="Fixed",'Model Inputs &amp; Assumptions'!$I$34*'Model Inputs &amp; Assumptions'!$K$34,IF('Model Inputs &amp; Assumptions'!$H$34="CPM",'Model Inputs &amp; Assumptions'!$I$34*'Model Inputs &amp; Assumptions'!$K$34*C3502/1000,IF('Model Inputs &amp; Assumptions'!$H$34="CPC",'Model Inputs &amp; Assumptions'!$I$34*'Model Inputs &amp; Assumptions'!$K$34*G3502,0)))</f>
        <v>3078.4</v>
      </c>
      <c r="J3502" s="50" t="n">
        <f aca="false">H3502*INDEX('Model Inputs &amp; Assumptions'!$D$40:$D$42,MATCH('Model Inputs &amp; Assumptions'!$L$34,'Model Inputs &amp; Assumptions'!$A$40:$A$42,0))*INDEX('Model Inputs &amp; Assumptions'!$H$40:$H$42,MATCH('Model Inputs &amp; Assumptions'!$L$34,'Model Inputs &amp; Assumptions'!$A$40:$A$42,0))</f>
        <v>458052.515695922</v>
      </c>
      <c r="K3502" s="49" t="n">
        <f aca="false">H3502*INDEX('Model Inputs &amp; Assumptions'!$G$40:$G$42,MATCH('Model Inputs &amp; Assumptions'!$L$34,'Model Inputs &amp; Assumptions'!$A$40:$A$42,0))*INDEX('Model Inputs &amp; Assumptions'!$H$40:$H$42,MATCH('Model Inputs &amp; Assumptions'!$L$34,'Model Inputs &amp; Assumptions'!$A$40:$A$42,0))</f>
        <v>10100.0579710951</v>
      </c>
      <c r="L3502" s="51" t="n">
        <f aca="false">IFERROR(K3502/I3502,0)</f>
        <v>3.2809439874919</v>
      </c>
      <c r="M3502" s="49" t="n">
        <f aca="false">IFERROR(I3502/H3502,0)</f>
        <v>48.3885127589036</v>
      </c>
      <c r="N3502" s="52" t="str">
        <f aca="false">'Model Inputs &amp; Assumptions'!$L$34</f>
        <v>PRD-USIQ</v>
      </c>
      <c r="P3502" s="53" t="n">
        <v>-1.045221</v>
      </c>
      <c r="Q3502" s="53" t="n">
        <v>1.279496</v>
      </c>
      <c r="R3502" s="53" t="n">
        <v>-2.12998</v>
      </c>
      <c r="S3502" s="53" t="n">
        <v>1.420674</v>
      </c>
    </row>
    <row r="3503" customFormat="false" ht="15" hidden="false" customHeight="false" outlineLevel="0" collapsed="false">
      <c r="A3503" s="43" t="n">
        <v>500</v>
      </c>
      <c r="B3503" s="44" t="str">
        <f aca="false">'Model Inputs &amp; Assumptions'!$B$34</f>
        <v>Meta — Lookalike Feed Video</v>
      </c>
      <c r="C3503" s="45" t="n">
        <f aca="false">ROUND(MAX(0,'Model Inputs &amp; Assumptions'!$S$34*EXP('Model Inputs &amp; Assumptions'!$T$34*P3503-'Model Inputs &amp; Assumptions'!$T$34^2/2)),0)</f>
        <v>489035</v>
      </c>
      <c r="D3503" s="46" t="n">
        <f aca="false">MIN(1,'Model Inputs &amp; Assumptions'!$U$34*EXP('Model Inputs &amp; Assumptions'!$V$34*Q3503-'Model Inputs &amp; Assumptions'!$V$34^2/2))</f>
        <v>0.274959405092133</v>
      </c>
      <c r="E3503" s="45" t="n">
        <f aca="false">ROUND(C3503*D3503,0)</f>
        <v>134465</v>
      </c>
      <c r="F3503" s="47" t="n">
        <f aca="false">MIN(1,'Model Inputs &amp; Assumptions'!$W$34*EXP('Model Inputs &amp; Assumptions'!$X$34*R3503-'Model Inputs &amp; Assumptions'!$X$34^2/2))</f>
        <v>0.00523580648719661</v>
      </c>
      <c r="G3503" s="45" t="n">
        <f aca="false">ROUND(C3503*F3503,0)</f>
        <v>2560</v>
      </c>
      <c r="H3503" s="48" t="n">
        <f aca="false">MAX(0,(C3503*'Model Inputs &amp; Assumptions'!$N$34+E3503*'Model Inputs &amp; Assumptions'!$O$34+G3503*'Model Inputs &amp; Assumptions'!$P$34)*EXP('Model Inputs &amp; Assumptions'!$Q$34*S3503-'Model Inputs &amp; Assumptions'!$Q$34^2/2))</f>
        <v>34.0744822854036</v>
      </c>
      <c r="I3503" s="49" t="n">
        <f aca="false">IF('Model Inputs &amp; Assumptions'!$H$34="Fixed",'Model Inputs &amp; Assumptions'!$I$34*'Model Inputs &amp; Assumptions'!$K$34,IF('Model Inputs &amp; Assumptions'!$H$34="CPM",'Model Inputs &amp; Assumptions'!$I$34*'Model Inputs &amp; Assumptions'!$K$34*C3503/1000,IF('Model Inputs &amp; Assumptions'!$H$34="CPC",'Model Inputs &amp; Assumptions'!$I$34*'Model Inputs &amp; Assumptions'!$K$34*G3503,0)))</f>
        <v>4736</v>
      </c>
      <c r="J3503" s="50" t="n">
        <f aca="false">H3503*INDEX('Model Inputs &amp; Assumptions'!$D$40:$D$42,MATCH('Model Inputs &amp; Assumptions'!$L$34,'Model Inputs &amp; Assumptions'!$A$40:$A$42,0))*INDEX('Model Inputs &amp; Assumptions'!$H$40:$H$42,MATCH('Model Inputs &amp; Assumptions'!$L$34,'Model Inputs &amp; Assumptions'!$A$40:$A$42,0))</f>
        <v>245336.272454906</v>
      </c>
      <c r="K3503" s="49" t="n">
        <f aca="false">H3503*INDEX('Model Inputs &amp; Assumptions'!$G$40:$G$42,MATCH('Model Inputs &amp; Assumptions'!$L$34,'Model Inputs &amp; Assumptions'!$A$40:$A$42,0))*INDEX('Model Inputs &amp; Assumptions'!$H$40:$H$42,MATCH('Model Inputs &amp; Assumptions'!$L$34,'Model Inputs &amp; Assumptions'!$A$40:$A$42,0))</f>
        <v>5409.66480763067</v>
      </c>
      <c r="L3503" s="51" t="n">
        <f aca="false">IFERROR(K3503/I3503,0)</f>
        <v>1.14224341377337</v>
      </c>
      <c r="M3503" s="49" t="n">
        <f aca="false">IFERROR(I3503/H3503,0)</f>
        <v>138.98963923595</v>
      </c>
      <c r="N3503" s="52" t="str">
        <f aca="false">'Model Inputs &amp; Assumptions'!$L$34</f>
        <v>PRD-USIQ</v>
      </c>
      <c r="P3503" s="53" t="n">
        <v>-0.20697</v>
      </c>
      <c r="Q3503" s="53" t="n">
        <v>1.195901</v>
      </c>
      <c r="R3503" s="53" t="n">
        <v>-0.666881</v>
      </c>
      <c r="S3503" s="53" t="n">
        <v>-1.708422</v>
      </c>
    </row>
    <row r="3504" customFormat="false" ht="15" hidden="false" customHeight="false" outlineLevel="0" collapsed="false">
      <c r="A3504" s="43" t="n">
        <v>1</v>
      </c>
      <c r="B3504" s="44" t="str">
        <f aca="false">'Model Inputs &amp; Assumptions'!$B$35</f>
        <v>justETF — Sponsored Listing</v>
      </c>
      <c r="C3504" s="45" t="n">
        <f aca="false">ROUND(MAX(0,'Model Inputs &amp; Assumptions'!$S$35*EXP('Model Inputs &amp; Assumptions'!$T$35*P3504-'Model Inputs &amp; Assumptions'!$T$35^2/2)),0)</f>
        <v>102529</v>
      </c>
      <c r="D3504" s="46" t="n">
        <f aca="false">MIN(1,'Model Inputs &amp; Assumptions'!$U$35*EXP('Model Inputs &amp; Assumptions'!$V$35*Q3504-'Model Inputs &amp; Assumptions'!$V$35^2/2))</f>
        <v>0</v>
      </c>
      <c r="E3504" s="45" t="n">
        <f aca="false">ROUND(C3504*D3504,0)</f>
        <v>0</v>
      </c>
      <c r="F3504" s="47" t="n">
        <f aca="false">MIN(1,'Model Inputs &amp; Assumptions'!$W$35*EXP('Model Inputs &amp; Assumptions'!$X$35*R3504-'Model Inputs &amp; Assumptions'!$X$35^2/2))</f>
        <v>0.00714610552430122</v>
      </c>
      <c r="G3504" s="45" t="n">
        <f aca="false">ROUND(C3504*F3504,0)</f>
        <v>733</v>
      </c>
      <c r="H3504" s="48" t="n">
        <f aca="false">MAX(0,(C3504*'Model Inputs &amp; Assumptions'!$N$35+E3504*'Model Inputs &amp; Assumptions'!$O$35+G3504*'Model Inputs &amp; Assumptions'!$P$35)*EXP('Model Inputs &amp; Assumptions'!$Q$35*S3504-'Model Inputs &amp; Assumptions'!$Q$35^2/2))</f>
        <v>53.2778218900166</v>
      </c>
      <c r="I3504" s="49" t="n">
        <f aca="false">IF('Model Inputs &amp; Assumptions'!$H$35="Fixed",'Model Inputs &amp; Assumptions'!$I$35*'Model Inputs &amp; Assumptions'!$K$35,IF('Model Inputs &amp; Assumptions'!$H$35="CPM",'Model Inputs &amp; Assumptions'!$I$35*'Model Inputs &amp; Assumptions'!$K$35*C3504/1000,IF('Model Inputs &amp; Assumptions'!$H$35="CPC",'Model Inputs &amp; Assumptions'!$I$35*'Model Inputs &amp; Assumptions'!$K$35*G3504,0)))</f>
        <v>8672.8</v>
      </c>
      <c r="J3504" s="50" t="n">
        <f aca="false">H3504*INDEX('Model Inputs &amp; Assumptions'!$D$40:$D$42,MATCH('Model Inputs &amp; Assumptions'!$L$35,'Model Inputs &amp; Assumptions'!$A$40:$A$42,0))*INDEX('Model Inputs &amp; Assumptions'!$H$40:$H$42,MATCH('Model Inputs &amp; Assumptions'!$L$35,'Model Inputs &amp; Assumptions'!$A$40:$A$42,0))</f>
        <v>452861.486065141</v>
      </c>
      <c r="K3504" s="49" t="n">
        <f aca="false">H3504*INDEX('Model Inputs &amp; Assumptions'!$G$40:$G$42,MATCH('Model Inputs &amp; Assumptions'!$L$35,'Model Inputs &amp; Assumptions'!$A$40:$A$42,0))*INDEX('Model Inputs &amp; Assumptions'!$H$40:$H$42,MATCH('Model Inputs &amp; Assumptions'!$L$35,'Model Inputs &amp; Assumptions'!$A$40:$A$42,0))</f>
        <v>10189.3834364657</v>
      </c>
      <c r="L3504" s="51" t="n">
        <f aca="false">IFERROR(K3504/I3504,0)</f>
        <v>1.17486664473592</v>
      </c>
      <c r="M3504" s="49" t="n">
        <f aca="false">IFERROR(I3504/H3504,0)</f>
        <v>162.784432477431</v>
      </c>
      <c r="N3504" s="52" t="str">
        <f aca="false">'Model Inputs &amp; Assumptions'!$L$35</f>
        <v>PRD-EUAI</v>
      </c>
      <c r="P3504" s="53" t="n">
        <v>0.988507</v>
      </c>
      <c r="Q3504" s="53" t="n">
        <v>0.429231</v>
      </c>
      <c r="R3504" s="53" t="n">
        <v>0.4223</v>
      </c>
      <c r="S3504" s="53" t="n">
        <v>0.274748</v>
      </c>
    </row>
    <row r="3505" customFormat="false" ht="15" hidden="false" customHeight="false" outlineLevel="0" collapsed="false">
      <c r="A3505" s="43" t="n">
        <v>2</v>
      </c>
      <c r="B3505" s="44" t="str">
        <f aca="false">'Model Inputs &amp; Assumptions'!$B$35</f>
        <v>justETF — Sponsored Listing</v>
      </c>
      <c r="C3505" s="45" t="n">
        <f aca="false">ROUND(MAX(0,'Model Inputs &amp; Assumptions'!$S$35*EXP('Model Inputs &amp; Assumptions'!$T$35*P3505-'Model Inputs &amp; Assumptions'!$T$35^2/2)),0)</f>
        <v>86471</v>
      </c>
      <c r="D3505" s="46" t="n">
        <f aca="false">MIN(1,'Model Inputs &amp; Assumptions'!$U$35*EXP('Model Inputs &amp; Assumptions'!$V$35*Q3505-'Model Inputs &amp; Assumptions'!$V$35^2/2))</f>
        <v>0</v>
      </c>
      <c r="E3505" s="45" t="n">
        <f aca="false">ROUND(C3505*D3505,0)</f>
        <v>0</v>
      </c>
      <c r="F3505" s="47" t="n">
        <f aca="false">MIN(1,'Model Inputs &amp; Assumptions'!$W$35*EXP('Model Inputs &amp; Assumptions'!$X$35*R3505-'Model Inputs &amp; Assumptions'!$X$35^2/2))</f>
        <v>0.00826476523703353</v>
      </c>
      <c r="G3505" s="45" t="n">
        <f aca="false">ROUND(C3505*F3505,0)</f>
        <v>715</v>
      </c>
      <c r="H3505" s="48" t="n">
        <f aca="false">MAX(0,(C3505*'Model Inputs &amp; Assumptions'!$N$35+E3505*'Model Inputs &amp; Assumptions'!$O$35+G3505*'Model Inputs &amp; Assumptions'!$P$35)*EXP('Model Inputs &amp; Assumptions'!$Q$35*S3505-'Model Inputs &amp; Assumptions'!$Q$35^2/2))</f>
        <v>71.0706807772774</v>
      </c>
      <c r="I3505" s="49" t="n">
        <f aca="false">IF('Model Inputs &amp; Assumptions'!$H$35="Fixed",'Model Inputs &amp; Assumptions'!$I$35*'Model Inputs &amp; Assumptions'!$K$35,IF('Model Inputs &amp; Assumptions'!$H$35="CPM",'Model Inputs &amp; Assumptions'!$I$35*'Model Inputs &amp; Assumptions'!$K$35*C3505/1000,IF('Model Inputs &amp; Assumptions'!$H$35="CPC",'Model Inputs &amp; Assumptions'!$I$35*'Model Inputs &amp; Assumptions'!$K$35*G3505,0)))</f>
        <v>8672.8</v>
      </c>
      <c r="J3505" s="50" t="n">
        <f aca="false">H3505*INDEX('Model Inputs &amp; Assumptions'!$D$40:$D$42,MATCH('Model Inputs &amp; Assumptions'!$L$35,'Model Inputs &amp; Assumptions'!$A$40:$A$42,0))*INDEX('Model Inputs &amp; Assumptions'!$H$40:$H$42,MATCH('Model Inputs &amp; Assumptions'!$L$35,'Model Inputs &amp; Assumptions'!$A$40:$A$42,0))</f>
        <v>604100.786606858</v>
      </c>
      <c r="K3505" s="49" t="n">
        <f aca="false">H3505*INDEX('Model Inputs &amp; Assumptions'!$G$40:$G$42,MATCH('Model Inputs &amp; Assumptions'!$L$35,'Model Inputs &amp; Assumptions'!$A$40:$A$42,0))*INDEX('Model Inputs &amp; Assumptions'!$H$40:$H$42,MATCH('Model Inputs &amp; Assumptions'!$L$35,'Model Inputs &amp; Assumptions'!$A$40:$A$42,0))</f>
        <v>13592.2676986543</v>
      </c>
      <c r="L3505" s="51" t="n">
        <f aca="false">IFERROR(K3505/I3505,0)</f>
        <v>1.56722946437763</v>
      </c>
      <c r="M3505" s="49" t="n">
        <f aca="false">IFERROR(I3505/H3505,0)</f>
        <v>122.03063070662</v>
      </c>
      <c r="N3505" s="52" t="str">
        <f aca="false">'Model Inputs &amp; Assumptions'!$L$35</f>
        <v>PRD-EUAI</v>
      </c>
      <c r="P3505" s="53" t="n">
        <v>-0.14707</v>
      </c>
      <c r="Q3505" s="53" t="n">
        <v>-0.504775</v>
      </c>
      <c r="R3505" s="53" t="n">
        <v>1.149469</v>
      </c>
      <c r="S3505" s="53" t="n">
        <v>1.478663</v>
      </c>
    </row>
    <row r="3506" customFormat="false" ht="15" hidden="false" customHeight="false" outlineLevel="0" collapsed="false">
      <c r="A3506" s="43" t="n">
        <v>3</v>
      </c>
      <c r="B3506" s="44" t="str">
        <f aca="false">'Model Inputs &amp; Assumptions'!$B$35</f>
        <v>justETF — Sponsored Listing</v>
      </c>
      <c r="C3506" s="45" t="n">
        <f aca="false">ROUND(MAX(0,'Model Inputs &amp; Assumptions'!$S$35*EXP('Model Inputs &amp; Assumptions'!$T$35*P3506-'Model Inputs &amp; Assumptions'!$T$35^2/2)),0)</f>
        <v>119422</v>
      </c>
      <c r="D3506" s="46" t="n">
        <f aca="false">MIN(1,'Model Inputs &amp; Assumptions'!$U$35*EXP('Model Inputs &amp; Assumptions'!$V$35*Q3506-'Model Inputs &amp; Assumptions'!$V$35^2/2))</f>
        <v>0</v>
      </c>
      <c r="E3506" s="45" t="n">
        <f aca="false">ROUND(C3506*D3506,0)</f>
        <v>0</v>
      </c>
      <c r="F3506" s="47" t="n">
        <f aca="false">MIN(1,'Model Inputs &amp; Assumptions'!$W$35*EXP('Model Inputs &amp; Assumptions'!$X$35*R3506-'Model Inputs &amp; Assumptions'!$X$35^2/2))</f>
        <v>0.00778892401446264</v>
      </c>
      <c r="G3506" s="45" t="n">
        <f aca="false">ROUND(C3506*F3506,0)</f>
        <v>930</v>
      </c>
      <c r="H3506" s="48" t="n">
        <f aca="false">MAX(0,(C3506*'Model Inputs &amp; Assumptions'!$N$35+E3506*'Model Inputs &amp; Assumptions'!$O$35+G3506*'Model Inputs &amp; Assumptions'!$P$35)*EXP('Model Inputs &amp; Assumptions'!$Q$35*S3506-'Model Inputs &amp; Assumptions'!$Q$35^2/2))</f>
        <v>65.7384275823287</v>
      </c>
      <c r="I3506" s="49" t="n">
        <f aca="false">IF('Model Inputs &amp; Assumptions'!$H$35="Fixed",'Model Inputs &amp; Assumptions'!$I$35*'Model Inputs &amp; Assumptions'!$K$35,IF('Model Inputs &amp; Assumptions'!$H$35="CPM",'Model Inputs &amp; Assumptions'!$I$35*'Model Inputs &amp; Assumptions'!$K$35*C3506/1000,IF('Model Inputs &amp; Assumptions'!$H$35="CPC",'Model Inputs &amp; Assumptions'!$I$35*'Model Inputs &amp; Assumptions'!$K$35*G3506,0)))</f>
        <v>8672.8</v>
      </c>
      <c r="J3506" s="50" t="n">
        <f aca="false">H3506*INDEX('Model Inputs &amp; Assumptions'!$D$40:$D$42,MATCH('Model Inputs &amp; Assumptions'!$L$35,'Model Inputs &amp; Assumptions'!$A$40:$A$42,0))*INDEX('Model Inputs &amp; Assumptions'!$H$40:$H$42,MATCH('Model Inputs &amp; Assumptions'!$L$35,'Model Inputs &amp; Assumptions'!$A$40:$A$42,0))</f>
        <v>558776.634449794</v>
      </c>
      <c r="K3506" s="49" t="n">
        <f aca="false">H3506*INDEX('Model Inputs &amp; Assumptions'!$G$40:$G$42,MATCH('Model Inputs &amp; Assumptions'!$L$35,'Model Inputs &amp; Assumptions'!$A$40:$A$42,0))*INDEX('Model Inputs &amp; Assumptions'!$H$40:$H$42,MATCH('Model Inputs &amp; Assumptions'!$L$35,'Model Inputs &amp; Assumptions'!$A$40:$A$42,0))</f>
        <v>12572.4742751204</v>
      </c>
      <c r="L3506" s="51" t="n">
        <f aca="false">IFERROR(K3506/I3506,0)</f>
        <v>1.44964420661382</v>
      </c>
      <c r="M3506" s="49" t="n">
        <f aca="false">IFERROR(I3506/H3506,0)</f>
        <v>131.928923750701</v>
      </c>
      <c r="N3506" s="52" t="str">
        <f aca="false">'Model Inputs &amp; Assumptions'!$L$35</f>
        <v>PRD-EUAI</v>
      </c>
      <c r="P3506" s="53" t="n">
        <v>2.005279</v>
      </c>
      <c r="Q3506" s="53" t="n">
        <v>-0.42922</v>
      </c>
      <c r="R3506" s="53" t="n">
        <v>0.852976</v>
      </c>
      <c r="S3506" s="53" t="n">
        <v>0.167535</v>
      </c>
    </row>
    <row r="3507" customFormat="false" ht="15" hidden="false" customHeight="false" outlineLevel="0" collapsed="false">
      <c r="A3507" s="43" t="n">
        <v>4</v>
      </c>
      <c r="B3507" s="44" t="str">
        <f aca="false">'Model Inputs &amp; Assumptions'!$B$35</f>
        <v>justETF — Sponsored Listing</v>
      </c>
      <c r="C3507" s="45" t="n">
        <f aca="false">ROUND(MAX(0,'Model Inputs &amp; Assumptions'!$S$35*EXP('Model Inputs &amp; Assumptions'!$T$35*P3507-'Model Inputs &amp; Assumptions'!$T$35^2/2)),0)</f>
        <v>78635</v>
      </c>
      <c r="D3507" s="46" t="n">
        <f aca="false">MIN(1,'Model Inputs &amp; Assumptions'!$U$35*EXP('Model Inputs &amp; Assumptions'!$V$35*Q3507-'Model Inputs &amp; Assumptions'!$V$35^2/2))</f>
        <v>0</v>
      </c>
      <c r="E3507" s="45" t="n">
        <f aca="false">ROUND(C3507*D3507,0)</f>
        <v>0</v>
      </c>
      <c r="F3507" s="47" t="n">
        <f aca="false">MIN(1,'Model Inputs &amp; Assumptions'!$W$35*EXP('Model Inputs &amp; Assumptions'!$X$35*R3507-'Model Inputs &amp; Assumptions'!$X$35^2/2))</f>
        <v>0.00701427056801655</v>
      </c>
      <c r="G3507" s="45" t="n">
        <f aca="false">ROUND(C3507*F3507,0)</f>
        <v>552</v>
      </c>
      <c r="H3507" s="48" t="n">
        <f aca="false">MAX(0,(C3507*'Model Inputs &amp; Assumptions'!$N$35+E3507*'Model Inputs &amp; Assumptions'!$O$35+G3507*'Model Inputs &amp; Assumptions'!$P$35)*EXP('Model Inputs &amp; Assumptions'!$Q$35*S3507-'Model Inputs &amp; Assumptions'!$Q$35^2/2))</f>
        <v>35.6939422439599</v>
      </c>
      <c r="I3507" s="49" t="n">
        <f aca="false">IF('Model Inputs &amp; Assumptions'!$H$35="Fixed",'Model Inputs &amp; Assumptions'!$I$35*'Model Inputs &amp; Assumptions'!$K$35,IF('Model Inputs &amp; Assumptions'!$H$35="CPM",'Model Inputs &amp; Assumptions'!$I$35*'Model Inputs &amp; Assumptions'!$K$35*C3507/1000,IF('Model Inputs &amp; Assumptions'!$H$35="CPC",'Model Inputs &amp; Assumptions'!$I$35*'Model Inputs &amp; Assumptions'!$K$35*G3507,0)))</f>
        <v>8672.8</v>
      </c>
      <c r="J3507" s="50" t="n">
        <f aca="false">H3507*INDEX('Model Inputs &amp; Assumptions'!$D$40:$D$42,MATCH('Model Inputs &amp; Assumptions'!$L$35,'Model Inputs &amp; Assumptions'!$A$40:$A$42,0))*INDEX('Model Inputs &amp; Assumptions'!$H$40:$H$42,MATCH('Model Inputs &amp; Assumptions'!$L$35,'Model Inputs &amp; Assumptions'!$A$40:$A$42,0))</f>
        <v>303398.509073659</v>
      </c>
      <c r="K3507" s="49" t="n">
        <f aca="false">H3507*INDEX('Model Inputs &amp; Assumptions'!$G$40:$G$42,MATCH('Model Inputs &amp; Assumptions'!$L$35,'Model Inputs &amp; Assumptions'!$A$40:$A$42,0))*INDEX('Model Inputs &amp; Assumptions'!$H$40:$H$42,MATCH('Model Inputs &amp; Assumptions'!$L$35,'Model Inputs &amp; Assumptions'!$A$40:$A$42,0))</f>
        <v>6826.46645415733</v>
      </c>
      <c r="L3507" s="51" t="n">
        <f aca="false">IFERROR(K3507/I3507,0)</f>
        <v>0.787112173018786</v>
      </c>
      <c r="M3507" s="49" t="n">
        <f aca="false">IFERROR(I3507/H3507,0)</f>
        <v>242.97680375912</v>
      </c>
      <c r="N3507" s="52" t="str">
        <f aca="false">'Model Inputs &amp; Assumptions'!$L$35</f>
        <v>PRD-EUAI</v>
      </c>
      <c r="P3507" s="53" t="n">
        <v>-0.780326</v>
      </c>
      <c r="Q3507" s="53" t="n">
        <v>1.759207</v>
      </c>
      <c r="R3507" s="53" t="n">
        <v>0.329196</v>
      </c>
      <c r="S3507" s="53" t="n">
        <v>-0.175027</v>
      </c>
    </row>
    <row r="3508" customFormat="false" ht="15" hidden="false" customHeight="false" outlineLevel="0" collapsed="false">
      <c r="A3508" s="43" t="n">
        <v>5</v>
      </c>
      <c r="B3508" s="44" t="str">
        <f aca="false">'Model Inputs &amp; Assumptions'!$B$35</f>
        <v>justETF — Sponsored Listing</v>
      </c>
      <c r="C3508" s="45" t="n">
        <f aca="false">ROUND(MAX(0,'Model Inputs &amp; Assumptions'!$S$35*EXP('Model Inputs &amp; Assumptions'!$T$35*P3508-'Model Inputs &amp; Assumptions'!$T$35^2/2)),0)</f>
        <v>72423</v>
      </c>
      <c r="D3508" s="46" t="n">
        <f aca="false">MIN(1,'Model Inputs &amp; Assumptions'!$U$35*EXP('Model Inputs &amp; Assumptions'!$V$35*Q3508-'Model Inputs &amp; Assumptions'!$V$35^2/2))</f>
        <v>0</v>
      </c>
      <c r="E3508" s="45" t="n">
        <f aca="false">ROUND(C3508*D3508,0)</f>
        <v>0</v>
      </c>
      <c r="F3508" s="47" t="n">
        <f aca="false">MIN(1,'Model Inputs &amp; Assumptions'!$W$35*EXP('Model Inputs &amp; Assumptions'!$X$35*R3508-'Model Inputs &amp; Assumptions'!$X$35^2/2))</f>
        <v>0.00508264566590997</v>
      </c>
      <c r="G3508" s="45" t="n">
        <f aca="false">ROUND(C3508*F3508,0)</f>
        <v>368</v>
      </c>
      <c r="H3508" s="48" t="n">
        <f aca="false">MAX(0,(C3508*'Model Inputs &amp; Assumptions'!$N$35+E3508*'Model Inputs &amp; Assumptions'!$O$35+G3508*'Model Inputs &amp; Assumptions'!$P$35)*EXP('Model Inputs &amp; Assumptions'!$Q$35*S3508-'Model Inputs &amp; Assumptions'!$Q$35^2/2))</f>
        <v>17.0093123817294</v>
      </c>
      <c r="I3508" s="49" t="n">
        <f aca="false">IF('Model Inputs &amp; Assumptions'!$H$35="Fixed",'Model Inputs &amp; Assumptions'!$I$35*'Model Inputs &amp; Assumptions'!$K$35,IF('Model Inputs &amp; Assumptions'!$H$35="CPM",'Model Inputs &amp; Assumptions'!$I$35*'Model Inputs &amp; Assumptions'!$K$35*C3508/1000,IF('Model Inputs &amp; Assumptions'!$H$35="CPC",'Model Inputs &amp; Assumptions'!$I$35*'Model Inputs &amp; Assumptions'!$K$35*G3508,0)))</f>
        <v>8672.8</v>
      </c>
      <c r="J3508" s="50" t="n">
        <f aca="false">H3508*INDEX('Model Inputs &amp; Assumptions'!$D$40:$D$42,MATCH('Model Inputs &amp; Assumptions'!$L$35,'Model Inputs &amp; Assumptions'!$A$40:$A$42,0))*INDEX('Model Inputs &amp; Assumptions'!$H$40:$H$42,MATCH('Model Inputs &amp; Assumptions'!$L$35,'Model Inputs &amp; Assumptions'!$A$40:$A$42,0))</f>
        <v>144579.1552447</v>
      </c>
      <c r="K3508" s="49" t="n">
        <f aca="false">H3508*INDEX('Model Inputs &amp; Assumptions'!$G$40:$G$42,MATCH('Model Inputs &amp; Assumptions'!$L$35,'Model Inputs &amp; Assumptions'!$A$40:$A$42,0))*INDEX('Model Inputs &amp; Assumptions'!$H$40:$H$42,MATCH('Model Inputs &amp; Assumptions'!$L$35,'Model Inputs &amp; Assumptions'!$A$40:$A$42,0))</f>
        <v>3253.03099300575</v>
      </c>
      <c r="L3508" s="51" t="n">
        <f aca="false">IFERROR(K3508/I3508,0)</f>
        <v>0.375084285698477</v>
      </c>
      <c r="M3508" s="49" t="n">
        <f aca="false">IFERROR(I3508/H3508,0)</f>
        <v>509.885397208408</v>
      </c>
      <c r="N3508" s="52" t="str">
        <f aca="false">'Model Inputs &amp; Assumptions'!$L$35</f>
        <v>PRD-EUAI</v>
      </c>
      <c r="P3508" s="53" t="n">
        <v>-1.328963</v>
      </c>
      <c r="Q3508" s="53" t="n">
        <v>-0.316161</v>
      </c>
      <c r="R3508" s="53" t="n">
        <v>-1.281378</v>
      </c>
      <c r="S3508" s="53" t="n">
        <v>-1.466392</v>
      </c>
    </row>
    <row r="3509" customFormat="false" ht="15" hidden="false" customHeight="false" outlineLevel="0" collapsed="false">
      <c r="A3509" s="43" t="n">
        <v>6</v>
      </c>
      <c r="B3509" s="44" t="str">
        <f aca="false">'Model Inputs &amp; Assumptions'!$B$35</f>
        <v>justETF — Sponsored Listing</v>
      </c>
      <c r="C3509" s="45" t="n">
        <f aca="false">ROUND(MAX(0,'Model Inputs &amp; Assumptions'!$S$35*EXP('Model Inputs &amp; Assumptions'!$T$35*P3509-'Model Inputs &amp; Assumptions'!$T$35^2/2)),0)</f>
        <v>101099</v>
      </c>
      <c r="D3509" s="46" t="n">
        <f aca="false">MIN(1,'Model Inputs &amp; Assumptions'!$U$35*EXP('Model Inputs &amp; Assumptions'!$V$35*Q3509-'Model Inputs &amp; Assumptions'!$V$35^2/2))</f>
        <v>0</v>
      </c>
      <c r="E3509" s="45" t="n">
        <f aca="false">ROUND(C3509*D3509,0)</f>
        <v>0</v>
      </c>
      <c r="F3509" s="47" t="n">
        <f aca="false">MIN(1,'Model Inputs &amp; Assumptions'!$W$35*EXP('Model Inputs &amp; Assumptions'!$X$35*R3509-'Model Inputs &amp; Assumptions'!$X$35^2/2))</f>
        <v>0.00692308117058109</v>
      </c>
      <c r="G3509" s="45" t="n">
        <f aca="false">ROUND(C3509*F3509,0)</f>
        <v>700</v>
      </c>
      <c r="H3509" s="48" t="n">
        <f aca="false">MAX(0,(C3509*'Model Inputs &amp; Assumptions'!$N$35+E3509*'Model Inputs &amp; Assumptions'!$O$35+G3509*'Model Inputs &amp; Assumptions'!$P$35)*EXP('Model Inputs &amp; Assumptions'!$Q$35*S3509-'Model Inputs &amp; Assumptions'!$Q$35^2/2))</f>
        <v>47.7958004102053</v>
      </c>
      <c r="I3509" s="49" t="n">
        <f aca="false">IF('Model Inputs &amp; Assumptions'!$H$35="Fixed",'Model Inputs &amp; Assumptions'!$I$35*'Model Inputs &amp; Assumptions'!$K$35,IF('Model Inputs &amp; Assumptions'!$H$35="CPM",'Model Inputs &amp; Assumptions'!$I$35*'Model Inputs &amp; Assumptions'!$K$35*C3509/1000,IF('Model Inputs &amp; Assumptions'!$H$35="CPC",'Model Inputs &amp; Assumptions'!$I$35*'Model Inputs &amp; Assumptions'!$K$35*G3509,0)))</f>
        <v>8672.8</v>
      </c>
      <c r="J3509" s="50" t="n">
        <f aca="false">H3509*INDEX('Model Inputs &amp; Assumptions'!$D$40:$D$42,MATCH('Model Inputs &amp; Assumptions'!$L$35,'Model Inputs &amp; Assumptions'!$A$40:$A$42,0))*INDEX('Model Inputs &amp; Assumptions'!$H$40:$H$42,MATCH('Model Inputs &amp; Assumptions'!$L$35,'Model Inputs &amp; Assumptions'!$A$40:$A$42,0))</f>
        <v>406264.303486745</v>
      </c>
      <c r="K3509" s="49" t="n">
        <f aca="false">H3509*INDEX('Model Inputs &amp; Assumptions'!$G$40:$G$42,MATCH('Model Inputs &amp; Assumptions'!$L$35,'Model Inputs &amp; Assumptions'!$A$40:$A$42,0))*INDEX('Model Inputs &amp; Assumptions'!$H$40:$H$42,MATCH('Model Inputs &amp; Assumptions'!$L$35,'Model Inputs &amp; Assumptions'!$A$40:$A$42,0))</f>
        <v>9140.94682845177</v>
      </c>
      <c r="L3509" s="51" t="n">
        <f aca="false">IFERROR(K3509/I3509,0)</f>
        <v>1.05397874140436</v>
      </c>
      <c r="M3509" s="49" t="n">
        <f aca="false">IFERROR(I3509/H3509,0)</f>
        <v>181.455272755474</v>
      </c>
      <c r="N3509" s="52" t="str">
        <f aca="false">'Model Inputs &amp; Assumptions'!$L$35</f>
        <v>PRD-EUAI</v>
      </c>
      <c r="P3509" s="53" t="n">
        <v>0.894847</v>
      </c>
      <c r="Q3509" s="53" t="n">
        <v>0.342914</v>
      </c>
      <c r="R3509" s="53" t="n">
        <v>0.263767</v>
      </c>
      <c r="S3509" s="53" t="n">
        <v>0.034298</v>
      </c>
    </row>
    <row r="3510" customFormat="false" ht="15" hidden="false" customHeight="false" outlineLevel="0" collapsed="false">
      <c r="A3510" s="43" t="n">
        <v>7</v>
      </c>
      <c r="B3510" s="44" t="str">
        <f aca="false">'Model Inputs &amp; Assumptions'!$B$35</f>
        <v>justETF — Sponsored Listing</v>
      </c>
      <c r="C3510" s="45" t="n">
        <f aca="false">ROUND(MAX(0,'Model Inputs &amp; Assumptions'!$S$35*EXP('Model Inputs &amp; Assumptions'!$T$35*P3510-'Model Inputs &amp; Assumptions'!$T$35^2/2)),0)</f>
        <v>94360</v>
      </c>
      <c r="D3510" s="46" t="n">
        <f aca="false">MIN(1,'Model Inputs &amp; Assumptions'!$U$35*EXP('Model Inputs &amp; Assumptions'!$V$35*Q3510-'Model Inputs &amp; Assumptions'!$V$35^2/2))</f>
        <v>0</v>
      </c>
      <c r="E3510" s="45" t="n">
        <f aca="false">ROUND(C3510*D3510,0)</f>
        <v>0</v>
      </c>
      <c r="F3510" s="47" t="n">
        <f aca="false">MIN(1,'Model Inputs &amp; Assumptions'!$W$35*EXP('Model Inputs &amp; Assumptions'!$X$35*R3510-'Model Inputs &amp; Assumptions'!$X$35^2/2))</f>
        <v>0.00526554959365283</v>
      </c>
      <c r="G3510" s="45" t="n">
        <f aca="false">ROUND(C3510*F3510,0)</f>
        <v>497</v>
      </c>
      <c r="H3510" s="48" t="n">
        <f aca="false">MAX(0,(C3510*'Model Inputs &amp; Assumptions'!$N$35+E3510*'Model Inputs &amp; Assumptions'!$O$35+G3510*'Model Inputs &amp; Assumptions'!$P$35)*EXP('Model Inputs &amp; Assumptions'!$Q$35*S3510-'Model Inputs &amp; Assumptions'!$Q$35^2/2))</f>
        <v>19.0079100160296</v>
      </c>
      <c r="I3510" s="49" t="n">
        <f aca="false">IF('Model Inputs &amp; Assumptions'!$H$35="Fixed",'Model Inputs &amp; Assumptions'!$I$35*'Model Inputs &amp; Assumptions'!$K$35,IF('Model Inputs &amp; Assumptions'!$H$35="CPM",'Model Inputs &amp; Assumptions'!$I$35*'Model Inputs &amp; Assumptions'!$K$35*C3510/1000,IF('Model Inputs &amp; Assumptions'!$H$35="CPC",'Model Inputs &amp; Assumptions'!$I$35*'Model Inputs &amp; Assumptions'!$K$35*G3510,0)))</f>
        <v>8672.8</v>
      </c>
      <c r="J3510" s="50" t="n">
        <f aca="false">H3510*INDEX('Model Inputs &amp; Assumptions'!$D$40:$D$42,MATCH('Model Inputs &amp; Assumptions'!$L$35,'Model Inputs &amp; Assumptions'!$A$40:$A$42,0))*INDEX('Model Inputs &amp; Assumptions'!$H$40:$H$42,MATCH('Model Inputs &amp; Assumptions'!$L$35,'Model Inputs &amp; Assumptions'!$A$40:$A$42,0))</f>
        <v>161567.235136251</v>
      </c>
      <c r="K3510" s="49" t="n">
        <f aca="false">H3510*INDEX('Model Inputs &amp; Assumptions'!$G$40:$G$42,MATCH('Model Inputs &amp; Assumptions'!$L$35,'Model Inputs &amp; Assumptions'!$A$40:$A$42,0))*INDEX('Model Inputs &amp; Assumptions'!$H$40:$H$42,MATCH('Model Inputs &amp; Assumptions'!$L$35,'Model Inputs &amp; Assumptions'!$A$40:$A$42,0))</f>
        <v>3635.26279056566</v>
      </c>
      <c r="L3510" s="51" t="n">
        <f aca="false">IFERROR(K3510/I3510,0)</f>
        <v>0.41915676489319</v>
      </c>
      <c r="M3510" s="49" t="n">
        <f aca="false">IFERROR(I3510/H3510,0)</f>
        <v>456.273203770753</v>
      </c>
      <c r="N3510" s="52" t="str">
        <f aca="false">'Model Inputs &amp; Assumptions'!$L$35</f>
        <v>PRD-EUAI</v>
      </c>
      <c r="P3510" s="53" t="n">
        <v>0.434967</v>
      </c>
      <c r="Q3510" s="53" t="n">
        <v>-0.496788</v>
      </c>
      <c r="R3510" s="53" t="n">
        <v>-1.10461</v>
      </c>
      <c r="S3510" s="53" t="n">
        <v>-2.194903</v>
      </c>
    </row>
    <row r="3511" customFormat="false" ht="15" hidden="false" customHeight="false" outlineLevel="0" collapsed="false">
      <c r="A3511" s="43" t="n">
        <v>8</v>
      </c>
      <c r="B3511" s="44" t="str">
        <f aca="false">'Model Inputs &amp; Assumptions'!$B$35</f>
        <v>justETF — Sponsored Listing</v>
      </c>
      <c r="C3511" s="45" t="n">
        <f aca="false">ROUND(MAX(0,'Model Inputs &amp; Assumptions'!$S$35*EXP('Model Inputs &amp; Assumptions'!$T$35*P3511-'Model Inputs &amp; Assumptions'!$T$35^2/2)),0)</f>
        <v>67912</v>
      </c>
      <c r="D3511" s="46" t="n">
        <f aca="false">MIN(1,'Model Inputs &amp; Assumptions'!$U$35*EXP('Model Inputs &amp; Assumptions'!$V$35*Q3511-'Model Inputs &amp; Assumptions'!$V$35^2/2))</f>
        <v>0</v>
      </c>
      <c r="E3511" s="45" t="n">
        <f aca="false">ROUND(C3511*D3511,0)</f>
        <v>0</v>
      </c>
      <c r="F3511" s="47" t="n">
        <f aca="false">MIN(1,'Model Inputs &amp; Assumptions'!$W$35*EXP('Model Inputs &amp; Assumptions'!$X$35*R3511-'Model Inputs &amp; Assumptions'!$X$35^2/2))</f>
        <v>0.0070279223837031</v>
      </c>
      <c r="G3511" s="45" t="n">
        <f aca="false">ROUND(C3511*F3511,0)</f>
        <v>477</v>
      </c>
      <c r="H3511" s="48" t="n">
        <f aca="false">MAX(0,(C3511*'Model Inputs &amp; Assumptions'!$N$35+E3511*'Model Inputs &amp; Assumptions'!$O$35+G3511*'Model Inputs &amp; Assumptions'!$P$35)*EXP('Model Inputs &amp; Assumptions'!$Q$35*S3511-'Model Inputs &amp; Assumptions'!$Q$35^2/2))</f>
        <v>41.5523531534101</v>
      </c>
      <c r="I3511" s="49" t="n">
        <f aca="false">IF('Model Inputs &amp; Assumptions'!$H$35="Fixed",'Model Inputs &amp; Assumptions'!$I$35*'Model Inputs &amp; Assumptions'!$K$35,IF('Model Inputs &amp; Assumptions'!$H$35="CPM",'Model Inputs &amp; Assumptions'!$I$35*'Model Inputs &amp; Assumptions'!$K$35*C3511/1000,IF('Model Inputs &amp; Assumptions'!$H$35="CPC",'Model Inputs &amp; Assumptions'!$I$35*'Model Inputs &amp; Assumptions'!$K$35*G3511,0)))</f>
        <v>8672.8</v>
      </c>
      <c r="J3511" s="50" t="n">
        <f aca="false">H3511*INDEX('Model Inputs &amp; Assumptions'!$D$40:$D$42,MATCH('Model Inputs &amp; Assumptions'!$L$35,'Model Inputs &amp; Assumptions'!$A$40:$A$42,0))*INDEX('Model Inputs &amp; Assumptions'!$H$40:$H$42,MATCH('Model Inputs &amp; Assumptions'!$L$35,'Model Inputs &amp; Assumptions'!$A$40:$A$42,0))</f>
        <v>353195.001803986</v>
      </c>
      <c r="K3511" s="49" t="n">
        <f aca="false">H3511*INDEX('Model Inputs &amp; Assumptions'!$G$40:$G$42,MATCH('Model Inputs &amp; Assumptions'!$L$35,'Model Inputs &amp; Assumptions'!$A$40:$A$42,0))*INDEX('Model Inputs &amp; Assumptions'!$H$40:$H$42,MATCH('Model Inputs &amp; Assumptions'!$L$35,'Model Inputs &amp; Assumptions'!$A$40:$A$42,0))</f>
        <v>7946.88754058969</v>
      </c>
      <c r="L3511" s="51" t="n">
        <f aca="false">IFERROR(K3511/I3511,0)</f>
        <v>0.916300103840708</v>
      </c>
      <c r="M3511" s="49" t="n">
        <f aca="false">IFERROR(I3511/H3511,0)</f>
        <v>208.71982792359</v>
      </c>
      <c r="N3511" s="52" t="str">
        <f aca="false">'Model Inputs &amp; Assumptions'!$L$35</f>
        <v>PRD-EUAI</v>
      </c>
      <c r="P3511" s="53" t="n">
        <v>-1.757694</v>
      </c>
      <c r="Q3511" s="53" t="n">
        <v>0.376156</v>
      </c>
      <c r="R3511" s="53" t="n">
        <v>0.338918</v>
      </c>
      <c r="S3511" s="53" t="n">
        <v>0.971145</v>
      </c>
    </row>
    <row r="3512" customFormat="false" ht="15" hidden="false" customHeight="false" outlineLevel="0" collapsed="false">
      <c r="A3512" s="43" t="n">
        <v>9</v>
      </c>
      <c r="B3512" s="44" t="str">
        <f aca="false">'Model Inputs &amp; Assumptions'!$B$35</f>
        <v>justETF — Sponsored Listing</v>
      </c>
      <c r="C3512" s="45" t="n">
        <f aca="false">ROUND(MAX(0,'Model Inputs &amp; Assumptions'!$S$35*EXP('Model Inputs &amp; Assumptions'!$T$35*P3512-'Model Inputs &amp; Assumptions'!$T$35^2/2)),0)</f>
        <v>75566</v>
      </c>
      <c r="D3512" s="46" t="n">
        <f aca="false">MIN(1,'Model Inputs &amp; Assumptions'!$U$35*EXP('Model Inputs &amp; Assumptions'!$V$35*Q3512-'Model Inputs &amp; Assumptions'!$V$35^2/2))</f>
        <v>0</v>
      </c>
      <c r="E3512" s="45" t="n">
        <f aca="false">ROUND(C3512*D3512,0)</f>
        <v>0</v>
      </c>
      <c r="F3512" s="47" t="n">
        <f aca="false">MIN(1,'Model Inputs &amp; Assumptions'!$W$35*EXP('Model Inputs &amp; Assumptions'!$X$35*R3512-'Model Inputs &amp; Assumptions'!$X$35^2/2))</f>
        <v>0.00650271073680054</v>
      </c>
      <c r="G3512" s="45" t="n">
        <f aca="false">ROUND(C3512*F3512,0)</f>
        <v>491</v>
      </c>
      <c r="H3512" s="48" t="n">
        <f aca="false">MAX(0,(C3512*'Model Inputs &amp; Assumptions'!$N$35+E3512*'Model Inputs &amp; Assumptions'!$O$35+G3512*'Model Inputs &amp; Assumptions'!$P$35)*EXP('Model Inputs &amp; Assumptions'!$Q$35*S3512-'Model Inputs &amp; Assumptions'!$Q$35^2/2))</f>
        <v>28.5445889962213</v>
      </c>
      <c r="I3512" s="49" t="n">
        <f aca="false">IF('Model Inputs &amp; Assumptions'!$H$35="Fixed",'Model Inputs &amp; Assumptions'!$I$35*'Model Inputs &amp; Assumptions'!$K$35,IF('Model Inputs &amp; Assumptions'!$H$35="CPM",'Model Inputs &amp; Assumptions'!$I$35*'Model Inputs &amp; Assumptions'!$K$35*C3512/1000,IF('Model Inputs &amp; Assumptions'!$H$35="CPC",'Model Inputs &amp; Assumptions'!$I$35*'Model Inputs &amp; Assumptions'!$K$35*G3512,0)))</f>
        <v>8672.8</v>
      </c>
      <c r="J3512" s="50" t="n">
        <f aca="false">H3512*INDEX('Model Inputs &amp; Assumptions'!$D$40:$D$42,MATCH('Model Inputs &amp; Assumptions'!$L$35,'Model Inputs &amp; Assumptions'!$A$40:$A$42,0))*INDEX('Model Inputs &amp; Assumptions'!$H$40:$H$42,MATCH('Model Inputs &amp; Assumptions'!$L$35,'Model Inputs &amp; Assumptions'!$A$40:$A$42,0))</f>
        <v>242629.006467881</v>
      </c>
      <c r="K3512" s="49" t="n">
        <f aca="false">H3512*INDEX('Model Inputs &amp; Assumptions'!$G$40:$G$42,MATCH('Model Inputs &amp; Assumptions'!$L$35,'Model Inputs &amp; Assumptions'!$A$40:$A$42,0))*INDEX('Model Inputs &amp; Assumptions'!$H$40:$H$42,MATCH('Model Inputs &amp; Assumptions'!$L$35,'Model Inputs &amp; Assumptions'!$A$40:$A$42,0))</f>
        <v>5459.15264552733</v>
      </c>
      <c r="L3512" s="51" t="n">
        <f aca="false">IFERROR(K3512/I3512,0)</f>
        <v>0.629456766618316</v>
      </c>
      <c r="M3512" s="49" t="n">
        <f aca="false">IFERROR(I3512/H3512,0)</f>
        <v>303.833416594231</v>
      </c>
      <c r="N3512" s="52" t="str">
        <f aca="false">'Model Inputs &amp; Assumptions'!$L$35</f>
        <v>PRD-EUAI</v>
      </c>
      <c r="P3512" s="53" t="n">
        <v>-1.045761</v>
      </c>
      <c r="Q3512" s="53" t="n">
        <v>-0.664162</v>
      </c>
      <c r="R3512" s="53" t="n">
        <v>-0.049442</v>
      </c>
      <c r="S3512" s="53" t="n">
        <v>-0.584295</v>
      </c>
    </row>
    <row r="3513" customFormat="false" ht="15" hidden="false" customHeight="false" outlineLevel="0" collapsed="false">
      <c r="A3513" s="43" t="n">
        <v>10</v>
      </c>
      <c r="B3513" s="44" t="str">
        <f aca="false">'Model Inputs &amp; Assumptions'!$B$35</f>
        <v>justETF — Sponsored Listing</v>
      </c>
      <c r="C3513" s="45" t="n">
        <f aca="false">ROUND(MAX(0,'Model Inputs &amp; Assumptions'!$S$35*EXP('Model Inputs &amp; Assumptions'!$T$35*P3513-'Model Inputs &amp; Assumptions'!$T$35^2/2)),0)</f>
        <v>83231</v>
      </c>
      <c r="D3513" s="46" t="n">
        <f aca="false">MIN(1,'Model Inputs &amp; Assumptions'!$U$35*EXP('Model Inputs &amp; Assumptions'!$V$35*Q3513-'Model Inputs &amp; Assumptions'!$V$35^2/2))</f>
        <v>0</v>
      </c>
      <c r="E3513" s="45" t="n">
        <f aca="false">ROUND(C3513*D3513,0)</f>
        <v>0</v>
      </c>
      <c r="F3513" s="47" t="n">
        <f aca="false">MIN(1,'Model Inputs &amp; Assumptions'!$W$35*EXP('Model Inputs &amp; Assumptions'!$X$35*R3513-'Model Inputs &amp; Assumptions'!$X$35^2/2))</f>
        <v>0.00664907353154202</v>
      </c>
      <c r="G3513" s="45" t="n">
        <f aca="false">ROUND(C3513*F3513,0)</f>
        <v>553</v>
      </c>
      <c r="H3513" s="48" t="n">
        <f aca="false">MAX(0,(C3513*'Model Inputs &amp; Assumptions'!$N$35+E3513*'Model Inputs &amp; Assumptions'!$O$35+G3513*'Model Inputs &amp; Assumptions'!$P$35)*EXP('Model Inputs &amp; Assumptions'!$Q$35*S3513-'Model Inputs &amp; Assumptions'!$Q$35^2/2))</f>
        <v>38.8985449324589</v>
      </c>
      <c r="I3513" s="49" t="n">
        <f aca="false">IF('Model Inputs &amp; Assumptions'!$H$35="Fixed",'Model Inputs &amp; Assumptions'!$I$35*'Model Inputs &amp; Assumptions'!$K$35,IF('Model Inputs &amp; Assumptions'!$H$35="CPM",'Model Inputs &amp; Assumptions'!$I$35*'Model Inputs &amp; Assumptions'!$K$35*C3513/1000,IF('Model Inputs &amp; Assumptions'!$H$35="CPC",'Model Inputs &amp; Assumptions'!$I$35*'Model Inputs &amp; Assumptions'!$K$35*G3513,0)))</f>
        <v>8672.8</v>
      </c>
      <c r="J3513" s="50" t="n">
        <f aca="false">H3513*INDEX('Model Inputs &amp; Assumptions'!$D$40:$D$42,MATCH('Model Inputs &amp; Assumptions'!$L$35,'Model Inputs &amp; Assumptions'!$A$40:$A$42,0))*INDEX('Model Inputs &amp; Assumptions'!$H$40:$H$42,MATCH('Model Inputs &amp; Assumptions'!$L$35,'Model Inputs &amp; Assumptions'!$A$40:$A$42,0))</f>
        <v>330637.631925901</v>
      </c>
      <c r="K3513" s="49" t="n">
        <f aca="false">H3513*INDEX('Model Inputs &amp; Assumptions'!$G$40:$G$42,MATCH('Model Inputs &amp; Assumptions'!$L$35,'Model Inputs &amp; Assumptions'!$A$40:$A$42,0))*INDEX('Model Inputs &amp; Assumptions'!$H$40:$H$42,MATCH('Model Inputs &amp; Assumptions'!$L$35,'Model Inputs &amp; Assumptions'!$A$40:$A$42,0))</f>
        <v>7439.34671833276</v>
      </c>
      <c r="L3513" s="51" t="n">
        <f aca="false">IFERROR(K3513/I3513,0)</f>
        <v>0.857779116125446</v>
      </c>
      <c r="M3513" s="49" t="n">
        <f aca="false">IFERROR(I3513/H3513,0)</f>
        <v>222.959496687059</v>
      </c>
      <c r="N3513" s="52" t="str">
        <f aca="false">'Model Inputs &amp; Assumptions'!$L$35</f>
        <v>PRD-EUAI</v>
      </c>
      <c r="P3513" s="53" t="n">
        <v>-0.401662</v>
      </c>
      <c r="Q3513" s="53" t="n">
        <v>2.005213</v>
      </c>
      <c r="R3513" s="53" t="n">
        <v>0.06185</v>
      </c>
      <c r="S3513" s="53" t="n">
        <v>0.148688</v>
      </c>
    </row>
    <row r="3514" customFormat="false" ht="15" hidden="false" customHeight="false" outlineLevel="0" collapsed="false">
      <c r="A3514" s="43" t="n">
        <v>11</v>
      </c>
      <c r="B3514" s="44" t="str">
        <f aca="false">'Model Inputs &amp; Assumptions'!$B$35</f>
        <v>justETF — Sponsored Listing</v>
      </c>
      <c r="C3514" s="45" t="n">
        <f aca="false">ROUND(MAX(0,'Model Inputs &amp; Assumptions'!$S$35*EXP('Model Inputs &amp; Assumptions'!$T$35*P3514-'Model Inputs &amp; Assumptions'!$T$35^2/2)),0)</f>
        <v>68710</v>
      </c>
      <c r="D3514" s="46" t="n">
        <f aca="false">MIN(1,'Model Inputs &amp; Assumptions'!$U$35*EXP('Model Inputs &amp; Assumptions'!$V$35*Q3514-'Model Inputs &amp; Assumptions'!$V$35^2/2))</f>
        <v>0</v>
      </c>
      <c r="E3514" s="45" t="n">
        <f aca="false">ROUND(C3514*D3514,0)</f>
        <v>0</v>
      </c>
      <c r="F3514" s="47" t="n">
        <f aca="false">MIN(1,'Model Inputs &amp; Assumptions'!$W$35*EXP('Model Inputs &amp; Assumptions'!$X$35*R3514-'Model Inputs &amp; Assumptions'!$X$35^2/2))</f>
        <v>0.00705052108174407</v>
      </c>
      <c r="G3514" s="45" t="n">
        <f aca="false">ROUND(C3514*F3514,0)</f>
        <v>484</v>
      </c>
      <c r="H3514" s="48" t="n">
        <f aca="false">MAX(0,(C3514*'Model Inputs &amp; Assumptions'!$N$35+E3514*'Model Inputs &amp; Assumptions'!$O$35+G3514*'Model Inputs &amp; Assumptions'!$P$35)*EXP('Model Inputs &amp; Assumptions'!$Q$35*S3514-'Model Inputs &amp; Assumptions'!$Q$35^2/2))</f>
        <v>30.1483317444669</v>
      </c>
      <c r="I3514" s="49" t="n">
        <f aca="false">IF('Model Inputs &amp; Assumptions'!$H$35="Fixed",'Model Inputs &amp; Assumptions'!$I$35*'Model Inputs &amp; Assumptions'!$K$35,IF('Model Inputs &amp; Assumptions'!$H$35="CPM",'Model Inputs &amp; Assumptions'!$I$35*'Model Inputs &amp; Assumptions'!$K$35*C3514/1000,IF('Model Inputs &amp; Assumptions'!$H$35="CPC",'Model Inputs &amp; Assumptions'!$I$35*'Model Inputs &amp; Assumptions'!$K$35*G3514,0)))</f>
        <v>8672.8</v>
      </c>
      <c r="J3514" s="50" t="n">
        <f aca="false">H3514*INDEX('Model Inputs &amp; Assumptions'!$D$40:$D$42,MATCH('Model Inputs &amp; Assumptions'!$L$35,'Model Inputs &amp; Assumptions'!$A$40:$A$42,0))*INDEX('Model Inputs &amp; Assumptions'!$H$40:$H$42,MATCH('Model Inputs &amp; Assumptions'!$L$35,'Model Inputs &amp; Assumptions'!$A$40:$A$42,0))</f>
        <v>256260.819827969</v>
      </c>
      <c r="K3514" s="49" t="n">
        <f aca="false">H3514*INDEX('Model Inputs &amp; Assumptions'!$G$40:$G$42,MATCH('Model Inputs &amp; Assumptions'!$L$35,'Model Inputs &amp; Assumptions'!$A$40:$A$42,0))*INDEX('Model Inputs &amp; Assumptions'!$H$40:$H$42,MATCH('Model Inputs &amp; Assumptions'!$L$35,'Model Inputs &amp; Assumptions'!$A$40:$A$42,0))</f>
        <v>5765.8684461293</v>
      </c>
      <c r="L3514" s="51" t="n">
        <f aca="false">IFERROR(K3514/I3514,0)</f>
        <v>0.664822023582845</v>
      </c>
      <c r="M3514" s="49" t="n">
        <f aca="false">IFERROR(I3514/H3514,0)</f>
        <v>287.670975412817</v>
      </c>
      <c r="N3514" s="52" t="str">
        <f aca="false">'Model Inputs &amp; Assumptions'!$L$35</f>
        <v>PRD-EUAI</v>
      </c>
      <c r="P3514" s="53" t="n">
        <v>-1.679833</v>
      </c>
      <c r="Q3514" s="53" t="n">
        <v>-0.205833</v>
      </c>
      <c r="R3514" s="53" t="n">
        <v>0.35497</v>
      </c>
      <c r="S3514" s="53" t="n">
        <v>-0.318828</v>
      </c>
    </row>
    <row r="3515" customFormat="false" ht="15" hidden="false" customHeight="false" outlineLevel="0" collapsed="false">
      <c r="A3515" s="43" t="n">
        <v>12</v>
      </c>
      <c r="B3515" s="44" t="str">
        <f aca="false">'Model Inputs &amp; Assumptions'!$B$35</f>
        <v>justETF — Sponsored Listing</v>
      </c>
      <c r="C3515" s="45" t="n">
        <f aca="false">ROUND(MAX(0,'Model Inputs &amp; Assumptions'!$S$35*EXP('Model Inputs &amp; Assumptions'!$T$35*P3515-'Model Inputs &amp; Assumptions'!$T$35^2/2)),0)</f>
        <v>81621</v>
      </c>
      <c r="D3515" s="46" t="n">
        <f aca="false">MIN(1,'Model Inputs &amp; Assumptions'!$U$35*EXP('Model Inputs &amp; Assumptions'!$V$35*Q3515-'Model Inputs &amp; Assumptions'!$V$35^2/2))</f>
        <v>0</v>
      </c>
      <c r="E3515" s="45" t="n">
        <f aca="false">ROUND(C3515*D3515,0)</f>
        <v>0</v>
      </c>
      <c r="F3515" s="47" t="n">
        <f aca="false">MIN(1,'Model Inputs &amp; Assumptions'!$W$35*EXP('Model Inputs &amp; Assumptions'!$X$35*R3515-'Model Inputs &amp; Assumptions'!$X$35^2/2))</f>
        <v>0.00629902416148049</v>
      </c>
      <c r="G3515" s="45" t="n">
        <f aca="false">ROUND(C3515*F3515,0)</f>
        <v>514</v>
      </c>
      <c r="H3515" s="48" t="n">
        <f aca="false">MAX(0,(C3515*'Model Inputs &amp; Assumptions'!$N$35+E3515*'Model Inputs &amp; Assumptions'!$O$35+G3515*'Model Inputs &amp; Assumptions'!$P$35)*EXP('Model Inputs &amp; Assumptions'!$Q$35*S3515-'Model Inputs &amp; Assumptions'!$Q$35^2/2))</f>
        <v>28.9884434408096</v>
      </c>
      <c r="I3515" s="49" t="n">
        <f aca="false">IF('Model Inputs &amp; Assumptions'!$H$35="Fixed",'Model Inputs &amp; Assumptions'!$I$35*'Model Inputs &amp; Assumptions'!$K$35,IF('Model Inputs &amp; Assumptions'!$H$35="CPM",'Model Inputs &amp; Assumptions'!$I$35*'Model Inputs &amp; Assumptions'!$K$35*C3515/1000,IF('Model Inputs &amp; Assumptions'!$H$35="CPC",'Model Inputs &amp; Assumptions'!$I$35*'Model Inputs &amp; Assumptions'!$K$35*G3515,0)))</f>
        <v>8672.8</v>
      </c>
      <c r="J3515" s="50" t="n">
        <f aca="false">H3515*INDEX('Model Inputs &amp; Assumptions'!$D$40:$D$42,MATCH('Model Inputs &amp; Assumptions'!$L$35,'Model Inputs &amp; Assumptions'!$A$40:$A$42,0))*INDEX('Model Inputs &amp; Assumptions'!$H$40:$H$42,MATCH('Model Inputs &amp; Assumptions'!$L$35,'Model Inputs &amp; Assumptions'!$A$40:$A$42,0))</f>
        <v>246401.769246882</v>
      </c>
      <c r="K3515" s="49" t="n">
        <f aca="false">H3515*INDEX('Model Inputs &amp; Assumptions'!$G$40:$G$42,MATCH('Model Inputs &amp; Assumptions'!$L$35,'Model Inputs &amp; Assumptions'!$A$40:$A$42,0))*INDEX('Model Inputs &amp; Assumptions'!$H$40:$H$42,MATCH('Model Inputs &amp; Assumptions'!$L$35,'Model Inputs &amp; Assumptions'!$A$40:$A$42,0))</f>
        <v>5544.03980805484</v>
      </c>
      <c r="L3515" s="51" t="n">
        <f aca="false">IFERROR(K3515/I3515,0)</f>
        <v>0.63924451250517</v>
      </c>
      <c r="M3515" s="49" t="n">
        <f aca="false">IFERROR(I3515/H3515,0)</f>
        <v>299.181293321549</v>
      </c>
      <c r="N3515" s="52" t="str">
        <f aca="false">'Model Inputs &amp; Assumptions'!$L$35</f>
        <v>PRD-EUAI</v>
      </c>
      <c r="P3515" s="53" t="n">
        <v>-0.531859</v>
      </c>
      <c r="Q3515" s="53" t="n">
        <v>-1.256064</v>
      </c>
      <c r="R3515" s="53" t="n">
        <v>-0.208564</v>
      </c>
      <c r="S3515" s="53" t="n">
        <v>-0.701023</v>
      </c>
    </row>
    <row r="3516" customFormat="false" ht="15" hidden="false" customHeight="false" outlineLevel="0" collapsed="false">
      <c r="A3516" s="43" t="n">
        <v>13</v>
      </c>
      <c r="B3516" s="44" t="str">
        <f aca="false">'Model Inputs &amp; Assumptions'!$B$35</f>
        <v>justETF — Sponsored Listing</v>
      </c>
      <c r="C3516" s="45" t="n">
        <f aca="false">ROUND(MAX(0,'Model Inputs &amp; Assumptions'!$S$35*EXP('Model Inputs &amp; Assumptions'!$T$35*P3516-'Model Inputs &amp; Assumptions'!$T$35^2/2)),0)</f>
        <v>76652</v>
      </c>
      <c r="D3516" s="46" t="n">
        <f aca="false">MIN(1,'Model Inputs &amp; Assumptions'!$U$35*EXP('Model Inputs &amp; Assumptions'!$V$35*Q3516-'Model Inputs &amp; Assumptions'!$V$35^2/2))</f>
        <v>0</v>
      </c>
      <c r="E3516" s="45" t="n">
        <f aca="false">ROUND(C3516*D3516,0)</f>
        <v>0</v>
      </c>
      <c r="F3516" s="47" t="n">
        <f aca="false">MIN(1,'Model Inputs &amp; Assumptions'!$W$35*EXP('Model Inputs &amp; Assumptions'!$X$35*R3516-'Model Inputs &amp; Assumptions'!$X$35^2/2))</f>
        <v>0.00751399082725361</v>
      </c>
      <c r="G3516" s="45" t="n">
        <f aca="false">ROUND(C3516*F3516,0)</f>
        <v>576</v>
      </c>
      <c r="H3516" s="48" t="n">
        <f aca="false">MAX(0,(C3516*'Model Inputs &amp; Assumptions'!$N$35+E3516*'Model Inputs &amp; Assumptions'!$O$35+G3516*'Model Inputs &amp; Assumptions'!$P$35)*EXP('Model Inputs &amp; Assumptions'!$Q$35*S3516-'Model Inputs &amp; Assumptions'!$Q$35^2/2))</f>
        <v>40.4272282186824</v>
      </c>
      <c r="I3516" s="49" t="n">
        <f aca="false">IF('Model Inputs &amp; Assumptions'!$H$35="Fixed",'Model Inputs &amp; Assumptions'!$I$35*'Model Inputs &amp; Assumptions'!$K$35,IF('Model Inputs &amp; Assumptions'!$H$35="CPM",'Model Inputs &amp; Assumptions'!$I$35*'Model Inputs &amp; Assumptions'!$K$35*C3516/1000,IF('Model Inputs &amp; Assumptions'!$H$35="CPC",'Model Inputs &amp; Assumptions'!$I$35*'Model Inputs &amp; Assumptions'!$K$35*G3516,0)))</f>
        <v>8672.8</v>
      </c>
      <c r="J3516" s="50" t="n">
        <f aca="false">H3516*INDEX('Model Inputs &amp; Assumptions'!$D$40:$D$42,MATCH('Model Inputs &amp; Assumptions'!$L$35,'Model Inputs &amp; Assumptions'!$A$40:$A$42,0))*INDEX('Model Inputs &amp; Assumptions'!$H$40:$H$42,MATCH('Model Inputs &amp; Assumptions'!$L$35,'Model Inputs &amp; Assumptions'!$A$40:$A$42,0))</f>
        <v>343631.439858801</v>
      </c>
      <c r="K3516" s="49" t="n">
        <f aca="false">H3516*INDEX('Model Inputs &amp; Assumptions'!$G$40:$G$42,MATCH('Model Inputs &amp; Assumptions'!$L$35,'Model Inputs &amp; Assumptions'!$A$40:$A$42,0))*INDEX('Model Inputs &amp; Assumptions'!$H$40:$H$42,MATCH('Model Inputs &amp; Assumptions'!$L$35,'Model Inputs &amp; Assumptions'!$A$40:$A$42,0))</f>
        <v>7731.70739682301</v>
      </c>
      <c r="L3516" s="51" t="n">
        <f aca="false">IFERROR(K3516/I3516,0)</f>
        <v>0.891489184210753</v>
      </c>
      <c r="M3516" s="49" t="n">
        <f aca="false">IFERROR(I3516/H3516,0)</f>
        <v>214.528682329799</v>
      </c>
      <c r="N3516" s="52" t="str">
        <f aca="false">'Model Inputs &amp; Assumptions'!$L$35</f>
        <v>PRD-EUAI</v>
      </c>
      <c r="P3516" s="53" t="n">
        <v>-0.95059</v>
      </c>
      <c r="Q3516" s="53" t="n">
        <v>0.653709</v>
      </c>
      <c r="R3516" s="53" t="n">
        <v>0.673296</v>
      </c>
      <c r="S3516" s="53" t="n">
        <v>0.140215</v>
      </c>
    </row>
    <row r="3517" customFormat="false" ht="15" hidden="false" customHeight="false" outlineLevel="0" collapsed="false">
      <c r="A3517" s="43" t="n">
        <v>14</v>
      </c>
      <c r="B3517" s="44" t="str">
        <f aca="false">'Model Inputs &amp; Assumptions'!$B$35</f>
        <v>justETF — Sponsored Listing</v>
      </c>
      <c r="C3517" s="45" t="n">
        <f aca="false">ROUND(MAX(0,'Model Inputs &amp; Assumptions'!$S$35*EXP('Model Inputs &amp; Assumptions'!$T$35*P3517-'Model Inputs &amp; Assumptions'!$T$35^2/2)),0)</f>
        <v>91628</v>
      </c>
      <c r="D3517" s="46" t="n">
        <f aca="false">MIN(1,'Model Inputs &amp; Assumptions'!$U$35*EXP('Model Inputs &amp; Assumptions'!$V$35*Q3517-'Model Inputs &amp; Assumptions'!$V$35^2/2))</f>
        <v>0</v>
      </c>
      <c r="E3517" s="45" t="n">
        <f aca="false">ROUND(C3517*D3517,0)</f>
        <v>0</v>
      </c>
      <c r="F3517" s="47" t="n">
        <f aca="false">MIN(1,'Model Inputs &amp; Assumptions'!$W$35*EXP('Model Inputs &amp; Assumptions'!$X$35*R3517-'Model Inputs &amp; Assumptions'!$X$35^2/2))</f>
        <v>0.00701379922487168</v>
      </c>
      <c r="G3517" s="45" t="n">
        <f aca="false">ROUND(C3517*F3517,0)</f>
        <v>643</v>
      </c>
      <c r="H3517" s="48" t="n">
        <f aca="false">MAX(0,(C3517*'Model Inputs &amp; Assumptions'!$N$35+E3517*'Model Inputs &amp; Assumptions'!$O$35+G3517*'Model Inputs &amp; Assumptions'!$P$35)*EXP('Model Inputs &amp; Assumptions'!$Q$35*S3517-'Model Inputs &amp; Assumptions'!$Q$35^2/2))</f>
        <v>40.9481154017538</v>
      </c>
      <c r="I3517" s="49" t="n">
        <f aca="false">IF('Model Inputs &amp; Assumptions'!$H$35="Fixed",'Model Inputs &amp; Assumptions'!$I$35*'Model Inputs &amp; Assumptions'!$K$35,IF('Model Inputs &amp; Assumptions'!$H$35="CPM",'Model Inputs &amp; Assumptions'!$I$35*'Model Inputs &amp; Assumptions'!$K$35*C3517/1000,IF('Model Inputs &amp; Assumptions'!$H$35="CPC",'Model Inputs &amp; Assumptions'!$I$35*'Model Inputs &amp; Assumptions'!$K$35*G3517,0)))</f>
        <v>8672.8</v>
      </c>
      <c r="J3517" s="50" t="n">
        <f aca="false">H3517*INDEX('Model Inputs &amp; Assumptions'!$D$40:$D$42,MATCH('Model Inputs &amp; Assumptions'!$L$35,'Model Inputs &amp; Assumptions'!$A$40:$A$42,0))*INDEX('Model Inputs &amp; Assumptions'!$H$40:$H$42,MATCH('Model Inputs &amp; Assumptions'!$L$35,'Model Inputs &amp; Assumptions'!$A$40:$A$42,0))</f>
        <v>348058.980914907</v>
      </c>
      <c r="K3517" s="49" t="n">
        <f aca="false">H3517*INDEX('Model Inputs &amp; Assumptions'!$G$40:$G$42,MATCH('Model Inputs &amp; Assumptions'!$L$35,'Model Inputs &amp; Assumptions'!$A$40:$A$42,0))*INDEX('Model Inputs &amp; Assumptions'!$H$40:$H$42,MATCH('Model Inputs &amp; Assumptions'!$L$35,'Model Inputs &amp; Assumptions'!$A$40:$A$42,0))</f>
        <v>7831.32707058541</v>
      </c>
      <c r="L3517" s="51" t="n">
        <f aca="false">IFERROR(K3517/I3517,0)</f>
        <v>0.902975633081059</v>
      </c>
      <c r="M3517" s="49" t="n">
        <f aca="false">IFERROR(I3517/H3517,0)</f>
        <v>211.799735223677</v>
      </c>
      <c r="N3517" s="52" t="str">
        <f aca="false">'Model Inputs &amp; Assumptions'!$L$35</f>
        <v>PRD-EUAI</v>
      </c>
      <c r="P3517" s="53" t="n">
        <v>0.239075</v>
      </c>
      <c r="Q3517" s="53" t="n">
        <v>-0.563094</v>
      </c>
      <c r="R3517" s="53" t="n">
        <v>0.32886</v>
      </c>
      <c r="S3517" s="53" t="n">
        <v>-0.233765</v>
      </c>
    </row>
    <row r="3518" customFormat="false" ht="15" hidden="false" customHeight="false" outlineLevel="0" collapsed="false">
      <c r="A3518" s="43" t="n">
        <v>15</v>
      </c>
      <c r="B3518" s="44" t="str">
        <f aca="false">'Model Inputs &amp; Assumptions'!$B$35</f>
        <v>justETF — Sponsored Listing</v>
      </c>
      <c r="C3518" s="45" t="n">
        <f aca="false">ROUND(MAX(0,'Model Inputs &amp; Assumptions'!$S$35*EXP('Model Inputs &amp; Assumptions'!$T$35*P3518-'Model Inputs &amp; Assumptions'!$T$35^2/2)),0)</f>
        <v>87956</v>
      </c>
      <c r="D3518" s="46" t="n">
        <f aca="false">MIN(1,'Model Inputs &amp; Assumptions'!$U$35*EXP('Model Inputs &amp; Assumptions'!$V$35*Q3518-'Model Inputs &amp; Assumptions'!$V$35^2/2))</f>
        <v>0</v>
      </c>
      <c r="E3518" s="45" t="n">
        <f aca="false">ROUND(C3518*D3518,0)</f>
        <v>0</v>
      </c>
      <c r="F3518" s="47" t="n">
        <f aca="false">MIN(1,'Model Inputs &amp; Assumptions'!$W$35*EXP('Model Inputs &amp; Assumptions'!$X$35*R3518-'Model Inputs &amp; Assumptions'!$X$35^2/2))</f>
        <v>0.00452474185269758</v>
      </c>
      <c r="G3518" s="45" t="n">
        <f aca="false">ROUND(C3518*F3518,0)</f>
        <v>398</v>
      </c>
      <c r="H3518" s="48" t="n">
        <f aca="false">MAX(0,(C3518*'Model Inputs &amp; Assumptions'!$N$35+E3518*'Model Inputs &amp; Assumptions'!$O$35+G3518*'Model Inputs &amp; Assumptions'!$P$35)*EXP('Model Inputs &amp; Assumptions'!$Q$35*S3518-'Model Inputs &amp; Assumptions'!$Q$35^2/2))</f>
        <v>40.6660433444286</v>
      </c>
      <c r="I3518" s="49" t="n">
        <f aca="false">IF('Model Inputs &amp; Assumptions'!$H$35="Fixed",'Model Inputs &amp; Assumptions'!$I$35*'Model Inputs &amp; Assumptions'!$K$35,IF('Model Inputs &amp; Assumptions'!$H$35="CPM",'Model Inputs &amp; Assumptions'!$I$35*'Model Inputs &amp; Assumptions'!$K$35*C3518/1000,IF('Model Inputs &amp; Assumptions'!$H$35="CPC",'Model Inputs &amp; Assumptions'!$I$35*'Model Inputs &amp; Assumptions'!$K$35*G3518,0)))</f>
        <v>8672.8</v>
      </c>
      <c r="J3518" s="50" t="n">
        <f aca="false">H3518*INDEX('Model Inputs &amp; Assumptions'!$D$40:$D$42,MATCH('Model Inputs &amp; Assumptions'!$L$35,'Model Inputs &amp; Assumptions'!$A$40:$A$42,0))*INDEX('Model Inputs &amp; Assumptions'!$H$40:$H$42,MATCH('Model Inputs &amp; Assumptions'!$L$35,'Model Inputs &amp; Assumptions'!$A$40:$A$42,0))</f>
        <v>345661.368427643</v>
      </c>
      <c r="K3518" s="49" t="n">
        <f aca="false">H3518*INDEX('Model Inputs &amp; Assumptions'!$G$40:$G$42,MATCH('Model Inputs &amp; Assumptions'!$L$35,'Model Inputs &amp; Assumptions'!$A$40:$A$42,0))*INDEX('Model Inputs &amp; Assumptions'!$H$40:$H$42,MATCH('Model Inputs &amp; Assumptions'!$L$35,'Model Inputs &amp; Assumptions'!$A$40:$A$42,0))</f>
        <v>7777.38078962197</v>
      </c>
      <c r="L3518" s="51" t="n">
        <f aca="false">IFERROR(K3518/I3518,0)</f>
        <v>0.896755464166355</v>
      </c>
      <c r="M3518" s="49" t="n">
        <f aca="false">IFERROR(I3518/H3518,0)</f>
        <v>213.268842669156</v>
      </c>
      <c r="N3518" s="52" t="str">
        <f aca="false">'Model Inputs &amp; Assumptions'!$L$35</f>
        <v>PRD-EUAI</v>
      </c>
      <c r="P3518" s="53" t="n">
        <v>-0.033556</v>
      </c>
      <c r="Q3518" s="53" t="n">
        <v>1.131481</v>
      </c>
      <c r="R3518" s="53" t="n">
        <v>-1.862735</v>
      </c>
      <c r="S3518" s="53" t="n">
        <v>1.584621</v>
      </c>
    </row>
    <row r="3519" customFormat="false" ht="15" hidden="false" customHeight="false" outlineLevel="0" collapsed="false">
      <c r="A3519" s="43" t="n">
        <v>16</v>
      </c>
      <c r="B3519" s="44" t="str">
        <f aca="false">'Model Inputs &amp; Assumptions'!$B$35</f>
        <v>justETF — Sponsored Listing</v>
      </c>
      <c r="C3519" s="45" t="n">
        <f aca="false">ROUND(MAX(0,'Model Inputs &amp; Assumptions'!$S$35*EXP('Model Inputs &amp; Assumptions'!$T$35*P3519-'Model Inputs &amp; Assumptions'!$T$35^2/2)),0)</f>
        <v>95949</v>
      </c>
      <c r="D3519" s="46" t="n">
        <f aca="false">MIN(1,'Model Inputs &amp; Assumptions'!$U$35*EXP('Model Inputs &amp; Assumptions'!$V$35*Q3519-'Model Inputs &amp; Assumptions'!$V$35^2/2))</f>
        <v>0</v>
      </c>
      <c r="E3519" s="45" t="n">
        <f aca="false">ROUND(C3519*D3519,0)</f>
        <v>0</v>
      </c>
      <c r="F3519" s="47" t="n">
        <f aca="false">MIN(1,'Model Inputs &amp; Assumptions'!$W$35*EXP('Model Inputs &amp; Assumptions'!$X$35*R3519-'Model Inputs &amp; Assumptions'!$X$35^2/2))</f>
        <v>0.00912911654898877</v>
      </c>
      <c r="G3519" s="45" t="n">
        <f aca="false">ROUND(C3519*F3519,0)</f>
        <v>876</v>
      </c>
      <c r="H3519" s="48" t="n">
        <f aca="false">MAX(0,(C3519*'Model Inputs &amp; Assumptions'!$N$35+E3519*'Model Inputs &amp; Assumptions'!$O$35+G3519*'Model Inputs &amp; Assumptions'!$P$35)*EXP('Model Inputs &amp; Assumptions'!$Q$35*S3519-'Model Inputs &amp; Assumptions'!$Q$35^2/2))</f>
        <v>41.9023224588273</v>
      </c>
      <c r="I3519" s="49" t="n">
        <f aca="false">IF('Model Inputs &amp; Assumptions'!$H$35="Fixed",'Model Inputs &amp; Assumptions'!$I$35*'Model Inputs &amp; Assumptions'!$K$35,IF('Model Inputs &amp; Assumptions'!$H$35="CPM",'Model Inputs &amp; Assumptions'!$I$35*'Model Inputs &amp; Assumptions'!$K$35*C3519/1000,IF('Model Inputs &amp; Assumptions'!$H$35="CPC",'Model Inputs &amp; Assumptions'!$I$35*'Model Inputs &amp; Assumptions'!$K$35*G3519,0)))</f>
        <v>8672.8</v>
      </c>
      <c r="J3519" s="50" t="n">
        <f aca="false">H3519*INDEX('Model Inputs &amp; Assumptions'!$D$40:$D$42,MATCH('Model Inputs &amp; Assumptions'!$L$35,'Model Inputs &amp; Assumptions'!$A$40:$A$42,0))*INDEX('Model Inputs &amp; Assumptions'!$H$40:$H$42,MATCH('Model Inputs &amp; Assumptions'!$L$35,'Model Inputs &amp; Assumptions'!$A$40:$A$42,0))</f>
        <v>356169.740900032</v>
      </c>
      <c r="K3519" s="49" t="n">
        <f aca="false">H3519*INDEX('Model Inputs &amp; Assumptions'!$G$40:$G$42,MATCH('Model Inputs &amp; Assumptions'!$L$35,'Model Inputs &amp; Assumptions'!$A$40:$A$42,0))*INDEX('Model Inputs &amp; Assumptions'!$H$40:$H$42,MATCH('Model Inputs &amp; Assumptions'!$L$35,'Model Inputs &amp; Assumptions'!$A$40:$A$42,0))</f>
        <v>8013.81917025072</v>
      </c>
      <c r="L3519" s="51" t="n">
        <f aca="false">IFERROR(K3519/I3519,0)</f>
        <v>0.9240175226283</v>
      </c>
      <c r="M3519" s="49" t="n">
        <f aca="false">IFERROR(I3519/H3519,0)</f>
        <v>206.976594400508</v>
      </c>
      <c r="N3519" s="52" t="str">
        <f aca="false">'Model Inputs &amp; Assumptions'!$L$35</f>
        <v>PRD-EUAI</v>
      </c>
      <c r="P3519" s="53" t="n">
        <v>0.546296</v>
      </c>
      <c r="Q3519" s="53" t="n">
        <v>-0.97451</v>
      </c>
      <c r="R3519" s="53" t="n">
        <v>1.646807</v>
      </c>
      <c r="S3519" s="53" t="n">
        <v>-1.33448</v>
      </c>
    </row>
    <row r="3520" customFormat="false" ht="15" hidden="false" customHeight="false" outlineLevel="0" collapsed="false">
      <c r="A3520" s="43" t="n">
        <v>17</v>
      </c>
      <c r="B3520" s="44" t="str">
        <f aca="false">'Model Inputs &amp; Assumptions'!$B$35</f>
        <v>justETF — Sponsored Listing</v>
      </c>
      <c r="C3520" s="45" t="n">
        <f aca="false">ROUND(MAX(0,'Model Inputs &amp; Assumptions'!$S$35*EXP('Model Inputs &amp; Assumptions'!$T$35*P3520-'Model Inputs &amp; Assumptions'!$T$35^2/2)),0)</f>
        <v>86125</v>
      </c>
      <c r="D3520" s="46" t="n">
        <f aca="false">MIN(1,'Model Inputs &amp; Assumptions'!$U$35*EXP('Model Inputs &amp; Assumptions'!$V$35*Q3520-'Model Inputs &amp; Assumptions'!$V$35^2/2))</f>
        <v>0</v>
      </c>
      <c r="E3520" s="45" t="n">
        <f aca="false">ROUND(C3520*D3520,0)</f>
        <v>0</v>
      </c>
      <c r="F3520" s="47" t="n">
        <f aca="false">MIN(1,'Model Inputs &amp; Assumptions'!$W$35*EXP('Model Inputs &amp; Assumptions'!$X$35*R3520-'Model Inputs &amp; Assumptions'!$X$35^2/2))</f>
        <v>0.00689991523259727</v>
      </c>
      <c r="G3520" s="45" t="n">
        <f aca="false">ROUND(C3520*F3520,0)</f>
        <v>594</v>
      </c>
      <c r="H3520" s="48" t="n">
        <f aca="false">MAX(0,(C3520*'Model Inputs &amp; Assumptions'!$N$35+E3520*'Model Inputs &amp; Assumptions'!$O$35+G3520*'Model Inputs &amp; Assumptions'!$P$35)*EXP('Model Inputs &amp; Assumptions'!$Q$35*S3520-'Model Inputs &amp; Assumptions'!$Q$35^2/2))</f>
        <v>79.9372428487349</v>
      </c>
      <c r="I3520" s="49" t="n">
        <f aca="false">IF('Model Inputs &amp; Assumptions'!$H$35="Fixed",'Model Inputs &amp; Assumptions'!$I$35*'Model Inputs &amp; Assumptions'!$K$35,IF('Model Inputs &amp; Assumptions'!$H$35="CPM",'Model Inputs &amp; Assumptions'!$I$35*'Model Inputs &amp; Assumptions'!$K$35*C3520/1000,IF('Model Inputs &amp; Assumptions'!$H$35="CPC",'Model Inputs &amp; Assumptions'!$I$35*'Model Inputs &amp; Assumptions'!$K$35*G3520,0)))</f>
        <v>8672.8</v>
      </c>
      <c r="J3520" s="50" t="n">
        <f aca="false">H3520*INDEX('Model Inputs &amp; Assumptions'!$D$40:$D$42,MATCH('Model Inputs &amp; Assumptions'!$L$35,'Model Inputs &amp; Assumptions'!$A$40:$A$42,0))*INDEX('Model Inputs &amp; Assumptions'!$H$40:$H$42,MATCH('Model Inputs &amp; Assumptions'!$L$35,'Model Inputs &amp; Assumptions'!$A$40:$A$42,0))</f>
        <v>679466.564214247</v>
      </c>
      <c r="K3520" s="49" t="n">
        <f aca="false">H3520*INDEX('Model Inputs &amp; Assumptions'!$G$40:$G$42,MATCH('Model Inputs &amp; Assumptions'!$L$35,'Model Inputs &amp; Assumptions'!$A$40:$A$42,0))*INDEX('Model Inputs &amp; Assumptions'!$H$40:$H$42,MATCH('Model Inputs &amp; Assumptions'!$L$35,'Model Inputs &amp; Assumptions'!$A$40:$A$42,0))</f>
        <v>15287.9976948205</v>
      </c>
      <c r="L3520" s="51" t="n">
        <f aca="false">IFERROR(K3520/I3520,0)</f>
        <v>1.76275224781161</v>
      </c>
      <c r="M3520" s="49" t="n">
        <f aca="false">IFERROR(I3520/H3520,0)</f>
        <v>108.495110550805</v>
      </c>
      <c r="N3520" s="52" t="str">
        <f aca="false">'Model Inputs &amp; Assumptions'!$L$35</f>
        <v>PRD-EUAI</v>
      </c>
      <c r="P3520" s="53" t="n">
        <v>-0.173786</v>
      </c>
      <c r="Q3520" s="53" t="n">
        <v>-2.2877</v>
      </c>
      <c r="R3520" s="53" t="n">
        <v>0.247008</v>
      </c>
      <c r="S3520" s="53" t="n">
        <v>2.643933</v>
      </c>
    </row>
    <row r="3521" customFormat="false" ht="15" hidden="false" customHeight="false" outlineLevel="0" collapsed="false">
      <c r="A3521" s="43" t="n">
        <v>18</v>
      </c>
      <c r="B3521" s="44" t="str">
        <f aca="false">'Model Inputs &amp; Assumptions'!$B$35</f>
        <v>justETF — Sponsored Listing</v>
      </c>
      <c r="C3521" s="45" t="n">
        <f aca="false">ROUND(MAX(0,'Model Inputs &amp; Assumptions'!$S$35*EXP('Model Inputs &amp; Assumptions'!$T$35*P3521-'Model Inputs &amp; Assumptions'!$T$35^2/2)),0)</f>
        <v>110433</v>
      </c>
      <c r="D3521" s="46" t="n">
        <f aca="false">MIN(1,'Model Inputs &amp; Assumptions'!$U$35*EXP('Model Inputs &amp; Assumptions'!$V$35*Q3521-'Model Inputs &amp; Assumptions'!$V$35^2/2))</f>
        <v>0</v>
      </c>
      <c r="E3521" s="45" t="n">
        <f aca="false">ROUND(C3521*D3521,0)</f>
        <v>0</v>
      </c>
      <c r="F3521" s="47" t="n">
        <f aca="false">MIN(1,'Model Inputs &amp; Assumptions'!$W$35*EXP('Model Inputs &amp; Assumptions'!$X$35*R3521-'Model Inputs &amp; Assumptions'!$X$35^2/2))</f>
        <v>0.00679142323010919</v>
      </c>
      <c r="G3521" s="45" t="n">
        <f aca="false">ROUND(C3521*F3521,0)</f>
        <v>750</v>
      </c>
      <c r="H3521" s="48" t="n">
        <f aca="false">MAX(0,(C3521*'Model Inputs &amp; Assumptions'!$N$35+E3521*'Model Inputs &amp; Assumptions'!$O$35+G3521*'Model Inputs &amp; Assumptions'!$P$35)*EXP('Model Inputs &amp; Assumptions'!$Q$35*S3521-'Model Inputs &amp; Assumptions'!$Q$35^2/2))</f>
        <v>61.7843681305955</v>
      </c>
      <c r="I3521" s="49" t="n">
        <f aca="false">IF('Model Inputs &amp; Assumptions'!$H$35="Fixed",'Model Inputs &amp; Assumptions'!$I$35*'Model Inputs &amp; Assumptions'!$K$35,IF('Model Inputs &amp; Assumptions'!$H$35="CPM",'Model Inputs &amp; Assumptions'!$I$35*'Model Inputs &amp; Assumptions'!$K$35*C3521/1000,IF('Model Inputs &amp; Assumptions'!$H$35="CPC",'Model Inputs &amp; Assumptions'!$I$35*'Model Inputs &amp; Assumptions'!$K$35*G3521,0)))</f>
        <v>8672.8</v>
      </c>
      <c r="J3521" s="50" t="n">
        <f aca="false">H3521*INDEX('Model Inputs &amp; Assumptions'!$D$40:$D$42,MATCH('Model Inputs &amp; Assumptions'!$L$35,'Model Inputs &amp; Assumptions'!$A$40:$A$42,0))*INDEX('Model Inputs &amp; Assumptions'!$H$40:$H$42,MATCH('Model Inputs &amp; Assumptions'!$L$35,'Model Inputs &amp; Assumptions'!$A$40:$A$42,0))</f>
        <v>525167.129110061</v>
      </c>
      <c r="K3521" s="49" t="n">
        <f aca="false">H3521*INDEX('Model Inputs &amp; Assumptions'!$G$40:$G$42,MATCH('Model Inputs &amp; Assumptions'!$L$35,'Model Inputs &amp; Assumptions'!$A$40:$A$42,0))*INDEX('Model Inputs &amp; Assumptions'!$H$40:$H$42,MATCH('Model Inputs &amp; Assumptions'!$L$35,'Model Inputs &amp; Assumptions'!$A$40:$A$42,0))</f>
        <v>11816.2604049764</v>
      </c>
      <c r="L3521" s="51" t="n">
        <f aca="false">IFERROR(K3521/I3521,0)</f>
        <v>1.36245046639798</v>
      </c>
      <c r="M3521" s="49" t="n">
        <f aca="false">IFERROR(I3521/H3521,0)</f>
        <v>140.37207569507</v>
      </c>
      <c r="N3521" s="52" t="str">
        <f aca="false">'Model Inputs &amp; Assumptions'!$L$35</f>
        <v>PRD-EUAI</v>
      </c>
      <c r="P3521" s="53" t="n">
        <v>1.483575</v>
      </c>
      <c r="Q3521" s="53" t="n">
        <v>-0.938509</v>
      </c>
      <c r="R3521" s="53" t="n">
        <v>0.167765</v>
      </c>
      <c r="S3521" s="53" t="n">
        <v>0.756297</v>
      </c>
    </row>
    <row r="3522" customFormat="false" ht="15" hidden="false" customHeight="false" outlineLevel="0" collapsed="false">
      <c r="A3522" s="43" t="n">
        <v>19</v>
      </c>
      <c r="B3522" s="44" t="str">
        <f aca="false">'Model Inputs &amp; Assumptions'!$B$35</f>
        <v>justETF — Sponsored Listing</v>
      </c>
      <c r="C3522" s="45" t="n">
        <f aca="false">ROUND(MAX(0,'Model Inputs &amp; Assumptions'!$S$35*EXP('Model Inputs &amp; Assumptions'!$T$35*P3522-'Model Inputs &amp; Assumptions'!$T$35^2/2)),0)</f>
        <v>94340</v>
      </c>
      <c r="D3522" s="46" t="n">
        <f aca="false">MIN(1,'Model Inputs &amp; Assumptions'!$U$35*EXP('Model Inputs &amp; Assumptions'!$V$35*Q3522-'Model Inputs &amp; Assumptions'!$V$35^2/2))</f>
        <v>0</v>
      </c>
      <c r="E3522" s="45" t="n">
        <f aca="false">ROUND(C3522*D3522,0)</f>
        <v>0</v>
      </c>
      <c r="F3522" s="47" t="n">
        <f aca="false">MIN(1,'Model Inputs &amp; Assumptions'!$W$35*EXP('Model Inputs &amp; Assumptions'!$X$35*R3522-'Model Inputs &amp; Assumptions'!$X$35^2/2))</f>
        <v>0.00686061389222817</v>
      </c>
      <c r="G3522" s="45" t="n">
        <f aca="false">ROUND(C3522*F3522,0)</f>
        <v>647</v>
      </c>
      <c r="H3522" s="48" t="n">
        <f aca="false">MAX(0,(C3522*'Model Inputs &amp; Assumptions'!$N$35+E3522*'Model Inputs &amp; Assumptions'!$O$35+G3522*'Model Inputs &amp; Assumptions'!$P$35)*EXP('Model Inputs &amp; Assumptions'!$Q$35*S3522-'Model Inputs &amp; Assumptions'!$Q$35^2/2))</f>
        <v>52.2406317212408</v>
      </c>
      <c r="I3522" s="49" t="n">
        <f aca="false">IF('Model Inputs &amp; Assumptions'!$H$35="Fixed",'Model Inputs &amp; Assumptions'!$I$35*'Model Inputs &amp; Assumptions'!$K$35,IF('Model Inputs &amp; Assumptions'!$H$35="CPM",'Model Inputs &amp; Assumptions'!$I$35*'Model Inputs &amp; Assumptions'!$K$35*C3522/1000,IF('Model Inputs &amp; Assumptions'!$H$35="CPC",'Model Inputs &amp; Assumptions'!$I$35*'Model Inputs &amp; Assumptions'!$K$35*G3522,0)))</f>
        <v>8672.8</v>
      </c>
      <c r="J3522" s="50" t="n">
        <f aca="false">H3522*INDEX('Model Inputs &amp; Assumptions'!$D$40:$D$42,MATCH('Model Inputs &amp; Assumptions'!$L$35,'Model Inputs &amp; Assumptions'!$A$40:$A$42,0))*INDEX('Model Inputs &amp; Assumptions'!$H$40:$H$42,MATCH('Model Inputs &amp; Assumptions'!$L$35,'Model Inputs &amp; Assumptions'!$A$40:$A$42,0))</f>
        <v>444045.369630547</v>
      </c>
      <c r="K3522" s="49" t="n">
        <f aca="false">H3522*INDEX('Model Inputs &amp; Assumptions'!$G$40:$G$42,MATCH('Model Inputs &amp; Assumptions'!$L$35,'Model Inputs &amp; Assumptions'!$A$40:$A$42,0))*INDEX('Model Inputs &amp; Assumptions'!$H$40:$H$42,MATCH('Model Inputs &amp; Assumptions'!$L$35,'Model Inputs &amp; Assumptions'!$A$40:$A$42,0))</f>
        <v>9991.0208166873</v>
      </c>
      <c r="L3522" s="51" t="n">
        <f aca="false">IFERROR(K3522/I3522,0)</f>
        <v>1.15199483634897</v>
      </c>
      <c r="M3522" s="49" t="n">
        <f aca="false">IFERROR(I3522/H3522,0)</f>
        <v>166.016369141143</v>
      </c>
      <c r="N3522" s="52" t="str">
        <f aca="false">'Model Inputs &amp; Assumptions'!$L$35</f>
        <v>PRD-EUAI</v>
      </c>
      <c r="P3522" s="53" t="n">
        <v>0.433599</v>
      </c>
      <c r="Q3522" s="53" t="n">
        <v>-0.431049</v>
      </c>
      <c r="R3522" s="53" t="n">
        <v>0.218447</v>
      </c>
      <c r="S3522" s="53" t="n">
        <v>0.679132</v>
      </c>
    </row>
    <row r="3523" customFormat="false" ht="15" hidden="false" customHeight="false" outlineLevel="0" collapsed="false">
      <c r="A3523" s="43" t="n">
        <v>20</v>
      </c>
      <c r="B3523" s="44" t="str">
        <f aca="false">'Model Inputs &amp; Assumptions'!$B$35</f>
        <v>justETF — Sponsored Listing</v>
      </c>
      <c r="C3523" s="45" t="n">
        <f aca="false">ROUND(MAX(0,'Model Inputs &amp; Assumptions'!$S$35*EXP('Model Inputs &amp; Assumptions'!$T$35*P3523-'Model Inputs &amp; Assumptions'!$T$35^2/2)),0)</f>
        <v>81665</v>
      </c>
      <c r="D3523" s="46" t="n">
        <f aca="false">MIN(1,'Model Inputs &amp; Assumptions'!$U$35*EXP('Model Inputs &amp; Assumptions'!$V$35*Q3523-'Model Inputs &amp; Assumptions'!$V$35^2/2))</f>
        <v>0</v>
      </c>
      <c r="E3523" s="45" t="n">
        <f aca="false">ROUND(C3523*D3523,0)</f>
        <v>0</v>
      </c>
      <c r="F3523" s="47" t="n">
        <f aca="false">MIN(1,'Model Inputs &amp; Assumptions'!$W$35*EXP('Model Inputs &amp; Assumptions'!$X$35*R3523-'Model Inputs &amp; Assumptions'!$X$35^2/2))</f>
        <v>0.00817048055331166</v>
      </c>
      <c r="G3523" s="45" t="n">
        <f aca="false">ROUND(C3523*F3523,0)</f>
        <v>667</v>
      </c>
      <c r="H3523" s="48" t="n">
        <f aca="false">MAX(0,(C3523*'Model Inputs &amp; Assumptions'!$N$35+E3523*'Model Inputs &amp; Assumptions'!$O$35+G3523*'Model Inputs &amp; Assumptions'!$P$35)*EXP('Model Inputs &amp; Assumptions'!$Q$35*S3523-'Model Inputs &amp; Assumptions'!$Q$35^2/2))</f>
        <v>32.5534036166236</v>
      </c>
      <c r="I3523" s="49" t="n">
        <f aca="false">IF('Model Inputs &amp; Assumptions'!$H$35="Fixed",'Model Inputs &amp; Assumptions'!$I$35*'Model Inputs &amp; Assumptions'!$K$35,IF('Model Inputs &amp; Assumptions'!$H$35="CPM",'Model Inputs &amp; Assumptions'!$I$35*'Model Inputs &amp; Assumptions'!$K$35*C3523/1000,IF('Model Inputs &amp; Assumptions'!$H$35="CPC",'Model Inputs &amp; Assumptions'!$I$35*'Model Inputs &amp; Assumptions'!$K$35*G3523,0)))</f>
        <v>8672.8</v>
      </c>
      <c r="J3523" s="50" t="n">
        <f aca="false">H3523*INDEX('Model Inputs &amp; Assumptions'!$D$40:$D$42,MATCH('Model Inputs &amp; Assumptions'!$L$35,'Model Inputs &amp; Assumptions'!$A$40:$A$42,0))*INDEX('Model Inputs &amp; Assumptions'!$H$40:$H$42,MATCH('Model Inputs &amp; Assumptions'!$L$35,'Model Inputs &amp; Assumptions'!$A$40:$A$42,0))</f>
        <v>276703.930741301</v>
      </c>
      <c r="K3523" s="49" t="n">
        <f aca="false">H3523*INDEX('Model Inputs &amp; Assumptions'!$G$40:$G$42,MATCH('Model Inputs &amp; Assumptions'!$L$35,'Model Inputs &amp; Assumptions'!$A$40:$A$42,0))*INDEX('Model Inputs &amp; Assumptions'!$H$40:$H$42,MATCH('Model Inputs &amp; Assumptions'!$L$35,'Model Inputs &amp; Assumptions'!$A$40:$A$42,0))</f>
        <v>6225.83844167927</v>
      </c>
      <c r="L3523" s="51" t="n">
        <f aca="false">IFERROR(K3523/I3523,0)</f>
        <v>0.717857951489631</v>
      </c>
      <c r="M3523" s="49" t="n">
        <f aca="false">IFERROR(I3523/H3523,0)</f>
        <v>266.417610340787</v>
      </c>
      <c r="N3523" s="52" t="str">
        <f aca="false">'Model Inputs &amp; Assumptions'!$L$35</f>
        <v>PRD-EUAI</v>
      </c>
      <c r="P3523" s="53" t="n">
        <v>-0.528285</v>
      </c>
      <c r="Q3523" s="53" t="n">
        <v>1.525465</v>
      </c>
      <c r="R3523" s="53" t="n">
        <v>1.092101</v>
      </c>
      <c r="S3523" s="53" t="n">
        <v>-1.257108</v>
      </c>
    </row>
    <row r="3524" customFormat="false" ht="15" hidden="false" customHeight="false" outlineLevel="0" collapsed="false">
      <c r="A3524" s="43" t="n">
        <v>21</v>
      </c>
      <c r="B3524" s="44" t="str">
        <f aca="false">'Model Inputs &amp; Assumptions'!$B$35</f>
        <v>justETF — Sponsored Listing</v>
      </c>
      <c r="C3524" s="45" t="n">
        <f aca="false">ROUND(MAX(0,'Model Inputs &amp; Assumptions'!$S$35*EXP('Model Inputs &amp; Assumptions'!$T$35*P3524-'Model Inputs &amp; Assumptions'!$T$35^2/2)),0)</f>
        <v>91047</v>
      </c>
      <c r="D3524" s="46" t="n">
        <f aca="false">MIN(1,'Model Inputs &amp; Assumptions'!$U$35*EXP('Model Inputs &amp; Assumptions'!$V$35*Q3524-'Model Inputs &amp; Assumptions'!$V$35^2/2))</f>
        <v>0</v>
      </c>
      <c r="E3524" s="45" t="n">
        <f aca="false">ROUND(C3524*D3524,0)</f>
        <v>0</v>
      </c>
      <c r="F3524" s="47" t="n">
        <f aca="false">MIN(1,'Model Inputs &amp; Assumptions'!$W$35*EXP('Model Inputs &amp; Assumptions'!$X$35*R3524-'Model Inputs &amp; Assumptions'!$X$35^2/2))</f>
        <v>0.00732658216203681</v>
      </c>
      <c r="G3524" s="45" t="n">
        <f aca="false">ROUND(C3524*F3524,0)</f>
        <v>667</v>
      </c>
      <c r="H3524" s="48" t="n">
        <f aca="false">MAX(0,(C3524*'Model Inputs &amp; Assumptions'!$N$35+E3524*'Model Inputs &amp; Assumptions'!$O$35+G3524*'Model Inputs &amp; Assumptions'!$P$35)*EXP('Model Inputs &amp; Assumptions'!$Q$35*S3524-'Model Inputs &amp; Assumptions'!$Q$35^2/2))</f>
        <v>36.2971885908235</v>
      </c>
      <c r="I3524" s="49" t="n">
        <f aca="false">IF('Model Inputs &amp; Assumptions'!$H$35="Fixed",'Model Inputs &amp; Assumptions'!$I$35*'Model Inputs &amp; Assumptions'!$K$35,IF('Model Inputs &amp; Assumptions'!$H$35="CPM",'Model Inputs &amp; Assumptions'!$I$35*'Model Inputs &amp; Assumptions'!$K$35*C3524/1000,IF('Model Inputs &amp; Assumptions'!$H$35="CPC",'Model Inputs &amp; Assumptions'!$I$35*'Model Inputs &amp; Assumptions'!$K$35*G3524,0)))</f>
        <v>8672.8</v>
      </c>
      <c r="J3524" s="50" t="n">
        <f aca="false">H3524*INDEX('Model Inputs &amp; Assumptions'!$D$40:$D$42,MATCH('Model Inputs &amp; Assumptions'!$L$35,'Model Inputs &amp; Assumptions'!$A$40:$A$42,0))*INDEX('Model Inputs &amp; Assumptions'!$H$40:$H$42,MATCH('Model Inputs &amp; Assumptions'!$L$35,'Model Inputs &amp; Assumptions'!$A$40:$A$42,0))</f>
        <v>308526.103022</v>
      </c>
      <c r="K3524" s="49" t="n">
        <f aca="false">H3524*INDEX('Model Inputs &amp; Assumptions'!$G$40:$G$42,MATCH('Model Inputs &amp; Assumptions'!$L$35,'Model Inputs &amp; Assumptions'!$A$40:$A$42,0))*INDEX('Model Inputs &amp; Assumptions'!$H$40:$H$42,MATCH('Model Inputs &amp; Assumptions'!$L$35,'Model Inputs &amp; Assumptions'!$A$40:$A$42,0))</f>
        <v>6941.837317995</v>
      </c>
      <c r="L3524" s="51" t="n">
        <f aca="false">IFERROR(K3524/I3524,0)</f>
        <v>0.80041478161551</v>
      </c>
      <c r="M3524" s="49" t="n">
        <f aca="false">IFERROR(I3524/H3524,0)</f>
        <v>238.938615818654</v>
      </c>
      <c r="N3524" s="52" t="str">
        <f aca="false">'Model Inputs &amp; Assumptions'!$L$35</f>
        <v>PRD-EUAI</v>
      </c>
      <c r="P3524" s="53" t="n">
        <v>0.196722</v>
      </c>
      <c r="Q3524" s="53" t="n">
        <v>0.467267</v>
      </c>
      <c r="R3524" s="53" t="n">
        <v>0.547008</v>
      </c>
      <c r="S3524" s="53" t="n">
        <v>-0.838422</v>
      </c>
    </row>
    <row r="3525" customFormat="false" ht="15" hidden="false" customHeight="false" outlineLevel="0" collapsed="false">
      <c r="A3525" s="43" t="n">
        <v>22</v>
      </c>
      <c r="B3525" s="44" t="str">
        <f aca="false">'Model Inputs &amp; Assumptions'!$B$35</f>
        <v>justETF — Sponsored Listing</v>
      </c>
      <c r="C3525" s="45" t="n">
        <f aca="false">ROUND(MAX(0,'Model Inputs &amp; Assumptions'!$S$35*EXP('Model Inputs &amp; Assumptions'!$T$35*P3525-'Model Inputs &amp; Assumptions'!$T$35^2/2)),0)</f>
        <v>85347</v>
      </c>
      <c r="D3525" s="46" t="n">
        <f aca="false">MIN(1,'Model Inputs &amp; Assumptions'!$U$35*EXP('Model Inputs &amp; Assumptions'!$V$35*Q3525-'Model Inputs &amp; Assumptions'!$V$35^2/2))</f>
        <v>0</v>
      </c>
      <c r="E3525" s="45" t="n">
        <f aca="false">ROUND(C3525*D3525,0)</f>
        <v>0</v>
      </c>
      <c r="F3525" s="47" t="n">
        <f aca="false">MIN(1,'Model Inputs &amp; Assumptions'!$W$35*EXP('Model Inputs &amp; Assumptions'!$X$35*R3525-'Model Inputs &amp; Assumptions'!$X$35^2/2))</f>
        <v>0.00774035480040725</v>
      </c>
      <c r="G3525" s="45" t="n">
        <f aca="false">ROUND(C3525*F3525,0)</f>
        <v>661</v>
      </c>
      <c r="H3525" s="48" t="n">
        <f aca="false">MAX(0,(C3525*'Model Inputs &amp; Assumptions'!$N$35+E3525*'Model Inputs &amp; Assumptions'!$O$35+G3525*'Model Inputs &amp; Assumptions'!$P$35)*EXP('Model Inputs &amp; Assumptions'!$Q$35*S3525-'Model Inputs &amp; Assumptions'!$Q$35^2/2))</f>
        <v>23.9439749155248</v>
      </c>
      <c r="I3525" s="49" t="n">
        <f aca="false">IF('Model Inputs &amp; Assumptions'!$H$35="Fixed",'Model Inputs &amp; Assumptions'!$I$35*'Model Inputs &amp; Assumptions'!$K$35,IF('Model Inputs &amp; Assumptions'!$H$35="CPM",'Model Inputs &amp; Assumptions'!$I$35*'Model Inputs &amp; Assumptions'!$K$35*C3525/1000,IF('Model Inputs &amp; Assumptions'!$H$35="CPC",'Model Inputs &amp; Assumptions'!$I$35*'Model Inputs &amp; Assumptions'!$K$35*G3525,0)))</f>
        <v>8672.8</v>
      </c>
      <c r="J3525" s="50" t="n">
        <f aca="false">H3525*INDEX('Model Inputs &amp; Assumptions'!$D$40:$D$42,MATCH('Model Inputs &amp; Assumptions'!$L$35,'Model Inputs &amp; Assumptions'!$A$40:$A$42,0))*INDEX('Model Inputs &amp; Assumptions'!$H$40:$H$42,MATCH('Model Inputs &amp; Assumptions'!$L$35,'Model Inputs &amp; Assumptions'!$A$40:$A$42,0))</f>
        <v>203523.78678196</v>
      </c>
      <c r="K3525" s="49" t="n">
        <f aca="false">H3525*INDEX('Model Inputs &amp; Assumptions'!$G$40:$G$42,MATCH('Model Inputs &amp; Assumptions'!$L$35,'Model Inputs &amp; Assumptions'!$A$40:$A$42,0))*INDEX('Model Inputs &amp; Assumptions'!$H$40:$H$42,MATCH('Model Inputs &amp; Assumptions'!$L$35,'Model Inputs &amp; Assumptions'!$A$40:$A$42,0))</f>
        <v>4579.28520259411</v>
      </c>
      <c r="L3525" s="51" t="n">
        <f aca="false">IFERROR(K3525/I3525,0)</f>
        <v>0.528005396480273</v>
      </c>
      <c r="M3525" s="49" t="n">
        <f aca="false">IFERROR(I3525/H3525,0)</f>
        <v>362.212207062443</v>
      </c>
      <c r="N3525" s="52" t="str">
        <f aca="false">'Model Inputs &amp; Assumptions'!$L$35</f>
        <v>PRD-EUAI</v>
      </c>
      <c r="P3525" s="53" t="n">
        <v>-0.234285</v>
      </c>
      <c r="Q3525" s="53" t="n">
        <v>0.798082</v>
      </c>
      <c r="R3525" s="53" t="n">
        <v>0.8217</v>
      </c>
      <c r="S3525" s="53" t="n">
        <v>-2.403758</v>
      </c>
    </row>
    <row r="3526" customFormat="false" ht="15" hidden="false" customHeight="false" outlineLevel="0" collapsed="false">
      <c r="A3526" s="43" t="n">
        <v>23</v>
      </c>
      <c r="B3526" s="44" t="str">
        <f aca="false">'Model Inputs &amp; Assumptions'!$B$35</f>
        <v>justETF — Sponsored Listing</v>
      </c>
      <c r="C3526" s="45" t="n">
        <f aca="false">ROUND(MAX(0,'Model Inputs &amp; Assumptions'!$S$35*EXP('Model Inputs &amp; Assumptions'!$T$35*P3526-'Model Inputs &amp; Assumptions'!$T$35^2/2)),0)</f>
        <v>119683</v>
      </c>
      <c r="D3526" s="46" t="n">
        <f aca="false">MIN(1,'Model Inputs &amp; Assumptions'!$U$35*EXP('Model Inputs &amp; Assumptions'!$V$35*Q3526-'Model Inputs &amp; Assumptions'!$V$35^2/2))</f>
        <v>0</v>
      </c>
      <c r="E3526" s="45" t="n">
        <f aca="false">ROUND(C3526*D3526,0)</f>
        <v>0</v>
      </c>
      <c r="F3526" s="47" t="n">
        <f aca="false">MIN(1,'Model Inputs &amp; Assumptions'!$W$35*EXP('Model Inputs &amp; Assumptions'!$X$35*R3526-'Model Inputs &amp; Assumptions'!$X$35^2/2))</f>
        <v>0.0067894607923816</v>
      </c>
      <c r="G3526" s="45" t="n">
        <f aca="false">ROUND(C3526*F3526,0)</f>
        <v>813</v>
      </c>
      <c r="H3526" s="48" t="n">
        <f aca="false">MAX(0,(C3526*'Model Inputs &amp; Assumptions'!$N$35+E3526*'Model Inputs &amp; Assumptions'!$O$35+G3526*'Model Inputs &amp; Assumptions'!$P$35)*EXP('Model Inputs &amp; Assumptions'!$Q$35*S3526-'Model Inputs &amp; Assumptions'!$Q$35^2/2))</f>
        <v>44.084783282025</v>
      </c>
      <c r="I3526" s="49" t="n">
        <f aca="false">IF('Model Inputs &amp; Assumptions'!$H$35="Fixed",'Model Inputs &amp; Assumptions'!$I$35*'Model Inputs &amp; Assumptions'!$K$35,IF('Model Inputs &amp; Assumptions'!$H$35="CPM",'Model Inputs &amp; Assumptions'!$I$35*'Model Inputs &amp; Assumptions'!$K$35*C3526/1000,IF('Model Inputs &amp; Assumptions'!$H$35="CPC",'Model Inputs &amp; Assumptions'!$I$35*'Model Inputs &amp; Assumptions'!$K$35*G3526,0)))</f>
        <v>8672.8</v>
      </c>
      <c r="J3526" s="50" t="n">
        <f aca="false">H3526*INDEX('Model Inputs &amp; Assumptions'!$D$40:$D$42,MATCH('Model Inputs &amp; Assumptions'!$L$35,'Model Inputs &amp; Assumptions'!$A$40:$A$42,0))*INDEX('Model Inputs &amp; Assumptions'!$H$40:$H$42,MATCH('Model Inputs &amp; Assumptions'!$L$35,'Model Inputs &amp; Assumptions'!$A$40:$A$42,0))</f>
        <v>374720.657897213</v>
      </c>
      <c r="K3526" s="49" t="n">
        <f aca="false">H3526*INDEX('Model Inputs &amp; Assumptions'!$G$40:$G$42,MATCH('Model Inputs &amp; Assumptions'!$L$35,'Model Inputs &amp; Assumptions'!$A$40:$A$42,0))*INDEX('Model Inputs &amp; Assumptions'!$H$40:$H$42,MATCH('Model Inputs &amp; Assumptions'!$L$35,'Model Inputs &amp; Assumptions'!$A$40:$A$42,0))</f>
        <v>8431.21480268728</v>
      </c>
      <c r="L3526" s="51" t="n">
        <f aca="false">IFERROR(K3526/I3526,0)</f>
        <v>0.972144498049913</v>
      </c>
      <c r="M3526" s="49" t="n">
        <f aca="false">IFERROR(I3526/H3526,0)</f>
        <v>196.730013268234</v>
      </c>
      <c r="N3526" s="52" t="str">
        <f aca="false">'Model Inputs &amp; Assumptions'!$L$35</f>
        <v>PRD-EUAI</v>
      </c>
      <c r="P3526" s="53" t="n">
        <v>2.019815</v>
      </c>
      <c r="Q3526" s="53" t="n">
        <v>-0.027868</v>
      </c>
      <c r="R3526" s="53" t="n">
        <v>0.16632</v>
      </c>
      <c r="S3526" s="53" t="n">
        <v>-0.85214</v>
      </c>
    </row>
    <row r="3527" customFormat="false" ht="15" hidden="false" customHeight="false" outlineLevel="0" collapsed="false">
      <c r="A3527" s="43" t="n">
        <v>24</v>
      </c>
      <c r="B3527" s="44" t="str">
        <f aca="false">'Model Inputs &amp; Assumptions'!$B$35</f>
        <v>justETF — Sponsored Listing</v>
      </c>
      <c r="C3527" s="45" t="n">
        <f aca="false">ROUND(MAX(0,'Model Inputs &amp; Assumptions'!$S$35*EXP('Model Inputs &amp; Assumptions'!$T$35*P3527-'Model Inputs &amp; Assumptions'!$T$35^2/2)),0)</f>
        <v>87482</v>
      </c>
      <c r="D3527" s="46" t="n">
        <f aca="false">MIN(1,'Model Inputs &amp; Assumptions'!$U$35*EXP('Model Inputs &amp; Assumptions'!$V$35*Q3527-'Model Inputs &amp; Assumptions'!$V$35^2/2))</f>
        <v>0</v>
      </c>
      <c r="E3527" s="45" t="n">
        <f aca="false">ROUND(C3527*D3527,0)</f>
        <v>0</v>
      </c>
      <c r="F3527" s="47" t="n">
        <f aca="false">MIN(1,'Model Inputs &amp; Assumptions'!$W$35*EXP('Model Inputs &amp; Assumptions'!$X$35*R3527-'Model Inputs &amp; Assumptions'!$X$35^2/2))</f>
        <v>0.00750721175898667</v>
      </c>
      <c r="G3527" s="45" t="n">
        <f aca="false">ROUND(C3527*F3527,0)</f>
        <v>657</v>
      </c>
      <c r="H3527" s="48" t="n">
        <f aca="false">MAX(0,(C3527*'Model Inputs &amp; Assumptions'!$N$35+E3527*'Model Inputs &amp; Assumptions'!$O$35+G3527*'Model Inputs &amp; Assumptions'!$P$35)*EXP('Model Inputs &amp; Assumptions'!$Q$35*S3527-'Model Inputs &amp; Assumptions'!$Q$35^2/2))</f>
        <v>49.8121953975635</v>
      </c>
      <c r="I3527" s="49" t="n">
        <f aca="false">IF('Model Inputs &amp; Assumptions'!$H$35="Fixed",'Model Inputs &amp; Assumptions'!$I$35*'Model Inputs &amp; Assumptions'!$K$35,IF('Model Inputs &amp; Assumptions'!$H$35="CPM",'Model Inputs &amp; Assumptions'!$I$35*'Model Inputs &amp; Assumptions'!$K$35*C3527/1000,IF('Model Inputs &amp; Assumptions'!$H$35="CPC",'Model Inputs &amp; Assumptions'!$I$35*'Model Inputs &amp; Assumptions'!$K$35*G3527,0)))</f>
        <v>8672.8</v>
      </c>
      <c r="J3527" s="50" t="n">
        <f aca="false">H3527*INDEX('Model Inputs &amp; Assumptions'!$D$40:$D$42,MATCH('Model Inputs &amp; Assumptions'!$L$35,'Model Inputs &amp; Assumptions'!$A$40:$A$42,0))*INDEX('Model Inputs &amp; Assumptions'!$H$40:$H$42,MATCH('Model Inputs &amp; Assumptions'!$L$35,'Model Inputs &amp; Assumptions'!$A$40:$A$42,0))</f>
        <v>423403.66087929</v>
      </c>
      <c r="K3527" s="49" t="n">
        <f aca="false">H3527*INDEX('Model Inputs &amp; Assumptions'!$G$40:$G$42,MATCH('Model Inputs &amp; Assumptions'!$L$35,'Model Inputs &amp; Assumptions'!$A$40:$A$42,0))*INDEX('Model Inputs &amp; Assumptions'!$H$40:$H$42,MATCH('Model Inputs &amp; Assumptions'!$L$35,'Model Inputs &amp; Assumptions'!$A$40:$A$42,0))</f>
        <v>9526.58236978402</v>
      </c>
      <c r="L3527" s="51" t="n">
        <f aca="false">IFERROR(K3527/I3527,0)</f>
        <v>1.09844368252283</v>
      </c>
      <c r="M3527" s="49" t="n">
        <f aca="false">IFERROR(I3527/H3527,0)</f>
        <v>174.109973085511</v>
      </c>
      <c r="N3527" s="52" t="str">
        <f aca="false">'Model Inputs &amp; Assumptions'!$L$35</f>
        <v>PRD-EUAI</v>
      </c>
      <c r="P3527" s="53" t="n">
        <v>-0.069595</v>
      </c>
      <c r="Q3527" s="53" t="n">
        <v>-0.637291</v>
      </c>
      <c r="R3527" s="53" t="n">
        <v>0.668783</v>
      </c>
      <c r="S3527" s="53" t="n">
        <v>0.437061</v>
      </c>
    </row>
    <row r="3528" customFormat="false" ht="15" hidden="false" customHeight="false" outlineLevel="0" collapsed="false">
      <c r="A3528" s="43" t="n">
        <v>25</v>
      </c>
      <c r="B3528" s="44" t="str">
        <f aca="false">'Model Inputs &amp; Assumptions'!$B$35</f>
        <v>justETF — Sponsored Listing</v>
      </c>
      <c r="C3528" s="45" t="n">
        <f aca="false">ROUND(MAX(0,'Model Inputs &amp; Assumptions'!$S$35*EXP('Model Inputs &amp; Assumptions'!$T$35*P3528-'Model Inputs &amp; Assumptions'!$T$35^2/2)),0)</f>
        <v>76431</v>
      </c>
      <c r="D3528" s="46" t="n">
        <f aca="false">MIN(1,'Model Inputs &amp; Assumptions'!$U$35*EXP('Model Inputs &amp; Assumptions'!$V$35*Q3528-'Model Inputs &amp; Assumptions'!$V$35^2/2))</f>
        <v>0</v>
      </c>
      <c r="E3528" s="45" t="n">
        <f aca="false">ROUND(C3528*D3528,0)</f>
        <v>0</v>
      </c>
      <c r="F3528" s="47" t="n">
        <f aca="false">MIN(1,'Model Inputs &amp; Assumptions'!$W$35*EXP('Model Inputs &amp; Assumptions'!$X$35*R3528-'Model Inputs &amp; Assumptions'!$X$35^2/2))</f>
        <v>0.0057988958364132</v>
      </c>
      <c r="G3528" s="45" t="n">
        <f aca="false">ROUND(C3528*F3528,0)</f>
        <v>443</v>
      </c>
      <c r="H3528" s="48" t="n">
        <f aca="false">MAX(0,(C3528*'Model Inputs &amp; Assumptions'!$N$35+E3528*'Model Inputs &amp; Assumptions'!$O$35+G3528*'Model Inputs &amp; Assumptions'!$P$35)*EXP('Model Inputs &amp; Assumptions'!$Q$35*S3528-'Model Inputs &amp; Assumptions'!$Q$35^2/2))</f>
        <v>21.5616284251572</v>
      </c>
      <c r="I3528" s="49" t="n">
        <f aca="false">IF('Model Inputs &amp; Assumptions'!$H$35="Fixed",'Model Inputs &amp; Assumptions'!$I$35*'Model Inputs &amp; Assumptions'!$K$35,IF('Model Inputs &amp; Assumptions'!$H$35="CPM",'Model Inputs &amp; Assumptions'!$I$35*'Model Inputs &amp; Assumptions'!$K$35*C3528/1000,IF('Model Inputs &amp; Assumptions'!$H$35="CPC",'Model Inputs &amp; Assumptions'!$I$35*'Model Inputs &amp; Assumptions'!$K$35*G3528,0)))</f>
        <v>8672.8</v>
      </c>
      <c r="J3528" s="50" t="n">
        <f aca="false">H3528*INDEX('Model Inputs &amp; Assumptions'!$D$40:$D$42,MATCH('Model Inputs &amp; Assumptions'!$L$35,'Model Inputs &amp; Assumptions'!$A$40:$A$42,0))*INDEX('Model Inputs &amp; Assumptions'!$H$40:$H$42,MATCH('Model Inputs &amp; Assumptions'!$L$35,'Model Inputs &amp; Assumptions'!$A$40:$A$42,0))</f>
        <v>183273.841613836</v>
      </c>
      <c r="K3528" s="49" t="n">
        <f aca="false">H3528*INDEX('Model Inputs &amp; Assumptions'!$G$40:$G$42,MATCH('Model Inputs &amp; Assumptions'!$L$35,'Model Inputs &amp; Assumptions'!$A$40:$A$42,0))*INDEX('Model Inputs &amp; Assumptions'!$H$40:$H$42,MATCH('Model Inputs &amp; Assumptions'!$L$35,'Model Inputs &amp; Assumptions'!$A$40:$A$42,0))</f>
        <v>4123.66143631131</v>
      </c>
      <c r="L3528" s="51" t="n">
        <f aca="false">IFERROR(K3528/I3528,0)</f>
        <v>0.47547060191764</v>
      </c>
      <c r="M3528" s="49" t="n">
        <f aca="false">IFERROR(I3528/H3528,0)</f>
        <v>402.233070201736</v>
      </c>
      <c r="N3528" s="52" t="str">
        <f aca="false">'Model Inputs &amp; Assumptions'!$L$35</f>
        <v>PRD-EUAI</v>
      </c>
      <c r="P3528" s="53" t="n">
        <v>-0.969858</v>
      </c>
      <c r="Q3528" s="53" t="n">
        <v>-0.149565</v>
      </c>
      <c r="R3528" s="53" t="n">
        <v>-0.6222</v>
      </c>
      <c r="S3528" s="53" t="n">
        <v>-1.267671</v>
      </c>
    </row>
    <row r="3529" customFormat="false" ht="15" hidden="false" customHeight="false" outlineLevel="0" collapsed="false">
      <c r="A3529" s="43" t="n">
        <v>26</v>
      </c>
      <c r="B3529" s="44" t="str">
        <f aca="false">'Model Inputs &amp; Assumptions'!$B$35</f>
        <v>justETF — Sponsored Listing</v>
      </c>
      <c r="C3529" s="45" t="n">
        <f aca="false">ROUND(MAX(0,'Model Inputs &amp; Assumptions'!$S$35*EXP('Model Inputs &amp; Assumptions'!$T$35*P3529-'Model Inputs &amp; Assumptions'!$T$35^2/2)),0)</f>
        <v>83433</v>
      </c>
      <c r="D3529" s="46" t="n">
        <f aca="false">MIN(1,'Model Inputs &amp; Assumptions'!$U$35*EXP('Model Inputs &amp; Assumptions'!$V$35*Q3529-'Model Inputs &amp; Assumptions'!$V$35^2/2))</f>
        <v>0</v>
      </c>
      <c r="E3529" s="45" t="n">
        <f aca="false">ROUND(C3529*D3529,0)</f>
        <v>0</v>
      </c>
      <c r="F3529" s="47" t="n">
        <f aca="false">MIN(1,'Model Inputs &amp; Assumptions'!$W$35*EXP('Model Inputs &amp; Assumptions'!$X$35*R3529-'Model Inputs &amp; Assumptions'!$X$35^2/2))</f>
        <v>0.00684293084791036</v>
      </c>
      <c r="G3529" s="45" t="n">
        <f aca="false">ROUND(C3529*F3529,0)</f>
        <v>571</v>
      </c>
      <c r="H3529" s="48" t="n">
        <f aca="false">MAX(0,(C3529*'Model Inputs &amp; Assumptions'!$N$35+E3529*'Model Inputs &amp; Assumptions'!$O$35+G3529*'Model Inputs &amp; Assumptions'!$P$35)*EXP('Model Inputs &amp; Assumptions'!$Q$35*S3529-'Model Inputs &amp; Assumptions'!$Q$35^2/2))</f>
        <v>28.4262232418073</v>
      </c>
      <c r="I3529" s="49" t="n">
        <f aca="false">IF('Model Inputs &amp; Assumptions'!$H$35="Fixed",'Model Inputs &amp; Assumptions'!$I$35*'Model Inputs &amp; Assumptions'!$K$35,IF('Model Inputs &amp; Assumptions'!$H$35="CPM",'Model Inputs &amp; Assumptions'!$I$35*'Model Inputs &amp; Assumptions'!$K$35*C3529/1000,IF('Model Inputs &amp; Assumptions'!$H$35="CPC",'Model Inputs &amp; Assumptions'!$I$35*'Model Inputs &amp; Assumptions'!$K$35*G3529,0)))</f>
        <v>8672.8</v>
      </c>
      <c r="J3529" s="50" t="n">
        <f aca="false">H3529*INDEX('Model Inputs &amp; Assumptions'!$D$40:$D$42,MATCH('Model Inputs &amp; Assumptions'!$L$35,'Model Inputs &amp; Assumptions'!$A$40:$A$42,0))*INDEX('Model Inputs &amp; Assumptions'!$H$40:$H$42,MATCH('Model Inputs &amp; Assumptions'!$L$35,'Model Inputs &amp; Assumptions'!$A$40:$A$42,0))</f>
        <v>241622.897555362</v>
      </c>
      <c r="K3529" s="49" t="n">
        <f aca="false">H3529*INDEX('Model Inputs &amp; Assumptions'!$G$40:$G$42,MATCH('Model Inputs &amp; Assumptions'!$L$35,'Model Inputs &amp; Assumptions'!$A$40:$A$42,0))*INDEX('Model Inputs &amp; Assumptions'!$H$40:$H$42,MATCH('Model Inputs &amp; Assumptions'!$L$35,'Model Inputs &amp; Assumptions'!$A$40:$A$42,0))</f>
        <v>5436.51519499564</v>
      </c>
      <c r="L3529" s="51" t="n">
        <f aca="false">IFERROR(K3529/I3529,0)</f>
        <v>0.626846600290061</v>
      </c>
      <c r="M3529" s="49" t="n">
        <f aca="false">IFERROR(I3529/H3529,0)</f>
        <v>305.098567833825</v>
      </c>
      <c r="N3529" s="52" t="str">
        <f aca="false">'Model Inputs &amp; Assumptions'!$L$35</f>
        <v>PRD-EUAI</v>
      </c>
      <c r="P3529" s="53" t="n">
        <v>-0.385519</v>
      </c>
      <c r="Q3529" s="53" t="n">
        <v>-2.845652</v>
      </c>
      <c r="R3529" s="53" t="n">
        <v>0.205543</v>
      </c>
      <c r="S3529" s="53" t="n">
        <v>-1.180835</v>
      </c>
    </row>
    <row r="3530" customFormat="false" ht="15" hidden="false" customHeight="false" outlineLevel="0" collapsed="false">
      <c r="A3530" s="43" t="n">
        <v>27</v>
      </c>
      <c r="B3530" s="44" t="str">
        <f aca="false">'Model Inputs &amp; Assumptions'!$B$35</f>
        <v>justETF — Sponsored Listing</v>
      </c>
      <c r="C3530" s="45" t="n">
        <f aca="false">ROUND(MAX(0,'Model Inputs &amp; Assumptions'!$S$35*EXP('Model Inputs &amp; Assumptions'!$T$35*P3530-'Model Inputs &amp; Assumptions'!$T$35^2/2)),0)</f>
        <v>65000</v>
      </c>
      <c r="D3530" s="46" t="n">
        <f aca="false">MIN(1,'Model Inputs &amp; Assumptions'!$U$35*EXP('Model Inputs &amp; Assumptions'!$V$35*Q3530-'Model Inputs &amp; Assumptions'!$V$35^2/2))</f>
        <v>0</v>
      </c>
      <c r="E3530" s="45" t="n">
        <f aca="false">ROUND(C3530*D3530,0)</f>
        <v>0</v>
      </c>
      <c r="F3530" s="47" t="n">
        <f aca="false">MIN(1,'Model Inputs &amp; Assumptions'!$W$35*EXP('Model Inputs &amp; Assumptions'!$X$35*R3530-'Model Inputs &amp; Assumptions'!$X$35^2/2))</f>
        <v>0.00697969155798116</v>
      </c>
      <c r="G3530" s="45" t="n">
        <f aca="false">ROUND(C3530*F3530,0)</f>
        <v>454</v>
      </c>
      <c r="H3530" s="48" t="n">
        <f aca="false">MAX(0,(C3530*'Model Inputs &amp; Assumptions'!$N$35+E3530*'Model Inputs &amp; Assumptions'!$O$35+G3530*'Model Inputs &amp; Assumptions'!$P$35)*EXP('Model Inputs &amp; Assumptions'!$Q$35*S3530-'Model Inputs &amp; Assumptions'!$Q$35^2/2))</f>
        <v>38.2802853602353</v>
      </c>
      <c r="I3530" s="49" t="n">
        <f aca="false">IF('Model Inputs &amp; Assumptions'!$H$35="Fixed",'Model Inputs &amp; Assumptions'!$I$35*'Model Inputs &amp; Assumptions'!$K$35,IF('Model Inputs &amp; Assumptions'!$H$35="CPM",'Model Inputs &amp; Assumptions'!$I$35*'Model Inputs &amp; Assumptions'!$K$35*C3530/1000,IF('Model Inputs &amp; Assumptions'!$H$35="CPC",'Model Inputs &amp; Assumptions'!$I$35*'Model Inputs &amp; Assumptions'!$K$35*G3530,0)))</f>
        <v>8672.8</v>
      </c>
      <c r="J3530" s="50" t="n">
        <f aca="false">H3530*INDEX('Model Inputs &amp; Assumptions'!$D$40:$D$42,MATCH('Model Inputs &amp; Assumptions'!$L$35,'Model Inputs &amp; Assumptions'!$A$40:$A$42,0))*INDEX('Model Inputs &amp; Assumptions'!$H$40:$H$42,MATCH('Model Inputs &amp; Assumptions'!$L$35,'Model Inputs &amp; Assumptions'!$A$40:$A$42,0))</f>
        <v>325382.425562</v>
      </c>
      <c r="K3530" s="49" t="n">
        <f aca="false">H3530*INDEX('Model Inputs &amp; Assumptions'!$G$40:$G$42,MATCH('Model Inputs &amp; Assumptions'!$L$35,'Model Inputs &amp; Assumptions'!$A$40:$A$42,0))*INDEX('Model Inputs &amp; Assumptions'!$H$40:$H$42,MATCH('Model Inputs &amp; Assumptions'!$L$35,'Model Inputs &amp; Assumptions'!$A$40:$A$42,0))</f>
        <v>7321.104575145</v>
      </c>
      <c r="L3530" s="51" t="n">
        <f aca="false">IFERROR(K3530/I3530,0)</f>
        <v>0.844145440358939</v>
      </c>
      <c r="M3530" s="49" t="n">
        <f aca="false">IFERROR(I3530/H3530,0)</f>
        <v>226.560484551902</v>
      </c>
      <c r="N3530" s="52" t="str">
        <f aca="false">'Model Inputs &amp; Assumptions'!$L$35</f>
        <v>PRD-EUAI</v>
      </c>
      <c r="P3530" s="53" t="n">
        <v>-2.049873</v>
      </c>
      <c r="Q3530" s="53" t="n">
        <v>0.251161</v>
      </c>
      <c r="R3530" s="53" t="n">
        <v>0.304486</v>
      </c>
      <c r="S3530" s="53" t="n">
        <v>0.845761</v>
      </c>
    </row>
    <row r="3531" customFormat="false" ht="15" hidden="false" customHeight="false" outlineLevel="0" collapsed="false">
      <c r="A3531" s="43" t="n">
        <v>28</v>
      </c>
      <c r="B3531" s="44" t="str">
        <f aca="false">'Model Inputs &amp; Assumptions'!$B$35</f>
        <v>justETF — Sponsored Listing</v>
      </c>
      <c r="C3531" s="45" t="n">
        <f aca="false">ROUND(MAX(0,'Model Inputs &amp; Assumptions'!$S$35*EXP('Model Inputs &amp; Assumptions'!$T$35*P3531-'Model Inputs &amp; Assumptions'!$T$35^2/2)),0)</f>
        <v>75889</v>
      </c>
      <c r="D3531" s="46" t="n">
        <f aca="false">MIN(1,'Model Inputs &amp; Assumptions'!$U$35*EXP('Model Inputs &amp; Assumptions'!$V$35*Q3531-'Model Inputs &amp; Assumptions'!$V$35^2/2))</f>
        <v>0</v>
      </c>
      <c r="E3531" s="45" t="n">
        <f aca="false">ROUND(C3531*D3531,0)</f>
        <v>0</v>
      </c>
      <c r="F3531" s="47" t="n">
        <f aca="false">MIN(1,'Model Inputs &amp; Assumptions'!$W$35*EXP('Model Inputs &amp; Assumptions'!$X$35*R3531-'Model Inputs &amp; Assumptions'!$X$35^2/2))</f>
        <v>0.00757113603146676</v>
      </c>
      <c r="G3531" s="45" t="n">
        <f aca="false">ROUND(C3531*F3531,0)</f>
        <v>575</v>
      </c>
      <c r="H3531" s="48" t="n">
        <f aca="false">MAX(0,(C3531*'Model Inputs &amp; Assumptions'!$N$35+E3531*'Model Inputs &amp; Assumptions'!$O$35+G3531*'Model Inputs &amp; Assumptions'!$P$35)*EXP('Model Inputs &amp; Assumptions'!$Q$35*S3531-'Model Inputs &amp; Assumptions'!$Q$35^2/2))</f>
        <v>54.5579371433684</v>
      </c>
      <c r="I3531" s="49" t="n">
        <f aca="false">IF('Model Inputs &amp; Assumptions'!$H$35="Fixed",'Model Inputs &amp; Assumptions'!$I$35*'Model Inputs &amp; Assumptions'!$K$35,IF('Model Inputs &amp; Assumptions'!$H$35="CPM",'Model Inputs &amp; Assumptions'!$I$35*'Model Inputs &amp; Assumptions'!$K$35*C3531/1000,IF('Model Inputs &amp; Assumptions'!$H$35="CPC",'Model Inputs &amp; Assumptions'!$I$35*'Model Inputs &amp; Assumptions'!$K$35*G3531,0)))</f>
        <v>8672.8</v>
      </c>
      <c r="J3531" s="50" t="n">
        <f aca="false">H3531*INDEX('Model Inputs &amp; Assumptions'!$D$40:$D$42,MATCH('Model Inputs &amp; Assumptions'!$L$35,'Model Inputs &amp; Assumptions'!$A$40:$A$42,0))*INDEX('Model Inputs &amp; Assumptions'!$H$40:$H$42,MATCH('Model Inputs &amp; Assumptions'!$L$35,'Model Inputs &amp; Assumptions'!$A$40:$A$42,0))</f>
        <v>463742.465718632</v>
      </c>
      <c r="K3531" s="49" t="n">
        <f aca="false">H3531*INDEX('Model Inputs &amp; Assumptions'!$G$40:$G$42,MATCH('Model Inputs &amp; Assumptions'!$L$35,'Model Inputs &amp; Assumptions'!$A$40:$A$42,0))*INDEX('Model Inputs &amp; Assumptions'!$H$40:$H$42,MATCH('Model Inputs &amp; Assumptions'!$L$35,'Model Inputs &amp; Assumptions'!$A$40:$A$42,0))</f>
        <v>10434.2054786692</v>
      </c>
      <c r="L3531" s="51" t="n">
        <f aca="false">IFERROR(K3531/I3531,0)</f>
        <v>1.2030953646653</v>
      </c>
      <c r="M3531" s="49" t="n">
        <f aca="false">IFERROR(I3531/H3531,0)</f>
        <v>158.964954580476</v>
      </c>
      <c r="N3531" s="52" t="str">
        <f aca="false">'Model Inputs &amp; Assumptions'!$L$35</f>
        <v>PRD-EUAI</v>
      </c>
      <c r="P3531" s="53" t="n">
        <v>-1.017325</v>
      </c>
      <c r="Q3531" s="53" t="n">
        <v>0.343267</v>
      </c>
      <c r="R3531" s="53" t="n">
        <v>0.711178</v>
      </c>
      <c r="S3531" s="53" t="n">
        <v>1.29982</v>
      </c>
    </row>
    <row r="3532" customFormat="false" ht="15" hidden="false" customHeight="false" outlineLevel="0" collapsed="false">
      <c r="A3532" s="43" t="n">
        <v>29</v>
      </c>
      <c r="B3532" s="44" t="str">
        <f aca="false">'Model Inputs &amp; Assumptions'!$B$35</f>
        <v>justETF — Sponsored Listing</v>
      </c>
      <c r="C3532" s="45" t="n">
        <f aca="false">ROUND(MAX(0,'Model Inputs &amp; Assumptions'!$S$35*EXP('Model Inputs &amp; Assumptions'!$T$35*P3532-'Model Inputs &amp; Assumptions'!$T$35^2/2)),0)</f>
        <v>76055</v>
      </c>
      <c r="D3532" s="46" t="n">
        <f aca="false">MIN(1,'Model Inputs &amp; Assumptions'!$U$35*EXP('Model Inputs &amp; Assumptions'!$V$35*Q3532-'Model Inputs &amp; Assumptions'!$V$35^2/2))</f>
        <v>0</v>
      </c>
      <c r="E3532" s="45" t="n">
        <f aca="false">ROUND(C3532*D3532,0)</f>
        <v>0</v>
      </c>
      <c r="F3532" s="47" t="n">
        <f aca="false">MIN(1,'Model Inputs &amp; Assumptions'!$W$35*EXP('Model Inputs &amp; Assumptions'!$X$35*R3532-'Model Inputs &amp; Assumptions'!$X$35^2/2))</f>
        <v>0.00619884092130175</v>
      </c>
      <c r="G3532" s="45" t="n">
        <f aca="false">ROUND(C3532*F3532,0)</f>
        <v>471</v>
      </c>
      <c r="H3532" s="48" t="n">
        <f aca="false">MAX(0,(C3532*'Model Inputs &amp; Assumptions'!$N$35+E3532*'Model Inputs &amp; Assumptions'!$O$35+G3532*'Model Inputs &amp; Assumptions'!$P$35)*EXP('Model Inputs &amp; Assumptions'!$Q$35*S3532-'Model Inputs &amp; Assumptions'!$Q$35^2/2))</f>
        <v>36.0892341216271</v>
      </c>
      <c r="I3532" s="49" t="n">
        <f aca="false">IF('Model Inputs &amp; Assumptions'!$H$35="Fixed",'Model Inputs &amp; Assumptions'!$I$35*'Model Inputs &amp; Assumptions'!$K$35,IF('Model Inputs &amp; Assumptions'!$H$35="CPM",'Model Inputs &amp; Assumptions'!$I$35*'Model Inputs &amp; Assumptions'!$K$35*C3532/1000,IF('Model Inputs &amp; Assumptions'!$H$35="CPC",'Model Inputs &amp; Assumptions'!$I$35*'Model Inputs &amp; Assumptions'!$K$35*G3532,0)))</f>
        <v>8672.8</v>
      </c>
      <c r="J3532" s="50" t="n">
        <f aca="false">H3532*INDEX('Model Inputs &amp; Assumptions'!$D$40:$D$42,MATCH('Model Inputs &amp; Assumptions'!$L$35,'Model Inputs &amp; Assumptions'!$A$40:$A$42,0))*INDEX('Model Inputs &amp; Assumptions'!$H$40:$H$42,MATCH('Model Inputs &amp; Assumptions'!$L$35,'Model Inputs &amp; Assumptions'!$A$40:$A$42,0))</f>
        <v>306758.490033831</v>
      </c>
      <c r="K3532" s="49" t="n">
        <f aca="false">H3532*INDEX('Model Inputs &amp; Assumptions'!$G$40:$G$42,MATCH('Model Inputs &amp; Assumptions'!$L$35,'Model Inputs &amp; Assumptions'!$A$40:$A$42,0))*INDEX('Model Inputs &amp; Assumptions'!$H$40:$H$42,MATCH('Model Inputs &amp; Assumptions'!$L$35,'Model Inputs &amp; Assumptions'!$A$40:$A$42,0))</f>
        <v>6902.06602576119</v>
      </c>
      <c r="L3532" s="51" t="n">
        <f aca="false">IFERROR(K3532/I3532,0)</f>
        <v>0.795829031657733</v>
      </c>
      <c r="M3532" s="49" t="n">
        <f aca="false">IFERROR(I3532/H3532,0)</f>
        <v>240.315435089897</v>
      </c>
      <c r="N3532" s="52" t="str">
        <f aca="false">'Model Inputs &amp; Assumptions'!$L$35</f>
        <v>PRD-EUAI</v>
      </c>
      <c r="P3532" s="53" t="n">
        <v>-1.002731</v>
      </c>
      <c r="Q3532" s="53" t="n">
        <v>1.038485</v>
      </c>
      <c r="R3532" s="53" t="n">
        <v>-0.288726</v>
      </c>
      <c r="S3532" s="53" t="n">
        <v>0.477679</v>
      </c>
    </row>
    <row r="3533" customFormat="false" ht="15" hidden="false" customHeight="false" outlineLevel="0" collapsed="false">
      <c r="A3533" s="43" t="n">
        <v>30</v>
      </c>
      <c r="B3533" s="44" t="str">
        <f aca="false">'Model Inputs &amp; Assumptions'!$B$35</f>
        <v>justETF — Sponsored Listing</v>
      </c>
      <c r="C3533" s="45" t="n">
        <f aca="false">ROUND(MAX(0,'Model Inputs &amp; Assumptions'!$S$35*EXP('Model Inputs &amp; Assumptions'!$T$35*P3533-'Model Inputs &amp; Assumptions'!$T$35^2/2)),0)</f>
        <v>98970</v>
      </c>
      <c r="D3533" s="46" t="n">
        <f aca="false">MIN(1,'Model Inputs &amp; Assumptions'!$U$35*EXP('Model Inputs &amp; Assumptions'!$V$35*Q3533-'Model Inputs &amp; Assumptions'!$V$35^2/2))</f>
        <v>0</v>
      </c>
      <c r="E3533" s="45" t="n">
        <f aca="false">ROUND(C3533*D3533,0)</f>
        <v>0</v>
      </c>
      <c r="F3533" s="47" t="n">
        <f aca="false">MIN(1,'Model Inputs &amp; Assumptions'!$W$35*EXP('Model Inputs &amp; Assumptions'!$X$35*R3533-'Model Inputs &amp; Assumptions'!$X$35^2/2))</f>
        <v>0.00613848228283005</v>
      </c>
      <c r="G3533" s="45" t="n">
        <f aca="false">ROUND(C3533*F3533,0)</f>
        <v>608</v>
      </c>
      <c r="H3533" s="48" t="n">
        <f aca="false">MAX(0,(C3533*'Model Inputs &amp; Assumptions'!$N$35+E3533*'Model Inputs &amp; Assumptions'!$O$35+G3533*'Model Inputs &amp; Assumptions'!$P$35)*EXP('Model Inputs &amp; Assumptions'!$Q$35*S3533-'Model Inputs &amp; Assumptions'!$Q$35^2/2))</f>
        <v>30.0078569298132</v>
      </c>
      <c r="I3533" s="49" t="n">
        <f aca="false">IF('Model Inputs &amp; Assumptions'!$H$35="Fixed",'Model Inputs &amp; Assumptions'!$I$35*'Model Inputs &amp; Assumptions'!$K$35,IF('Model Inputs &amp; Assumptions'!$H$35="CPM",'Model Inputs &amp; Assumptions'!$I$35*'Model Inputs &amp; Assumptions'!$K$35*C3533/1000,IF('Model Inputs &amp; Assumptions'!$H$35="CPC",'Model Inputs &amp; Assumptions'!$I$35*'Model Inputs &amp; Assumptions'!$K$35*G3533,0)))</f>
        <v>8672.8</v>
      </c>
      <c r="J3533" s="50" t="n">
        <f aca="false">H3533*INDEX('Model Inputs &amp; Assumptions'!$D$40:$D$42,MATCH('Model Inputs &amp; Assumptions'!$L$35,'Model Inputs &amp; Assumptions'!$A$40:$A$42,0))*INDEX('Model Inputs &amp; Assumptions'!$H$40:$H$42,MATCH('Model Inputs &amp; Assumptions'!$L$35,'Model Inputs &amp; Assumptions'!$A$40:$A$42,0))</f>
        <v>255066.783903412</v>
      </c>
      <c r="K3533" s="49" t="n">
        <f aca="false">H3533*INDEX('Model Inputs &amp; Assumptions'!$G$40:$G$42,MATCH('Model Inputs &amp; Assumptions'!$L$35,'Model Inputs &amp; Assumptions'!$A$40:$A$42,0))*INDEX('Model Inputs &amp; Assumptions'!$H$40:$H$42,MATCH('Model Inputs &amp; Assumptions'!$L$35,'Model Inputs &amp; Assumptions'!$A$40:$A$42,0))</f>
        <v>5739.00263782677</v>
      </c>
      <c r="L3533" s="51" t="n">
        <f aca="false">IFERROR(K3533/I3533,0)</f>
        <v>0.661724314849503</v>
      </c>
      <c r="M3533" s="49" t="n">
        <f aca="false">IFERROR(I3533/H3533,0)</f>
        <v>289.017640289516</v>
      </c>
      <c r="N3533" s="52" t="str">
        <f aca="false">'Model Inputs &amp; Assumptions'!$L$35</f>
        <v>PRD-EUAI</v>
      </c>
      <c r="P3533" s="53" t="n">
        <v>0.752969</v>
      </c>
      <c r="Q3533" s="53" t="n">
        <v>1.627299</v>
      </c>
      <c r="R3533" s="53" t="n">
        <v>-0.33765</v>
      </c>
      <c r="S3533" s="53" t="n">
        <v>-1.21406</v>
      </c>
    </row>
    <row r="3534" customFormat="false" ht="15" hidden="false" customHeight="false" outlineLevel="0" collapsed="false">
      <c r="A3534" s="43" t="n">
        <v>31</v>
      </c>
      <c r="B3534" s="44" t="str">
        <f aca="false">'Model Inputs &amp; Assumptions'!$B$35</f>
        <v>justETF — Sponsored Listing</v>
      </c>
      <c r="C3534" s="45" t="n">
        <f aca="false">ROUND(MAX(0,'Model Inputs &amp; Assumptions'!$S$35*EXP('Model Inputs &amp; Assumptions'!$T$35*P3534-'Model Inputs &amp; Assumptions'!$T$35^2/2)),0)</f>
        <v>87799</v>
      </c>
      <c r="D3534" s="46" t="n">
        <f aca="false">MIN(1,'Model Inputs &amp; Assumptions'!$U$35*EXP('Model Inputs &amp; Assumptions'!$V$35*Q3534-'Model Inputs &amp; Assumptions'!$V$35^2/2))</f>
        <v>0</v>
      </c>
      <c r="E3534" s="45" t="n">
        <f aca="false">ROUND(C3534*D3534,0)</f>
        <v>0</v>
      </c>
      <c r="F3534" s="47" t="n">
        <f aca="false">MIN(1,'Model Inputs &amp; Assumptions'!$W$35*EXP('Model Inputs &amp; Assumptions'!$X$35*R3534-'Model Inputs &amp; Assumptions'!$X$35^2/2))</f>
        <v>0.00789531958572031</v>
      </c>
      <c r="G3534" s="45" t="n">
        <f aca="false">ROUND(C3534*F3534,0)</f>
        <v>693</v>
      </c>
      <c r="H3534" s="48" t="n">
        <f aca="false">MAX(0,(C3534*'Model Inputs &amp; Assumptions'!$N$35+E3534*'Model Inputs &amp; Assumptions'!$O$35+G3534*'Model Inputs &amp; Assumptions'!$P$35)*EXP('Model Inputs &amp; Assumptions'!$Q$35*S3534-'Model Inputs &amp; Assumptions'!$Q$35^2/2))</f>
        <v>76.9599011757024</v>
      </c>
      <c r="I3534" s="49" t="n">
        <f aca="false">IF('Model Inputs &amp; Assumptions'!$H$35="Fixed",'Model Inputs &amp; Assumptions'!$I$35*'Model Inputs &amp; Assumptions'!$K$35,IF('Model Inputs &amp; Assumptions'!$H$35="CPM",'Model Inputs &amp; Assumptions'!$I$35*'Model Inputs &amp; Assumptions'!$K$35*C3534/1000,IF('Model Inputs &amp; Assumptions'!$H$35="CPC",'Model Inputs &amp; Assumptions'!$I$35*'Model Inputs &amp; Assumptions'!$K$35*G3534,0)))</f>
        <v>8672.8</v>
      </c>
      <c r="J3534" s="50" t="n">
        <f aca="false">H3534*INDEX('Model Inputs &amp; Assumptions'!$D$40:$D$42,MATCH('Model Inputs &amp; Assumptions'!$L$35,'Model Inputs &amp; Assumptions'!$A$40:$A$42,0))*INDEX('Model Inputs &amp; Assumptions'!$H$40:$H$42,MATCH('Model Inputs &amp; Assumptions'!$L$35,'Model Inputs &amp; Assumptions'!$A$40:$A$42,0))</f>
        <v>654159.15999347</v>
      </c>
      <c r="K3534" s="49" t="n">
        <f aca="false">H3534*INDEX('Model Inputs &amp; Assumptions'!$G$40:$G$42,MATCH('Model Inputs &amp; Assumptions'!$L$35,'Model Inputs &amp; Assumptions'!$A$40:$A$42,0))*INDEX('Model Inputs &amp; Assumptions'!$H$40:$H$42,MATCH('Model Inputs &amp; Assumptions'!$L$35,'Model Inputs &amp; Assumptions'!$A$40:$A$42,0))</f>
        <v>14718.5810998531</v>
      </c>
      <c r="L3534" s="51" t="n">
        <f aca="false">IFERROR(K3534/I3534,0)</f>
        <v>1.69709679686527</v>
      </c>
      <c r="M3534" s="49" t="n">
        <f aca="false">IFERROR(I3534/H3534,0)</f>
        <v>112.69245240063</v>
      </c>
      <c r="N3534" s="52" t="str">
        <f aca="false">'Model Inputs &amp; Assumptions'!$L$35</f>
        <v>PRD-EUAI</v>
      </c>
      <c r="P3534" s="53" t="n">
        <v>-0.045506</v>
      </c>
      <c r="Q3534" s="53" t="n">
        <v>1.343482</v>
      </c>
      <c r="R3534" s="53" t="n">
        <v>0.920813</v>
      </c>
      <c r="S3534" s="53" t="n">
        <v>1.905056</v>
      </c>
    </row>
    <row r="3535" customFormat="false" ht="15" hidden="false" customHeight="false" outlineLevel="0" collapsed="false">
      <c r="A3535" s="43" t="n">
        <v>32</v>
      </c>
      <c r="B3535" s="44" t="str">
        <f aca="false">'Model Inputs &amp; Assumptions'!$B$35</f>
        <v>justETF — Sponsored Listing</v>
      </c>
      <c r="C3535" s="45" t="n">
        <f aca="false">ROUND(MAX(0,'Model Inputs &amp; Assumptions'!$S$35*EXP('Model Inputs &amp; Assumptions'!$T$35*P3535-'Model Inputs &amp; Assumptions'!$T$35^2/2)),0)</f>
        <v>88610</v>
      </c>
      <c r="D3535" s="46" t="n">
        <f aca="false">MIN(1,'Model Inputs &amp; Assumptions'!$U$35*EXP('Model Inputs &amp; Assumptions'!$V$35*Q3535-'Model Inputs &amp; Assumptions'!$V$35^2/2))</f>
        <v>0</v>
      </c>
      <c r="E3535" s="45" t="n">
        <f aca="false">ROUND(C3535*D3535,0)</f>
        <v>0</v>
      </c>
      <c r="F3535" s="47" t="n">
        <f aca="false">MIN(1,'Model Inputs &amp; Assumptions'!$W$35*EXP('Model Inputs &amp; Assumptions'!$X$35*R3535-'Model Inputs &amp; Assumptions'!$X$35^2/2))</f>
        <v>0.00908662476629544</v>
      </c>
      <c r="G3535" s="45" t="n">
        <f aca="false">ROUND(C3535*F3535,0)</f>
        <v>805</v>
      </c>
      <c r="H3535" s="48" t="n">
        <f aca="false">MAX(0,(C3535*'Model Inputs &amp; Assumptions'!$N$35+E3535*'Model Inputs &amp; Assumptions'!$O$35+G3535*'Model Inputs &amp; Assumptions'!$P$35)*EXP('Model Inputs &amp; Assumptions'!$Q$35*S3535-'Model Inputs &amp; Assumptions'!$Q$35^2/2))</f>
        <v>62.5388948314089</v>
      </c>
      <c r="I3535" s="49" t="n">
        <f aca="false">IF('Model Inputs &amp; Assumptions'!$H$35="Fixed",'Model Inputs &amp; Assumptions'!$I$35*'Model Inputs &amp; Assumptions'!$K$35,IF('Model Inputs &amp; Assumptions'!$H$35="CPM",'Model Inputs &amp; Assumptions'!$I$35*'Model Inputs &amp; Assumptions'!$K$35*C3535/1000,IF('Model Inputs &amp; Assumptions'!$H$35="CPC",'Model Inputs &amp; Assumptions'!$I$35*'Model Inputs &amp; Assumptions'!$K$35*G3535,0)))</f>
        <v>8672.8</v>
      </c>
      <c r="J3535" s="50" t="n">
        <f aca="false">H3535*INDEX('Model Inputs &amp; Assumptions'!$D$40:$D$42,MATCH('Model Inputs &amp; Assumptions'!$L$35,'Model Inputs &amp; Assumptions'!$A$40:$A$42,0))*INDEX('Model Inputs &amp; Assumptions'!$H$40:$H$42,MATCH('Model Inputs &amp; Assumptions'!$L$35,'Model Inputs &amp; Assumptions'!$A$40:$A$42,0))</f>
        <v>531580.606066976</v>
      </c>
      <c r="K3535" s="49" t="n">
        <f aca="false">H3535*INDEX('Model Inputs &amp; Assumptions'!$G$40:$G$42,MATCH('Model Inputs &amp; Assumptions'!$L$35,'Model Inputs &amp; Assumptions'!$A$40:$A$42,0))*INDEX('Model Inputs &amp; Assumptions'!$H$40:$H$42,MATCH('Model Inputs &amp; Assumptions'!$L$35,'Model Inputs &amp; Assumptions'!$A$40:$A$42,0))</f>
        <v>11960.563636507</v>
      </c>
      <c r="L3535" s="51" t="n">
        <f aca="false">IFERROR(K3535/I3535,0)</f>
        <v>1.37908906425917</v>
      </c>
      <c r="M3535" s="49" t="n">
        <f aca="false">IFERROR(I3535/H3535,0)</f>
        <v>138.678497971222</v>
      </c>
      <c r="N3535" s="52" t="str">
        <f aca="false">'Model Inputs &amp; Assumptions'!$L$35</f>
        <v>PRD-EUAI</v>
      </c>
      <c r="P3535" s="53" t="n">
        <v>0.015827</v>
      </c>
      <c r="Q3535" s="53" t="n">
        <v>1.12839</v>
      </c>
      <c r="R3535" s="53" t="n">
        <v>1.62348</v>
      </c>
      <c r="S3535" s="53" t="n">
        <v>0.530794</v>
      </c>
    </row>
    <row r="3536" customFormat="false" ht="15" hidden="false" customHeight="false" outlineLevel="0" collapsed="false">
      <c r="A3536" s="43" t="n">
        <v>33</v>
      </c>
      <c r="B3536" s="44" t="str">
        <f aca="false">'Model Inputs &amp; Assumptions'!$B$35</f>
        <v>justETF — Sponsored Listing</v>
      </c>
      <c r="C3536" s="45" t="n">
        <f aca="false">ROUND(MAX(0,'Model Inputs &amp; Assumptions'!$S$35*EXP('Model Inputs &amp; Assumptions'!$T$35*P3536-'Model Inputs &amp; Assumptions'!$T$35^2/2)),0)</f>
        <v>70787</v>
      </c>
      <c r="D3536" s="46" t="n">
        <f aca="false">MIN(1,'Model Inputs &amp; Assumptions'!$U$35*EXP('Model Inputs &amp; Assumptions'!$V$35*Q3536-'Model Inputs &amp; Assumptions'!$V$35^2/2))</f>
        <v>0</v>
      </c>
      <c r="E3536" s="45" t="n">
        <f aca="false">ROUND(C3536*D3536,0)</f>
        <v>0</v>
      </c>
      <c r="F3536" s="47" t="n">
        <f aca="false">MIN(1,'Model Inputs &amp; Assumptions'!$W$35*EXP('Model Inputs &amp; Assumptions'!$X$35*R3536-'Model Inputs &amp; Assumptions'!$X$35^2/2))</f>
        <v>0.00718297703817117</v>
      </c>
      <c r="G3536" s="45" t="n">
        <f aca="false">ROUND(C3536*F3536,0)</f>
        <v>508</v>
      </c>
      <c r="H3536" s="48" t="n">
        <f aca="false">MAX(0,(C3536*'Model Inputs &amp; Assumptions'!$N$35+E3536*'Model Inputs &amp; Assumptions'!$O$35+G3536*'Model Inputs &amp; Assumptions'!$P$35)*EXP('Model Inputs &amp; Assumptions'!$Q$35*S3536-'Model Inputs &amp; Assumptions'!$Q$35^2/2))</f>
        <v>38.2354153930132</v>
      </c>
      <c r="I3536" s="49" t="n">
        <f aca="false">IF('Model Inputs &amp; Assumptions'!$H$35="Fixed",'Model Inputs &amp; Assumptions'!$I$35*'Model Inputs &amp; Assumptions'!$K$35,IF('Model Inputs &amp; Assumptions'!$H$35="CPM",'Model Inputs &amp; Assumptions'!$I$35*'Model Inputs &amp; Assumptions'!$K$35*C3536/1000,IF('Model Inputs &amp; Assumptions'!$H$35="CPC",'Model Inputs &amp; Assumptions'!$I$35*'Model Inputs &amp; Assumptions'!$K$35*G3536,0)))</f>
        <v>8672.8</v>
      </c>
      <c r="J3536" s="50" t="n">
        <f aca="false">H3536*INDEX('Model Inputs &amp; Assumptions'!$D$40:$D$42,MATCH('Model Inputs &amp; Assumptions'!$L$35,'Model Inputs &amp; Assumptions'!$A$40:$A$42,0))*INDEX('Model Inputs &amp; Assumptions'!$H$40:$H$42,MATCH('Model Inputs &amp; Assumptions'!$L$35,'Model Inputs &amp; Assumptions'!$A$40:$A$42,0))</f>
        <v>325001.030840612</v>
      </c>
      <c r="K3536" s="49" t="n">
        <f aca="false">H3536*INDEX('Model Inputs &amp; Assumptions'!$G$40:$G$42,MATCH('Model Inputs &amp; Assumptions'!$L$35,'Model Inputs &amp; Assumptions'!$A$40:$A$42,0))*INDEX('Model Inputs &amp; Assumptions'!$H$40:$H$42,MATCH('Model Inputs &amp; Assumptions'!$L$35,'Model Inputs &amp; Assumptions'!$A$40:$A$42,0))</f>
        <v>7312.52319391377</v>
      </c>
      <c r="L3536" s="51" t="n">
        <f aca="false">IFERROR(K3536/I3536,0)</f>
        <v>0.843155981218726</v>
      </c>
      <c r="M3536" s="49" t="n">
        <f aca="false">IFERROR(I3536/H3536,0)</f>
        <v>226.82635747132</v>
      </c>
      <c r="N3536" s="52" t="str">
        <f aca="false">'Model Inputs &amp; Assumptions'!$L$35</f>
        <v>PRD-EUAI</v>
      </c>
      <c r="P3536" s="53" t="n">
        <v>-1.481293</v>
      </c>
      <c r="Q3536" s="53" t="n">
        <v>0.151243</v>
      </c>
      <c r="R3536" s="53" t="n">
        <v>0.448032</v>
      </c>
      <c r="S3536" s="53" t="n">
        <v>0.409003</v>
      </c>
    </row>
    <row r="3537" customFormat="false" ht="15" hidden="false" customHeight="false" outlineLevel="0" collapsed="false">
      <c r="A3537" s="43" t="n">
        <v>34</v>
      </c>
      <c r="B3537" s="44" t="str">
        <f aca="false">'Model Inputs &amp; Assumptions'!$B$35</f>
        <v>justETF — Sponsored Listing</v>
      </c>
      <c r="C3537" s="45" t="n">
        <f aca="false">ROUND(MAX(0,'Model Inputs &amp; Assumptions'!$S$35*EXP('Model Inputs &amp; Assumptions'!$T$35*P3537-'Model Inputs &amp; Assumptions'!$T$35^2/2)),0)</f>
        <v>99700</v>
      </c>
      <c r="D3537" s="46" t="n">
        <f aca="false">MIN(1,'Model Inputs &amp; Assumptions'!$U$35*EXP('Model Inputs &amp; Assumptions'!$V$35*Q3537-'Model Inputs &amp; Assumptions'!$V$35^2/2))</f>
        <v>0</v>
      </c>
      <c r="E3537" s="45" t="n">
        <f aca="false">ROUND(C3537*D3537,0)</f>
        <v>0</v>
      </c>
      <c r="F3537" s="47" t="n">
        <f aca="false">MIN(1,'Model Inputs &amp; Assumptions'!$W$35*EXP('Model Inputs &amp; Assumptions'!$X$35*R3537-'Model Inputs &amp; Assumptions'!$X$35^2/2))</f>
        <v>0.00717526953215254</v>
      </c>
      <c r="G3537" s="45" t="n">
        <f aca="false">ROUND(C3537*F3537,0)</f>
        <v>715</v>
      </c>
      <c r="H3537" s="48" t="n">
        <f aca="false">MAX(0,(C3537*'Model Inputs &amp; Assumptions'!$N$35+E3537*'Model Inputs &amp; Assumptions'!$O$35+G3537*'Model Inputs &amp; Assumptions'!$P$35)*EXP('Model Inputs &amp; Assumptions'!$Q$35*S3537-'Model Inputs &amp; Assumptions'!$Q$35^2/2))</f>
        <v>64.3720057809265</v>
      </c>
      <c r="I3537" s="49" t="n">
        <f aca="false">IF('Model Inputs &amp; Assumptions'!$H$35="Fixed",'Model Inputs &amp; Assumptions'!$I$35*'Model Inputs &amp; Assumptions'!$K$35,IF('Model Inputs &amp; Assumptions'!$H$35="CPM",'Model Inputs &amp; Assumptions'!$I$35*'Model Inputs &amp; Assumptions'!$K$35*C3537/1000,IF('Model Inputs &amp; Assumptions'!$H$35="CPC",'Model Inputs &amp; Assumptions'!$I$35*'Model Inputs &amp; Assumptions'!$K$35*G3537,0)))</f>
        <v>8672.8</v>
      </c>
      <c r="J3537" s="50" t="n">
        <f aca="false">H3537*INDEX('Model Inputs &amp; Assumptions'!$D$40:$D$42,MATCH('Model Inputs &amp; Assumptions'!$L$35,'Model Inputs &amp; Assumptions'!$A$40:$A$42,0))*INDEX('Model Inputs &amp; Assumptions'!$H$40:$H$42,MATCH('Model Inputs &amp; Assumptions'!$L$35,'Model Inputs &amp; Assumptions'!$A$40:$A$42,0))</f>
        <v>547162.049137875</v>
      </c>
      <c r="K3537" s="49" t="n">
        <f aca="false">H3537*INDEX('Model Inputs &amp; Assumptions'!$G$40:$G$42,MATCH('Model Inputs &amp; Assumptions'!$L$35,'Model Inputs &amp; Assumptions'!$A$40:$A$42,0))*INDEX('Model Inputs &amp; Assumptions'!$H$40:$H$42,MATCH('Model Inputs &amp; Assumptions'!$L$35,'Model Inputs &amp; Assumptions'!$A$40:$A$42,0))</f>
        <v>12311.1461056022</v>
      </c>
      <c r="L3537" s="51" t="n">
        <f aca="false">IFERROR(K3537/I3537,0)</f>
        <v>1.41951228041719</v>
      </c>
      <c r="M3537" s="49" t="n">
        <f aca="false">IFERROR(I3537/H3537,0)</f>
        <v>134.729373347719</v>
      </c>
      <c r="N3537" s="52" t="str">
        <f aca="false">'Model Inputs &amp; Assumptions'!$L$35</f>
        <v>PRD-EUAI</v>
      </c>
      <c r="P3537" s="53" t="n">
        <v>0.801998</v>
      </c>
      <c r="Q3537" s="53" t="n">
        <v>-2.075728</v>
      </c>
      <c r="R3537" s="53" t="n">
        <v>0.442664</v>
      </c>
      <c r="S3537" s="53" t="n">
        <v>1.097909</v>
      </c>
    </row>
    <row r="3538" customFormat="false" ht="15" hidden="false" customHeight="false" outlineLevel="0" collapsed="false">
      <c r="A3538" s="43" t="n">
        <v>35</v>
      </c>
      <c r="B3538" s="44" t="str">
        <f aca="false">'Model Inputs &amp; Assumptions'!$B$35</f>
        <v>justETF — Sponsored Listing</v>
      </c>
      <c r="C3538" s="45" t="n">
        <f aca="false">ROUND(MAX(0,'Model Inputs &amp; Assumptions'!$S$35*EXP('Model Inputs &amp; Assumptions'!$T$35*P3538-'Model Inputs &amp; Assumptions'!$T$35^2/2)),0)</f>
        <v>92247</v>
      </c>
      <c r="D3538" s="46" t="n">
        <f aca="false">MIN(1,'Model Inputs &amp; Assumptions'!$U$35*EXP('Model Inputs &amp; Assumptions'!$V$35*Q3538-'Model Inputs &amp; Assumptions'!$V$35^2/2))</f>
        <v>0</v>
      </c>
      <c r="E3538" s="45" t="n">
        <f aca="false">ROUND(C3538*D3538,0)</f>
        <v>0</v>
      </c>
      <c r="F3538" s="47" t="n">
        <f aca="false">MIN(1,'Model Inputs &amp; Assumptions'!$W$35*EXP('Model Inputs &amp; Assumptions'!$X$35*R3538-'Model Inputs &amp; Assumptions'!$X$35^2/2))</f>
        <v>0.00428090881239242</v>
      </c>
      <c r="G3538" s="45" t="n">
        <f aca="false">ROUND(C3538*F3538,0)</f>
        <v>395</v>
      </c>
      <c r="H3538" s="48" t="n">
        <f aca="false">MAX(0,(C3538*'Model Inputs &amp; Assumptions'!$N$35+E3538*'Model Inputs &amp; Assumptions'!$O$35+G3538*'Model Inputs &amp; Assumptions'!$P$35)*EXP('Model Inputs &amp; Assumptions'!$Q$35*S3538-'Model Inputs &amp; Assumptions'!$Q$35^2/2))</f>
        <v>34.8718219102755</v>
      </c>
      <c r="I3538" s="49" t="n">
        <f aca="false">IF('Model Inputs &amp; Assumptions'!$H$35="Fixed",'Model Inputs &amp; Assumptions'!$I$35*'Model Inputs &amp; Assumptions'!$K$35,IF('Model Inputs &amp; Assumptions'!$H$35="CPM",'Model Inputs &amp; Assumptions'!$I$35*'Model Inputs &amp; Assumptions'!$K$35*C3538/1000,IF('Model Inputs &amp; Assumptions'!$H$35="CPC",'Model Inputs &amp; Assumptions'!$I$35*'Model Inputs &amp; Assumptions'!$K$35*G3538,0)))</f>
        <v>8672.8</v>
      </c>
      <c r="J3538" s="50" t="n">
        <f aca="false">H3538*INDEX('Model Inputs &amp; Assumptions'!$D$40:$D$42,MATCH('Model Inputs &amp; Assumptions'!$L$35,'Model Inputs &amp; Assumptions'!$A$40:$A$42,0))*INDEX('Model Inputs &amp; Assumptions'!$H$40:$H$42,MATCH('Model Inputs &amp; Assumptions'!$L$35,'Model Inputs &amp; Assumptions'!$A$40:$A$42,0))</f>
        <v>296410.486237341</v>
      </c>
      <c r="K3538" s="49" t="n">
        <f aca="false">H3538*INDEX('Model Inputs &amp; Assumptions'!$G$40:$G$42,MATCH('Model Inputs &amp; Assumptions'!$L$35,'Model Inputs &amp; Assumptions'!$A$40:$A$42,0))*INDEX('Model Inputs &amp; Assumptions'!$H$40:$H$42,MATCH('Model Inputs &amp; Assumptions'!$L$35,'Model Inputs &amp; Assumptions'!$A$40:$A$42,0))</f>
        <v>6669.23594034018</v>
      </c>
      <c r="L3538" s="51" t="n">
        <f aca="false">IFERROR(K3538/I3538,0)</f>
        <v>0.76898302051704</v>
      </c>
      <c r="M3538" s="49" t="n">
        <f aca="false">IFERROR(I3538/H3538,0)</f>
        <v>248.705101279622</v>
      </c>
      <c r="N3538" s="52" t="str">
        <f aca="false">'Model Inputs &amp; Assumptions'!$L$35</f>
        <v>PRD-EUAI</v>
      </c>
      <c r="P3538" s="53" t="n">
        <v>0.283966</v>
      </c>
      <c r="Q3538" s="53" t="n">
        <v>1.083465</v>
      </c>
      <c r="R3538" s="53" t="n">
        <v>-2.139711</v>
      </c>
      <c r="S3538" s="53" t="n">
        <v>1.022513</v>
      </c>
    </row>
    <row r="3539" customFormat="false" ht="15" hidden="false" customHeight="false" outlineLevel="0" collapsed="false">
      <c r="A3539" s="43" t="n">
        <v>36</v>
      </c>
      <c r="B3539" s="44" t="str">
        <f aca="false">'Model Inputs &amp; Assumptions'!$B$35</f>
        <v>justETF — Sponsored Listing</v>
      </c>
      <c r="C3539" s="45" t="n">
        <f aca="false">ROUND(MAX(0,'Model Inputs &amp; Assumptions'!$S$35*EXP('Model Inputs &amp; Assumptions'!$T$35*P3539-'Model Inputs &amp; Assumptions'!$T$35^2/2)),0)</f>
        <v>97752</v>
      </c>
      <c r="D3539" s="46" t="n">
        <f aca="false">MIN(1,'Model Inputs &amp; Assumptions'!$U$35*EXP('Model Inputs &amp; Assumptions'!$V$35*Q3539-'Model Inputs &amp; Assumptions'!$V$35^2/2))</f>
        <v>0</v>
      </c>
      <c r="E3539" s="45" t="n">
        <f aca="false">ROUND(C3539*D3539,0)</f>
        <v>0</v>
      </c>
      <c r="F3539" s="47" t="n">
        <f aca="false">MIN(1,'Model Inputs &amp; Assumptions'!$W$35*EXP('Model Inputs &amp; Assumptions'!$X$35*R3539-'Model Inputs &amp; Assumptions'!$X$35^2/2))</f>
        <v>0.00537385929012043</v>
      </c>
      <c r="G3539" s="45" t="n">
        <f aca="false">ROUND(C3539*F3539,0)</f>
        <v>525</v>
      </c>
      <c r="H3539" s="48" t="n">
        <f aca="false">MAX(0,(C3539*'Model Inputs &amp; Assumptions'!$N$35+E3539*'Model Inputs &amp; Assumptions'!$O$35+G3539*'Model Inputs &amp; Assumptions'!$P$35)*EXP('Model Inputs &amp; Assumptions'!$Q$35*S3539-'Model Inputs &amp; Assumptions'!$Q$35^2/2))</f>
        <v>36.2070932459977</v>
      </c>
      <c r="I3539" s="49" t="n">
        <f aca="false">IF('Model Inputs &amp; Assumptions'!$H$35="Fixed",'Model Inputs &amp; Assumptions'!$I$35*'Model Inputs &amp; Assumptions'!$K$35,IF('Model Inputs &amp; Assumptions'!$H$35="CPM",'Model Inputs &amp; Assumptions'!$I$35*'Model Inputs &amp; Assumptions'!$K$35*C3539/1000,IF('Model Inputs &amp; Assumptions'!$H$35="CPC",'Model Inputs &amp; Assumptions'!$I$35*'Model Inputs &amp; Assumptions'!$K$35*G3539,0)))</f>
        <v>8672.8</v>
      </c>
      <c r="J3539" s="50" t="n">
        <f aca="false">H3539*INDEX('Model Inputs &amp; Assumptions'!$D$40:$D$42,MATCH('Model Inputs &amp; Assumptions'!$L$35,'Model Inputs &amp; Assumptions'!$A$40:$A$42,0))*INDEX('Model Inputs &amp; Assumptions'!$H$40:$H$42,MATCH('Model Inputs &amp; Assumptions'!$L$35,'Model Inputs &amp; Assumptions'!$A$40:$A$42,0))</f>
        <v>307760.29259098</v>
      </c>
      <c r="K3539" s="49" t="n">
        <f aca="false">H3539*INDEX('Model Inputs &amp; Assumptions'!$G$40:$G$42,MATCH('Model Inputs &amp; Assumptions'!$L$35,'Model Inputs &amp; Assumptions'!$A$40:$A$42,0))*INDEX('Model Inputs &amp; Assumptions'!$H$40:$H$42,MATCH('Model Inputs &amp; Assumptions'!$L$35,'Model Inputs &amp; Assumptions'!$A$40:$A$42,0))</f>
        <v>6924.60658329705</v>
      </c>
      <c r="L3539" s="51" t="n">
        <f aca="false">IFERROR(K3539/I3539,0)</f>
        <v>0.798428025931309</v>
      </c>
      <c r="M3539" s="49" t="n">
        <f aca="false">IFERROR(I3539/H3539,0)</f>
        <v>239.533174924466</v>
      </c>
      <c r="N3539" s="52" t="str">
        <f aca="false">'Model Inputs &amp; Assumptions'!$L$35</f>
        <v>PRD-EUAI</v>
      </c>
      <c r="P3539" s="53" t="n">
        <v>0.670438</v>
      </c>
      <c r="Q3539" s="53" t="n">
        <v>-0.828469</v>
      </c>
      <c r="R3539" s="53" t="n">
        <v>-1.002806</v>
      </c>
      <c r="S3539" s="53" t="n">
        <v>0.072757</v>
      </c>
    </row>
    <row r="3540" customFormat="false" ht="15" hidden="false" customHeight="false" outlineLevel="0" collapsed="false">
      <c r="A3540" s="43" t="n">
        <v>37</v>
      </c>
      <c r="B3540" s="44" t="str">
        <f aca="false">'Model Inputs &amp; Assumptions'!$B$35</f>
        <v>justETF — Sponsored Listing</v>
      </c>
      <c r="C3540" s="45" t="n">
        <f aca="false">ROUND(MAX(0,'Model Inputs &amp; Assumptions'!$S$35*EXP('Model Inputs &amp; Assumptions'!$T$35*P3540-'Model Inputs &amp; Assumptions'!$T$35^2/2)),0)</f>
        <v>70414</v>
      </c>
      <c r="D3540" s="46" t="n">
        <f aca="false">MIN(1,'Model Inputs &amp; Assumptions'!$U$35*EXP('Model Inputs &amp; Assumptions'!$V$35*Q3540-'Model Inputs &amp; Assumptions'!$V$35^2/2))</f>
        <v>0</v>
      </c>
      <c r="E3540" s="45" t="n">
        <f aca="false">ROUND(C3540*D3540,0)</f>
        <v>0</v>
      </c>
      <c r="F3540" s="47" t="n">
        <f aca="false">MIN(1,'Model Inputs &amp; Assumptions'!$W$35*EXP('Model Inputs &amp; Assumptions'!$X$35*R3540-'Model Inputs &amp; Assumptions'!$X$35^2/2))</f>
        <v>0.00701470125745145</v>
      </c>
      <c r="G3540" s="45" t="n">
        <f aca="false">ROUND(C3540*F3540,0)</f>
        <v>494</v>
      </c>
      <c r="H3540" s="48" t="n">
        <f aca="false">MAX(0,(C3540*'Model Inputs &amp; Assumptions'!$N$35+E3540*'Model Inputs &amp; Assumptions'!$O$35+G3540*'Model Inputs &amp; Assumptions'!$P$35)*EXP('Model Inputs &amp; Assumptions'!$Q$35*S3540-'Model Inputs &amp; Assumptions'!$Q$35^2/2))</f>
        <v>32.4055369026547</v>
      </c>
      <c r="I3540" s="49" t="n">
        <f aca="false">IF('Model Inputs &amp; Assumptions'!$H$35="Fixed",'Model Inputs &amp; Assumptions'!$I$35*'Model Inputs &amp; Assumptions'!$K$35,IF('Model Inputs &amp; Assumptions'!$H$35="CPM",'Model Inputs &amp; Assumptions'!$I$35*'Model Inputs &amp; Assumptions'!$K$35*C3540/1000,IF('Model Inputs &amp; Assumptions'!$H$35="CPC",'Model Inputs &amp; Assumptions'!$I$35*'Model Inputs &amp; Assumptions'!$K$35*G3540,0)))</f>
        <v>8672.8</v>
      </c>
      <c r="J3540" s="50" t="n">
        <f aca="false">H3540*INDEX('Model Inputs &amp; Assumptions'!$D$40:$D$42,MATCH('Model Inputs &amp; Assumptions'!$L$35,'Model Inputs &amp; Assumptions'!$A$40:$A$42,0))*INDEX('Model Inputs &amp; Assumptions'!$H$40:$H$42,MATCH('Model Inputs &amp; Assumptions'!$L$35,'Model Inputs &amp; Assumptions'!$A$40:$A$42,0))</f>
        <v>275447.063672565</v>
      </c>
      <c r="K3540" s="49" t="n">
        <f aca="false">H3540*INDEX('Model Inputs &amp; Assumptions'!$G$40:$G$42,MATCH('Model Inputs &amp; Assumptions'!$L$35,'Model Inputs &amp; Assumptions'!$A$40:$A$42,0))*INDEX('Model Inputs &amp; Assumptions'!$H$40:$H$42,MATCH('Model Inputs &amp; Assumptions'!$L$35,'Model Inputs &amp; Assumptions'!$A$40:$A$42,0))</f>
        <v>6197.55893263272</v>
      </c>
      <c r="L3540" s="51" t="n">
        <f aca="false">IFERROR(K3540/I3540,0)</f>
        <v>0.714597238796319</v>
      </c>
      <c r="M3540" s="49" t="n">
        <f aca="false">IFERROR(I3540/H3540,0)</f>
        <v>267.633275944566</v>
      </c>
      <c r="N3540" s="52" t="str">
        <f aca="false">'Model Inputs &amp; Assumptions'!$L$35</f>
        <v>PRD-EUAI</v>
      </c>
      <c r="P3540" s="53" t="n">
        <v>-1.516504</v>
      </c>
      <c r="Q3540" s="53" t="n">
        <v>-0.222936</v>
      </c>
      <c r="R3540" s="53" t="n">
        <v>0.329503</v>
      </c>
      <c r="S3540" s="53" t="n">
        <v>-0.119793</v>
      </c>
    </row>
    <row r="3541" customFormat="false" ht="15" hidden="false" customHeight="false" outlineLevel="0" collapsed="false">
      <c r="A3541" s="43" t="n">
        <v>38</v>
      </c>
      <c r="B3541" s="44" t="str">
        <f aca="false">'Model Inputs &amp; Assumptions'!$B$35</f>
        <v>justETF — Sponsored Listing</v>
      </c>
      <c r="C3541" s="45" t="n">
        <f aca="false">ROUND(MAX(0,'Model Inputs &amp; Assumptions'!$S$35*EXP('Model Inputs &amp; Assumptions'!$T$35*P3541-'Model Inputs &amp; Assumptions'!$T$35^2/2)),0)</f>
        <v>68989</v>
      </c>
      <c r="D3541" s="46" t="n">
        <f aca="false">MIN(1,'Model Inputs &amp; Assumptions'!$U$35*EXP('Model Inputs &amp; Assumptions'!$V$35*Q3541-'Model Inputs &amp; Assumptions'!$V$35^2/2))</f>
        <v>0</v>
      </c>
      <c r="E3541" s="45" t="n">
        <f aca="false">ROUND(C3541*D3541,0)</f>
        <v>0</v>
      </c>
      <c r="F3541" s="47" t="n">
        <f aca="false">MIN(1,'Model Inputs &amp; Assumptions'!$W$35*EXP('Model Inputs &amp; Assumptions'!$X$35*R3541-'Model Inputs &amp; Assumptions'!$X$35^2/2))</f>
        <v>0.00660849753622739</v>
      </c>
      <c r="G3541" s="45" t="n">
        <f aca="false">ROUND(C3541*F3541,0)</f>
        <v>456</v>
      </c>
      <c r="H3541" s="48" t="n">
        <f aca="false">MAX(0,(C3541*'Model Inputs &amp; Assumptions'!$N$35+E3541*'Model Inputs &amp; Assumptions'!$O$35+G3541*'Model Inputs &amp; Assumptions'!$P$35)*EXP('Model Inputs &amp; Assumptions'!$Q$35*S3541-'Model Inputs &amp; Assumptions'!$Q$35^2/2))</f>
        <v>22.0220228784521</v>
      </c>
      <c r="I3541" s="49" t="n">
        <f aca="false">IF('Model Inputs &amp; Assumptions'!$H$35="Fixed",'Model Inputs &amp; Assumptions'!$I$35*'Model Inputs &amp; Assumptions'!$K$35,IF('Model Inputs &amp; Assumptions'!$H$35="CPM",'Model Inputs &amp; Assumptions'!$I$35*'Model Inputs &amp; Assumptions'!$K$35*C3541/1000,IF('Model Inputs &amp; Assumptions'!$H$35="CPC",'Model Inputs &amp; Assumptions'!$I$35*'Model Inputs &amp; Assumptions'!$K$35*G3541,0)))</f>
        <v>8672.8</v>
      </c>
      <c r="J3541" s="50" t="n">
        <f aca="false">H3541*INDEX('Model Inputs &amp; Assumptions'!$D$40:$D$42,MATCH('Model Inputs &amp; Assumptions'!$L$35,'Model Inputs &amp; Assumptions'!$A$40:$A$42,0))*INDEX('Model Inputs &amp; Assumptions'!$H$40:$H$42,MATCH('Model Inputs &amp; Assumptions'!$L$35,'Model Inputs &amp; Assumptions'!$A$40:$A$42,0))</f>
        <v>187187.194466843</v>
      </c>
      <c r="K3541" s="49" t="n">
        <f aca="false">H3541*INDEX('Model Inputs &amp; Assumptions'!$G$40:$G$42,MATCH('Model Inputs &amp; Assumptions'!$L$35,'Model Inputs &amp; Assumptions'!$A$40:$A$42,0))*INDEX('Model Inputs &amp; Assumptions'!$H$40:$H$42,MATCH('Model Inputs &amp; Assumptions'!$L$35,'Model Inputs &amp; Assumptions'!$A$40:$A$42,0))</f>
        <v>4211.71187550396</v>
      </c>
      <c r="L3541" s="51" t="n">
        <f aca="false">IFERROR(K3541/I3541,0)</f>
        <v>0.485623083145461</v>
      </c>
      <c r="M3541" s="49" t="n">
        <f aca="false">IFERROR(I3541/H3541,0)</f>
        <v>393.823948320665</v>
      </c>
      <c r="N3541" s="52" t="str">
        <f aca="false">'Model Inputs &amp; Assumptions'!$L$35</f>
        <v>PRD-EUAI</v>
      </c>
      <c r="P3541" s="53" t="n">
        <v>-1.652786</v>
      </c>
      <c r="Q3541" s="53" t="n">
        <v>-0.438116</v>
      </c>
      <c r="R3541" s="53" t="n">
        <v>0.031244</v>
      </c>
      <c r="S3541" s="53" t="n">
        <v>-1.297653</v>
      </c>
    </row>
    <row r="3542" customFormat="false" ht="15" hidden="false" customHeight="false" outlineLevel="0" collapsed="false">
      <c r="A3542" s="43" t="n">
        <v>39</v>
      </c>
      <c r="B3542" s="44" t="str">
        <f aca="false">'Model Inputs &amp; Assumptions'!$B$35</f>
        <v>justETF — Sponsored Listing</v>
      </c>
      <c r="C3542" s="45" t="n">
        <f aca="false">ROUND(MAX(0,'Model Inputs &amp; Assumptions'!$S$35*EXP('Model Inputs &amp; Assumptions'!$T$35*P3542-'Model Inputs &amp; Assumptions'!$T$35^2/2)),0)</f>
        <v>99430</v>
      </c>
      <c r="D3542" s="46" t="n">
        <f aca="false">MIN(1,'Model Inputs &amp; Assumptions'!$U$35*EXP('Model Inputs &amp; Assumptions'!$V$35*Q3542-'Model Inputs &amp; Assumptions'!$V$35^2/2))</f>
        <v>0</v>
      </c>
      <c r="E3542" s="45" t="n">
        <f aca="false">ROUND(C3542*D3542,0)</f>
        <v>0</v>
      </c>
      <c r="F3542" s="47" t="n">
        <f aca="false">MIN(1,'Model Inputs &amp; Assumptions'!$W$35*EXP('Model Inputs &amp; Assumptions'!$X$35*R3542-'Model Inputs &amp; Assumptions'!$X$35^2/2))</f>
        <v>0.00625070418122053</v>
      </c>
      <c r="G3542" s="45" t="n">
        <f aca="false">ROUND(C3542*F3542,0)</f>
        <v>622</v>
      </c>
      <c r="H3542" s="48" t="n">
        <f aca="false">MAX(0,(C3542*'Model Inputs &amp; Assumptions'!$N$35+E3542*'Model Inputs &amp; Assumptions'!$O$35+G3542*'Model Inputs &amp; Assumptions'!$P$35)*EXP('Model Inputs &amp; Assumptions'!$Q$35*S3542-'Model Inputs &amp; Assumptions'!$Q$35^2/2))</f>
        <v>37.1842013361746</v>
      </c>
      <c r="I3542" s="49" t="n">
        <f aca="false">IF('Model Inputs &amp; Assumptions'!$H$35="Fixed",'Model Inputs &amp; Assumptions'!$I$35*'Model Inputs &amp; Assumptions'!$K$35,IF('Model Inputs &amp; Assumptions'!$H$35="CPM",'Model Inputs &amp; Assumptions'!$I$35*'Model Inputs &amp; Assumptions'!$K$35*C3542/1000,IF('Model Inputs &amp; Assumptions'!$H$35="CPC",'Model Inputs &amp; Assumptions'!$I$35*'Model Inputs &amp; Assumptions'!$K$35*G3542,0)))</f>
        <v>8672.8</v>
      </c>
      <c r="J3542" s="50" t="n">
        <f aca="false">H3542*INDEX('Model Inputs &amp; Assumptions'!$D$40:$D$42,MATCH('Model Inputs &amp; Assumptions'!$L$35,'Model Inputs &amp; Assumptions'!$A$40:$A$42,0))*INDEX('Model Inputs &amp; Assumptions'!$H$40:$H$42,MATCH('Model Inputs &amp; Assumptions'!$L$35,'Model Inputs &amp; Assumptions'!$A$40:$A$42,0))</f>
        <v>316065.711357484</v>
      </c>
      <c r="K3542" s="49" t="n">
        <f aca="false">H3542*INDEX('Model Inputs &amp; Assumptions'!$G$40:$G$42,MATCH('Model Inputs &amp; Assumptions'!$L$35,'Model Inputs &amp; Assumptions'!$A$40:$A$42,0))*INDEX('Model Inputs &amp; Assumptions'!$H$40:$H$42,MATCH('Model Inputs &amp; Assumptions'!$L$35,'Model Inputs &amp; Assumptions'!$A$40:$A$42,0))</f>
        <v>7111.47850554339</v>
      </c>
      <c r="L3542" s="51" t="n">
        <f aca="false">IFERROR(K3542/I3542,0)</f>
        <v>0.819974922233119</v>
      </c>
      <c r="M3542" s="49" t="n">
        <f aca="false">IFERROR(I3542/H3542,0)</f>
        <v>233.238840377154</v>
      </c>
      <c r="N3542" s="52" t="str">
        <f aca="false">'Model Inputs &amp; Assumptions'!$L$35</f>
        <v>PRD-EUAI</v>
      </c>
      <c r="P3542" s="53" t="n">
        <v>0.783867</v>
      </c>
      <c r="Q3542" s="53" t="n">
        <v>0.167446</v>
      </c>
      <c r="R3542" s="53" t="n">
        <v>-0.247067</v>
      </c>
      <c r="S3542" s="53" t="n">
        <v>-0.476908</v>
      </c>
    </row>
    <row r="3543" customFormat="false" ht="15" hidden="false" customHeight="false" outlineLevel="0" collapsed="false">
      <c r="A3543" s="43" t="n">
        <v>40</v>
      </c>
      <c r="B3543" s="44" t="str">
        <f aca="false">'Model Inputs &amp; Assumptions'!$B$35</f>
        <v>justETF — Sponsored Listing</v>
      </c>
      <c r="C3543" s="45" t="n">
        <f aca="false">ROUND(MAX(0,'Model Inputs &amp; Assumptions'!$S$35*EXP('Model Inputs &amp; Assumptions'!$T$35*P3543-'Model Inputs &amp; Assumptions'!$T$35^2/2)),0)</f>
        <v>74668</v>
      </c>
      <c r="D3543" s="46" t="n">
        <f aca="false">MIN(1,'Model Inputs &amp; Assumptions'!$U$35*EXP('Model Inputs &amp; Assumptions'!$V$35*Q3543-'Model Inputs &amp; Assumptions'!$V$35^2/2))</f>
        <v>0</v>
      </c>
      <c r="E3543" s="45" t="n">
        <f aca="false">ROUND(C3543*D3543,0)</f>
        <v>0</v>
      </c>
      <c r="F3543" s="47" t="n">
        <f aca="false">MIN(1,'Model Inputs &amp; Assumptions'!$W$35*EXP('Model Inputs &amp; Assumptions'!$X$35*R3543-'Model Inputs &amp; Assumptions'!$X$35^2/2))</f>
        <v>0.00740880476773472</v>
      </c>
      <c r="G3543" s="45" t="n">
        <f aca="false">ROUND(C3543*F3543,0)</f>
        <v>553</v>
      </c>
      <c r="H3543" s="48" t="n">
        <f aca="false">MAX(0,(C3543*'Model Inputs &amp; Assumptions'!$N$35+E3543*'Model Inputs &amp; Assumptions'!$O$35+G3543*'Model Inputs &amp; Assumptions'!$P$35)*EXP('Model Inputs &amp; Assumptions'!$Q$35*S3543-'Model Inputs &amp; Assumptions'!$Q$35^2/2))</f>
        <v>39.1457556713646</v>
      </c>
      <c r="I3543" s="49" t="n">
        <f aca="false">IF('Model Inputs &amp; Assumptions'!$H$35="Fixed",'Model Inputs &amp; Assumptions'!$I$35*'Model Inputs &amp; Assumptions'!$K$35,IF('Model Inputs &amp; Assumptions'!$H$35="CPM",'Model Inputs &amp; Assumptions'!$I$35*'Model Inputs &amp; Assumptions'!$K$35*C3543/1000,IF('Model Inputs &amp; Assumptions'!$H$35="CPC",'Model Inputs &amp; Assumptions'!$I$35*'Model Inputs &amp; Assumptions'!$K$35*G3543,0)))</f>
        <v>8672.8</v>
      </c>
      <c r="J3543" s="50" t="n">
        <f aca="false">H3543*INDEX('Model Inputs &amp; Assumptions'!$D$40:$D$42,MATCH('Model Inputs &amp; Assumptions'!$L$35,'Model Inputs &amp; Assumptions'!$A$40:$A$42,0))*INDEX('Model Inputs &amp; Assumptions'!$H$40:$H$42,MATCH('Model Inputs &amp; Assumptions'!$L$35,'Model Inputs &amp; Assumptions'!$A$40:$A$42,0))</f>
        <v>332738.923206599</v>
      </c>
      <c r="K3543" s="49" t="n">
        <f aca="false">H3543*INDEX('Model Inputs &amp; Assumptions'!$G$40:$G$42,MATCH('Model Inputs &amp; Assumptions'!$L$35,'Model Inputs &amp; Assumptions'!$A$40:$A$42,0))*INDEX('Model Inputs &amp; Assumptions'!$H$40:$H$42,MATCH('Model Inputs &amp; Assumptions'!$L$35,'Model Inputs &amp; Assumptions'!$A$40:$A$42,0))</f>
        <v>7486.62577214848</v>
      </c>
      <c r="L3543" s="51" t="n">
        <f aca="false">IFERROR(K3543/I3543,0)</f>
        <v>0.86323053363948</v>
      </c>
      <c r="M3543" s="49" t="n">
        <f aca="false">IFERROR(I3543/H3543,0)</f>
        <v>221.551477325145</v>
      </c>
      <c r="N3543" s="52" t="str">
        <f aca="false">'Model Inputs &amp; Assumptions'!$L$35</f>
        <v>PRD-EUAI</v>
      </c>
      <c r="P3543" s="53" t="n">
        <v>-1.125425</v>
      </c>
      <c r="Q3543" s="53" t="n">
        <v>-1.339703</v>
      </c>
      <c r="R3543" s="53" t="n">
        <v>0.602808</v>
      </c>
      <c r="S3543" s="53" t="n">
        <v>0.173054</v>
      </c>
    </row>
    <row r="3544" customFormat="false" ht="15" hidden="false" customHeight="false" outlineLevel="0" collapsed="false">
      <c r="A3544" s="43" t="n">
        <v>41</v>
      </c>
      <c r="B3544" s="44" t="str">
        <f aca="false">'Model Inputs &amp; Assumptions'!$B$35</f>
        <v>justETF — Sponsored Listing</v>
      </c>
      <c r="C3544" s="45" t="n">
        <f aca="false">ROUND(MAX(0,'Model Inputs &amp; Assumptions'!$S$35*EXP('Model Inputs &amp; Assumptions'!$T$35*P3544-'Model Inputs &amp; Assumptions'!$T$35^2/2)),0)</f>
        <v>75805</v>
      </c>
      <c r="D3544" s="46" t="n">
        <f aca="false">MIN(1,'Model Inputs &amp; Assumptions'!$U$35*EXP('Model Inputs &amp; Assumptions'!$V$35*Q3544-'Model Inputs &amp; Assumptions'!$V$35^2/2))</f>
        <v>0</v>
      </c>
      <c r="E3544" s="45" t="n">
        <f aca="false">ROUND(C3544*D3544,0)</f>
        <v>0</v>
      </c>
      <c r="F3544" s="47" t="n">
        <f aca="false">MIN(1,'Model Inputs &amp; Assumptions'!$W$35*EXP('Model Inputs &amp; Assumptions'!$X$35*R3544-'Model Inputs &amp; Assumptions'!$X$35^2/2))</f>
        <v>0.00850606915036504</v>
      </c>
      <c r="G3544" s="45" t="n">
        <f aca="false">ROUND(C3544*F3544,0)</f>
        <v>645</v>
      </c>
      <c r="H3544" s="48" t="n">
        <f aca="false">MAX(0,(C3544*'Model Inputs &amp; Assumptions'!$N$35+E3544*'Model Inputs &amp; Assumptions'!$O$35+G3544*'Model Inputs &amp; Assumptions'!$P$35)*EXP('Model Inputs &amp; Assumptions'!$Q$35*S3544-'Model Inputs &amp; Assumptions'!$Q$35^2/2))</f>
        <v>49.438655582198</v>
      </c>
      <c r="I3544" s="49" t="n">
        <f aca="false">IF('Model Inputs &amp; Assumptions'!$H$35="Fixed",'Model Inputs &amp; Assumptions'!$I$35*'Model Inputs &amp; Assumptions'!$K$35,IF('Model Inputs &amp; Assumptions'!$H$35="CPM",'Model Inputs &amp; Assumptions'!$I$35*'Model Inputs &amp; Assumptions'!$K$35*C3544/1000,IF('Model Inputs &amp; Assumptions'!$H$35="CPC",'Model Inputs &amp; Assumptions'!$I$35*'Model Inputs &amp; Assumptions'!$K$35*G3544,0)))</f>
        <v>8672.8</v>
      </c>
      <c r="J3544" s="50" t="n">
        <f aca="false">H3544*INDEX('Model Inputs &amp; Assumptions'!$D$40:$D$42,MATCH('Model Inputs &amp; Assumptions'!$L$35,'Model Inputs &amp; Assumptions'!$A$40:$A$42,0))*INDEX('Model Inputs &amp; Assumptions'!$H$40:$H$42,MATCH('Model Inputs &amp; Assumptions'!$L$35,'Model Inputs &amp; Assumptions'!$A$40:$A$42,0))</f>
        <v>420228.572448683</v>
      </c>
      <c r="K3544" s="49" t="n">
        <f aca="false">H3544*INDEX('Model Inputs &amp; Assumptions'!$G$40:$G$42,MATCH('Model Inputs &amp; Assumptions'!$L$35,'Model Inputs &amp; Assumptions'!$A$40:$A$42,0))*INDEX('Model Inputs &amp; Assumptions'!$H$40:$H$42,MATCH('Model Inputs &amp; Assumptions'!$L$35,'Model Inputs &amp; Assumptions'!$A$40:$A$42,0))</f>
        <v>9455.14288009537</v>
      </c>
      <c r="L3544" s="51" t="n">
        <f aca="false">IFERROR(K3544/I3544,0)</f>
        <v>1.09020649387688</v>
      </c>
      <c r="M3544" s="49" t="n">
        <f aca="false">IFERROR(I3544/H3544,0)</f>
        <v>175.425482304639</v>
      </c>
      <c r="N3544" s="52" t="str">
        <f aca="false">'Model Inputs &amp; Assumptions'!$L$35</f>
        <v>PRD-EUAI</v>
      </c>
      <c r="P3544" s="53" t="n">
        <v>-1.024715</v>
      </c>
      <c r="Q3544" s="53" t="n">
        <v>-0.879415</v>
      </c>
      <c r="R3544" s="53" t="n">
        <v>1.293362</v>
      </c>
      <c r="S3544" s="53" t="n">
        <v>0.479009</v>
      </c>
    </row>
    <row r="3545" customFormat="false" ht="15" hidden="false" customHeight="false" outlineLevel="0" collapsed="false">
      <c r="A3545" s="43" t="n">
        <v>42</v>
      </c>
      <c r="B3545" s="44" t="str">
        <f aca="false">'Model Inputs &amp; Assumptions'!$B$35</f>
        <v>justETF — Sponsored Listing</v>
      </c>
      <c r="C3545" s="45" t="n">
        <f aca="false">ROUND(MAX(0,'Model Inputs &amp; Assumptions'!$S$35*EXP('Model Inputs &amp; Assumptions'!$T$35*P3545-'Model Inputs &amp; Assumptions'!$T$35^2/2)),0)</f>
        <v>111222</v>
      </c>
      <c r="D3545" s="46" t="n">
        <f aca="false">MIN(1,'Model Inputs &amp; Assumptions'!$U$35*EXP('Model Inputs &amp; Assumptions'!$V$35*Q3545-'Model Inputs &amp; Assumptions'!$V$35^2/2))</f>
        <v>0</v>
      </c>
      <c r="E3545" s="45" t="n">
        <f aca="false">ROUND(C3545*D3545,0)</f>
        <v>0</v>
      </c>
      <c r="F3545" s="47" t="n">
        <f aca="false">MIN(1,'Model Inputs &amp; Assumptions'!$W$35*EXP('Model Inputs &amp; Assumptions'!$X$35*R3545-'Model Inputs &amp; Assumptions'!$X$35^2/2))</f>
        <v>0.00660462344926546</v>
      </c>
      <c r="G3545" s="45" t="n">
        <f aca="false">ROUND(C3545*F3545,0)</f>
        <v>735</v>
      </c>
      <c r="H3545" s="48" t="n">
        <f aca="false">MAX(0,(C3545*'Model Inputs &amp; Assumptions'!$N$35+E3545*'Model Inputs &amp; Assumptions'!$O$35+G3545*'Model Inputs &amp; Assumptions'!$P$35)*EXP('Model Inputs &amp; Assumptions'!$Q$35*S3545-'Model Inputs &amp; Assumptions'!$Q$35^2/2))</f>
        <v>36.7759699825633</v>
      </c>
      <c r="I3545" s="49" t="n">
        <f aca="false">IF('Model Inputs &amp; Assumptions'!$H$35="Fixed",'Model Inputs &amp; Assumptions'!$I$35*'Model Inputs &amp; Assumptions'!$K$35,IF('Model Inputs &amp; Assumptions'!$H$35="CPM",'Model Inputs &amp; Assumptions'!$I$35*'Model Inputs &amp; Assumptions'!$K$35*C3545/1000,IF('Model Inputs &amp; Assumptions'!$H$35="CPC",'Model Inputs &amp; Assumptions'!$I$35*'Model Inputs &amp; Assumptions'!$K$35*G3545,0)))</f>
        <v>8672.8</v>
      </c>
      <c r="J3545" s="50" t="n">
        <f aca="false">H3545*INDEX('Model Inputs &amp; Assumptions'!$D$40:$D$42,MATCH('Model Inputs &amp; Assumptions'!$L$35,'Model Inputs &amp; Assumptions'!$A$40:$A$42,0))*INDEX('Model Inputs &amp; Assumptions'!$H$40:$H$42,MATCH('Model Inputs &amp; Assumptions'!$L$35,'Model Inputs &amp; Assumptions'!$A$40:$A$42,0))</f>
        <v>312595.744851788</v>
      </c>
      <c r="K3545" s="49" t="n">
        <f aca="false">H3545*INDEX('Model Inputs &amp; Assumptions'!$G$40:$G$42,MATCH('Model Inputs &amp; Assumptions'!$L$35,'Model Inputs &amp; Assumptions'!$A$40:$A$42,0))*INDEX('Model Inputs &amp; Assumptions'!$H$40:$H$42,MATCH('Model Inputs &amp; Assumptions'!$L$35,'Model Inputs &amp; Assumptions'!$A$40:$A$42,0))</f>
        <v>7033.40425916523</v>
      </c>
      <c r="L3545" s="51" t="n">
        <f aca="false">IFERROR(K3545/I3545,0)</f>
        <v>0.810972726128266</v>
      </c>
      <c r="M3545" s="49" t="n">
        <f aca="false">IFERROR(I3545/H3545,0)</f>
        <v>235.827906214631</v>
      </c>
      <c r="N3545" s="52" t="str">
        <f aca="false">'Model Inputs &amp; Assumptions'!$L$35</f>
        <v>PRD-EUAI</v>
      </c>
      <c r="P3545" s="53" t="n">
        <v>1.531068</v>
      </c>
      <c r="Q3545" s="53" t="n">
        <v>0.036814</v>
      </c>
      <c r="R3545" s="53" t="n">
        <v>0.028312</v>
      </c>
      <c r="S3545" s="53" t="n">
        <v>-1.161407</v>
      </c>
    </row>
    <row r="3546" customFormat="false" ht="15" hidden="false" customHeight="false" outlineLevel="0" collapsed="false">
      <c r="A3546" s="43" t="n">
        <v>43</v>
      </c>
      <c r="B3546" s="44" t="str">
        <f aca="false">'Model Inputs &amp; Assumptions'!$B$35</f>
        <v>justETF — Sponsored Listing</v>
      </c>
      <c r="C3546" s="45" t="n">
        <f aca="false">ROUND(MAX(0,'Model Inputs &amp; Assumptions'!$S$35*EXP('Model Inputs &amp; Assumptions'!$T$35*P3546-'Model Inputs &amp; Assumptions'!$T$35^2/2)),0)</f>
        <v>79100</v>
      </c>
      <c r="D3546" s="46" t="n">
        <f aca="false">MIN(1,'Model Inputs &amp; Assumptions'!$U$35*EXP('Model Inputs &amp; Assumptions'!$V$35*Q3546-'Model Inputs &amp; Assumptions'!$V$35^2/2))</f>
        <v>0</v>
      </c>
      <c r="E3546" s="45" t="n">
        <f aca="false">ROUND(C3546*D3546,0)</f>
        <v>0</v>
      </c>
      <c r="F3546" s="47" t="n">
        <f aca="false">MIN(1,'Model Inputs &amp; Assumptions'!$W$35*EXP('Model Inputs &amp; Assumptions'!$X$35*R3546-'Model Inputs &amp; Assumptions'!$X$35^2/2))</f>
        <v>0.0090181185549967</v>
      </c>
      <c r="G3546" s="45" t="n">
        <f aca="false">ROUND(C3546*F3546,0)</f>
        <v>713</v>
      </c>
      <c r="H3546" s="48" t="n">
        <f aca="false">MAX(0,(C3546*'Model Inputs &amp; Assumptions'!$N$35+E3546*'Model Inputs &amp; Assumptions'!$O$35+G3546*'Model Inputs &amp; Assumptions'!$P$35)*EXP('Model Inputs &amp; Assumptions'!$Q$35*S3546-'Model Inputs &amp; Assumptions'!$Q$35^2/2))</f>
        <v>56.0752401739588</v>
      </c>
      <c r="I3546" s="49" t="n">
        <f aca="false">IF('Model Inputs &amp; Assumptions'!$H$35="Fixed",'Model Inputs &amp; Assumptions'!$I$35*'Model Inputs &amp; Assumptions'!$K$35,IF('Model Inputs &amp; Assumptions'!$H$35="CPM",'Model Inputs &amp; Assumptions'!$I$35*'Model Inputs &amp; Assumptions'!$K$35*C3546/1000,IF('Model Inputs &amp; Assumptions'!$H$35="CPC",'Model Inputs &amp; Assumptions'!$I$35*'Model Inputs &amp; Assumptions'!$K$35*G3546,0)))</f>
        <v>8672.8</v>
      </c>
      <c r="J3546" s="50" t="n">
        <f aca="false">H3546*INDEX('Model Inputs &amp; Assumptions'!$D$40:$D$42,MATCH('Model Inputs &amp; Assumptions'!$L$35,'Model Inputs &amp; Assumptions'!$A$40:$A$42,0))*INDEX('Model Inputs &amp; Assumptions'!$H$40:$H$42,MATCH('Model Inputs &amp; Assumptions'!$L$35,'Model Inputs &amp; Assumptions'!$A$40:$A$42,0))</f>
        <v>476639.541478649</v>
      </c>
      <c r="K3546" s="49" t="n">
        <f aca="false">H3546*INDEX('Model Inputs &amp; Assumptions'!$G$40:$G$42,MATCH('Model Inputs &amp; Assumptions'!$L$35,'Model Inputs &amp; Assumptions'!$A$40:$A$42,0))*INDEX('Model Inputs &amp; Assumptions'!$H$40:$H$42,MATCH('Model Inputs &amp; Assumptions'!$L$35,'Model Inputs &amp; Assumptions'!$A$40:$A$42,0))</f>
        <v>10724.3896832696</v>
      </c>
      <c r="L3546" s="51" t="n">
        <f aca="false">IFERROR(K3546/I3546,0)</f>
        <v>1.23655447874615</v>
      </c>
      <c r="M3546" s="49" t="n">
        <f aca="false">IFERROR(I3546/H3546,0)</f>
        <v>154.663626461428</v>
      </c>
      <c r="N3546" s="52" t="str">
        <f aca="false">'Model Inputs &amp; Assumptions'!$L$35</f>
        <v>PRD-EUAI</v>
      </c>
      <c r="P3546" s="53" t="n">
        <v>-0.741048</v>
      </c>
      <c r="Q3546" s="53" t="n">
        <v>-1.002237</v>
      </c>
      <c r="R3546" s="53" t="n">
        <v>1.585641</v>
      </c>
      <c r="S3546" s="53" t="n">
        <v>0.577973</v>
      </c>
    </row>
    <row r="3547" customFormat="false" ht="15" hidden="false" customHeight="false" outlineLevel="0" collapsed="false">
      <c r="A3547" s="43" t="n">
        <v>44</v>
      </c>
      <c r="B3547" s="44" t="str">
        <f aca="false">'Model Inputs &amp; Assumptions'!$B$35</f>
        <v>justETF — Sponsored Listing</v>
      </c>
      <c r="C3547" s="45" t="n">
        <f aca="false">ROUND(MAX(0,'Model Inputs &amp; Assumptions'!$S$35*EXP('Model Inputs &amp; Assumptions'!$T$35*P3547-'Model Inputs &amp; Assumptions'!$T$35^2/2)),0)</f>
        <v>96973</v>
      </c>
      <c r="D3547" s="46" t="n">
        <f aca="false">MIN(1,'Model Inputs &amp; Assumptions'!$U$35*EXP('Model Inputs &amp; Assumptions'!$V$35*Q3547-'Model Inputs &amp; Assumptions'!$V$35^2/2))</f>
        <v>0</v>
      </c>
      <c r="E3547" s="45" t="n">
        <f aca="false">ROUND(C3547*D3547,0)</f>
        <v>0</v>
      </c>
      <c r="F3547" s="47" t="n">
        <f aca="false">MIN(1,'Model Inputs &amp; Assumptions'!$W$35*EXP('Model Inputs &amp; Assumptions'!$X$35*R3547-'Model Inputs &amp; Assumptions'!$X$35^2/2))</f>
        <v>0.00779709420446465</v>
      </c>
      <c r="G3547" s="45" t="n">
        <f aca="false">ROUND(C3547*F3547,0)</f>
        <v>756</v>
      </c>
      <c r="H3547" s="48" t="n">
        <f aca="false">MAX(0,(C3547*'Model Inputs &amp; Assumptions'!$N$35+E3547*'Model Inputs &amp; Assumptions'!$O$35+G3547*'Model Inputs &amp; Assumptions'!$P$35)*EXP('Model Inputs &amp; Assumptions'!$Q$35*S3547-'Model Inputs &amp; Assumptions'!$Q$35^2/2))</f>
        <v>36.7944912342025</v>
      </c>
      <c r="I3547" s="49" t="n">
        <f aca="false">IF('Model Inputs &amp; Assumptions'!$H$35="Fixed",'Model Inputs &amp; Assumptions'!$I$35*'Model Inputs &amp; Assumptions'!$K$35,IF('Model Inputs &amp; Assumptions'!$H$35="CPM",'Model Inputs &amp; Assumptions'!$I$35*'Model Inputs &amp; Assumptions'!$K$35*C3547/1000,IF('Model Inputs &amp; Assumptions'!$H$35="CPC",'Model Inputs &amp; Assumptions'!$I$35*'Model Inputs &amp; Assumptions'!$K$35*G3547,0)))</f>
        <v>8672.8</v>
      </c>
      <c r="J3547" s="50" t="n">
        <f aca="false">H3547*INDEX('Model Inputs &amp; Assumptions'!$D$40:$D$42,MATCH('Model Inputs &amp; Assumptions'!$L$35,'Model Inputs &amp; Assumptions'!$A$40:$A$42,0))*INDEX('Model Inputs &amp; Assumptions'!$H$40:$H$42,MATCH('Model Inputs &amp; Assumptions'!$L$35,'Model Inputs &amp; Assumptions'!$A$40:$A$42,0))</f>
        <v>312753.175490722</v>
      </c>
      <c r="K3547" s="49" t="n">
        <f aca="false">H3547*INDEX('Model Inputs &amp; Assumptions'!$G$40:$G$42,MATCH('Model Inputs &amp; Assumptions'!$L$35,'Model Inputs &amp; Assumptions'!$A$40:$A$42,0))*INDEX('Model Inputs &amp; Assumptions'!$H$40:$H$42,MATCH('Model Inputs &amp; Assumptions'!$L$35,'Model Inputs &amp; Assumptions'!$A$40:$A$42,0))</f>
        <v>7036.94644854124</v>
      </c>
      <c r="L3547" s="51" t="n">
        <f aca="false">IFERROR(K3547/I3547,0)</f>
        <v>0.811381151247721</v>
      </c>
      <c r="M3547" s="49" t="n">
        <f aca="false">IFERROR(I3547/H3547,0)</f>
        <v>235.709197466444</v>
      </c>
      <c r="N3547" s="52" t="str">
        <f aca="false">'Model Inputs &amp; Assumptions'!$L$35</f>
        <v>PRD-EUAI</v>
      </c>
      <c r="P3547" s="53" t="n">
        <v>0.617099</v>
      </c>
      <c r="Q3547" s="53" t="n">
        <v>0.977902</v>
      </c>
      <c r="R3547" s="53" t="n">
        <v>0.858218</v>
      </c>
      <c r="S3547" s="53" t="n">
        <v>-1.26782</v>
      </c>
    </row>
    <row r="3548" customFormat="false" ht="15" hidden="false" customHeight="false" outlineLevel="0" collapsed="false">
      <c r="A3548" s="43" t="n">
        <v>45</v>
      </c>
      <c r="B3548" s="44" t="str">
        <f aca="false">'Model Inputs &amp; Assumptions'!$B$35</f>
        <v>justETF — Sponsored Listing</v>
      </c>
      <c r="C3548" s="45" t="n">
        <f aca="false">ROUND(MAX(0,'Model Inputs &amp; Assumptions'!$S$35*EXP('Model Inputs &amp; Assumptions'!$T$35*P3548-'Model Inputs &amp; Assumptions'!$T$35^2/2)),0)</f>
        <v>78360</v>
      </c>
      <c r="D3548" s="46" t="n">
        <f aca="false">MIN(1,'Model Inputs &amp; Assumptions'!$U$35*EXP('Model Inputs &amp; Assumptions'!$V$35*Q3548-'Model Inputs &amp; Assumptions'!$V$35^2/2))</f>
        <v>0</v>
      </c>
      <c r="E3548" s="45" t="n">
        <f aca="false">ROUND(C3548*D3548,0)</f>
        <v>0</v>
      </c>
      <c r="F3548" s="47" t="n">
        <f aca="false">MIN(1,'Model Inputs &amp; Assumptions'!$W$35*EXP('Model Inputs &amp; Assumptions'!$X$35*R3548-'Model Inputs &amp; Assumptions'!$X$35^2/2))</f>
        <v>0.00609694073422421</v>
      </c>
      <c r="G3548" s="45" t="n">
        <f aca="false">ROUND(C3548*F3548,0)</f>
        <v>478</v>
      </c>
      <c r="H3548" s="48" t="n">
        <f aca="false">MAX(0,(C3548*'Model Inputs &amp; Assumptions'!$N$35+E3548*'Model Inputs &amp; Assumptions'!$O$35+G3548*'Model Inputs &amp; Assumptions'!$P$35)*EXP('Model Inputs &amp; Assumptions'!$Q$35*S3548-'Model Inputs &amp; Assumptions'!$Q$35^2/2))</f>
        <v>40.6579413289141</v>
      </c>
      <c r="I3548" s="49" t="n">
        <f aca="false">IF('Model Inputs &amp; Assumptions'!$H$35="Fixed",'Model Inputs &amp; Assumptions'!$I$35*'Model Inputs &amp; Assumptions'!$K$35,IF('Model Inputs &amp; Assumptions'!$H$35="CPM",'Model Inputs &amp; Assumptions'!$I$35*'Model Inputs &amp; Assumptions'!$K$35*C3548/1000,IF('Model Inputs &amp; Assumptions'!$H$35="CPC",'Model Inputs &amp; Assumptions'!$I$35*'Model Inputs &amp; Assumptions'!$K$35*G3548,0)))</f>
        <v>8672.8</v>
      </c>
      <c r="J3548" s="50" t="n">
        <f aca="false">H3548*INDEX('Model Inputs &amp; Assumptions'!$D$40:$D$42,MATCH('Model Inputs &amp; Assumptions'!$L$35,'Model Inputs &amp; Assumptions'!$A$40:$A$42,0))*INDEX('Model Inputs &amp; Assumptions'!$H$40:$H$42,MATCH('Model Inputs &amp; Assumptions'!$L$35,'Model Inputs &amp; Assumptions'!$A$40:$A$42,0))</f>
        <v>345592.50129577</v>
      </c>
      <c r="K3548" s="49" t="n">
        <f aca="false">H3548*INDEX('Model Inputs &amp; Assumptions'!$G$40:$G$42,MATCH('Model Inputs &amp; Assumptions'!$L$35,'Model Inputs &amp; Assumptions'!$A$40:$A$42,0))*INDEX('Model Inputs &amp; Assumptions'!$H$40:$H$42,MATCH('Model Inputs &amp; Assumptions'!$L$35,'Model Inputs &amp; Assumptions'!$A$40:$A$42,0))</f>
        <v>7775.83127915482</v>
      </c>
      <c r="L3548" s="51" t="n">
        <f aca="false">IFERROR(K3548/I3548,0)</f>
        <v>0.896576800935664</v>
      </c>
      <c r="M3548" s="49" t="n">
        <f aca="false">IFERROR(I3548/H3548,0)</f>
        <v>213.31134131556</v>
      </c>
      <c r="N3548" s="52" t="str">
        <f aca="false">'Model Inputs &amp; Assumptions'!$L$35</f>
        <v>PRD-EUAI</v>
      </c>
      <c r="P3548" s="53" t="n">
        <v>-0.803679</v>
      </c>
      <c r="Q3548" s="53" t="n">
        <v>0.390123</v>
      </c>
      <c r="R3548" s="53" t="n">
        <v>-0.371602</v>
      </c>
      <c r="S3548" s="53" t="n">
        <v>0.879398</v>
      </c>
    </row>
    <row r="3549" customFormat="false" ht="15" hidden="false" customHeight="false" outlineLevel="0" collapsed="false">
      <c r="A3549" s="43" t="n">
        <v>46</v>
      </c>
      <c r="B3549" s="44" t="str">
        <f aca="false">'Model Inputs &amp; Assumptions'!$B$35</f>
        <v>justETF — Sponsored Listing</v>
      </c>
      <c r="C3549" s="45" t="n">
        <f aca="false">ROUND(MAX(0,'Model Inputs &amp; Assumptions'!$S$35*EXP('Model Inputs &amp; Assumptions'!$T$35*P3549-'Model Inputs &amp; Assumptions'!$T$35^2/2)),0)</f>
        <v>74272</v>
      </c>
      <c r="D3549" s="46" t="n">
        <f aca="false">MIN(1,'Model Inputs &amp; Assumptions'!$U$35*EXP('Model Inputs &amp; Assumptions'!$V$35*Q3549-'Model Inputs &amp; Assumptions'!$V$35^2/2))</f>
        <v>0</v>
      </c>
      <c r="E3549" s="45" t="n">
        <f aca="false">ROUND(C3549*D3549,0)</f>
        <v>0</v>
      </c>
      <c r="F3549" s="47" t="n">
        <f aca="false">MIN(1,'Model Inputs &amp; Assumptions'!$W$35*EXP('Model Inputs &amp; Assumptions'!$X$35*R3549-'Model Inputs &amp; Assumptions'!$X$35^2/2))</f>
        <v>0.00699345230560949</v>
      </c>
      <c r="G3549" s="45" t="n">
        <f aca="false">ROUND(C3549*F3549,0)</f>
        <v>519</v>
      </c>
      <c r="H3549" s="48" t="n">
        <f aca="false">MAX(0,(C3549*'Model Inputs &amp; Assumptions'!$N$35+E3549*'Model Inputs &amp; Assumptions'!$O$35+G3549*'Model Inputs &amp; Assumptions'!$P$35)*EXP('Model Inputs &amp; Assumptions'!$Q$35*S3549-'Model Inputs &amp; Assumptions'!$Q$35^2/2))</f>
        <v>39.5439489973068</v>
      </c>
      <c r="I3549" s="49" t="n">
        <f aca="false">IF('Model Inputs &amp; Assumptions'!$H$35="Fixed",'Model Inputs &amp; Assumptions'!$I$35*'Model Inputs &amp; Assumptions'!$K$35,IF('Model Inputs &amp; Assumptions'!$H$35="CPM",'Model Inputs &amp; Assumptions'!$I$35*'Model Inputs &amp; Assumptions'!$K$35*C3549/1000,IF('Model Inputs &amp; Assumptions'!$H$35="CPC",'Model Inputs &amp; Assumptions'!$I$35*'Model Inputs &amp; Assumptions'!$K$35*G3549,0)))</f>
        <v>8672.8</v>
      </c>
      <c r="J3549" s="50" t="n">
        <f aca="false">H3549*INDEX('Model Inputs &amp; Assumptions'!$D$40:$D$42,MATCH('Model Inputs &amp; Assumptions'!$L$35,'Model Inputs &amp; Assumptions'!$A$40:$A$42,0))*INDEX('Model Inputs &amp; Assumptions'!$H$40:$H$42,MATCH('Model Inputs &amp; Assumptions'!$L$35,'Model Inputs &amp; Assumptions'!$A$40:$A$42,0))</f>
        <v>336123.566477108</v>
      </c>
      <c r="K3549" s="49" t="n">
        <f aca="false">H3549*INDEX('Model Inputs &amp; Assumptions'!$G$40:$G$42,MATCH('Model Inputs &amp; Assumptions'!$L$35,'Model Inputs &amp; Assumptions'!$A$40:$A$42,0))*INDEX('Model Inputs &amp; Assumptions'!$H$40:$H$42,MATCH('Model Inputs &amp; Assumptions'!$L$35,'Model Inputs &amp; Assumptions'!$A$40:$A$42,0))</f>
        <v>7562.78024573493</v>
      </c>
      <c r="L3549" s="51" t="n">
        <f aca="false">IFERROR(K3549/I3549,0)</f>
        <v>0.872011374150785</v>
      </c>
      <c r="M3549" s="49" t="n">
        <f aca="false">IFERROR(I3549/H3549,0)</f>
        <v>219.320533733003</v>
      </c>
      <c r="N3549" s="52" t="str">
        <f aca="false">'Model Inputs &amp; Assumptions'!$L$35</f>
        <v>PRD-EUAI</v>
      </c>
      <c r="P3549" s="53" t="n">
        <v>-1.160886</v>
      </c>
      <c r="Q3549" s="53" t="n">
        <v>-0.18789</v>
      </c>
      <c r="R3549" s="53" t="n">
        <v>0.314334</v>
      </c>
      <c r="S3549" s="53" t="n">
        <v>0.456034</v>
      </c>
    </row>
    <row r="3550" customFormat="false" ht="15" hidden="false" customHeight="false" outlineLevel="0" collapsed="false">
      <c r="A3550" s="43" t="n">
        <v>47</v>
      </c>
      <c r="B3550" s="44" t="str">
        <f aca="false">'Model Inputs &amp; Assumptions'!$B$35</f>
        <v>justETF — Sponsored Listing</v>
      </c>
      <c r="C3550" s="45" t="n">
        <f aca="false">ROUND(MAX(0,'Model Inputs &amp; Assumptions'!$S$35*EXP('Model Inputs &amp; Assumptions'!$T$35*P3550-'Model Inputs &amp; Assumptions'!$T$35^2/2)),0)</f>
        <v>77532</v>
      </c>
      <c r="D3550" s="46" t="n">
        <f aca="false">MIN(1,'Model Inputs &amp; Assumptions'!$U$35*EXP('Model Inputs &amp; Assumptions'!$V$35*Q3550-'Model Inputs &amp; Assumptions'!$V$35^2/2))</f>
        <v>0</v>
      </c>
      <c r="E3550" s="45" t="n">
        <f aca="false">ROUND(C3550*D3550,0)</f>
        <v>0</v>
      </c>
      <c r="F3550" s="47" t="n">
        <f aca="false">MIN(1,'Model Inputs &amp; Assumptions'!$W$35*EXP('Model Inputs &amp; Assumptions'!$X$35*R3550-'Model Inputs &amp; Assumptions'!$X$35^2/2))</f>
        <v>0.00574881833306628</v>
      </c>
      <c r="G3550" s="45" t="n">
        <f aca="false">ROUND(C3550*F3550,0)</f>
        <v>446</v>
      </c>
      <c r="H3550" s="48" t="n">
        <f aca="false">MAX(0,(C3550*'Model Inputs &amp; Assumptions'!$N$35+E3550*'Model Inputs &amp; Assumptions'!$O$35+G3550*'Model Inputs &amp; Assumptions'!$P$35)*EXP('Model Inputs &amp; Assumptions'!$Q$35*S3550-'Model Inputs &amp; Assumptions'!$Q$35^2/2))</f>
        <v>40.3743004504182</v>
      </c>
      <c r="I3550" s="49" t="n">
        <f aca="false">IF('Model Inputs &amp; Assumptions'!$H$35="Fixed",'Model Inputs &amp; Assumptions'!$I$35*'Model Inputs &amp; Assumptions'!$K$35,IF('Model Inputs &amp; Assumptions'!$H$35="CPM",'Model Inputs &amp; Assumptions'!$I$35*'Model Inputs &amp; Assumptions'!$K$35*C3550/1000,IF('Model Inputs &amp; Assumptions'!$H$35="CPC",'Model Inputs &amp; Assumptions'!$I$35*'Model Inputs &amp; Assumptions'!$K$35*G3550,0)))</f>
        <v>8672.8</v>
      </c>
      <c r="J3550" s="50" t="n">
        <f aca="false">H3550*INDEX('Model Inputs &amp; Assumptions'!$D$40:$D$42,MATCH('Model Inputs &amp; Assumptions'!$L$35,'Model Inputs &amp; Assumptions'!$A$40:$A$42,0))*INDEX('Model Inputs &amp; Assumptions'!$H$40:$H$42,MATCH('Model Inputs &amp; Assumptions'!$L$35,'Model Inputs &amp; Assumptions'!$A$40:$A$42,0))</f>
        <v>343181.553828555</v>
      </c>
      <c r="K3550" s="49" t="n">
        <f aca="false">H3550*INDEX('Model Inputs &amp; Assumptions'!$G$40:$G$42,MATCH('Model Inputs &amp; Assumptions'!$L$35,'Model Inputs &amp; Assumptions'!$A$40:$A$42,0))*INDEX('Model Inputs &amp; Assumptions'!$H$40:$H$42,MATCH('Model Inputs &amp; Assumptions'!$L$35,'Model Inputs &amp; Assumptions'!$A$40:$A$42,0))</f>
        <v>7721.58496114248</v>
      </c>
      <c r="L3550" s="51" t="n">
        <f aca="false">IFERROR(K3550/I3550,0)</f>
        <v>0.890322036844211</v>
      </c>
      <c r="M3550" s="49" t="n">
        <f aca="false">IFERROR(I3550/H3550,0)</f>
        <v>214.809913812641</v>
      </c>
      <c r="N3550" s="52" t="str">
        <f aca="false">'Model Inputs &amp; Assumptions'!$L$35</f>
        <v>PRD-EUAI</v>
      </c>
      <c r="P3550" s="53" t="n">
        <v>-0.874546</v>
      </c>
      <c r="Q3550" s="53" t="n">
        <v>-0.544114</v>
      </c>
      <c r="R3550" s="53" t="n">
        <v>-0.665566</v>
      </c>
      <c r="S3550" s="53" t="n">
        <v>1.118979</v>
      </c>
    </row>
    <row r="3551" customFormat="false" ht="15" hidden="false" customHeight="false" outlineLevel="0" collapsed="false">
      <c r="A3551" s="43" t="n">
        <v>48</v>
      </c>
      <c r="B3551" s="44" t="str">
        <f aca="false">'Model Inputs &amp; Assumptions'!$B$35</f>
        <v>justETF — Sponsored Listing</v>
      </c>
      <c r="C3551" s="45" t="n">
        <f aca="false">ROUND(MAX(0,'Model Inputs &amp; Assumptions'!$S$35*EXP('Model Inputs &amp; Assumptions'!$T$35*P3551-'Model Inputs &amp; Assumptions'!$T$35^2/2)),0)</f>
        <v>85752</v>
      </c>
      <c r="D3551" s="46" t="n">
        <f aca="false">MIN(1,'Model Inputs &amp; Assumptions'!$U$35*EXP('Model Inputs &amp; Assumptions'!$V$35*Q3551-'Model Inputs &amp; Assumptions'!$V$35^2/2))</f>
        <v>0</v>
      </c>
      <c r="E3551" s="45" t="n">
        <f aca="false">ROUND(C3551*D3551,0)</f>
        <v>0</v>
      </c>
      <c r="F3551" s="47" t="n">
        <f aca="false">MIN(1,'Model Inputs &amp; Assumptions'!$W$35*EXP('Model Inputs &amp; Assumptions'!$X$35*R3551-'Model Inputs &amp; Assumptions'!$X$35^2/2))</f>
        <v>0.00609001001607969</v>
      </c>
      <c r="G3551" s="45" t="n">
        <f aca="false">ROUND(C3551*F3551,0)</f>
        <v>522</v>
      </c>
      <c r="H3551" s="48" t="n">
        <f aca="false">MAX(0,(C3551*'Model Inputs &amp; Assumptions'!$N$35+E3551*'Model Inputs &amp; Assumptions'!$O$35+G3551*'Model Inputs &amp; Assumptions'!$P$35)*EXP('Model Inputs &amp; Assumptions'!$Q$35*S3551-'Model Inputs &amp; Assumptions'!$Q$35^2/2))</f>
        <v>33.9282238840641</v>
      </c>
      <c r="I3551" s="49" t="n">
        <f aca="false">IF('Model Inputs &amp; Assumptions'!$H$35="Fixed",'Model Inputs &amp; Assumptions'!$I$35*'Model Inputs &amp; Assumptions'!$K$35,IF('Model Inputs &amp; Assumptions'!$H$35="CPM",'Model Inputs &amp; Assumptions'!$I$35*'Model Inputs &amp; Assumptions'!$K$35*C3551/1000,IF('Model Inputs &amp; Assumptions'!$H$35="CPC",'Model Inputs &amp; Assumptions'!$I$35*'Model Inputs &amp; Assumptions'!$K$35*G3551,0)))</f>
        <v>8672.8</v>
      </c>
      <c r="J3551" s="50" t="n">
        <f aca="false">H3551*INDEX('Model Inputs &amp; Assumptions'!$D$40:$D$42,MATCH('Model Inputs &amp; Assumptions'!$L$35,'Model Inputs &amp; Assumptions'!$A$40:$A$42,0))*INDEX('Model Inputs &amp; Assumptions'!$H$40:$H$42,MATCH('Model Inputs &amp; Assumptions'!$L$35,'Model Inputs &amp; Assumptions'!$A$40:$A$42,0))</f>
        <v>288389.903014545</v>
      </c>
      <c r="K3551" s="49" t="n">
        <f aca="false">H3551*INDEX('Model Inputs &amp; Assumptions'!$G$40:$G$42,MATCH('Model Inputs &amp; Assumptions'!$L$35,'Model Inputs &amp; Assumptions'!$A$40:$A$42,0))*INDEX('Model Inputs &amp; Assumptions'!$H$40:$H$42,MATCH('Model Inputs &amp; Assumptions'!$L$35,'Model Inputs &amp; Assumptions'!$A$40:$A$42,0))</f>
        <v>6488.77281782726</v>
      </c>
      <c r="L3551" s="51" t="n">
        <f aca="false">IFERROR(K3551/I3551,0)</f>
        <v>0.748175078155528</v>
      </c>
      <c r="M3551" s="49" t="n">
        <f aca="false">IFERROR(I3551/H3551,0)</f>
        <v>255.621986863673</v>
      </c>
      <c r="N3551" s="52" t="str">
        <f aca="false">'Model Inputs &amp; Assumptions'!$L$35</f>
        <v>PRD-EUAI</v>
      </c>
      <c r="P3551" s="53" t="n">
        <v>-0.202725</v>
      </c>
      <c r="Q3551" s="53" t="n">
        <v>-1.734462</v>
      </c>
      <c r="R3551" s="53" t="n">
        <v>-0.377289</v>
      </c>
      <c r="S3551" s="53" t="n">
        <v>-0.155232</v>
      </c>
    </row>
    <row r="3552" customFormat="false" ht="15" hidden="false" customHeight="false" outlineLevel="0" collapsed="false">
      <c r="A3552" s="43" t="n">
        <v>49</v>
      </c>
      <c r="B3552" s="44" t="str">
        <f aca="false">'Model Inputs &amp; Assumptions'!$B$35</f>
        <v>justETF — Sponsored Listing</v>
      </c>
      <c r="C3552" s="45" t="n">
        <f aca="false">ROUND(MAX(0,'Model Inputs &amp; Assumptions'!$S$35*EXP('Model Inputs &amp; Assumptions'!$T$35*P3552-'Model Inputs &amp; Assumptions'!$T$35^2/2)),0)</f>
        <v>86989</v>
      </c>
      <c r="D3552" s="46" t="n">
        <f aca="false">MIN(1,'Model Inputs &amp; Assumptions'!$U$35*EXP('Model Inputs &amp; Assumptions'!$V$35*Q3552-'Model Inputs &amp; Assumptions'!$V$35^2/2))</f>
        <v>0</v>
      </c>
      <c r="E3552" s="45" t="n">
        <f aca="false">ROUND(C3552*D3552,0)</f>
        <v>0</v>
      </c>
      <c r="F3552" s="47" t="n">
        <f aca="false">MIN(1,'Model Inputs &amp; Assumptions'!$W$35*EXP('Model Inputs &amp; Assumptions'!$X$35*R3552-'Model Inputs &amp; Assumptions'!$X$35^2/2))</f>
        <v>0.00621323395687919</v>
      </c>
      <c r="G3552" s="45" t="n">
        <f aca="false">ROUND(C3552*F3552,0)</f>
        <v>540</v>
      </c>
      <c r="H3552" s="48" t="n">
        <f aca="false">MAX(0,(C3552*'Model Inputs &amp; Assumptions'!$N$35+E3552*'Model Inputs &amp; Assumptions'!$O$35+G3552*'Model Inputs &amp; Assumptions'!$P$35)*EXP('Model Inputs &amp; Assumptions'!$Q$35*S3552-'Model Inputs &amp; Assumptions'!$Q$35^2/2))</f>
        <v>38.1771711320455</v>
      </c>
      <c r="I3552" s="49" t="n">
        <f aca="false">IF('Model Inputs &amp; Assumptions'!$H$35="Fixed",'Model Inputs &amp; Assumptions'!$I$35*'Model Inputs &amp; Assumptions'!$K$35,IF('Model Inputs &amp; Assumptions'!$H$35="CPM",'Model Inputs &amp; Assumptions'!$I$35*'Model Inputs &amp; Assumptions'!$K$35*C3552/1000,IF('Model Inputs &amp; Assumptions'!$H$35="CPC",'Model Inputs &amp; Assumptions'!$I$35*'Model Inputs &amp; Assumptions'!$K$35*G3552,0)))</f>
        <v>8672.8</v>
      </c>
      <c r="J3552" s="50" t="n">
        <f aca="false">H3552*INDEX('Model Inputs &amp; Assumptions'!$D$40:$D$42,MATCH('Model Inputs &amp; Assumptions'!$L$35,'Model Inputs &amp; Assumptions'!$A$40:$A$42,0))*INDEX('Model Inputs &amp; Assumptions'!$H$40:$H$42,MATCH('Model Inputs &amp; Assumptions'!$L$35,'Model Inputs &amp; Assumptions'!$A$40:$A$42,0))</f>
        <v>324505.954622387</v>
      </c>
      <c r="K3552" s="49" t="n">
        <f aca="false">H3552*INDEX('Model Inputs &amp; Assumptions'!$G$40:$G$42,MATCH('Model Inputs &amp; Assumptions'!$L$35,'Model Inputs &amp; Assumptions'!$A$40:$A$42,0))*INDEX('Model Inputs &amp; Assumptions'!$H$40:$H$42,MATCH('Model Inputs &amp; Assumptions'!$L$35,'Model Inputs &amp; Assumptions'!$A$40:$A$42,0))</f>
        <v>7301.3839790037</v>
      </c>
      <c r="L3552" s="51" t="n">
        <f aca="false">IFERROR(K3552/I3552,0)</f>
        <v>0.841871596140082</v>
      </c>
      <c r="M3552" s="49" t="n">
        <f aca="false">IFERROR(I3552/H3552,0)</f>
        <v>227.17241070594</v>
      </c>
      <c r="N3552" s="52" t="str">
        <f aca="false">'Model Inputs &amp; Assumptions'!$L$35</f>
        <v>PRD-EUAI</v>
      </c>
      <c r="P3552" s="53" t="n">
        <v>-0.107281</v>
      </c>
      <c r="Q3552" s="53" t="n">
        <v>0.784678</v>
      </c>
      <c r="R3552" s="53" t="n">
        <v>-0.27713</v>
      </c>
      <c r="S3552" s="53" t="n">
        <v>0.168187</v>
      </c>
    </row>
    <row r="3553" customFormat="false" ht="15" hidden="false" customHeight="false" outlineLevel="0" collapsed="false">
      <c r="A3553" s="43" t="n">
        <v>50</v>
      </c>
      <c r="B3553" s="44" t="str">
        <f aca="false">'Model Inputs &amp; Assumptions'!$B$35</f>
        <v>justETF — Sponsored Listing</v>
      </c>
      <c r="C3553" s="45" t="n">
        <f aca="false">ROUND(MAX(0,'Model Inputs &amp; Assumptions'!$S$35*EXP('Model Inputs &amp; Assumptions'!$T$35*P3553-'Model Inputs &amp; Assumptions'!$T$35^2/2)),0)</f>
        <v>101797</v>
      </c>
      <c r="D3553" s="46" t="n">
        <f aca="false">MIN(1,'Model Inputs &amp; Assumptions'!$U$35*EXP('Model Inputs &amp; Assumptions'!$V$35*Q3553-'Model Inputs &amp; Assumptions'!$V$35^2/2))</f>
        <v>0</v>
      </c>
      <c r="E3553" s="45" t="n">
        <f aca="false">ROUND(C3553*D3553,0)</f>
        <v>0</v>
      </c>
      <c r="F3553" s="47" t="n">
        <f aca="false">MIN(1,'Model Inputs &amp; Assumptions'!$W$35*EXP('Model Inputs &amp; Assumptions'!$X$35*R3553-'Model Inputs &amp; Assumptions'!$X$35^2/2))</f>
        <v>0.00808917644211328</v>
      </c>
      <c r="G3553" s="45" t="n">
        <f aca="false">ROUND(C3553*F3553,0)</f>
        <v>823</v>
      </c>
      <c r="H3553" s="48" t="n">
        <f aca="false">MAX(0,(C3553*'Model Inputs &amp; Assumptions'!$N$35+E3553*'Model Inputs &amp; Assumptions'!$O$35+G3553*'Model Inputs &amp; Assumptions'!$P$35)*EXP('Model Inputs &amp; Assumptions'!$Q$35*S3553-'Model Inputs &amp; Assumptions'!$Q$35^2/2))</f>
        <v>60.1294635641918</v>
      </c>
      <c r="I3553" s="49" t="n">
        <f aca="false">IF('Model Inputs &amp; Assumptions'!$H$35="Fixed",'Model Inputs &amp; Assumptions'!$I$35*'Model Inputs &amp; Assumptions'!$K$35,IF('Model Inputs &amp; Assumptions'!$H$35="CPM",'Model Inputs &amp; Assumptions'!$I$35*'Model Inputs &amp; Assumptions'!$K$35*C3553/1000,IF('Model Inputs &amp; Assumptions'!$H$35="CPC",'Model Inputs &amp; Assumptions'!$I$35*'Model Inputs &amp; Assumptions'!$K$35*G3553,0)))</f>
        <v>8672.8</v>
      </c>
      <c r="J3553" s="50" t="n">
        <f aca="false">H3553*INDEX('Model Inputs &amp; Assumptions'!$D$40:$D$42,MATCH('Model Inputs &amp; Assumptions'!$L$35,'Model Inputs &amp; Assumptions'!$A$40:$A$42,0))*INDEX('Model Inputs &amp; Assumptions'!$H$40:$H$42,MATCH('Model Inputs &amp; Assumptions'!$L$35,'Model Inputs &amp; Assumptions'!$A$40:$A$42,0))</f>
        <v>511100.44029563</v>
      </c>
      <c r="K3553" s="49" t="n">
        <f aca="false">H3553*INDEX('Model Inputs &amp; Assumptions'!$G$40:$G$42,MATCH('Model Inputs &amp; Assumptions'!$L$35,'Model Inputs &amp; Assumptions'!$A$40:$A$42,0))*INDEX('Model Inputs &amp; Assumptions'!$H$40:$H$42,MATCH('Model Inputs &amp; Assumptions'!$L$35,'Model Inputs &amp; Assumptions'!$A$40:$A$42,0))</f>
        <v>11499.7599066517</v>
      </c>
      <c r="L3553" s="51" t="n">
        <f aca="false">IFERROR(K3553/I3553,0)</f>
        <v>1.32595700427217</v>
      </c>
      <c r="M3553" s="49" t="n">
        <f aca="false">IFERROR(I3553/H3553,0)</f>
        <v>144.235446084452</v>
      </c>
      <c r="N3553" s="52" t="str">
        <f aca="false">'Model Inputs &amp; Assumptions'!$L$35</f>
        <v>PRD-EUAI</v>
      </c>
      <c r="P3553" s="53" t="n">
        <v>0.940711</v>
      </c>
      <c r="Q3553" s="53" t="n">
        <v>-1.552855</v>
      </c>
      <c r="R3553" s="53" t="n">
        <v>1.042097</v>
      </c>
      <c r="S3553" s="53" t="n">
        <v>0.29463</v>
      </c>
    </row>
    <row r="3554" customFormat="false" ht="15" hidden="false" customHeight="false" outlineLevel="0" collapsed="false">
      <c r="A3554" s="43" t="n">
        <v>51</v>
      </c>
      <c r="B3554" s="44" t="str">
        <f aca="false">'Model Inputs &amp; Assumptions'!$B$35</f>
        <v>justETF — Sponsored Listing</v>
      </c>
      <c r="C3554" s="45" t="n">
        <f aca="false">ROUND(MAX(0,'Model Inputs &amp; Assumptions'!$S$35*EXP('Model Inputs &amp; Assumptions'!$T$35*P3554-'Model Inputs &amp; Assumptions'!$T$35^2/2)),0)</f>
        <v>100615</v>
      </c>
      <c r="D3554" s="46" t="n">
        <f aca="false">MIN(1,'Model Inputs &amp; Assumptions'!$U$35*EXP('Model Inputs &amp; Assumptions'!$V$35*Q3554-'Model Inputs &amp; Assumptions'!$V$35^2/2))</f>
        <v>0</v>
      </c>
      <c r="E3554" s="45" t="n">
        <f aca="false">ROUND(C3554*D3554,0)</f>
        <v>0</v>
      </c>
      <c r="F3554" s="47" t="n">
        <f aca="false">MIN(1,'Model Inputs &amp; Assumptions'!$W$35*EXP('Model Inputs &amp; Assumptions'!$X$35*R3554-'Model Inputs &amp; Assumptions'!$X$35^2/2))</f>
        <v>0.00620262957041911</v>
      </c>
      <c r="G3554" s="45" t="n">
        <f aca="false">ROUND(C3554*F3554,0)</f>
        <v>624</v>
      </c>
      <c r="H3554" s="48" t="n">
        <f aca="false">MAX(0,(C3554*'Model Inputs &amp; Assumptions'!$N$35+E3554*'Model Inputs &amp; Assumptions'!$O$35+G3554*'Model Inputs &amp; Assumptions'!$P$35)*EXP('Model Inputs &amp; Assumptions'!$Q$35*S3554-'Model Inputs &amp; Assumptions'!$Q$35^2/2))</f>
        <v>52.9946090020765</v>
      </c>
      <c r="I3554" s="49" t="n">
        <f aca="false">IF('Model Inputs &amp; Assumptions'!$H$35="Fixed",'Model Inputs &amp; Assumptions'!$I$35*'Model Inputs &amp; Assumptions'!$K$35,IF('Model Inputs &amp; Assumptions'!$H$35="CPM",'Model Inputs &amp; Assumptions'!$I$35*'Model Inputs &amp; Assumptions'!$K$35*C3554/1000,IF('Model Inputs &amp; Assumptions'!$H$35="CPC",'Model Inputs &amp; Assumptions'!$I$35*'Model Inputs &amp; Assumptions'!$K$35*G3554,0)))</f>
        <v>8672.8</v>
      </c>
      <c r="J3554" s="50" t="n">
        <f aca="false">H3554*INDEX('Model Inputs &amp; Assumptions'!$D$40:$D$42,MATCH('Model Inputs &amp; Assumptions'!$L$35,'Model Inputs &amp; Assumptions'!$A$40:$A$42,0))*INDEX('Model Inputs &amp; Assumptions'!$H$40:$H$42,MATCH('Model Inputs &amp; Assumptions'!$L$35,'Model Inputs &amp; Assumptions'!$A$40:$A$42,0))</f>
        <v>450454.17651765</v>
      </c>
      <c r="K3554" s="49" t="n">
        <f aca="false">H3554*INDEX('Model Inputs &amp; Assumptions'!$G$40:$G$42,MATCH('Model Inputs &amp; Assumptions'!$L$35,'Model Inputs &amp; Assumptions'!$A$40:$A$42,0))*INDEX('Model Inputs &amp; Assumptions'!$H$40:$H$42,MATCH('Model Inputs &amp; Assumptions'!$L$35,'Model Inputs &amp; Assumptions'!$A$40:$A$42,0))</f>
        <v>10135.2189716471</v>
      </c>
      <c r="L3554" s="51" t="n">
        <f aca="false">IFERROR(K3554/I3554,0)</f>
        <v>1.16862131856461</v>
      </c>
      <c r="M3554" s="49" t="n">
        <f aca="false">IFERROR(I3554/H3554,0)</f>
        <v>163.654382272359</v>
      </c>
      <c r="N3554" s="52" t="str">
        <f aca="false">'Model Inputs &amp; Assumptions'!$L$35</f>
        <v>PRD-EUAI</v>
      </c>
      <c r="P3554" s="53" t="n">
        <v>0.862861</v>
      </c>
      <c r="Q3554" s="53" t="n">
        <v>-0.833897</v>
      </c>
      <c r="R3554" s="53" t="n">
        <v>-0.285671</v>
      </c>
      <c r="S3554" s="53" t="n">
        <v>0.873461</v>
      </c>
    </row>
    <row r="3555" customFormat="false" ht="15" hidden="false" customHeight="false" outlineLevel="0" collapsed="false">
      <c r="A3555" s="43" t="n">
        <v>52</v>
      </c>
      <c r="B3555" s="44" t="str">
        <f aca="false">'Model Inputs &amp; Assumptions'!$B$35</f>
        <v>justETF — Sponsored Listing</v>
      </c>
      <c r="C3555" s="45" t="n">
        <f aca="false">ROUND(MAX(0,'Model Inputs &amp; Assumptions'!$S$35*EXP('Model Inputs &amp; Assumptions'!$T$35*P3555-'Model Inputs &amp; Assumptions'!$T$35^2/2)),0)</f>
        <v>75449</v>
      </c>
      <c r="D3555" s="46" t="n">
        <f aca="false">MIN(1,'Model Inputs &amp; Assumptions'!$U$35*EXP('Model Inputs &amp; Assumptions'!$V$35*Q3555-'Model Inputs &amp; Assumptions'!$V$35^2/2))</f>
        <v>0</v>
      </c>
      <c r="E3555" s="45" t="n">
        <f aca="false">ROUND(C3555*D3555,0)</f>
        <v>0</v>
      </c>
      <c r="F3555" s="47" t="n">
        <f aca="false">MIN(1,'Model Inputs &amp; Assumptions'!$W$35*EXP('Model Inputs &amp; Assumptions'!$X$35*R3555-'Model Inputs &amp; Assumptions'!$X$35^2/2))</f>
        <v>0.00644841733575493</v>
      </c>
      <c r="G3555" s="45" t="n">
        <f aca="false">ROUND(C3555*F3555,0)</f>
        <v>487</v>
      </c>
      <c r="H3555" s="48" t="n">
        <f aca="false">MAX(0,(C3555*'Model Inputs &amp; Assumptions'!$N$35+E3555*'Model Inputs &amp; Assumptions'!$O$35+G3555*'Model Inputs &amp; Assumptions'!$P$35)*EXP('Model Inputs &amp; Assumptions'!$Q$35*S3555-'Model Inputs &amp; Assumptions'!$Q$35^2/2))</f>
        <v>20.1411999539738</v>
      </c>
      <c r="I3555" s="49" t="n">
        <f aca="false">IF('Model Inputs &amp; Assumptions'!$H$35="Fixed",'Model Inputs &amp; Assumptions'!$I$35*'Model Inputs &amp; Assumptions'!$K$35,IF('Model Inputs &amp; Assumptions'!$H$35="CPM",'Model Inputs &amp; Assumptions'!$I$35*'Model Inputs &amp; Assumptions'!$K$35*C3555/1000,IF('Model Inputs &amp; Assumptions'!$H$35="CPC",'Model Inputs &amp; Assumptions'!$I$35*'Model Inputs &amp; Assumptions'!$K$35*G3555,0)))</f>
        <v>8672.8</v>
      </c>
      <c r="J3555" s="50" t="n">
        <f aca="false">H3555*INDEX('Model Inputs &amp; Assumptions'!$D$40:$D$42,MATCH('Model Inputs &amp; Assumptions'!$L$35,'Model Inputs &amp; Assumptions'!$A$40:$A$42,0))*INDEX('Model Inputs &amp; Assumptions'!$H$40:$H$42,MATCH('Model Inputs &amp; Assumptions'!$L$35,'Model Inputs &amp; Assumptions'!$A$40:$A$42,0))</f>
        <v>171200.199608777</v>
      </c>
      <c r="K3555" s="49" t="n">
        <f aca="false">H3555*INDEX('Model Inputs &amp; Assumptions'!$G$40:$G$42,MATCH('Model Inputs &amp; Assumptions'!$L$35,'Model Inputs &amp; Assumptions'!$A$40:$A$42,0))*INDEX('Model Inputs &amp; Assumptions'!$H$40:$H$42,MATCH('Model Inputs &amp; Assumptions'!$L$35,'Model Inputs &amp; Assumptions'!$A$40:$A$42,0))</f>
        <v>3852.00449119749</v>
      </c>
      <c r="L3555" s="51" t="n">
        <f aca="false">IFERROR(K3555/I3555,0)</f>
        <v>0.444147736739864</v>
      </c>
      <c r="M3555" s="49" t="n">
        <f aca="false">IFERROR(I3555/H3555,0)</f>
        <v>430.599965236375</v>
      </c>
      <c r="N3555" s="52" t="str">
        <f aca="false">'Model Inputs &amp; Assumptions'!$L$35</f>
        <v>PRD-EUAI</v>
      </c>
      <c r="P3555" s="53" t="n">
        <v>-1.05609</v>
      </c>
      <c r="Q3555" s="53" t="n">
        <v>0.1401</v>
      </c>
      <c r="R3555" s="53" t="n">
        <v>-0.091364</v>
      </c>
      <c r="S3555" s="53" t="n">
        <v>-1.893987</v>
      </c>
    </row>
    <row r="3556" customFormat="false" ht="15" hidden="false" customHeight="false" outlineLevel="0" collapsed="false">
      <c r="A3556" s="43" t="n">
        <v>53</v>
      </c>
      <c r="B3556" s="44" t="str">
        <f aca="false">'Model Inputs &amp; Assumptions'!$B$35</f>
        <v>justETF — Sponsored Listing</v>
      </c>
      <c r="C3556" s="45" t="n">
        <f aca="false">ROUND(MAX(0,'Model Inputs &amp; Assumptions'!$S$35*EXP('Model Inputs &amp; Assumptions'!$T$35*P3556-'Model Inputs &amp; Assumptions'!$T$35^2/2)),0)</f>
        <v>113543</v>
      </c>
      <c r="D3556" s="46" t="n">
        <f aca="false">MIN(1,'Model Inputs &amp; Assumptions'!$U$35*EXP('Model Inputs &amp; Assumptions'!$V$35*Q3556-'Model Inputs &amp; Assumptions'!$V$35^2/2))</f>
        <v>0</v>
      </c>
      <c r="E3556" s="45" t="n">
        <f aca="false">ROUND(C3556*D3556,0)</f>
        <v>0</v>
      </c>
      <c r="F3556" s="47" t="n">
        <f aca="false">MIN(1,'Model Inputs &amp; Assumptions'!$W$35*EXP('Model Inputs &amp; Assumptions'!$X$35*R3556-'Model Inputs &amp; Assumptions'!$X$35^2/2))</f>
        <v>0.00619761243277838</v>
      </c>
      <c r="G3556" s="45" t="n">
        <f aca="false">ROUND(C3556*F3556,0)</f>
        <v>704</v>
      </c>
      <c r="H3556" s="48" t="n">
        <f aca="false">MAX(0,(C3556*'Model Inputs &amp; Assumptions'!$N$35+E3556*'Model Inputs &amp; Assumptions'!$O$35+G3556*'Model Inputs &amp; Assumptions'!$P$35)*EXP('Model Inputs &amp; Assumptions'!$Q$35*S3556-'Model Inputs &amp; Assumptions'!$Q$35^2/2))</f>
        <v>52.1221863218589</v>
      </c>
      <c r="I3556" s="49" t="n">
        <f aca="false">IF('Model Inputs &amp; Assumptions'!$H$35="Fixed",'Model Inputs &amp; Assumptions'!$I$35*'Model Inputs &amp; Assumptions'!$K$35,IF('Model Inputs &amp; Assumptions'!$H$35="CPM",'Model Inputs &amp; Assumptions'!$I$35*'Model Inputs &amp; Assumptions'!$K$35*C3556/1000,IF('Model Inputs &amp; Assumptions'!$H$35="CPC",'Model Inputs &amp; Assumptions'!$I$35*'Model Inputs &amp; Assumptions'!$K$35*G3556,0)))</f>
        <v>8672.8</v>
      </c>
      <c r="J3556" s="50" t="n">
        <f aca="false">H3556*INDEX('Model Inputs &amp; Assumptions'!$D$40:$D$42,MATCH('Model Inputs &amp; Assumptions'!$L$35,'Model Inputs &amp; Assumptions'!$A$40:$A$42,0))*INDEX('Model Inputs &amp; Assumptions'!$H$40:$H$42,MATCH('Model Inputs &amp; Assumptions'!$L$35,'Model Inputs &amp; Assumptions'!$A$40:$A$42,0))</f>
        <v>443038.583735801</v>
      </c>
      <c r="K3556" s="49" t="n">
        <f aca="false">H3556*INDEX('Model Inputs &amp; Assumptions'!$G$40:$G$42,MATCH('Model Inputs &amp; Assumptions'!$L$35,'Model Inputs &amp; Assumptions'!$A$40:$A$42,0))*INDEX('Model Inputs &amp; Assumptions'!$H$40:$H$42,MATCH('Model Inputs &amp; Assumptions'!$L$35,'Model Inputs &amp; Assumptions'!$A$40:$A$42,0))</f>
        <v>9968.36813405552</v>
      </c>
      <c r="L3556" s="51" t="n">
        <f aca="false">IFERROR(K3556/I3556,0)</f>
        <v>1.14938291371362</v>
      </c>
      <c r="M3556" s="49" t="n">
        <f aca="false">IFERROR(I3556/H3556,0)</f>
        <v>166.393634112827</v>
      </c>
      <c r="N3556" s="52" t="str">
        <f aca="false">'Model Inputs &amp; Assumptions'!$L$35</f>
        <v>PRD-EUAI</v>
      </c>
      <c r="P3556" s="53" t="n">
        <v>1.668755</v>
      </c>
      <c r="Q3556" s="53" t="n">
        <v>1.348433</v>
      </c>
      <c r="R3556" s="53" t="n">
        <v>-0.289717</v>
      </c>
      <c r="S3556" s="53" t="n">
        <v>0.345663</v>
      </c>
    </row>
    <row r="3557" customFormat="false" ht="15" hidden="false" customHeight="false" outlineLevel="0" collapsed="false">
      <c r="A3557" s="43" t="n">
        <v>54</v>
      </c>
      <c r="B3557" s="44" t="str">
        <f aca="false">'Model Inputs &amp; Assumptions'!$B$35</f>
        <v>justETF — Sponsored Listing</v>
      </c>
      <c r="C3557" s="45" t="n">
        <f aca="false">ROUND(MAX(0,'Model Inputs &amp; Assumptions'!$S$35*EXP('Model Inputs &amp; Assumptions'!$T$35*P3557-'Model Inputs &amp; Assumptions'!$T$35^2/2)),0)</f>
        <v>73624</v>
      </c>
      <c r="D3557" s="46" t="n">
        <f aca="false">MIN(1,'Model Inputs &amp; Assumptions'!$U$35*EXP('Model Inputs &amp; Assumptions'!$V$35*Q3557-'Model Inputs &amp; Assumptions'!$V$35^2/2))</f>
        <v>0</v>
      </c>
      <c r="E3557" s="45" t="n">
        <f aca="false">ROUND(C3557*D3557,0)</f>
        <v>0</v>
      </c>
      <c r="F3557" s="47" t="n">
        <f aca="false">MIN(1,'Model Inputs &amp; Assumptions'!$W$35*EXP('Model Inputs &amp; Assumptions'!$X$35*R3557-'Model Inputs &amp; Assumptions'!$X$35^2/2))</f>
        <v>0.00708164996456317</v>
      </c>
      <c r="G3557" s="45" t="n">
        <f aca="false">ROUND(C3557*F3557,0)</f>
        <v>521</v>
      </c>
      <c r="H3557" s="48" t="n">
        <f aca="false">MAX(0,(C3557*'Model Inputs &amp; Assumptions'!$N$35+E3557*'Model Inputs &amp; Assumptions'!$O$35+G3557*'Model Inputs &amp; Assumptions'!$P$35)*EXP('Model Inputs &amp; Assumptions'!$Q$35*S3557-'Model Inputs &amp; Assumptions'!$Q$35^2/2))</f>
        <v>27.1022021524056</v>
      </c>
      <c r="I3557" s="49" t="n">
        <f aca="false">IF('Model Inputs &amp; Assumptions'!$H$35="Fixed",'Model Inputs &amp; Assumptions'!$I$35*'Model Inputs &amp; Assumptions'!$K$35,IF('Model Inputs &amp; Assumptions'!$H$35="CPM",'Model Inputs &amp; Assumptions'!$I$35*'Model Inputs &amp; Assumptions'!$K$35*C3557/1000,IF('Model Inputs &amp; Assumptions'!$H$35="CPC",'Model Inputs &amp; Assumptions'!$I$35*'Model Inputs &amp; Assumptions'!$K$35*G3557,0)))</f>
        <v>8672.8</v>
      </c>
      <c r="J3557" s="50" t="n">
        <f aca="false">H3557*INDEX('Model Inputs &amp; Assumptions'!$D$40:$D$42,MATCH('Model Inputs &amp; Assumptions'!$L$35,'Model Inputs &amp; Assumptions'!$A$40:$A$42,0))*INDEX('Model Inputs &amp; Assumptions'!$H$40:$H$42,MATCH('Model Inputs &amp; Assumptions'!$L$35,'Model Inputs &amp; Assumptions'!$A$40:$A$42,0))</f>
        <v>230368.718295447</v>
      </c>
      <c r="K3557" s="49" t="n">
        <f aca="false">H3557*INDEX('Model Inputs &amp; Assumptions'!$G$40:$G$42,MATCH('Model Inputs &amp; Assumptions'!$L$35,'Model Inputs &amp; Assumptions'!$A$40:$A$42,0))*INDEX('Model Inputs &amp; Assumptions'!$H$40:$H$42,MATCH('Model Inputs &amp; Assumptions'!$L$35,'Model Inputs &amp; Assumptions'!$A$40:$A$42,0))</f>
        <v>5183.29616164757</v>
      </c>
      <c r="L3557" s="51" t="n">
        <f aca="false">IFERROR(K3557/I3557,0)</f>
        <v>0.597649681953644</v>
      </c>
      <c r="M3557" s="49" t="n">
        <f aca="false">IFERROR(I3557/H3557,0)</f>
        <v>320.003516733795</v>
      </c>
      <c r="N3557" s="52" t="str">
        <f aca="false">'Model Inputs &amp; Assumptions'!$L$35</f>
        <v>PRD-EUAI</v>
      </c>
      <c r="P3557" s="53" t="n">
        <v>-1.219363</v>
      </c>
      <c r="Q3557" s="53" t="n">
        <v>-1.201237</v>
      </c>
      <c r="R3557" s="53" t="n">
        <v>0.376997</v>
      </c>
      <c r="S3557" s="53" t="n">
        <v>-1.011827</v>
      </c>
    </row>
    <row r="3558" customFormat="false" ht="15" hidden="false" customHeight="false" outlineLevel="0" collapsed="false">
      <c r="A3558" s="43" t="n">
        <v>55</v>
      </c>
      <c r="B3558" s="44" t="str">
        <f aca="false">'Model Inputs &amp; Assumptions'!$B$35</f>
        <v>justETF — Sponsored Listing</v>
      </c>
      <c r="C3558" s="45" t="n">
        <f aca="false">ROUND(MAX(0,'Model Inputs &amp; Assumptions'!$S$35*EXP('Model Inputs &amp; Assumptions'!$T$35*P3558-'Model Inputs &amp; Assumptions'!$T$35^2/2)),0)</f>
        <v>75193</v>
      </c>
      <c r="D3558" s="46" t="n">
        <f aca="false">MIN(1,'Model Inputs &amp; Assumptions'!$U$35*EXP('Model Inputs &amp; Assumptions'!$V$35*Q3558-'Model Inputs &amp; Assumptions'!$V$35^2/2))</f>
        <v>0</v>
      </c>
      <c r="E3558" s="45" t="n">
        <f aca="false">ROUND(C3558*D3558,0)</f>
        <v>0</v>
      </c>
      <c r="F3558" s="47" t="n">
        <f aca="false">MIN(1,'Model Inputs &amp; Assumptions'!$W$35*EXP('Model Inputs &amp; Assumptions'!$X$35*R3558-'Model Inputs &amp; Assumptions'!$X$35^2/2))</f>
        <v>0.00539864678284771</v>
      </c>
      <c r="G3558" s="45" t="n">
        <f aca="false">ROUND(C3558*F3558,0)</f>
        <v>406</v>
      </c>
      <c r="H3558" s="48" t="n">
        <f aca="false">MAX(0,(C3558*'Model Inputs &amp; Assumptions'!$N$35+E3558*'Model Inputs &amp; Assumptions'!$O$35+G3558*'Model Inputs &amp; Assumptions'!$P$35)*EXP('Model Inputs &amp; Assumptions'!$Q$35*S3558-'Model Inputs &amp; Assumptions'!$Q$35^2/2))</f>
        <v>39.4547056942566</v>
      </c>
      <c r="I3558" s="49" t="n">
        <f aca="false">IF('Model Inputs &amp; Assumptions'!$H$35="Fixed",'Model Inputs &amp; Assumptions'!$I$35*'Model Inputs &amp; Assumptions'!$K$35,IF('Model Inputs &amp; Assumptions'!$H$35="CPM",'Model Inputs &amp; Assumptions'!$I$35*'Model Inputs &amp; Assumptions'!$K$35*C3558/1000,IF('Model Inputs &amp; Assumptions'!$H$35="CPC",'Model Inputs &amp; Assumptions'!$I$35*'Model Inputs &amp; Assumptions'!$K$35*G3558,0)))</f>
        <v>8672.8</v>
      </c>
      <c r="J3558" s="50" t="n">
        <f aca="false">H3558*INDEX('Model Inputs &amp; Assumptions'!$D$40:$D$42,MATCH('Model Inputs &amp; Assumptions'!$L$35,'Model Inputs &amp; Assumptions'!$A$40:$A$42,0))*INDEX('Model Inputs &amp; Assumptions'!$H$40:$H$42,MATCH('Model Inputs &amp; Assumptions'!$L$35,'Model Inputs &amp; Assumptions'!$A$40:$A$42,0))</f>
        <v>335364.998401181</v>
      </c>
      <c r="K3558" s="49" t="n">
        <f aca="false">H3558*INDEX('Model Inputs &amp; Assumptions'!$G$40:$G$42,MATCH('Model Inputs &amp; Assumptions'!$L$35,'Model Inputs &amp; Assumptions'!$A$40:$A$42,0))*INDEX('Model Inputs &amp; Assumptions'!$H$40:$H$42,MATCH('Model Inputs &amp; Assumptions'!$L$35,'Model Inputs &amp; Assumptions'!$A$40:$A$42,0))</f>
        <v>7545.71246402658</v>
      </c>
      <c r="L3558" s="51" t="n">
        <f aca="false">IFERROR(K3558/I3558,0)</f>
        <v>0.870043407437803</v>
      </c>
      <c r="M3558" s="49" t="n">
        <f aca="false">IFERROR(I3558/H3558,0)</f>
        <v>219.81661876298</v>
      </c>
      <c r="N3558" s="52" t="str">
        <f aca="false">'Model Inputs &amp; Assumptions'!$L$35</f>
        <v>PRD-EUAI</v>
      </c>
      <c r="P3558" s="53" t="n">
        <v>-1.078724</v>
      </c>
      <c r="Q3558" s="53" t="n">
        <v>2.387142</v>
      </c>
      <c r="R3558" s="53" t="n">
        <v>-0.979796</v>
      </c>
      <c r="S3558" s="53" t="n">
        <v>1.39177</v>
      </c>
    </row>
    <row r="3559" customFormat="false" ht="15" hidden="false" customHeight="false" outlineLevel="0" collapsed="false">
      <c r="A3559" s="43" t="n">
        <v>56</v>
      </c>
      <c r="B3559" s="44" t="str">
        <f aca="false">'Model Inputs &amp; Assumptions'!$B$35</f>
        <v>justETF — Sponsored Listing</v>
      </c>
      <c r="C3559" s="45" t="n">
        <f aca="false">ROUND(MAX(0,'Model Inputs &amp; Assumptions'!$S$35*EXP('Model Inputs &amp; Assumptions'!$T$35*P3559-'Model Inputs &amp; Assumptions'!$T$35^2/2)),0)</f>
        <v>83507</v>
      </c>
      <c r="D3559" s="46" t="n">
        <f aca="false">MIN(1,'Model Inputs &amp; Assumptions'!$U$35*EXP('Model Inputs &amp; Assumptions'!$V$35*Q3559-'Model Inputs &amp; Assumptions'!$V$35^2/2))</f>
        <v>0</v>
      </c>
      <c r="E3559" s="45" t="n">
        <f aca="false">ROUND(C3559*D3559,0)</f>
        <v>0</v>
      </c>
      <c r="F3559" s="47" t="n">
        <f aca="false">MIN(1,'Model Inputs &amp; Assumptions'!$W$35*EXP('Model Inputs &amp; Assumptions'!$X$35*R3559-'Model Inputs &amp; Assumptions'!$X$35^2/2))</f>
        <v>0.00593961981072037</v>
      </c>
      <c r="G3559" s="45" t="n">
        <f aca="false">ROUND(C3559*F3559,0)</f>
        <v>496</v>
      </c>
      <c r="H3559" s="48" t="n">
        <f aca="false">MAX(0,(C3559*'Model Inputs &amp; Assumptions'!$N$35+E3559*'Model Inputs &amp; Assumptions'!$O$35+G3559*'Model Inputs &amp; Assumptions'!$P$35)*EXP('Model Inputs &amp; Assumptions'!$Q$35*S3559-'Model Inputs &amp; Assumptions'!$Q$35^2/2))</f>
        <v>31.3159517967739</v>
      </c>
      <c r="I3559" s="49" t="n">
        <f aca="false">IF('Model Inputs &amp; Assumptions'!$H$35="Fixed",'Model Inputs &amp; Assumptions'!$I$35*'Model Inputs &amp; Assumptions'!$K$35,IF('Model Inputs &amp; Assumptions'!$H$35="CPM",'Model Inputs &amp; Assumptions'!$I$35*'Model Inputs &amp; Assumptions'!$K$35*C3559/1000,IF('Model Inputs &amp; Assumptions'!$H$35="CPC",'Model Inputs &amp; Assumptions'!$I$35*'Model Inputs &amp; Assumptions'!$K$35*G3559,0)))</f>
        <v>8672.8</v>
      </c>
      <c r="J3559" s="50" t="n">
        <f aca="false">H3559*INDEX('Model Inputs &amp; Assumptions'!$D$40:$D$42,MATCH('Model Inputs &amp; Assumptions'!$L$35,'Model Inputs &amp; Assumptions'!$A$40:$A$42,0))*INDEX('Model Inputs &amp; Assumptions'!$H$40:$H$42,MATCH('Model Inputs &amp; Assumptions'!$L$35,'Model Inputs &amp; Assumptions'!$A$40:$A$42,0))</f>
        <v>266185.590272578</v>
      </c>
      <c r="K3559" s="49" t="n">
        <f aca="false">H3559*INDEX('Model Inputs &amp; Assumptions'!$G$40:$G$42,MATCH('Model Inputs &amp; Assumptions'!$L$35,'Model Inputs &amp; Assumptions'!$A$40:$A$42,0))*INDEX('Model Inputs &amp; Assumptions'!$H$40:$H$42,MATCH('Model Inputs &amp; Assumptions'!$L$35,'Model Inputs &amp; Assumptions'!$A$40:$A$42,0))</f>
        <v>5989.17578113301</v>
      </c>
      <c r="L3559" s="51" t="n">
        <f aca="false">IFERROR(K3559/I3559,0)</f>
        <v>0.690570032876697</v>
      </c>
      <c r="M3559" s="49" t="n">
        <f aca="false">IFERROR(I3559/H3559,0)</f>
        <v>276.945119097209</v>
      </c>
      <c r="N3559" s="52" t="str">
        <f aca="false">'Model Inputs &amp; Assumptions'!$L$35</f>
        <v>PRD-EUAI</v>
      </c>
      <c r="P3559" s="53" t="n">
        <v>-0.379581</v>
      </c>
      <c r="Q3559" s="53" t="n">
        <v>-0.928259</v>
      </c>
      <c r="R3559" s="53" t="n">
        <v>-0.502312</v>
      </c>
      <c r="S3559" s="53" t="n">
        <v>-0.266878</v>
      </c>
    </row>
    <row r="3560" customFormat="false" ht="15" hidden="false" customHeight="false" outlineLevel="0" collapsed="false">
      <c r="A3560" s="43" t="n">
        <v>57</v>
      </c>
      <c r="B3560" s="44" t="str">
        <f aca="false">'Model Inputs &amp; Assumptions'!$B$35</f>
        <v>justETF — Sponsored Listing</v>
      </c>
      <c r="C3560" s="45" t="n">
        <f aca="false">ROUND(MAX(0,'Model Inputs &amp; Assumptions'!$S$35*EXP('Model Inputs &amp; Assumptions'!$T$35*P3560-'Model Inputs &amp; Assumptions'!$T$35^2/2)),0)</f>
        <v>87402</v>
      </c>
      <c r="D3560" s="46" t="n">
        <f aca="false">MIN(1,'Model Inputs &amp; Assumptions'!$U$35*EXP('Model Inputs &amp; Assumptions'!$V$35*Q3560-'Model Inputs &amp; Assumptions'!$V$35^2/2))</f>
        <v>0</v>
      </c>
      <c r="E3560" s="45" t="n">
        <f aca="false">ROUND(C3560*D3560,0)</f>
        <v>0</v>
      </c>
      <c r="F3560" s="47" t="n">
        <f aca="false">MIN(1,'Model Inputs &amp; Assumptions'!$W$35*EXP('Model Inputs &amp; Assumptions'!$X$35*R3560-'Model Inputs &amp; Assumptions'!$X$35^2/2))</f>
        <v>0.0058645111391445</v>
      </c>
      <c r="G3560" s="45" t="n">
        <f aca="false">ROUND(C3560*F3560,0)</f>
        <v>513</v>
      </c>
      <c r="H3560" s="48" t="n">
        <f aca="false">MAX(0,(C3560*'Model Inputs &amp; Assumptions'!$N$35+E3560*'Model Inputs &amp; Assumptions'!$O$35+G3560*'Model Inputs &amp; Assumptions'!$P$35)*EXP('Model Inputs &amp; Assumptions'!$Q$35*S3560-'Model Inputs &amp; Assumptions'!$Q$35^2/2))</f>
        <v>58.472595309965</v>
      </c>
      <c r="I3560" s="49" t="n">
        <f aca="false">IF('Model Inputs &amp; Assumptions'!$H$35="Fixed",'Model Inputs &amp; Assumptions'!$I$35*'Model Inputs &amp; Assumptions'!$K$35,IF('Model Inputs &amp; Assumptions'!$H$35="CPM",'Model Inputs &amp; Assumptions'!$I$35*'Model Inputs &amp; Assumptions'!$K$35*C3560/1000,IF('Model Inputs &amp; Assumptions'!$H$35="CPC",'Model Inputs &amp; Assumptions'!$I$35*'Model Inputs &amp; Assumptions'!$K$35*G3560,0)))</f>
        <v>8672.8</v>
      </c>
      <c r="J3560" s="50" t="n">
        <f aca="false">H3560*INDEX('Model Inputs &amp; Assumptions'!$D$40:$D$42,MATCH('Model Inputs &amp; Assumptions'!$L$35,'Model Inputs &amp; Assumptions'!$A$40:$A$42,0))*INDEX('Model Inputs &amp; Assumptions'!$H$40:$H$42,MATCH('Model Inputs &amp; Assumptions'!$L$35,'Model Inputs &amp; Assumptions'!$A$40:$A$42,0))</f>
        <v>497017.060134702</v>
      </c>
      <c r="K3560" s="49" t="n">
        <f aca="false">H3560*INDEX('Model Inputs &amp; Assumptions'!$G$40:$G$42,MATCH('Model Inputs &amp; Assumptions'!$L$35,'Model Inputs &amp; Assumptions'!$A$40:$A$42,0))*INDEX('Model Inputs &amp; Assumptions'!$H$40:$H$42,MATCH('Model Inputs &amp; Assumptions'!$L$35,'Model Inputs &amp; Assumptions'!$A$40:$A$42,0))</f>
        <v>11182.8838530308</v>
      </c>
      <c r="L3560" s="51" t="n">
        <f aca="false">IFERROR(K3560/I3560,0)</f>
        <v>1.28942023948792</v>
      </c>
      <c r="M3560" s="49" t="n">
        <f aca="false">IFERROR(I3560/H3560,0)</f>
        <v>148.322474041476</v>
      </c>
      <c r="N3560" s="52" t="str">
        <f aca="false">'Model Inputs &amp; Assumptions'!$L$35</f>
        <v>PRD-EUAI</v>
      </c>
      <c r="P3560" s="53" t="n">
        <v>-0.075671</v>
      </c>
      <c r="Q3560" s="53" t="n">
        <v>-1.241519</v>
      </c>
      <c r="R3560" s="53" t="n">
        <v>-0.565942</v>
      </c>
      <c r="S3560" s="53" t="n">
        <v>2.005163</v>
      </c>
    </row>
    <row r="3561" customFormat="false" ht="15" hidden="false" customHeight="false" outlineLevel="0" collapsed="false">
      <c r="A3561" s="43" t="n">
        <v>58</v>
      </c>
      <c r="B3561" s="44" t="str">
        <f aca="false">'Model Inputs &amp; Assumptions'!$B$35</f>
        <v>justETF — Sponsored Listing</v>
      </c>
      <c r="C3561" s="45" t="n">
        <f aca="false">ROUND(MAX(0,'Model Inputs &amp; Assumptions'!$S$35*EXP('Model Inputs &amp; Assumptions'!$T$35*P3561-'Model Inputs &amp; Assumptions'!$T$35^2/2)),0)</f>
        <v>69555</v>
      </c>
      <c r="D3561" s="46" t="n">
        <f aca="false">MIN(1,'Model Inputs &amp; Assumptions'!$U$35*EXP('Model Inputs &amp; Assumptions'!$V$35*Q3561-'Model Inputs &amp; Assumptions'!$V$35^2/2))</f>
        <v>0</v>
      </c>
      <c r="E3561" s="45" t="n">
        <f aca="false">ROUND(C3561*D3561,0)</f>
        <v>0</v>
      </c>
      <c r="F3561" s="47" t="n">
        <f aca="false">MIN(1,'Model Inputs &amp; Assumptions'!$W$35*EXP('Model Inputs &amp; Assumptions'!$X$35*R3561-'Model Inputs &amp; Assumptions'!$X$35^2/2))</f>
        <v>0.0051437352938015</v>
      </c>
      <c r="G3561" s="45" t="n">
        <f aca="false">ROUND(C3561*F3561,0)</f>
        <v>358</v>
      </c>
      <c r="H3561" s="48" t="n">
        <f aca="false">MAX(0,(C3561*'Model Inputs &amp; Assumptions'!$N$35+E3561*'Model Inputs &amp; Assumptions'!$O$35+G3561*'Model Inputs &amp; Assumptions'!$P$35)*EXP('Model Inputs &amp; Assumptions'!$Q$35*S3561-'Model Inputs &amp; Assumptions'!$Q$35^2/2))</f>
        <v>34.5172627848106</v>
      </c>
      <c r="I3561" s="49" t="n">
        <f aca="false">IF('Model Inputs &amp; Assumptions'!$H$35="Fixed",'Model Inputs &amp; Assumptions'!$I$35*'Model Inputs &amp; Assumptions'!$K$35,IF('Model Inputs &amp; Assumptions'!$H$35="CPM",'Model Inputs &amp; Assumptions'!$I$35*'Model Inputs &amp; Assumptions'!$K$35*C3561/1000,IF('Model Inputs &amp; Assumptions'!$H$35="CPC",'Model Inputs &amp; Assumptions'!$I$35*'Model Inputs &amp; Assumptions'!$K$35*G3561,0)))</f>
        <v>8672.8</v>
      </c>
      <c r="J3561" s="50" t="n">
        <f aca="false">H3561*INDEX('Model Inputs &amp; Assumptions'!$D$40:$D$42,MATCH('Model Inputs &amp; Assumptions'!$L$35,'Model Inputs &amp; Assumptions'!$A$40:$A$42,0))*INDEX('Model Inputs &amp; Assumptions'!$H$40:$H$42,MATCH('Model Inputs &amp; Assumptions'!$L$35,'Model Inputs &amp; Assumptions'!$A$40:$A$42,0))</f>
        <v>293396.73367089</v>
      </c>
      <c r="K3561" s="49" t="n">
        <f aca="false">H3561*INDEX('Model Inputs &amp; Assumptions'!$G$40:$G$42,MATCH('Model Inputs &amp; Assumptions'!$L$35,'Model Inputs &amp; Assumptions'!$A$40:$A$42,0))*INDEX('Model Inputs &amp; Assumptions'!$H$40:$H$42,MATCH('Model Inputs &amp; Assumptions'!$L$35,'Model Inputs &amp; Assumptions'!$A$40:$A$42,0))</f>
        <v>6601.42650759503</v>
      </c>
      <c r="L3561" s="51" t="n">
        <f aca="false">IFERROR(K3561/I3561,0)</f>
        <v>0.761164388386107</v>
      </c>
      <c r="M3561" s="49" t="n">
        <f aca="false">IFERROR(I3561/H3561,0)</f>
        <v>251.259784243856</v>
      </c>
      <c r="N3561" s="52" t="str">
        <f aca="false">'Model Inputs &amp; Assumptions'!$L$35</f>
        <v>PRD-EUAI</v>
      </c>
      <c r="P3561" s="53" t="n">
        <v>-1.598332</v>
      </c>
      <c r="Q3561" s="53" t="n">
        <v>0.064116</v>
      </c>
      <c r="R3561" s="53" t="n">
        <v>-1.22164</v>
      </c>
      <c r="S3561" s="53" t="n">
        <v>1.361487</v>
      </c>
    </row>
    <row r="3562" customFormat="false" ht="15" hidden="false" customHeight="false" outlineLevel="0" collapsed="false">
      <c r="A3562" s="43" t="n">
        <v>59</v>
      </c>
      <c r="B3562" s="44" t="str">
        <f aca="false">'Model Inputs &amp; Assumptions'!$B$35</f>
        <v>justETF — Sponsored Listing</v>
      </c>
      <c r="C3562" s="45" t="n">
        <f aca="false">ROUND(MAX(0,'Model Inputs &amp; Assumptions'!$S$35*EXP('Model Inputs &amp; Assumptions'!$T$35*P3562-'Model Inputs &amp; Assumptions'!$T$35^2/2)),0)</f>
        <v>95063</v>
      </c>
      <c r="D3562" s="46" t="n">
        <f aca="false">MIN(1,'Model Inputs &amp; Assumptions'!$U$35*EXP('Model Inputs &amp; Assumptions'!$V$35*Q3562-'Model Inputs &amp; Assumptions'!$V$35^2/2))</f>
        <v>0</v>
      </c>
      <c r="E3562" s="45" t="n">
        <f aca="false">ROUND(C3562*D3562,0)</f>
        <v>0</v>
      </c>
      <c r="F3562" s="47" t="n">
        <f aca="false">MIN(1,'Model Inputs &amp; Assumptions'!$W$35*EXP('Model Inputs &amp; Assumptions'!$X$35*R3562-'Model Inputs &amp; Assumptions'!$X$35^2/2))</f>
        <v>0.00566684047171532</v>
      </c>
      <c r="G3562" s="45" t="n">
        <f aca="false">ROUND(C3562*F3562,0)</f>
        <v>539</v>
      </c>
      <c r="H3562" s="48" t="n">
        <f aca="false">MAX(0,(C3562*'Model Inputs &amp; Assumptions'!$N$35+E3562*'Model Inputs &amp; Assumptions'!$O$35+G3562*'Model Inputs &amp; Assumptions'!$P$35)*EXP('Model Inputs &amp; Assumptions'!$Q$35*S3562-'Model Inputs &amp; Assumptions'!$Q$35^2/2))</f>
        <v>47.5152928507168</v>
      </c>
      <c r="I3562" s="49" t="n">
        <f aca="false">IF('Model Inputs &amp; Assumptions'!$H$35="Fixed",'Model Inputs &amp; Assumptions'!$I$35*'Model Inputs &amp; Assumptions'!$K$35,IF('Model Inputs &amp; Assumptions'!$H$35="CPM",'Model Inputs &amp; Assumptions'!$I$35*'Model Inputs &amp; Assumptions'!$K$35*C3562/1000,IF('Model Inputs &amp; Assumptions'!$H$35="CPC",'Model Inputs &amp; Assumptions'!$I$35*'Model Inputs &amp; Assumptions'!$K$35*G3562,0)))</f>
        <v>8672.8</v>
      </c>
      <c r="J3562" s="50" t="n">
        <f aca="false">H3562*INDEX('Model Inputs &amp; Assumptions'!$D$40:$D$42,MATCH('Model Inputs &amp; Assumptions'!$L$35,'Model Inputs &amp; Assumptions'!$A$40:$A$42,0))*INDEX('Model Inputs &amp; Assumptions'!$H$40:$H$42,MATCH('Model Inputs &amp; Assumptions'!$L$35,'Model Inputs &amp; Assumptions'!$A$40:$A$42,0))</f>
        <v>403879.989231093</v>
      </c>
      <c r="K3562" s="49" t="n">
        <f aca="false">H3562*INDEX('Model Inputs &amp; Assumptions'!$G$40:$G$42,MATCH('Model Inputs &amp; Assumptions'!$L$35,'Model Inputs &amp; Assumptions'!$A$40:$A$42,0))*INDEX('Model Inputs &amp; Assumptions'!$H$40:$H$42,MATCH('Model Inputs &amp; Assumptions'!$L$35,'Model Inputs &amp; Assumptions'!$A$40:$A$42,0))</f>
        <v>9087.2997576996</v>
      </c>
      <c r="L3562" s="51" t="n">
        <f aca="false">IFERROR(K3562/I3562,0)</f>
        <v>1.04779307232954</v>
      </c>
      <c r="M3562" s="49" t="n">
        <f aca="false">IFERROR(I3562/H3562,0)</f>
        <v>182.526497884547</v>
      </c>
      <c r="N3562" s="52" t="str">
        <f aca="false">'Model Inputs &amp; Assumptions'!$L$35</f>
        <v>PRD-EUAI</v>
      </c>
      <c r="P3562" s="53" t="n">
        <v>0.484484</v>
      </c>
      <c r="Q3562" s="53" t="n">
        <v>-0.46807</v>
      </c>
      <c r="R3562" s="53" t="n">
        <v>-0.737379</v>
      </c>
      <c r="S3562" s="53" t="n">
        <v>1.016908</v>
      </c>
    </row>
    <row r="3563" customFormat="false" ht="15" hidden="false" customHeight="false" outlineLevel="0" collapsed="false">
      <c r="A3563" s="43" t="n">
        <v>60</v>
      </c>
      <c r="B3563" s="44" t="str">
        <f aca="false">'Model Inputs &amp; Assumptions'!$B$35</f>
        <v>justETF — Sponsored Listing</v>
      </c>
      <c r="C3563" s="45" t="n">
        <f aca="false">ROUND(MAX(0,'Model Inputs &amp; Assumptions'!$S$35*EXP('Model Inputs &amp; Assumptions'!$T$35*P3563-'Model Inputs &amp; Assumptions'!$T$35^2/2)),0)</f>
        <v>107067</v>
      </c>
      <c r="D3563" s="46" t="n">
        <f aca="false">MIN(1,'Model Inputs &amp; Assumptions'!$U$35*EXP('Model Inputs &amp; Assumptions'!$V$35*Q3563-'Model Inputs &amp; Assumptions'!$V$35^2/2))</f>
        <v>0</v>
      </c>
      <c r="E3563" s="45" t="n">
        <f aca="false">ROUND(C3563*D3563,0)</f>
        <v>0</v>
      </c>
      <c r="F3563" s="47" t="n">
        <f aca="false">MIN(1,'Model Inputs &amp; Assumptions'!$W$35*EXP('Model Inputs &amp; Assumptions'!$X$35*R3563-'Model Inputs &amp; Assumptions'!$X$35^2/2))</f>
        <v>0.00782358841885628</v>
      </c>
      <c r="G3563" s="45" t="n">
        <f aca="false">ROUND(C3563*F3563,0)</f>
        <v>838</v>
      </c>
      <c r="H3563" s="48" t="n">
        <f aca="false">MAX(0,(C3563*'Model Inputs &amp; Assumptions'!$N$35+E3563*'Model Inputs &amp; Assumptions'!$O$35+G3563*'Model Inputs &amp; Assumptions'!$P$35)*EXP('Model Inputs &amp; Assumptions'!$Q$35*S3563-'Model Inputs &amp; Assumptions'!$Q$35^2/2))</f>
        <v>52.6764235010097</v>
      </c>
      <c r="I3563" s="49" t="n">
        <f aca="false">IF('Model Inputs &amp; Assumptions'!$H$35="Fixed",'Model Inputs &amp; Assumptions'!$I$35*'Model Inputs &amp; Assumptions'!$K$35,IF('Model Inputs &amp; Assumptions'!$H$35="CPM",'Model Inputs &amp; Assumptions'!$I$35*'Model Inputs &amp; Assumptions'!$K$35*C3563/1000,IF('Model Inputs &amp; Assumptions'!$H$35="CPC",'Model Inputs &amp; Assumptions'!$I$35*'Model Inputs &amp; Assumptions'!$K$35*G3563,0)))</f>
        <v>8672.8</v>
      </c>
      <c r="J3563" s="50" t="n">
        <f aca="false">H3563*INDEX('Model Inputs &amp; Assumptions'!$D$40:$D$42,MATCH('Model Inputs &amp; Assumptions'!$L$35,'Model Inputs &amp; Assumptions'!$A$40:$A$42,0))*INDEX('Model Inputs &amp; Assumptions'!$H$40:$H$42,MATCH('Model Inputs &amp; Assumptions'!$L$35,'Model Inputs &amp; Assumptions'!$A$40:$A$42,0))</f>
        <v>447749.599758583</v>
      </c>
      <c r="K3563" s="49" t="n">
        <f aca="false">H3563*INDEX('Model Inputs &amp; Assumptions'!$G$40:$G$42,MATCH('Model Inputs &amp; Assumptions'!$L$35,'Model Inputs &amp; Assumptions'!$A$40:$A$42,0))*INDEX('Model Inputs &amp; Assumptions'!$H$40:$H$42,MATCH('Model Inputs &amp; Assumptions'!$L$35,'Model Inputs &amp; Assumptions'!$A$40:$A$42,0))</f>
        <v>10074.3659945681</v>
      </c>
      <c r="L3563" s="51" t="n">
        <f aca="false">IFERROR(K3563/I3563,0)</f>
        <v>1.16160478675492</v>
      </c>
      <c r="M3563" s="49" t="n">
        <f aca="false">IFERROR(I3563/H3563,0)</f>
        <v>164.642916576023</v>
      </c>
      <c r="N3563" s="52" t="str">
        <f aca="false">'Model Inputs &amp; Assumptions'!$L$35</f>
        <v>PRD-EUAI</v>
      </c>
      <c r="P3563" s="53" t="n">
        <v>1.277236</v>
      </c>
      <c r="Q3563" s="53" t="n">
        <v>1.562577</v>
      </c>
      <c r="R3563" s="53" t="n">
        <v>0.875179</v>
      </c>
      <c r="S3563" s="53" t="n">
        <v>-0.283808</v>
      </c>
    </row>
    <row r="3564" customFormat="false" ht="15" hidden="false" customHeight="false" outlineLevel="0" collapsed="false">
      <c r="A3564" s="43" t="n">
        <v>61</v>
      </c>
      <c r="B3564" s="44" t="str">
        <f aca="false">'Model Inputs &amp; Assumptions'!$B$35</f>
        <v>justETF — Sponsored Listing</v>
      </c>
      <c r="C3564" s="45" t="n">
        <f aca="false">ROUND(MAX(0,'Model Inputs &amp; Assumptions'!$S$35*EXP('Model Inputs &amp; Assumptions'!$T$35*P3564-'Model Inputs &amp; Assumptions'!$T$35^2/2)),0)</f>
        <v>89999</v>
      </c>
      <c r="D3564" s="46" t="n">
        <f aca="false">MIN(1,'Model Inputs &amp; Assumptions'!$U$35*EXP('Model Inputs &amp; Assumptions'!$V$35*Q3564-'Model Inputs &amp; Assumptions'!$V$35^2/2))</f>
        <v>0</v>
      </c>
      <c r="E3564" s="45" t="n">
        <f aca="false">ROUND(C3564*D3564,0)</f>
        <v>0</v>
      </c>
      <c r="F3564" s="47" t="n">
        <f aca="false">MIN(1,'Model Inputs &amp; Assumptions'!$W$35*EXP('Model Inputs &amp; Assumptions'!$X$35*R3564-'Model Inputs &amp; Assumptions'!$X$35^2/2))</f>
        <v>0.00580429712234536</v>
      </c>
      <c r="G3564" s="45" t="n">
        <f aca="false">ROUND(C3564*F3564,0)</f>
        <v>522</v>
      </c>
      <c r="H3564" s="48" t="n">
        <f aca="false">MAX(0,(C3564*'Model Inputs &amp; Assumptions'!$N$35+E3564*'Model Inputs &amp; Assumptions'!$O$35+G3564*'Model Inputs &amp; Assumptions'!$P$35)*EXP('Model Inputs &amp; Assumptions'!$Q$35*S3564-'Model Inputs &amp; Assumptions'!$Q$35^2/2))</f>
        <v>34.77845865494</v>
      </c>
      <c r="I3564" s="49" t="n">
        <f aca="false">IF('Model Inputs &amp; Assumptions'!$H$35="Fixed",'Model Inputs &amp; Assumptions'!$I$35*'Model Inputs &amp; Assumptions'!$K$35,IF('Model Inputs &amp; Assumptions'!$H$35="CPM",'Model Inputs &amp; Assumptions'!$I$35*'Model Inputs &amp; Assumptions'!$K$35*C3564/1000,IF('Model Inputs &amp; Assumptions'!$H$35="CPC",'Model Inputs &amp; Assumptions'!$I$35*'Model Inputs &amp; Assumptions'!$K$35*G3564,0)))</f>
        <v>8672.8</v>
      </c>
      <c r="J3564" s="50" t="n">
        <f aca="false">H3564*INDEX('Model Inputs &amp; Assumptions'!$D$40:$D$42,MATCH('Model Inputs &amp; Assumptions'!$L$35,'Model Inputs &amp; Assumptions'!$A$40:$A$42,0))*INDEX('Model Inputs &amp; Assumptions'!$H$40:$H$42,MATCH('Model Inputs &amp; Assumptions'!$L$35,'Model Inputs &amp; Assumptions'!$A$40:$A$42,0))</f>
        <v>295616.89856699</v>
      </c>
      <c r="K3564" s="49" t="n">
        <f aca="false">H3564*INDEX('Model Inputs &amp; Assumptions'!$G$40:$G$42,MATCH('Model Inputs &amp; Assumptions'!$L$35,'Model Inputs &amp; Assumptions'!$A$40:$A$42,0))*INDEX('Model Inputs &amp; Assumptions'!$H$40:$H$42,MATCH('Model Inputs &amp; Assumptions'!$L$35,'Model Inputs &amp; Assumptions'!$A$40:$A$42,0))</f>
        <v>6651.38021775728</v>
      </c>
      <c r="L3564" s="51" t="n">
        <f aca="false">IFERROR(K3564/I3564,0)</f>
        <v>0.766924201844534</v>
      </c>
      <c r="M3564" s="49" t="n">
        <f aca="false">IFERROR(I3564/H3564,0)</f>
        <v>249.372753578546</v>
      </c>
      <c r="N3564" s="52" t="str">
        <f aca="false">'Model Inputs &amp; Assumptions'!$L$35</f>
        <v>PRD-EUAI</v>
      </c>
      <c r="P3564" s="53" t="n">
        <v>0.119516</v>
      </c>
      <c r="Q3564" s="53" t="n">
        <v>0.014946</v>
      </c>
      <c r="R3564" s="53" t="n">
        <v>-0.617545</v>
      </c>
      <c r="S3564" s="53" t="n">
        <v>-0.060036</v>
      </c>
    </row>
    <row r="3565" customFormat="false" ht="15" hidden="false" customHeight="false" outlineLevel="0" collapsed="false">
      <c r="A3565" s="43" t="n">
        <v>62</v>
      </c>
      <c r="B3565" s="44" t="str">
        <f aca="false">'Model Inputs &amp; Assumptions'!$B$35</f>
        <v>justETF — Sponsored Listing</v>
      </c>
      <c r="C3565" s="45" t="n">
        <f aca="false">ROUND(MAX(0,'Model Inputs &amp; Assumptions'!$S$35*EXP('Model Inputs &amp; Assumptions'!$T$35*P3565-'Model Inputs &amp; Assumptions'!$T$35^2/2)),0)</f>
        <v>78643</v>
      </c>
      <c r="D3565" s="46" t="n">
        <f aca="false">MIN(1,'Model Inputs &amp; Assumptions'!$U$35*EXP('Model Inputs &amp; Assumptions'!$V$35*Q3565-'Model Inputs &amp; Assumptions'!$V$35^2/2))</f>
        <v>0</v>
      </c>
      <c r="E3565" s="45" t="n">
        <f aca="false">ROUND(C3565*D3565,0)</f>
        <v>0</v>
      </c>
      <c r="F3565" s="47" t="n">
        <f aca="false">MIN(1,'Model Inputs &amp; Assumptions'!$W$35*EXP('Model Inputs &amp; Assumptions'!$X$35*R3565-'Model Inputs &amp; Assumptions'!$X$35^2/2))</f>
        <v>0.00471056720466632</v>
      </c>
      <c r="G3565" s="45" t="n">
        <f aca="false">ROUND(C3565*F3565,0)</f>
        <v>370</v>
      </c>
      <c r="H3565" s="48" t="n">
        <f aca="false">MAX(0,(C3565*'Model Inputs &amp; Assumptions'!$N$35+E3565*'Model Inputs &amp; Assumptions'!$O$35+G3565*'Model Inputs &amp; Assumptions'!$P$35)*EXP('Model Inputs &amp; Assumptions'!$Q$35*S3565-'Model Inputs &amp; Assumptions'!$Q$35^2/2))</f>
        <v>46.4957303852458</v>
      </c>
      <c r="I3565" s="49" t="n">
        <f aca="false">IF('Model Inputs &amp; Assumptions'!$H$35="Fixed",'Model Inputs &amp; Assumptions'!$I$35*'Model Inputs &amp; Assumptions'!$K$35,IF('Model Inputs &amp; Assumptions'!$H$35="CPM",'Model Inputs &amp; Assumptions'!$I$35*'Model Inputs &amp; Assumptions'!$K$35*C3565/1000,IF('Model Inputs &amp; Assumptions'!$H$35="CPC",'Model Inputs &amp; Assumptions'!$I$35*'Model Inputs &amp; Assumptions'!$K$35*G3565,0)))</f>
        <v>8672.8</v>
      </c>
      <c r="J3565" s="50" t="n">
        <f aca="false">H3565*INDEX('Model Inputs &amp; Assumptions'!$D$40:$D$42,MATCH('Model Inputs &amp; Assumptions'!$L$35,'Model Inputs &amp; Assumptions'!$A$40:$A$42,0))*INDEX('Model Inputs &amp; Assumptions'!$H$40:$H$42,MATCH('Model Inputs &amp; Assumptions'!$L$35,'Model Inputs &amp; Assumptions'!$A$40:$A$42,0))</f>
        <v>395213.708274589</v>
      </c>
      <c r="K3565" s="49" t="n">
        <f aca="false">H3565*INDEX('Model Inputs &amp; Assumptions'!$G$40:$G$42,MATCH('Model Inputs &amp; Assumptions'!$L$35,'Model Inputs &amp; Assumptions'!$A$40:$A$42,0))*INDEX('Model Inputs &amp; Assumptions'!$H$40:$H$42,MATCH('Model Inputs &amp; Assumptions'!$L$35,'Model Inputs &amp; Assumptions'!$A$40:$A$42,0))</f>
        <v>8892.30843617825</v>
      </c>
      <c r="L3565" s="51" t="n">
        <f aca="false">IFERROR(K3565/I3565,0)</f>
        <v>1.02530998480055</v>
      </c>
      <c r="M3565" s="49" t="n">
        <f aca="false">IFERROR(I3565/H3565,0)</f>
        <v>186.528954984479</v>
      </c>
      <c r="N3565" s="52" t="str">
        <f aca="false">'Model Inputs &amp; Assumptions'!$L$35</f>
        <v>PRD-EUAI</v>
      </c>
      <c r="P3565" s="53" t="n">
        <v>-0.779687</v>
      </c>
      <c r="Q3565" s="53" t="n">
        <v>1.640771</v>
      </c>
      <c r="R3565" s="53" t="n">
        <v>-1.661496</v>
      </c>
      <c r="S3565" s="53" t="n">
        <v>2.380452</v>
      </c>
    </row>
    <row r="3566" customFormat="false" ht="15" hidden="false" customHeight="false" outlineLevel="0" collapsed="false">
      <c r="A3566" s="43" t="n">
        <v>63</v>
      </c>
      <c r="B3566" s="44" t="str">
        <f aca="false">'Model Inputs &amp; Assumptions'!$B$35</f>
        <v>justETF — Sponsored Listing</v>
      </c>
      <c r="C3566" s="45" t="n">
        <f aca="false">ROUND(MAX(0,'Model Inputs &amp; Assumptions'!$S$35*EXP('Model Inputs &amp; Assumptions'!$T$35*P3566-'Model Inputs &amp; Assumptions'!$T$35^2/2)),0)</f>
        <v>72632</v>
      </c>
      <c r="D3566" s="46" t="n">
        <f aca="false">MIN(1,'Model Inputs &amp; Assumptions'!$U$35*EXP('Model Inputs &amp; Assumptions'!$V$35*Q3566-'Model Inputs &amp; Assumptions'!$V$35^2/2))</f>
        <v>0</v>
      </c>
      <c r="E3566" s="45" t="n">
        <f aca="false">ROUND(C3566*D3566,0)</f>
        <v>0</v>
      </c>
      <c r="F3566" s="47" t="n">
        <f aca="false">MIN(1,'Model Inputs &amp; Assumptions'!$W$35*EXP('Model Inputs &amp; Assumptions'!$X$35*R3566-'Model Inputs &amp; Assumptions'!$X$35^2/2))</f>
        <v>0.00590313004533924</v>
      </c>
      <c r="G3566" s="45" t="n">
        <f aca="false">ROUND(C3566*F3566,0)</f>
        <v>429</v>
      </c>
      <c r="H3566" s="48" t="n">
        <f aca="false">MAX(0,(C3566*'Model Inputs &amp; Assumptions'!$N$35+E3566*'Model Inputs &amp; Assumptions'!$O$35+G3566*'Model Inputs &amp; Assumptions'!$P$35)*EXP('Model Inputs &amp; Assumptions'!$Q$35*S3566-'Model Inputs &amp; Assumptions'!$Q$35^2/2))</f>
        <v>32.2076152164725</v>
      </c>
      <c r="I3566" s="49" t="n">
        <f aca="false">IF('Model Inputs &amp; Assumptions'!$H$35="Fixed",'Model Inputs &amp; Assumptions'!$I$35*'Model Inputs &amp; Assumptions'!$K$35,IF('Model Inputs &amp; Assumptions'!$H$35="CPM",'Model Inputs &amp; Assumptions'!$I$35*'Model Inputs &amp; Assumptions'!$K$35*C3566/1000,IF('Model Inputs &amp; Assumptions'!$H$35="CPC",'Model Inputs &amp; Assumptions'!$I$35*'Model Inputs &amp; Assumptions'!$K$35*G3566,0)))</f>
        <v>8672.8</v>
      </c>
      <c r="J3566" s="50" t="n">
        <f aca="false">H3566*INDEX('Model Inputs &amp; Assumptions'!$D$40:$D$42,MATCH('Model Inputs &amp; Assumptions'!$L$35,'Model Inputs &amp; Assumptions'!$A$40:$A$42,0))*INDEX('Model Inputs &amp; Assumptions'!$H$40:$H$42,MATCH('Model Inputs &amp; Assumptions'!$L$35,'Model Inputs &amp; Assumptions'!$A$40:$A$42,0))</f>
        <v>273764.729340017</v>
      </c>
      <c r="K3566" s="49" t="n">
        <f aca="false">H3566*INDEX('Model Inputs &amp; Assumptions'!$G$40:$G$42,MATCH('Model Inputs &amp; Assumptions'!$L$35,'Model Inputs &amp; Assumptions'!$A$40:$A$42,0))*INDEX('Model Inputs &amp; Assumptions'!$H$40:$H$42,MATCH('Model Inputs &amp; Assumptions'!$L$35,'Model Inputs &amp; Assumptions'!$A$40:$A$42,0))</f>
        <v>6159.70641015037</v>
      </c>
      <c r="L3566" s="51" t="n">
        <f aca="false">IFERROR(K3566/I3566,0)</f>
        <v>0.710232728778523</v>
      </c>
      <c r="M3566" s="49" t="n">
        <f aca="false">IFERROR(I3566/H3566,0)</f>
        <v>269.277931374575</v>
      </c>
      <c r="N3566" s="52" t="str">
        <f aca="false">'Model Inputs &amp; Assumptions'!$L$35</f>
        <v>PRD-EUAI</v>
      </c>
      <c r="P3566" s="53" t="n">
        <v>-1.30979</v>
      </c>
      <c r="Q3566" s="53" t="n">
        <v>1.374834</v>
      </c>
      <c r="R3566" s="53" t="n">
        <v>-0.533124</v>
      </c>
      <c r="S3566" s="53" t="n">
        <v>0.399254</v>
      </c>
    </row>
    <row r="3567" customFormat="false" ht="15" hidden="false" customHeight="false" outlineLevel="0" collapsed="false">
      <c r="A3567" s="43" t="n">
        <v>64</v>
      </c>
      <c r="B3567" s="44" t="str">
        <f aca="false">'Model Inputs &amp; Assumptions'!$B$35</f>
        <v>justETF — Sponsored Listing</v>
      </c>
      <c r="C3567" s="45" t="n">
        <f aca="false">ROUND(MAX(0,'Model Inputs &amp; Assumptions'!$S$35*EXP('Model Inputs &amp; Assumptions'!$T$35*P3567-'Model Inputs &amp; Assumptions'!$T$35^2/2)),0)</f>
        <v>88327</v>
      </c>
      <c r="D3567" s="46" t="n">
        <f aca="false">MIN(1,'Model Inputs &amp; Assumptions'!$U$35*EXP('Model Inputs &amp; Assumptions'!$V$35*Q3567-'Model Inputs &amp; Assumptions'!$V$35^2/2))</f>
        <v>0</v>
      </c>
      <c r="E3567" s="45" t="n">
        <f aca="false">ROUND(C3567*D3567,0)</f>
        <v>0</v>
      </c>
      <c r="F3567" s="47" t="n">
        <f aca="false">MIN(1,'Model Inputs &amp; Assumptions'!$W$35*EXP('Model Inputs &amp; Assumptions'!$X$35*R3567-'Model Inputs &amp; Assumptions'!$X$35^2/2))</f>
        <v>0.00479926377718537</v>
      </c>
      <c r="G3567" s="45" t="n">
        <f aca="false">ROUND(C3567*F3567,0)</f>
        <v>424</v>
      </c>
      <c r="H3567" s="48" t="n">
        <f aca="false">MAX(0,(C3567*'Model Inputs &amp; Assumptions'!$N$35+E3567*'Model Inputs &amp; Assumptions'!$O$35+G3567*'Model Inputs &amp; Assumptions'!$P$35)*EXP('Model Inputs &amp; Assumptions'!$Q$35*S3567-'Model Inputs &amp; Assumptions'!$Q$35^2/2))</f>
        <v>31.9875216495719</v>
      </c>
      <c r="I3567" s="49" t="n">
        <f aca="false">IF('Model Inputs &amp; Assumptions'!$H$35="Fixed",'Model Inputs &amp; Assumptions'!$I$35*'Model Inputs &amp; Assumptions'!$K$35,IF('Model Inputs &amp; Assumptions'!$H$35="CPM",'Model Inputs &amp; Assumptions'!$I$35*'Model Inputs &amp; Assumptions'!$K$35*C3567/1000,IF('Model Inputs &amp; Assumptions'!$H$35="CPC",'Model Inputs &amp; Assumptions'!$I$35*'Model Inputs &amp; Assumptions'!$K$35*G3567,0)))</f>
        <v>8672.8</v>
      </c>
      <c r="J3567" s="50" t="n">
        <f aca="false">H3567*INDEX('Model Inputs &amp; Assumptions'!$D$40:$D$42,MATCH('Model Inputs &amp; Assumptions'!$L$35,'Model Inputs &amp; Assumptions'!$A$40:$A$42,0))*INDEX('Model Inputs &amp; Assumptions'!$H$40:$H$42,MATCH('Model Inputs &amp; Assumptions'!$L$35,'Model Inputs &amp; Assumptions'!$A$40:$A$42,0))</f>
        <v>271893.934021361</v>
      </c>
      <c r="K3567" s="49" t="n">
        <f aca="false">H3567*INDEX('Model Inputs &amp; Assumptions'!$G$40:$G$42,MATCH('Model Inputs &amp; Assumptions'!$L$35,'Model Inputs &amp; Assumptions'!$A$40:$A$42,0))*INDEX('Model Inputs &amp; Assumptions'!$H$40:$H$42,MATCH('Model Inputs &amp; Assumptions'!$L$35,'Model Inputs &amp; Assumptions'!$A$40:$A$42,0))</f>
        <v>6117.61351548062</v>
      </c>
      <c r="L3567" s="51" t="n">
        <f aca="false">IFERROR(K3567/I3567,0)</f>
        <v>0.70537929105717</v>
      </c>
      <c r="M3567" s="49" t="n">
        <f aca="false">IFERROR(I3567/H3567,0)</f>
        <v>271.130727006982</v>
      </c>
      <c r="N3567" s="52" t="str">
        <f aca="false">'Model Inputs &amp; Assumptions'!$L$35</f>
        <v>PRD-EUAI</v>
      </c>
      <c r="P3567" s="53" t="n">
        <v>-0.00549</v>
      </c>
      <c r="Q3567" s="53" t="n">
        <v>0.005191</v>
      </c>
      <c r="R3567" s="53" t="n">
        <v>-1.568225</v>
      </c>
      <c r="S3567" s="53" t="n">
        <v>0.417971</v>
      </c>
    </row>
    <row r="3568" customFormat="false" ht="15" hidden="false" customHeight="false" outlineLevel="0" collapsed="false">
      <c r="A3568" s="43" t="n">
        <v>65</v>
      </c>
      <c r="B3568" s="44" t="str">
        <f aca="false">'Model Inputs &amp; Assumptions'!$B$35</f>
        <v>justETF — Sponsored Listing</v>
      </c>
      <c r="C3568" s="45" t="n">
        <f aca="false">ROUND(MAX(0,'Model Inputs &amp; Assumptions'!$S$35*EXP('Model Inputs &amp; Assumptions'!$T$35*P3568-'Model Inputs &amp; Assumptions'!$T$35^2/2)),0)</f>
        <v>89966</v>
      </c>
      <c r="D3568" s="46" t="n">
        <f aca="false">MIN(1,'Model Inputs &amp; Assumptions'!$U$35*EXP('Model Inputs &amp; Assumptions'!$V$35*Q3568-'Model Inputs &amp; Assumptions'!$V$35^2/2))</f>
        <v>0</v>
      </c>
      <c r="E3568" s="45" t="n">
        <f aca="false">ROUND(C3568*D3568,0)</f>
        <v>0</v>
      </c>
      <c r="F3568" s="47" t="n">
        <f aca="false">MIN(1,'Model Inputs &amp; Assumptions'!$W$35*EXP('Model Inputs &amp; Assumptions'!$X$35*R3568-'Model Inputs &amp; Assumptions'!$X$35^2/2))</f>
        <v>0.00891338363490246</v>
      </c>
      <c r="G3568" s="45" t="n">
        <f aca="false">ROUND(C3568*F3568,0)</f>
        <v>802</v>
      </c>
      <c r="H3568" s="48" t="n">
        <f aca="false">MAX(0,(C3568*'Model Inputs &amp; Assumptions'!$N$35+E3568*'Model Inputs &amp; Assumptions'!$O$35+G3568*'Model Inputs &amp; Assumptions'!$P$35)*EXP('Model Inputs &amp; Assumptions'!$Q$35*S3568-'Model Inputs &amp; Assumptions'!$Q$35^2/2))</f>
        <v>76.6497750797898</v>
      </c>
      <c r="I3568" s="49" t="n">
        <f aca="false">IF('Model Inputs &amp; Assumptions'!$H$35="Fixed",'Model Inputs &amp; Assumptions'!$I$35*'Model Inputs &amp; Assumptions'!$K$35,IF('Model Inputs &amp; Assumptions'!$H$35="CPM",'Model Inputs &amp; Assumptions'!$I$35*'Model Inputs &amp; Assumptions'!$K$35*C3568/1000,IF('Model Inputs &amp; Assumptions'!$H$35="CPC",'Model Inputs &amp; Assumptions'!$I$35*'Model Inputs &amp; Assumptions'!$K$35*G3568,0)))</f>
        <v>8672.8</v>
      </c>
      <c r="J3568" s="50" t="n">
        <f aca="false">H3568*INDEX('Model Inputs &amp; Assumptions'!$D$40:$D$42,MATCH('Model Inputs &amp; Assumptions'!$L$35,'Model Inputs &amp; Assumptions'!$A$40:$A$42,0))*INDEX('Model Inputs &amp; Assumptions'!$H$40:$H$42,MATCH('Model Inputs &amp; Assumptions'!$L$35,'Model Inputs &amp; Assumptions'!$A$40:$A$42,0))</f>
        <v>651523.088178213</v>
      </c>
      <c r="K3568" s="49" t="n">
        <f aca="false">H3568*INDEX('Model Inputs &amp; Assumptions'!$G$40:$G$42,MATCH('Model Inputs &amp; Assumptions'!$L$35,'Model Inputs &amp; Assumptions'!$A$40:$A$42,0))*INDEX('Model Inputs &amp; Assumptions'!$H$40:$H$42,MATCH('Model Inputs &amp; Assumptions'!$L$35,'Model Inputs &amp; Assumptions'!$A$40:$A$42,0))</f>
        <v>14659.2694840098</v>
      </c>
      <c r="L3568" s="51" t="n">
        <f aca="false">IFERROR(K3568/I3568,0)</f>
        <v>1.69025798865531</v>
      </c>
      <c r="M3568" s="49" t="n">
        <f aca="false">IFERROR(I3568/H3568,0)</f>
        <v>113.148407689023</v>
      </c>
      <c r="N3568" s="52" t="str">
        <f aca="false">'Model Inputs &amp; Assumptions'!$L$35</f>
        <v>PRD-EUAI</v>
      </c>
      <c r="P3568" s="53" t="n">
        <v>0.11709</v>
      </c>
      <c r="Q3568" s="53" t="n">
        <v>-0.415276</v>
      </c>
      <c r="R3568" s="53" t="n">
        <v>1.527232</v>
      </c>
      <c r="S3568" s="53" t="n">
        <v>1.327685</v>
      </c>
    </row>
    <row r="3569" customFormat="false" ht="15" hidden="false" customHeight="false" outlineLevel="0" collapsed="false">
      <c r="A3569" s="43" t="n">
        <v>66</v>
      </c>
      <c r="B3569" s="44" t="str">
        <f aca="false">'Model Inputs &amp; Assumptions'!$B$35</f>
        <v>justETF — Sponsored Listing</v>
      </c>
      <c r="C3569" s="45" t="n">
        <f aca="false">ROUND(MAX(0,'Model Inputs &amp; Assumptions'!$S$35*EXP('Model Inputs &amp; Assumptions'!$T$35*P3569-'Model Inputs &amp; Assumptions'!$T$35^2/2)),0)</f>
        <v>96521</v>
      </c>
      <c r="D3569" s="46" t="n">
        <f aca="false">MIN(1,'Model Inputs &amp; Assumptions'!$U$35*EXP('Model Inputs &amp; Assumptions'!$V$35*Q3569-'Model Inputs &amp; Assumptions'!$V$35^2/2))</f>
        <v>0</v>
      </c>
      <c r="E3569" s="45" t="n">
        <f aca="false">ROUND(C3569*D3569,0)</f>
        <v>0</v>
      </c>
      <c r="F3569" s="47" t="n">
        <f aca="false">MIN(1,'Model Inputs &amp; Assumptions'!$W$35*EXP('Model Inputs &amp; Assumptions'!$X$35*R3569-'Model Inputs &amp; Assumptions'!$X$35^2/2))</f>
        <v>0.00731972476163622</v>
      </c>
      <c r="G3569" s="45" t="n">
        <f aca="false">ROUND(C3569*F3569,0)</f>
        <v>707</v>
      </c>
      <c r="H3569" s="48" t="n">
        <f aca="false">MAX(0,(C3569*'Model Inputs &amp; Assumptions'!$N$35+E3569*'Model Inputs &amp; Assumptions'!$O$35+G3569*'Model Inputs &amp; Assumptions'!$P$35)*EXP('Model Inputs &amp; Assumptions'!$Q$35*S3569-'Model Inputs &amp; Assumptions'!$Q$35^2/2))</f>
        <v>53.4154969522866</v>
      </c>
      <c r="I3569" s="49" t="n">
        <f aca="false">IF('Model Inputs &amp; Assumptions'!$H$35="Fixed",'Model Inputs &amp; Assumptions'!$I$35*'Model Inputs &amp; Assumptions'!$K$35,IF('Model Inputs &amp; Assumptions'!$H$35="CPM",'Model Inputs &amp; Assumptions'!$I$35*'Model Inputs &amp; Assumptions'!$K$35*C3569/1000,IF('Model Inputs &amp; Assumptions'!$H$35="CPC",'Model Inputs &amp; Assumptions'!$I$35*'Model Inputs &amp; Assumptions'!$K$35*G3569,0)))</f>
        <v>8672.8</v>
      </c>
      <c r="J3569" s="50" t="n">
        <f aca="false">H3569*INDEX('Model Inputs &amp; Assumptions'!$D$40:$D$42,MATCH('Model Inputs &amp; Assumptions'!$L$35,'Model Inputs &amp; Assumptions'!$A$40:$A$42,0))*INDEX('Model Inputs &amp; Assumptions'!$H$40:$H$42,MATCH('Model Inputs &amp; Assumptions'!$L$35,'Model Inputs &amp; Assumptions'!$A$40:$A$42,0))</f>
        <v>454031.724094436</v>
      </c>
      <c r="K3569" s="49" t="n">
        <f aca="false">H3569*INDEX('Model Inputs &amp; Assumptions'!$G$40:$G$42,MATCH('Model Inputs &amp; Assumptions'!$L$35,'Model Inputs &amp; Assumptions'!$A$40:$A$42,0))*INDEX('Model Inputs &amp; Assumptions'!$H$40:$H$42,MATCH('Model Inputs &amp; Assumptions'!$L$35,'Model Inputs &amp; Assumptions'!$A$40:$A$42,0))</f>
        <v>10215.7137921248</v>
      </c>
      <c r="L3569" s="51" t="n">
        <f aca="false">IFERROR(K3569/I3569,0)</f>
        <v>1.17790261416438</v>
      </c>
      <c r="M3569" s="49" t="n">
        <f aca="false">IFERROR(I3569/H3569,0)</f>
        <v>162.364865906742</v>
      </c>
      <c r="N3569" s="52" t="str">
        <f aca="false">'Model Inputs &amp; Assumptions'!$L$35</f>
        <v>PRD-EUAI</v>
      </c>
      <c r="P3569" s="53" t="n">
        <v>0.585963</v>
      </c>
      <c r="Q3569" s="53" t="n">
        <v>1.1697</v>
      </c>
      <c r="R3569" s="53" t="n">
        <v>0.542326</v>
      </c>
      <c r="S3569" s="53" t="n">
        <v>0.423578</v>
      </c>
    </row>
    <row r="3570" customFormat="false" ht="15" hidden="false" customHeight="false" outlineLevel="0" collapsed="false">
      <c r="A3570" s="43" t="n">
        <v>67</v>
      </c>
      <c r="B3570" s="44" t="str">
        <f aca="false">'Model Inputs &amp; Assumptions'!$B$35</f>
        <v>justETF — Sponsored Listing</v>
      </c>
      <c r="C3570" s="45" t="n">
        <f aca="false">ROUND(MAX(0,'Model Inputs &amp; Assumptions'!$S$35*EXP('Model Inputs &amp; Assumptions'!$T$35*P3570-'Model Inputs &amp; Assumptions'!$T$35^2/2)),0)</f>
        <v>75703</v>
      </c>
      <c r="D3570" s="46" t="n">
        <f aca="false">MIN(1,'Model Inputs &amp; Assumptions'!$U$35*EXP('Model Inputs &amp; Assumptions'!$V$35*Q3570-'Model Inputs &amp; Assumptions'!$V$35^2/2))</f>
        <v>0</v>
      </c>
      <c r="E3570" s="45" t="n">
        <f aca="false">ROUND(C3570*D3570,0)</f>
        <v>0</v>
      </c>
      <c r="F3570" s="47" t="n">
        <f aca="false">MIN(1,'Model Inputs &amp; Assumptions'!$W$35*EXP('Model Inputs &amp; Assumptions'!$X$35*R3570-'Model Inputs &amp; Assumptions'!$X$35^2/2))</f>
        <v>0.0039512742680563</v>
      </c>
      <c r="G3570" s="45" t="n">
        <f aca="false">ROUND(C3570*F3570,0)</f>
        <v>299</v>
      </c>
      <c r="H3570" s="48" t="n">
        <f aca="false">MAX(0,(C3570*'Model Inputs &amp; Assumptions'!$N$35+E3570*'Model Inputs &amp; Assumptions'!$O$35+G3570*'Model Inputs &amp; Assumptions'!$P$35)*EXP('Model Inputs &amp; Assumptions'!$Q$35*S3570-'Model Inputs &amp; Assumptions'!$Q$35^2/2))</f>
        <v>26.4423035921285</v>
      </c>
      <c r="I3570" s="49" t="n">
        <f aca="false">IF('Model Inputs &amp; Assumptions'!$H$35="Fixed",'Model Inputs &amp; Assumptions'!$I$35*'Model Inputs &amp; Assumptions'!$K$35,IF('Model Inputs &amp; Assumptions'!$H$35="CPM",'Model Inputs &amp; Assumptions'!$I$35*'Model Inputs &amp; Assumptions'!$K$35*C3570/1000,IF('Model Inputs &amp; Assumptions'!$H$35="CPC",'Model Inputs &amp; Assumptions'!$I$35*'Model Inputs &amp; Assumptions'!$K$35*G3570,0)))</f>
        <v>8672.8</v>
      </c>
      <c r="J3570" s="50" t="n">
        <f aca="false">H3570*INDEX('Model Inputs &amp; Assumptions'!$D$40:$D$42,MATCH('Model Inputs &amp; Assumptions'!$L$35,'Model Inputs &amp; Assumptions'!$A$40:$A$42,0))*INDEX('Model Inputs &amp; Assumptions'!$H$40:$H$42,MATCH('Model Inputs &amp; Assumptions'!$L$35,'Model Inputs &amp; Assumptions'!$A$40:$A$42,0))</f>
        <v>224759.580533092</v>
      </c>
      <c r="K3570" s="49" t="n">
        <f aca="false">H3570*INDEX('Model Inputs &amp; Assumptions'!$G$40:$G$42,MATCH('Model Inputs &amp; Assumptions'!$L$35,'Model Inputs &amp; Assumptions'!$A$40:$A$42,0))*INDEX('Model Inputs &amp; Assumptions'!$H$40:$H$42,MATCH('Model Inputs &amp; Assumptions'!$L$35,'Model Inputs &amp; Assumptions'!$A$40:$A$42,0))</f>
        <v>5057.09056199457</v>
      </c>
      <c r="L3570" s="51" t="n">
        <f aca="false">IFERROR(K3570/I3570,0)</f>
        <v>0.583097795636308</v>
      </c>
      <c r="M3570" s="49" t="n">
        <f aca="false">IFERROR(I3570/H3570,0)</f>
        <v>327.989578131225</v>
      </c>
      <c r="N3570" s="52" t="str">
        <f aca="false">'Model Inputs &amp; Assumptions'!$L$35</f>
        <v>PRD-EUAI</v>
      </c>
      <c r="P3570" s="53" t="n">
        <v>-1.033683</v>
      </c>
      <c r="Q3570" s="53" t="n">
        <v>0.4724</v>
      </c>
      <c r="R3570" s="53" t="n">
        <v>-2.540347</v>
      </c>
      <c r="S3570" s="53" t="n">
        <v>1.02916</v>
      </c>
    </row>
    <row r="3571" customFormat="false" ht="15" hidden="false" customHeight="false" outlineLevel="0" collapsed="false">
      <c r="A3571" s="43" t="n">
        <v>68</v>
      </c>
      <c r="B3571" s="44" t="str">
        <f aca="false">'Model Inputs &amp; Assumptions'!$B$35</f>
        <v>justETF — Sponsored Listing</v>
      </c>
      <c r="C3571" s="45" t="n">
        <f aca="false">ROUND(MAX(0,'Model Inputs &amp; Assumptions'!$S$35*EXP('Model Inputs &amp; Assumptions'!$T$35*P3571-'Model Inputs &amp; Assumptions'!$T$35^2/2)),0)</f>
        <v>102248</v>
      </c>
      <c r="D3571" s="46" t="n">
        <f aca="false">MIN(1,'Model Inputs &amp; Assumptions'!$U$35*EXP('Model Inputs &amp; Assumptions'!$V$35*Q3571-'Model Inputs &amp; Assumptions'!$V$35^2/2))</f>
        <v>0</v>
      </c>
      <c r="E3571" s="45" t="n">
        <f aca="false">ROUND(C3571*D3571,0)</f>
        <v>0</v>
      </c>
      <c r="F3571" s="47" t="n">
        <f aca="false">MIN(1,'Model Inputs &amp; Assumptions'!$W$35*EXP('Model Inputs &amp; Assumptions'!$X$35*R3571-'Model Inputs &amp; Assumptions'!$X$35^2/2))</f>
        <v>0.00760336510597132</v>
      </c>
      <c r="G3571" s="45" t="n">
        <f aca="false">ROUND(C3571*F3571,0)</f>
        <v>777</v>
      </c>
      <c r="H3571" s="48" t="n">
        <f aca="false">MAX(0,(C3571*'Model Inputs &amp; Assumptions'!$N$35+E3571*'Model Inputs &amp; Assumptions'!$O$35+G3571*'Model Inputs &amp; Assumptions'!$P$35)*EXP('Model Inputs &amp; Assumptions'!$Q$35*S3571-'Model Inputs &amp; Assumptions'!$Q$35^2/2))</f>
        <v>57.7430463965747</v>
      </c>
      <c r="I3571" s="49" t="n">
        <f aca="false">IF('Model Inputs &amp; Assumptions'!$H$35="Fixed",'Model Inputs &amp; Assumptions'!$I$35*'Model Inputs &amp; Assumptions'!$K$35,IF('Model Inputs &amp; Assumptions'!$H$35="CPM",'Model Inputs &amp; Assumptions'!$I$35*'Model Inputs &amp; Assumptions'!$K$35*C3571/1000,IF('Model Inputs &amp; Assumptions'!$H$35="CPC",'Model Inputs &amp; Assumptions'!$I$35*'Model Inputs &amp; Assumptions'!$K$35*G3571,0)))</f>
        <v>8672.8</v>
      </c>
      <c r="J3571" s="50" t="n">
        <f aca="false">H3571*INDEX('Model Inputs &amp; Assumptions'!$D$40:$D$42,MATCH('Model Inputs &amp; Assumptions'!$L$35,'Model Inputs &amp; Assumptions'!$A$40:$A$42,0))*INDEX('Model Inputs &amp; Assumptions'!$H$40:$H$42,MATCH('Model Inputs &amp; Assumptions'!$L$35,'Model Inputs &amp; Assumptions'!$A$40:$A$42,0))</f>
        <v>490815.894370885</v>
      </c>
      <c r="K3571" s="49" t="n">
        <f aca="false">H3571*INDEX('Model Inputs &amp; Assumptions'!$G$40:$G$42,MATCH('Model Inputs &amp; Assumptions'!$L$35,'Model Inputs &amp; Assumptions'!$A$40:$A$42,0))*INDEX('Model Inputs &amp; Assumptions'!$H$40:$H$42,MATCH('Model Inputs &amp; Assumptions'!$L$35,'Model Inputs &amp; Assumptions'!$A$40:$A$42,0))</f>
        <v>11043.3576233449</v>
      </c>
      <c r="L3571" s="51" t="n">
        <f aca="false">IFERROR(K3571/I3571,0)</f>
        <v>1.27333244434841</v>
      </c>
      <c r="M3571" s="49" t="n">
        <f aca="false">IFERROR(I3571/H3571,0)</f>
        <v>150.196439939034</v>
      </c>
      <c r="N3571" s="52" t="str">
        <f aca="false">'Model Inputs &amp; Assumptions'!$L$35</f>
        <v>PRD-EUAI</v>
      </c>
      <c r="P3571" s="53" t="n">
        <v>0.970223</v>
      </c>
      <c r="Q3571" s="53" t="n">
        <v>0.399077</v>
      </c>
      <c r="R3571" s="53" t="n">
        <v>0.732417</v>
      </c>
      <c r="S3571" s="53" t="n">
        <v>0.360087</v>
      </c>
    </row>
    <row r="3572" customFormat="false" ht="15" hidden="false" customHeight="false" outlineLevel="0" collapsed="false">
      <c r="A3572" s="43" t="n">
        <v>69</v>
      </c>
      <c r="B3572" s="44" t="str">
        <f aca="false">'Model Inputs &amp; Assumptions'!$B$35</f>
        <v>justETF — Sponsored Listing</v>
      </c>
      <c r="C3572" s="45" t="n">
        <f aca="false">ROUND(MAX(0,'Model Inputs &amp; Assumptions'!$S$35*EXP('Model Inputs &amp; Assumptions'!$T$35*P3572-'Model Inputs &amp; Assumptions'!$T$35^2/2)),0)</f>
        <v>90559</v>
      </c>
      <c r="D3572" s="46" t="n">
        <f aca="false">MIN(1,'Model Inputs &amp; Assumptions'!$U$35*EXP('Model Inputs &amp; Assumptions'!$V$35*Q3572-'Model Inputs &amp; Assumptions'!$V$35^2/2))</f>
        <v>0</v>
      </c>
      <c r="E3572" s="45" t="n">
        <f aca="false">ROUND(C3572*D3572,0)</f>
        <v>0</v>
      </c>
      <c r="F3572" s="47" t="n">
        <f aca="false">MIN(1,'Model Inputs &amp; Assumptions'!$W$35*EXP('Model Inputs &amp; Assumptions'!$X$35*R3572-'Model Inputs &amp; Assumptions'!$X$35^2/2))</f>
        <v>0.00563643022560356</v>
      </c>
      <c r="G3572" s="45" t="n">
        <f aca="false">ROUND(C3572*F3572,0)</f>
        <v>510</v>
      </c>
      <c r="H3572" s="48" t="n">
        <f aca="false">MAX(0,(C3572*'Model Inputs &amp; Assumptions'!$N$35+E3572*'Model Inputs &amp; Assumptions'!$O$35+G3572*'Model Inputs &amp; Assumptions'!$P$35)*EXP('Model Inputs &amp; Assumptions'!$Q$35*S3572-'Model Inputs &amp; Assumptions'!$Q$35^2/2))</f>
        <v>35.5819892105789</v>
      </c>
      <c r="I3572" s="49" t="n">
        <f aca="false">IF('Model Inputs &amp; Assumptions'!$H$35="Fixed",'Model Inputs &amp; Assumptions'!$I$35*'Model Inputs &amp; Assumptions'!$K$35,IF('Model Inputs &amp; Assumptions'!$H$35="CPM",'Model Inputs &amp; Assumptions'!$I$35*'Model Inputs &amp; Assumptions'!$K$35*C3572/1000,IF('Model Inputs &amp; Assumptions'!$H$35="CPC",'Model Inputs &amp; Assumptions'!$I$35*'Model Inputs &amp; Assumptions'!$K$35*G3572,0)))</f>
        <v>8672.8</v>
      </c>
      <c r="J3572" s="50" t="n">
        <f aca="false">H3572*INDEX('Model Inputs &amp; Assumptions'!$D$40:$D$42,MATCH('Model Inputs &amp; Assumptions'!$L$35,'Model Inputs &amp; Assumptions'!$A$40:$A$42,0))*INDEX('Model Inputs &amp; Assumptions'!$H$40:$H$42,MATCH('Model Inputs &amp; Assumptions'!$L$35,'Model Inputs &amp; Assumptions'!$A$40:$A$42,0))</f>
        <v>302446.90828992</v>
      </c>
      <c r="K3572" s="49" t="n">
        <f aca="false">H3572*INDEX('Model Inputs &amp; Assumptions'!$G$40:$G$42,MATCH('Model Inputs &amp; Assumptions'!$L$35,'Model Inputs &amp; Assumptions'!$A$40:$A$42,0))*INDEX('Model Inputs &amp; Assumptions'!$H$40:$H$42,MATCH('Model Inputs &amp; Assumptions'!$L$35,'Model Inputs &amp; Assumptions'!$A$40:$A$42,0))</f>
        <v>6805.05543652321</v>
      </c>
      <c r="L3572" s="51" t="n">
        <f aca="false">IFERROR(K3572/I3572,0)</f>
        <v>0.784643418102944</v>
      </c>
      <c r="M3572" s="49" t="n">
        <f aca="false">IFERROR(I3572/H3572,0)</f>
        <v>243.741291378434</v>
      </c>
      <c r="N3572" s="52" t="str">
        <f aca="false">'Model Inputs &amp; Assumptions'!$L$35</f>
        <v>PRD-EUAI</v>
      </c>
      <c r="P3572" s="53" t="n">
        <v>0.160851</v>
      </c>
      <c r="Q3572" s="53" t="n">
        <v>0.259718</v>
      </c>
      <c r="R3572" s="53" t="n">
        <v>-0.764283</v>
      </c>
      <c r="S3572" s="53" t="n">
        <v>0.117265</v>
      </c>
    </row>
    <row r="3573" customFormat="false" ht="15" hidden="false" customHeight="false" outlineLevel="0" collapsed="false">
      <c r="A3573" s="43" t="n">
        <v>70</v>
      </c>
      <c r="B3573" s="44" t="str">
        <f aca="false">'Model Inputs &amp; Assumptions'!$B$35</f>
        <v>justETF — Sponsored Listing</v>
      </c>
      <c r="C3573" s="45" t="n">
        <f aca="false">ROUND(MAX(0,'Model Inputs &amp; Assumptions'!$S$35*EXP('Model Inputs &amp; Assumptions'!$T$35*P3573-'Model Inputs &amp; Assumptions'!$T$35^2/2)),0)</f>
        <v>105754</v>
      </c>
      <c r="D3573" s="46" t="n">
        <f aca="false">MIN(1,'Model Inputs &amp; Assumptions'!$U$35*EXP('Model Inputs &amp; Assumptions'!$V$35*Q3573-'Model Inputs &amp; Assumptions'!$V$35^2/2))</f>
        <v>0</v>
      </c>
      <c r="E3573" s="45" t="n">
        <f aca="false">ROUND(C3573*D3573,0)</f>
        <v>0</v>
      </c>
      <c r="F3573" s="47" t="n">
        <f aca="false">MIN(1,'Model Inputs &amp; Assumptions'!$W$35*EXP('Model Inputs &amp; Assumptions'!$X$35*R3573-'Model Inputs &amp; Assumptions'!$X$35^2/2))</f>
        <v>0.00518776685622163</v>
      </c>
      <c r="G3573" s="45" t="n">
        <f aca="false">ROUND(C3573*F3573,0)</f>
        <v>549</v>
      </c>
      <c r="H3573" s="48" t="n">
        <f aca="false">MAX(0,(C3573*'Model Inputs &amp; Assumptions'!$N$35+E3573*'Model Inputs &amp; Assumptions'!$O$35+G3573*'Model Inputs &amp; Assumptions'!$P$35)*EXP('Model Inputs &amp; Assumptions'!$Q$35*S3573-'Model Inputs &amp; Assumptions'!$Q$35^2/2))</f>
        <v>15.6638063751813</v>
      </c>
      <c r="I3573" s="49" t="n">
        <f aca="false">IF('Model Inputs &amp; Assumptions'!$H$35="Fixed",'Model Inputs &amp; Assumptions'!$I$35*'Model Inputs &amp; Assumptions'!$K$35,IF('Model Inputs &amp; Assumptions'!$H$35="CPM",'Model Inputs &amp; Assumptions'!$I$35*'Model Inputs &amp; Assumptions'!$K$35*C3573/1000,IF('Model Inputs &amp; Assumptions'!$H$35="CPC",'Model Inputs &amp; Assumptions'!$I$35*'Model Inputs &amp; Assumptions'!$K$35*G3573,0)))</f>
        <v>8672.8</v>
      </c>
      <c r="J3573" s="50" t="n">
        <f aca="false">H3573*INDEX('Model Inputs &amp; Assumptions'!$D$40:$D$42,MATCH('Model Inputs &amp; Assumptions'!$L$35,'Model Inputs &amp; Assumptions'!$A$40:$A$42,0))*INDEX('Model Inputs &amp; Assumptions'!$H$40:$H$42,MATCH('Model Inputs &amp; Assumptions'!$L$35,'Model Inputs &amp; Assumptions'!$A$40:$A$42,0))</f>
        <v>133142.354189041</v>
      </c>
      <c r="K3573" s="49" t="n">
        <f aca="false">H3573*INDEX('Model Inputs &amp; Assumptions'!$G$40:$G$42,MATCH('Model Inputs &amp; Assumptions'!$L$35,'Model Inputs &amp; Assumptions'!$A$40:$A$42,0))*INDEX('Model Inputs &amp; Assumptions'!$H$40:$H$42,MATCH('Model Inputs &amp; Assumptions'!$L$35,'Model Inputs &amp; Assumptions'!$A$40:$A$42,0))</f>
        <v>2995.70296925343</v>
      </c>
      <c r="L3573" s="51" t="n">
        <f aca="false">IFERROR(K3573/I3573,0)</f>
        <v>0.345413588374392</v>
      </c>
      <c r="M3573" s="49" t="n">
        <f aca="false">IFERROR(I3573/H3573,0)</f>
        <v>553.684065818236</v>
      </c>
      <c r="N3573" s="52" t="str">
        <f aca="false">'Model Inputs &amp; Assumptions'!$L$35</f>
        <v>PRD-EUAI</v>
      </c>
      <c r="P3573" s="53" t="n">
        <v>1.194943</v>
      </c>
      <c r="Q3573" s="53" t="n">
        <v>0.999425</v>
      </c>
      <c r="R3573" s="53" t="n">
        <v>-1.179021</v>
      </c>
      <c r="S3573" s="53" t="n">
        <v>-3.321868</v>
      </c>
    </row>
    <row r="3574" customFormat="false" ht="15" hidden="false" customHeight="false" outlineLevel="0" collapsed="false">
      <c r="A3574" s="43" t="n">
        <v>71</v>
      </c>
      <c r="B3574" s="44" t="str">
        <f aca="false">'Model Inputs &amp; Assumptions'!$B$35</f>
        <v>justETF — Sponsored Listing</v>
      </c>
      <c r="C3574" s="45" t="n">
        <f aca="false">ROUND(MAX(0,'Model Inputs &amp; Assumptions'!$S$35*EXP('Model Inputs &amp; Assumptions'!$T$35*P3574-'Model Inputs &amp; Assumptions'!$T$35^2/2)),0)</f>
        <v>87877</v>
      </c>
      <c r="D3574" s="46" t="n">
        <f aca="false">MIN(1,'Model Inputs &amp; Assumptions'!$U$35*EXP('Model Inputs &amp; Assumptions'!$V$35*Q3574-'Model Inputs &amp; Assumptions'!$V$35^2/2))</f>
        <v>0</v>
      </c>
      <c r="E3574" s="45" t="n">
        <f aca="false">ROUND(C3574*D3574,0)</f>
        <v>0</v>
      </c>
      <c r="F3574" s="47" t="n">
        <f aca="false">MIN(1,'Model Inputs &amp; Assumptions'!$W$35*EXP('Model Inputs &amp; Assumptions'!$X$35*R3574-'Model Inputs &amp; Assumptions'!$X$35^2/2))</f>
        <v>0.00386553280516312</v>
      </c>
      <c r="G3574" s="45" t="n">
        <f aca="false">ROUND(C3574*F3574,0)</f>
        <v>340</v>
      </c>
      <c r="H3574" s="48" t="n">
        <f aca="false">MAX(0,(C3574*'Model Inputs &amp; Assumptions'!$N$35+E3574*'Model Inputs &amp; Assumptions'!$O$35+G3574*'Model Inputs &amp; Assumptions'!$P$35)*EXP('Model Inputs &amp; Assumptions'!$Q$35*S3574-'Model Inputs &amp; Assumptions'!$Q$35^2/2))</f>
        <v>27.7484349575926</v>
      </c>
      <c r="I3574" s="49" t="n">
        <f aca="false">IF('Model Inputs &amp; Assumptions'!$H$35="Fixed",'Model Inputs &amp; Assumptions'!$I$35*'Model Inputs &amp; Assumptions'!$K$35,IF('Model Inputs &amp; Assumptions'!$H$35="CPM",'Model Inputs &amp; Assumptions'!$I$35*'Model Inputs &amp; Assumptions'!$K$35*C3574/1000,IF('Model Inputs &amp; Assumptions'!$H$35="CPC",'Model Inputs &amp; Assumptions'!$I$35*'Model Inputs &amp; Assumptions'!$K$35*G3574,0)))</f>
        <v>8672.8</v>
      </c>
      <c r="J3574" s="50" t="n">
        <f aca="false">H3574*INDEX('Model Inputs &amp; Assumptions'!$D$40:$D$42,MATCH('Model Inputs &amp; Assumptions'!$L$35,'Model Inputs &amp; Assumptions'!$A$40:$A$42,0))*INDEX('Model Inputs &amp; Assumptions'!$H$40:$H$42,MATCH('Model Inputs &amp; Assumptions'!$L$35,'Model Inputs &amp; Assumptions'!$A$40:$A$42,0))</f>
        <v>235861.697139537</v>
      </c>
      <c r="K3574" s="49" t="n">
        <f aca="false">H3574*INDEX('Model Inputs &amp; Assumptions'!$G$40:$G$42,MATCH('Model Inputs &amp; Assumptions'!$L$35,'Model Inputs &amp; Assumptions'!$A$40:$A$42,0))*INDEX('Model Inputs &amp; Assumptions'!$H$40:$H$42,MATCH('Model Inputs &amp; Assumptions'!$L$35,'Model Inputs &amp; Assumptions'!$A$40:$A$42,0))</f>
        <v>5306.88818563958</v>
      </c>
      <c r="L3574" s="51" t="n">
        <f aca="false">IFERROR(K3574/I3574,0)</f>
        <v>0.611900215113871</v>
      </c>
      <c r="M3574" s="49" t="n">
        <f aca="false">IFERROR(I3574/H3574,0)</f>
        <v>312.550960558838</v>
      </c>
      <c r="N3574" s="52" t="str">
        <f aca="false">'Model Inputs &amp; Assumptions'!$L$35</f>
        <v>PRD-EUAI</v>
      </c>
      <c r="P3574" s="53" t="n">
        <v>-0.039532</v>
      </c>
      <c r="Q3574" s="53" t="n">
        <v>2.284444</v>
      </c>
      <c r="R3574" s="53" t="n">
        <v>-2.65004</v>
      </c>
      <c r="S3574" s="53" t="n">
        <v>0.720361</v>
      </c>
    </row>
    <row r="3575" customFormat="false" ht="15" hidden="false" customHeight="false" outlineLevel="0" collapsed="false">
      <c r="A3575" s="43" t="n">
        <v>72</v>
      </c>
      <c r="B3575" s="44" t="str">
        <f aca="false">'Model Inputs &amp; Assumptions'!$B$35</f>
        <v>justETF — Sponsored Listing</v>
      </c>
      <c r="C3575" s="45" t="n">
        <f aca="false">ROUND(MAX(0,'Model Inputs &amp; Assumptions'!$S$35*EXP('Model Inputs &amp; Assumptions'!$T$35*P3575-'Model Inputs &amp; Assumptions'!$T$35^2/2)),0)</f>
        <v>79580</v>
      </c>
      <c r="D3575" s="46" t="n">
        <f aca="false">MIN(1,'Model Inputs &amp; Assumptions'!$U$35*EXP('Model Inputs &amp; Assumptions'!$V$35*Q3575-'Model Inputs &amp; Assumptions'!$V$35^2/2))</f>
        <v>0</v>
      </c>
      <c r="E3575" s="45" t="n">
        <f aca="false">ROUND(C3575*D3575,0)</f>
        <v>0</v>
      </c>
      <c r="F3575" s="47" t="n">
        <f aca="false">MIN(1,'Model Inputs &amp; Assumptions'!$W$35*EXP('Model Inputs &amp; Assumptions'!$X$35*R3575-'Model Inputs &amp; Assumptions'!$X$35^2/2))</f>
        <v>0.00574383167254179</v>
      </c>
      <c r="G3575" s="45" t="n">
        <f aca="false">ROUND(C3575*F3575,0)</f>
        <v>457</v>
      </c>
      <c r="H3575" s="48" t="n">
        <f aca="false">MAX(0,(C3575*'Model Inputs &amp; Assumptions'!$N$35+E3575*'Model Inputs &amp; Assumptions'!$O$35+G3575*'Model Inputs &amp; Assumptions'!$P$35)*EXP('Model Inputs &amp; Assumptions'!$Q$35*S3575-'Model Inputs &amp; Assumptions'!$Q$35^2/2))</f>
        <v>29.3530093418907</v>
      </c>
      <c r="I3575" s="49" t="n">
        <f aca="false">IF('Model Inputs &amp; Assumptions'!$H$35="Fixed",'Model Inputs &amp; Assumptions'!$I$35*'Model Inputs &amp; Assumptions'!$K$35,IF('Model Inputs &amp; Assumptions'!$H$35="CPM",'Model Inputs &amp; Assumptions'!$I$35*'Model Inputs &amp; Assumptions'!$K$35*C3575/1000,IF('Model Inputs &amp; Assumptions'!$H$35="CPC",'Model Inputs &amp; Assumptions'!$I$35*'Model Inputs &amp; Assumptions'!$K$35*G3575,0)))</f>
        <v>8672.8</v>
      </c>
      <c r="J3575" s="50" t="n">
        <f aca="false">H3575*INDEX('Model Inputs &amp; Assumptions'!$D$40:$D$42,MATCH('Model Inputs &amp; Assumptions'!$L$35,'Model Inputs &amp; Assumptions'!$A$40:$A$42,0))*INDEX('Model Inputs &amp; Assumptions'!$H$40:$H$42,MATCH('Model Inputs &amp; Assumptions'!$L$35,'Model Inputs &amp; Assumptions'!$A$40:$A$42,0))</f>
        <v>249500.579406071</v>
      </c>
      <c r="K3575" s="49" t="n">
        <f aca="false">H3575*INDEX('Model Inputs &amp; Assumptions'!$G$40:$G$42,MATCH('Model Inputs &amp; Assumptions'!$L$35,'Model Inputs &amp; Assumptions'!$A$40:$A$42,0))*INDEX('Model Inputs &amp; Assumptions'!$H$40:$H$42,MATCH('Model Inputs &amp; Assumptions'!$L$35,'Model Inputs &amp; Assumptions'!$A$40:$A$42,0))</f>
        <v>5613.76303663659</v>
      </c>
      <c r="L3575" s="51" t="n">
        <f aca="false">IFERROR(K3575/I3575,0)</f>
        <v>0.647283811068697</v>
      </c>
      <c r="M3575" s="49" t="n">
        <f aca="false">IFERROR(I3575/H3575,0)</f>
        <v>295.465446114336</v>
      </c>
      <c r="N3575" s="52" t="str">
        <f aca="false">'Model Inputs &amp; Assumptions'!$L$35</f>
        <v>PRD-EUAI</v>
      </c>
      <c r="P3575" s="53" t="n">
        <v>-0.700684</v>
      </c>
      <c r="Q3575" s="53" t="n">
        <v>-0.675778</v>
      </c>
      <c r="R3575" s="53" t="n">
        <v>-0.669905</v>
      </c>
      <c r="S3575" s="53" t="n">
        <v>-0.200878</v>
      </c>
    </row>
    <row r="3576" customFormat="false" ht="15" hidden="false" customHeight="false" outlineLevel="0" collapsed="false">
      <c r="A3576" s="43" t="n">
        <v>73</v>
      </c>
      <c r="B3576" s="44" t="str">
        <f aca="false">'Model Inputs &amp; Assumptions'!$B$35</f>
        <v>justETF — Sponsored Listing</v>
      </c>
      <c r="C3576" s="45" t="n">
        <f aca="false">ROUND(MAX(0,'Model Inputs &amp; Assumptions'!$S$35*EXP('Model Inputs &amp; Assumptions'!$T$35*P3576-'Model Inputs &amp; Assumptions'!$T$35^2/2)),0)</f>
        <v>77307</v>
      </c>
      <c r="D3576" s="46" t="n">
        <f aca="false">MIN(1,'Model Inputs &amp; Assumptions'!$U$35*EXP('Model Inputs &amp; Assumptions'!$V$35*Q3576-'Model Inputs &amp; Assumptions'!$V$35^2/2))</f>
        <v>0</v>
      </c>
      <c r="E3576" s="45" t="n">
        <f aca="false">ROUND(C3576*D3576,0)</f>
        <v>0</v>
      </c>
      <c r="F3576" s="47" t="n">
        <f aca="false">MIN(1,'Model Inputs &amp; Assumptions'!$W$35*EXP('Model Inputs &amp; Assumptions'!$X$35*R3576-'Model Inputs &amp; Assumptions'!$X$35^2/2))</f>
        <v>0.00543271889748234</v>
      </c>
      <c r="G3576" s="45" t="n">
        <f aca="false">ROUND(C3576*F3576,0)</f>
        <v>420</v>
      </c>
      <c r="H3576" s="48" t="n">
        <f aca="false">MAX(0,(C3576*'Model Inputs &amp; Assumptions'!$N$35+E3576*'Model Inputs &amp; Assumptions'!$O$35+G3576*'Model Inputs &amp; Assumptions'!$P$35)*EXP('Model Inputs &amp; Assumptions'!$Q$35*S3576-'Model Inputs &amp; Assumptions'!$Q$35^2/2))</f>
        <v>30.6789562180584</v>
      </c>
      <c r="I3576" s="49" t="n">
        <f aca="false">IF('Model Inputs &amp; Assumptions'!$H$35="Fixed",'Model Inputs &amp; Assumptions'!$I$35*'Model Inputs &amp; Assumptions'!$K$35,IF('Model Inputs &amp; Assumptions'!$H$35="CPM",'Model Inputs &amp; Assumptions'!$I$35*'Model Inputs &amp; Assumptions'!$K$35*C3576/1000,IF('Model Inputs &amp; Assumptions'!$H$35="CPC",'Model Inputs &amp; Assumptions'!$I$35*'Model Inputs &amp; Assumptions'!$K$35*G3576,0)))</f>
        <v>8672.8</v>
      </c>
      <c r="J3576" s="50" t="n">
        <f aca="false">H3576*INDEX('Model Inputs &amp; Assumptions'!$D$40:$D$42,MATCH('Model Inputs &amp; Assumptions'!$L$35,'Model Inputs &amp; Assumptions'!$A$40:$A$42,0))*INDEX('Model Inputs &amp; Assumptions'!$H$40:$H$42,MATCH('Model Inputs &amp; Assumptions'!$L$35,'Model Inputs &amp; Assumptions'!$A$40:$A$42,0))</f>
        <v>260771.127853496</v>
      </c>
      <c r="K3576" s="49" t="n">
        <f aca="false">H3576*INDEX('Model Inputs &amp; Assumptions'!$G$40:$G$42,MATCH('Model Inputs &amp; Assumptions'!$L$35,'Model Inputs &amp; Assumptions'!$A$40:$A$42,0))*INDEX('Model Inputs &amp; Assumptions'!$H$40:$H$42,MATCH('Model Inputs &amp; Assumptions'!$L$35,'Model Inputs &amp; Assumptions'!$A$40:$A$42,0))</f>
        <v>5867.35037670366</v>
      </c>
      <c r="L3576" s="51" t="n">
        <f aca="false">IFERROR(K3576/I3576,0)</f>
        <v>0.676523196280747</v>
      </c>
      <c r="M3576" s="49" t="n">
        <f aca="false">IFERROR(I3576/H3576,0)</f>
        <v>282.695406530649</v>
      </c>
      <c r="N3576" s="52" t="str">
        <f aca="false">'Model Inputs &amp; Assumptions'!$L$35</f>
        <v>PRD-EUAI</v>
      </c>
      <c r="P3576" s="53" t="n">
        <v>-0.893896</v>
      </c>
      <c r="Q3576" s="53" t="n">
        <v>0.309015</v>
      </c>
      <c r="R3576" s="53" t="n">
        <v>-0.948339</v>
      </c>
      <c r="S3576" s="53" t="n">
        <v>0.293778</v>
      </c>
    </row>
    <row r="3577" customFormat="false" ht="15" hidden="false" customHeight="false" outlineLevel="0" collapsed="false">
      <c r="A3577" s="43" t="n">
        <v>74</v>
      </c>
      <c r="B3577" s="44" t="str">
        <f aca="false">'Model Inputs &amp; Assumptions'!$B$35</f>
        <v>justETF — Sponsored Listing</v>
      </c>
      <c r="C3577" s="45" t="n">
        <f aca="false">ROUND(MAX(0,'Model Inputs &amp; Assumptions'!$S$35*EXP('Model Inputs &amp; Assumptions'!$T$35*P3577-'Model Inputs &amp; Assumptions'!$T$35^2/2)),0)</f>
        <v>77219</v>
      </c>
      <c r="D3577" s="46" t="n">
        <f aca="false">MIN(1,'Model Inputs &amp; Assumptions'!$U$35*EXP('Model Inputs &amp; Assumptions'!$V$35*Q3577-'Model Inputs &amp; Assumptions'!$V$35^2/2))</f>
        <v>0</v>
      </c>
      <c r="E3577" s="45" t="n">
        <f aca="false">ROUND(C3577*D3577,0)</f>
        <v>0</v>
      </c>
      <c r="F3577" s="47" t="n">
        <f aca="false">MIN(1,'Model Inputs &amp; Assumptions'!$W$35*EXP('Model Inputs &amp; Assumptions'!$X$35*R3577-'Model Inputs &amp; Assumptions'!$X$35^2/2))</f>
        <v>0.00645715440648961</v>
      </c>
      <c r="G3577" s="45" t="n">
        <f aca="false">ROUND(C3577*F3577,0)</f>
        <v>499</v>
      </c>
      <c r="H3577" s="48" t="n">
        <f aca="false">MAX(0,(C3577*'Model Inputs &amp; Assumptions'!$N$35+E3577*'Model Inputs &amp; Assumptions'!$O$35+G3577*'Model Inputs &amp; Assumptions'!$P$35)*EXP('Model Inputs &amp; Assumptions'!$Q$35*S3577-'Model Inputs &amp; Assumptions'!$Q$35^2/2))</f>
        <v>28.8953290884448</v>
      </c>
      <c r="I3577" s="49" t="n">
        <f aca="false">IF('Model Inputs &amp; Assumptions'!$H$35="Fixed",'Model Inputs &amp; Assumptions'!$I$35*'Model Inputs &amp; Assumptions'!$K$35,IF('Model Inputs &amp; Assumptions'!$H$35="CPM",'Model Inputs &amp; Assumptions'!$I$35*'Model Inputs &amp; Assumptions'!$K$35*C3577/1000,IF('Model Inputs &amp; Assumptions'!$H$35="CPC",'Model Inputs &amp; Assumptions'!$I$35*'Model Inputs &amp; Assumptions'!$K$35*G3577,0)))</f>
        <v>8672.8</v>
      </c>
      <c r="J3577" s="50" t="n">
        <f aca="false">H3577*INDEX('Model Inputs &amp; Assumptions'!$D$40:$D$42,MATCH('Model Inputs &amp; Assumptions'!$L$35,'Model Inputs &amp; Assumptions'!$A$40:$A$42,0))*INDEX('Model Inputs &amp; Assumptions'!$H$40:$H$42,MATCH('Model Inputs &amp; Assumptions'!$L$35,'Model Inputs &amp; Assumptions'!$A$40:$A$42,0))</f>
        <v>245610.297251781</v>
      </c>
      <c r="K3577" s="49" t="n">
        <f aca="false">H3577*INDEX('Model Inputs &amp; Assumptions'!$G$40:$G$42,MATCH('Model Inputs &amp; Assumptions'!$L$35,'Model Inputs &amp; Assumptions'!$A$40:$A$42,0))*INDEX('Model Inputs &amp; Assumptions'!$H$40:$H$42,MATCH('Model Inputs &amp; Assumptions'!$L$35,'Model Inputs &amp; Assumptions'!$A$40:$A$42,0))</f>
        <v>5526.23168816508</v>
      </c>
      <c r="L3577" s="51" t="n">
        <f aca="false">IFERROR(K3577/I3577,0)</f>
        <v>0.637191182566769</v>
      </c>
      <c r="M3577" s="49" t="n">
        <f aca="false">IFERROR(I3577/H3577,0)</f>
        <v>300.145396283728</v>
      </c>
      <c r="N3577" s="52" t="str">
        <f aca="false">'Model Inputs &amp; Assumptions'!$L$35</f>
        <v>PRD-EUAI</v>
      </c>
      <c r="P3577" s="53" t="n">
        <v>-0.901463</v>
      </c>
      <c r="Q3577" s="53" t="n">
        <v>-0.246411</v>
      </c>
      <c r="R3577" s="53" t="n">
        <v>-0.084594</v>
      </c>
      <c r="S3577" s="53" t="n">
        <v>-0.599485</v>
      </c>
    </row>
    <row r="3578" customFormat="false" ht="15" hidden="false" customHeight="false" outlineLevel="0" collapsed="false">
      <c r="A3578" s="43" t="n">
        <v>75</v>
      </c>
      <c r="B3578" s="44" t="str">
        <f aca="false">'Model Inputs &amp; Assumptions'!$B$35</f>
        <v>justETF — Sponsored Listing</v>
      </c>
      <c r="C3578" s="45" t="n">
        <f aca="false">ROUND(MAX(0,'Model Inputs &amp; Assumptions'!$S$35*EXP('Model Inputs &amp; Assumptions'!$T$35*P3578-'Model Inputs &amp; Assumptions'!$T$35^2/2)),0)</f>
        <v>82937</v>
      </c>
      <c r="D3578" s="46" t="n">
        <f aca="false">MIN(1,'Model Inputs &amp; Assumptions'!$U$35*EXP('Model Inputs &amp; Assumptions'!$V$35*Q3578-'Model Inputs &amp; Assumptions'!$V$35^2/2))</f>
        <v>0</v>
      </c>
      <c r="E3578" s="45" t="n">
        <f aca="false">ROUND(C3578*D3578,0)</f>
        <v>0</v>
      </c>
      <c r="F3578" s="47" t="n">
        <f aca="false">MIN(1,'Model Inputs &amp; Assumptions'!$W$35*EXP('Model Inputs &amp; Assumptions'!$X$35*R3578-'Model Inputs &amp; Assumptions'!$X$35^2/2))</f>
        <v>0.00449464337398546</v>
      </c>
      <c r="G3578" s="45" t="n">
        <f aca="false">ROUND(C3578*F3578,0)</f>
        <v>373</v>
      </c>
      <c r="H3578" s="48" t="n">
        <f aca="false">MAX(0,(C3578*'Model Inputs &amp; Assumptions'!$N$35+E3578*'Model Inputs &amp; Assumptions'!$O$35+G3578*'Model Inputs &amp; Assumptions'!$P$35)*EXP('Model Inputs &amp; Assumptions'!$Q$35*S3578-'Model Inputs &amp; Assumptions'!$Q$35^2/2))</f>
        <v>24.5315931388611</v>
      </c>
      <c r="I3578" s="49" t="n">
        <f aca="false">IF('Model Inputs &amp; Assumptions'!$H$35="Fixed",'Model Inputs &amp; Assumptions'!$I$35*'Model Inputs &amp; Assumptions'!$K$35,IF('Model Inputs &amp; Assumptions'!$H$35="CPM",'Model Inputs &amp; Assumptions'!$I$35*'Model Inputs &amp; Assumptions'!$K$35*C3578/1000,IF('Model Inputs &amp; Assumptions'!$H$35="CPC",'Model Inputs &amp; Assumptions'!$I$35*'Model Inputs &amp; Assumptions'!$K$35*G3578,0)))</f>
        <v>8672.8</v>
      </c>
      <c r="J3578" s="50" t="n">
        <f aca="false">H3578*INDEX('Model Inputs &amp; Assumptions'!$D$40:$D$42,MATCH('Model Inputs &amp; Assumptions'!$L$35,'Model Inputs &amp; Assumptions'!$A$40:$A$42,0))*INDEX('Model Inputs &amp; Assumptions'!$H$40:$H$42,MATCH('Model Inputs &amp; Assumptions'!$L$35,'Model Inputs &amp; Assumptions'!$A$40:$A$42,0))</f>
        <v>208518.541680319</v>
      </c>
      <c r="K3578" s="49" t="n">
        <f aca="false">H3578*INDEX('Model Inputs &amp; Assumptions'!$G$40:$G$42,MATCH('Model Inputs &amp; Assumptions'!$L$35,'Model Inputs &amp; Assumptions'!$A$40:$A$42,0))*INDEX('Model Inputs &amp; Assumptions'!$H$40:$H$42,MATCH('Model Inputs &amp; Assumptions'!$L$35,'Model Inputs &amp; Assumptions'!$A$40:$A$42,0))</f>
        <v>4691.66718780718</v>
      </c>
      <c r="L3578" s="51" t="n">
        <f aca="false">IFERROR(K3578/I3578,0)</f>
        <v>0.540963378356146</v>
      </c>
      <c r="M3578" s="49" t="n">
        <f aca="false">IFERROR(I3578/H3578,0)</f>
        <v>353.535946520375</v>
      </c>
      <c r="N3578" s="52" t="str">
        <f aca="false">'Model Inputs &amp; Assumptions'!$L$35</f>
        <v>PRD-EUAI</v>
      </c>
      <c r="P3578" s="53" t="n">
        <v>-0.425279</v>
      </c>
      <c r="Q3578" s="53" t="n">
        <v>-1.853989</v>
      </c>
      <c r="R3578" s="53" t="n">
        <v>-1.896106</v>
      </c>
      <c r="S3578" s="53" t="n">
        <v>-0.109833</v>
      </c>
    </row>
    <row r="3579" customFormat="false" ht="15" hidden="false" customHeight="false" outlineLevel="0" collapsed="false">
      <c r="A3579" s="43" t="n">
        <v>76</v>
      </c>
      <c r="B3579" s="44" t="str">
        <f aca="false">'Model Inputs &amp; Assumptions'!$B$35</f>
        <v>justETF — Sponsored Listing</v>
      </c>
      <c r="C3579" s="45" t="n">
        <f aca="false">ROUND(MAX(0,'Model Inputs &amp; Assumptions'!$S$35*EXP('Model Inputs &amp; Assumptions'!$T$35*P3579-'Model Inputs &amp; Assumptions'!$T$35^2/2)),0)</f>
        <v>114992</v>
      </c>
      <c r="D3579" s="46" t="n">
        <f aca="false">MIN(1,'Model Inputs &amp; Assumptions'!$U$35*EXP('Model Inputs &amp; Assumptions'!$V$35*Q3579-'Model Inputs &amp; Assumptions'!$V$35^2/2))</f>
        <v>0</v>
      </c>
      <c r="E3579" s="45" t="n">
        <f aca="false">ROUND(C3579*D3579,0)</f>
        <v>0</v>
      </c>
      <c r="F3579" s="47" t="n">
        <f aca="false">MIN(1,'Model Inputs &amp; Assumptions'!$W$35*EXP('Model Inputs &amp; Assumptions'!$X$35*R3579-'Model Inputs &amp; Assumptions'!$X$35^2/2))</f>
        <v>0.00705395693252038</v>
      </c>
      <c r="G3579" s="45" t="n">
        <f aca="false">ROUND(C3579*F3579,0)</f>
        <v>811</v>
      </c>
      <c r="H3579" s="48" t="n">
        <f aca="false">MAX(0,(C3579*'Model Inputs &amp; Assumptions'!$N$35+E3579*'Model Inputs &amp; Assumptions'!$O$35+G3579*'Model Inputs &amp; Assumptions'!$P$35)*EXP('Model Inputs &amp; Assumptions'!$Q$35*S3579-'Model Inputs &amp; Assumptions'!$Q$35^2/2))</f>
        <v>47.5493736846181</v>
      </c>
      <c r="I3579" s="49" t="n">
        <f aca="false">IF('Model Inputs &amp; Assumptions'!$H$35="Fixed",'Model Inputs &amp; Assumptions'!$I$35*'Model Inputs &amp; Assumptions'!$K$35,IF('Model Inputs &amp; Assumptions'!$H$35="CPM",'Model Inputs &amp; Assumptions'!$I$35*'Model Inputs &amp; Assumptions'!$K$35*C3579/1000,IF('Model Inputs &amp; Assumptions'!$H$35="CPC",'Model Inputs &amp; Assumptions'!$I$35*'Model Inputs &amp; Assumptions'!$K$35*G3579,0)))</f>
        <v>8672.8</v>
      </c>
      <c r="J3579" s="50" t="n">
        <f aca="false">H3579*INDEX('Model Inputs &amp; Assumptions'!$D$40:$D$42,MATCH('Model Inputs &amp; Assumptions'!$L$35,'Model Inputs &amp; Assumptions'!$A$40:$A$42,0))*INDEX('Model Inputs &amp; Assumptions'!$H$40:$H$42,MATCH('Model Inputs &amp; Assumptions'!$L$35,'Model Inputs &amp; Assumptions'!$A$40:$A$42,0))</f>
        <v>404169.676319254</v>
      </c>
      <c r="K3579" s="49" t="n">
        <f aca="false">H3579*INDEX('Model Inputs &amp; Assumptions'!$G$40:$G$42,MATCH('Model Inputs &amp; Assumptions'!$L$35,'Model Inputs &amp; Assumptions'!$A$40:$A$42,0))*INDEX('Model Inputs &amp; Assumptions'!$H$40:$H$42,MATCH('Model Inputs &amp; Assumptions'!$L$35,'Model Inputs &amp; Assumptions'!$A$40:$A$42,0))</f>
        <v>9093.81771718322</v>
      </c>
      <c r="L3579" s="51" t="n">
        <f aca="false">IFERROR(K3579/I3579,0)</f>
        <v>1.04854461271829</v>
      </c>
      <c r="M3579" s="49" t="n">
        <f aca="false">IFERROR(I3579/H3579,0)</f>
        <v>182.395672706949</v>
      </c>
      <c r="N3579" s="52" t="str">
        <f aca="false">'Model Inputs &amp; Assumptions'!$L$35</f>
        <v>PRD-EUAI</v>
      </c>
      <c r="P3579" s="53" t="n">
        <v>1.753252</v>
      </c>
      <c r="Q3579" s="53" t="n">
        <v>-0.98457</v>
      </c>
      <c r="R3579" s="53" t="n">
        <v>0.357406</v>
      </c>
      <c r="S3579" s="53" t="n">
        <v>-0.55169</v>
      </c>
    </row>
    <row r="3580" customFormat="false" ht="15" hidden="false" customHeight="false" outlineLevel="0" collapsed="false">
      <c r="A3580" s="43" t="n">
        <v>77</v>
      </c>
      <c r="B3580" s="44" t="str">
        <f aca="false">'Model Inputs &amp; Assumptions'!$B$35</f>
        <v>justETF — Sponsored Listing</v>
      </c>
      <c r="C3580" s="45" t="n">
        <f aca="false">ROUND(MAX(0,'Model Inputs &amp; Assumptions'!$S$35*EXP('Model Inputs &amp; Assumptions'!$T$35*P3580-'Model Inputs &amp; Assumptions'!$T$35^2/2)),0)</f>
        <v>76878</v>
      </c>
      <c r="D3580" s="46" t="n">
        <f aca="false">MIN(1,'Model Inputs &amp; Assumptions'!$U$35*EXP('Model Inputs &amp; Assumptions'!$V$35*Q3580-'Model Inputs &amp; Assumptions'!$V$35^2/2))</f>
        <v>0</v>
      </c>
      <c r="E3580" s="45" t="n">
        <f aca="false">ROUND(C3580*D3580,0)</f>
        <v>0</v>
      </c>
      <c r="F3580" s="47" t="n">
        <f aca="false">MIN(1,'Model Inputs &amp; Assumptions'!$W$35*EXP('Model Inputs &amp; Assumptions'!$X$35*R3580-'Model Inputs &amp; Assumptions'!$X$35^2/2))</f>
        <v>0.00806094928111703</v>
      </c>
      <c r="G3580" s="45" t="n">
        <f aca="false">ROUND(C3580*F3580,0)</f>
        <v>620</v>
      </c>
      <c r="H3580" s="48" t="n">
        <f aca="false">MAX(0,(C3580*'Model Inputs &amp; Assumptions'!$N$35+E3580*'Model Inputs &amp; Assumptions'!$O$35+G3580*'Model Inputs &amp; Assumptions'!$P$35)*EXP('Model Inputs &amp; Assumptions'!$Q$35*S3580-'Model Inputs &amp; Assumptions'!$Q$35^2/2))</f>
        <v>54.9269774913475</v>
      </c>
      <c r="I3580" s="49" t="n">
        <f aca="false">IF('Model Inputs &amp; Assumptions'!$H$35="Fixed",'Model Inputs &amp; Assumptions'!$I$35*'Model Inputs &amp; Assumptions'!$K$35,IF('Model Inputs &amp; Assumptions'!$H$35="CPM",'Model Inputs &amp; Assumptions'!$I$35*'Model Inputs &amp; Assumptions'!$K$35*C3580/1000,IF('Model Inputs &amp; Assumptions'!$H$35="CPC",'Model Inputs &amp; Assumptions'!$I$35*'Model Inputs &amp; Assumptions'!$K$35*G3580,0)))</f>
        <v>8672.8</v>
      </c>
      <c r="J3580" s="50" t="n">
        <f aca="false">H3580*INDEX('Model Inputs &amp; Assumptions'!$D$40:$D$42,MATCH('Model Inputs &amp; Assumptions'!$L$35,'Model Inputs &amp; Assumptions'!$A$40:$A$42,0))*INDEX('Model Inputs &amp; Assumptions'!$H$40:$H$42,MATCH('Model Inputs &amp; Assumptions'!$L$35,'Model Inputs &amp; Assumptions'!$A$40:$A$42,0))</f>
        <v>466879.308676453</v>
      </c>
      <c r="K3580" s="49" t="n">
        <f aca="false">H3580*INDEX('Model Inputs &amp; Assumptions'!$G$40:$G$42,MATCH('Model Inputs &amp; Assumptions'!$L$35,'Model Inputs &amp; Assumptions'!$A$40:$A$42,0))*INDEX('Model Inputs &amp; Assumptions'!$H$40:$H$42,MATCH('Model Inputs &amp; Assumptions'!$L$35,'Model Inputs &amp; Assumptions'!$A$40:$A$42,0))</f>
        <v>10504.7844452202</v>
      </c>
      <c r="L3580" s="51" t="n">
        <f aca="false">IFERROR(K3580/I3580,0)</f>
        <v>1.21123333239786</v>
      </c>
      <c r="M3580" s="49" t="n">
        <f aca="false">IFERROR(I3580/H3580,0)</f>
        <v>157.896909608147</v>
      </c>
      <c r="N3580" s="52" t="str">
        <f aca="false">'Model Inputs &amp; Assumptions'!$L$35</f>
        <v>PRD-EUAI</v>
      </c>
      <c r="P3580" s="53" t="n">
        <v>-0.930996</v>
      </c>
      <c r="Q3580" s="53" t="n">
        <v>-1.108692</v>
      </c>
      <c r="R3580" s="53" t="n">
        <v>1.024619</v>
      </c>
      <c r="S3580" s="53" t="n">
        <v>1.035943</v>
      </c>
    </row>
    <row r="3581" customFormat="false" ht="15" hidden="false" customHeight="false" outlineLevel="0" collapsed="false">
      <c r="A3581" s="43" t="n">
        <v>78</v>
      </c>
      <c r="B3581" s="44" t="str">
        <f aca="false">'Model Inputs &amp; Assumptions'!$B$35</f>
        <v>justETF — Sponsored Listing</v>
      </c>
      <c r="C3581" s="45" t="n">
        <f aca="false">ROUND(MAX(0,'Model Inputs &amp; Assumptions'!$S$35*EXP('Model Inputs &amp; Assumptions'!$T$35*P3581-'Model Inputs &amp; Assumptions'!$T$35^2/2)),0)</f>
        <v>78561</v>
      </c>
      <c r="D3581" s="46" t="n">
        <f aca="false">MIN(1,'Model Inputs &amp; Assumptions'!$U$35*EXP('Model Inputs &amp; Assumptions'!$V$35*Q3581-'Model Inputs &amp; Assumptions'!$V$35^2/2))</f>
        <v>0</v>
      </c>
      <c r="E3581" s="45" t="n">
        <f aca="false">ROUND(C3581*D3581,0)</f>
        <v>0</v>
      </c>
      <c r="F3581" s="47" t="n">
        <f aca="false">MIN(1,'Model Inputs &amp; Assumptions'!$W$35*EXP('Model Inputs &amp; Assumptions'!$X$35*R3581-'Model Inputs &amp; Assumptions'!$X$35^2/2))</f>
        <v>0.00658771879117097</v>
      </c>
      <c r="G3581" s="45" t="n">
        <f aca="false">ROUND(C3581*F3581,0)</f>
        <v>518</v>
      </c>
      <c r="H3581" s="48" t="n">
        <f aca="false">MAX(0,(C3581*'Model Inputs &amp; Assumptions'!$N$35+E3581*'Model Inputs &amp; Assumptions'!$O$35+G3581*'Model Inputs &amp; Assumptions'!$P$35)*EXP('Model Inputs &amp; Assumptions'!$Q$35*S3581-'Model Inputs &amp; Assumptions'!$Q$35^2/2))</f>
        <v>26.4062642796921</v>
      </c>
      <c r="I3581" s="49" t="n">
        <f aca="false">IF('Model Inputs &amp; Assumptions'!$H$35="Fixed",'Model Inputs &amp; Assumptions'!$I$35*'Model Inputs &amp; Assumptions'!$K$35,IF('Model Inputs &amp; Assumptions'!$H$35="CPM",'Model Inputs &amp; Assumptions'!$I$35*'Model Inputs &amp; Assumptions'!$K$35*C3581/1000,IF('Model Inputs &amp; Assumptions'!$H$35="CPC",'Model Inputs &amp; Assumptions'!$I$35*'Model Inputs &amp; Assumptions'!$K$35*G3581,0)))</f>
        <v>8672.8</v>
      </c>
      <c r="J3581" s="50" t="n">
        <f aca="false">H3581*INDEX('Model Inputs &amp; Assumptions'!$D$40:$D$42,MATCH('Model Inputs &amp; Assumptions'!$L$35,'Model Inputs &amp; Assumptions'!$A$40:$A$42,0))*INDEX('Model Inputs &amp; Assumptions'!$H$40:$H$42,MATCH('Model Inputs &amp; Assumptions'!$L$35,'Model Inputs &amp; Assumptions'!$A$40:$A$42,0))</f>
        <v>224453.246377383</v>
      </c>
      <c r="K3581" s="49" t="n">
        <f aca="false">H3581*INDEX('Model Inputs &amp; Assumptions'!$G$40:$G$42,MATCH('Model Inputs &amp; Assumptions'!$L$35,'Model Inputs &amp; Assumptions'!$A$40:$A$42,0))*INDEX('Model Inputs &amp; Assumptions'!$H$40:$H$42,MATCH('Model Inputs &amp; Assumptions'!$L$35,'Model Inputs &amp; Assumptions'!$A$40:$A$42,0))</f>
        <v>5050.19804349111</v>
      </c>
      <c r="L3581" s="51" t="n">
        <f aca="false">IFERROR(K3581/I3581,0)</f>
        <v>0.58230306746277</v>
      </c>
      <c r="M3581" s="49" t="n">
        <f aca="false">IFERROR(I3581/H3581,0)</f>
        <v>328.437218840905</v>
      </c>
      <c r="N3581" s="52" t="str">
        <f aca="false">'Model Inputs &amp; Assumptions'!$L$35</f>
        <v>PRD-EUAI</v>
      </c>
      <c r="P3581" s="53" t="n">
        <v>-0.786607</v>
      </c>
      <c r="Q3581" s="53" t="n">
        <v>-0.329516</v>
      </c>
      <c r="R3581" s="53" t="n">
        <v>0.015498</v>
      </c>
      <c r="S3581" s="53" t="n">
        <v>-1.089669</v>
      </c>
    </row>
    <row r="3582" customFormat="false" ht="15" hidden="false" customHeight="false" outlineLevel="0" collapsed="false">
      <c r="A3582" s="43" t="n">
        <v>79</v>
      </c>
      <c r="B3582" s="44" t="str">
        <f aca="false">'Model Inputs &amp; Assumptions'!$B$35</f>
        <v>justETF — Sponsored Listing</v>
      </c>
      <c r="C3582" s="45" t="n">
        <f aca="false">ROUND(MAX(0,'Model Inputs &amp; Assumptions'!$S$35*EXP('Model Inputs &amp; Assumptions'!$T$35*P3582-'Model Inputs &amp; Assumptions'!$T$35^2/2)),0)</f>
        <v>114060</v>
      </c>
      <c r="D3582" s="46" t="n">
        <f aca="false">MIN(1,'Model Inputs &amp; Assumptions'!$U$35*EXP('Model Inputs &amp; Assumptions'!$V$35*Q3582-'Model Inputs &amp; Assumptions'!$V$35^2/2))</f>
        <v>0</v>
      </c>
      <c r="E3582" s="45" t="n">
        <f aca="false">ROUND(C3582*D3582,0)</f>
        <v>0</v>
      </c>
      <c r="F3582" s="47" t="n">
        <f aca="false">MIN(1,'Model Inputs &amp; Assumptions'!$W$35*EXP('Model Inputs &amp; Assumptions'!$X$35*R3582-'Model Inputs &amp; Assumptions'!$X$35^2/2))</f>
        <v>0.00615842785357982</v>
      </c>
      <c r="G3582" s="45" t="n">
        <f aca="false">ROUND(C3582*F3582,0)</f>
        <v>702</v>
      </c>
      <c r="H3582" s="48" t="n">
        <f aca="false">MAX(0,(C3582*'Model Inputs &amp; Assumptions'!$N$35+E3582*'Model Inputs &amp; Assumptions'!$O$35+G3582*'Model Inputs &amp; Assumptions'!$P$35)*EXP('Model Inputs &amp; Assumptions'!$Q$35*S3582-'Model Inputs &amp; Assumptions'!$Q$35^2/2))</f>
        <v>51.9438780297536</v>
      </c>
      <c r="I3582" s="49" t="n">
        <f aca="false">IF('Model Inputs &amp; Assumptions'!$H$35="Fixed",'Model Inputs &amp; Assumptions'!$I$35*'Model Inputs &amp; Assumptions'!$K$35,IF('Model Inputs &amp; Assumptions'!$H$35="CPM",'Model Inputs &amp; Assumptions'!$I$35*'Model Inputs &amp; Assumptions'!$K$35*C3582/1000,IF('Model Inputs &amp; Assumptions'!$H$35="CPC",'Model Inputs &amp; Assumptions'!$I$35*'Model Inputs &amp; Assumptions'!$K$35*G3582,0)))</f>
        <v>8672.8</v>
      </c>
      <c r="J3582" s="50" t="n">
        <f aca="false">H3582*INDEX('Model Inputs &amp; Assumptions'!$D$40:$D$42,MATCH('Model Inputs &amp; Assumptions'!$L$35,'Model Inputs &amp; Assumptions'!$A$40:$A$42,0))*INDEX('Model Inputs &amp; Assumptions'!$H$40:$H$42,MATCH('Model Inputs &amp; Assumptions'!$L$35,'Model Inputs &amp; Assumptions'!$A$40:$A$42,0))</f>
        <v>441522.963252906</v>
      </c>
      <c r="K3582" s="49" t="n">
        <f aca="false">H3582*INDEX('Model Inputs &amp; Assumptions'!$G$40:$G$42,MATCH('Model Inputs &amp; Assumptions'!$L$35,'Model Inputs &amp; Assumptions'!$A$40:$A$42,0))*INDEX('Model Inputs &amp; Assumptions'!$H$40:$H$42,MATCH('Model Inputs &amp; Assumptions'!$L$35,'Model Inputs &amp; Assumptions'!$A$40:$A$42,0))</f>
        <v>9934.26667319038</v>
      </c>
      <c r="L3582" s="51" t="n">
        <f aca="false">IFERROR(K3582/I3582,0)</f>
        <v>1.14545091241472</v>
      </c>
      <c r="M3582" s="49" t="n">
        <f aca="false">IFERROR(I3582/H3582,0)</f>
        <v>166.96481527683</v>
      </c>
      <c r="N3582" s="52" t="str">
        <f aca="false">'Model Inputs &amp; Assumptions'!$L$35</f>
        <v>PRD-EUAI</v>
      </c>
      <c r="P3582" s="53" t="n">
        <v>1.699046</v>
      </c>
      <c r="Q3582" s="53" t="n">
        <v>1.115335</v>
      </c>
      <c r="R3582" s="53" t="n">
        <v>-0.32143</v>
      </c>
      <c r="S3582" s="53" t="n">
        <v>0.343425</v>
      </c>
    </row>
    <row r="3583" customFormat="false" ht="15" hidden="false" customHeight="false" outlineLevel="0" collapsed="false">
      <c r="A3583" s="43" t="n">
        <v>80</v>
      </c>
      <c r="B3583" s="44" t="str">
        <f aca="false">'Model Inputs &amp; Assumptions'!$B$35</f>
        <v>justETF — Sponsored Listing</v>
      </c>
      <c r="C3583" s="45" t="n">
        <f aca="false">ROUND(MAX(0,'Model Inputs &amp; Assumptions'!$S$35*EXP('Model Inputs &amp; Assumptions'!$T$35*P3583-'Model Inputs &amp; Assumptions'!$T$35^2/2)),0)</f>
        <v>93765</v>
      </c>
      <c r="D3583" s="46" t="n">
        <f aca="false">MIN(1,'Model Inputs &amp; Assumptions'!$U$35*EXP('Model Inputs &amp; Assumptions'!$V$35*Q3583-'Model Inputs &amp; Assumptions'!$V$35^2/2))</f>
        <v>0</v>
      </c>
      <c r="E3583" s="45" t="n">
        <f aca="false">ROUND(C3583*D3583,0)</f>
        <v>0</v>
      </c>
      <c r="F3583" s="47" t="n">
        <f aca="false">MIN(1,'Model Inputs &amp; Assumptions'!$W$35*EXP('Model Inputs &amp; Assumptions'!$X$35*R3583-'Model Inputs &amp; Assumptions'!$X$35^2/2))</f>
        <v>0.00611948000491317</v>
      </c>
      <c r="G3583" s="45" t="n">
        <f aca="false">ROUND(C3583*F3583,0)</f>
        <v>574</v>
      </c>
      <c r="H3583" s="48" t="n">
        <f aca="false">MAX(0,(C3583*'Model Inputs &amp; Assumptions'!$N$35+E3583*'Model Inputs &amp; Assumptions'!$O$35+G3583*'Model Inputs &amp; Assumptions'!$P$35)*EXP('Model Inputs &amp; Assumptions'!$Q$35*S3583-'Model Inputs &amp; Assumptions'!$Q$35^2/2))</f>
        <v>36.1378516934631</v>
      </c>
      <c r="I3583" s="49" t="n">
        <f aca="false">IF('Model Inputs &amp; Assumptions'!$H$35="Fixed",'Model Inputs &amp; Assumptions'!$I$35*'Model Inputs &amp; Assumptions'!$K$35,IF('Model Inputs &amp; Assumptions'!$H$35="CPM",'Model Inputs &amp; Assumptions'!$I$35*'Model Inputs &amp; Assumptions'!$K$35*C3583/1000,IF('Model Inputs &amp; Assumptions'!$H$35="CPC",'Model Inputs &amp; Assumptions'!$I$35*'Model Inputs &amp; Assumptions'!$K$35*G3583,0)))</f>
        <v>8672.8</v>
      </c>
      <c r="J3583" s="50" t="n">
        <f aca="false">H3583*INDEX('Model Inputs &amp; Assumptions'!$D$40:$D$42,MATCH('Model Inputs &amp; Assumptions'!$L$35,'Model Inputs &amp; Assumptions'!$A$40:$A$42,0))*INDEX('Model Inputs &amp; Assumptions'!$H$40:$H$42,MATCH('Model Inputs &amp; Assumptions'!$L$35,'Model Inputs &amp; Assumptions'!$A$40:$A$42,0))</f>
        <v>307171.739394436</v>
      </c>
      <c r="K3583" s="49" t="n">
        <f aca="false">H3583*INDEX('Model Inputs &amp; Assumptions'!$G$40:$G$42,MATCH('Model Inputs &amp; Assumptions'!$L$35,'Model Inputs &amp; Assumptions'!$A$40:$A$42,0))*INDEX('Model Inputs &amp; Assumptions'!$H$40:$H$42,MATCH('Model Inputs &amp; Assumptions'!$L$35,'Model Inputs &amp; Assumptions'!$A$40:$A$42,0))</f>
        <v>6911.36413637482</v>
      </c>
      <c r="L3583" s="51" t="n">
        <f aca="false">IFERROR(K3583/I3583,0)</f>
        <v>0.796901131857626</v>
      </c>
      <c r="M3583" s="49" t="n">
        <f aca="false">IFERROR(I3583/H3583,0)</f>
        <v>239.992129957432</v>
      </c>
      <c r="N3583" s="52" t="str">
        <f aca="false">'Model Inputs &amp; Assumptions'!$L$35</f>
        <v>PRD-EUAI</v>
      </c>
      <c r="P3583" s="53" t="n">
        <v>0.392821</v>
      </c>
      <c r="Q3583" s="53" t="n">
        <v>-1.043126</v>
      </c>
      <c r="R3583" s="53" t="n">
        <v>-0.353152</v>
      </c>
      <c r="S3583" s="53" t="n">
        <v>-0.277802</v>
      </c>
    </row>
    <row r="3584" customFormat="false" ht="15" hidden="false" customHeight="false" outlineLevel="0" collapsed="false">
      <c r="A3584" s="43" t="n">
        <v>81</v>
      </c>
      <c r="B3584" s="44" t="str">
        <f aca="false">'Model Inputs &amp; Assumptions'!$B$35</f>
        <v>justETF — Sponsored Listing</v>
      </c>
      <c r="C3584" s="45" t="n">
        <f aca="false">ROUND(MAX(0,'Model Inputs &amp; Assumptions'!$S$35*EXP('Model Inputs &amp; Assumptions'!$T$35*P3584-'Model Inputs &amp; Assumptions'!$T$35^2/2)),0)</f>
        <v>87082</v>
      </c>
      <c r="D3584" s="46" t="n">
        <f aca="false">MIN(1,'Model Inputs &amp; Assumptions'!$U$35*EXP('Model Inputs &amp; Assumptions'!$V$35*Q3584-'Model Inputs &amp; Assumptions'!$V$35^2/2))</f>
        <v>0</v>
      </c>
      <c r="E3584" s="45" t="n">
        <f aca="false">ROUND(C3584*D3584,0)</f>
        <v>0</v>
      </c>
      <c r="F3584" s="47" t="n">
        <f aca="false">MIN(1,'Model Inputs &amp; Assumptions'!$W$35*EXP('Model Inputs &amp; Assumptions'!$X$35*R3584-'Model Inputs &amp; Assumptions'!$X$35^2/2))</f>
        <v>0.00687802348419282</v>
      </c>
      <c r="G3584" s="45" t="n">
        <f aca="false">ROUND(C3584*F3584,0)</f>
        <v>599</v>
      </c>
      <c r="H3584" s="48" t="n">
        <f aca="false">MAX(0,(C3584*'Model Inputs &amp; Assumptions'!$N$35+E3584*'Model Inputs &amp; Assumptions'!$O$35+G3584*'Model Inputs &amp; Assumptions'!$P$35)*EXP('Model Inputs &amp; Assumptions'!$Q$35*S3584-'Model Inputs &amp; Assumptions'!$Q$35^2/2))</f>
        <v>42.0081077442357</v>
      </c>
      <c r="I3584" s="49" t="n">
        <f aca="false">IF('Model Inputs &amp; Assumptions'!$H$35="Fixed",'Model Inputs &amp; Assumptions'!$I$35*'Model Inputs &amp; Assumptions'!$K$35,IF('Model Inputs &amp; Assumptions'!$H$35="CPM",'Model Inputs &amp; Assumptions'!$I$35*'Model Inputs &amp; Assumptions'!$K$35*C3584/1000,IF('Model Inputs &amp; Assumptions'!$H$35="CPC",'Model Inputs &amp; Assumptions'!$I$35*'Model Inputs &amp; Assumptions'!$K$35*G3584,0)))</f>
        <v>8672.8</v>
      </c>
      <c r="J3584" s="50" t="n">
        <f aca="false">H3584*INDEX('Model Inputs &amp; Assumptions'!$D$40:$D$42,MATCH('Model Inputs &amp; Assumptions'!$L$35,'Model Inputs &amp; Assumptions'!$A$40:$A$42,0))*INDEX('Model Inputs &amp; Assumptions'!$H$40:$H$42,MATCH('Model Inputs &amp; Assumptions'!$L$35,'Model Inputs &amp; Assumptions'!$A$40:$A$42,0))</f>
        <v>357068.915826004</v>
      </c>
      <c r="K3584" s="49" t="n">
        <f aca="false">H3584*INDEX('Model Inputs &amp; Assumptions'!$G$40:$G$42,MATCH('Model Inputs &amp; Assumptions'!$L$35,'Model Inputs &amp; Assumptions'!$A$40:$A$42,0))*INDEX('Model Inputs &amp; Assumptions'!$H$40:$H$42,MATCH('Model Inputs &amp; Assumptions'!$L$35,'Model Inputs &amp; Assumptions'!$A$40:$A$42,0))</f>
        <v>8034.05060608508</v>
      </c>
      <c r="L3584" s="51" t="n">
        <f aca="false">IFERROR(K3584/I3584,0)</f>
        <v>0.926350268204626</v>
      </c>
      <c r="M3584" s="49" t="n">
        <f aca="false">IFERROR(I3584/H3584,0)</f>
        <v>206.455383632224</v>
      </c>
      <c r="N3584" s="52" t="str">
        <f aca="false">'Model Inputs &amp; Assumptions'!$L$35</f>
        <v>PRD-EUAI</v>
      </c>
      <c r="P3584" s="53" t="n">
        <v>-0.100156</v>
      </c>
      <c r="Q3584" s="53" t="n">
        <v>-0.019738</v>
      </c>
      <c r="R3584" s="53" t="n">
        <v>0.231119</v>
      </c>
      <c r="S3584" s="53" t="n">
        <v>0.137158</v>
      </c>
    </row>
    <row r="3585" customFormat="false" ht="15" hidden="false" customHeight="false" outlineLevel="0" collapsed="false">
      <c r="A3585" s="43" t="n">
        <v>82</v>
      </c>
      <c r="B3585" s="44" t="str">
        <f aca="false">'Model Inputs &amp; Assumptions'!$B$35</f>
        <v>justETF — Sponsored Listing</v>
      </c>
      <c r="C3585" s="45" t="n">
        <f aca="false">ROUND(MAX(0,'Model Inputs &amp; Assumptions'!$S$35*EXP('Model Inputs &amp; Assumptions'!$T$35*P3585-'Model Inputs &amp; Assumptions'!$T$35^2/2)),0)</f>
        <v>106248</v>
      </c>
      <c r="D3585" s="46" t="n">
        <f aca="false">MIN(1,'Model Inputs &amp; Assumptions'!$U$35*EXP('Model Inputs &amp; Assumptions'!$V$35*Q3585-'Model Inputs &amp; Assumptions'!$V$35^2/2))</f>
        <v>0</v>
      </c>
      <c r="E3585" s="45" t="n">
        <f aca="false">ROUND(C3585*D3585,0)</f>
        <v>0</v>
      </c>
      <c r="F3585" s="47" t="n">
        <f aca="false">MIN(1,'Model Inputs &amp; Assumptions'!$W$35*EXP('Model Inputs &amp; Assumptions'!$X$35*R3585-'Model Inputs &amp; Assumptions'!$X$35^2/2))</f>
        <v>0.00600341291331003</v>
      </c>
      <c r="G3585" s="45" t="n">
        <f aca="false">ROUND(C3585*F3585,0)</f>
        <v>638</v>
      </c>
      <c r="H3585" s="48" t="n">
        <f aca="false">MAX(0,(C3585*'Model Inputs &amp; Assumptions'!$N$35+E3585*'Model Inputs &amp; Assumptions'!$O$35+G3585*'Model Inputs &amp; Assumptions'!$P$35)*EXP('Model Inputs &amp; Assumptions'!$Q$35*S3585-'Model Inputs &amp; Assumptions'!$Q$35^2/2))</f>
        <v>21.935296821906</v>
      </c>
      <c r="I3585" s="49" t="n">
        <f aca="false">IF('Model Inputs &amp; Assumptions'!$H$35="Fixed",'Model Inputs &amp; Assumptions'!$I$35*'Model Inputs &amp; Assumptions'!$K$35,IF('Model Inputs &amp; Assumptions'!$H$35="CPM",'Model Inputs &amp; Assumptions'!$I$35*'Model Inputs &amp; Assumptions'!$K$35*C3585/1000,IF('Model Inputs &amp; Assumptions'!$H$35="CPC",'Model Inputs &amp; Assumptions'!$I$35*'Model Inputs &amp; Assumptions'!$K$35*G3585,0)))</f>
        <v>8672.8</v>
      </c>
      <c r="J3585" s="50" t="n">
        <f aca="false">H3585*INDEX('Model Inputs &amp; Assumptions'!$D$40:$D$42,MATCH('Model Inputs &amp; Assumptions'!$L$35,'Model Inputs &amp; Assumptions'!$A$40:$A$42,0))*INDEX('Model Inputs &amp; Assumptions'!$H$40:$H$42,MATCH('Model Inputs &amp; Assumptions'!$L$35,'Model Inputs &amp; Assumptions'!$A$40:$A$42,0))</f>
        <v>186450.022986201</v>
      </c>
      <c r="K3585" s="49" t="n">
        <f aca="false">H3585*INDEX('Model Inputs &amp; Assumptions'!$G$40:$G$42,MATCH('Model Inputs &amp; Assumptions'!$L$35,'Model Inputs &amp; Assumptions'!$A$40:$A$42,0))*INDEX('Model Inputs &amp; Assumptions'!$H$40:$H$42,MATCH('Model Inputs &amp; Assumptions'!$L$35,'Model Inputs &amp; Assumptions'!$A$40:$A$42,0))</f>
        <v>4195.12551718953</v>
      </c>
      <c r="L3585" s="51" t="n">
        <f aca="false">IFERROR(K3585/I3585,0)</f>
        <v>0.483710626001929</v>
      </c>
      <c r="M3585" s="49" t="n">
        <f aca="false">IFERROR(I3585/H3585,0)</f>
        <v>395.381018566331</v>
      </c>
      <c r="N3585" s="52" t="str">
        <f aca="false">'Model Inputs &amp; Assumptions'!$L$35</f>
        <v>PRD-EUAI</v>
      </c>
      <c r="P3585" s="53" t="n">
        <v>1.226028</v>
      </c>
      <c r="Q3585" s="53" t="n">
        <v>-0.481403</v>
      </c>
      <c r="R3585" s="53" t="n">
        <v>-0.448897</v>
      </c>
      <c r="S3585" s="53" t="n">
        <v>-2.604543</v>
      </c>
    </row>
    <row r="3586" customFormat="false" ht="15" hidden="false" customHeight="false" outlineLevel="0" collapsed="false">
      <c r="A3586" s="43" t="n">
        <v>83</v>
      </c>
      <c r="B3586" s="44" t="str">
        <f aca="false">'Model Inputs &amp; Assumptions'!$B$35</f>
        <v>justETF — Sponsored Listing</v>
      </c>
      <c r="C3586" s="45" t="n">
        <f aca="false">ROUND(MAX(0,'Model Inputs &amp; Assumptions'!$S$35*EXP('Model Inputs &amp; Assumptions'!$T$35*P3586-'Model Inputs &amp; Assumptions'!$T$35^2/2)),0)</f>
        <v>110340</v>
      </c>
      <c r="D3586" s="46" t="n">
        <f aca="false">MIN(1,'Model Inputs &amp; Assumptions'!$U$35*EXP('Model Inputs &amp; Assumptions'!$V$35*Q3586-'Model Inputs &amp; Assumptions'!$V$35^2/2))</f>
        <v>0</v>
      </c>
      <c r="E3586" s="45" t="n">
        <f aca="false">ROUND(C3586*D3586,0)</f>
        <v>0</v>
      </c>
      <c r="F3586" s="47" t="n">
        <f aca="false">MIN(1,'Model Inputs &amp; Assumptions'!$W$35*EXP('Model Inputs &amp; Assumptions'!$X$35*R3586-'Model Inputs &amp; Assumptions'!$X$35^2/2))</f>
        <v>0.00603759000420842</v>
      </c>
      <c r="G3586" s="45" t="n">
        <f aca="false">ROUND(C3586*F3586,0)</f>
        <v>666</v>
      </c>
      <c r="H3586" s="48" t="n">
        <f aca="false">MAX(0,(C3586*'Model Inputs &amp; Assumptions'!$N$35+E3586*'Model Inputs &amp; Assumptions'!$O$35+G3586*'Model Inputs &amp; Assumptions'!$P$35)*EXP('Model Inputs &amp; Assumptions'!$Q$35*S3586-'Model Inputs &amp; Assumptions'!$Q$35^2/2))</f>
        <v>43.5830046870683</v>
      </c>
      <c r="I3586" s="49" t="n">
        <f aca="false">IF('Model Inputs &amp; Assumptions'!$H$35="Fixed",'Model Inputs &amp; Assumptions'!$I$35*'Model Inputs &amp; Assumptions'!$K$35,IF('Model Inputs &amp; Assumptions'!$H$35="CPM",'Model Inputs &amp; Assumptions'!$I$35*'Model Inputs &amp; Assumptions'!$K$35*C3586/1000,IF('Model Inputs &amp; Assumptions'!$H$35="CPC",'Model Inputs &amp; Assumptions'!$I$35*'Model Inputs &amp; Assumptions'!$K$35*G3586,0)))</f>
        <v>8672.8</v>
      </c>
      <c r="J3586" s="50" t="n">
        <f aca="false">H3586*INDEX('Model Inputs &amp; Assumptions'!$D$40:$D$42,MATCH('Model Inputs &amp; Assumptions'!$L$35,'Model Inputs &amp; Assumptions'!$A$40:$A$42,0))*INDEX('Model Inputs &amp; Assumptions'!$H$40:$H$42,MATCH('Model Inputs &amp; Assumptions'!$L$35,'Model Inputs &amp; Assumptions'!$A$40:$A$42,0))</f>
        <v>370455.539840081</v>
      </c>
      <c r="K3586" s="49" t="n">
        <f aca="false">H3586*INDEX('Model Inputs &amp; Assumptions'!$G$40:$G$42,MATCH('Model Inputs &amp; Assumptions'!$L$35,'Model Inputs &amp; Assumptions'!$A$40:$A$42,0))*INDEX('Model Inputs &amp; Assumptions'!$H$40:$H$42,MATCH('Model Inputs &amp; Assumptions'!$L$35,'Model Inputs &amp; Assumptions'!$A$40:$A$42,0))</f>
        <v>8335.24964640181</v>
      </c>
      <c r="L3586" s="51" t="n">
        <f aca="false">IFERROR(K3586/I3586,0)</f>
        <v>0.961079426067915</v>
      </c>
      <c r="M3586" s="49" t="n">
        <f aca="false">IFERROR(I3586/H3586,0)</f>
        <v>198.994999593806</v>
      </c>
      <c r="N3586" s="52" t="str">
        <f aca="false">'Model Inputs &amp; Assumptions'!$L$35</f>
        <v>PRD-EUAI</v>
      </c>
      <c r="P3586" s="53" t="n">
        <v>1.477949</v>
      </c>
      <c r="Q3586" s="53" t="n">
        <v>1.152449</v>
      </c>
      <c r="R3586" s="53" t="n">
        <v>-0.420513</v>
      </c>
      <c r="S3586" s="53" t="n">
        <v>-0.129086</v>
      </c>
    </row>
    <row r="3587" customFormat="false" ht="15" hidden="false" customHeight="false" outlineLevel="0" collapsed="false">
      <c r="A3587" s="43" t="n">
        <v>84</v>
      </c>
      <c r="B3587" s="44" t="str">
        <f aca="false">'Model Inputs &amp; Assumptions'!$B$35</f>
        <v>justETF — Sponsored Listing</v>
      </c>
      <c r="C3587" s="45" t="n">
        <f aca="false">ROUND(MAX(0,'Model Inputs &amp; Assumptions'!$S$35*EXP('Model Inputs &amp; Assumptions'!$T$35*P3587-'Model Inputs &amp; Assumptions'!$T$35^2/2)),0)</f>
        <v>105783</v>
      </c>
      <c r="D3587" s="46" t="n">
        <f aca="false">MIN(1,'Model Inputs &amp; Assumptions'!$U$35*EXP('Model Inputs &amp; Assumptions'!$V$35*Q3587-'Model Inputs &amp; Assumptions'!$V$35^2/2))</f>
        <v>0</v>
      </c>
      <c r="E3587" s="45" t="n">
        <f aca="false">ROUND(C3587*D3587,0)</f>
        <v>0</v>
      </c>
      <c r="F3587" s="47" t="n">
        <f aca="false">MIN(1,'Model Inputs &amp; Assumptions'!$W$35*EXP('Model Inputs &amp; Assumptions'!$X$35*R3587-'Model Inputs &amp; Assumptions'!$X$35^2/2))</f>
        <v>0.00594389549934443</v>
      </c>
      <c r="G3587" s="45" t="n">
        <f aca="false">ROUND(C3587*F3587,0)</f>
        <v>629</v>
      </c>
      <c r="H3587" s="48" t="n">
        <f aca="false">MAX(0,(C3587*'Model Inputs &amp; Assumptions'!$N$35+E3587*'Model Inputs &amp; Assumptions'!$O$35+G3587*'Model Inputs &amp; Assumptions'!$P$35)*EXP('Model Inputs &amp; Assumptions'!$Q$35*S3587-'Model Inputs &amp; Assumptions'!$Q$35^2/2))</f>
        <v>35.1743554861914</v>
      </c>
      <c r="I3587" s="49" t="n">
        <f aca="false">IF('Model Inputs &amp; Assumptions'!$H$35="Fixed",'Model Inputs &amp; Assumptions'!$I$35*'Model Inputs &amp; Assumptions'!$K$35,IF('Model Inputs &amp; Assumptions'!$H$35="CPM",'Model Inputs &amp; Assumptions'!$I$35*'Model Inputs &amp; Assumptions'!$K$35*C3587/1000,IF('Model Inputs &amp; Assumptions'!$H$35="CPC",'Model Inputs &amp; Assumptions'!$I$35*'Model Inputs &amp; Assumptions'!$K$35*G3587,0)))</f>
        <v>8672.8</v>
      </c>
      <c r="J3587" s="50" t="n">
        <f aca="false">H3587*INDEX('Model Inputs &amp; Assumptions'!$D$40:$D$42,MATCH('Model Inputs &amp; Assumptions'!$L$35,'Model Inputs &amp; Assumptions'!$A$40:$A$42,0))*INDEX('Model Inputs &amp; Assumptions'!$H$40:$H$42,MATCH('Model Inputs &amp; Assumptions'!$L$35,'Model Inputs &amp; Assumptions'!$A$40:$A$42,0))</f>
        <v>298982.021632627</v>
      </c>
      <c r="K3587" s="49" t="n">
        <f aca="false">H3587*INDEX('Model Inputs &amp; Assumptions'!$G$40:$G$42,MATCH('Model Inputs &amp; Assumptions'!$L$35,'Model Inputs &amp; Assumptions'!$A$40:$A$42,0))*INDEX('Model Inputs &amp; Assumptions'!$H$40:$H$42,MATCH('Model Inputs &amp; Assumptions'!$L$35,'Model Inputs &amp; Assumptions'!$A$40:$A$42,0))</f>
        <v>6727.09548673411</v>
      </c>
      <c r="L3587" s="51" t="n">
        <f aca="false">IFERROR(K3587/I3587,0)</f>
        <v>0.775654400739566</v>
      </c>
      <c r="M3587" s="49" t="n">
        <f aca="false">IFERROR(I3587/H3587,0)</f>
        <v>246.565996167427</v>
      </c>
      <c r="N3587" s="52" t="str">
        <f aca="false">'Model Inputs &amp; Assumptions'!$L$35</f>
        <v>PRD-EUAI</v>
      </c>
      <c r="P3587" s="53" t="n">
        <v>1.196819</v>
      </c>
      <c r="Q3587" s="53" t="n">
        <v>-1.696506</v>
      </c>
      <c r="R3587" s="53" t="n">
        <v>-0.498714</v>
      </c>
      <c r="S3587" s="53" t="n">
        <v>-0.733669</v>
      </c>
    </row>
    <row r="3588" customFormat="false" ht="15" hidden="false" customHeight="false" outlineLevel="0" collapsed="false">
      <c r="A3588" s="43" t="n">
        <v>85</v>
      </c>
      <c r="B3588" s="44" t="str">
        <f aca="false">'Model Inputs &amp; Assumptions'!$B$35</f>
        <v>justETF — Sponsored Listing</v>
      </c>
      <c r="C3588" s="45" t="n">
        <f aca="false">ROUND(MAX(0,'Model Inputs &amp; Assumptions'!$S$35*EXP('Model Inputs &amp; Assumptions'!$T$35*P3588-'Model Inputs &amp; Assumptions'!$T$35^2/2)),0)</f>
        <v>121290</v>
      </c>
      <c r="D3588" s="46" t="n">
        <f aca="false">MIN(1,'Model Inputs &amp; Assumptions'!$U$35*EXP('Model Inputs &amp; Assumptions'!$V$35*Q3588-'Model Inputs &amp; Assumptions'!$V$35^2/2))</f>
        <v>0</v>
      </c>
      <c r="E3588" s="45" t="n">
        <f aca="false">ROUND(C3588*D3588,0)</f>
        <v>0</v>
      </c>
      <c r="F3588" s="47" t="n">
        <f aca="false">MIN(1,'Model Inputs &amp; Assumptions'!$W$35*EXP('Model Inputs &amp; Assumptions'!$X$35*R3588-'Model Inputs &amp; Assumptions'!$X$35^2/2))</f>
        <v>0.005017242732821</v>
      </c>
      <c r="G3588" s="45" t="n">
        <f aca="false">ROUND(C3588*F3588,0)</f>
        <v>609</v>
      </c>
      <c r="H3588" s="48" t="n">
        <f aca="false">MAX(0,(C3588*'Model Inputs &amp; Assumptions'!$N$35+E3588*'Model Inputs &amp; Assumptions'!$O$35+G3588*'Model Inputs &amp; Assumptions'!$P$35)*EXP('Model Inputs &amp; Assumptions'!$Q$35*S3588-'Model Inputs &amp; Assumptions'!$Q$35^2/2))</f>
        <v>44.0220476237828</v>
      </c>
      <c r="I3588" s="49" t="n">
        <f aca="false">IF('Model Inputs &amp; Assumptions'!$H$35="Fixed",'Model Inputs &amp; Assumptions'!$I$35*'Model Inputs &amp; Assumptions'!$K$35,IF('Model Inputs &amp; Assumptions'!$H$35="CPM",'Model Inputs &amp; Assumptions'!$I$35*'Model Inputs &amp; Assumptions'!$K$35*C3588/1000,IF('Model Inputs &amp; Assumptions'!$H$35="CPC",'Model Inputs &amp; Assumptions'!$I$35*'Model Inputs &amp; Assumptions'!$K$35*G3588,0)))</f>
        <v>8672.8</v>
      </c>
      <c r="J3588" s="50" t="n">
        <f aca="false">H3588*INDEX('Model Inputs &amp; Assumptions'!$D$40:$D$42,MATCH('Model Inputs &amp; Assumptions'!$L$35,'Model Inputs &amp; Assumptions'!$A$40:$A$42,0))*INDEX('Model Inputs &amp; Assumptions'!$H$40:$H$42,MATCH('Model Inputs &amp; Assumptions'!$L$35,'Model Inputs &amp; Assumptions'!$A$40:$A$42,0))</f>
        <v>374187.404802154</v>
      </c>
      <c r="K3588" s="49" t="n">
        <f aca="false">H3588*INDEX('Model Inputs &amp; Assumptions'!$G$40:$G$42,MATCH('Model Inputs &amp; Assumptions'!$L$35,'Model Inputs &amp; Assumptions'!$A$40:$A$42,0))*INDEX('Model Inputs &amp; Assumptions'!$H$40:$H$42,MATCH('Model Inputs &amp; Assumptions'!$L$35,'Model Inputs &amp; Assumptions'!$A$40:$A$42,0))</f>
        <v>8419.21660804847</v>
      </c>
      <c r="L3588" s="51" t="n">
        <f aca="false">IFERROR(K3588/I3588,0)</f>
        <v>0.97076107001758</v>
      </c>
      <c r="M3588" s="49" t="n">
        <f aca="false">IFERROR(I3588/H3588,0)</f>
        <v>197.010372486957</v>
      </c>
      <c r="N3588" s="52" t="str">
        <f aca="false">'Model Inputs &amp; Assumptions'!$L$35</f>
        <v>PRD-EUAI</v>
      </c>
      <c r="P3588" s="53" t="n">
        <v>2.108783</v>
      </c>
      <c r="Q3588" s="53" t="n">
        <v>0.615099</v>
      </c>
      <c r="R3588" s="53" t="n">
        <v>-1.346135</v>
      </c>
      <c r="S3588" s="53" t="n">
        <v>0.253586</v>
      </c>
    </row>
    <row r="3589" customFormat="false" ht="15" hidden="false" customHeight="false" outlineLevel="0" collapsed="false">
      <c r="A3589" s="43" t="n">
        <v>86</v>
      </c>
      <c r="B3589" s="44" t="str">
        <f aca="false">'Model Inputs &amp; Assumptions'!$B$35</f>
        <v>justETF — Sponsored Listing</v>
      </c>
      <c r="C3589" s="45" t="n">
        <f aca="false">ROUND(MAX(0,'Model Inputs &amp; Assumptions'!$S$35*EXP('Model Inputs &amp; Assumptions'!$T$35*P3589-'Model Inputs &amp; Assumptions'!$T$35^2/2)),0)</f>
        <v>89304</v>
      </c>
      <c r="D3589" s="46" t="n">
        <f aca="false">MIN(1,'Model Inputs &amp; Assumptions'!$U$35*EXP('Model Inputs &amp; Assumptions'!$V$35*Q3589-'Model Inputs &amp; Assumptions'!$V$35^2/2))</f>
        <v>0</v>
      </c>
      <c r="E3589" s="45" t="n">
        <f aca="false">ROUND(C3589*D3589,0)</f>
        <v>0</v>
      </c>
      <c r="F3589" s="47" t="n">
        <f aca="false">MIN(1,'Model Inputs &amp; Assumptions'!$W$35*EXP('Model Inputs &amp; Assumptions'!$X$35*R3589-'Model Inputs &amp; Assumptions'!$X$35^2/2))</f>
        <v>0.00682421916451962</v>
      </c>
      <c r="G3589" s="45" t="n">
        <f aca="false">ROUND(C3589*F3589,0)</f>
        <v>609</v>
      </c>
      <c r="H3589" s="48" t="n">
        <f aca="false">MAX(0,(C3589*'Model Inputs &amp; Assumptions'!$N$35+E3589*'Model Inputs &amp; Assumptions'!$O$35+G3589*'Model Inputs &amp; Assumptions'!$P$35)*EXP('Model Inputs &amp; Assumptions'!$Q$35*S3589-'Model Inputs &amp; Assumptions'!$Q$35^2/2))</f>
        <v>40.6838533756884</v>
      </c>
      <c r="I3589" s="49" t="n">
        <f aca="false">IF('Model Inputs &amp; Assumptions'!$H$35="Fixed",'Model Inputs &amp; Assumptions'!$I$35*'Model Inputs &amp; Assumptions'!$K$35,IF('Model Inputs &amp; Assumptions'!$H$35="CPM",'Model Inputs &amp; Assumptions'!$I$35*'Model Inputs &amp; Assumptions'!$K$35*C3589/1000,IF('Model Inputs &amp; Assumptions'!$H$35="CPC",'Model Inputs &amp; Assumptions'!$I$35*'Model Inputs &amp; Assumptions'!$K$35*G3589,0)))</f>
        <v>8672.8</v>
      </c>
      <c r="J3589" s="50" t="n">
        <f aca="false">H3589*INDEX('Model Inputs &amp; Assumptions'!$D$40:$D$42,MATCH('Model Inputs &amp; Assumptions'!$L$35,'Model Inputs &amp; Assumptions'!$A$40:$A$42,0))*INDEX('Model Inputs &amp; Assumptions'!$H$40:$H$42,MATCH('Model Inputs &amp; Assumptions'!$L$35,'Model Inputs &amp; Assumptions'!$A$40:$A$42,0))</f>
        <v>345812.753693351</v>
      </c>
      <c r="K3589" s="49" t="n">
        <f aca="false">H3589*INDEX('Model Inputs &amp; Assumptions'!$G$40:$G$42,MATCH('Model Inputs &amp; Assumptions'!$L$35,'Model Inputs &amp; Assumptions'!$A$40:$A$42,0))*INDEX('Model Inputs &amp; Assumptions'!$H$40:$H$42,MATCH('Model Inputs &amp; Assumptions'!$L$35,'Model Inputs &amp; Assumptions'!$A$40:$A$42,0))</f>
        <v>7780.78695810041</v>
      </c>
      <c r="L3589" s="51" t="n">
        <f aca="false">IFERROR(K3589/I3589,0)</f>
        <v>0.897148205666037</v>
      </c>
      <c r="M3589" s="49" t="n">
        <f aca="false">IFERROR(I3589/H3589,0)</f>
        <v>213.175480697771</v>
      </c>
      <c r="N3589" s="52" t="str">
        <f aca="false">'Model Inputs &amp; Assumptions'!$L$35</f>
        <v>PRD-EUAI</v>
      </c>
      <c r="P3589" s="53" t="n">
        <v>0.067815</v>
      </c>
      <c r="Q3589" s="53" t="n">
        <v>-0.499882</v>
      </c>
      <c r="R3589" s="53" t="n">
        <v>0.191852</v>
      </c>
      <c r="S3589" s="53" t="n">
        <v>-0.049719</v>
      </c>
    </row>
    <row r="3590" customFormat="false" ht="15" hidden="false" customHeight="false" outlineLevel="0" collapsed="false">
      <c r="A3590" s="43" t="n">
        <v>87</v>
      </c>
      <c r="B3590" s="44" t="str">
        <f aca="false">'Model Inputs &amp; Assumptions'!$B$35</f>
        <v>justETF — Sponsored Listing</v>
      </c>
      <c r="C3590" s="45" t="n">
        <f aca="false">ROUND(MAX(0,'Model Inputs &amp; Assumptions'!$S$35*EXP('Model Inputs &amp; Assumptions'!$T$35*P3590-'Model Inputs &amp; Assumptions'!$T$35^2/2)),0)</f>
        <v>98759</v>
      </c>
      <c r="D3590" s="46" t="n">
        <f aca="false">MIN(1,'Model Inputs &amp; Assumptions'!$U$35*EXP('Model Inputs &amp; Assumptions'!$V$35*Q3590-'Model Inputs &amp; Assumptions'!$V$35^2/2))</f>
        <v>0</v>
      </c>
      <c r="E3590" s="45" t="n">
        <f aca="false">ROUND(C3590*D3590,0)</f>
        <v>0</v>
      </c>
      <c r="F3590" s="47" t="n">
        <f aca="false">MIN(1,'Model Inputs &amp; Assumptions'!$W$35*EXP('Model Inputs &amp; Assumptions'!$X$35*R3590-'Model Inputs &amp; Assumptions'!$X$35^2/2))</f>
        <v>0.00813629670621584</v>
      </c>
      <c r="G3590" s="45" t="n">
        <f aca="false">ROUND(C3590*F3590,0)</f>
        <v>804</v>
      </c>
      <c r="H3590" s="48" t="n">
        <f aca="false">MAX(0,(C3590*'Model Inputs &amp; Assumptions'!$N$35+E3590*'Model Inputs &amp; Assumptions'!$O$35+G3590*'Model Inputs &amp; Assumptions'!$P$35)*EXP('Model Inputs &amp; Assumptions'!$Q$35*S3590-'Model Inputs &amp; Assumptions'!$Q$35^2/2))</f>
        <v>47.0807791735792</v>
      </c>
      <c r="I3590" s="49" t="n">
        <f aca="false">IF('Model Inputs &amp; Assumptions'!$H$35="Fixed",'Model Inputs &amp; Assumptions'!$I$35*'Model Inputs &amp; Assumptions'!$K$35,IF('Model Inputs &amp; Assumptions'!$H$35="CPM",'Model Inputs &amp; Assumptions'!$I$35*'Model Inputs &amp; Assumptions'!$K$35*C3590/1000,IF('Model Inputs &amp; Assumptions'!$H$35="CPC",'Model Inputs &amp; Assumptions'!$I$35*'Model Inputs &amp; Assumptions'!$K$35*G3590,0)))</f>
        <v>8672.8</v>
      </c>
      <c r="J3590" s="50" t="n">
        <f aca="false">H3590*INDEX('Model Inputs &amp; Assumptions'!$D$40:$D$42,MATCH('Model Inputs &amp; Assumptions'!$L$35,'Model Inputs &amp; Assumptions'!$A$40:$A$42,0))*INDEX('Model Inputs &amp; Assumptions'!$H$40:$H$42,MATCH('Model Inputs &amp; Assumptions'!$L$35,'Model Inputs &amp; Assumptions'!$A$40:$A$42,0))</f>
        <v>400186.622975423</v>
      </c>
      <c r="K3590" s="49" t="n">
        <f aca="false">H3590*INDEX('Model Inputs &amp; Assumptions'!$G$40:$G$42,MATCH('Model Inputs &amp; Assumptions'!$L$35,'Model Inputs &amp; Assumptions'!$A$40:$A$42,0))*INDEX('Model Inputs &amp; Assumptions'!$H$40:$H$42,MATCH('Model Inputs &amp; Assumptions'!$L$35,'Model Inputs &amp; Assumptions'!$A$40:$A$42,0))</f>
        <v>9004.19901694702</v>
      </c>
      <c r="L3590" s="51" t="n">
        <f aca="false">IFERROR(K3590/I3590,0)</f>
        <v>1.03821130626176</v>
      </c>
      <c r="M3590" s="49" t="n">
        <f aca="false">IFERROR(I3590/H3590,0)</f>
        <v>184.211054962043</v>
      </c>
      <c r="N3590" s="52" t="str">
        <f aca="false">'Model Inputs &amp; Assumptions'!$L$35</f>
        <v>PRD-EUAI</v>
      </c>
      <c r="P3590" s="53" t="n">
        <v>0.73877</v>
      </c>
      <c r="Q3590" s="53" t="n">
        <v>-0.635965</v>
      </c>
      <c r="R3590" s="53" t="n">
        <v>1.071138</v>
      </c>
      <c r="S3590" s="53" t="n">
        <v>-0.55644</v>
      </c>
    </row>
    <row r="3591" customFormat="false" ht="15" hidden="false" customHeight="false" outlineLevel="0" collapsed="false">
      <c r="A3591" s="43" t="n">
        <v>88</v>
      </c>
      <c r="B3591" s="44" t="str">
        <f aca="false">'Model Inputs &amp; Assumptions'!$B$35</f>
        <v>justETF — Sponsored Listing</v>
      </c>
      <c r="C3591" s="45" t="n">
        <f aca="false">ROUND(MAX(0,'Model Inputs &amp; Assumptions'!$S$35*EXP('Model Inputs &amp; Assumptions'!$T$35*P3591-'Model Inputs &amp; Assumptions'!$T$35^2/2)),0)</f>
        <v>122388</v>
      </c>
      <c r="D3591" s="46" t="n">
        <f aca="false">MIN(1,'Model Inputs &amp; Assumptions'!$U$35*EXP('Model Inputs &amp; Assumptions'!$V$35*Q3591-'Model Inputs &amp; Assumptions'!$V$35^2/2))</f>
        <v>0</v>
      </c>
      <c r="E3591" s="45" t="n">
        <f aca="false">ROUND(C3591*D3591,0)</f>
        <v>0</v>
      </c>
      <c r="F3591" s="47" t="n">
        <f aca="false">MIN(1,'Model Inputs &amp; Assumptions'!$W$35*EXP('Model Inputs &amp; Assumptions'!$X$35*R3591-'Model Inputs &amp; Assumptions'!$X$35^2/2))</f>
        <v>0.00720232525809251</v>
      </c>
      <c r="G3591" s="45" t="n">
        <f aca="false">ROUND(C3591*F3591,0)</f>
        <v>881</v>
      </c>
      <c r="H3591" s="48" t="n">
        <f aca="false">MAX(0,(C3591*'Model Inputs &amp; Assumptions'!$N$35+E3591*'Model Inputs &amp; Assumptions'!$O$35+G3591*'Model Inputs &amp; Assumptions'!$P$35)*EXP('Model Inputs &amp; Assumptions'!$Q$35*S3591-'Model Inputs &amp; Assumptions'!$Q$35^2/2))</f>
        <v>46.5600337830273</v>
      </c>
      <c r="I3591" s="49" t="n">
        <f aca="false">IF('Model Inputs &amp; Assumptions'!$H$35="Fixed",'Model Inputs &amp; Assumptions'!$I$35*'Model Inputs &amp; Assumptions'!$K$35,IF('Model Inputs &amp; Assumptions'!$H$35="CPM",'Model Inputs &amp; Assumptions'!$I$35*'Model Inputs &amp; Assumptions'!$K$35*C3591/1000,IF('Model Inputs &amp; Assumptions'!$H$35="CPC",'Model Inputs &amp; Assumptions'!$I$35*'Model Inputs &amp; Assumptions'!$K$35*G3591,0)))</f>
        <v>8672.8</v>
      </c>
      <c r="J3591" s="50" t="n">
        <f aca="false">H3591*INDEX('Model Inputs &amp; Assumptions'!$D$40:$D$42,MATCH('Model Inputs &amp; Assumptions'!$L$35,'Model Inputs &amp; Assumptions'!$A$40:$A$42,0))*INDEX('Model Inputs &amp; Assumptions'!$H$40:$H$42,MATCH('Model Inputs &amp; Assumptions'!$L$35,'Model Inputs &amp; Assumptions'!$A$40:$A$42,0))</f>
        <v>395760.287155732</v>
      </c>
      <c r="K3591" s="49" t="n">
        <f aca="false">H3591*INDEX('Model Inputs &amp; Assumptions'!$G$40:$G$42,MATCH('Model Inputs &amp; Assumptions'!$L$35,'Model Inputs &amp; Assumptions'!$A$40:$A$42,0))*INDEX('Model Inputs &amp; Assumptions'!$H$40:$H$42,MATCH('Model Inputs &amp; Assumptions'!$L$35,'Model Inputs &amp; Assumptions'!$A$40:$A$42,0))</f>
        <v>8904.60646100397</v>
      </c>
      <c r="L3591" s="51" t="n">
        <f aca="false">IFERROR(K3591/I3591,0)</f>
        <v>1.02672798415782</v>
      </c>
      <c r="M3591" s="49" t="n">
        <f aca="false">IFERROR(I3591/H3591,0)</f>
        <v>186.27134250838</v>
      </c>
      <c r="N3591" s="52" t="str">
        <f aca="false">'Model Inputs &amp; Assumptions'!$L$35</f>
        <v>PRD-EUAI</v>
      </c>
      <c r="P3591" s="53" t="n">
        <v>2.168835</v>
      </c>
      <c r="Q3591" s="53" t="n">
        <v>1.421604</v>
      </c>
      <c r="R3591" s="53" t="n">
        <v>0.461482</v>
      </c>
      <c r="S3591" s="53" t="n">
        <v>-0.950981</v>
      </c>
    </row>
    <row r="3592" customFormat="false" ht="15" hidden="false" customHeight="false" outlineLevel="0" collapsed="false">
      <c r="A3592" s="43" t="n">
        <v>89</v>
      </c>
      <c r="B3592" s="44" t="str">
        <f aca="false">'Model Inputs &amp; Assumptions'!$B$35</f>
        <v>justETF — Sponsored Listing</v>
      </c>
      <c r="C3592" s="45" t="n">
        <f aca="false">ROUND(MAX(0,'Model Inputs &amp; Assumptions'!$S$35*EXP('Model Inputs &amp; Assumptions'!$T$35*P3592-'Model Inputs &amp; Assumptions'!$T$35^2/2)),0)</f>
        <v>73216</v>
      </c>
      <c r="D3592" s="46" t="n">
        <f aca="false">MIN(1,'Model Inputs &amp; Assumptions'!$U$35*EXP('Model Inputs &amp; Assumptions'!$V$35*Q3592-'Model Inputs &amp; Assumptions'!$V$35^2/2))</f>
        <v>0</v>
      </c>
      <c r="E3592" s="45" t="n">
        <f aca="false">ROUND(C3592*D3592,0)</f>
        <v>0</v>
      </c>
      <c r="F3592" s="47" t="n">
        <f aca="false">MIN(1,'Model Inputs &amp; Assumptions'!$W$35*EXP('Model Inputs &amp; Assumptions'!$X$35*R3592-'Model Inputs &amp; Assumptions'!$X$35^2/2))</f>
        <v>0.00601340489501486</v>
      </c>
      <c r="G3592" s="45" t="n">
        <f aca="false">ROUND(C3592*F3592,0)</f>
        <v>440</v>
      </c>
      <c r="H3592" s="48" t="n">
        <f aca="false">MAX(0,(C3592*'Model Inputs &amp; Assumptions'!$N$35+E3592*'Model Inputs &amp; Assumptions'!$O$35+G3592*'Model Inputs &amp; Assumptions'!$P$35)*EXP('Model Inputs &amp; Assumptions'!$Q$35*S3592-'Model Inputs &amp; Assumptions'!$Q$35^2/2))</f>
        <v>33.1566450313955</v>
      </c>
      <c r="I3592" s="49" t="n">
        <f aca="false">IF('Model Inputs &amp; Assumptions'!$H$35="Fixed",'Model Inputs &amp; Assumptions'!$I$35*'Model Inputs &amp; Assumptions'!$K$35,IF('Model Inputs &amp; Assumptions'!$H$35="CPM",'Model Inputs &amp; Assumptions'!$I$35*'Model Inputs &amp; Assumptions'!$K$35*C3592/1000,IF('Model Inputs &amp; Assumptions'!$H$35="CPC",'Model Inputs &amp; Assumptions'!$I$35*'Model Inputs &amp; Assumptions'!$K$35*G3592,0)))</f>
        <v>8672.8</v>
      </c>
      <c r="J3592" s="50" t="n">
        <f aca="false">H3592*INDEX('Model Inputs &amp; Assumptions'!$D$40:$D$42,MATCH('Model Inputs &amp; Assumptions'!$L$35,'Model Inputs &amp; Assumptions'!$A$40:$A$42,0))*INDEX('Model Inputs &amp; Assumptions'!$H$40:$H$42,MATCH('Model Inputs &amp; Assumptions'!$L$35,'Model Inputs &amp; Assumptions'!$A$40:$A$42,0))</f>
        <v>281831.482766862</v>
      </c>
      <c r="K3592" s="49" t="n">
        <f aca="false">H3592*INDEX('Model Inputs &amp; Assumptions'!$G$40:$G$42,MATCH('Model Inputs &amp; Assumptions'!$L$35,'Model Inputs &amp; Assumptions'!$A$40:$A$42,0))*INDEX('Model Inputs &amp; Assumptions'!$H$40:$H$42,MATCH('Model Inputs &amp; Assumptions'!$L$35,'Model Inputs &amp; Assumptions'!$A$40:$A$42,0))</f>
        <v>6341.2083622544</v>
      </c>
      <c r="L3592" s="51" t="n">
        <f aca="false">IFERROR(K3592/I3592,0)</f>
        <v>0.731160451325339</v>
      </c>
      <c r="M3592" s="49" t="n">
        <f aca="false">IFERROR(I3592/H3592,0)</f>
        <v>261.57049338942</v>
      </c>
      <c r="N3592" s="52" t="str">
        <f aca="false">'Model Inputs &amp; Assumptions'!$L$35</f>
        <v>PRD-EUAI</v>
      </c>
      <c r="P3592" s="53" t="n">
        <v>-1.256389</v>
      </c>
      <c r="Q3592" s="53" t="n">
        <v>-1.585902</v>
      </c>
      <c r="R3592" s="53" t="n">
        <v>-0.440582</v>
      </c>
      <c r="S3592" s="53" t="n">
        <v>0.413571</v>
      </c>
    </row>
    <row r="3593" customFormat="false" ht="15" hidden="false" customHeight="false" outlineLevel="0" collapsed="false">
      <c r="A3593" s="43" t="n">
        <v>90</v>
      </c>
      <c r="B3593" s="44" t="str">
        <f aca="false">'Model Inputs &amp; Assumptions'!$B$35</f>
        <v>justETF — Sponsored Listing</v>
      </c>
      <c r="C3593" s="45" t="n">
        <f aca="false">ROUND(MAX(0,'Model Inputs &amp; Assumptions'!$S$35*EXP('Model Inputs &amp; Assumptions'!$T$35*P3593-'Model Inputs &amp; Assumptions'!$T$35^2/2)),0)</f>
        <v>97776</v>
      </c>
      <c r="D3593" s="46" t="n">
        <f aca="false">MIN(1,'Model Inputs &amp; Assumptions'!$U$35*EXP('Model Inputs &amp; Assumptions'!$V$35*Q3593-'Model Inputs &amp; Assumptions'!$V$35^2/2))</f>
        <v>0</v>
      </c>
      <c r="E3593" s="45" t="n">
        <f aca="false">ROUND(C3593*D3593,0)</f>
        <v>0</v>
      </c>
      <c r="F3593" s="47" t="n">
        <f aca="false">MIN(1,'Model Inputs &amp; Assumptions'!$W$35*EXP('Model Inputs &amp; Assumptions'!$X$35*R3593-'Model Inputs &amp; Assumptions'!$X$35^2/2))</f>
        <v>0.00780993410375699</v>
      </c>
      <c r="G3593" s="45" t="n">
        <f aca="false">ROUND(C3593*F3593,0)</f>
        <v>764</v>
      </c>
      <c r="H3593" s="48" t="n">
        <f aca="false">MAX(0,(C3593*'Model Inputs &amp; Assumptions'!$N$35+E3593*'Model Inputs &amp; Assumptions'!$O$35+G3593*'Model Inputs &amp; Assumptions'!$P$35)*EXP('Model Inputs &amp; Assumptions'!$Q$35*S3593-'Model Inputs &amp; Assumptions'!$Q$35^2/2))</f>
        <v>64.6258362144678</v>
      </c>
      <c r="I3593" s="49" t="n">
        <f aca="false">IF('Model Inputs &amp; Assumptions'!$H$35="Fixed",'Model Inputs &amp; Assumptions'!$I$35*'Model Inputs &amp; Assumptions'!$K$35,IF('Model Inputs &amp; Assumptions'!$H$35="CPM",'Model Inputs &amp; Assumptions'!$I$35*'Model Inputs &amp; Assumptions'!$K$35*C3593/1000,IF('Model Inputs &amp; Assumptions'!$H$35="CPC",'Model Inputs &amp; Assumptions'!$I$35*'Model Inputs &amp; Assumptions'!$K$35*G3593,0)))</f>
        <v>8672.8</v>
      </c>
      <c r="J3593" s="50" t="n">
        <f aca="false">H3593*INDEX('Model Inputs &amp; Assumptions'!$D$40:$D$42,MATCH('Model Inputs &amp; Assumptions'!$L$35,'Model Inputs &amp; Assumptions'!$A$40:$A$42,0))*INDEX('Model Inputs &amp; Assumptions'!$H$40:$H$42,MATCH('Model Inputs &amp; Assumptions'!$L$35,'Model Inputs &amp; Assumptions'!$A$40:$A$42,0))</f>
        <v>549319.607822976</v>
      </c>
      <c r="K3593" s="49" t="n">
        <f aca="false">H3593*INDEX('Model Inputs &amp; Assumptions'!$G$40:$G$42,MATCH('Model Inputs &amp; Assumptions'!$L$35,'Model Inputs &amp; Assumptions'!$A$40:$A$42,0))*INDEX('Model Inputs &amp; Assumptions'!$H$40:$H$42,MATCH('Model Inputs &amp; Assumptions'!$L$35,'Model Inputs &amp; Assumptions'!$A$40:$A$42,0))</f>
        <v>12359.691176017</v>
      </c>
      <c r="L3593" s="51" t="n">
        <f aca="false">IFERROR(K3593/I3593,0)</f>
        <v>1.42510967346381</v>
      </c>
      <c r="M3593" s="49" t="n">
        <f aca="false">IFERROR(I3593/H3593,0)</f>
        <v>134.200197754012</v>
      </c>
      <c r="N3593" s="52" t="str">
        <f aca="false">'Model Inputs &amp; Assumptions'!$L$35</f>
        <v>PRD-EUAI</v>
      </c>
      <c r="P3593" s="53" t="n">
        <v>0.672088</v>
      </c>
      <c r="Q3593" s="53" t="n">
        <v>1.378397</v>
      </c>
      <c r="R3593" s="53" t="n">
        <v>0.866445</v>
      </c>
      <c r="S3593" s="53" t="n">
        <v>0.858102</v>
      </c>
    </row>
    <row r="3594" customFormat="false" ht="15" hidden="false" customHeight="false" outlineLevel="0" collapsed="false">
      <c r="A3594" s="43" t="n">
        <v>91</v>
      </c>
      <c r="B3594" s="44" t="str">
        <f aca="false">'Model Inputs &amp; Assumptions'!$B$35</f>
        <v>justETF — Sponsored Listing</v>
      </c>
      <c r="C3594" s="45" t="n">
        <f aca="false">ROUND(MAX(0,'Model Inputs &amp; Assumptions'!$S$35*EXP('Model Inputs &amp; Assumptions'!$T$35*P3594-'Model Inputs &amp; Assumptions'!$T$35^2/2)),0)</f>
        <v>109963</v>
      </c>
      <c r="D3594" s="46" t="n">
        <f aca="false">MIN(1,'Model Inputs &amp; Assumptions'!$U$35*EXP('Model Inputs &amp; Assumptions'!$V$35*Q3594-'Model Inputs &amp; Assumptions'!$V$35^2/2))</f>
        <v>0</v>
      </c>
      <c r="E3594" s="45" t="n">
        <f aca="false">ROUND(C3594*D3594,0)</f>
        <v>0</v>
      </c>
      <c r="F3594" s="47" t="n">
        <f aca="false">MIN(1,'Model Inputs &amp; Assumptions'!$W$35*EXP('Model Inputs &amp; Assumptions'!$X$35*R3594-'Model Inputs &amp; Assumptions'!$X$35^2/2))</f>
        <v>0.00724735030141313</v>
      </c>
      <c r="G3594" s="45" t="n">
        <f aca="false">ROUND(C3594*F3594,0)</f>
        <v>797</v>
      </c>
      <c r="H3594" s="48" t="n">
        <f aca="false">MAX(0,(C3594*'Model Inputs &amp; Assumptions'!$N$35+E3594*'Model Inputs &amp; Assumptions'!$O$35+G3594*'Model Inputs &amp; Assumptions'!$P$35)*EXP('Model Inputs &amp; Assumptions'!$Q$35*S3594-'Model Inputs &amp; Assumptions'!$Q$35^2/2))</f>
        <v>54.9699604207825</v>
      </c>
      <c r="I3594" s="49" t="n">
        <f aca="false">IF('Model Inputs &amp; Assumptions'!$H$35="Fixed",'Model Inputs &amp; Assumptions'!$I$35*'Model Inputs &amp; Assumptions'!$K$35,IF('Model Inputs &amp; Assumptions'!$H$35="CPM",'Model Inputs &amp; Assumptions'!$I$35*'Model Inputs &amp; Assumptions'!$K$35*C3594/1000,IF('Model Inputs &amp; Assumptions'!$H$35="CPC",'Model Inputs &amp; Assumptions'!$I$35*'Model Inputs &amp; Assumptions'!$K$35*G3594,0)))</f>
        <v>8672.8</v>
      </c>
      <c r="J3594" s="50" t="n">
        <f aca="false">H3594*INDEX('Model Inputs &amp; Assumptions'!$D$40:$D$42,MATCH('Model Inputs &amp; Assumptions'!$L$35,'Model Inputs &amp; Assumptions'!$A$40:$A$42,0))*INDEX('Model Inputs &amp; Assumptions'!$H$40:$H$42,MATCH('Model Inputs &amp; Assumptions'!$L$35,'Model Inputs &amp; Assumptions'!$A$40:$A$42,0))</f>
        <v>467244.663576651</v>
      </c>
      <c r="K3594" s="49" t="n">
        <f aca="false">H3594*INDEX('Model Inputs &amp; Assumptions'!$G$40:$G$42,MATCH('Model Inputs &amp; Assumptions'!$L$35,'Model Inputs &amp; Assumptions'!$A$40:$A$42,0))*INDEX('Model Inputs &amp; Assumptions'!$H$40:$H$42,MATCH('Model Inputs &amp; Assumptions'!$L$35,'Model Inputs &amp; Assumptions'!$A$40:$A$42,0))</f>
        <v>10513.0049304746</v>
      </c>
      <c r="L3594" s="51" t="n">
        <f aca="false">IFERROR(K3594/I3594,0)</f>
        <v>1.21218117914337</v>
      </c>
      <c r="M3594" s="49" t="n">
        <f aca="false">IFERROR(I3594/H3594,0)</f>
        <v>157.773444506994</v>
      </c>
      <c r="N3594" s="52" t="str">
        <f aca="false">'Model Inputs &amp; Assumptions'!$L$35</f>
        <v>PRD-EUAI</v>
      </c>
      <c r="P3594" s="53" t="n">
        <v>1.455167</v>
      </c>
      <c r="Q3594" s="53" t="n">
        <v>-0.267073</v>
      </c>
      <c r="R3594" s="53" t="n">
        <v>0.492642</v>
      </c>
      <c r="S3594" s="53" t="n">
        <v>0.073047</v>
      </c>
    </row>
    <row r="3595" customFormat="false" ht="15" hidden="false" customHeight="false" outlineLevel="0" collapsed="false">
      <c r="A3595" s="43" t="n">
        <v>92</v>
      </c>
      <c r="B3595" s="44" t="str">
        <f aca="false">'Model Inputs &amp; Assumptions'!$B$35</f>
        <v>justETF — Sponsored Listing</v>
      </c>
      <c r="C3595" s="45" t="n">
        <f aca="false">ROUND(MAX(0,'Model Inputs &amp; Assumptions'!$S$35*EXP('Model Inputs &amp; Assumptions'!$T$35*P3595-'Model Inputs &amp; Assumptions'!$T$35^2/2)),0)</f>
        <v>79870</v>
      </c>
      <c r="D3595" s="46" t="n">
        <f aca="false">MIN(1,'Model Inputs &amp; Assumptions'!$U$35*EXP('Model Inputs &amp; Assumptions'!$V$35*Q3595-'Model Inputs &amp; Assumptions'!$V$35^2/2))</f>
        <v>0</v>
      </c>
      <c r="E3595" s="45" t="n">
        <f aca="false">ROUND(C3595*D3595,0)</f>
        <v>0</v>
      </c>
      <c r="F3595" s="47" t="n">
        <f aca="false">MIN(1,'Model Inputs &amp; Assumptions'!$W$35*EXP('Model Inputs &amp; Assumptions'!$X$35*R3595-'Model Inputs &amp; Assumptions'!$X$35^2/2))</f>
        <v>0.0079335033812974</v>
      </c>
      <c r="G3595" s="45" t="n">
        <f aca="false">ROUND(C3595*F3595,0)</f>
        <v>634</v>
      </c>
      <c r="H3595" s="48" t="n">
        <f aca="false">MAX(0,(C3595*'Model Inputs &amp; Assumptions'!$N$35+E3595*'Model Inputs &amp; Assumptions'!$O$35+G3595*'Model Inputs &amp; Assumptions'!$P$35)*EXP('Model Inputs &amp; Assumptions'!$Q$35*S3595-'Model Inputs &amp; Assumptions'!$Q$35^2/2))</f>
        <v>58.2777000938033</v>
      </c>
      <c r="I3595" s="49" t="n">
        <f aca="false">IF('Model Inputs &amp; Assumptions'!$H$35="Fixed",'Model Inputs &amp; Assumptions'!$I$35*'Model Inputs &amp; Assumptions'!$K$35,IF('Model Inputs &amp; Assumptions'!$H$35="CPM",'Model Inputs &amp; Assumptions'!$I$35*'Model Inputs &amp; Assumptions'!$K$35*C3595/1000,IF('Model Inputs &amp; Assumptions'!$H$35="CPC",'Model Inputs &amp; Assumptions'!$I$35*'Model Inputs &amp; Assumptions'!$K$35*G3595,0)))</f>
        <v>8672.8</v>
      </c>
      <c r="J3595" s="50" t="n">
        <f aca="false">H3595*INDEX('Model Inputs &amp; Assumptions'!$D$40:$D$42,MATCH('Model Inputs &amp; Assumptions'!$L$35,'Model Inputs &amp; Assumptions'!$A$40:$A$42,0))*INDEX('Model Inputs &amp; Assumptions'!$H$40:$H$42,MATCH('Model Inputs &amp; Assumptions'!$L$35,'Model Inputs &amp; Assumptions'!$A$40:$A$42,0))</f>
        <v>495360.450797328</v>
      </c>
      <c r="K3595" s="49" t="n">
        <f aca="false">H3595*INDEX('Model Inputs &amp; Assumptions'!$G$40:$G$42,MATCH('Model Inputs &amp; Assumptions'!$L$35,'Model Inputs &amp; Assumptions'!$A$40:$A$42,0))*INDEX('Model Inputs &amp; Assumptions'!$H$40:$H$42,MATCH('Model Inputs &amp; Assumptions'!$L$35,'Model Inputs &amp; Assumptions'!$A$40:$A$42,0))</f>
        <v>11145.6101429399</v>
      </c>
      <c r="L3595" s="51" t="n">
        <f aca="false">IFERROR(K3595/I3595,0)</f>
        <v>1.28512246828474</v>
      </c>
      <c r="M3595" s="49" t="n">
        <f aca="false">IFERROR(I3595/H3595,0)</f>
        <v>148.818501520141</v>
      </c>
      <c r="N3595" s="52" t="str">
        <f aca="false">'Model Inputs &amp; Assumptions'!$L$35</f>
        <v>PRD-EUAI</v>
      </c>
      <c r="P3595" s="53" t="n">
        <v>-0.676442</v>
      </c>
      <c r="Q3595" s="53" t="n">
        <v>0.064687</v>
      </c>
      <c r="R3595" s="53" t="n">
        <v>0.944936</v>
      </c>
      <c r="S3595" s="53" t="n">
        <v>1.17781</v>
      </c>
    </row>
    <row r="3596" customFormat="false" ht="15" hidden="false" customHeight="false" outlineLevel="0" collapsed="false">
      <c r="A3596" s="43" t="n">
        <v>93</v>
      </c>
      <c r="B3596" s="44" t="str">
        <f aca="false">'Model Inputs &amp; Assumptions'!$B$35</f>
        <v>justETF — Sponsored Listing</v>
      </c>
      <c r="C3596" s="45" t="n">
        <f aca="false">ROUND(MAX(0,'Model Inputs &amp; Assumptions'!$S$35*EXP('Model Inputs &amp; Assumptions'!$T$35*P3596-'Model Inputs &amp; Assumptions'!$T$35^2/2)),0)</f>
        <v>76447</v>
      </c>
      <c r="D3596" s="46" t="n">
        <f aca="false">MIN(1,'Model Inputs &amp; Assumptions'!$U$35*EXP('Model Inputs &amp; Assumptions'!$V$35*Q3596-'Model Inputs &amp; Assumptions'!$V$35^2/2))</f>
        <v>0</v>
      </c>
      <c r="E3596" s="45" t="n">
        <f aca="false">ROUND(C3596*D3596,0)</f>
        <v>0</v>
      </c>
      <c r="F3596" s="47" t="n">
        <f aca="false">MIN(1,'Model Inputs &amp; Assumptions'!$W$35*EXP('Model Inputs &amp; Assumptions'!$X$35*R3596-'Model Inputs &amp; Assumptions'!$X$35^2/2))</f>
        <v>0.00433792067602359</v>
      </c>
      <c r="G3596" s="45" t="n">
        <f aca="false">ROUND(C3596*F3596,0)</f>
        <v>332</v>
      </c>
      <c r="H3596" s="48" t="n">
        <f aca="false">MAX(0,(C3596*'Model Inputs &amp; Assumptions'!$N$35+E3596*'Model Inputs &amp; Assumptions'!$O$35+G3596*'Model Inputs &amp; Assumptions'!$P$35)*EXP('Model Inputs &amp; Assumptions'!$Q$35*S3596-'Model Inputs &amp; Assumptions'!$Q$35^2/2))</f>
        <v>23.902007996153</v>
      </c>
      <c r="I3596" s="49" t="n">
        <f aca="false">IF('Model Inputs &amp; Assumptions'!$H$35="Fixed",'Model Inputs &amp; Assumptions'!$I$35*'Model Inputs &amp; Assumptions'!$K$35,IF('Model Inputs &amp; Assumptions'!$H$35="CPM",'Model Inputs &amp; Assumptions'!$I$35*'Model Inputs &amp; Assumptions'!$K$35*C3596/1000,IF('Model Inputs &amp; Assumptions'!$H$35="CPC",'Model Inputs &amp; Assumptions'!$I$35*'Model Inputs &amp; Assumptions'!$K$35*G3596,0)))</f>
        <v>8672.8</v>
      </c>
      <c r="J3596" s="50" t="n">
        <f aca="false">H3596*INDEX('Model Inputs &amp; Assumptions'!$D$40:$D$42,MATCH('Model Inputs &amp; Assumptions'!$L$35,'Model Inputs &amp; Assumptions'!$A$40:$A$42,0))*INDEX('Model Inputs &amp; Assumptions'!$H$40:$H$42,MATCH('Model Inputs &amp; Assumptions'!$L$35,'Model Inputs &amp; Assumptions'!$A$40:$A$42,0))</f>
        <v>203167.067967301</v>
      </c>
      <c r="K3596" s="49" t="n">
        <f aca="false">H3596*INDEX('Model Inputs &amp; Assumptions'!$G$40:$G$42,MATCH('Model Inputs &amp; Assumptions'!$L$35,'Model Inputs &amp; Assumptions'!$A$40:$A$42,0))*INDEX('Model Inputs &amp; Assumptions'!$H$40:$H$42,MATCH('Model Inputs &amp; Assumptions'!$L$35,'Model Inputs &amp; Assumptions'!$A$40:$A$42,0))</f>
        <v>4571.25902926427</v>
      </c>
      <c r="L3596" s="51" t="n">
        <f aca="false">IFERROR(K3596/I3596,0)</f>
        <v>0.527079954485779</v>
      </c>
      <c r="M3596" s="49" t="n">
        <f aca="false">IFERROR(I3596/H3596,0)</f>
        <v>362.848175826728</v>
      </c>
      <c r="N3596" s="52" t="str">
        <f aca="false">'Model Inputs &amp; Assumptions'!$L$35</f>
        <v>PRD-EUAI</v>
      </c>
      <c r="P3596" s="53" t="n">
        <v>-0.968457</v>
      </c>
      <c r="Q3596" s="53" t="n">
        <v>-0.944477</v>
      </c>
      <c r="R3596" s="53" t="n">
        <v>-2.073562</v>
      </c>
      <c r="S3596" s="53" t="n">
        <v>0.238029</v>
      </c>
    </row>
    <row r="3597" customFormat="false" ht="15" hidden="false" customHeight="false" outlineLevel="0" collapsed="false">
      <c r="A3597" s="43" t="n">
        <v>94</v>
      </c>
      <c r="B3597" s="44" t="str">
        <f aca="false">'Model Inputs &amp; Assumptions'!$B$35</f>
        <v>justETF — Sponsored Listing</v>
      </c>
      <c r="C3597" s="45" t="n">
        <f aca="false">ROUND(MAX(0,'Model Inputs &amp; Assumptions'!$S$35*EXP('Model Inputs &amp; Assumptions'!$T$35*P3597-'Model Inputs &amp; Assumptions'!$T$35^2/2)),0)</f>
        <v>85804</v>
      </c>
      <c r="D3597" s="46" t="n">
        <f aca="false">MIN(1,'Model Inputs &amp; Assumptions'!$U$35*EXP('Model Inputs &amp; Assumptions'!$V$35*Q3597-'Model Inputs &amp; Assumptions'!$V$35^2/2))</f>
        <v>0</v>
      </c>
      <c r="E3597" s="45" t="n">
        <f aca="false">ROUND(C3597*D3597,0)</f>
        <v>0</v>
      </c>
      <c r="F3597" s="47" t="n">
        <f aca="false">MIN(1,'Model Inputs &amp; Assumptions'!$W$35*EXP('Model Inputs &amp; Assumptions'!$X$35*R3597-'Model Inputs &amp; Assumptions'!$X$35^2/2))</f>
        <v>0.00535197968155052</v>
      </c>
      <c r="G3597" s="45" t="n">
        <f aca="false">ROUND(C3597*F3597,0)</f>
        <v>459</v>
      </c>
      <c r="H3597" s="48" t="n">
        <f aca="false">MAX(0,(C3597*'Model Inputs &amp; Assumptions'!$N$35+E3597*'Model Inputs &amp; Assumptions'!$O$35+G3597*'Model Inputs &amp; Assumptions'!$P$35)*EXP('Model Inputs &amp; Assumptions'!$Q$35*S3597-'Model Inputs &amp; Assumptions'!$Q$35^2/2))</f>
        <v>30.4137817623735</v>
      </c>
      <c r="I3597" s="49" t="n">
        <f aca="false">IF('Model Inputs &amp; Assumptions'!$H$35="Fixed",'Model Inputs &amp; Assumptions'!$I$35*'Model Inputs &amp; Assumptions'!$K$35,IF('Model Inputs &amp; Assumptions'!$H$35="CPM",'Model Inputs &amp; Assumptions'!$I$35*'Model Inputs &amp; Assumptions'!$K$35*C3597/1000,IF('Model Inputs &amp; Assumptions'!$H$35="CPC",'Model Inputs &amp; Assumptions'!$I$35*'Model Inputs &amp; Assumptions'!$K$35*G3597,0)))</f>
        <v>8672.8</v>
      </c>
      <c r="J3597" s="50" t="n">
        <f aca="false">H3597*INDEX('Model Inputs &amp; Assumptions'!$D$40:$D$42,MATCH('Model Inputs &amp; Assumptions'!$L$35,'Model Inputs &amp; Assumptions'!$A$40:$A$42,0))*INDEX('Model Inputs &amp; Assumptions'!$H$40:$H$42,MATCH('Model Inputs &amp; Assumptions'!$L$35,'Model Inputs &amp; Assumptions'!$A$40:$A$42,0))</f>
        <v>258517.144980175</v>
      </c>
      <c r="K3597" s="49" t="n">
        <f aca="false">H3597*INDEX('Model Inputs &amp; Assumptions'!$G$40:$G$42,MATCH('Model Inputs &amp; Assumptions'!$L$35,'Model Inputs &amp; Assumptions'!$A$40:$A$42,0))*INDEX('Model Inputs &amp; Assumptions'!$H$40:$H$42,MATCH('Model Inputs &amp; Assumptions'!$L$35,'Model Inputs &amp; Assumptions'!$A$40:$A$42,0))</f>
        <v>5816.63576205394</v>
      </c>
      <c r="L3597" s="51" t="n">
        <f aca="false">IFERROR(K3597/I3597,0)</f>
        <v>0.670675648239777</v>
      </c>
      <c r="M3597" s="49" t="n">
        <f aca="false">IFERROR(I3597/H3597,0)</f>
        <v>285.160197037041</v>
      </c>
      <c r="N3597" s="52" t="str">
        <f aca="false">'Model Inputs &amp; Assumptions'!$L$35</f>
        <v>PRD-EUAI</v>
      </c>
      <c r="P3597" s="53" t="n">
        <v>-0.198672</v>
      </c>
      <c r="Q3597" s="53" t="n">
        <v>1.03035</v>
      </c>
      <c r="R3597" s="53" t="n">
        <v>-1.023205</v>
      </c>
      <c r="S3597" s="53" t="n">
        <v>-0.081132</v>
      </c>
    </row>
    <row r="3598" customFormat="false" ht="15" hidden="false" customHeight="false" outlineLevel="0" collapsed="false">
      <c r="A3598" s="43" t="n">
        <v>95</v>
      </c>
      <c r="B3598" s="44" t="str">
        <f aca="false">'Model Inputs &amp; Assumptions'!$B$35</f>
        <v>justETF — Sponsored Listing</v>
      </c>
      <c r="C3598" s="45" t="n">
        <f aca="false">ROUND(MAX(0,'Model Inputs &amp; Assumptions'!$S$35*EXP('Model Inputs &amp; Assumptions'!$T$35*P3598-'Model Inputs &amp; Assumptions'!$T$35^2/2)),0)</f>
        <v>77111</v>
      </c>
      <c r="D3598" s="46" t="n">
        <f aca="false">MIN(1,'Model Inputs &amp; Assumptions'!$U$35*EXP('Model Inputs &amp; Assumptions'!$V$35*Q3598-'Model Inputs &amp; Assumptions'!$V$35^2/2))</f>
        <v>0</v>
      </c>
      <c r="E3598" s="45" t="n">
        <f aca="false">ROUND(C3598*D3598,0)</f>
        <v>0</v>
      </c>
      <c r="F3598" s="47" t="n">
        <f aca="false">MIN(1,'Model Inputs &amp; Assumptions'!$W$35*EXP('Model Inputs &amp; Assumptions'!$X$35*R3598-'Model Inputs &amp; Assumptions'!$X$35^2/2))</f>
        <v>0.00864151682967042</v>
      </c>
      <c r="G3598" s="45" t="n">
        <f aca="false">ROUND(C3598*F3598,0)</f>
        <v>666</v>
      </c>
      <c r="H3598" s="48" t="n">
        <f aca="false">MAX(0,(C3598*'Model Inputs &amp; Assumptions'!$N$35+E3598*'Model Inputs &amp; Assumptions'!$O$35+G3598*'Model Inputs &amp; Assumptions'!$P$35)*EXP('Model Inputs &amp; Assumptions'!$Q$35*S3598-'Model Inputs &amp; Assumptions'!$Q$35^2/2))</f>
        <v>30.2717875136508</v>
      </c>
      <c r="I3598" s="49" t="n">
        <f aca="false">IF('Model Inputs &amp; Assumptions'!$H$35="Fixed",'Model Inputs &amp; Assumptions'!$I$35*'Model Inputs &amp; Assumptions'!$K$35,IF('Model Inputs &amp; Assumptions'!$H$35="CPM",'Model Inputs &amp; Assumptions'!$I$35*'Model Inputs &amp; Assumptions'!$K$35*C3598/1000,IF('Model Inputs &amp; Assumptions'!$H$35="CPC",'Model Inputs &amp; Assumptions'!$I$35*'Model Inputs &amp; Assumptions'!$K$35*G3598,0)))</f>
        <v>8672.8</v>
      </c>
      <c r="J3598" s="50" t="n">
        <f aca="false">H3598*INDEX('Model Inputs &amp; Assumptions'!$D$40:$D$42,MATCH('Model Inputs &amp; Assumptions'!$L$35,'Model Inputs &amp; Assumptions'!$A$40:$A$42,0))*INDEX('Model Inputs &amp; Assumptions'!$H$40:$H$42,MATCH('Model Inputs &amp; Assumptions'!$L$35,'Model Inputs &amp; Assumptions'!$A$40:$A$42,0))</f>
        <v>257310.193866032</v>
      </c>
      <c r="K3598" s="49" t="n">
        <f aca="false">H3598*INDEX('Model Inputs &amp; Assumptions'!$G$40:$G$42,MATCH('Model Inputs &amp; Assumptions'!$L$35,'Model Inputs &amp; Assumptions'!$A$40:$A$42,0))*INDEX('Model Inputs &amp; Assumptions'!$H$40:$H$42,MATCH('Model Inputs &amp; Assumptions'!$L$35,'Model Inputs &amp; Assumptions'!$A$40:$A$42,0))</f>
        <v>5789.47936198572</v>
      </c>
      <c r="L3598" s="51" t="n">
        <f aca="false">IFERROR(K3598/I3598,0)</f>
        <v>0.667544433399331</v>
      </c>
      <c r="M3598" s="49" t="n">
        <f aca="false">IFERROR(I3598/H3598,0)</f>
        <v>286.49778266609</v>
      </c>
      <c r="N3598" s="52" t="str">
        <f aca="false">'Model Inputs &amp; Assumptions'!$L$35</f>
        <v>PRD-EUAI</v>
      </c>
      <c r="P3598" s="53" t="n">
        <v>-0.910855</v>
      </c>
      <c r="Q3598" s="53" t="n">
        <v>-1.131949</v>
      </c>
      <c r="R3598" s="53" t="n">
        <v>1.372353</v>
      </c>
      <c r="S3598" s="53" t="n">
        <v>-1.530821</v>
      </c>
    </row>
    <row r="3599" customFormat="false" ht="15" hidden="false" customHeight="false" outlineLevel="0" collapsed="false">
      <c r="A3599" s="43" t="n">
        <v>96</v>
      </c>
      <c r="B3599" s="44" t="str">
        <f aca="false">'Model Inputs &amp; Assumptions'!$B$35</f>
        <v>justETF — Sponsored Listing</v>
      </c>
      <c r="C3599" s="45" t="n">
        <f aca="false">ROUND(MAX(0,'Model Inputs &amp; Assumptions'!$S$35*EXP('Model Inputs &amp; Assumptions'!$T$35*P3599-'Model Inputs &amp; Assumptions'!$T$35^2/2)),0)</f>
        <v>72818</v>
      </c>
      <c r="D3599" s="46" t="n">
        <f aca="false">MIN(1,'Model Inputs &amp; Assumptions'!$U$35*EXP('Model Inputs &amp; Assumptions'!$V$35*Q3599-'Model Inputs &amp; Assumptions'!$V$35^2/2))</f>
        <v>0</v>
      </c>
      <c r="E3599" s="45" t="n">
        <f aca="false">ROUND(C3599*D3599,0)</f>
        <v>0</v>
      </c>
      <c r="F3599" s="47" t="n">
        <f aca="false">MIN(1,'Model Inputs &amp; Assumptions'!$W$35*EXP('Model Inputs &amp; Assumptions'!$X$35*R3599-'Model Inputs &amp; Assumptions'!$X$35^2/2))</f>
        <v>0.00712011819990913</v>
      </c>
      <c r="G3599" s="45" t="n">
        <f aca="false">ROUND(C3599*F3599,0)</f>
        <v>518</v>
      </c>
      <c r="H3599" s="48" t="n">
        <f aca="false">MAX(0,(C3599*'Model Inputs &amp; Assumptions'!$N$35+E3599*'Model Inputs &amp; Assumptions'!$O$35+G3599*'Model Inputs &amp; Assumptions'!$P$35)*EXP('Model Inputs &amp; Assumptions'!$Q$35*S3599-'Model Inputs &amp; Assumptions'!$Q$35^2/2))</f>
        <v>44.8322723629433</v>
      </c>
      <c r="I3599" s="49" t="n">
        <f aca="false">IF('Model Inputs &amp; Assumptions'!$H$35="Fixed",'Model Inputs &amp; Assumptions'!$I$35*'Model Inputs &amp; Assumptions'!$K$35,IF('Model Inputs &amp; Assumptions'!$H$35="CPM",'Model Inputs &amp; Assumptions'!$I$35*'Model Inputs &amp; Assumptions'!$K$35*C3599/1000,IF('Model Inputs &amp; Assumptions'!$H$35="CPC",'Model Inputs &amp; Assumptions'!$I$35*'Model Inputs &amp; Assumptions'!$K$35*G3599,0)))</f>
        <v>8672.8</v>
      </c>
      <c r="J3599" s="50" t="n">
        <f aca="false">H3599*INDEX('Model Inputs &amp; Assumptions'!$D$40:$D$42,MATCH('Model Inputs &amp; Assumptions'!$L$35,'Model Inputs &amp; Assumptions'!$A$40:$A$42,0))*INDEX('Model Inputs &amp; Assumptions'!$H$40:$H$42,MATCH('Model Inputs &amp; Assumptions'!$L$35,'Model Inputs &amp; Assumptions'!$A$40:$A$42,0))</f>
        <v>381074.315085018</v>
      </c>
      <c r="K3599" s="49" t="n">
        <f aca="false">H3599*INDEX('Model Inputs &amp; Assumptions'!$G$40:$G$42,MATCH('Model Inputs &amp; Assumptions'!$L$35,'Model Inputs &amp; Assumptions'!$A$40:$A$42,0))*INDEX('Model Inputs &amp; Assumptions'!$H$40:$H$42,MATCH('Model Inputs &amp; Assumptions'!$L$35,'Model Inputs &amp; Assumptions'!$A$40:$A$42,0))</f>
        <v>8574.17208941291</v>
      </c>
      <c r="L3599" s="51" t="n">
        <f aca="false">IFERROR(K3599/I3599,0)</f>
        <v>0.988627904415288</v>
      </c>
      <c r="M3599" s="49" t="n">
        <f aca="false">IFERROR(I3599/H3599,0)</f>
        <v>193.449931107409</v>
      </c>
      <c r="N3599" s="52" t="str">
        <f aca="false">'Model Inputs &amp; Assumptions'!$L$35</f>
        <v>PRD-EUAI</v>
      </c>
      <c r="P3599" s="53" t="n">
        <v>-1.292746</v>
      </c>
      <c r="Q3599" s="53" t="n">
        <v>-0.000994</v>
      </c>
      <c r="R3599" s="53" t="n">
        <v>0.404084</v>
      </c>
      <c r="S3599" s="53" t="n">
        <v>0.946204</v>
      </c>
    </row>
    <row r="3600" customFormat="false" ht="15" hidden="false" customHeight="false" outlineLevel="0" collapsed="false">
      <c r="A3600" s="43" t="n">
        <v>97</v>
      </c>
      <c r="B3600" s="44" t="str">
        <f aca="false">'Model Inputs &amp; Assumptions'!$B$35</f>
        <v>justETF — Sponsored Listing</v>
      </c>
      <c r="C3600" s="45" t="n">
        <f aca="false">ROUND(MAX(0,'Model Inputs &amp; Assumptions'!$S$35*EXP('Model Inputs &amp; Assumptions'!$T$35*P3600-'Model Inputs &amp; Assumptions'!$T$35^2/2)),0)</f>
        <v>72288</v>
      </c>
      <c r="D3600" s="46" t="n">
        <f aca="false">MIN(1,'Model Inputs &amp; Assumptions'!$U$35*EXP('Model Inputs &amp; Assumptions'!$V$35*Q3600-'Model Inputs &amp; Assumptions'!$V$35^2/2))</f>
        <v>0</v>
      </c>
      <c r="E3600" s="45" t="n">
        <f aca="false">ROUND(C3600*D3600,0)</f>
        <v>0</v>
      </c>
      <c r="F3600" s="47" t="n">
        <f aca="false">MIN(1,'Model Inputs &amp; Assumptions'!$W$35*EXP('Model Inputs &amp; Assumptions'!$X$35*R3600-'Model Inputs &amp; Assumptions'!$X$35^2/2))</f>
        <v>0.00718189823604011</v>
      </c>
      <c r="G3600" s="45" t="n">
        <f aca="false">ROUND(C3600*F3600,0)</f>
        <v>519</v>
      </c>
      <c r="H3600" s="48" t="n">
        <f aca="false">MAX(0,(C3600*'Model Inputs &amp; Assumptions'!$N$35+E3600*'Model Inputs &amp; Assumptions'!$O$35+G3600*'Model Inputs &amp; Assumptions'!$P$35)*EXP('Model Inputs &amp; Assumptions'!$Q$35*S3600-'Model Inputs &amp; Assumptions'!$Q$35^2/2))</f>
        <v>22.3918489445244</v>
      </c>
      <c r="I3600" s="49" t="n">
        <f aca="false">IF('Model Inputs &amp; Assumptions'!$H$35="Fixed",'Model Inputs &amp; Assumptions'!$I$35*'Model Inputs &amp; Assumptions'!$K$35,IF('Model Inputs &amp; Assumptions'!$H$35="CPM",'Model Inputs &amp; Assumptions'!$I$35*'Model Inputs &amp; Assumptions'!$K$35*C3600/1000,IF('Model Inputs &amp; Assumptions'!$H$35="CPC",'Model Inputs &amp; Assumptions'!$I$35*'Model Inputs &amp; Assumptions'!$K$35*G3600,0)))</f>
        <v>8672.8</v>
      </c>
      <c r="J3600" s="50" t="n">
        <f aca="false">H3600*INDEX('Model Inputs &amp; Assumptions'!$D$40:$D$42,MATCH('Model Inputs &amp; Assumptions'!$L$35,'Model Inputs &amp; Assumptions'!$A$40:$A$42,0))*INDEX('Model Inputs &amp; Assumptions'!$H$40:$H$42,MATCH('Model Inputs &amp; Assumptions'!$L$35,'Model Inputs &amp; Assumptions'!$A$40:$A$42,0))</f>
        <v>190330.716028458</v>
      </c>
      <c r="K3600" s="49" t="n">
        <f aca="false">H3600*INDEX('Model Inputs &amp; Assumptions'!$G$40:$G$42,MATCH('Model Inputs &amp; Assumptions'!$L$35,'Model Inputs &amp; Assumptions'!$A$40:$A$42,0))*INDEX('Model Inputs &amp; Assumptions'!$H$40:$H$42,MATCH('Model Inputs &amp; Assumptions'!$L$35,'Model Inputs &amp; Assumptions'!$A$40:$A$42,0))</f>
        <v>4282.44111064029</v>
      </c>
      <c r="L3600" s="51" t="n">
        <f aca="false">IFERROR(K3600/I3600,0)</f>
        <v>0.493778377299176</v>
      </c>
      <c r="M3600" s="49" t="n">
        <f aca="false">IFERROR(I3600/H3600,0)</f>
        <v>387.319511733344</v>
      </c>
      <c r="N3600" s="52" t="str">
        <f aca="false">'Model Inputs &amp; Assumptions'!$L$35</f>
        <v>PRD-EUAI</v>
      </c>
      <c r="P3600" s="53" t="n">
        <v>-1.341429</v>
      </c>
      <c r="Q3600" s="53" t="n">
        <v>-2.347846</v>
      </c>
      <c r="R3600" s="53" t="n">
        <v>0.447281</v>
      </c>
      <c r="S3600" s="53" t="n">
        <v>-1.731334</v>
      </c>
    </row>
    <row r="3601" customFormat="false" ht="15" hidden="false" customHeight="false" outlineLevel="0" collapsed="false">
      <c r="A3601" s="43" t="n">
        <v>98</v>
      </c>
      <c r="B3601" s="44" t="str">
        <f aca="false">'Model Inputs &amp; Assumptions'!$B$35</f>
        <v>justETF — Sponsored Listing</v>
      </c>
      <c r="C3601" s="45" t="n">
        <f aca="false">ROUND(MAX(0,'Model Inputs &amp; Assumptions'!$S$35*EXP('Model Inputs &amp; Assumptions'!$T$35*P3601-'Model Inputs &amp; Assumptions'!$T$35^2/2)),0)</f>
        <v>72143</v>
      </c>
      <c r="D3601" s="46" t="n">
        <f aca="false">MIN(1,'Model Inputs &amp; Assumptions'!$U$35*EXP('Model Inputs &amp; Assumptions'!$V$35*Q3601-'Model Inputs &amp; Assumptions'!$V$35^2/2))</f>
        <v>0</v>
      </c>
      <c r="E3601" s="45" t="n">
        <f aca="false">ROUND(C3601*D3601,0)</f>
        <v>0</v>
      </c>
      <c r="F3601" s="47" t="n">
        <f aca="false">MIN(1,'Model Inputs &amp; Assumptions'!$W$35*EXP('Model Inputs &amp; Assumptions'!$X$35*R3601-'Model Inputs &amp; Assumptions'!$X$35^2/2))</f>
        <v>0.00533984339838483</v>
      </c>
      <c r="G3601" s="45" t="n">
        <f aca="false">ROUND(C3601*F3601,0)</f>
        <v>385</v>
      </c>
      <c r="H3601" s="48" t="n">
        <f aca="false">MAX(0,(C3601*'Model Inputs &amp; Assumptions'!$N$35+E3601*'Model Inputs &amp; Assumptions'!$O$35+G3601*'Model Inputs &amp; Assumptions'!$P$35)*EXP('Model Inputs &amp; Assumptions'!$Q$35*S3601-'Model Inputs &amp; Assumptions'!$Q$35^2/2))</f>
        <v>28.3301083203185</v>
      </c>
      <c r="I3601" s="49" t="n">
        <f aca="false">IF('Model Inputs &amp; Assumptions'!$H$35="Fixed",'Model Inputs &amp; Assumptions'!$I$35*'Model Inputs &amp; Assumptions'!$K$35,IF('Model Inputs &amp; Assumptions'!$H$35="CPM",'Model Inputs &amp; Assumptions'!$I$35*'Model Inputs &amp; Assumptions'!$K$35*C3601/1000,IF('Model Inputs &amp; Assumptions'!$H$35="CPC",'Model Inputs &amp; Assumptions'!$I$35*'Model Inputs &amp; Assumptions'!$K$35*G3601,0)))</f>
        <v>8672.8</v>
      </c>
      <c r="J3601" s="50" t="n">
        <f aca="false">H3601*INDEX('Model Inputs &amp; Assumptions'!$D$40:$D$42,MATCH('Model Inputs &amp; Assumptions'!$L$35,'Model Inputs &amp; Assumptions'!$A$40:$A$42,0))*INDEX('Model Inputs &amp; Assumptions'!$H$40:$H$42,MATCH('Model Inputs &amp; Assumptions'!$L$35,'Model Inputs &amp; Assumptions'!$A$40:$A$42,0))</f>
        <v>240805.920722707</v>
      </c>
      <c r="K3601" s="49" t="n">
        <f aca="false">H3601*INDEX('Model Inputs &amp; Assumptions'!$G$40:$G$42,MATCH('Model Inputs &amp; Assumptions'!$L$35,'Model Inputs &amp; Assumptions'!$A$40:$A$42,0))*INDEX('Model Inputs &amp; Assumptions'!$H$40:$H$42,MATCH('Model Inputs &amp; Assumptions'!$L$35,'Model Inputs &amp; Assumptions'!$A$40:$A$42,0))</f>
        <v>5418.13321626091</v>
      </c>
      <c r="L3601" s="51" t="n">
        <f aca="false">IFERROR(K3601/I3601,0)</f>
        <v>0.62472710269589</v>
      </c>
      <c r="M3601" s="49" t="n">
        <f aca="false">IFERROR(I3601/H3601,0)</f>
        <v>306.133668884698</v>
      </c>
      <c r="N3601" s="52" t="str">
        <f aca="false">'Model Inputs &amp; Assumptions'!$L$35</f>
        <v>PRD-EUAI</v>
      </c>
      <c r="P3601" s="53" t="n">
        <v>-1.354839</v>
      </c>
      <c r="Q3601" s="53" t="n">
        <v>-1.117684</v>
      </c>
      <c r="R3601" s="53" t="n">
        <v>-1.034556</v>
      </c>
      <c r="S3601" s="53" t="n">
        <v>0.322084</v>
      </c>
    </row>
    <row r="3602" customFormat="false" ht="15" hidden="false" customHeight="false" outlineLevel="0" collapsed="false">
      <c r="A3602" s="43" t="n">
        <v>99</v>
      </c>
      <c r="B3602" s="44" t="str">
        <f aca="false">'Model Inputs &amp; Assumptions'!$B$35</f>
        <v>justETF — Sponsored Listing</v>
      </c>
      <c r="C3602" s="45" t="n">
        <f aca="false">ROUND(MAX(0,'Model Inputs &amp; Assumptions'!$S$35*EXP('Model Inputs &amp; Assumptions'!$T$35*P3602-'Model Inputs &amp; Assumptions'!$T$35^2/2)),0)</f>
        <v>77837</v>
      </c>
      <c r="D3602" s="46" t="n">
        <f aca="false">MIN(1,'Model Inputs &amp; Assumptions'!$U$35*EXP('Model Inputs &amp; Assumptions'!$V$35*Q3602-'Model Inputs &amp; Assumptions'!$V$35^2/2))</f>
        <v>0</v>
      </c>
      <c r="E3602" s="45" t="n">
        <f aca="false">ROUND(C3602*D3602,0)</f>
        <v>0</v>
      </c>
      <c r="F3602" s="47" t="n">
        <f aca="false">MIN(1,'Model Inputs &amp; Assumptions'!$W$35*EXP('Model Inputs &amp; Assumptions'!$X$35*R3602-'Model Inputs &amp; Assumptions'!$X$35^2/2))</f>
        <v>0.00633380477823706</v>
      </c>
      <c r="G3602" s="45" t="n">
        <f aca="false">ROUND(C3602*F3602,0)</f>
        <v>493</v>
      </c>
      <c r="H3602" s="48" t="n">
        <f aca="false">MAX(0,(C3602*'Model Inputs &amp; Assumptions'!$N$35+E3602*'Model Inputs &amp; Assumptions'!$O$35+G3602*'Model Inputs &amp; Assumptions'!$P$35)*EXP('Model Inputs &amp; Assumptions'!$Q$35*S3602-'Model Inputs &amp; Assumptions'!$Q$35^2/2))</f>
        <v>41.5926694714052</v>
      </c>
      <c r="I3602" s="49" t="n">
        <f aca="false">IF('Model Inputs &amp; Assumptions'!$H$35="Fixed",'Model Inputs &amp; Assumptions'!$I$35*'Model Inputs &amp; Assumptions'!$K$35,IF('Model Inputs &amp; Assumptions'!$H$35="CPM",'Model Inputs &amp; Assumptions'!$I$35*'Model Inputs &amp; Assumptions'!$K$35*C3602/1000,IF('Model Inputs &amp; Assumptions'!$H$35="CPC",'Model Inputs &amp; Assumptions'!$I$35*'Model Inputs &amp; Assumptions'!$K$35*G3602,0)))</f>
        <v>8672.8</v>
      </c>
      <c r="J3602" s="50" t="n">
        <f aca="false">H3602*INDEX('Model Inputs &amp; Assumptions'!$D$40:$D$42,MATCH('Model Inputs &amp; Assumptions'!$L$35,'Model Inputs &amp; Assumptions'!$A$40:$A$42,0))*INDEX('Model Inputs &amp; Assumptions'!$H$40:$H$42,MATCH('Model Inputs &amp; Assumptions'!$L$35,'Model Inputs &amp; Assumptions'!$A$40:$A$42,0))</f>
        <v>353537.690506944</v>
      </c>
      <c r="K3602" s="49" t="n">
        <f aca="false">H3602*INDEX('Model Inputs &amp; Assumptions'!$G$40:$G$42,MATCH('Model Inputs &amp; Assumptions'!$L$35,'Model Inputs &amp; Assumptions'!$A$40:$A$42,0))*INDEX('Model Inputs &amp; Assumptions'!$H$40:$H$42,MATCH('Model Inputs &amp; Assumptions'!$L$35,'Model Inputs &amp; Assumptions'!$A$40:$A$42,0))</f>
        <v>7954.59803640624</v>
      </c>
      <c r="L3602" s="51" t="n">
        <f aca="false">IFERROR(K3602/I3602,0)</f>
        <v>0.917189147265732</v>
      </c>
      <c r="M3602" s="49" t="n">
        <f aca="false">IFERROR(I3602/H3602,0)</f>
        <v>208.517513067117</v>
      </c>
      <c r="N3602" s="52" t="str">
        <f aca="false">'Model Inputs &amp; Assumptions'!$L$35</f>
        <v>PRD-EUAI</v>
      </c>
      <c r="P3602" s="53" t="n">
        <v>-0.848345</v>
      </c>
      <c r="Q3602" s="53" t="n">
        <v>0.216668</v>
      </c>
      <c r="R3602" s="53" t="n">
        <v>-0.181032</v>
      </c>
      <c r="S3602" s="53" t="n">
        <v>0.84798</v>
      </c>
    </row>
    <row r="3603" customFormat="false" ht="15" hidden="false" customHeight="false" outlineLevel="0" collapsed="false">
      <c r="A3603" s="43" t="n">
        <v>100</v>
      </c>
      <c r="B3603" s="44" t="str">
        <f aca="false">'Model Inputs &amp; Assumptions'!$B$35</f>
        <v>justETF — Sponsored Listing</v>
      </c>
      <c r="C3603" s="45" t="n">
        <f aca="false">ROUND(MAX(0,'Model Inputs &amp; Assumptions'!$S$35*EXP('Model Inputs &amp; Assumptions'!$T$35*P3603-'Model Inputs &amp; Assumptions'!$T$35^2/2)),0)</f>
        <v>86614</v>
      </c>
      <c r="D3603" s="46" t="n">
        <f aca="false">MIN(1,'Model Inputs &amp; Assumptions'!$U$35*EXP('Model Inputs &amp; Assumptions'!$V$35*Q3603-'Model Inputs &amp; Assumptions'!$V$35^2/2))</f>
        <v>0</v>
      </c>
      <c r="E3603" s="45" t="n">
        <f aca="false">ROUND(C3603*D3603,0)</f>
        <v>0</v>
      </c>
      <c r="F3603" s="47" t="n">
        <f aca="false">MIN(1,'Model Inputs &amp; Assumptions'!$W$35*EXP('Model Inputs &amp; Assumptions'!$X$35*R3603-'Model Inputs &amp; Assumptions'!$X$35^2/2))</f>
        <v>0.00481524210980872</v>
      </c>
      <c r="G3603" s="45" t="n">
        <f aca="false">ROUND(C3603*F3603,0)</f>
        <v>417</v>
      </c>
      <c r="H3603" s="48" t="n">
        <f aca="false">MAX(0,(C3603*'Model Inputs &amp; Assumptions'!$N$35+E3603*'Model Inputs &amp; Assumptions'!$O$35+G3603*'Model Inputs &amp; Assumptions'!$P$35)*EXP('Model Inputs &amp; Assumptions'!$Q$35*S3603-'Model Inputs &amp; Assumptions'!$Q$35^2/2))</f>
        <v>39.6733526668448</v>
      </c>
      <c r="I3603" s="49" t="n">
        <f aca="false">IF('Model Inputs &amp; Assumptions'!$H$35="Fixed",'Model Inputs &amp; Assumptions'!$I$35*'Model Inputs &amp; Assumptions'!$K$35,IF('Model Inputs &amp; Assumptions'!$H$35="CPM",'Model Inputs &amp; Assumptions'!$I$35*'Model Inputs &amp; Assumptions'!$K$35*C3603/1000,IF('Model Inputs &amp; Assumptions'!$H$35="CPC",'Model Inputs &amp; Assumptions'!$I$35*'Model Inputs &amp; Assumptions'!$K$35*G3603,0)))</f>
        <v>8672.8</v>
      </c>
      <c r="J3603" s="50" t="n">
        <f aca="false">H3603*INDEX('Model Inputs &amp; Assumptions'!$D$40:$D$42,MATCH('Model Inputs &amp; Assumptions'!$L$35,'Model Inputs &amp; Assumptions'!$A$40:$A$42,0))*INDEX('Model Inputs &amp; Assumptions'!$H$40:$H$42,MATCH('Model Inputs &amp; Assumptions'!$L$35,'Model Inputs &amp; Assumptions'!$A$40:$A$42,0))</f>
        <v>337223.497668181</v>
      </c>
      <c r="K3603" s="49" t="n">
        <f aca="false">H3603*INDEX('Model Inputs &amp; Assumptions'!$G$40:$G$42,MATCH('Model Inputs &amp; Assumptions'!$L$35,'Model Inputs &amp; Assumptions'!$A$40:$A$42,0))*INDEX('Model Inputs &amp; Assumptions'!$H$40:$H$42,MATCH('Model Inputs &amp; Assumptions'!$L$35,'Model Inputs &amp; Assumptions'!$A$40:$A$42,0))</f>
        <v>7587.52869753406</v>
      </c>
      <c r="L3603" s="51" t="n">
        <f aca="false">IFERROR(K3603/I3603,0)</f>
        <v>0.874864945292646</v>
      </c>
      <c r="M3603" s="49" t="n">
        <f aca="false">IFERROR(I3603/H3603,0)</f>
        <v>218.605169893995</v>
      </c>
      <c r="N3603" s="52" t="str">
        <f aca="false">'Model Inputs &amp; Assumptions'!$L$35</f>
        <v>PRD-EUAI</v>
      </c>
      <c r="P3603" s="53" t="n">
        <v>-0.136048</v>
      </c>
      <c r="Q3603" s="53" t="n">
        <v>1.258419</v>
      </c>
      <c r="R3603" s="53" t="n">
        <v>-1.551606</v>
      </c>
      <c r="S3603" s="53" t="n">
        <v>1.310206</v>
      </c>
    </row>
    <row r="3604" customFormat="false" ht="15" hidden="false" customHeight="false" outlineLevel="0" collapsed="false">
      <c r="A3604" s="43" t="n">
        <v>101</v>
      </c>
      <c r="B3604" s="44" t="str">
        <f aca="false">'Model Inputs &amp; Assumptions'!$B$35</f>
        <v>justETF — Sponsored Listing</v>
      </c>
      <c r="C3604" s="45" t="n">
        <f aca="false">ROUND(MAX(0,'Model Inputs &amp; Assumptions'!$S$35*EXP('Model Inputs &amp; Assumptions'!$T$35*P3604-'Model Inputs &amp; Assumptions'!$T$35^2/2)),0)</f>
        <v>112354</v>
      </c>
      <c r="D3604" s="46" t="n">
        <f aca="false">MIN(1,'Model Inputs &amp; Assumptions'!$U$35*EXP('Model Inputs &amp; Assumptions'!$V$35*Q3604-'Model Inputs &amp; Assumptions'!$V$35^2/2))</f>
        <v>0</v>
      </c>
      <c r="E3604" s="45" t="n">
        <f aca="false">ROUND(C3604*D3604,0)</f>
        <v>0</v>
      </c>
      <c r="F3604" s="47" t="n">
        <f aca="false">MIN(1,'Model Inputs &amp; Assumptions'!$W$35*EXP('Model Inputs &amp; Assumptions'!$X$35*R3604-'Model Inputs &amp; Assumptions'!$X$35^2/2))</f>
        <v>0.00507280808094252</v>
      </c>
      <c r="G3604" s="45" t="n">
        <f aca="false">ROUND(C3604*F3604,0)</f>
        <v>570</v>
      </c>
      <c r="H3604" s="48" t="n">
        <f aca="false">MAX(0,(C3604*'Model Inputs &amp; Assumptions'!$N$35+E3604*'Model Inputs &amp; Assumptions'!$O$35+G3604*'Model Inputs &amp; Assumptions'!$P$35)*EXP('Model Inputs &amp; Assumptions'!$Q$35*S3604-'Model Inputs &amp; Assumptions'!$Q$35^2/2))</f>
        <v>57.4571575439132</v>
      </c>
      <c r="I3604" s="49" t="n">
        <f aca="false">IF('Model Inputs &amp; Assumptions'!$H$35="Fixed",'Model Inputs &amp; Assumptions'!$I$35*'Model Inputs &amp; Assumptions'!$K$35,IF('Model Inputs &amp; Assumptions'!$H$35="CPM",'Model Inputs &amp; Assumptions'!$I$35*'Model Inputs &amp; Assumptions'!$K$35*C3604/1000,IF('Model Inputs &amp; Assumptions'!$H$35="CPC",'Model Inputs &amp; Assumptions'!$I$35*'Model Inputs &amp; Assumptions'!$K$35*G3604,0)))</f>
        <v>8672.8</v>
      </c>
      <c r="J3604" s="50" t="n">
        <f aca="false">H3604*INDEX('Model Inputs &amp; Assumptions'!$D$40:$D$42,MATCH('Model Inputs &amp; Assumptions'!$L$35,'Model Inputs &amp; Assumptions'!$A$40:$A$42,0))*INDEX('Model Inputs &amp; Assumptions'!$H$40:$H$42,MATCH('Model Inputs &amp; Assumptions'!$L$35,'Model Inputs &amp; Assumptions'!$A$40:$A$42,0))</f>
        <v>488385.839123262</v>
      </c>
      <c r="K3604" s="49" t="n">
        <f aca="false">H3604*INDEX('Model Inputs &amp; Assumptions'!$G$40:$G$42,MATCH('Model Inputs &amp; Assumptions'!$L$35,'Model Inputs &amp; Assumptions'!$A$40:$A$42,0))*INDEX('Model Inputs &amp; Assumptions'!$H$40:$H$42,MATCH('Model Inputs &amp; Assumptions'!$L$35,'Model Inputs &amp; Assumptions'!$A$40:$A$42,0))</f>
        <v>10988.6813802734</v>
      </c>
      <c r="L3604" s="51" t="n">
        <f aca="false">IFERROR(K3604/I3604,0)</f>
        <v>1.26702810860084</v>
      </c>
      <c r="M3604" s="49" t="n">
        <f aca="false">IFERROR(I3604/H3604,0)</f>
        <v>150.943770467092</v>
      </c>
      <c r="N3604" s="52" t="str">
        <f aca="false">'Model Inputs &amp; Assumptions'!$L$35</f>
        <v>PRD-EUAI</v>
      </c>
      <c r="P3604" s="53" t="n">
        <v>1.598588</v>
      </c>
      <c r="Q3604" s="53" t="n">
        <v>-1.194599</v>
      </c>
      <c r="R3604" s="53" t="n">
        <v>-1.291065</v>
      </c>
      <c r="S3604" s="53" t="n">
        <v>1.532551</v>
      </c>
    </row>
    <row r="3605" customFormat="false" ht="15" hidden="false" customHeight="false" outlineLevel="0" collapsed="false">
      <c r="A3605" s="43" t="n">
        <v>102</v>
      </c>
      <c r="B3605" s="44" t="str">
        <f aca="false">'Model Inputs &amp; Assumptions'!$B$35</f>
        <v>justETF — Sponsored Listing</v>
      </c>
      <c r="C3605" s="45" t="n">
        <f aca="false">ROUND(MAX(0,'Model Inputs &amp; Assumptions'!$S$35*EXP('Model Inputs &amp; Assumptions'!$T$35*P3605-'Model Inputs &amp; Assumptions'!$T$35^2/2)),0)</f>
        <v>112184</v>
      </c>
      <c r="D3605" s="46" t="n">
        <f aca="false">MIN(1,'Model Inputs &amp; Assumptions'!$U$35*EXP('Model Inputs &amp; Assumptions'!$V$35*Q3605-'Model Inputs &amp; Assumptions'!$V$35^2/2))</f>
        <v>0</v>
      </c>
      <c r="E3605" s="45" t="n">
        <f aca="false">ROUND(C3605*D3605,0)</f>
        <v>0</v>
      </c>
      <c r="F3605" s="47" t="n">
        <f aca="false">MIN(1,'Model Inputs &amp; Assumptions'!$W$35*EXP('Model Inputs &amp; Assumptions'!$X$35*R3605-'Model Inputs &amp; Assumptions'!$X$35^2/2))</f>
        <v>0.00489795576081208</v>
      </c>
      <c r="G3605" s="45" t="n">
        <f aca="false">ROUND(C3605*F3605,0)</f>
        <v>549</v>
      </c>
      <c r="H3605" s="48" t="n">
        <f aca="false">MAX(0,(C3605*'Model Inputs &amp; Assumptions'!$N$35+E3605*'Model Inputs &amp; Assumptions'!$O$35+G3605*'Model Inputs &amp; Assumptions'!$P$35)*EXP('Model Inputs &amp; Assumptions'!$Q$35*S3605-'Model Inputs &amp; Assumptions'!$Q$35^2/2))</f>
        <v>39.0267194081661</v>
      </c>
      <c r="I3605" s="49" t="n">
        <f aca="false">IF('Model Inputs &amp; Assumptions'!$H$35="Fixed",'Model Inputs &amp; Assumptions'!$I$35*'Model Inputs &amp; Assumptions'!$K$35,IF('Model Inputs &amp; Assumptions'!$H$35="CPM",'Model Inputs &amp; Assumptions'!$I$35*'Model Inputs &amp; Assumptions'!$K$35*C3605/1000,IF('Model Inputs &amp; Assumptions'!$H$35="CPC",'Model Inputs &amp; Assumptions'!$I$35*'Model Inputs &amp; Assumptions'!$K$35*G3605,0)))</f>
        <v>8672.8</v>
      </c>
      <c r="J3605" s="50" t="n">
        <f aca="false">H3605*INDEX('Model Inputs &amp; Assumptions'!$D$40:$D$42,MATCH('Model Inputs &amp; Assumptions'!$L$35,'Model Inputs &amp; Assumptions'!$A$40:$A$42,0))*INDEX('Model Inputs &amp; Assumptions'!$H$40:$H$42,MATCH('Model Inputs &amp; Assumptions'!$L$35,'Model Inputs &amp; Assumptions'!$A$40:$A$42,0))</f>
        <v>331727.114969412</v>
      </c>
      <c r="K3605" s="49" t="n">
        <f aca="false">H3605*INDEX('Model Inputs &amp; Assumptions'!$G$40:$G$42,MATCH('Model Inputs &amp; Assumptions'!$L$35,'Model Inputs &amp; Assumptions'!$A$40:$A$42,0))*INDEX('Model Inputs &amp; Assumptions'!$H$40:$H$42,MATCH('Model Inputs &amp; Assumptions'!$L$35,'Model Inputs &amp; Assumptions'!$A$40:$A$42,0))</f>
        <v>7463.86008681177</v>
      </c>
      <c r="L3605" s="51" t="n">
        <f aca="false">IFERROR(K3605/I3605,0)</f>
        <v>0.860605581451408</v>
      </c>
      <c r="M3605" s="49" t="n">
        <f aca="false">IFERROR(I3605/H3605,0)</f>
        <v>222.227236404228</v>
      </c>
      <c r="N3605" s="52" t="str">
        <f aca="false">'Model Inputs &amp; Assumptions'!$L$35</f>
        <v>PRD-EUAI</v>
      </c>
      <c r="P3605" s="53" t="n">
        <v>1.588436</v>
      </c>
      <c r="Q3605" s="53" t="n">
        <v>0.496819</v>
      </c>
      <c r="R3605" s="53" t="n">
        <v>-1.466448</v>
      </c>
      <c r="S3605" s="53" t="n">
        <v>0.189262</v>
      </c>
    </row>
    <row r="3606" customFormat="false" ht="15" hidden="false" customHeight="false" outlineLevel="0" collapsed="false">
      <c r="A3606" s="43" t="n">
        <v>103</v>
      </c>
      <c r="B3606" s="44" t="str">
        <f aca="false">'Model Inputs &amp; Assumptions'!$B$35</f>
        <v>justETF — Sponsored Listing</v>
      </c>
      <c r="C3606" s="45" t="n">
        <f aca="false">ROUND(MAX(0,'Model Inputs &amp; Assumptions'!$S$35*EXP('Model Inputs &amp; Assumptions'!$T$35*P3606-'Model Inputs &amp; Assumptions'!$T$35^2/2)),0)</f>
        <v>87303</v>
      </c>
      <c r="D3606" s="46" t="n">
        <f aca="false">MIN(1,'Model Inputs &amp; Assumptions'!$U$35*EXP('Model Inputs &amp; Assumptions'!$V$35*Q3606-'Model Inputs &amp; Assumptions'!$V$35^2/2))</f>
        <v>0</v>
      </c>
      <c r="E3606" s="45" t="n">
        <f aca="false">ROUND(C3606*D3606,0)</f>
        <v>0</v>
      </c>
      <c r="F3606" s="47" t="n">
        <f aca="false">MIN(1,'Model Inputs &amp; Assumptions'!$W$35*EXP('Model Inputs &amp; Assumptions'!$X$35*R3606-'Model Inputs &amp; Assumptions'!$X$35^2/2))</f>
        <v>0.0101705707191549</v>
      </c>
      <c r="G3606" s="45" t="n">
        <f aca="false">ROUND(C3606*F3606,0)</f>
        <v>888</v>
      </c>
      <c r="H3606" s="48" t="n">
        <f aca="false">MAX(0,(C3606*'Model Inputs &amp; Assumptions'!$N$35+E3606*'Model Inputs &amp; Assumptions'!$O$35+G3606*'Model Inputs &amp; Assumptions'!$P$35)*EXP('Model Inputs &amp; Assumptions'!$Q$35*S3606-'Model Inputs &amp; Assumptions'!$Q$35^2/2))</f>
        <v>76.7943220714616</v>
      </c>
      <c r="I3606" s="49" t="n">
        <f aca="false">IF('Model Inputs &amp; Assumptions'!$H$35="Fixed",'Model Inputs &amp; Assumptions'!$I$35*'Model Inputs &amp; Assumptions'!$K$35,IF('Model Inputs &amp; Assumptions'!$H$35="CPM",'Model Inputs &amp; Assumptions'!$I$35*'Model Inputs &amp; Assumptions'!$K$35*C3606/1000,IF('Model Inputs &amp; Assumptions'!$H$35="CPC",'Model Inputs &amp; Assumptions'!$I$35*'Model Inputs &amp; Assumptions'!$K$35*G3606,0)))</f>
        <v>8672.8</v>
      </c>
      <c r="J3606" s="50" t="n">
        <f aca="false">H3606*INDEX('Model Inputs &amp; Assumptions'!$D$40:$D$42,MATCH('Model Inputs &amp; Assumptions'!$L$35,'Model Inputs &amp; Assumptions'!$A$40:$A$42,0))*INDEX('Model Inputs &amp; Assumptions'!$H$40:$H$42,MATCH('Model Inputs &amp; Assumptions'!$L$35,'Model Inputs &amp; Assumptions'!$A$40:$A$42,0))</f>
        <v>652751.737607424</v>
      </c>
      <c r="K3606" s="49" t="n">
        <f aca="false">H3606*INDEX('Model Inputs &amp; Assumptions'!$G$40:$G$42,MATCH('Model Inputs &amp; Assumptions'!$L$35,'Model Inputs &amp; Assumptions'!$A$40:$A$42,0))*INDEX('Model Inputs &amp; Assumptions'!$H$40:$H$42,MATCH('Model Inputs &amp; Assumptions'!$L$35,'Model Inputs &amp; Assumptions'!$A$40:$A$42,0))</f>
        <v>14686.914096167</v>
      </c>
      <c r="L3606" s="51" t="n">
        <f aca="false">IFERROR(K3606/I3606,0)</f>
        <v>1.69344549582223</v>
      </c>
      <c r="M3606" s="49" t="n">
        <f aca="false">IFERROR(I3606/H3606,0)</f>
        <v>112.935432803606</v>
      </c>
      <c r="N3606" s="52" t="str">
        <f aca="false">'Model Inputs &amp; Assumptions'!$L$35</f>
        <v>PRD-EUAI</v>
      </c>
      <c r="P3606" s="53" t="n">
        <v>-0.083231</v>
      </c>
      <c r="Q3606" s="53" t="n">
        <v>0.004281</v>
      </c>
      <c r="R3606" s="53" t="n">
        <v>2.186954</v>
      </c>
      <c r="S3606" s="53" t="n">
        <v>0.94315</v>
      </c>
    </row>
    <row r="3607" customFormat="false" ht="15" hidden="false" customHeight="false" outlineLevel="0" collapsed="false">
      <c r="A3607" s="43" t="n">
        <v>104</v>
      </c>
      <c r="B3607" s="44" t="str">
        <f aca="false">'Model Inputs &amp; Assumptions'!$B$35</f>
        <v>justETF — Sponsored Listing</v>
      </c>
      <c r="C3607" s="45" t="n">
        <f aca="false">ROUND(MAX(0,'Model Inputs &amp; Assumptions'!$S$35*EXP('Model Inputs &amp; Assumptions'!$T$35*P3607-'Model Inputs &amp; Assumptions'!$T$35^2/2)),0)</f>
        <v>88220</v>
      </c>
      <c r="D3607" s="46" t="n">
        <f aca="false">MIN(1,'Model Inputs &amp; Assumptions'!$U$35*EXP('Model Inputs &amp; Assumptions'!$V$35*Q3607-'Model Inputs &amp; Assumptions'!$V$35^2/2))</f>
        <v>0</v>
      </c>
      <c r="E3607" s="45" t="n">
        <f aca="false">ROUND(C3607*D3607,0)</f>
        <v>0</v>
      </c>
      <c r="F3607" s="47" t="n">
        <f aca="false">MIN(1,'Model Inputs &amp; Assumptions'!$W$35*EXP('Model Inputs &amp; Assumptions'!$X$35*R3607-'Model Inputs &amp; Assumptions'!$X$35^2/2))</f>
        <v>0.00923624969775481</v>
      </c>
      <c r="G3607" s="45" t="n">
        <f aca="false">ROUND(C3607*F3607,0)</f>
        <v>815</v>
      </c>
      <c r="H3607" s="48" t="n">
        <f aca="false">MAX(0,(C3607*'Model Inputs &amp; Assumptions'!$N$35+E3607*'Model Inputs &amp; Assumptions'!$O$35+G3607*'Model Inputs &amp; Assumptions'!$P$35)*EXP('Model Inputs &amp; Assumptions'!$Q$35*S3607-'Model Inputs &amp; Assumptions'!$Q$35^2/2))</f>
        <v>68.3699442362462</v>
      </c>
      <c r="I3607" s="49" t="n">
        <f aca="false">IF('Model Inputs &amp; Assumptions'!$H$35="Fixed",'Model Inputs &amp; Assumptions'!$I$35*'Model Inputs &amp; Assumptions'!$K$35,IF('Model Inputs &amp; Assumptions'!$H$35="CPM",'Model Inputs &amp; Assumptions'!$I$35*'Model Inputs &amp; Assumptions'!$K$35*C3607/1000,IF('Model Inputs &amp; Assumptions'!$H$35="CPC",'Model Inputs &amp; Assumptions'!$I$35*'Model Inputs &amp; Assumptions'!$K$35*G3607,0)))</f>
        <v>8672.8</v>
      </c>
      <c r="J3607" s="50" t="n">
        <f aca="false">H3607*INDEX('Model Inputs &amp; Assumptions'!$D$40:$D$42,MATCH('Model Inputs &amp; Assumptions'!$L$35,'Model Inputs &amp; Assumptions'!$A$40:$A$42,0))*INDEX('Model Inputs &amp; Assumptions'!$H$40:$H$42,MATCH('Model Inputs &amp; Assumptions'!$L$35,'Model Inputs &amp; Assumptions'!$A$40:$A$42,0))</f>
        <v>581144.526008093</v>
      </c>
      <c r="K3607" s="49" t="n">
        <f aca="false">H3607*INDEX('Model Inputs &amp; Assumptions'!$G$40:$G$42,MATCH('Model Inputs &amp; Assumptions'!$L$35,'Model Inputs &amp; Assumptions'!$A$40:$A$42,0))*INDEX('Model Inputs &amp; Assumptions'!$H$40:$H$42,MATCH('Model Inputs &amp; Assumptions'!$L$35,'Model Inputs &amp; Assumptions'!$A$40:$A$42,0))</f>
        <v>13075.7518351821</v>
      </c>
      <c r="L3607" s="51" t="n">
        <f aca="false">IFERROR(K3607/I3607,0)</f>
        <v>1.50767362733859</v>
      </c>
      <c r="M3607" s="49" t="n">
        <f aca="false">IFERROR(I3607/H3607,0)</f>
        <v>126.851061484443</v>
      </c>
      <c r="N3607" s="52" t="str">
        <f aca="false">'Model Inputs &amp; Assumptions'!$L$35</f>
        <v>PRD-EUAI</v>
      </c>
      <c r="P3607" s="53" t="n">
        <v>-0.013546</v>
      </c>
      <c r="Q3607" s="53" t="n">
        <v>1.167272</v>
      </c>
      <c r="R3607" s="53" t="n">
        <v>1.705142</v>
      </c>
      <c r="S3607" s="53" t="n">
        <v>0.826174</v>
      </c>
    </row>
    <row r="3608" customFormat="false" ht="15" hidden="false" customHeight="false" outlineLevel="0" collapsed="false">
      <c r="A3608" s="43" t="n">
        <v>105</v>
      </c>
      <c r="B3608" s="44" t="str">
        <f aca="false">'Model Inputs &amp; Assumptions'!$B$35</f>
        <v>justETF — Sponsored Listing</v>
      </c>
      <c r="C3608" s="45" t="n">
        <f aca="false">ROUND(MAX(0,'Model Inputs &amp; Assumptions'!$S$35*EXP('Model Inputs &amp; Assumptions'!$T$35*P3608-'Model Inputs &amp; Assumptions'!$T$35^2/2)),0)</f>
        <v>85178</v>
      </c>
      <c r="D3608" s="46" t="n">
        <f aca="false">MIN(1,'Model Inputs &amp; Assumptions'!$U$35*EXP('Model Inputs &amp; Assumptions'!$V$35*Q3608-'Model Inputs &amp; Assumptions'!$V$35^2/2))</f>
        <v>0</v>
      </c>
      <c r="E3608" s="45" t="n">
        <f aca="false">ROUND(C3608*D3608,0)</f>
        <v>0</v>
      </c>
      <c r="F3608" s="47" t="n">
        <f aca="false">MIN(1,'Model Inputs &amp; Assumptions'!$W$35*EXP('Model Inputs &amp; Assumptions'!$X$35*R3608-'Model Inputs &amp; Assumptions'!$X$35^2/2))</f>
        <v>0.00568009027672814</v>
      </c>
      <c r="G3608" s="45" t="n">
        <f aca="false">ROUND(C3608*F3608,0)</f>
        <v>484</v>
      </c>
      <c r="H3608" s="48" t="n">
        <f aca="false">MAX(0,(C3608*'Model Inputs &amp; Assumptions'!$N$35+E3608*'Model Inputs &amp; Assumptions'!$O$35+G3608*'Model Inputs &amp; Assumptions'!$P$35)*EXP('Model Inputs &amp; Assumptions'!$Q$35*S3608-'Model Inputs &amp; Assumptions'!$Q$35^2/2))</f>
        <v>32.6112437685519</v>
      </c>
      <c r="I3608" s="49" t="n">
        <f aca="false">IF('Model Inputs &amp; Assumptions'!$H$35="Fixed",'Model Inputs &amp; Assumptions'!$I$35*'Model Inputs &amp; Assumptions'!$K$35,IF('Model Inputs &amp; Assumptions'!$H$35="CPM",'Model Inputs &amp; Assumptions'!$I$35*'Model Inputs &amp; Assumptions'!$K$35*C3608/1000,IF('Model Inputs &amp; Assumptions'!$H$35="CPC",'Model Inputs &amp; Assumptions'!$I$35*'Model Inputs &amp; Assumptions'!$K$35*G3608,0)))</f>
        <v>8672.8</v>
      </c>
      <c r="J3608" s="50" t="n">
        <f aca="false">H3608*INDEX('Model Inputs &amp; Assumptions'!$D$40:$D$42,MATCH('Model Inputs &amp; Assumptions'!$L$35,'Model Inputs &amp; Assumptions'!$A$40:$A$42,0))*INDEX('Model Inputs &amp; Assumptions'!$H$40:$H$42,MATCH('Model Inputs &amp; Assumptions'!$L$35,'Model Inputs &amp; Assumptions'!$A$40:$A$42,0))</f>
        <v>277195.572032691</v>
      </c>
      <c r="K3608" s="49" t="n">
        <f aca="false">H3608*INDEX('Model Inputs &amp; Assumptions'!$G$40:$G$42,MATCH('Model Inputs &amp; Assumptions'!$L$35,'Model Inputs &amp; Assumptions'!$A$40:$A$42,0))*INDEX('Model Inputs &amp; Assumptions'!$H$40:$H$42,MATCH('Model Inputs &amp; Assumptions'!$L$35,'Model Inputs &amp; Assumptions'!$A$40:$A$42,0))</f>
        <v>6236.90037073556</v>
      </c>
      <c r="L3608" s="51" t="n">
        <f aca="false">IFERROR(K3608/I3608,0)</f>
        <v>0.719133425276215</v>
      </c>
      <c r="M3608" s="49" t="n">
        <f aca="false">IFERROR(I3608/H3608,0)</f>
        <v>265.94508512317</v>
      </c>
      <c r="N3608" s="52" t="str">
        <f aca="false">'Model Inputs &amp; Assumptions'!$L$35</f>
        <v>PRD-EUAI</v>
      </c>
      <c r="P3608" s="53" t="n">
        <v>-0.247535</v>
      </c>
      <c r="Q3608" s="53" t="n">
        <v>1.004843</v>
      </c>
      <c r="R3608" s="53" t="n">
        <v>-0.725702</v>
      </c>
      <c r="S3608" s="53" t="n">
        <v>-0.016799</v>
      </c>
    </row>
    <row r="3609" customFormat="false" ht="15" hidden="false" customHeight="false" outlineLevel="0" collapsed="false">
      <c r="A3609" s="43" t="n">
        <v>106</v>
      </c>
      <c r="B3609" s="44" t="str">
        <f aca="false">'Model Inputs &amp; Assumptions'!$B$35</f>
        <v>justETF — Sponsored Listing</v>
      </c>
      <c r="C3609" s="45" t="n">
        <f aca="false">ROUND(MAX(0,'Model Inputs &amp; Assumptions'!$S$35*EXP('Model Inputs &amp; Assumptions'!$T$35*P3609-'Model Inputs &amp; Assumptions'!$T$35^2/2)),0)</f>
        <v>123355</v>
      </c>
      <c r="D3609" s="46" t="n">
        <f aca="false">MIN(1,'Model Inputs &amp; Assumptions'!$U$35*EXP('Model Inputs &amp; Assumptions'!$V$35*Q3609-'Model Inputs &amp; Assumptions'!$V$35^2/2))</f>
        <v>0</v>
      </c>
      <c r="E3609" s="45" t="n">
        <f aca="false">ROUND(C3609*D3609,0)</f>
        <v>0</v>
      </c>
      <c r="F3609" s="47" t="n">
        <f aca="false">MIN(1,'Model Inputs &amp; Assumptions'!$W$35*EXP('Model Inputs &amp; Assumptions'!$X$35*R3609-'Model Inputs &amp; Assumptions'!$X$35^2/2))</f>
        <v>0.00927503262861163</v>
      </c>
      <c r="G3609" s="45" t="n">
        <f aca="false">ROUND(C3609*F3609,0)</f>
        <v>1144</v>
      </c>
      <c r="H3609" s="48" t="n">
        <f aca="false">MAX(0,(C3609*'Model Inputs &amp; Assumptions'!$N$35+E3609*'Model Inputs &amp; Assumptions'!$O$35+G3609*'Model Inputs &amp; Assumptions'!$P$35)*EXP('Model Inputs &amp; Assumptions'!$Q$35*S3609-'Model Inputs &amp; Assumptions'!$Q$35^2/2))</f>
        <v>83.2189806820922</v>
      </c>
      <c r="I3609" s="49" t="n">
        <f aca="false">IF('Model Inputs &amp; Assumptions'!$H$35="Fixed",'Model Inputs &amp; Assumptions'!$I$35*'Model Inputs &amp; Assumptions'!$K$35,IF('Model Inputs &amp; Assumptions'!$H$35="CPM",'Model Inputs &amp; Assumptions'!$I$35*'Model Inputs &amp; Assumptions'!$K$35*C3609/1000,IF('Model Inputs &amp; Assumptions'!$H$35="CPC",'Model Inputs &amp; Assumptions'!$I$35*'Model Inputs &amp; Assumptions'!$K$35*G3609,0)))</f>
        <v>8672.8</v>
      </c>
      <c r="J3609" s="50" t="n">
        <f aca="false">H3609*INDEX('Model Inputs &amp; Assumptions'!$D$40:$D$42,MATCH('Model Inputs &amp; Assumptions'!$L$35,'Model Inputs &amp; Assumptions'!$A$40:$A$42,0))*INDEX('Model Inputs &amp; Assumptions'!$H$40:$H$42,MATCH('Model Inputs &amp; Assumptions'!$L$35,'Model Inputs &amp; Assumptions'!$A$40:$A$42,0))</f>
        <v>707361.335797784</v>
      </c>
      <c r="K3609" s="49" t="n">
        <f aca="false">H3609*INDEX('Model Inputs &amp; Assumptions'!$G$40:$G$42,MATCH('Model Inputs &amp; Assumptions'!$L$35,'Model Inputs &amp; Assumptions'!$A$40:$A$42,0))*INDEX('Model Inputs &amp; Assumptions'!$H$40:$H$42,MATCH('Model Inputs &amp; Assumptions'!$L$35,'Model Inputs &amp; Assumptions'!$A$40:$A$42,0))</f>
        <v>15915.6300554501</v>
      </c>
      <c r="L3609" s="51" t="n">
        <f aca="false">IFERROR(K3609/I3609,0)</f>
        <v>1.83512015213658</v>
      </c>
      <c r="M3609" s="49" t="n">
        <f aca="false">IFERROR(I3609/H3609,0)</f>
        <v>104.216609346986</v>
      </c>
      <c r="N3609" s="52" t="str">
        <f aca="false">'Model Inputs &amp; Assumptions'!$L$35</f>
        <v>PRD-EUAI</v>
      </c>
      <c r="P3609" s="53" t="n">
        <v>2.221309</v>
      </c>
      <c r="Q3609" s="53" t="n">
        <v>-3.42581</v>
      </c>
      <c r="R3609" s="53" t="n">
        <v>1.726093</v>
      </c>
      <c r="S3609" s="53" t="n">
        <v>0.277882</v>
      </c>
    </row>
    <row r="3610" customFormat="false" ht="15" hidden="false" customHeight="false" outlineLevel="0" collapsed="false">
      <c r="A3610" s="43" t="n">
        <v>107</v>
      </c>
      <c r="B3610" s="44" t="str">
        <f aca="false">'Model Inputs &amp; Assumptions'!$B$35</f>
        <v>justETF — Sponsored Listing</v>
      </c>
      <c r="C3610" s="45" t="n">
        <f aca="false">ROUND(MAX(0,'Model Inputs &amp; Assumptions'!$S$35*EXP('Model Inputs &amp; Assumptions'!$T$35*P3610-'Model Inputs &amp; Assumptions'!$T$35^2/2)),0)</f>
        <v>80797</v>
      </c>
      <c r="D3610" s="46" t="n">
        <f aca="false">MIN(1,'Model Inputs &amp; Assumptions'!$U$35*EXP('Model Inputs &amp; Assumptions'!$V$35*Q3610-'Model Inputs &amp; Assumptions'!$V$35^2/2))</f>
        <v>0</v>
      </c>
      <c r="E3610" s="45" t="n">
        <f aca="false">ROUND(C3610*D3610,0)</f>
        <v>0</v>
      </c>
      <c r="F3610" s="47" t="n">
        <f aca="false">MIN(1,'Model Inputs &amp; Assumptions'!$W$35*EXP('Model Inputs &amp; Assumptions'!$X$35*R3610-'Model Inputs &amp; Assumptions'!$X$35^2/2))</f>
        <v>0.00805891495426133</v>
      </c>
      <c r="G3610" s="45" t="n">
        <f aca="false">ROUND(C3610*F3610,0)</f>
        <v>651</v>
      </c>
      <c r="H3610" s="48" t="n">
        <f aca="false">MAX(0,(C3610*'Model Inputs &amp; Assumptions'!$N$35+E3610*'Model Inputs &amp; Assumptions'!$O$35+G3610*'Model Inputs &amp; Assumptions'!$P$35)*EXP('Model Inputs &amp; Assumptions'!$Q$35*S3610-'Model Inputs &amp; Assumptions'!$Q$35^2/2))</f>
        <v>52.2113855597072</v>
      </c>
      <c r="I3610" s="49" t="n">
        <f aca="false">IF('Model Inputs &amp; Assumptions'!$H$35="Fixed",'Model Inputs &amp; Assumptions'!$I$35*'Model Inputs &amp; Assumptions'!$K$35,IF('Model Inputs &amp; Assumptions'!$H$35="CPM",'Model Inputs &amp; Assumptions'!$I$35*'Model Inputs &amp; Assumptions'!$K$35*C3610/1000,IF('Model Inputs &amp; Assumptions'!$H$35="CPC",'Model Inputs &amp; Assumptions'!$I$35*'Model Inputs &amp; Assumptions'!$K$35*G3610,0)))</f>
        <v>8672.8</v>
      </c>
      <c r="J3610" s="50" t="n">
        <f aca="false">H3610*INDEX('Model Inputs &amp; Assumptions'!$D$40:$D$42,MATCH('Model Inputs &amp; Assumptions'!$L$35,'Model Inputs &amp; Assumptions'!$A$40:$A$42,0))*INDEX('Model Inputs &amp; Assumptions'!$H$40:$H$42,MATCH('Model Inputs &amp; Assumptions'!$L$35,'Model Inputs &amp; Assumptions'!$A$40:$A$42,0))</f>
        <v>443796.777257511</v>
      </c>
      <c r="K3610" s="49" t="n">
        <f aca="false">H3610*INDEX('Model Inputs &amp; Assumptions'!$G$40:$G$42,MATCH('Model Inputs &amp; Assumptions'!$L$35,'Model Inputs &amp; Assumptions'!$A$40:$A$42,0))*INDEX('Model Inputs &amp; Assumptions'!$H$40:$H$42,MATCH('Model Inputs &amp; Assumptions'!$L$35,'Model Inputs &amp; Assumptions'!$A$40:$A$42,0))</f>
        <v>9985.427488294</v>
      </c>
      <c r="L3610" s="51" t="n">
        <f aca="false">IFERROR(K3610/I3610,0)</f>
        <v>1.15134990871391</v>
      </c>
      <c r="M3610" s="49" t="n">
        <f aca="false">IFERROR(I3610/H3610,0)</f>
        <v>166.109363063772</v>
      </c>
      <c r="N3610" s="52" t="str">
        <f aca="false">'Model Inputs &amp; Assumptions'!$L$35</f>
        <v>PRD-EUAI</v>
      </c>
      <c r="P3610" s="53" t="n">
        <v>-0.599507</v>
      </c>
      <c r="Q3610" s="53" t="n">
        <v>0.046908</v>
      </c>
      <c r="R3610" s="53" t="n">
        <v>1.023357</v>
      </c>
      <c r="S3610" s="53" t="n">
        <v>0.653273</v>
      </c>
    </row>
    <row r="3611" customFormat="false" ht="15" hidden="false" customHeight="false" outlineLevel="0" collapsed="false">
      <c r="A3611" s="43" t="n">
        <v>108</v>
      </c>
      <c r="B3611" s="44" t="str">
        <f aca="false">'Model Inputs &amp; Assumptions'!$B$35</f>
        <v>justETF — Sponsored Listing</v>
      </c>
      <c r="C3611" s="45" t="n">
        <f aca="false">ROUND(MAX(0,'Model Inputs &amp; Assumptions'!$S$35*EXP('Model Inputs &amp; Assumptions'!$T$35*P3611-'Model Inputs &amp; Assumptions'!$T$35^2/2)),0)</f>
        <v>113431</v>
      </c>
      <c r="D3611" s="46" t="n">
        <f aca="false">MIN(1,'Model Inputs &amp; Assumptions'!$U$35*EXP('Model Inputs &amp; Assumptions'!$V$35*Q3611-'Model Inputs &amp; Assumptions'!$V$35^2/2))</f>
        <v>0</v>
      </c>
      <c r="E3611" s="45" t="n">
        <f aca="false">ROUND(C3611*D3611,0)</f>
        <v>0</v>
      </c>
      <c r="F3611" s="47" t="n">
        <f aca="false">MIN(1,'Model Inputs &amp; Assumptions'!$W$35*EXP('Model Inputs &amp; Assumptions'!$X$35*R3611-'Model Inputs &amp; Assumptions'!$X$35^2/2))</f>
        <v>0.00658926972271189</v>
      </c>
      <c r="G3611" s="45" t="n">
        <f aca="false">ROUND(C3611*F3611,0)</f>
        <v>747</v>
      </c>
      <c r="H3611" s="48" t="n">
        <f aca="false">MAX(0,(C3611*'Model Inputs &amp; Assumptions'!$N$35+E3611*'Model Inputs &amp; Assumptions'!$O$35+G3611*'Model Inputs &amp; Assumptions'!$P$35)*EXP('Model Inputs &amp; Assumptions'!$Q$35*S3611-'Model Inputs &amp; Assumptions'!$Q$35^2/2))</f>
        <v>48.944736162035</v>
      </c>
      <c r="I3611" s="49" t="n">
        <f aca="false">IF('Model Inputs &amp; Assumptions'!$H$35="Fixed",'Model Inputs &amp; Assumptions'!$I$35*'Model Inputs &amp; Assumptions'!$K$35,IF('Model Inputs &amp; Assumptions'!$H$35="CPM",'Model Inputs &amp; Assumptions'!$I$35*'Model Inputs &amp; Assumptions'!$K$35*C3611/1000,IF('Model Inputs &amp; Assumptions'!$H$35="CPC",'Model Inputs &amp; Assumptions'!$I$35*'Model Inputs &amp; Assumptions'!$K$35*G3611,0)))</f>
        <v>8672.8</v>
      </c>
      <c r="J3611" s="50" t="n">
        <f aca="false">H3611*INDEX('Model Inputs &amp; Assumptions'!$D$40:$D$42,MATCH('Model Inputs &amp; Assumptions'!$L$35,'Model Inputs &amp; Assumptions'!$A$40:$A$42,0))*INDEX('Model Inputs &amp; Assumptions'!$H$40:$H$42,MATCH('Model Inputs &amp; Assumptions'!$L$35,'Model Inputs &amp; Assumptions'!$A$40:$A$42,0))</f>
        <v>416030.257377297</v>
      </c>
      <c r="K3611" s="49" t="n">
        <f aca="false">H3611*INDEX('Model Inputs &amp; Assumptions'!$G$40:$G$42,MATCH('Model Inputs &amp; Assumptions'!$L$35,'Model Inputs &amp; Assumptions'!$A$40:$A$42,0))*INDEX('Model Inputs &amp; Assumptions'!$H$40:$H$42,MATCH('Model Inputs &amp; Assumptions'!$L$35,'Model Inputs &amp; Assumptions'!$A$40:$A$42,0))</f>
        <v>9360.68079098919</v>
      </c>
      <c r="L3611" s="51" t="n">
        <f aca="false">IFERROR(K3611/I3611,0)</f>
        <v>1.07931473007439</v>
      </c>
      <c r="M3611" s="49" t="n">
        <f aca="false">IFERROR(I3611/H3611,0)</f>
        <v>177.19576567515</v>
      </c>
      <c r="N3611" s="52" t="str">
        <f aca="false">'Model Inputs &amp; Assumptions'!$L$35</f>
        <v>PRD-EUAI</v>
      </c>
      <c r="P3611" s="53" t="n">
        <v>1.662184</v>
      </c>
      <c r="Q3611" s="53" t="n">
        <v>0.214454</v>
      </c>
      <c r="R3611" s="53" t="n">
        <v>0.016675</v>
      </c>
      <c r="S3611" s="53" t="n">
        <v>-0.124282</v>
      </c>
    </row>
    <row r="3612" customFormat="false" ht="15" hidden="false" customHeight="false" outlineLevel="0" collapsed="false">
      <c r="A3612" s="43" t="n">
        <v>109</v>
      </c>
      <c r="B3612" s="44" t="str">
        <f aca="false">'Model Inputs &amp; Assumptions'!$B$35</f>
        <v>justETF — Sponsored Listing</v>
      </c>
      <c r="C3612" s="45" t="n">
        <f aca="false">ROUND(MAX(0,'Model Inputs &amp; Assumptions'!$S$35*EXP('Model Inputs &amp; Assumptions'!$T$35*P3612-'Model Inputs &amp; Assumptions'!$T$35^2/2)),0)</f>
        <v>81539</v>
      </c>
      <c r="D3612" s="46" t="n">
        <f aca="false">MIN(1,'Model Inputs &amp; Assumptions'!$U$35*EXP('Model Inputs &amp; Assumptions'!$V$35*Q3612-'Model Inputs &amp; Assumptions'!$V$35^2/2))</f>
        <v>0</v>
      </c>
      <c r="E3612" s="45" t="n">
        <f aca="false">ROUND(C3612*D3612,0)</f>
        <v>0</v>
      </c>
      <c r="F3612" s="47" t="n">
        <f aca="false">MIN(1,'Model Inputs &amp; Assumptions'!$W$35*EXP('Model Inputs &amp; Assumptions'!$X$35*R3612-'Model Inputs &amp; Assumptions'!$X$35^2/2))</f>
        <v>0.0103242069419107</v>
      </c>
      <c r="G3612" s="45" t="n">
        <f aca="false">ROUND(C3612*F3612,0)</f>
        <v>842</v>
      </c>
      <c r="H3612" s="48" t="n">
        <f aca="false">MAX(0,(C3612*'Model Inputs &amp; Assumptions'!$N$35+E3612*'Model Inputs &amp; Assumptions'!$O$35+G3612*'Model Inputs &amp; Assumptions'!$P$35)*EXP('Model Inputs &amp; Assumptions'!$Q$35*S3612-'Model Inputs &amp; Assumptions'!$Q$35^2/2))</f>
        <v>53.9811708237662</v>
      </c>
      <c r="I3612" s="49" t="n">
        <f aca="false">IF('Model Inputs &amp; Assumptions'!$H$35="Fixed",'Model Inputs &amp; Assumptions'!$I$35*'Model Inputs &amp; Assumptions'!$K$35,IF('Model Inputs &amp; Assumptions'!$H$35="CPM",'Model Inputs &amp; Assumptions'!$I$35*'Model Inputs &amp; Assumptions'!$K$35*C3612/1000,IF('Model Inputs &amp; Assumptions'!$H$35="CPC",'Model Inputs &amp; Assumptions'!$I$35*'Model Inputs &amp; Assumptions'!$K$35*G3612,0)))</f>
        <v>8672.8</v>
      </c>
      <c r="J3612" s="50" t="n">
        <f aca="false">H3612*INDEX('Model Inputs &amp; Assumptions'!$D$40:$D$42,MATCH('Model Inputs &amp; Assumptions'!$L$35,'Model Inputs &amp; Assumptions'!$A$40:$A$42,0))*INDEX('Model Inputs &amp; Assumptions'!$H$40:$H$42,MATCH('Model Inputs &amp; Assumptions'!$L$35,'Model Inputs &amp; Assumptions'!$A$40:$A$42,0))</f>
        <v>458839.952002013</v>
      </c>
      <c r="K3612" s="49" t="n">
        <f aca="false">H3612*INDEX('Model Inputs &amp; Assumptions'!$G$40:$G$42,MATCH('Model Inputs &amp; Assumptions'!$L$35,'Model Inputs &amp; Assumptions'!$A$40:$A$42,0))*INDEX('Model Inputs &amp; Assumptions'!$H$40:$H$42,MATCH('Model Inputs &amp; Assumptions'!$L$35,'Model Inputs &amp; Assumptions'!$A$40:$A$42,0))</f>
        <v>10323.8989200453</v>
      </c>
      <c r="L3612" s="51" t="n">
        <f aca="false">IFERROR(K3612/I3612,0)</f>
        <v>1.19037668573532</v>
      </c>
      <c r="M3612" s="49" t="n">
        <f aca="false">IFERROR(I3612/H3612,0)</f>
        <v>160.663428889201</v>
      </c>
      <c r="N3612" s="52" t="str">
        <f aca="false">'Model Inputs &amp; Assumptions'!$L$35</f>
        <v>PRD-EUAI</v>
      </c>
      <c r="P3612" s="53" t="n">
        <v>-0.538608</v>
      </c>
      <c r="Q3612" s="53" t="n">
        <v>-0.045903</v>
      </c>
      <c r="R3612" s="53" t="n">
        <v>2.261919</v>
      </c>
      <c r="S3612" s="53" t="n">
        <v>-0.208018</v>
      </c>
    </row>
    <row r="3613" customFormat="false" ht="15" hidden="false" customHeight="false" outlineLevel="0" collapsed="false">
      <c r="A3613" s="43" t="n">
        <v>110</v>
      </c>
      <c r="B3613" s="44" t="str">
        <f aca="false">'Model Inputs &amp; Assumptions'!$B$35</f>
        <v>justETF — Sponsored Listing</v>
      </c>
      <c r="C3613" s="45" t="n">
        <f aca="false">ROUND(MAX(0,'Model Inputs &amp; Assumptions'!$S$35*EXP('Model Inputs &amp; Assumptions'!$T$35*P3613-'Model Inputs &amp; Assumptions'!$T$35^2/2)),0)</f>
        <v>88444</v>
      </c>
      <c r="D3613" s="46" t="n">
        <f aca="false">MIN(1,'Model Inputs &amp; Assumptions'!$U$35*EXP('Model Inputs &amp; Assumptions'!$V$35*Q3613-'Model Inputs &amp; Assumptions'!$V$35^2/2))</f>
        <v>0</v>
      </c>
      <c r="E3613" s="45" t="n">
        <f aca="false">ROUND(C3613*D3613,0)</f>
        <v>0</v>
      </c>
      <c r="F3613" s="47" t="n">
        <f aca="false">MIN(1,'Model Inputs &amp; Assumptions'!$W$35*EXP('Model Inputs &amp; Assumptions'!$X$35*R3613-'Model Inputs &amp; Assumptions'!$X$35^2/2))</f>
        <v>0.00578899746036656</v>
      </c>
      <c r="G3613" s="45" t="n">
        <f aca="false">ROUND(C3613*F3613,0)</f>
        <v>512</v>
      </c>
      <c r="H3613" s="48" t="n">
        <f aca="false">MAX(0,(C3613*'Model Inputs &amp; Assumptions'!$N$35+E3613*'Model Inputs &amp; Assumptions'!$O$35+G3613*'Model Inputs &amp; Assumptions'!$P$35)*EXP('Model Inputs &amp; Assumptions'!$Q$35*S3613-'Model Inputs &amp; Assumptions'!$Q$35^2/2))</f>
        <v>21.980773250906</v>
      </c>
      <c r="I3613" s="49" t="n">
        <f aca="false">IF('Model Inputs &amp; Assumptions'!$H$35="Fixed",'Model Inputs &amp; Assumptions'!$I$35*'Model Inputs &amp; Assumptions'!$K$35,IF('Model Inputs &amp; Assumptions'!$H$35="CPM",'Model Inputs &amp; Assumptions'!$I$35*'Model Inputs &amp; Assumptions'!$K$35*C3613/1000,IF('Model Inputs &amp; Assumptions'!$H$35="CPC",'Model Inputs &amp; Assumptions'!$I$35*'Model Inputs &amp; Assumptions'!$K$35*G3613,0)))</f>
        <v>8672.8</v>
      </c>
      <c r="J3613" s="50" t="n">
        <f aca="false">H3613*INDEX('Model Inputs &amp; Assumptions'!$D$40:$D$42,MATCH('Model Inputs &amp; Assumptions'!$L$35,'Model Inputs &amp; Assumptions'!$A$40:$A$42,0))*INDEX('Model Inputs &amp; Assumptions'!$H$40:$H$42,MATCH('Model Inputs &amp; Assumptions'!$L$35,'Model Inputs &amp; Assumptions'!$A$40:$A$42,0))</f>
        <v>186836.572632701</v>
      </c>
      <c r="K3613" s="49" t="n">
        <f aca="false">H3613*INDEX('Model Inputs &amp; Assumptions'!$G$40:$G$42,MATCH('Model Inputs &amp; Assumptions'!$L$35,'Model Inputs &amp; Assumptions'!$A$40:$A$42,0))*INDEX('Model Inputs &amp; Assumptions'!$H$40:$H$42,MATCH('Model Inputs &amp; Assumptions'!$L$35,'Model Inputs &amp; Assumptions'!$A$40:$A$42,0))</f>
        <v>4203.82288423578</v>
      </c>
      <c r="L3613" s="51" t="n">
        <f aca="false">IFERROR(K3613/I3613,0)</f>
        <v>0.484713458656464</v>
      </c>
      <c r="M3613" s="49" t="n">
        <f aca="false">IFERROR(I3613/H3613,0)</f>
        <v>394.563007452093</v>
      </c>
      <c r="N3613" s="52" t="str">
        <f aca="false">'Model Inputs &amp; Assumptions'!$L$35</f>
        <v>PRD-EUAI</v>
      </c>
      <c r="P3613" s="53" t="n">
        <v>0.003357</v>
      </c>
      <c r="Q3613" s="53" t="n">
        <v>0.367827</v>
      </c>
      <c r="R3613" s="53" t="n">
        <v>-0.630742</v>
      </c>
      <c r="S3613" s="53" t="n">
        <v>-1.750371</v>
      </c>
    </row>
    <row r="3614" customFormat="false" ht="15" hidden="false" customHeight="false" outlineLevel="0" collapsed="false">
      <c r="A3614" s="43" t="n">
        <v>111</v>
      </c>
      <c r="B3614" s="44" t="str">
        <f aca="false">'Model Inputs &amp; Assumptions'!$B$35</f>
        <v>justETF — Sponsored Listing</v>
      </c>
      <c r="C3614" s="45" t="n">
        <f aca="false">ROUND(MAX(0,'Model Inputs &amp; Assumptions'!$S$35*EXP('Model Inputs &amp; Assumptions'!$T$35*P3614-'Model Inputs &amp; Assumptions'!$T$35^2/2)),0)</f>
        <v>80013</v>
      </c>
      <c r="D3614" s="46" t="n">
        <f aca="false">MIN(1,'Model Inputs &amp; Assumptions'!$U$35*EXP('Model Inputs &amp; Assumptions'!$V$35*Q3614-'Model Inputs &amp; Assumptions'!$V$35^2/2))</f>
        <v>0</v>
      </c>
      <c r="E3614" s="45" t="n">
        <f aca="false">ROUND(C3614*D3614,0)</f>
        <v>0</v>
      </c>
      <c r="F3614" s="47" t="n">
        <f aca="false">MIN(1,'Model Inputs &amp; Assumptions'!$W$35*EXP('Model Inputs &amp; Assumptions'!$X$35*R3614-'Model Inputs &amp; Assumptions'!$X$35^2/2))</f>
        <v>0.00866945845060471</v>
      </c>
      <c r="G3614" s="45" t="n">
        <f aca="false">ROUND(C3614*F3614,0)</f>
        <v>694</v>
      </c>
      <c r="H3614" s="48" t="n">
        <f aca="false">MAX(0,(C3614*'Model Inputs &amp; Assumptions'!$N$35+E3614*'Model Inputs &amp; Assumptions'!$O$35+G3614*'Model Inputs &amp; Assumptions'!$P$35)*EXP('Model Inputs &amp; Assumptions'!$Q$35*S3614-'Model Inputs &amp; Assumptions'!$Q$35^2/2))</f>
        <v>50.5885822487846</v>
      </c>
      <c r="I3614" s="49" t="n">
        <f aca="false">IF('Model Inputs &amp; Assumptions'!$H$35="Fixed",'Model Inputs &amp; Assumptions'!$I$35*'Model Inputs &amp; Assumptions'!$K$35,IF('Model Inputs &amp; Assumptions'!$H$35="CPM",'Model Inputs &amp; Assumptions'!$I$35*'Model Inputs &amp; Assumptions'!$K$35*C3614/1000,IF('Model Inputs &amp; Assumptions'!$H$35="CPC",'Model Inputs &amp; Assumptions'!$I$35*'Model Inputs &amp; Assumptions'!$K$35*G3614,0)))</f>
        <v>8672.8</v>
      </c>
      <c r="J3614" s="50" t="n">
        <f aca="false">H3614*INDEX('Model Inputs &amp; Assumptions'!$D$40:$D$42,MATCH('Model Inputs &amp; Assumptions'!$L$35,'Model Inputs &amp; Assumptions'!$A$40:$A$42,0))*INDEX('Model Inputs &amp; Assumptions'!$H$40:$H$42,MATCH('Model Inputs &amp; Assumptions'!$L$35,'Model Inputs &amp; Assumptions'!$A$40:$A$42,0))</f>
        <v>430002.949114669</v>
      </c>
      <c r="K3614" s="49" t="n">
        <f aca="false">H3614*INDEX('Model Inputs &amp; Assumptions'!$G$40:$G$42,MATCH('Model Inputs &amp; Assumptions'!$L$35,'Model Inputs &amp; Assumptions'!$A$40:$A$42,0))*INDEX('Model Inputs &amp; Assumptions'!$H$40:$H$42,MATCH('Model Inputs &amp; Assumptions'!$L$35,'Model Inputs &amp; Assumptions'!$A$40:$A$42,0))</f>
        <v>9675.06635508006</v>
      </c>
      <c r="L3614" s="51" t="n">
        <f aca="false">IFERROR(K3614/I3614,0)</f>
        <v>1.11556433390371</v>
      </c>
      <c r="M3614" s="49" t="n">
        <f aca="false">IFERROR(I3614/H3614,0)</f>
        <v>171.437893976726</v>
      </c>
      <c r="N3614" s="52" t="str">
        <f aca="false">'Model Inputs &amp; Assumptions'!$L$35</f>
        <v>PRD-EUAI</v>
      </c>
      <c r="P3614" s="53" t="n">
        <v>-0.664551</v>
      </c>
      <c r="Q3614" s="53" t="n">
        <v>-1.738634</v>
      </c>
      <c r="R3614" s="53" t="n">
        <v>1.388494</v>
      </c>
      <c r="S3614" s="53" t="n">
        <v>0.285823</v>
      </c>
    </row>
    <row r="3615" customFormat="false" ht="15" hidden="false" customHeight="false" outlineLevel="0" collapsed="false">
      <c r="A3615" s="43" t="n">
        <v>112</v>
      </c>
      <c r="B3615" s="44" t="str">
        <f aca="false">'Model Inputs &amp; Assumptions'!$B$35</f>
        <v>justETF — Sponsored Listing</v>
      </c>
      <c r="C3615" s="45" t="n">
        <f aca="false">ROUND(MAX(0,'Model Inputs &amp; Assumptions'!$S$35*EXP('Model Inputs &amp; Assumptions'!$T$35*P3615-'Model Inputs &amp; Assumptions'!$T$35^2/2)),0)</f>
        <v>68259</v>
      </c>
      <c r="D3615" s="46" t="n">
        <f aca="false">MIN(1,'Model Inputs &amp; Assumptions'!$U$35*EXP('Model Inputs &amp; Assumptions'!$V$35*Q3615-'Model Inputs &amp; Assumptions'!$V$35^2/2))</f>
        <v>0</v>
      </c>
      <c r="E3615" s="45" t="n">
        <f aca="false">ROUND(C3615*D3615,0)</f>
        <v>0</v>
      </c>
      <c r="F3615" s="47" t="n">
        <f aca="false">MIN(1,'Model Inputs &amp; Assumptions'!$W$35*EXP('Model Inputs &amp; Assumptions'!$X$35*R3615-'Model Inputs &amp; Assumptions'!$X$35^2/2))</f>
        <v>0.00836255269179828</v>
      </c>
      <c r="G3615" s="45" t="n">
        <f aca="false">ROUND(C3615*F3615,0)</f>
        <v>571</v>
      </c>
      <c r="H3615" s="48" t="n">
        <f aca="false">MAX(0,(C3615*'Model Inputs &amp; Assumptions'!$N$35+E3615*'Model Inputs &amp; Assumptions'!$O$35+G3615*'Model Inputs &amp; Assumptions'!$P$35)*EXP('Model Inputs &amp; Assumptions'!$Q$35*S3615-'Model Inputs &amp; Assumptions'!$Q$35^2/2))</f>
        <v>35.1204047236778</v>
      </c>
      <c r="I3615" s="49" t="n">
        <f aca="false">IF('Model Inputs &amp; Assumptions'!$H$35="Fixed",'Model Inputs &amp; Assumptions'!$I$35*'Model Inputs &amp; Assumptions'!$K$35,IF('Model Inputs &amp; Assumptions'!$H$35="CPM",'Model Inputs &amp; Assumptions'!$I$35*'Model Inputs &amp; Assumptions'!$K$35*C3615/1000,IF('Model Inputs &amp; Assumptions'!$H$35="CPC",'Model Inputs &amp; Assumptions'!$I$35*'Model Inputs &amp; Assumptions'!$K$35*G3615,0)))</f>
        <v>8672.8</v>
      </c>
      <c r="J3615" s="50" t="n">
        <f aca="false">H3615*INDEX('Model Inputs &amp; Assumptions'!$D$40:$D$42,MATCH('Model Inputs &amp; Assumptions'!$L$35,'Model Inputs &amp; Assumptions'!$A$40:$A$42,0))*INDEX('Model Inputs &amp; Assumptions'!$H$40:$H$42,MATCH('Model Inputs &amp; Assumptions'!$L$35,'Model Inputs &amp; Assumptions'!$A$40:$A$42,0))</f>
        <v>298523.440151262</v>
      </c>
      <c r="K3615" s="49" t="n">
        <f aca="false">H3615*INDEX('Model Inputs &amp; Assumptions'!$G$40:$G$42,MATCH('Model Inputs &amp; Assumptions'!$L$35,'Model Inputs &amp; Assumptions'!$A$40:$A$42,0))*INDEX('Model Inputs &amp; Assumptions'!$H$40:$H$42,MATCH('Model Inputs &amp; Assumptions'!$L$35,'Model Inputs &amp; Assumptions'!$A$40:$A$42,0))</f>
        <v>6716.77740340339</v>
      </c>
      <c r="L3615" s="51" t="n">
        <f aca="false">IFERROR(K3615/I3615,0)</f>
        <v>0.774464694608822</v>
      </c>
      <c r="M3615" s="49" t="n">
        <f aca="false">IFERROR(I3615/H3615,0)</f>
        <v>246.944762403404</v>
      </c>
      <c r="N3615" s="52" t="str">
        <f aca="false">'Model Inputs &amp; Assumptions'!$L$35</f>
        <v>PRD-EUAI</v>
      </c>
      <c r="P3615" s="53" t="n">
        <v>-1.723731</v>
      </c>
      <c r="Q3615" s="53" t="n">
        <v>-1.432975</v>
      </c>
      <c r="R3615" s="53" t="n">
        <v>1.208281</v>
      </c>
      <c r="S3615" s="53" t="n">
        <v>-0.367488</v>
      </c>
    </row>
    <row r="3616" customFormat="false" ht="15" hidden="false" customHeight="false" outlineLevel="0" collapsed="false">
      <c r="A3616" s="43" t="n">
        <v>113</v>
      </c>
      <c r="B3616" s="44" t="str">
        <f aca="false">'Model Inputs &amp; Assumptions'!$B$35</f>
        <v>justETF — Sponsored Listing</v>
      </c>
      <c r="C3616" s="45" t="n">
        <f aca="false">ROUND(MAX(0,'Model Inputs &amp; Assumptions'!$S$35*EXP('Model Inputs &amp; Assumptions'!$T$35*P3616-'Model Inputs &amp; Assumptions'!$T$35^2/2)),0)</f>
        <v>89997</v>
      </c>
      <c r="D3616" s="46" t="n">
        <f aca="false">MIN(1,'Model Inputs &amp; Assumptions'!$U$35*EXP('Model Inputs &amp; Assumptions'!$V$35*Q3616-'Model Inputs &amp; Assumptions'!$V$35^2/2))</f>
        <v>0</v>
      </c>
      <c r="E3616" s="45" t="n">
        <f aca="false">ROUND(C3616*D3616,0)</f>
        <v>0</v>
      </c>
      <c r="F3616" s="47" t="n">
        <f aca="false">MIN(1,'Model Inputs &amp; Assumptions'!$W$35*EXP('Model Inputs &amp; Assumptions'!$X$35*R3616-'Model Inputs &amp; Assumptions'!$X$35^2/2))</f>
        <v>0.00739950959003314</v>
      </c>
      <c r="G3616" s="45" t="n">
        <f aca="false">ROUND(C3616*F3616,0)</f>
        <v>666</v>
      </c>
      <c r="H3616" s="48" t="n">
        <f aca="false">MAX(0,(C3616*'Model Inputs &amp; Assumptions'!$N$35+E3616*'Model Inputs &amp; Assumptions'!$O$35+G3616*'Model Inputs &amp; Assumptions'!$P$35)*EXP('Model Inputs &amp; Assumptions'!$Q$35*S3616-'Model Inputs &amp; Assumptions'!$Q$35^2/2))</f>
        <v>43.5580143863035</v>
      </c>
      <c r="I3616" s="49" t="n">
        <f aca="false">IF('Model Inputs &amp; Assumptions'!$H$35="Fixed",'Model Inputs &amp; Assumptions'!$I$35*'Model Inputs &amp; Assumptions'!$K$35,IF('Model Inputs &amp; Assumptions'!$H$35="CPM",'Model Inputs &amp; Assumptions'!$I$35*'Model Inputs &amp; Assumptions'!$K$35*C3616/1000,IF('Model Inputs &amp; Assumptions'!$H$35="CPC",'Model Inputs &amp; Assumptions'!$I$35*'Model Inputs &amp; Assumptions'!$K$35*G3616,0)))</f>
        <v>8672.8</v>
      </c>
      <c r="J3616" s="50" t="n">
        <f aca="false">H3616*INDEX('Model Inputs &amp; Assumptions'!$D$40:$D$42,MATCH('Model Inputs &amp; Assumptions'!$L$35,'Model Inputs &amp; Assumptions'!$A$40:$A$42,0))*INDEX('Model Inputs &amp; Assumptions'!$H$40:$H$42,MATCH('Model Inputs &amp; Assumptions'!$L$35,'Model Inputs &amp; Assumptions'!$A$40:$A$42,0))</f>
        <v>370243.12228358</v>
      </c>
      <c r="K3616" s="49" t="n">
        <f aca="false">H3616*INDEX('Model Inputs &amp; Assumptions'!$G$40:$G$42,MATCH('Model Inputs &amp; Assumptions'!$L$35,'Model Inputs &amp; Assumptions'!$A$40:$A$42,0))*INDEX('Model Inputs &amp; Assumptions'!$H$40:$H$42,MATCH('Model Inputs &amp; Assumptions'!$L$35,'Model Inputs &amp; Assumptions'!$A$40:$A$42,0))</f>
        <v>8330.47025138055</v>
      </c>
      <c r="L3616" s="51" t="n">
        <f aca="false">IFERROR(K3616/I3616,0)</f>
        <v>0.960528347405745</v>
      </c>
      <c r="M3616" s="49" t="n">
        <f aca="false">IFERROR(I3616/H3616,0)</f>
        <v>199.109167903831</v>
      </c>
      <c r="N3616" s="52" t="str">
        <f aca="false">'Model Inputs &amp; Assumptions'!$L$35</f>
        <v>PRD-EUAI</v>
      </c>
      <c r="P3616" s="53" t="n">
        <v>0.119388</v>
      </c>
      <c r="Q3616" s="53" t="n">
        <v>-1.033817</v>
      </c>
      <c r="R3616" s="53" t="n">
        <v>0.596531</v>
      </c>
      <c r="S3616" s="53" t="n">
        <v>-0.131292</v>
      </c>
    </row>
    <row r="3617" customFormat="false" ht="15" hidden="false" customHeight="false" outlineLevel="0" collapsed="false">
      <c r="A3617" s="43" t="n">
        <v>114</v>
      </c>
      <c r="B3617" s="44" t="str">
        <f aca="false">'Model Inputs &amp; Assumptions'!$B$35</f>
        <v>justETF — Sponsored Listing</v>
      </c>
      <c r="C3617" s="45" t="n">
        <f aca="false">ROUND(MAX(0,'Model Inputs &amp; Assumptions'!$S$35*EXP('Model Inputs &amp; Assumptions'!$T$35*P3617-'Model Inputs &amp; Assumptions'!$T$35^2/2)),0)</f>
        <v>91925</v>
      </c>
      <c r="D3617" s="46" t="n">
        <f aca="false">MIN(1,'Model Inputs &amp; Assumptions'!$U$35*EXP('Model Inputs &amp; Assumptions'!$V$35*Q3617-'Model Inputs &amp; Assumptions'!$V$35^2/2))</f>
        <v>0</v>
      </c>
      <c r="E3617" s="45" t="n">
        <f aca="false">ROUND(C3617*D3617,0)</f>
        <v>0</v>
      </c>
      <c r="F3617" s="47" t="n">
        <f aca="false">MIN(1,'Model Inputs &amp; Assumptions'!$W$35*EXP('Model Inputs &amp; Assumptions'!$X$35*R3617-'Model Inputs &amp; Assumptions'!$X$35^2/2))</f>
        <v>0.00825480889091215</v>
      </c>
      <c r="G3617" s="45" t="n">
        <f aca="false">ROUND(C3617*F3617,0)</f>
        <v>759</v>
      </c>
      <c r="H3617" s="48" t="n">
        <f aca="false">MAX(0,(C3617*'Model Inputs &amp; Assumptions'!$N$35+E3617*'Model Inputs &amp; Assumptions'!$O$35+G3617*'Model Inputs &amp; Assumptions'!$P$35)*EXP('Model Inputs &amp; Assumptions'!$Q$35*S3617-'Model Inputs &amp; Assumptions'!$Q$35^2/2))</f>
        <v>45.6327363088804</v>
      </c>
      <c r="I3617" s="49" t="n">
        <f aca="false">IF('Model Inputs &amp; Assumptions'!$H$35="Fixed",'Model Inputs &amp; Assumptions'!$I$35*'Model Inputs &amp; Assumptions'!$K$35,IF('Model Inputs &amp; Assumptions'!$H$35="CPM",'Model Inputs &amp; Assumptions'!$I$35*'Model Inputs &amp; Assumptions'!$K$35*C3617/1000,IF('Model Inputs &amp; Assumptions'!$H$35="CPC",'Model Inputs &amp; Assumptions'!$I$35*'Model Inputs &amp; Assumptions'!$K$35*G3617,0)))</f>
        <v>8672.8</v>
      </c>
      <c r="J3617" s="50" t="n">
        <f aca="false">H3617*INDEX('Model Inputs &amp; Assumptions'!$D$40:$D$42,MATCH('Model Inputs &amp; Assumptions'!$L$35,'Model Inputs &amp; Assumptions'!$A$40:$A$42,0))*INDEX('Model Inputs &amp; Assumptions'!$H$40:$H$42,MATCH('Model Inputs &amp; Assumptions'!$L$35,'Model Inputs &amp; Assumptions'!$A$40:$A$42,0))</f>
        <v>387878.258625484</v>
      </c>
      <c r="K3617" s="49" t="n">
        <f aca="false">H3617*INDEX('Model Inputs &amp; Assumptions'!$G$40:$G$42,MATCH('Model Inputs &amp; Assumptions'!$L$35,'Model Inputs &amp; Assumptions'!$A$40:$A$42,0))*INDEX('Model Inputs &amp; Assumptions'!$H$40:$H$42,MATCH('Model Inputs &amp; Assumptions'!$L$35,'Model Inputs &amp; Assumptions'!$A$40:$A$42,0))</f>
        <v>8727.26081907338</v>
      </c>
      <c r="L3617" s="51" t="n">
        <f aca="false">IFERROR(K3617/I3617,0)</f>
        <v>1.0062794967108</v>
      </c>
      <c r="M3617" s="49" t="n">
        <f aca="false">IFERROR(I3617/H3617,0)</f>
        <v>190.056540578572</v>
      </c>
      <c r="N3617" s="52" t="str">
        <f aca="false">'Model Inputs &amp; Assumptions'!$L$35</f>
        <v>PRD-EUAI</v>
      </c>
      <c r="P3617" s="53" t="n">
        <v>0.260679</v>
      </c>
      <c r="Q3617" s="53" t="n">
        <v>0.441106</v>
      </c>
      <c r="R3617" s="53" t="n">
        <v>1.143442</v>
      </c>
      <c r="S3617" s="53" t="n">
        <v>-0.455063</v>
      </c>
    </row>
    <row r="3618" customFormat="false" ht="15" hidden="false" customHeight="false" outlineLevel="0" collapsed="false">
      <c r="A3618" s="43" t="n">
        <v>115</v>
      </c>
      <c r="B3618" s="44" t="str">
        <f aca="false">'Model Inputs &amp; Assumptions'!$B$35</f>
        <v>justETF — Sponsored Listing</v>
      </c>
      <c r="C3618" s="45" t="n">
        <f aca="false">ROUND(MAX(0,'Model Inputs &amp; Assumptions'!$S$35*EXP('Model Inputs &amp; Assumptions'!$T$35*P3618-'Model Inputs &amp; Assumptions'!$T$35^2/2)),0)</f>
        <v>90619</v>
      </c>
      <c r="D3618" s="46" t="n">
        <f aca="false">MIN(1,'Model Inputs &amp; Assumptions'!$U$35*EXP('Model Inputs &amp; Assumptions'!$V$35*Q3618-'Model Inputs &amp; Assumptions'!$V$35^2/2))</f>
        <v>0</v>
      </c>
      <c r="E3618" s="45" t="n">
        <f aca="false">ROUND(C3618*D3618,0)</f>
        <v>0</v>
      </c>
      <c r="F3618" s="47" t="n">
        <f aca="false">MIN(1,'Model Inputs &amp; Assumptions'!$W$35*EXP('Model Inputs &amp; Assumptions'!$X$35*R3618-'Model Inputs &amp; Assumptions'!$X$35^2/2))</f>
        <v>0.00580013345283366</v>
      </c>
      <c r="G3618" s="45" t="n">
        <f aca="false">ROUND(C3618*F3618,0)</f>
        <v>526</v>
      </c>
      <c r="H3618" s="48" t="n">
        <f aca="false">MAX(0,(C3618*'Model Inputs &amp; Assumptions'!$N$35+E3618*'Model Inputs &amp; Assumptions'!$O$35+G3618*'Model Inputs &amp; Assumptions'!$P$35)*EXP('Model Inputs &amp; Assumptions'!$Q$35*S3618-'Model Inputs &amp; Assumptions'!$Q$35^2/2))</f>
        <v>33.1664079779072</v>
      </c>
      <c r="I3618" s="49" t="n">
        <f aca="false">IF('Model Inputs &amp; Assumptions'!$H$35="Fixed",'Model Inputs &amp; Assumptions'!$I$35*'Model Inputs &amp; Assumptions'!$K$35,IF('Model Inputs &amp; Assumptions'!$H$35="CPM",'Model Inputs &amp; Assumptions'!$I$35*'Model Inputs &amp; Assumptions'!$K$35*C3618/1000,IF('Model Inputs &amp; Assumptions'!$H$35="CPC",'Model Inputs &amp; Assumptions'!$I$35*'Model Inputs &amp; Assumptions'!$K$35*G3618,0)))</f>
        <v>8672.8</v>
      </c>
      <c r="J3618" s="50" t="n">
        <f aca="false">H3618*INDEX('Model Inputs &amp; Assumptions'!$D$40:$D$42,MATCH('Model Inputs &amp; Assumptions'!$L$35,'Model Inputs &amp; Assumptions'!$A$40:$A$42,0))*INDEX('Model Inputs &amp; Assumptions'!$H$40:$H$42,MATCH('Model Inputs &amp; Assumptions'!$L$35,'Model Inputs &amp; Assumptions'!$A$40:$A$42,0))</f>
        <v>281914.467812212</v>
      </c>
      <c r="K3618" s="49" t="n">
        <f aca="false">H3618*INDEX('Model Inputs &amp; Assumptions'!$G$40:$G$42,MATCH('Model Inputs &amp; Assumptions'!$L$35,'Model Inputs &amp; Assumptions'!$A$40:$A$42,0))*INDEX('Model Inputs &amp; Assumptions'!$H$40:$H$42,MATCH('Model Inputs &amp; Assumptions'!$L$35,'Model Inputs &amp; Assumptions'!$A$40:$A$42,0))</f>
        <v>6343.07552577476</v>
      </c>
      <c r="L3618" s="51" t="n">
        <f aca="false">IFERROR(K3618/I3618,0)</f>
        <v>0.731375740911212</v>
      </c>
      <c r="M3618" s="49" t="n">
        <f aca="false">IFERROR(I3618/H3618,0)</f>
        <v>261.493496847084</v>
      </c>
      <c r="N3618" s="52" t="str">
        <f aca="false">'Model Inputs &amp; Assumptions'!$L$35</f>
        <v>PRD-EUAI</v>
      </c>
      <c r="P3618" s="53" t="n">
        <v>0.165316</v>
      </c>
      <c r="Q3618" s="53" t="n">
        <v>1.626877</v>
      </c>
      <c r="R3618" s="53" t="n">
        <v>-0.621133</v>
      </c>
      <c r="S3618" s="53" t="n">
        <v>-0.271937</v>
      </c>
    </row>
    <row r="3619" customFormat="false" ht="15" hidden="false" customHeight="false" outlineLevel="0" collapsed="false">
      <c r="A3619" s="43" t="n">
        <v>116</v>
      </c>
      <c r="B3619" s="44" t="str">
        <f aca="false">'Model Inputs &amp; Assumptions'!$B$35</f>
        <v>justETF — Sponsored Listing</v>
      </c>
      <c r="C3619" s="45" t="n">
        <f aca="false">ROUND(MAX(0,'Model Inputs &amp; Assumptions'!$S$35*EXP('Model Inputs &amp; Assumptions'!$T$35*P3619-'Model Inputs &amp; Assumptions'!$T$35^2/2)),0)</f>
        <v>74273</v>
      </c>
      <c r="D3619" s="46" t="n">
        <f aca="false">MIN(1,'Model Inputs &amp; Assumptions'!$U$35*EXP('Model Inputs &amp; Assumptions'!$V$35*Q3619-'Model Inputs &amp; Assumptions'!$V$35^2/2))</f>
        <v>0</v>
      </c>
      <c r="E3619" s="45" t="n">
        <f aca="false">ROUND(C3619*D3619,0)</f>
        <v>0</v>
      </c>
      <c r="F3619" s="47" t="n">
        <f aca="false">MIN(1,'Model Inputs &amp; Assumptions'!$W$35*EXP('Model Inputs &amp; Assumptions'!$X$35*R3619-'Model Inputs &amp; Assumptions'!$X$35^2/2))</f>
        <v>0.00661849317120222</v>
      </c>
      <c r="G3619" s="45" t="n">
        <f aca="false">ROUND(C3619*F3619,0)</f>
        <v>492</v>
      </c>
      <c r="H3619" s="48" t="n">
        <f aca="false">MAX(0,(C3619*'Model Inputs &amp; Assumptions'!$N$35+E3619*'Model Inputs &amp; Assumptions'!$O$35+G3619*'Model Inputs &amp; Assumptions'!$P$35)*EXP('Model Inputs &amp; Assumptions'!$Q$35*S3619-'Model Inputs &amp; Assumptions'!$Q$35^2/2))</f>
        <v>37.4355077671747</v>
      </c>
      <c r="I3619" s="49" t="n">
        <f aca="false">IF('Model Inputs &amp; Assumptions'!$H$35="Fixed",'Model Inputs &amp; Assumptions'!$I$35*'Model Inputs &amp; Assumptions'!$K$35,IF('Model Inputs &amp; Assumptions'!$H$35="CPM",'Model Inputs &amp; Assumptions'!$I$35*'Model Inputs &amp; Assumptions'!$K$35*C3619/1000,IF('Model Inputs &amp; Assumptions'!$H$35="CPC",'Model Inputs &amp; Assumptions'!$I$35*'Model Inputs &amp; Assumptions'!$K$35*G3619,0)))</f>
        <v>8672.8</v>
      </c>
      <c r="J3619" s="50" t="n">
        <f aca="false">H3619*INDEX('Model Inputs &amp; Assumptions'!$D$40:$D$42,MATCH('Model Inputs &amp; Assumptions'!$L$35,'Model Inputs &amp; Assumptions'!$A$40:$A$42,0))*INDEX('Model Inputs &amp; Assumptions'!$H$40:$H$42,MATCH('Model Inputs &amp; Assumptions'!$L$35,'Model Inputs &amp; Assumptions'!$A$40:$A$42,0))</f>
        <v>318201.816020985</v>
      </c>
      <c r="K3619" s="49" t="n">
        <f aca="false">H3619*INDEX('Model Inputs &amp; Assumptions'!$G$40:$G$42,MATCH('Model Inputs &amp; Assumptions'!$L$35,'Model Inputs &amp; Assumptions'!$A$40:$A$42,0))*INDEX('Model Inputs &amp; Assumptions'!$H$40:$H$42,MATCH('Model Inputs &amp; Assumptions'!$L$35,'Model Inputs &amp; Assumptions'!$A$40:$A$42,0))</f>
        <v>7159.54086047216</v>
      </c>
      <c r="L3619" s="51" t="n">
        <f aca="false">IFERROR(K3619/I3619,0)</f>
        <v>0.82551665672818</v>
      </c>
      <c r="M3619" s="49" t="n">
        <f aca="false">IFERROR(I3619/H3619,0)</f>
        <v>231.673096407276</v>
      </c>
      <c r="N3619" s="52" t="str">
        <f aca="false">'Model Inputs &amp; Assumptions'!$L$35</f>
        <v>PRD-EUAI</v>
      </c>
      <c r="P3619" s="53" t="n">
        <v>-1.160791</v>
      </c>
      <c r="Q3619" s="53" t="n">
        <v>1.35077</v>
      </c>
      <c r="R3619" s="53" t="n">
        <v>0.038801</v>
      </c>
      <c r="S3619" s="53" t="n">
        <v>0.450773</v>
      </c>
    </row>
    <row r="3620" customFormat="false" ht="15" hidden="false" customHeight="false" outlineLevel="0" collapsed="false">
      <c r="A3620" s="43" t="n">
        <v>117</v>
      </c>
      <c r="B3620" s="44" t="str">
        <f aca="false">'Model Inputs &amp; Assumptions'!$B$35</f>
        <v>justETF — Sponsored Listing</v>
      </c>
      <c r="C3620" s="45" t="n">
        <f aca="false">ROUND(MAX(0,'Model Inputs &amp; Assumptions'!$S$35*EXP('Model Inputs &amp; Assumptions'!$T$35*P3620-'Model Inputs &amp; Assumptions'!$T$35^2/2)),0)</f>
        <v>85247</v>
      </c>
      <c r="D3620" s="46" t="n">
        <f aca="false">MIN(1,'Model Inputs &amp; Assumptions'!$U$35*EXP('Model Inputs &amp; Assumptions'!$V$35*Q3620-'Model Inputs &amp; Assumptions'!$V$35^2/2))</f>
        <v>0</v>
      </c>
      <c r="E3620" s="45" t="n">
        <f aca="false">ROUND(C3620*D3620,0)</f>
        <v>0</v>
      </c>
      <c r="F3620" s="47" t="n">
        <f aca="false">MIN(1,'Model Inputs &amp; Assumptions'!$W$35*EXP('Model Inputs &amp; Assumptions'!$X$35*R3620-'Model Inputs &amp; Assumptions'!$X$35^2/2))</f>
        <v>0.0065823493546854</v>
      </c>
      <c r="G3620" s="45" t="n">
        <f aca="false">ROUND(C3620*F3620,0)</f>
        <v>561</v>
      </c>
      <c r="H3620" s="48" t="n">
        <f aca="false">MAX(0,(C3620*'Model Inputs &amp; Assumptions'!$N$35+E3620*'Model Inputs &amp; Assumptions'!$O$35+G3620*'Model Inputs &amp; Assumptions'!$P$35)*EXP('Model Inputs &amp; Assumptions'!$Q$35*S3620-'Model Inputs &amp; Assumptions'!$Q$35^2/2))</f>
        <v>23.8401245975292</v>
      </c>
      <c r="I3620" s="49" t="n">
        <f aca="false">IF('Model Inputs &amp; Assumptions'!$H$35="Fixed",'Model Inputs &amp; Assumptions'!$I$35*'Model Inputs &amp; Assumptions'!$K$35,IF('Model Inputs &amp; Assumptions'!$H$35="CPM",'Model Inputs &amp; Assumptions'!$I$35*'Model Inputs &amp; Assumptions'!$K$35*C3620/1000,IF('Model Inputs &amp; Assumptions'!$H$35="CPC",'Model Inputs &amp; Assumptions'!$I$35*'Model Inputs &amp; Assumptions'!$K$35*G3620,0)))</f>
        <v>8672.8</v>
      </c>
      <c r="J3620" s="50" t="n">
        <f aca="false">H3620*INDEX('Model Inputs &amp; Assumptions'!$D$40:$D$42,MATCH('Model Inputs &amp; Assumptions'!$L$35,'Model Inputs &amp; Assumptions'!$A$40:$A$42,0))*INDEX('Model Inputs &amp; Assumptions'!$H$40:$H$42,MATCH('Model Inputs &amp; Assumptions'!$L$35,'Model Inputs &amp; Assumptions'!$A$40:$A$42,0))</f>
        <v>202641.059078998</v>
      </c>
      <c r="K3620" s="49" t="n">
        <f aca="false">H3620*INDEX('Model Inputs &amp; Assumptions'!$G$40:$G$42,MATCH('Model Inputs &amp; Assumptions'!$L$35,'Model Inputs &amp; Assumptions'!$A$40:$A$42,0))*INDEX('Model Inputs &amp; Assumptions'!$H$40:$H$42,MATCH('Model Inputs &amp; Assumptions'!$L$35,'Model Inputs &amp; Assumptions'!$A$40:$A$42,0))</f>
        <v>4559.42382927746</v>
      </c>
      <c r="L3620" s="51" t="n">
        <f aca="false">IFERROR(K3620/I3620,0)</f>
        <v>0.525715320228469</v>
      </c>
      <c r="M3620" s="49" t="n">
        <f aca="false">IFERROR(I3620/H3620,0)</f>
        <v>363.790044994096</v>
      </c>
      <c r="N3620" s="52" t="str">
        <f aca="false">'Model Inputs &amp; Assumptions'!$L$35</f>
        <v>PRD-EUAI</v>
      </c>
      <c r="P3620" s="53" t="n">
        <v>-0.242128</v>
      </c>
      <c r="Q3620" s="53" t="n">
        <v>-1.453003</v>
      </c>
      <c r="R3620" s="53" t="n">
        <v>0.011421</v>
      </c>
      <c r="S3620" s="53" t="n">
        <v>-1.78958</v>
      </c>
    </row>
    <row r="3621" customFormat="false" ht="15" hidden="false" customHeight="false" outlineLevel="0" collapsed="false">
      <c r="A3621" s="43" t="n">
        <v>118</v>
      </c>
      <c r="B3621" s="44" t="str">
        <f aca="false">'Model Inputs &amp; Assumptions'!$B$35</f>
        <v>justETF — Sponsored Listing</v>
      </c>
      <c r="C3621" s="45" t="n">
        <f aca="false">ROUND(MAX(0,'Model Inputs &amp; Assumptions'!$S$35*EXP('Model Inputs &amp; Assumptions'!$T$35*P3621-'Model Inputs &amp; Assumptions'!$T$35^2/2)),0)</f>
        <v>73809</v>
      </c>
      <c r="D3621" s="46" t="n">
        <f aca="false">MIN(1,'Model Inputs &amp; Assumptions'!$U$35*EXP('Model Inputs &amp; Assumptions'!$V$35*Q3621-'Model Inputs &amp; Assumptions'!$V$35^2/2))</f>
        <v>0</v>
      </c>
      <c r="E3621" s="45" t="n">
        <f aca="false">ROUND(C3621*D3621,0)</f>
        <v>0</v>
      </c>
      <c r="F3621" s="47" t="n">
        <f aca="false">MIN(1,'Model Inputs &amp; Assumptions'!$W$35*EXP('Model Inputs &amp; Assumptions'!$X$35*R3621-'Model Inputs &amp; Assumptions'!$X$35^2/2))</f>
        <v>0.00711972660417712</v>
      </c>
      <c r="G3621" s="45" t="n">
        <f aca="false">ROUND(C3621*F3621,0)</f>
        <v>525</v>
      </c>
      <c r="H3621" s="48" t="n">
        <f aca="false">MAX(0,(C3621*'Model Inputs &amp; Assumptions'!$N$35+E3621*'Model Inputs &amp; Assumptions'!$O$35+G3621*'Model Inputs &amp; Assumptions'!$P$35)*EXP('Model Inputs &amp; Assumptions'!$Q$35*S3621-'Model Inputs &amp; Assumptions'!$Q$35^2/2))</f>
        <v>32.0305958288119</v>
      </c>
      <c r="I3621" s="49" t="n">
        <f aca="false">IF('Model Inputs &amp; Assumptions'!$H$35="Fixed",'Model Inputs &amp; Assumptions'!$I$35*'Model Inputs &amp; Assumptions'!$K$35,IF('Model Inputs &amp; Assumptions'!$H$35="CPM",'Model Inputs &amp; Assumptions'!$I$35*'Model Inputs &amp; Assumptions'!$K$35*C3621/1000,IF('Model Inputs &amp; Assumptions'!$H$35="CPC",'Model Inputs &amp; Assumptions'!$I$35*'Model Inputs &amp; Assumptions'!$K$35*G3621,0)))</f>
        <v>8672.8</v>
      </c>
      <c r="J3621" s="50" t="n">
        <f aca="false">H3621*INDEX('Model Inputs &amp; Assumptions'!$D$40:$D$42,MATCH('Model Inputs &amp; Assumptions'!$L$35,'Model Inputs &amp; Assumptions'!$A$40:$A$42,0))*INDEX('Model Inputs &amp; Assumptions'!$H$40:$H$42,MATCH('Model Inputs &amp; Assumptions'!$L$35,'Model Inputs &amp; Assumptions'!$A$40:$A$42,0))</f>
        <v>272260.064544901</v>
      </c>
      <c r="K3621" s="49" t="n">
        <f aca="false">H3621*INDEX('Model Inputs &amp; Assumptions'!$G$40:$G$42,MATCH('Model Inputs &amp; Assumptions'!$L$35,'Model Inputs &amp; Assumptions'!$A$40:$A$42,0))*INDEX('Model Inputs &amp; Assumptions'!$H$40:$H$42,MATCH('Model Inputs &amp; Assumptions'!$L$35,'Model Inputs &amp; Assumptions'!$A$40:$A$42,0))</f>
        <v>6125.85145226027</v>
      </c>
      <c r="L3621" s="51" t="n">
        <f aca="false">IFERROR(K3621/I3621,0)</f>
        <v>0.706329150016173</v>
      </c>
      <c r="M3621" s="49" t="n">
        <f aca="false">IFERROR(I3621/H3621,0)</f>
        <v>270.766115196606</v>
      </c>
      <c r="N3621" s="52" t="str">
        <f aca="false">'Model Inputs &amp; Assumptions'!$L$35</f>
        <v>PRD-EUAI</v>
      </c>
      <c r="P3621" s="53" t="n">
        <v>-1.202641</v>
      </c>
      <c r="Q3621" s="53" t="n">
        <v>1.19865</v>
      </c>
      <c r="R3621" s="53" t="n">
        <v>0.403809</v>
      </c>
      <c r="S3621" s="53" t="n">
        <v>-0.398641</v>
      </c>
    </row>
    <row r="3622" customFormat="false" ht="15" hidden="false" customHeight="false" outlineLevel="0" collapsed="false">
      <c r="A3622" s="43" t="n">
        <v>119</v>
      </c>
      <c r="B3622" s="44" t="str">
        <f aca="false">'Model Inputs &amp; Assumptions'!$B$35</f>
        <v>justETF — Sponsored Listing</v>
      </c>
      <c r="C3622" s="45" t="n">
        <f aca="false">ROUND(MAX(0,'Model Inputs &amp; Assumptions'!$S$35*EXP('Model Inputs &amp; Assumptions'!$T$35*P3622-'Model Inputs &amp; Assumptions'!$T$35^2/2)),0)</f>
        <v>79807</v>
      </c>
      <c r="D3622" s="46" t="n">
        <f aca="false">MIN(1,'Model Inputs &amp; Assumptions'!$U$35*EXP('Model Inputs &amp; Assumptions'!$V$35*Q3622-'Model Inputs &amp; Assumptions'!$V$35^2/2))</f>
        <v>0</v>
      </c>
      <c r="E3622" s="45" t="n">
        <f aca="false">ROUND(C3622*D3622,0)</f>
        <v>0</v>
      </c>
      <c r="F3622" s="47" t="n">
        <f aca="false">MIN(1,'Model Inputs &amp; Assumptions'!$W$35*EXP('Model Inputs &amp; Assumptions'!$X$35*R3622-'Model Inputs &amp; Assumptions'!$X$35^2/2))</f>
        <v>0.00709244069769967</v>
      </c>
      <c r="G3622" s="45" t="n">
        <f aca="false">ROUND(C3622*F3622,0)</f>
        <v>566</v>
      </c>
      <c r="H3622" s="48" t="n">
        <f aca="false">MAX(0,(C3622*'Model Inputs &amp; Assumptions'!$N$35+E3622*'Model Inputs &amp; Assumptions'!$O$35+G3622*'Model Inputs &amp; Assumptions'!$P$35)*EXP('Model Inputs &amp; Assumptions'!$Q$35*S3622-'Model Inputs &amp; Assumptions'!$Q$35^2/2))</f>
        <v>81.2169818406544</v>
      </c>
      <c r="I3622" s="49" t="n">
        <f aca="false">IF('Model Inputs &amp; Assumptions'!$H$35="Fixed",'Model Inputs &amp; Assumptions'!$I$35*'Model Inputs &amp; Assumptions'!$K$35,IF('Model Inputs &amp; Assumptions'!$H$35="CPM",'Model Inputs &amp; Assumptions'!$I$35*'Model Inputs &amp; Assumptions'!$K$35*C3622/1000,IF('Model Inputs &amp; Assumptions'!$H$35="CPC",'Model Inputs &amp; Assumptions'!$I$35*'Model Inputs &amp; Assumptions'!$K$35*G3622,0)))</f>
        <v>8672.8</v>
      </c>
      <c r="J3622" s="50" t="n">
        <f aca="false">H3622*INDEX('Model Inputs &amp; Assumptions'!$D$40:$D$42,MATCH('Model Inputs &amp; Assumptions'!$L$35,'Model Inputs &amp; Assumptions'!$A$40:$A$42,0))*INDEX('Model Inputs &amp; Assumptions'!$H$40:$H$42,MATCH('Model Inputs &amp; Assumptions'!$L$35,'Model Inputs &amp; Assumptions'!$A$40:$A$42,0))</f>
        <v>690344.345645563</v>
      </c>
      <c r="K3622" s="49" t="n">
        <f aca="false">H3622*INDEX('Model Inputs &amp; Assumptions'!$G$40:$G$42,MATCH('Model Inputs &amp; Assumptions'!$L$35,'Model Inputs &amp; Assumptions'!$A$40:$A$42,0))*INDEX('Model Inputs &amp; Assumptions'!$H$40:$H$42,MATCH('Model Inputs &amp; Assumptions'!$L$35,'Model Inputs &amp; Assumptions'!$A$40:$A$42,0))</f>
        <v>15532.7477770252</v>
      </c>
      <c r="L3622" s="51" t="n">
        <f aca="false">IFERROR(K3622/I3622,0)</f>
        <v>1.79097267053606</v>
      </c>
      <c r="M3622" s="49" t="n">
        <f aca="false">IFERROR(I3622/H3622,0)</f>
        <v>106.785549074155</v>
      </c>
      <c r="N3622" s="52" t="str">
        <f aca="false">'Model Inputs &amp; Assumptions'!$L$35</f>
        <v>PRD-EUAI</v>
      </c>
      <c r="P3622" s="53" t="n">
        <v>-0.681695</v>
      </c>
      <c r="Q3622" s="53" t="n">
        <v>0.06946</v>
      </c>
      <c r="R3622" s="53" t="n">
        <v>0.38461</v>
      </c>
      <c r="S3622" s="53" t="n">
        <v>2.890732</v>
      </c>
    </row>
    <row r="3623" customFormat="false" ht="15" hidden="false" customHeight="false" outlineLevel="0" collapsed="false">
      <c r="A3623" s="43" t="n">
        <v>120</v>
      </c>
      <c r="B3623" s="44" t="str">
        <f aca="false">'Model Inputs &amp; Assumptions'!$B$35</f>
        <v>justETF — Sponsored Listing</v>
      </c>
      <c r="C3623" s="45" t="n">
        <f aca="false">ROUND(MAX(0,'Model Inputs &amp; Assumptions'!$S$35*EXP('Model Inputs &amp; Assumptions'!$T$35*P3623-'Model Inputs &amp; Assumptions'!$T$35^2/2)),0)</f>
        <v>94572</v>
      </c>
      <c r="D3623" s="46" t="n">
        <f aca="false">MIN(1,'Model Inputs &amp; Assumptions'!$U$35*EXP('Model Inputs &amp; Assumptions'!$V$35*Q3623-'Model Inputs &amp; Assumptions'!$V$35^2/2))</f>
        <v>0</v>
      </c>
      <c r="E3623" s="45" t="n">
        <f aca="false">ROUND(C3623*D3623,0)</f>
        <v>0</v>
      </c>
      <c r="F3623" s="47" t="n">
        <f aca="false">MIN(1,'Model Inputs &amp; Assumptions'!$W$35*EXP('Model Inputs &amp; Assumptions'!$X$35*R3623-'Model Inputs &amp; Assumptions'!$X$35^2/2))</f>
        <v>0.00747741636369521</v>
      </c>
      <c r="G3623" s="45" t="n">
        <f aca="false">ROUND(C3623*F3623,0)</f>
        <v>707</v>
      </c>
      <c r="H3623" s="48" t="n">
        <f aca="false">MAX(0,(C3623*'Model Inputs &amp; Assumptions'!$N$35+E3623*'Model Inputs &amp; Assumptions'!$O$35+G3623*'Model Inputs &amp; Assumptions'!$P$35)*EXP('Model Inputs &amp; Assumptions'!$Q$35*S3623-'Model Inputs &amp; Assumptions'!$Q$35^2/2))</f>
        <v>56.7407659715146</v>
      </c>
      <c r="I3623" s="49" t="n">
        <f aca="false">IF('Model Inputs &amp; Assumptions'!$H$35="Fixed",'Model Inputs &amp; Assumptions'!$I$35*'Model Inputs &amp; Assumptions'!$K$35,IF('Model Inputs &amp; Assumptions'!$H$35="CPM",'Model Inputs &amp; Assumptions'!$I$35*'Model Inputs &amp; Assumptions'!$K$35*C3623/1000,IF('Model Inputs &amp; Assumptions'!$H$35="CPC",'Model Inputs &amp; Assumptions'!$I$35*'Model Inputs &amp; Assumptions'!$K$35*G3623,0)))</f>
        <v>8672.8</v>
      </c>
      <c r="J3623" s="50" t="n">
        <f aca="false">H3623*INDEX('Model Inputs &amp; Assumptions'!$D$40:$D$42,MATCH('Model Inputs &amp; Assumptions'!$L$35,'Model Inputs &amp; Assumptions'!$A$40:$A$42,0))*INDEX('Model Inputs &amp; Assumptions'!$H$40:$H$42,MATCH('Model Inputs &amp; Assumptions'!$L$35,'Model Inputs &amp; Assumptions'!$A$40:$A$42,0))</f>
        <v>482296.510757874</v>
      </c>
      <c r="K3623" s="49" t="n">
        <f aca="false">H3623*INDEX('Model Inputs &amp; Assumptions'!$G$40:$G$42,MATCH('Model Inputs &amp; Assumptions'!$L$35,'Model Inputs &amp; Assumptions'!$A$40:$A$42,0))*INDEX('Model Inputs &amp; Assumptions'!$H$40:$H$42,MATCH('Model Inputs &amp; Assumptions'!$L$35,'Model Inputs &amp; Assumptions'!$A$40:$A$42,0))</f>
        <v>10851.6714920522</v>
      </c>
      <c r="L3623" s="51" t="n">
        <f aca="false">IFERROR(K3623/I3623,0)</f>
        <v>1.25123045522232</v>
      </c>
      <c r="M3623" s="49" t="n">
        <f aca="false">IFERROR(I3623/H3623,0)</f>
        <v>152.84954038784</v>
      </c>
      <c r="N3623" s="52" t="str">
        <f aca="false">'Model Inputs &amp; Assumptions'!$L$35</f>
        <v>PRD-EUAI</v>
      </c>
      <c r="P3623" s="53" t="n">
        <v>0.449955</v>
      </c>
      <c r="Q3623" s="53" t="n">
        <v>-0.949672</v>
      </c>
      <c r="R3623" s="53" t="n">
        <v>0.648899</v>
      </c>
      <c r="S3623" s="53" t="n">
        <v>0.655855</v>
      </c>
    </row>
    <row r="3624" customFormat="false" ht="15" hidden="false" customHeight="false" outlineLevel="0" collapsed="false">
      <c r="A3624" s="43" t="n">
        <v>121</v>
      </c>
      <c r="B3624" s="44" t="str">
        <f aca="false">'Model Inputs &amp; Assumptions'!$B$35</f>
        <v>justETF — Sponsored Listing</v>
      </c>
      <c r="C3624" s="45" t="n">
        <f aca="false">ROUND(MAX(0,'Model Inputs &amp; Assumptions'!$S$35*EXP('Model Inputs &amp; Assumptions'!$T$35*P3624-'Model Inputs &amp; Assumptions'!$T$35^2/2)),0)</f>
        <v>94734</v>
      </c>
      <c r="D3624" s="46" t="n">
        <f aca="false">MIN(1,'Model Inputs &amp; Assumptions'!$U$35*EXP('Model Inputs &amp; Assumptions'!$V$35*Q3624-'Model Inputs &amp; Assumptions'!$V$35^2/2))</f>
        <v>0</v>
      </c>
      <c r="E3624" s="45" t="n">
        <f aca="false">ROUND(C3624*D3624,0)</f>
        <v>0</v>
      </c>
      <c r="F3624" s="47" t="n">
        <f aca="false">MIN(1,'Model Inputs &amp; Assumptions'!$W$35*EXP('Model Inputs &amp; Assumptions'!$X$35*R3624-'Model Inputs &amp; Assumptions'!$X$35^2/2))</f>
        <v>0.00471974855719108</v>
      </c>
      <c r="G3624" s="45" t="n">
        <f aca="false">ROUND(C3624*F3624,0)</f>
        <v>447</v>
      </c>
      <c r="H3624" s="48" t="n">
        <f aca="false">MAX(0,(C3624*'Model Inputs &amp; Assumptions'!$N$35+E3624*'Model Inputs &amp; Assumptions'!$O$35+G3624*'Model Inputs &amp; Assumptions'!$P$35)*EXP('Model Inputs &amp; Assumptions'!$Q$35*S3624-'Model Inputs &amp; Assumptions'!$Q$35^2/2))</f>
        <v>22.7451072806579</v>
      </c>
      <c r="I3624" s="49" t="n">
        <f aca="false">IF('Model Inputs &amp; Assumptions'!$H$35="Fixed",'Model Inputs &amp; Assumptions'!$I$35*'Model Inputs &amp; Assumptions'!$K$35,IF('Model Inputs &amp; Assumptions'!$H$35="CPM",'Model Inputs &amp; Assumptions'!$I$35*'Model Inputs &amp; Assumptions'!$K$35*C3624/1000,IF('Model Inputs &amp; Assumptions'!$H$35="CPC",'Model Inputs &amp; Assumptions'!$I$35*'Model Inputs &amp; Assumptions'!$K$35*G3624,0)))</f>
        <v>8672.8</v>
      </c>
      <c r="J3624" s="50" t="n">
        <f aca="false">H3624*INDEX('Model Inputs &amp; Assumptions'!$D$40:$D$42,MATCH('Model Inputs &amp; Assumptions'!$L$35,'Model Inputs &amp; Assumptions'!$A$40:$A$42,0))*INDEX('Model Inputs &amp; Assumptions'!$H$40:$H$42,MATCH('Model Inputs &amp; Assumptions'!$L$35,'Model Inputs &amp; Assumptions'!$A$40:$A$42,0))</f>
        <v>193333.411885593</v>
      </c>
      <c r="K3624" s="49" t="n">
        <f aca="false">H3624*INDEX('Model Inputs &amp; Assumptions'!$G$40:$G$42,MATCH('Model Inputs &amp; Assumptions'!$L$35,'Model Inputs &amp; Assumptions'!$A$40:$A$42,0))*INDEX('Model Inputs &amp; Assumptions'!$H$40:$H$42,MATCH('Model Inputs &amp; Assumptions'!$L$35,'Model Inputs &amp; Assumptions'!$A$40:$A$42,0))</f>
        <v>4350.00176742583</v>
      </c>
      <c r="L3624" s="51" t="n">
        <f aca="false">IFERROR(K3624/I3624,0)</f>
        <v>0.501568324811576</v>
      </c>
      <c r="M3624" s="49" t="n">
        <f aca="false">IFERROR(I3624/H3624,0)</f>
        <v>381.3039830054</v>
      </c>
      <c r="N3624" s="52" t="str">
        <f aca="false">'Model Inputs &amp; Assumptions'!$L$35</f>
        <v>PRD-EUAI</v>
      </c>
      <c r="P3624" s="53" t="n">
        <v>0.46134</v>
      </c>
      <c r="Q3624" s="53" t="n">
        <v>-1.299229</v>
      </c>
      <c r="R3624" s="53" t="n">
        <v>-1.65176</v>
      </c>
      <c r="S3624" s="53" t="n">
        <v>-1.096725</v>
      </c>
    </row>
    <row r="3625" customFormat="false" ht="15" hidden="false" customHeight="false" outlineLevel="0" collapsed="false">
      <c r="A3625" s="43" t="n">
        <v>122</v>
      </c>
      <c r="B3625" s="44" t="str">
        <f aca="false">'Model Inputs &amp; Assumptions'!$B$35</f>
        <v>justETF — Sponsored Listing</v>
      </c>
      <c r="C3625" s="45" t="n">
        <f aca="false">ROUND(MAX(0,'Model Inputs &amp; Assumptions'!$S$35*EXP('Model Inputs &amp; Assumptions'!$T$35*P3625-'Model Inputs &amp; Assumptions'!$T$35^2/2)),0)</f>
        <v>85489</v>
      </c>
      <c r="D3625" s="46" t="n">
        <f aca="false">MIN(1,'Model Inputs &amp; Assumptions'!$U$35*EXP('Model Inputs &amp; Assumptions'!$V$35*Q3625-'Model Inputs &amp; Assumptions'!$V$35^2/2))</f>
        <v>0</v>
      </c>
      <c r="E3625" s="45" t="n">
        <f aca="false">ROUND(C3625*D3625,0)</f>
        <v>0</v>
      </c>
      <c r="F3625" s="47" t="n">
        <f aca="false">MIN(1,'Model Inputs &amp; Assumptions'!$W$35*EXP('Model Inputs &amp; Assumptions'!$X$35*R3625-'Model Inputs &amp; Assumptions'!$X$35^2/2))</f>
        <v>0.00465181435048132</v>
      </c>
      <c r="G3625" s="45" t="n">
        <f aca="false">ROUND(C3625*F3625,0)</f>
        <v>398</v>
      </c>
      <c r="H3625" s="48" t="n">
        <f aca="false">MAX(0,(C3625*'Model Inputs &amp; Assumptions'!$N$35+E3625*'Model Inputs &amp; Assumptions'!$O$35+G3625*'Model Inputs &amp; Assumptions'!$P$35)*EXP('Model Inputs &amp; Assumptions'!$Q$35*S3625-'Model Inputs &amp; Assumptions'!$Q$35^2/2))</f>
        <v>14.6914114560607</v>
      </c>
      <c r="I3625" s="49" t="n">
        <f aca="false">IF('Model Inputs &amp; Assumptions'!$H$35="Fixed",'Model Inputs &amp; Assumptions'!$I$35*'Model Inputs &amp; Assumptions'!$K$35,IF('Model Inputs &amp; Assumptions'!$H$35="CPM",'Model Inputs &amp; Assumptions'!$I$35*'Model Inputs &amp; Assumptions'!$K$35*C3625/1000,IF('Model Inputs &amp; Assumptions'!$H$35="CPC",'Model Inputs &amp; Assumptions'!$I$35*'Model Inputs &amp; Assumptions'!$K$35*G3625,0)))</f>
        <v>8672.8</v>
      </c>
      <c r="J3625" s="50" t="n">
        <f aca="false">H3625*INDEX('Model Inputs &amp; Assumptions'!$D$40:$D$42,MATCH('Model Inputs &amp; Assumptions'!$L$35,'Model Inputs &amp; Assumptions'!$A$40:$A$42,0))*INDEX('Model Inputs &amp; Assumptions'!$H$40:$H$42,MATCH('Model Inputs &amp; Assumptions'!$L$35,'Model Inputs &amp; Assumptions'!$A$40:$A$42,0))</f>
        <v>124876.997376516</v>
      </c>
      <c r="K3625" s="49" t="n">
        <f aca="false">H3625*INDEX('Model Inputs &amp; Assumptions'!$G$40:$G$42,MATCH('Model Inputs &amp; Assumptions'!$L$35,'Model Inputs &amp; Assumptions'!$A$40:$A$42,0))*INDEX('Model Inputs &amp; Assumptions'!$H$40:$H$42,MATCH('Model Inputs &amp; Assumptions'!$L$35,'Model Inputs &amp; Assumptions'!$A$40:$A$42,0))</f>
        <v>2809.7324409716</v>
      </c>
      <c r="L3625" s="51" t="n">
        <f aca="false">IFERROR(K3625/I3625,0)</f>
        <v>0.323970625515589</v>
      </c>
      <c r="M3625" s="49" t="n">
        <f aca="false">IFERROR(I3625/H3625,0)</f>
        <v>590.331298387413</v>
      </c>
      <c r="N3625" s="52" t="str">
        <f aca="false">'Model Inputs &amp; Assumptions'!$L$35</f>
        <v>PRD-EUAI</v>
      </c>
      <c r="P3625" s="53" t="n">
        <v>-0.223216</v>
      </c>
      <c r="Q3625" s="53" t="n">
        <v>0.328947</v>
      </c>
      <c r="R3625" s="53" t="n">
        <v>-1.724251</v>
      </c>
      <c r="S3625" s="53" t="n">
        <v>-2.331265</v>
      </c>
    </row>
    <row r="3626" customFormat="false" ht="15" hidden="false" customHeight="false" outlineLevel="0" collapsed="false">
      <c r="A3626" s="43" t="n">
        <v>123</v>
      </c>
      <c r="B3626" s="44" t="str">
        <f aca="false">'Model Inputs &amp; Assumptions'!$B$35</f>
        <v>justETF — Sponsored Listing</v>
      </c>
      <c r="C3626" s="45" t="n">
        <f aca="false">ROUND(MAX(0,'Model Inputs &amp; Assumptions'!$S$35*EXP('Model Inputs &amp; Assumptions'!$T$35*P3626-'Model Inputs &amp; Assumptions'!$T$35^2/2)),0)</f>
        <v>80278</v>
      </c>
      <c r="D3626" s="46" t="n">
        <f aca="false">MIN(1,'Model Inputs &amp; Assumptions'!$U$35*EXP('Model Inputs &amp; Assumptions'!$V$35*Q3626-'Model Inputs &amp; Assumptions'!$V$35^2/2))</f>
        <v>0</v>
      </c>
      <c r="E3626" s="45" t="n">
        <f aca="false">ROUND(C3626*D3626,0)</f>
        <v>0</v>
      </c>
      <c r="F3626" s="47" t="n">
        <f aca="false">MIN(1,'Model Inputs &amp; Assumptions'!$W$35*EXP('Model Inputs &amp; Assumptions'!$X$35*R3626-'Model Inputs &amp; Assumptions'!$X$35^2/2))</f>
        <v>0.00644800851905547</v>
      </c>
      <c r="G3626" s="45" t="n">
        <f aca="false">ROUND(C3626*F3626,0)</f>
        <v>518</v>
      </c>
      <c r="H3626" s="48" t="n">
        <f aca="false">MAX(0,(C3626*'Model Inputs &amp; Assumptions'!$N$35+E3626*'Model Inputs &amp; Assumptions'!$O$35+G3626*'Model Inputs &amp; Assumptions'!$P$35)*EXP('Model Inputs &amp; Assumptions'!$Q$35*S3626-'Model Inputs &amp; Assumptions'!$Q$35^2/2))</f>
        <v>30.4501964387845</v>
      </c>
      <c r="I3626" s="49" t="n">
        <f aca="false">IF('Model Inputs &amp; Assumptions'!$H$35="Fixed",'Model Inputs &amp; Assumptions'!$I$35*'Model Inputs &amp; Assumptions'!$K$35,IF('Model Inputs &amp; Assumptions'!$H$35="CPM",'Model Inputs &amp; Assumptions'!$I$35*'Model Inputs &amp; Assumptions'!$K$35*C3626/1000,IF('Model Inputs &amp; Assumptions'!$H$35="CPC",'Model Inputs &amp; Assumptions'!$I$35*'Model Inputs &amp; Assumptions'!$K$35*G3626,0)))</f>
        <v>8672.8</v>
      </c>
      <c r="J3626" s="50" t="n">
        <f aca="false">H3626*INDEX('Model Inputs &amp; Assumptions'!$D$40:$D$42,MATCH('Model Inputs &amp; Assumptions'!$L$35,'Model Inputs &amp; Assumptions'!$A$40:$A$42,0))*INDEX('Model Inputs &amp; Assumptions'!$H$40:$H$42,MATCH('Model Inputs &amp; Assumptions'!$L$35,'Model Inputs &amp; Assumptions'!$A$40:$A$42,0))</f>
        <v>258826.669729668</v>
      </c>
      <c r="K3626" s="49" t="n">
        <f aca="false">H3626*INDEX('Model Inputs &amp; Assumptions'!$G$40:$G$42,MATCH('Model Inputs &amp; Assumptions'!$L$35,'Model Inputs &amp; Assumptions'!$A$40:$A$42,0))*INDEX('Model Inputs &amp; Assumptions'!$H$40:$H$42,MATCH('Model Inputs &amp; Assumptions'!$L$35,'Model Inputs &amp; Assumptions'!$A$40:$A$42,0))</f>
        <v>5823.60006891753</v>
      </c>
      <c r="L3626" s="51" t="n">
        <f aca="false">IFERROR(K3626/I3626,0)</f>
        <v>0.671478653827775</v>
      </c>
      <c r="M3626" s="49" t="n">
        <f aca="false">IFERROR(I3626/H3626,0)</f>
        <v>284.819180639289</v>
      </c>
      <c r="N3626" s="52" t="str">
        <f aca="false">'Model Inputs &amp; Assumptions'!$L$35</f>
        <v>PRD-EUAI</v>
      </c>
      <c r="P3626" s="53" t="n">
        <v>-0.64249</v>
      </c>
      <c r="Q3626" s="53" t="n">
        <v>0.332505</v>
      </c>
      <c r="R3626" s="53" t="n">
        <v>-0.091681</v>
      </c>
      <c r="S3626" s="53" t="n">
        <v>-0.541626</v>
      </c>
    </row>
    <row r="3627" customFormat="false" ht="15" hidden="false" customHeight="false" outlineLevel="0" collapsed="false">
      <c r="A3627" s="43" t="n">
        <v>124</v>
      </c>
      <c r="B3627" s="44" t="str">
        <f aca="false">'Model Inputs &amp; Assumptions'!$B$35</f>
        <v>justETF — Sponsored Listing</v>
      </c>
      <c r="C3627" s="45" t="n">
        <f aca="false">ROUND(MAX(0,'Model Inputs &amp; Assumptions'!$S$35*EXP('Model Inputs &amp; Assumptions'!$T$35*P3627-'Model Inputs &amp; Assumptions'!$T$35^2/2)),0)</f>
        <v>103088</v>
      </c>
      <c r="D3627" s="46" t="n">
        <f aca="false">MIN(1,'Model Inputs &amp; Assumptions'!$U$35*EXP('Model Inputs &amp; Assumptions'!$V$35*Q3627-'Model Inputs &amp; Assumptions'!$V$35^2/2))</f>
        <v>0</v>
      </c>
      <c r="E3627" s="45" t="n">
        <f aca="false">ROUND(C3627*D3627,0)</f>
        <v>0</v>
      </c>
      <c r="F3627" s="47" t="n">
        <f aca="false">MIN(1,'Model Inputs &amp; Assumptions'!$W$35*EXP('Model Inputs &amp; Assumptions'!$X$35*R3627-'Model Inputs &amp; Assumptions'!$X$35^2/2))</f>
        <v>0.00603373804355912</v>
      </c>
      <c r="G3627" s="45" t="n">
        <f aca="false">ROUND(C3627*F3627,0)</f>
        <v>622</v>
      </c>
      <c r="H3627" s="48" t="n">
        <f aca="false">MAX(0,(C3627*'Model Inputs &amp; Assumptions'!$N$35+E3627*'Model Inputs &amp; Assumptions'!$O$35+G3627*'Model Inputs &amp; Assumptions'!$P$35)*EXP('Model Inputs &amp; Assumptions'!$Q$35*S3627-'Model Inputs &amp; Assumptions'!$Q$35^2/2))</f>
        <v>65.6612819408199</v>
      </c>
      <c r="I3627" s="49" t="n">
        <f aca="false">IF('Model Inputs &amp; Assumptions'!$H$35="Fixed",'Model Inputs &amp; Assumptions'!$I$35*'Model Inputs &amp; Assumptions'!$K$35,IF('Model Inputs &amp; Assumptions'!$H$35="CPM",'Model Inputs &amp; Assumptions'!$I$35*'Model Inputs &amp; Assumptions'!$K$35*C3627/1000,IF('Model Inputs &amp; Assumptions'!$H$35="CPC",'Model Inputs &amp; Assumptions'!$I$35*'Model Inputs &amp; Assumptions'!$K$35*G3627,0)))</f>
        <v>8672.8</v>
      </c>
      <c r="J3627" s="50" t="n">
        <f aca="false">H3627*INDEX('Model Inputs &amp; Assumptions'!$D$40:$D$42,MATCH('Model Inputs &amp; Assumptions'!$L$35,'Model Inputs &amp; Assumptions'!$A$40:$A$42,0))*INDEX('Model Inputs &amp; Assumptions'!$H$40:$H$42,MATCH('Model Inputs &amp; Assumptions'!$L$35,'Model Inputs &amp; Assumptions'!$A$40:$A$42,0))</f>
        <v>558120.896496969</v>
      </c>
      <c r="K3627" s="49" t="n">
        <f aca="false">H3627*INDEX('Model Inputs &amp; Assumptions'!$G$40:$G$42,MATCH('Model Inputs &amp; Assumptions'!$L$35,'Model Inputs &amp; Assumptions'!$A$40:$A$42,0))*INDEX('Model Inputs &amp; Assumptions'!$H$40:$H$42,MATCH('Model Inputs &amp; Assumptions'!$L$35,'Model Inputs &amp; Assumptions'!$A$40:$A$42,0))</f>
        <v>12557.7201711818</v>
      </c>
      <c r="L3627" s="51" t="n">
        <f aca="false">IFERROR(K3627/I3627,0)</f>
        <v>1.44794301392651</v>
      </c>
      <c r="M3627" s="49" t="n">
        <f aca="false">IFERROR(I3627/H3627,0)</f>
        <v>132.083927447788</v>
      </c>
      <c r="N3627" s="52" t="str">
        <f aca="false">'Model Inputs &amp; Assumptions'!$L$35</f>
        <v>PRD-EUAI</v>
      </c>
      <c r="P3627" s="53" t="n">
        <v>1.024727</v>
      </c>
      <c r="Q3627" s="53" t="n">
        <v>1.190483</v>
      </c>
      <c r="R3627" s="53" t="n">
        <v>-0.423704</v>
      </c>
      <c r="S3627" s="53" t="n">
        <v>1.710113</v>
      </c>
    </row>
    <row r="3628" customFormat="false" ht="15" hidden="false" customHeight="false" outlineLevel="0" collapsed="false">
      <c r="A3628" s="43" t="n">
        <v>125</v>
      </c>
      <c r="B3628" s="44" t="str">
        <f aca="false">'Model Inputs &amp; Assumptions'!$B$35</f>
        <v>justETF — Sponsored Listing</v>
      </c>
      <c r="C3628" s="45" t="n">
        <f aca="false">ROUND(MAX(0,'Model Inputs &amp; Assumptions'!$S$35*EXP('Model Inputs &amp; Assumptions'!$T$35*P3628-'Model Inputs &amp; Assumptions'!$T$35^2/2)),0)</f>
        <v>99317</v>
      </c>
      <c r="D3628" s="46" t="n">
        <f aca="false">MIN(1,'Model Inputs &amp; Assumptions'!$U$35*EXP('Model Inputs &amp; Assumptions'!$V$35*Q3628-'Model Inputs &amp; Assumptions'!$V$35^2/2))</f>
        <v>0</v>
      </c>
      <c r="E3628" s="45" t="n">
        <f aca="false">ROUND(C3628*D3628,0)</f>
        <v>0</v>
      </c>
      <c r="F3628" s="47" t="n">
        <f aca="false">MIN(1,'Model Inputs &amp; Assumptions'!$W$35*EXP('Model Inputs &amp; Assumptions'!$X$35*R3628-'Model Inputs &amp; Assumptions'!$X$35^2/2))</f>
        <v>0.00686120804711777</v>
      </c>
      <c r="G3628" s="45" t="n">
        <f aca="false">ROUND(C3628*F3628,0)</f>
        <v>681</v>
      </c>
      <c r="H3628" s="48" t="n">
        <f aca="false">MAX(0,(C3628*'Model Inputs &amp; Assumptions'!$N$35+E3628*'Model Inputs &amp; Assumptions'!$O$35+G3628*'Model Inputs &amp; Assumptions'!$P$35)*EXP('Model Inputs &amp; Assumptions'!$Q$35*S3628-'Model Inputs &amp; Assumptions'!$Q$35^2/2))</f>
        <v>37.3659069281017</v>
      </c>
      <c r="I3628" s="49" t="n">
        <f aca="false">IF('Model Inputs &amp; Assumptions'!$H$35="Fixed",'Model Inputs &amp; Assumptions'!$I$35*'Model Inputs &amp; Assumptions'!$K$35,IF('Model Inputs &amp; Assumptions'!$H$35="CPM",'Model Inputs &amp; Assumptions'!$I$35*'Model Inputs &amp; Assumptions'!$K$35*C3628/1000,IF('Model Inputs &amp; Assumptions'!$H$35="CPC",'Model Inputs &amp; Assumptions'!$I$35*'Model Inputs &amp; Assumptions'!$K$35*G3628,0)))</f>
        <v>8672.8</v>
      </c>
      <c r="J3628" s="50" t="n">
        <f aca="false">H3628*INDEX('Model Inputs &amp; Assumptions'!$D$40:$D$42,MATCH('Model Inputs &amp; Assumptions'!$L$35,'Model Inputs &amp; Assumptions'!$A$40:$A$42,0))*INDEX('Model Inputs &amp; Assumptions'!$H$40:$H$42,MATCH('Model Inputs &amp; Assumptions'!$L$35,'Model Inputs &amp; Assumptions'!$A$40:$A$42,0))</f>
        <v>317610.208888865</v>
      </c>
      <c r="K3628" s="49" t="n">
        <f aca="false">H3628*INDEX('Model Inputs &amp; Assumptions'!$G$40:$G$42,MATCH('Model Inputs &amp; Assumptions'!$L$35,'Model Inputs &amp; Assumptions'!$A$40:$A$42,0))*INDEX('Model Inputs &amp; Assumptions'!$H$40:$H$42,MATCH('Model Inputs &amp; Assumptions'!$L$35,'Model Inputs &amp; Assumptions'!$A$40:$A$42,0))</f>
        <v>7146.22969999946</v>
      </c>
      <c r="L3628" s="51" t="n">
        <f aca="false">IFERROR(K3628/I3628,0)</f>
        <v>0.823981839774866</v>
      </c>
      <c r="M3628" s="49" t="n">
        <f aca="false">IFERROR(I3628/H3628,0)</f>
        <v>232.104629942153</v>
      </c>
      <c r="N3628" s="52" t="str">
        <f aca="false">'Model Inputs &amp; Assumptions'!$L$35</f>
        <v>PRD-EUAI</v>
      </c>
      <c r="P3628" s="53" t="n">
        <v>0.776334</v>
      </c>
      <c r="Q3628" s="53" t="n">
        <v>-0.682594</v>
      </c>
      <c r="R3628" s="53" t="n">
        <v>0.21888</v>
      </c>
      <c r="S3628" s="53" t="n">
        <v>-0.806706</v>
      </c>
    </row>
    <row r="3629" customFormat="false" ht="15" hidden="false" customHeight="false" outlineLevel="0" collapsed="false">
      <c r="A3629" s="43" t="n">
        <v>126</v>
      </c>
      <c r="B3629" s="44" t="str">
        <f aca="false">'Model Inputs &amp; Assumptions'!$B$35</f>
        <v>justETF — Sponsored Listing</v>
      </c>
      <c r="C3629" s="45" t="n">
        <f aca="false">ROUND(MAX(0,'Model Inputs &amp; Assumptions'!$S$35*EXP('Model Inputs &amp; Assumptions'!$T$35*P3629-'Model Inputs &amp; Assumptions'!$T$35^2/2)),0)</f>
        <v>88930</v>
      </c>
      <c r="D3629" s="46" t="n">
        <f aca="false">MIN(1,'Model Inputs &amp; Assumptions'!$U$35*EXP('Model Inputs &amp; Assumptions'!$V$35*Q3629-'Model Inputs &amp; Assumptions'!$V$35^2/2))</f>
        <v>0</v>
      </c>
      <c r="E3629" s="45" t="n">
        <f aca="false">ROUND(C3629*D3629,0)</f>
        <v>0</v>
      </c>
      <c r="F3629" s="47" t="n">
        <f aca="false">MIN(1,'Model Inputs &amp; Assumptions'!$W$35*EXP('Model Inputs &amp; Assumptions'!$X$35*R3629-'Model Inputs &amp; Assumptions'!$X$35^2/2))</f>
        <v>0.00815016462468745</v>
      </c>
      <c r="G3629" s="45" t="n">
        <f aca="false">ROUND(C3629*F3629,0)</f>
        <v>725</v>
      </c>
      <c r="H3629" s="48" t="n">
        <f aca="false">MAX(0,(C3629*'Model Inputs &amp; Assumptions'!$N$35+E3629*'Model Inputs &amp; Assumptions'!$O$35+G3629*'Model Inputs &amp; Assumptions'!$P$35)*EXP('Model Inputs &amp; Assumptions'!$Q$35*S3629-'Model Inputs &amp; Assumptions'!$Q$35^2/2))</f>
        <v>44.5965275299431</v>
      </c>
      <c r="I3629" s="49" t="n">
        <f aca="false">IF('Model Inputs &amp; Assumptions'!$H$35="Fixed",'Model Inputs &amp; Assumptions'!$I$35*'Model Inputs &amp; Assumptions'!$K$35,IF('Model Inputs &amp; Assumptions'!$H$35="CPM",'Model Inputs &amp; Assumptions'!$I$35*'Model Inputs &amp; Assumptions'!$K$35*C3629/1000,IF('Model Inputs &amp; Assumptions'!$H$35="CPC",'Model Inputs &amp; Assumptions'!$I$35*'Model Inputs &amp; Assumptions'!$K$35*G3629,0)))</f>
        <v>8672.8</v>
      </c>
      <c r="J3629" s="50" t="n">
        <f aca="false">H3629*INDEX('Model Inputs &amp; Assumptions'!$D$40:$D$42,MATCH('Model Inputs &amp; Assumptions'!$L$35,'Model Inputs &amp; Assumptions'!$A$40:$A$42,0))*INDEX('Model Inputs &amp; Assumptions'!$H$40:$H$42,MATCH('Model Inputs &amp; Assumptions'!$L$35,'Model Inputs &amp; Assumptions'!$A$40:$A$42,0))</f>
        <v>379070.484004516</v>
      </c>
      <c r="K3629" s="49" t="n">
        <f aca="false">H3629*INDEX('Model Inputs &amp; Assumptions'!$G$40:$G$42,MATCH('Model Inputs &amp; Assumptions'!$L$35,'Model Inputs &amp; Assumptions'!$A$40:$A$42,0))*INDEX('Model Inputs &amp; Assumptions'!$H$40:$H$42,MATCH('Model Inputs &amp; Assumptions'!$L$35,'Model Inputs &amp; Assumptions'!$A$40:$A$42,0))</f>
        <v>8529.08589010162</v>
      </c>
      <c r="L3629" s="51" t="n">
        <f aca="false">IFERROR(K3629/I3629,0)</f>
        <v>0.98342932963998</v>
      </c>
      <c r="M3629" s="49" t="n">
        <f aca="false">IFERROR(I3629/H3629,0)</f>
        <v>194.472540360388</v>
      </c>
      <c r="N3629" s="52" t="str">
        <f aca="false">'Model Inputs &amp; Assumptions'!$L$35</f>
        <v>PRD-EUAI</v>
      </c>
      <c r="P3629" s="53" t="n">
        <v>0.039841</v>
      </c>
      <c r="Q3629" s="53" t="n">
        <v>-0.928591</v>
      </c>
      <c r="R3629" s="53" t="n">
        <v>1.079653</v>
      </c>
      <c r="S3629" s="53" t="n">
        <v>-0.367137</v>
      </c>
    </row>
    <row r="3630" customFormat="false" ht="15" hidden="false" customHeight="false" outlineLevel="0" collapsed="false">
      <c r="A3630" s="43" t="n">
        <v>127</v>
      </c>
      <c r="B3630" s="44" t="str">
        <f aca="false">'Model Inputs &amp; Assumptions'!$B$35</f>
        <v>justETF — Sponsored Listing</v>
      </c>
      <c r="C3630" s="45" t="n">
        <f aca="false">ROUND(MAX(0,'Model Inputs &amp; Assumptions'!$S$35*EXP('Model Inputs &amp; Assumptions'!$T$35*P3630-'Model Inputs &amp; Assumptions'!$T$35^2/2)),0)</f>
        <v>109447</v>
      </c>
      <c r="D3630" s="46" t="n">
        <f aca="false">MIN(1,'Model Inputs &amp; Assumptions'!$U$35*EXP('Model Inputs &amp; Assumptions'!$V$35*Q3630-'Model Inputs &amp; Assumptions'!$V$35^2/2))</f>
        <v>0</v>
      </c>
      <c r="E3630" s="45" t="n">
        <f aca="false">ROUND(C3630*D3630,0)</f>
        <v>0</v>
      </c>
      <c r="F3630" s="47" t="n">
        <f aca="false">MIN(1,'Model Inputs &amp; Assumptions'!$W$35*EXP('Model Inputs &amp; Assumptions'!$X$35*R3630-'Model Inputs &amp; Assumptions'!$X$35^2/2))</f>
        <v>0.00748589008323028</v>
      </c>
      <c r="G3630" s="45" t="n">
        <f aca="false">ROUND(C3630*F3630,0)</f>
        <v>819</v>
      </c>
      <c r="H3630" s="48" t="n">
        <f aca="false">MAX(0,(C3630*'Model Inputs &amp; Assumptions'!$N$35+E3630*'Model Inputs &amp; Assumptions'!$O$35+G3630*'Model Inputs &amp; Assumptions'!$P$35)*EXP('Model Inputs &amp; Assumptions'!$Q$35*S3630-'Model Inputs &amp; Assumptions'!$Q$35^2/2))</f>
        <v>60.4431725495942</v>
      </c>
      <c r="I3630" s="49" t="n">
        <f aca="false">IF('Model Inputs &amp; Assumptions'!$H$35="Fixed",'Model Inputs &amp; Assumptions'!$I$35*'Model Inputs &amp; Assumptions'!$K$35,IF('Model Inputs &amp; Assumptions'!$H$35="CPM",'Model Inputs &amp; Assumptions'!$I$35*'Model Inputs &amp; Assumptions'!$K$35*C3630/1000,IF('Model Inputs &amp; Assumptions'!$H$35="CPC",'Model Inputs &amp; Assumptions'!$I$35*'Model Inputs &amp; Assumptions'!$K$35*G3630,0)))</f>
        <v>8672.8</v>
      </c>
      <c r="J3630" s="50" t="n">
        <f aca="false">H3630*INDEX('Model Inputs &amp; Assumptions'!$D$40:$D$42,MATCH('Model Inputs &amp; Assumptions'!$L$35,'Model Inputs &amp; Assumptions'!$A$40:$A$42,0))*INDEX('Model Inputs &amp; Assumptions'!$H$40:$H$42,MATCH('Model Inputs &amp; Assumptions'!$L$35,'Model Inputs &amp; Assumptions'!$A$40:$A$42,0))</f>
        <v>513766.96667155</v>
      </c>
      <c r="K3630" s="49" t="n">
        <f aca="false">H3630*INDEX('Model Inputs &amp; Assumptions'!$G$40:$G$42,MATCH('Model Inputs &amp; Assumptions'!$L$35,'Model Inputs &amp; Assumptions'!$A$40:$A$42,0))*INDEX('Model Inputs &amp; Assumptions'!$H$40:$H$42,MATCH('Model Inputs &amp; Assumptions'!$L$35,'Model Inputs &amp; Assumptions'!$A$40:$A$42,0))</f>
        <v>11559.7567501099</v>
      </c>
      <c r="L3630" s="51" t="n">
        <f aca="false">IFERROR(K3630/I3630,0)</f>
        <v>1.33287482129299</v>
      </c>
      <c r="M3630" s="49" t="n">
        <f aca="false">IFERROR(I3630/H3630,0)</f>
        <v>143.486842833802</v>
      </c>
      <c r="N3630" s="52" t="str">
        <f aca="false">'Model Inputs &amp; Assumptions'!$L$35</f>
        <v>PRD-EUAI</v>
      </c>
      <c r="P3630" s="53" t="n">
        <v>1.423799</v>
      </c>
      <c r="Q3630" s="53" t="n">
        <v>0.356245</v>
      </c>
      <c r="R3630" s="53" t="n">
        <v>0.654562</v>
      </c>
      <c r="S3630" s="53" t="n">
        <v>0.333383</v>
      </c>
    </row>
    <row r="3631" customFormat="false" ht="15" hidden="false" customHeight="false" outlineLevel="0" collapsed="false">
      <c r="A3631" s="43" t="n">
        <v>128</v>
      </c>
      <c r="B3631" s="44" t="str">
        <f aca="false">'Model Inputs &amp; Assumptions'!$B$35</f>
        <v>justETF — Sponsored Listing</v>
      </c>
      <c r="C3631" s="45" t="n">
        <f aca="false">ROUND(MAX(0,'Model Inputs &amp; Assumptions'!$S$35*EXP('Model Inputs &amp; Assumptions'!$T$35*P3631-'Model Inputs &amp; Assumptions'!$T$35^2/2)),0)</f>
        <v>98055</v>
      </c>
      <c r="D3631" s="46" t="n">
        <f aca="false">MIN(1,'Model Inputs &amp; Assumptions'!$U$35*EXP('Model Inputs &amp; Assumptions'!$V$35*Q3631-'Model Inputs &amp; Assumptions'!$V$35^2/2))</f>
        <v>0</v>
      </c>
      <c r="E3631" s="45" t="n">
        <f aca="false">ROUND(C3631*D3631,0)</f>
        <v>0</v>
      </c>
      <c r="F3631" s="47" t="n">
        <f aca="false">MIN(1,'Model Inputs &amp; Assumptions'!$W$35*EXP('Model Inputs &amp; Assumptions'!$X$35*R3631-'Model Inputs &amp; Assumptions'!$X$35^2/2))</f>
        <v>0.00598577682792124</v>
      </c>
      <c r="G3631" s="45" t="n">
        <f aca="false">ROUND(C3631*F3631,0)</f>
        <v>587</v>
      </c>
      <c r="H3631" s="48" t="n">
        <f aca="false">MAX(0,(C3631*'Model Inputs &amp; Assumptions'!$N$35+E3631*'Model Inputs &amp; Assumptions'!$O$35+G3631*'Model Inputs &amp; Assumptions'!$P$35)*EXP('Model Inputs &amp; Assumptions'!$Q$35*S3631-'Model Inputs &amp; Assumptions'!$Q$35^2/2))</f>
        <v>41.7833035401194</v>
      </c>
      <c r="I3631" s="49" t="n">
        <f aca="false">IF('Model Inputs &amp; Assumptions'!$H$35="Fixed",'Model Inputs &amp; Assumptions'!$I$35*'Model Inputs &amp; Assumptions'!$K$35,IF('Model Inputs &amp; Assumptions'!$H$35="CPM",'Model Inputs &amp; Assumptions'!$I$35*'Model Inputs &amp; Assumptions'!$K$35*C3631/1000,IF('Model Inputs &amp; Assumptions'!$H$35="CPC",'Model Inputs &amp; Assumptions'!$I$35*'Model Inputs &amp; Assumptions'!$K$35*G3631,0)))</f>
        <v>8672.8</v>
      </c>
      <c r="J3631" s="50" t="n">
        <f aca="false">H3631*INDEX('Model Inputs &amp; Assumptions'!$D$40:$D$42,MATCH('Model Inputs &amp; Assumptions'!$L$35,'Model Inputs &amp; Assumptions'!$A$40:$A$42,0))*INDEX('Model Inputs &amp; Assumptions'!$H$40:$H$42,MATCH('Model Inputs &amp; Assumptions'!$L$35,'Model Inputs &amp; Assumptions'!$A$40:$A$42,0))</f>
        <v>355158.080091015</v>
      </c>
      <c r="K3631" s="49" t="n">
        <f aca="false">H3631*INDEX('Model Inputs &amp; Assumptions'!$G$40:$G$42,MATCH('Model Inputs &amp; Assumptions'!$L$35,'Model Inputs &amp; Assumptions'!$A$40:$A$42,0))*INDEX('Model Inputs &amp; Assumptions'!$H$40:$H$42,MATCH('Model Inputs &amp; Assumptions'!$L$35,'Model Inputs &amp; Assumptions'!$A$40:$A$42,0))</f>
        <v>7991.05680204784</v>
      </c>
      <c r="L3631" s="51" t="n">
        <f aca="false">IFERROR(K3631/I3631,0)</f>
        <v>0.921392952915764</v>
      </c>
      <c r="M3631" s="49" t="n">
        <f aca="false">IFERROR(I3631/H3631,0)</f>
        <v>207.566163160665</v>
      </c>
      <c r="N3631" s="52" t="str">
        <f aca="false">'Model Inputs &amp; Assumptions'!$L$35</f>
        <v>PRD-EUAI</v>
      </c>
      <c r="P3631" s="53" t="n">
        <v>0.69106</v>
      </c>
      <c r="Q3631" s="53" t="n">
        <v>-0.030807</v>
      </c>
      <c r="R3631" s="53" t="n">
        <v>-0.463607</v>
      </c>
      <c r="S3631" s="53" t="n">
        <v>0.194354</v>
      </c>
    </row>
    <row r="3632" customFormat="false" ht="15" hidden="false" customHeight="false" outlineLevel="0" collapsed="false">
      <c r="A3632" s="43" t="n">
        <v>129</v>
      </c>
      <c r="B3632" s="44" t="str">
        <f aca="false">'Model Inputs &amp; Assumptions'!$B$35</f>
        <v>justETF — Sponsored Listing</v>
      </c>
      <c r="C3632" s="45" t="n">
        <f aca="false">ROUND(MAX(0,'Model Inputs &amp; Assumptions'!$S$35*EXP('Model Inputs &amp; Assumptions'!$T$35*P3632-'Model Inputs &amp; Assumptions'!$T$35^2/2)),0)</f>
        <v>80471</v>
      </c>
      <c r="D3632" s="46" t="n">
        <f aca="false">MIN(1,'Model Inputs &amp; Assumptions'!$U$35*EXP('Model Inputs &amp; Assumptions'!$V$35*Q3632-'Model Inputs &amp; Assumptions'!$V$35^2/2))</f>
        <v>0</v>
      </c>
      <c r="E3632" s="45" t="n">
        <f aca="false">ROUND(C3632*D3632,0)</f>
        <v>0</v>
      </c>
      <c r="F3632" s="47" t="n">
        <f aca="false">MIN(1,'Model Inputs &amp; Assumptions'!$W$35*EXP('Model Inputs &amp; Assumptions'!$X$35*R3632-'Model Inputs &amp; Assumptions'!$X$35^2/2))</f>
        <v>0.00523957572423265</v>
      </c>
      <c r="G3632" s="45" t="n">
        <f aca="false">ROUND(C3632*F3632,0)</f>
        <v>422</v>
      </c>
      <c r="H3632" s="48" t="n">
        <f aca="false">MAX(0,(C3632*'Model Inputs &amp; Assumptions'!$N$35+E3632*'Model Inputs &amp; Assumptions'!$O$35+G3632*'Model Inputs &amp; Assumptions'!$P$35)*EXP('Model Inputs &amp; Assumptions'!$Q$35*S3632-'Model Inputs &amp; Assumptions'!$Q$35^2/2))</f>
        <v>31.4837008033979</v>
      </c>
      <c r="I3632" s="49" t="n">
        <f aca="false">IF('Model Inputs &amp; Assumptions'!$H$35="Fixed",'Model Inputs &amp; Assumptions'!$I$35*'Model Inputs &amp; Assumptions'!$K$35,IF('Model Inputs &amp; Assumptions'!$H$35="CPM",'Model Inputs &amp; Assumptions'!$I$35*'Model Inputs &amp; Assumptions'!$K$35*C3632/1000,IF('Model Inputs &amp; Assumptions'!$H$35="CPC",'Model Inputs &amp; Assumptions'!$I$35*'Model Inputs &amp; Assumptions'!$K$35*G3632,0)))</f>
        <v>8672.8</v>
      </c>
      <c r="J3632" s="50" t="n">
        <f aca="false">H3632*INDEX('Model Inputs &amp; Assumptions'!$D$40:$D$42,MATCH('Model Inputs &amp; Assumptions'!$L$35,'Model Inputs &amp; Assumptions'!$A$40:$A$42,0))*INDEX('Model Inputs &amp; Assumptions'!$H$40:$H$42,MATCH('Model Inputs &amp; Assumptions'!$L$35,'Model Inputs &amp; Assumptions'!$A$40:$A$42,0))</f>
        <v>267611.456828883</v>
      </c>
      <c r="K3632" s="49" t="n">
        <f aca="false">H3632*INDEX('Model Inputs &amp; Assumptions'!$G$40:$G$42,MATCH('Model Inputs &amp; Assumptions'!$L$35,'Model Inputs &amp; Assumptions'!$A$40:$A$42,0))*INDEX('Model Inputs &amp; Assumptions'!$H$40:$H$42,MATCH('Model Inputs &amp; Assumptions'!$L$35,'Model Inputs &amp; Assumptions'!$A$40:$A$42,0))</f>
        <v>6021.25777864986</v>
      </c>
      <c r="L3632" s="51" t="n">
        <f aca="false">IFERROR(K3632/I3632,0)</f>
        <v>0.694269183960181</v>
      </c>
      <c r="M3632" s="49" t="n">
        <f aca="false">IFERROR(I3632/H3632,0)</f>
        <v>275.46952164734</v>
      </c>
      <c r="N3632" s="52" t="str">
        <f aca="false">'Model Inputs &amp; Assumptions'!$L$35</f>
        <v>PRD-EUAI</v>
      </c>
      <c r="P3632" s="53" t="n">
        <v>-0.626519</v>
      </c>
      <c r="Q3632" s="53" t="n">
        <v>0.52611</v>
      </c>
      <c r="R3632" s="53" t="n">
        <v>-1.129335</v>
      </c>
      <c r="S3632" s="53" t="n">
        <v>0.375095</v>
      </c>
    </row>
    <row r="3633" customFormat="false" ht="15" hidden="false" customHeight="false" outlineLevel="0" collapsed="false">
      <c r="A3633" s="43" t="n">
        <v>130</v>
      </c>
      <c r="B3633" s="44" t="str">
        <f aca="false">'Model Inputs &amp; Assumptions'!$B$35</f>
        <v>justETF — Sponsored Listing</v>
      </c>
      <c r="C3633" s="45" t="n">
        <f aca="false">ROUND(MAX(0,'Model Inputs &amp; Assumptions'!$S$35*EXP('Model Inputs &amp; Assumptions'!$T$35*P3633-'Model Inputs &amp; Assumptions'!$T$35^2/2)),0)</f>
        <v>78123</v>
      </c>
      <c r="D3633" s="46" t="n">
        <f aca="false">MIN(1,'Model Inputs &amp; Assumptions'!$U$35*EXP('Model Inputs &amp; Assumptions'!$V$35*Q3633-'Model Inputs &amp; Assumptions'!$V$35^2/2))</f>
        <v>0</v>
      </c>
      <c r="E3633" s="45" t="n">
        <f aca="false">ROUND(C3633*D3633,0)</f>
        <v>0</v>
      </c>
      <c r="F3633" s="47" t="n">
        <f aca="false">MIN(1,'Model Inputs &amp; Assumptions'!$W$35*EXP('Model Inputs &amp; Assumptions'!$X$35*R3633-'Model Inputs &amp; Assumptions'!$X$35^2/2))</f>
        <v>0.00629466422673468</v>
      </c>
      <c r="G3633" s="45" t="n">
        <f aca="false">ROUND(C3633*F3633,0)</f>
        <v>492</v>
      </c>
      <c r="H3633" s="48" t="n">
        <f aca="false">MAX(0,(C3633*'Model Inputs &amp; Assumptions'!$N$35+E3633*'Model Inputs &amp; Assumptions'!$O$35+G3633*'Model Inputs &amp; Assumptions'!$P$35)*EXP('Model Inputs &amp; Assumptions'!$Q$35*S3633-'Model Inputs &amp; Assumptions'!$Q$35^2/2))</f>
        <v>49.9864715370925</v>
      </c>
      <c r="I3633" s="49" t="n">
        <f aca="false">IF('Model Inputs &amp; Assumptions'!$H$35="Fixed",'Model Inputs &amp; Assumptions'!$I$35*'Model Inputs &amp; Assumptions'!$K$35,IF('Model Inputs &amp; Assumptions'!$H$35="CPM",'Model Inputs &amp; Assumptions'!$I$35*'Model Inputs &amp; Assumptions'!$K$35*C3633/1000,IF('Model Inputs &amp; Assumptions'!$H$35="CPC",'Model Inputs &amp; Assumptions'!$I$35*'Model Inputs &amp; Assumptions'!$K$35*G3633,0)))</f>
        <v>8672.8</v>
      </c>
      <c r="J3633" s="50" t="n">
        <f aca="false">H3633*INDEX('Model Inputs &amp; Assumptions'!$D$40:$D$42,MATCH('Model Inputs &amp; Assumptions'!$L$35,'Model Inputs &amp; Assumptions'!$A$40:$A$42,0))*INDEX('Model Inputs &amp; Assumptions'!$H$40:$H$42,MATCH('Model Inputs &amp; Assumptions'!$L$35,'Model Inputs &amp; Assumptions'!$A$40:$A$42,0))</f>
        <v>424885.008065286</v>
      </c>
      <c r="K3633" s="49" t="n">
        <f aca="false">H3633*INDEX('Model Inputs &amp; Assumptions'!$G$40:$G$42,MATCH('Model Inputs &amp; Assumptions'!$L$35,'Model Inputs &amp; Assumptions'!$A$40:$A$42,0))*INDEX('Model Inputs &amp; Assumptions'!$H$40:$H$42,MATCH('Model Inputs &amp; Assumptions'!$L$35,'Model Inputs &amp; Assumptions'!$A$40:$A$42,0))</f>
        <v>9559.91268146894</v>
      </c>
      <c r="L3633" s="51" t="n">
        <f aca="false">IFERROR(K3633/I3633,0)</f>
        <v>1.10228676799522</v>
      </c>
      <c r="M3633" s="49" t="n">
        <f aca="false">IFERROR(I3633/H3633,0)</f>
        <v>173.502944562997</v>
      </c>
      <c r="N3633" s="52" t="str">
        <f aca="false">'Model Inputs &amp; Assumptions'!$L$35</f>
        <v>PRD-EUAI</v>
      </c>
      <c r="P3633" s="53" t="n">
        <v>-0.823903</v>
      </c>
      <c r="Q3633" s="53" t="n">
        <v>2.027895</v>
      </c>
      <c r="R3633" s="53" t="n">
        <v>-0.212026</v>
      </c>
      <c r="S3633" s="53" t="n">
        <v>1.562822</v>
      </c>
    </row>
    <row r="3634" customFormat="false" ht="15" hidden="false" customHeight="false" outlineLevel="0" collapsed="false">
      <c r="A3634" s="43" t="n">
        <v>131</v>
      </c>
      <c r="B3634" s="44" t="str">
        <f aca="false">'Model Inputs &amp; Assumptions'!$B$35</f>
        <v>justETF — Sponsored Listing</v>
      </c>
      <c r="C3634" s="45" t="n">
        <f aca="false">ROUND(MAX(0,'Model Inputs &amp; Assumptions'!$S$35*EXP('Model Inputs &amp; Assumptions'!$T$35*P3634-'Model Inputs &amp; Assumptions'!$T$35^2/2)),0)</f>
        <v>96187</v>
      </c>
      <c r="D3634" s="46" t="n">
        <f aca="false">MIN(1,'Model Inputs &amp; Assumptions'!$U$35*EXP('Model Inputs &amp; Assumptions'!$V$35*Q3634-'Model Inputs &amp; Assumptions'!$V$35^2/2))</f>
        <v>0</v>
      </c>
      <c r="E3634" s="45" t="n">
        <f aca="false">ROUND(C3634*D3634,0)</f>
        <v>0</v>
      </c>
      <c r="F3634" s="47" t="n">
        <f aca="false">MIN(1,'Model Inputs &amp; Assumptions'!$W$35*EXP('Model Inputs &amp; Assumptions'!$X$35*R3634-'Model Inputs &amp; Assumptions'!$X$35^2/2))</f>
        <v>0.00895354843052792</v>
      </c>
      <c r="G3634" s="45" t="n">
        <f aca="false">ROUND(C3634*F3634,0)</f>
        <v>861</v>
      </c>
      <c r="H3634" s="48" t="n">
        <f aca="false">MAX(0,(C3634*'Model Inputs &amp; Assumptions'!$N$35+E3634*'Model Inputs &amp; Assumptions'!$O$35+G3634*'Model Inputs &amp; Assumptions'!$P$35)*EXP('Model Inputs &amp; Assumptions'!$Q$35*S3634-'Model Inputs &amp; Assumptions'!$Q$35^2/2))</f>
        <v>42.1475757301538</v>
      </c>
      <c r="I3634" s="49" t="n">
        <f aca="false">IF('Model Inputs &amp; Assumptions'!$H$35="Fixed",'Model Inputs &amp; Assumptions'!$I$35*'Model Inputs &amp; Assumptions'!$K$35,IF('Model Inputs &amp; Assumptions'!$H$35="CPM",'Model Inputs &amp; Assumptions'!$I$35*'Model Inputs &amp; Assumptions'!$K$35*C3634/1000,IF('Model Inputs &amp; Assumptions'!$H$35="CPC",'Model Inputs &amp; Assumptions'!$I$35*'Model Inputs &amp; Assumptions'!$K$35*G3634,0)))</f>
        <v>8672.8</v>
      </c>
      <c r="J3634" s="50" t="n">
        <f aca="false">H3634*INDEX('Model Inputs &amp; Assumptions'!$D$40:$D$42,MATCH('Model Inputs &amp; Assumptions'!$L$35,'Model Inputs &amp; Assumptions'!$A$40:$A$42,0))*INDEX('Model Inputs &amp; Assumptions'!$H$40:$H$42,MATCH('Model Inputs &amp; Assumptions'!$L$35,'Model Inputs &amp; Assumptions'!$A$40:$A$42,0))</f>
        <v>358254.393706307</v>
      </c>
      <c r="K3634" s="49" t="n">
        <f aca="false">H3634*INDEX('Model Inputs &amp; Assumptions'!$G$40:$G$42,MATCH('Model Inputs &amp; Assumptions'!$L$35,'Model Inputs &amp; Assumptions'!$A$40:$A$42,0))*INDEX('Model Inputs &amp; Assumptions'!$H$40:$H$42,MATCH('Model Inputs &amp; Assumptions'!$L$35,'Model Inputs &amp; Assumptions'!$A$40:$A$42,0))</f>
        <v>8060.72385839191</v>
      </c>
      <c r="L3634" s="51" t="n">
        <f aca="false">IFERROR(K3634/I3634,0)</f>
        <v>0.929425774650852</v>
      </c>
      <c r="M3634" s="49" t="n">
        <f aca="false">IFERROR(I3634/H3634,0)</f>
        <v>205.772214647098</v>
      </c>
      <c r="N3634" s="52" t="str">
        <f aca="false">'Model Inputs &amp; Assumptions'!$L$35</f>
        <v>PRD-EUAI</v>
      </c>
      <c r="P3634" s="53" t="n">
        <v>0.562835</v>
      </c>
      <c r="Q3634" s="53" t="n">
        <v>-0.165528</v>
      </c>
      <c r="R3634" s="53" t="n">
        <v>1.549712</v>
      </c>
      <c r="S3634" s="53" t="n">
        <v>-1.245605</v>
      </c>
    </row>
    <row r="3635" customFormat="false" ht="15" hidden="false" customHeight="false" outlineLevel="0" collapsed="false">
      <c r="A3635" s="43" t="n">
        <v>132</v>
      </c>
      <c r="B3635" s="44" t="str">
        <f aca="false">'Model Inputs &amp; Assumptions'!$B$35</f>
        <v>justETF — Sponsored Listing</v>
      </c>
      <c r="C3635" s="45" t="n">
        <f aca="false">ROUND(MAX(0,'Model Inputs &amp; Assumptions'!$S$35*EXP('Model Inputs &amp; Assumptions'!$T$35*P3635-'Model Inputs &amp; Assumptions'!$T$35^2/2)),0)</f>
        <v>107454</v>
      </c>
      <c r="D3635" s="46" t="n">
        <f aca="false">MIN(1,'Model Inputs &amp; Assumptions'!$U$35*EXP('Model Inputs &amp; Assumptions'!$V$35*Q3635-'Model Inputs &amp; Assumptions'!$V$35^2/2))</f>
        <v>0</v>
      </c>
      <c r="E3635" s="45" t="n">
        <f aca="false">ROUND(C3635*D3635,0)</f>
        <v>0</v>
      </c>
      <c r="F3635" s="47" t="n">
        <f aca="false">MIN(1,'Model Inputs &amp; Assumptions'!$W$35*EXP('Model Inputs &amp; Assumptions'!$X$35*R3635-'Model Inputs &amp; Assumptions'!$X$35^2/2))</f>
        <v>0.00933953930798073</v>
      </c>
      <c r="G3635" s="45" t="n">
        <f aca="false">ROUND(C3635*F3635,0)</f>
        <v>1004</v>
      </c>
      <c r="H3635" s="48" t="n">
        <f aca="false">MAX(0,(C3635*'Model Inputs &amp; Assumptions'!$N$35+E3635*'Model Inputs &amp; Assumptions'!$O$35+G3635*'Model Inputs &amp; Assumptions'!$P$35)*EXP('Model Inputs &amp; Assumptions'!$Q$35*S3635-'Model Inputs &amp; Assumptions'!$Q$35^2/2))</f>
        <v>69.5176935288514</v>
      </c>
      <c r="I3635" s="49" t="n">
        <f aca="false">IF('Model Inputs &amp; Assumptions'!$H$35="Fixed",'Model Inputs &amp; Assumptions'!$I$35*'Model Inputs &amp; Assumptions'!$K$35,IF('Model Inputs &amp; Assumptions'!$H$35="CPM",'Model Inputs &amp; Assumptions'!$I$35*'Model Inputs &amp; Assumptions'!$K$35*C3635/1000,IF('Model Inputs &amp; Assumptions'!$H$35="CPC",'Model Inputs &amp; Assumptions'!$I$35*'Model Inputs &amp; Assumptions'!$K$35*G3635,0)))</f>
        <v>8672.8</v>
      </c>
      <c r="J3635" s="50" t="n">
        <f aca="false">H3635*INDEX('Model Inputs &amp; Assumptions'!$D$40:$D$42,MATCH('Model Inputs &amp; Assumptions'!$L$35,'Model Inputs &amp; Assumptions'!$A$40:$A$42,0))*INDEX('Model Inputs &amp; Assumptions'!$H$40:$H$42,MATCH('Model Inputs &amp; Assumptions'!$L$35,'Model Inputs &amp; Assumptions'!$A$40:$A$42,0))</f>
        <v>590900.394995237</v>
      </c>
      <c r="K3635" s="49" t="n">
        <f aca="false">H3635*INDEX('Model Inputs &amp; Assumptions'!$G$40:$G$42,MATCH('Model Inputs &amp; Assumptions'!$L$35,'Model Inputs &amp; Assumptions'!$A$40:$A$42,0))*INDEX('Model Inputs &amp; Assumptions'!$H$40:$H$42,MATCH('Model Inputs &amp; Assumptions'!$L$35,'Model Inputs &amp; Assumptions'!$A$40:$A$42,0))</f>
        <v>13295.2588873928</v>
      </c>
      <c r="L3635" s="51" t="n">
        <f aca="false">IFERROR(K3635/I3635,0)</f>
        <v>1.53298345256351</v>
      </c>
      <c r="M3635" s="49" t="n">
        <f aca="false">IFERROR(I3635/H3635,0)</f>
        <v>124.756728247904</v>
      </c>
      <c r="N3635" s="52" t="str">
        <f aca="false">'Model Inputs &amp; Assumptions'!$L$35</f>
        <v>PRD-EUAI</v>
      </c>
      <c r="P3635" s="53" t="n">
        <v>1.301309</v>
      </c>
      <c r="Q3635" s="53" t="n">
        <v>0.260121</v>
      </c>
      <c r="R3635" s="53" t="n">
        <v>1.760747</v>
      </c>
      <c r="S3635" s="53" t="n">
        <v>0.088054</v>
      </c>
    </row>
    <row r="3636" customFormat="false" ht="15" hidden="false" customHeight="false" outlineLevel="0" collapsed="false">
      <c r="A3636" s="43" t="n">
        <v>133</v>
      </c>
      <c r="B3636" s="44" t="str">
        <f aca="false">'Model Inputs &amp; Assumptions'!$B$35</f>
        <v>justETF — Sponsored Listing</v>
      </c>
      <c r="C3636" s="45" t="n">
        <f aca="false">ROUND(MAX(0,'Model Inputs &amp; Assumptions'!$S$35*EXP('Model Inputs &amp; Assumptions'!$T$35*P3636-'Model Inputs &amp; Assumptions'!$T$35^2/2)),0)</f>
        <v>90795</v>
      </c>
      <c r="D3636" s="46" t="n">
        <f aca="false">MIN(1,'Model Inputs &amp; Assumptions'!$U$35*EXP('Model Inputs &amp; Assumptions'!$V$35*Q3636-'Model Inputs &amp; Assumptions'!$V$35^2/2))</f>
        <v>0</v>
      </c>
      <c r="E3636" s="45" t="n">
        <f aca="false">ROUND(C3636*D3636,0)</f>
        <v>0</v>
      </c>
      <c r="F3636" s="47" t="n">
        <f aca="false">MIN(1,'Model Inputs &amp; Assumptions'!$W$35*EXP('Model Inputs &amp; Assumptions'!$X$35*R3636-'Model Inputs &amp; Assumptions'!$X$35^2/2))</f>
        <v>0.0084201338634255</v>
      </c>
      <c r="G3636" s="45" t="n">
        <f aca="false">ROUND(C3636*F3636,0)</f>
        <v>765</v>
      </c>
      <c r="H3636" s="48" t="n">
        <f aca="false">MAX(0,(C3636*'Model Inputs &amp; Assumptions'!$N$35+E3636*'Model Inputs &amp; Assumptions'!$O$35+G3636*'Model Inputs &amp; Assumptions'!$P$35)*EXP('Model Inputs &amp; Assumptions'!$Q$35*S3636-'Model Inputs &amp; Assumptions'!$Q$35^2/2))</f>
        <v>116.203201641811</v>
      </c>
      <c r="I3636" s="49" t="n">
        <f aca="false">IF('Model Inputs &amp; Assumptions'!$H$35="Fixed",'Model Inputs &amp; Assumptions'!$I$35*'Model Inputs &amp; Assumptions'!$K$35,IF('Model Inputs &amp; Assumptions'!$H$35="CPM",'Model Inputs &amp; Assumptions'!$I$35*'Model Inputs &amp; Assumptions'!$K$35*C3636/1000,IF('Model Inputs &amp; Assumptions'!$H$35="CPC",'Model Inputs &amp; Assumptions'!$I$35*'Model Inputs &amp; Assumptions'!$K$35*G3636,0)))</f>
        <v>8672.8</v>
      </c>
      <c r="J3636" s="50" t="n">
        <f aca="false">H3636*INDEX('Model Inputs &amp; Assumptions'!$D$40:$D$42,MATCH('Model Inputs &amp; Assumptions'!$L$35,'Model Inputs &amp; Assumptions'!$A$40:$A$42,0))*INDEX('Model Inputs &amp; Assumptions'!$H$40:$H$42,MATCH('Model Inputs &amp; Assumptions'!$L$35,'Model Inputs &amp; Assumptions'!$A$40:$A$42,0))</f>
        <v>987727.213955397</v>
      </c>
      <c r="K3636" s="49" t="n">
        <f aca="false">H3636*INDEX('Model Inputs &amp; Assumptions'!$G$40:$G$42,MATCH('Model Inputs &amp; Assumptions'!$L$35,'Model Inputs &amp; Assumptions'!$A$40:$A$42,0))*INDEX('Model Inputs &amp; Assumptions'!$H$40:$H$42,MATCH('Model Inputs &amp; Assumptions'!$L$35,'Model Inputs &amp; Assumptions'!$A$40:$A$42,0))</f>
        <v>22223.8623139964</v>
      </c>
      <c r="L3636" s="51" t="n">
        <f aca="false">IFERROR(K3636/I3636,0)</f>
        <v>2.56247835923767</v>
      </c>
      <c r="M3636" s="49" t="n">
        <f aca="false">IFERROR(I3636/H3636,0)</f>
        <v>74.6347766452539</v>
      </c>
      <c r="N3636" s="52" t="str">
        <f aca="false">'Model Inputs &amp; Assumptions'!$L$35</f>
        <v>PRD-EUAI</v>
      </c>
      <c r="P3636" s="53" t="n">
        <v>0.17823</v>
      </c>
      <c r="Q3636" s="53" t="n">
        <v>0.717403</v>
      </c>
      <c r="R3636" s="53" t="n">
        <v>1.242591</v>
      </c>
      <c r="S3636" s="53" t="n">
        <v>3.10971</v>
      </c>
    </row>
    <row r="3637" customFormat="false" ht="15" hidden="false" customHeight="false" outlineLevel="0" collapsed="false">
      <c r="A3637" s="43" t="n">
        <v>134</v>
      </c>
      <c r="B3637" s="44" t="str">
        <f aca="false">'Model Inputs &amp; Assumptions'!$B$35</f>
        <v>justETF — Sponsored Listing</v>
      </c>
      <c r="C3637" s="45" t="n">
        <f aca="false">ROUND(MAX(0,'Model Inputs &amp; Assumptions'!$S$35*EXP('Model Inputs &amp; Assumptions'!$T$35*P3637-'Model Inputs &amp; Assumptions'!$T$35^2/2)),0)</f>
        <v>96079</v>
      </c>
      <c r="D3637" s="46" t="n">
        <f aca="false">MIN(1,'Model Inputs &amp; Assumptions'!$U$35*EXP('Model Inputs &amp; Assumptions'!$V$35*Q3637-'Model Inputs &amp; Assumptions'!$V$35^2/2))</f>
        <v>0</v>
      </c>
      <c r="E3637" s="45" t="n">
        <f aca="false">ROUND(C3637*D3637,0)</f>
        <v>0</v>
      </c>
      <c r="F3637" s="47" t="n">
        <f aca="false">MIN(1,'Model Inputs &amp; Assumptions'!$W$35*EXP('Model Inputs &amp; Assumptions'!$X$35*R3637-'Model Inputs &amp; Assumptions'!$X$35^2/2))</f>
        <v>0.00522410204882139</v>
      </c>
      <c r="G3637" s="45" t="n">
        <f aca="false">ROUND(C3637*F3637,0)</f>
        <v>502</v>
      </c>
      <c r="H3637" s="48" t="n">
        <f aca="false">MAX(0,(C3637*'Model Inputs &amp; Assumptions'!$N$35+E3637*'Model Inputs &amp; Assumptions'!$O$35+G3637*'Model Inputs &amp; Assumptions'!$P$35)*EXP('Model Inputs &amp; Assumptions'!$Q$35*S3637-'Model Inputs &amp; Assumptions'!$Q$35^2/2))</f>
        <v>52.5578497398866</v>
      </c>
      <c r="I3637" s="49" t="n">
        <f aca="false">IF('Model Inputs &amp; Assumptions'!$H$35="Fixed",'Model Inputs &amp; Assumptions'!$I$35*'Model Inputs &amp; Assumptions'!$K$35,IF('Model Inputs &amp; Assumptions'!$H$35="CPM",'Model Inputs &amp; Assumptions'!$I$35*'Model Inputs &amp; Assumptions'!$K$35*C3637/1000,IF('Model Inputs &amp; Assumptions'!$H$35="CPC",'Model Inputs &amp; Assumptions'!$I$35*'Model Inputs &amp; Assumptions'!$K$35*G3637,0)))</f>
        <v>8672.8</v>
      </c>
      <c r="J3637" s="50" t="n">
        <f aca="false">H3637*INDEX('Model Inputs &amp; Assumptions'!$D$40:$D$42,MATCH('Model Inputs &amp; Assumptions'!$L$35,'Model Inputs &amp; Assumptions'!$A$40:$A$42,0))*INDEX('Model Inputs &amp; Assumptions'!$H$40:$H$42,MATCH('Model Inputs &amp; Assumptions'!$L$35,'Model Inputs &amp; Assumptions'!$A$40:$A$42,0))</f>
        <v>446741.722789036</v>
      </c>
      <c r="K3637" s="49" t="n">
        <f aca="false">H3637*INDEX('Model Inputs &amp; Assumptions'!$G$40:$G$42,MATCH('Model Inputs &amp; Assumptions'!$L$35,'Model Inputs &amp; Assumptions'!$A$40:$A$42,0))*INDEX('Model Inputs &amp; Assumptions'!$H$40:$H$42,MATCH('Model Inputs &amp; Assumptions'!$L$35,'Model Inputs &amp; Assumptions'!$A$40:$A$42,0))</f>
        <v>10051.6887627533</v>
      </c>
      <c r="L3637" s="51" t="n">
        <f aca="false">IFERROR(K3637/I3637,0)</f>
        <v>1.15899003352474</v>
      </c>
      <c r="M3637" s="49" t="n">
        <f aca="false">IFERROR(I3637/H3637,0)</f>
        <v>165.01436118339</v>
      </c>
      <c r="N3637" s="52" t="str">
        <f aca="false">'Model Inputs &amp; Assumptions'!$L$35</f>
        <v>PRD-EUAI</v>
      </c>
      <c r="P3637" s="53" t="n">
        <v>0.555335</v>
      </c>
      <c r="Q3637" s="53" t="n">
        <v>-0.964928</v>
      </c>
      <c r="R3637" s="53" t="n">
        <v>-1.144123</v>
      </c>
      <c r="S3637" s="53" t="n">
        <v>1.678363</v>
      </c>
    </row>
    <row r="3638" customFormat="false" ht="15" hidden="false" customHeight="false" outlineLevel="0" collapsed="false">
      <c r="A3638" s="43" t="n">
        <v>135</v>
      </c>
      <c r="B3638" s="44" t="str">
        <f aca="false">'Model Inputs &amp; Assumptions'!$B$35</f>
        <v>justETF — Sponsored Listing</v>
      </c>
      <c r="C3638" s="45" t="n">
        <f aca="false">ROUND(MAX(0,'Model Inputs &amp; Assumptions'!$S$35*EXP('Model Inputs &amp; Assumptions'!$T$35*P3638-'Model Inputs &amp; Assumptions'!$T$35^2/2)),0)</f>
        <v>76033</v>
      </c>
      <c r="D3638" s="46" t="n">
        <f aca="false">MIN(1,'Model Inputs &amp; Assumptions'!$U$35*EXP('Model Inputs &amp; Assumptions'!$V$35*Q3638-'Model Inputs &amp; Assumptions'!$V$35^2/2))</f>
        <v>0</v>
      </c>
      <c r="E3638" s="45" t="n">
        <f aca="false">ROUND(C3638*D3638,0)</f>
        <v>0</v>
      </c>
      <c r="F3638" s="47" t="n">
        <f aca="false">MIN(1,'Model Inputs &amp; Assumptions'!$W$35*EXP('Model Inputs &amp; Assumptions'!$X$35*R3638-'Model Inputs &amp; Assumptions'!$X$35^2/2))</f>
        <v>0.00580245280979667</v>
      </c>
      <c r="G3638" s="45" t="n">
        <f aca="false">ROUND(C3638*F3638,0)</f>
        <v>441</v>
      </c>
      <c r="H3638" s="48" t="n">
        <f aca="false">MAX(0,(C3638*'Model Inputs &amp; Assumptions'!$N$35+E3638*'Model Inputs &amp; Assumptions'!$O$35+G3638*'Model Inputs &amp; Assumptions'!$P$35)*EXP('Model Inputs &amp; Assumptions'!$Q$35*S3638-'Model Inputs &amp; Assumptions'!$Q$35^2/2))</f>
        <v>19.0081173811079</v>
      </c>
      <c r="I3638" s="49" t="n">
        <f aca="false">IF('Model Inputs &amp; Assumptions'!$H$35="Fixed",'Model Inputs &amp; Assumptions'!$I$35*'Model Inputs &amp; Assumptions'!$K$35,IF('Model Inputs &amp; Assumptions'!$H$35="CPM",'Model Inputs &amp; Assumptions'!$I$35*'Model Inputs &amp; Assumptions'!$K$35*C3638/1000,IF('Model Inputs &amp; Assumptions'!$H$35="CPC",'Model Inputs &amp; Assumptions'!$I$35*'Model Inputs &amp; Assumptions'!$K$35*G3638,0)))</f>
        <v>8672.8</v>
      </c>
      <c r="J3638" s="50" t="n">
        <f aca="false">H3638*INDEX('Model Inputs &amp; Assumptions'!$D$40:$D$42,MATCH('Model Inputs &amp; Assumptions'!$L$35,'Model Inputs &amp; Assumptions'!$A$40:$A$42,0))*INDEX('Model Inputs &amp; Assumptions'!$H$40:$H$42,MATCH('Model Inputs &amp; Assumptions'!$L$35,'Model Inputs &amp; Assumptions'!$A$40:$A$42,0))</f>
        <v>161568.997739418</v>
      </c>
      <c r="K3638" s="49" t="n">
        <f aca="false">H3638*INDEX('Model Inputs &amp; Assumptions'!$G$40:$G$42,MATCH('Model Inputs &amp; Assumptions'!$L$35,'Model Inputs &amp; Assumptions'!$A$40:$A$42,0))*INDEX('Model Inputs &amp; Assumptions'!$H$40:$H$42,MATCH('Model Inputs &amp; Assumptions'!$L$35,'Model Inputs &amp; Assumptions'!$A$40:$A$42,0))</f>
        <v>3635.30244913689</v>
      </c>
      <c r="L3638" s="51" t="n">
        <f aca="false">IFERROR(K3638/I3638,0)</f>
        <v>0.419161337646077</v>
      </c>
      <c r="M3638" s="49" t="n">
        <f aca="false">IFERROR(I3638/H3638,0)</f>
        <v>456.26822615373</v>
      </c>
      <c r="N3638" s="52" t="str">
        <f aca="false">'Model Inputs &amp; Assumptions'!$L$35</f>
        <v>PRD-EUAI</v>
      </c>
      <c r="P3638" s="53" t="n">
        <v>-1.004705</v>
      </c>
      <c r="Q3638" s="53" t="n">
        <v>0.342882</v>
      </c>
      <c r="R3638" s="53" t="n">
        <v>-0.619134</v>
      </c>
      <c r="S3638" s="53" t="n">
        <v>-1.735072</v>
      </c>
    </row>
    <row r="3639" customFormat="false" ht="15" hidden="false" customHeight="false" outlineLevel="0" collapsed="false">
      <c r="A3639" s="43" t="n">
        <v>136</v>
      </c>
      <c r="B3639" s="44" t="str">
        <f aca="false">'Model Inputs &amp; Assumptions'!$B$35</f>
        <v>justETF — Sponsored Listing</v>
      </c>
      <c r="C3639" s="45" t="n">
        <f aca="false">ROUND(MAX(0,'Model Inputs &amp; Assumptions'!$S$35*EXP('Model Inputs &amp; Assumptions'!$T$35*P3639-'Model Inputs &amp; Assumptions'!$T$35^2/2)),0)</f>
        <v>101280</v>
      </c>
      <c r="D3639" s="46" t="n">
        <f aca="false">MIN(1,'Model Inputs &amp; Assumptions'!$U$35*EXP('Model Inputs &amp; Assumptions'!$V$35*Q3639-'Model Inputs &amp; Assumptions'!$V$35^2/2))</f>
        <v>0</v>
      </c>
      <c r="E3639" s="45" t="n">
        <f aca="false">ROUND(C3639*D3639,0)</f>
        <v>0</v>
      </c>
      <c r="F3639" s="47" t="n">
        <f aca="false">MIN(1,'Model Inputs &amp; Assumptions'!$W$35*EXP('Model Inputs &amp; Assumptions'!$X$35*R3639-'Model Inputs &amp; Assumptions'!$X$35^2/2))</f>
        <v>0.0070094982796619</v>
      </c>
      <c r="G3639" s="45" t="n">
        <f aca="false">ROUND(C3639*F3639,0)</f>
        <v>710</v>
      </c>
      <c r="H3639" s="48" t="n">
        <f aca="false">MAX(0,(C3639*'Model Inputs &amp; Assumptions'!$N$35+E3639*'Model Inputs &amp; Assumptions'!$O$35+G3639*'Model Inputs &amp; Assumptions'!$P$35)*EXP('Model Inputs &amp; Assumptions'!$Q$35*S3639-'Model Inputs &amp; Assumptions'!$Q$35^2/2))</f>
        <v>33.7844843130217</v>
      </c>
      <c r="I3639" s="49" t="n">
        <f aca="false">IF('Model Inputs &amp; Assumptions'!$H$35="Fixed",'Model Inputs &amp; Assumptions'!$I$35*'Model Inputs &amp; Assumptions'!$K$35,IF('Model Inputs &amp; Assumptions'!$H$35="CPM",'Model Inputs &amp; Assumptions'!$I$35*'Model Inputs &amp; Assumptions'!$K$35*C3639/1000,IF('Model Inputs &amp; Assumptions'!$H$35="CPC",'Model Inputs &amp; Assumptions'!$I$35*'Model Inputs &amp; Assumptions'!$K$35*G3639,0)))</f>
        <v>8672.8</v>
      </c>
      <c r="J3639" s="50" t="n">
        <f aca="false">H3639*INDEX('Model Inputs &amp; Assumptions'!$D$40:$D$42,MATCH('Model Inputs &amp; Assumptions'!$L$35,'Model Inputs &amp; Assumptions'!$A$40:$A$42,0))*INDEX('Model Inputs &amp; Assumptions'!$H$40:$H$42,MATCH('Model Inputs &amp; Assumptions'!$L$35,'Model Inputs &amp; Assumptions'!$A$40:$A$42,0))</f>
        <v>287168.116660684</v>
      </c>
      <c r="K3639" s="49" t="n">
        <f aca="false">H3639*INDEX('Model Inputs &amp; Assumptions'!$G$40:$G$42,MATCH('Model Inputs &amp; Assumptions'!$L$35,'Model Inputs &amp; Assumptions'!$A$40:$A$42,0))*INDEX('Model Inputs &amp; Assumptions'!$H$40:$H$42,MATCH('Model Inputs &amp; Assumptions'!$L$35,'Model Inputs &amp; Assumptions'!$A$40:$A$42,0))</f>
        <v>6461.2826248654</v>
      </c>
      <c r="L3639" s="51" t="n">
        <f aca="false">IFERROR(K3639/I3639,0)</f>
        <v>0.745005375987616</v>
      </c>
      <c r="M3639" s="49" t="n">
        <f aca="false">IFERROR(I3639/H3639,0)</f>
        <v>256.709556956511</v>
      </c>
      <c r="N3639" s="52" t="str">
        <f aca="false">'Model Inputs &amp; Assumptions'!$L$35</f>
        <v>PRD-EUAI</v>
      </c>
      <c r="P3639" s="53" t="n">
        <v>0.906786</v>
      </c>
      <c r="Q3639" s="53" t="n">
        <v>-0.759647</v>
      </c>
      <c r="R3639" s="53" t="n">
        <v>0.325793</v>
      </c>
      <c r="S3639" s="53" t="n">
        <v>-1.354628</v>
      </c>
    </row>
    <row r="3640" customFormat="false" ht="15" hidden="false" customHeight="false" outlineLevel="0" collapsed="false">
      <c r="A3640" s="43" t="n">
        <v>137</v>
      </c>
      <c r="B3640" s="44" t="str">
        <f aca="false">'Model Inputs &amp; Assumptions'!$B$35</f>
        <v>justETF — Sponsored Listing</v>
      </c>
      <c r="C3640" s="45" t="n">
        <f aca="false">ROUND(MAX(0,'Model Inputs &amp; Assumptions'!$S$35*EXP('Model Inputs &amp; Assumptions'!$T$35*P3640-'Model Inputs &amp; Assumptions'!$T$35^2/2)),0)</f>
        <v>79312</v>
      </c>
      <c r="D3640" s="46" t="n">
        <f aca="false">MIN(1,'Model Inputs &amp; Assumptions'!$U$35*EXP('Model Inputs &amp; Assumptions'!$V$35*Q3640-'Model Inputs &amp; Assumptions'!$V$35^2/2))</f>
        <v>0</v>
      </c>
      <c r="E3640" s="45" t="n">
        <f aca="false">ROUND(C3640*D3640,0)</f>
        <v>0</v>
      </c>
      <c r="F3640" s="47" t="n">
        <f aca="false">MIN(1,'Model Inputs &amp; Assumptions'!$W$35*EXP('Model Inputs &amp; Assumptions'!$X$35*R3640-'Model Inputs &amp; Assumptions'!$X$35^2/2))</f>
        <v>0.00467824166346492</v>
      </c>
      <c r="G3640" s="45" t="n">
        <f aca="false">ROUND(C3640*F3640,0)</f>
        <v>371</v>
      </c>
      <c r="H3640" s="48" t="n">
        <f aca="false">MAX(0,(C3640*'Model Inputs &amp; Assumptions'!$N$35+E3640*'Model Inputs &amp; Assumptions'!$O$35+G3640*'Model Inputs &amp; Assumptions'!$P$35)*EXP('Model Inputs &amp; Assumptions'!$Q$35*S3640-'Model Inputs &amp; Assumptions'!$Q$35^2/2))</f>
        <v>29.859102826888</v>
      </c>
      <c r="I3640" s="49" t="n">
        <f aca="false">IF('Model Inputs &amp; Assumptions'!$H$35="Fixed",'Model Inputs &amp; Assumptions'!$I$35*'Model Inputs &amp; Assumptions'!$K$35,IF('Model Inputs &amp; Assumptions'!$H$35="CPM",'Model Inputs &amp; Assumptions'!$I$35*'Model Inputs &amp; Assumptions'!$K$35*C3640/1000,IF('Model Inputs &amp; Assumptions'!$H$35="CPC",'Model Inputs &amp; Assumptions'!$I$35*'Model Inputs &amp; Assumptions'!$K$35*G3640,0)))</f>
        <v>8672.8</v>
      </c>
      <c r="J3640" s="50" t="n">
        <f aca="false">H3640*INDEX('Model Inputs &amp; Assumptions'!$D$40:$D$42,MATCH('Model Inputs &amp; Assumptions'!$L$35,'Model Inputs &amp; Assumptions'!$A$40:$A$42,0))*INDEX('Model Inputs &amp; Assumptions'!$H$40:$H$42,MATCH('Model Inputs &amp; Assumptions'!$L$35,'Model Inputs &amp; Assumptions'!$A$40:$A$42,0))</f>
        <v>253802.374028548</v>
      </c>
      <c r="K3640" s="49" t="n">
        <f aca="false">H3640*INDEX('Model Inputs &amp; Assumptions'!$G$40:$G$42,MATCH('Model Inputs &amp; Assumptions'!$L$35,'Model Inputs &amp; Assumptions'!$A$40:$A$42,0))*INDEX('Model Inputs &amp; Assumptions'!$H$40:$H$42,MATCH('Model Inputs &amp; Assumptions'!$L$35,'Model Inputs &amp; Assumptions'!$A$40:$A$42,0))</f>
        <v>5710.55341564233</v>
      </c>
      <c r="L3640" s="51" t="n">
        <f aca="false">IFERROR(K3640/I3640,0)</f>
        <v>0.658444033719482</v>
      </c>
      <c r="M3640" s="49" t="n">
        <f aca="false">IFERROR(I3640/H3640,0)</f>
        <v>290.457487965452</v>
      </c>
      <c r="N3640" s="52" t="str">
        <f aca="false">'Model Inputs &amp; Assumptions'!$L$35</f>
        <v>PRD-EUAI</v>
      </c>
      <c r="P3640" s="53" t="n">
        <v>-0.723167</v>
      </c>
      <c r="Q3640" s="53" t="n">
        <v>0.963778</v>
      </c>
      <c r="R3640" s="53" t="n">
        <v>-1.695926</v>
      </c>
      <c r="S3640" s="53" t="n">
        <v>0.666722</v>
      </c>
    </row>
    <row r="3641" customFormat="false" ht="15" hidden="false" customHeight="false" outlineLevel="0" collapsed="false">
      <c r="A3641" s="43" t="n">
        <v>138</v>
      </c>
      <c r="B3641" s="44" t="str">
        <f aca="false">'Model Inputs &amp; Assumptions'!$B$35</f>
        <v>justETF — Sponsored Listing</v>
      </c>
      <c r="C3641" s="45" t="n">
        <f aca="false">ROUND(MAX(0,'Model Inputs &amp; Assumptions'!$S$35*EXP('Model Inputs &amp; Assumptions'!$T$35*P3641-'Model Inputs &amp; Assumptions'!$T$35^2/2)),0)</f>
        <v>94421</v>
      </c>
      <c r="D3641" s="46" t="n">
        <f aca="false">MIN(1,'Model Inputs &amp; Assumptions'!$U$35*EXP('Model Inputs &amp; Assumptions'!$V$35*Q3641-'Model Inputs &amp; Assumptions'!$V$35^2/2))</f>
        <v>0</v>
      </c>
      <c r="E3641" s="45" t="n">
        <f aca="false">ROUND(C3641*D3641,0)</f>
        <v>0</v>
      </c>
      <c r="F3641" s="47" t="n">
        <f aca="false">MIN(1,'Model Inputs &amp; Assumptions'!$W$35*EXP('Model Inputs &amp; Assumptions'!$X$35*R3641-'Model Inputs &amp; Assumptions'!$X$35^2/2))</f>
        <v>0.00760520686402789</v>
      </c>
      <c r="G3641" s="45" t="n">
        <f aca="false">ROUND(C3641*F3641,0)</f>
        <v>718</v>
      </c>
      <c r="H3641" s="48" t="n">
        <f aca="false">MAX(0,(C3641*'Model Inputs &amp; Assumptions'!$N$35+E3641*'Model Inputs &amp; Assumptions'!$O$35+G3641*'Model Inputs &amp; Assumptions'!$P$35)*EXP('Model Inputs &amp; Assumptions'!$Q$35*S3641-'Model Inputs &amp; Assumptions'!$Q$35^2/2))</f>
        <v>34.9956403434566</v>
      </c>
      <c r="I3641" s="49" t="n">
        <f aca="false">IF('Model Inputs &amp; Assumptions'!$H$35="Fixed",'Model Inputs &amp; Assumptions'!$I$35*'Model Inputs &amp; Assumptions'!$K$35,IF('Model Inputs &amp; Assumptions'!$H$35="CPM",'Model Inputs &amp; Assumptions'!$I$35*'Model Inputs &amp; Assumptions'!$K$35*C3641/1000,IF('Model Inputs &amp; Assumptions'!$H$35="CPC",'Model Inputs &amp; Assumptions'!$I$35*'Model Inputs &amp; Assumptions'!$K$35*G3641,0)))</f>
        <v>8672.8</v>
      </c>
      <c r="J3641" s="50" t="n">
        <f aca="false">H3641*INDEX('Model Inputs &amp; Assumptions'!$D$40:$D$42,MATCH('Model Inputs &amp; Assumptions'!$L$35,'Model Inputs &amp; Assumptions'!$A$40:$A$42,0))*INDEX('Model Inputs &amp; Assumptions'!$H$40:$H$42,MATCH('Model Inputs &amp; Assumptions'!$L$35,'Model Inputs &amp; Assumptions'!$A$40:$A$42,0))</f>
        <v>297462.942919381</v>
      </c>
      <c r="K3641" s="49" t="n">
        <f aca="false">H3641*INDEX('Model Inputs &amp; Assumptions'!$G$40:$G$42,MATCH('Model Inputs &amp; Assumptions'!$L$35,'Model Inputs &amp; Assumptions'!$A$40:$A$42,0))*INDEX('Model Inputs &amp; Assumptions'!$H$40:$H$42,MATCH('Model Inputs &amp; Assumptions'!$L$35,'Model Inputs &amp; Assumptions'!$A$40:$A$42,0))</f>
        <v>6692.91621568608</v>
      </c>
      <c r="L3641" s="51" t="n">
        <f aca="false">IFERROR(K3641/I3641,0)</f>
        <v>0.771713427691873</v>
      </c>
      <c r="M3641" s="49" t="n">
        <f aca="false">IFERROR(I3641/H3641,0)</f>
        <v>247.825155215987</v>
      </c>
      <c r="N3641" s="52" t="str">
        <f aca="false">'Model Inputs &amp; Assumptions'!$L$35</f>
        <v>PRD-EUAI</v>
      </c>
      <c r="P3641" s="53" t="n">
        <v>0.43931</v>
      </c>
      <c r="Q3641" s="53" t="n">
        <v>0.094094</v>
      </c>
      <c r="R3641" s="53" t="n">
        <v>0.733628</v>
      </c>
      <c r="S3641" s="53" t="n">
        <v>-1.262254</v>
      </c>
    </row>
    <row r="3642" customFormat="false" ht="15" hidden="false" customHeight="false" outlineLevel="0" collapsed="false">
      <c r="A3642" s="43" t="n">
        <v>139</v>
      </c>
      <c r="B3642" s="44" t="str">
        <f aca="false">'Model Inputs &amp; Assumptions'!$B$35</f>
        <v>justETF — Sponsored Listing</v>
      </c>
      <c r="C3642" s="45" t="n">
        <f aca="false">ROUND(MAX(0,'Model Inputs &amp; Assumptions'!$S$35*EXP('Model Inputs &amp; Assumptions'!$T$35*P3642-'Model Inputs &amp; Assumptions'!$T$35^2/2)),0)</f>
        <v>89359</v>
      </c>
      <c r="D3642" s="46" t="n">
        <f aca="false">MIN(1,'Model Inputs &amp; Assumptions'!$U$35*EXP('Model Inputs &amp; Assumptions'!$V$35*Q3642-'Model Inputs &amp; Assumptions'!$V$35^2/2))</f>
        <v>0</v>
      </c>
      <c r="E3642" s="45" t="n">
        <f aca="false">ROUND(C3642*D3642,0)</f>
        <v>0</v>
      </c>
      <c r="F3642" s="47" t="n">
        <f aca="false">MIN(1,'Model Inputs &amp; Assumptions'!$W$35*EXP('Model Inputs &amp; Assumptions'!$X$35*R3642-'Model Inputs &amp; Assumptions'!$X$35^2/2))</f>
        <v>0.00545718629529812</v>
      </c>
      <c r="G3642" s="45" t="n">
        <f aca="false">ROUND(C3642*F3642,0)</f>
        <v>488</v>
      </c>
      <c r="H3642" s="48" t="n">
        <f aca="false">MAX(0,(C3642*'Model Inputs &amp; Assumptions'!$N$35+E3642*'Model Inputs &amp; Assumptions'!$O$35+G3642*'Model Inputs &amp; Assumptions'!$P$35)*EXP('Model Inputs &amp; Assumptions'!$Q$35*S3642-'Model Inputs &amp; Assumptions'!$Q$35^2/2))</f>
        <v>31.7338142807507</v>
      </c>
      <c r="I3642" s="49" t="n">
        <f aca="false">IF('Model Inputs &amp; Assumptions'!$H$35="Fixed",'Model Inputs &amp; Assumptions'!$I$35*'Model Inputs &amp; Assumptions'!$K$35,IF('Model Inputs &amp; Assumptions'!$H$35="CPM",'Model Inputs &amp; Assumptions'!$I$35*'Model Inputs &amp; Assumptions'!$K$35*C3642/1000,IF('Model Inputs &amp; Assumptions'!$H$35="CPC",'Model Inputs &amp; Assumptions'!$I$35*'Model Inputs &amp; Assumptions'!$K$35*G3642,0)))</f>
        <v>8672.8</v>
      </c>
      <c r="J3642" s="50" t="n">
        <f aca="false">H3642*INDEX('Model Inputs &amp; Assumptions'!$D$40:$D$42,MATCH('Model Inputs &amp; Assumptions'!$L$35,'Model Inputs &amp; Assumptions'!$A$40:$A$42,0))*INDEX('Model Inputs &amp; Assumptions'!$H$40:$H$42,MATCH('Model Inputs &amp; Assumptions'!$L$35,'Model Inputs &amp; Assumptions'!$A$40:$A$42,0))</f>
        <v>269737.421386381</v>
      </c>
      <c r="K3642" s="49" t="n">
        <f aca="false">H3642*INDEX('Model Inputs &amp; Assumptions'!$G$40:$G$42,MATCH('Model Inputs &amp; Assumptions'!$L$35,'Model Inputs &amp; Assumptions'!$A$40:$A$42,0))*INDEX('Model Inputs &amp; Assumptions'!$H$40:$H$42,MATCH('Model Inputs &amp; Assumptions'!$L$35,'Model Inputs &amp; Assumptions'!$A$40:$A$42,0))</f>
        <v>6069.09198119357</v>
      </c>
      <c r="L3642" s="51" t="n">
        <f aca="false">IFERROR(K3642/I3642,0)</f>
        <v>0.699784611797063</v>
      </c>
      <c r="M3642" s="49" t="n">
        <f aca="false">IFERROR(I3642/H3642,0)</f>
        <v>273.29837892386</v>
      </c>
      <c r="N3642" s="52" t="str">
        <f aca="false">'Model Inputs &amp; Assumptions'!$L$35</f>
        <v>PRD-EUAI</v>
      </c>
      <c r="P3642" s="53" t="n">
        <v>0.071975</v>
      </c>
      <c r="Q3642" s="53" t="n">
        <v>-1.669459</v>
      </c>
      <c r="R3642" s="53" t="n">
        <v>-0.925871</v>
      </c>
      <c r="S3642" s="53" t="n">
        <v>-0.153356</v>
      </c>
    </row>
    <row r="3643" customFormat="false" ht="15" hidden="false" customHeight="false" outlineLevel="0" collapsed="false">
      <c r="A3643" s="43" t="n">
        <v>140</v>
      </c>
      <c r="B3643" s="44" t="str">
        <f aca="false">'Model Inputs &amp; Assumptions'!$B$35</f>
        <v>justETF — Sponsored Listing</v>
      </c>
      <c r="C3643" s="45" t="n">
        <f aca="false">ROUND(MAX(0,'Model Inputs &amp; Assumptions'!$S$35*EXP('Model Inputs &amp; Assumptions'!$T$35*P3643-'Model Inputs &amp; Assumptions'!$T$35^2/2)),0)</f>
        <v>102086</v>
      </c>
      <c r="D3643" s="46" t="n">
        <f aca="false">MIN(1,'Model Inputs &amp; Assumptions'!$U$35*EXP('Model Inputs &amp; Assumptions'!$V$35*Q3643-'Model Inputs &amp; Assumptions'!$V$35^2/2))</f>
        <v>0</v>
      </c>
      <c r="E3643" s="45" t="n">
        <f aca="false">ROUND(C3643*D3643,0)</f>
        <v>0</v>
      </c>
      <c r="F3643" s="47" t="n">
        <f aca="false">MIN(1,'Model Inputs &amp; Assumptions'!$W$35*EXP('Model Inputs &amp; Assumptions'!$X$35*R3643-'Model Inputs &amp; Assumptions'!$X$35^2/2))</f>
        <v>0.00839114955839674</v>
      </c>
      <c r="G3643" s="45" t="n">
        <f aca="false">ROUND(C3643*F3643,0)</f>
        <v>857</v>
      </c>
      <c r="H3643" s="48" t="n">
        <f aca="false">MAX(0,(C3643*'Model Inputs &amp; Assumptions'!$N$35+E3643*'Model Inputs &amp; Assumptions'!$O$35+G3643*'Model Inputs &amp; Assumptions'!$P$35)*EXP('Model Inputs &amp; Assumptions'!$Q$35*S3643-'Model Inputs &amp; Assumptions'!$Q$35^2/2))</f>
        <v>47.3711740671783</v>
      </c>
      <c r="I3643" s="49" t="n">
        <f aca="false">IF('Model Inputs &amp; Assumptions'!$H$35="Fixed",'Model Inputs &amp; Assumptions'!$I$35*'Model Inputs &amp; Assumptions'!$K$35,IF('Model Inputs &amp; Assumptions'!$H$35="CPM",'Model Inputs &amp; Assumptions'!$I$35*'Model Inputs &amp; Assumptions'!$K$35*C3643/1000,IF('Model Inputs &amp; Assumptions'!$H$35="CPC",'Model Inputs &amp; Assumptions'!$I$35*'Model Inputs &amp; Assumptions'!$K$35*G3643,0)))</f>
        <v>8672.8</v>
      </c>
      <c r="J3643" s="50" t="n">
        <f aca="false">H3643*INDEX('Model Inputs &amp; Assumptions'!$D$40:$D$42,MATCH('Model Inputs &amp; Assumptions'!$L$35,'Model Inputs &amp; Assumptions'!$A$40:$A$42,0))*INDEX('Model Inputs &amp; Assumptions'!$H$40:$H$42,MATCH('Model Inputs &amp; Assumptions'!$L$35,'Model Inputs &amp; Assumptions'!$A$40:$A$42,0))</f>
        <v>402654.979571016</v>
      </c>
      <c r="K3643" s="49" t="n">
        <f aca="false">H3643*INDEX('Model Inputs &amp; Assumptions'!$G$40:$G$42,MATCH('Model Inputs &amp; Assumptions'!$L$35,'Model Inputs &amp; Assumptions'!$A$40:$A$42,0))*INDEX('Model Inputs &amp; Assumptions'!$H$40:$H$42,MATCH('Model Inputs &amp; Assumptions'!$L$35,'Model Inputs &amp; Assumptions'!$A$40:$A$42,0))</f>
        <v>9059.73704034785</v>
      </c>
      <c r="L3643" s="51" t="n">
        <f aca="false">IFERROR(K3643/I3643,0)</f>
        <v>1.04461500788071</v>
      </c>
      <c r="M3643" s="49" t="n">
        <f aca="false">IFERROR(I3643/H3643,0)</f>
        <v>183.081803877203</v>
      </c>
      <c r="N3643" s="52" t="str">
        <f aca="false">'Model Inputs &amp; Assumptions'!$L$35</f>
        <v>PRD-EUAI</v>
      </c>
      <c r="P3643" s="53" t="n">
        <v>0.95963</v>
      </c>
      <c r="Q3643" s="53" t="n">
        <v>0.408203</v>
      </c>
      <c r="R3643" s="53" t="n">
        <v>1.22535</v>
      </c>
      <c r="S3643" s="53" t="n">
        <v>-0.778323</v>
      </c>
    </row>
    <row r="3644" customFormat="false" ht="15" hidden="false" customHeight="false" outlineLevel="0" collapsed="false">
      <c r="A3644" s="43" t="n">
        <v>141</v>
      </c>
      <c r="B3644" s="44" t="str">
        <f aca="false">'Model Inputs &amp; Assumptions'!$B$35</f>
        <v>justETF — Sponsored Listing</v>
      </c>
      <c r="C3644" s="45" t="n">
        <f aca="false">ROUND(MAX(0,'Model Inputs &amp; Assumptions'!$S$35*EXP('Model Inputs &amp; Assumptions'!$T$35*P3644-'Model Inputs &amp; Assumptions'!$T$35^2/2)),0)</f>
        <v>94918</v>
      </c>
      <c r="D3644" s="46" t="n">
        <f aca="false">MIN(1,'Model Inputs &amp; Assumptions'!$U$35*EXP('Model Inputs &amp; Assumptions'!$V$35*Q3644-'Model Inputs &amp; Assumptions'!$V$35^2/2))</f>
        <v>0</v>
      </c>
      <c r="E3644" s="45" t="n">
        <f aca="false">ROUND(C3644*D3644,0)</f>
        <v>0</v>
      </c>
      <c r="F3644" s="47" t="n">
        <f aca="false">MIN(1,'Model Inputs &amp; Assumptions'!$W$35*EXP('Model Inputs &amp; Assumptions'!$X$35*R3644-'Model Inputs &amp; Assumptions'!$X$35^2/2))</f>
        <v>0.00713965407570443</v>
      </c>
      <c r="G3644" s="45" t="n">
        <f aca="false">ROUND(C3644*F3644,0)</f>
        <v>678</v>
      </c>
      <c r="H3644" s="48" t="n">
        <f aca="false">MAX(0,(C3644*'Model Inputs &amp; Assumptions'!$N$35+E3644*'Model Inputs &amp; Assumptions'!$O$35+G3644*'Model Inputs &amp; Assumptions'!$P$35)*EXP('Model Inputs &amp; Assumptions'!$Q$35*S3644-'Model Inputs &amp; Assumptions'!$Q$35^2/2))</f>
        <v>52.3862604088807</v>
      </c>
      <c r="I3644" s="49" t="n">
        <f aca="false">IF('Model Inputs &amp; Assumptions'!$H$35="Fixed",'Model Inputs &amp; Assumptions'!$I$35*'Model Inputs &amp; Assumptions'!$K$35,IF('Model Inputs &amp; Assumptions'!$H$35="CPM",'Model Inputs &amp; Assumptions'!$I$35*'Model Inputs &amp; Assumptions'!$K$35*C3644/1000,IF('Model Inputs &amp; Assumptions'!$H$35="CPC",'Model Inputs &amp; Assumptions'!$I$35*'Model Inputs &amp; Assumptions'!$K$35*G3644,0)))</f>
        <v>8672.8</v>
      </c>
      <c r="J3644" s="50" t="n">
        <f aca="false">H3644*INDEX('Model Inputs &amp; Assumptions'!$D$40:$D$42,MATCH('Model Inputs &amp; Assumptions'!$L$35,'Model Inputs &amp; Assumptions'!$A$40:$A$42,0))*INDEX('Model Inputs &amp; Assumptions'!$H$40:$H$42,MATCH('Model Inputs &amp; Assumptions'!$L$35,'Model Inputs &amp; Assumptions'!$A$40:$A$42,0))</f>
        <v>445283.213475486</v>
      </c>
      <c r="K3644" s="49" t="n">
        <f aca="false">H3644*INDEX('Model Inputs &amp; Assumptions'!$G$40:$G$42,MATCH('Model Inputs &amp; Assumptions'!$L$35,'Model Inputs &amp; Assumptions'!$A$40:$A$42,0))*INDEX('Model Inputs &amp; Assumptions'!$H$40:$H$42,MATCH('Model Inputs &amp; Assumptions'!$L$35,'Model Inputs &amp; Assumptions'!$A$40:$A$42,0))</f>
        <v>10018.8723031984</v>
      </c>
      <c r="L3644" s="51" t="n">
        <f aca="false">IFERROR(K3644/I3644,0)</f>
        <v>1.15520619675289</v>
      </c>
      <c r="M3644" s="49" t="n">
        <f aca="false">IFERROR(I3644/H3644,0)</f>
        <v>165.554859848896</v>
      </c>
      <c r="N3644" s="52" t="str">
        <f aca="false">'Model Inputs &amp; Assumptions'!$L$35</f>
        <v>PRD-EUAI</v>
      </c>
      <c r="P3644" s="53" t="n">
        <v>0.4743</v>
      </c>
      <c r="Q3644" s="53" t="n">
        <v>0.433711</v>
      </c>
      <c r="R3644" s="53" t="n">
        <v>0.417784</v>
      </c>
      <c r="S3644" s="53" t="n">
        <v>0.509835</v>
      </c>
    </row>
    <row r="3645" customFormat="false" ht="15" hidden="false" customHeight="false" outlineLevel="0" collapsed="false">
      <c r="A3645" s="43" t="n">
        <v>142</v>
      </c>
      <c r="B3645" s="44" t="str">
        <f aca="false">'Model Inputs &amp; Assumptions'!$B$35</f>
        <v>justETF — Sponsored Listing</v>
      </c>
      <c r="C3645" s="45" t="n">
        <f aca="false">ROUND(MAX(0,'Model Inputs &amp; Assumptions'!$S$35*EXP('Model Inputs &amp; Assumptions'!$T$35*P3645-'Model Inputs &amp; Assumptions'!$T$35^2/2)),0)</f>
        <v>117485</v>
      </c>
      <c r="D3645" s="46" t="n">
        <f aca="false">MIN(1,'Model Inputs &amp; Assumptions'!$U$35*EXP('Model Inputs &amp; Assumptions'!$V$35*Q3645-'Model Inputs &amp; Assumptions'!$V$35^2/2))</f>
        <v>0</v>
      </c>
      <c r="E3645" s="45" t="n">
        <f aca="false">ROUND(C3645*D3645,0)</f>
        <v>0</v>
      </c>
      <c r="F3645" s="47" t="n">
        <f aca="false">MIN(1,'Model Inputs &amp; Assumptions'!$W$35*EXP('Model Inputs &amp; Assumptions'!$X$35*R3645-'Model Inputs &amp; Assumptions'!$X$35^2/2))</f>
        <v>0.00765895327617914</v>
      </c>
      <c r="G3645" s="45" t="n">
        <f aca="false">ROUND(C3645*F3645,0)</f>
        <v>900</v>
      </c>
      <c r="H3645" s="48" t="n">
        <f aca="false">MAX(0,(C3645*'Model Inputs &amp; Assumptions'!$N$35+E3645*'Model Inputs &amp; Assumptions'!$O$35+G3645*'Model Inputs &amp; Assumptions'!$P$35)*EXP('Model Inputs &amp; Assumptions'!$Q$35*S3645-'Model Inputs &amp; Assumptions'!$Q$35^2/2))</f>
        <v>52.4130500141393</v>
      </c>
      <c r="I3645" s="49" t="n">
        <f aca="false">IF('Model Inputs &amp; Assumptions'!$H$35="Fixed",'Model Inputs &amp; Assumptions'!$I$35*'Model Inputs &amp; Assumptions'!$K$35,IF('Model Inputs &amp; Assumptions'!$H$35="CPM",'Model Inputs &amp; Assumptions'!$I$35*'Model Inputs &amp; Assumptions'!$K$35*C3645/1000,IF('Model Inputs &amp; Assumptions'!$H$35="CPC",'Model Inputs &amp; Assumptions'!$I$35*'Model Inputs &amp; Assumptions'!$K$35*G3645,0)))</f>
        <v>8672.8</v>
      </c>
      <c r="J3645" s="50" t="n">
        <f aca="false">H3645*INDEX('Model Inputs &amp; Assumptions'!$D$40:$D$42,MATCH('Model Inputs &amp; Assumptions'!$L$35,'Model Inputs &amp; Assumptions'!$A$40:$A$42,0))*INDEX('Model Inputs &amp; Assumptions'!$H$40:$H$42,MATCH('Model Inputs &amp; Assumptions'!$L$35,'Model Inputs &amp; Assumptions'!$A$40:$A$42,0))</f>
        <v>445510.925120184</v>
      </c>
      <c r="K3645" s="49" t="n">
        <f aca="false">H3645*INDEX('Model Inputs &amp; Assumptions'!$G$40:$G$42,MATCH('Model Inputs &amp; Assumptions'!$L$35,'Model Inputs &amp; Assumptions'!$A$40:$A$42,0))*INDEX('Model Inputs &amp; Assumptions'!$H$40:$H$42,MATCH('Model Inputs &amp; Assumptions'!$L$35,'Model Inputs &amp; Assumptions'!$A$40:$A$42,0))</f>
        <v>10023.9958152041</v>
      </c>
      <c r="L3645" s="51" t="n">
        <f aca="false">IFERROR(K3645/I3645,0)</f>
        <v>1.15579695314133</v>
      </c>
      <c r="M3645" s="49" t="n">
        <f aca="false">IFERROR(I3645/H3645,0)</f>
        <v>165.470240668314</v>
      </c>
      <c r="N3645" s="52" t="str">
        <f aca="false">'Model Inputs &amp; Assumptions'!$L$35</f>
        <v>PRD-EUAI</v>
      </c>
      <c r="P3645" s="53" t="n">
        <v>1.896277</v>
      </c>
      <c r="Q3645" s="53" t="n">
        <v>-0.833072</v>
      </c>
      <c r="R3645" s="53" t="n">
        <v>0.768839</v>
      </c>
      <c r="S3645" s="53" t="n">
        <v>-0.577612</v>
      </c>
    </row>
    <row r="3646" customFormat="false" ht="15" hidden="false" customHeight="false" outlineLevel="0" collapsed="false">
      <c r="A3646" s="43" t="n">
        <v>143</v>
      </c>
      <c r="B3646" s="44" t="str">
        <f aca="false">'Model Inputs &amp; Assumptions'!$B$35</f>
        <v>justETF — Sponsored Listing</v>
      </c>
      <c r="C3646" s="45" t="n">
        <f aca="false">ROUND(MAX(0,'Model Inputs &amp; Assumptions'!$S$35*EXP('Model Inputs &amp; Assumptions'!$T$35*P3646-'Model Inputs &amp; Assumptions'!$T$35^2/2)),0)</f>
        <v>82049</v>
      </c>
      <c r="D3646" s="46" t="n">
        <f aca="false">MIN(1,'Model Inputs &amp; Assumptions'!$U$35*EXP('Model Inputs &amp; Assumptions'!$V$35*Q3646-'Model Inputs &amp; Assumptions'!$V$35^2/2))</f>
        <v>0</v>
      </c>
      <c r="E3646" s="45" t="n">
        <f aca="false">ROUND(C3646*D3646,0)</f>
        <v>0</v>
      </c>
      <c r="F3646" s="47" t="n">
        <f aca="false">MIN(1,'Model Inputs &amp; Assumptions'!$W$35*EXP('Model Inputs &amp; Assumptions'!$X$35*R3646-'Model Inputs &amp; Assumptions'!$X$35^2/2))</f>
        <v>0.00942707931895056</v>
      </c>
      <c r="G3646" s="45" t="n">
        <f aca="false">ROUND(C3646*F3646,0)</f>
        <v>773</v>
      </c>
      <c r="H3646" s="48" t="n">
        <f aca="false">MAX(0,(C3646*'Model Inputs &amp; Assumptions'!$N$35+E3646*'Model Inputs &amp; Assumptions'!$O$35+G3646*'Model Inputs &amp; Assumptions'!$P$35)*EXP('Model Inputs &amp; Assumptions'!$Q$35*S3646-'Model Inputs &amp; Assumptions'!$Q$35^2/2))</f>
        <v>49.6665720208291</v>
      </c>
      <c r="I3646" s="49" t="n">
        <f aca="false">IF('Model Inputs &amp; Assumptions'!$H$35="Fixed",'Model Inputs &amp; Assumptions'!$I$35*'Model Inputs &amp; Assumptions'!$K$35,IF('Model Inputs &amp; Assumptions'!$H$35="CPM",'Model Inputs &amp; Assumptions'!$I$35*'Model Inputs &amp; Assumptions'!$K$35*C3646/1000,IF('Model Inputs &amp; Assumptions'!$H$35="CPC",'Model Inputs &amp; Assumptions'!$I$35*'Model Inputs &amp; Assumptions'!$K$35*G3646,0)))</f>
        <v>8672.8</v>
      </c>
      <c r="J3646" s="50" t="n">
        <f aca="false">H3646*INDEX('Model Inputs &amp; Assumptions'!$D$40:$D$42,MATCH('Model Inputs &amp; Assumptions'!$L$35,'Model Inputs &amp; Assumptions'!$A$40:$A$42,0))*INDEX('Model Inputs &amp; Assumptions'!$H$40:$H$42,MATCH('Model Inputs &amp; Assumptions'!$L$35,'Model Inputs &amp; Assumptions'!$A$40:$A$42,0))</f>
        <v>422165.862177048</v>
      </c>
      <c r="K3646" s="49" t="n">
        <f aca="false">H3646*INDEX('Model Inputs &amp; Assumptions'!$G$40:$G$42,MATCH('Model Inputs &amp; Assumptions'!$L$35,'Model Inputs &amp; Assumptions'!$A$40:$A$42,0))*INDEX('Model Inputs &amp; Assumptions'!$H$40:$H$42,MATCH('Model Inputs &amp; Assumptions'!$L$35,'Model Inputs &amp; Assumptions'!$A$40:$A$42,0))</f>
        <v>9498.73189898357</v>
      </c>
      <c r="L3646" s="51" t="n">
        <f aca="false">IFERROR(K3646/I3646,0)</f>
        <v>1.09523243923342</v>
      </c>
      <c r="M3646" s="49" t="n">
        <f aca="false">IFERROR(I3646/H3646,0)</f>
        <v>174.620466988598</v>
      </c>
      <c r="N3646" s="52" t="str">
        <f aca="false">'Model Inputs &amp; Assumptions'!$L$35</f>
        <v>PRD-EUAI</v>
      </c>
      <c r="P3646" s="53" t="n">
        <v>-0.497023</v>
      </c>
      <c r="Q3646" s="53" t="n">
        <v>0.194971</v>
      </c>
      <c r="R3646" s="53" t="n">
        <v>1.807394</v>
      </c>
      <c r="S3646" s="53" t="n">
        <v>-0.199565</v>
      </c>
    </row>
    <row r="3647" customFormat="false" ht="15" hidden="false" customHeight="false" outlineLevel="0" collapsed="false">
      <c r="A3647" s="43" t="n">
        <v>144</v>
      </c>
      <c r="B3647" s="44" t="str">
        <f aca="false">'Model Inputs &amp; Assumptions'!$B$35</f>
        <v>justETF — Sponsored Listing</v>
      </c>
      <c r="C3647" s="45" t="n">
        <f aca="false">ROUND(MAX(0,'Model Inputs &amp; Assumptions'!$S$35*EXP('Model Inputs &amp; Assumptions'!$T$35*P3647-'Model Inputs &amp; Assumptions'!$T$35^2/2)),0)</f>
        <v>90976</v>
      </c>
      <c r="D3647" s="46" t="n">
        <f aca="false">MIN(1,'Model Inputs &amp; Assumptions'!$U$35*EXP('Model Inputs &amp; Assumptions'!$V$35*Q3647-'Model Inputs &amp; Assumptions'!$V$35^2/2))</f>
        <v>0</v>
      </c>
      <c r="E3647" s="45" t="n">
        <f aca="false">ROUND(C3647*D3647,0)</f>
        <v>0</v>
      </c>
      <c r="F3647" s="47" t="n">
        <f aca="false">MIN(1,'Model Inputs &amp; Assumptions'!$W$35*EXP('Model Inputs &amp; Assumptions'!$X$35*R3647-'Model Inputs &amp; Assumptions'!$X$35^2/2))</f>
        <v>0.00542762539638198</v>
      </c>
      <c r="G3647" s="45" t="n">
        <f aca="false">ROUND(C3647*F3647,0)</f>
        <v>494</v>
      </c>
      <c r="H3647" s="48" t="n">
        <f aca="false">MAX(0,(C3647*'Model Inputs &amp; Assumptions'!$N$35+E3647*'Model Inputs &amp; Assumptions'!$O$35+G3647*'Model Inputs &amp; Assumptions'!$P$35)*EXP('Model Inputs &amp; Assumptions'!$Q$35*S3647-'Model Inputs &amp; Assumptions'!$Q$35^2/2))</f>
        <v>33.9305313974653</v>
      </c>
      <c r="I3647" s="49" t="n">
        <f aca="false">IF('Model Inputs &amp; Assumptions'!$H$35="Fixed",'Model Inputs &amp; Assumptions'!$I$35*'Model Inputs &amp; Assumptions'!$K$35,IF('Model Inputs &amp; Assumptions'!$H$35="CPM",'Model Inputs &amp; Assumptions'!$I$35*'Model Inputs &amp; Assumptions'!$K$35*C3647/1000,IF('Model Inputs &amp; Assumptions'!$H$35="CPC",'Model Inputs &amp; Assumptions'!$I$35*'Model Inputs &amp; Assumptions'!$K$35*G3647,0)))</f>
        <v>8672.8</v>
      </c>
      <c r="J3647" s="50" t="n">
        <f aca="false">H3647*INDEX('Model Inputs &amp; Assumptions'!$D$40:$D$42,MATCH('Model Inputs &amp; Assumptions'!$L$35,'Model Inputs &amp; Assumptions'!$A$40:$A$42,0))*INDEX('Model Inputs &amp; Assumptions'!$H$40:$H$42,MATCH('Model Inputs &amp; Assumptions'!$L$35,'Model Inputs &amp; Assumptions'!$A$40:$A$42,0))</f>
        <v>288409.516878455</v>
      </c>
      <c r="K3647" s="49" t="n">
        <f aca="false">H3647*INDEX('Model Inputs &amp; Assumptions'!$G$40:$G$42,MATCH('Model Inputs &amp; Assumptions'!$L$35,'Model Inputs &amp; Assumptions'!$A$40:$A$42,0))*INDEX('Model Inputs &amp; Assumptions'!$H$40:$H$42,MATCH('Model Inputs &amp; Assumptions'!$L$35,'Model Inputs &amp; Assumptions'!$A$40:$A$42,0))</f>
        <v>6489.21412976524</v>
      </c>
      <c r="L3647" s="51" t="n">
        <f aca="false">IFERROR(K3647/I3647,0)</f>
        <v>0.748225962753117</v>
      </c>
      <c r="M3647" s="49" t="n">
        <f aca="false">IFERROR(I3647/H3647,0)</f>
        <v>255.604602781078</v>
      </c>
      <c r="N3647" s="52" t="str">
        <f aca="false">'Model Inputs &amp; Assumptions'!$L$35</f>
        <v>PRD-EUAI</v>
      </c>
      <c r="P3647" s="53" t="n">
        <v>0.191491</v>
      </c>
      <c r="Q3647" s="53" t="n">
        <v>-2.146083</v>
      </c>
      <c r="R3647" s="53" t="n">
        <v>-0.953029</v>
      </c>
      <c r="S3647" s="53" t="n">
        <v>0.057076</v>
      </c>
    </row>
    <row r="3648" customFormat="false" ht="15" hidden="false" customHeight="false" outlineLevel="0" collapsed="false">
      <c r="A3648" s="43" t="n">
        <v>145</v>
      </c>
      <c r="B3648" s="44" t="str">
        <f aca="false">'Model Inputs &amp; Assumptions'!$B$35</f>
        <v>justETF — Sponsored Listing</v>
      </c>
      <c r="C3648" s="45" t="n">
        <f aca="false">ROUND(MAX(0,'Model Inputs &amp; Assumptions'!$S$35*EXP('Model Inputs &amp; Assumptions'!$T$35*P3648-'Model Inputs &amp; Assumptions'!$T$35^2/2)),0)</f>
        <v>94434</v>
      </c>
      <c r="D3648" s="46" t="n">
        <f aca="false">MIN(1,'Model Inputs &amp; Assumptions'!$U$35*EXP('Model Inputs &amp; Assumptions'!$V$35*Q3648-'Model Inputs &amp; Assumptions'!$V$35^2/2))</f>
        <v>0</v>
      </c>
      <c r="E3648" s="45" t="n">
        <f aca="false">ROUND(C3648*D3648,0)</f>
        <v>0</v>
      </c>
      <c r="F3648" s="47" t="n">
        <f aca="false">MIN(1,'Model Inputs &amp; Assumptions'!$W$35*EXP('Model Inputs &amp; Assumptions'!$X$35*R3648-'Model Inputs &amp; Assumptions'!$X$35^2/2))</f>
        <v>0.00696270972162026</v>
      </c>
      <c r="G3648" s="45" t="n">
        <f aca="false">ROUND(C3648*F3648,0)</f>
        <v>658</v>
      </c>
      <c r="H3648" s="48" t="n">
        <f aca="false">MAX(0,(C3648*'Model Inputs &amp; Assumptions'!$N$35+E3648*'Model Inputs &amp; Assumptions'!$O$35+G3648*'Model Inputs &amp; Assumptions'!$P$35)*EXP('Model Inputs &amp; Assumptions'!$Q$35*S3648-'Model Inputs &amp; Assumptions'!$Q$35^2/2))</f>
        <v>70.8757195510777</v>
      </c>
      <c r="I3648" s="49" t="n">
        <f aca="false">IF('Model Inputs &amp; Assumptions'!$H$35="Fixed",'Model Inputs &amp; Assumptions'!$I$35*'Model Inputs &amp; Assumptions'!$K$35,IF('Model Inputs &amp; Assumptions'!$H$35="CPM",'Model Inputs &amp; Assumptions'!$I$35*'Model Inputs &amp; Assumptions'!$K$35*C3648/1000,IF('Model Inputs &amp; Assumptions'!$H$35="CPC",'Model Inputs &amp; Assumptions'!$I$35*'Model Inputs &amp; Assumptions'!$K$35*G3648,0)))</f>
        <v>8672.8</v>
      </c>
      <c r="J3648" s="50" t="n">
        <f aca="false">H3648*INDEX('Model Inputs &amp; Assumptions'!$D$40:$D$42,MATCH('Model Inputs &amp; Assumptions'!$L$35,'Model Inputs &amp; Assumptions'!$A$40:$A$42,0))*INDEX('Model Inputs &amp; Assumptions'!$H$40:$H$42,MATCH('Model Inputs &amp; Assumptions'!$L$35,'Model Inputs &amp; Assumptions'!$A$40:$A$42,0))</f>
        <v>602443.616184161</v>
      </c>
      <c r="K3648" s="49" t="n">
        <f aca="false">H3648*INDEX('Model Inputs &amp; Assumptions'!$G$40:$G$42,MATCH('Model Inputs &amp; Assumptions'!$L$35,'Model Inputs &amp; Assumptions'!$A$40:$A$42,0))*INDEX('Model Inputs &amp; Assumptions'!$H$40:$H$42,MATCH('Model Inputs &amp; Assumptions'!$L$35,'Model Inputs &amp; Assumptions'!$A$40:$A$42,0))</f>
        <v>13554.9813641436</v>
      </c>
      <c r="L3648" s="51" t="n">
        <f aca="false">IFERROR(K3648/I3648,0)</f>
        <v>1.56293023754077</v>
      </c>
      <c r="M3648" s="49" t="n">
        <f aca="false">IFERROR(I3648/H3648,0)</f>
        <v>122.366306189665</v>
      </c>
      <c r="N3648" s="52" t="str">
        <f aca="false">'Model Inputs &amp; Assumptions'!$L$35</f>
        <v>PRD-EUAI</v>
      </c>
      <c r="P3648" s="53" t="n">
        <v>0.44021</v>
      </c>
      <c r="Q3648" s="53" t="n">
        <v>1.410576</v>
      </c>
      <c r="R3648" s="53" t="n">
        <v>0.292306</v>
      </c>
      <c r="S3648" s="53" t="n">
        <v>1.787627</v>
      </c>
    </row>
    <row r="3649" customFormat="false" ht="15" hidden="false" customHeight="false" outlineLevel="0" collapsed="false">
      <c r="A3649" s="43" t="n">
        <v>146</v>
      </c>
      <c r="B3649" s="44" t="str">
        <f aca="false">'Model Inputs &amp; Assumptions'!$B$35</f>
        <v>justETF — Sponsored Listing</v>
      </c>
      <c r="C3649" s="45" t="n">
        <f aca="false">ROUND(MAX(0,'Model Inputs &amp; Assumptions'!$S$35*EXP('Model Inputs &amp; Assumptions'!$T$35*P3649-'Model Inputs &amp; Assumptions'!$T$35^2/2)),0)</f>
        <v>86340</v>
      </c>
      <c r="D3649" s="46" t="n">
        <f aca="false">MIN(1,'Model Inputs &amp; Assumptions'!$U$35*EXP('Model Inputs &amp; Assumptions'!$V$35*Q3649-'Model Inputs &amp; Assumptions'!$V$35^2/2))</f>
        <v>0</v>
      </c>
      <c r="E3649" s="45" t="n">
        <f aca="false">ROUND(C3649*D3649,0)</f>
        <v>0</v>
      </c>
      <c r="F3649" s="47" t="n">
        <f aca="false">MIN(1,'Model Inputs &amp; Assumptions'!$W$35*EXP('Model Inputs &amp; Assumptions'!$X$35*R3649-'Model Inputs &amp; Assumptions'!$X$35^2/2))</f>
        <v>0.00775897568709605</v>
      </c>
      <c r="G3649" s="45" t="n">
        <f aca="false">ROUND(C3649*F3649,0)</f>
        <v>670</v>
      </c>
      <c r="H3649" s="48" t="n">
        <f aca="false">MAX(0,(C3649*'Model Inputs &amp; Assumptions'!$N$35+E3649*'Model Inputs &amp; Assumptions'!$O$35+G3649*'Model Inputs &amp; Assumptions'!$P$35)*EXP('Model Inputs &amp; Assumptions'!$Q$35*S3649-'Model Inputs &amp; Assumptions'!$Q$35^2/2))</f>
        <v>54.3747958789922</v>
      </c>
      <c r="I3649" s="49" t="n">
        <f aca="false">IF('Model Inputs &amp; Assumptions'!$H$35="Fixed",'Model Inputs &amp; Assumptions'!$I$35*'Model Inputs &amp; Assumptions'!$K$35,IF('Model Inputs &amp; Assumptions'!$H$35="CPM",'Model Inputs &amp; Assumptions'!$I$35*'Model Inputs &amp; Assumptions'!$K$35*C3649/1000,IF('Model Inputs &amp; Assumptions'!$H$35="CPC",'Model Inputs &amp; Assumptions'!$I$35*'Model Inputs &amp; Assumptions'!$K$35*G3649,0)))</f>
        <v>8672.8</v>
      </c>
      <c r="J3649" s="50" t="n">
        <f aca="false">H3649*INDEX('Model Inputs &amp; Assumptions'!$D$40:$D$42,MATCH('Model Inputs &amp; Assumptions'!$L$35,'Model Inputs &amp; Assumptions'!$A$40:$A$42,0))*INDEX('Model Inputs &amp; Assumptions'!$H$40:$H$42,MATCH('Model Inputs &amp; Assumptions'!$L$35,'Model Inputs &amp; Assumptions'!$A$40:$A$42,0))</f>
        <v>462185.764971434</v>
      </c>
      <c r="K3649" s="49" t="n">
        <f aca="false">H3649*INDEX('Model Inputs &amp; Assumptions'!$G$40:$G$42,MATCH('Model Inputs &amp; Assumptions'!$L$35,'Model Inputs &amp; Assumptions'!$A$40:$A$42,0))*INDEX('Model Inputs &amp; Assumptions'!$H$40:$H$42,MATCH('Model Inputs &amp; Assumptions'!$L$35,'Model Inputs &amp; Assumptions'!$A$40:$A$42,0))</f>
        <v>10399.1797118573</v>
      </c>
      <c r="L3649" s="51" t="n">
        <f aca="false">IFERROR(K3649/I3649,0)</f>
        <v>1.19905678810272</v>
      </c>
      <c r="M3649" s="49" t="n">
        <f aca="false">IFERROR(I3649/H3649,0)</f>
        <v>159.500368871283</v>
      </c>
      <c r="N3649" s="52" t="str">
        <f aca="false">'Model Inputs &amp; Assumptions'!$L$35</f>
        <v>PRD-EUAI</v>
      </c>
      <c r="P3649" s="53" t="n">
        <v>-0.1572</v>
      </c>
      <c r="Q3649" s="53" t="n">
        <v>0.22831</v>
      </c>
      <c r="R3649" s="53" t="n">
        <v>0.833714</v>
      </c>
      <c r="S3649" s="53" t="n">
        <v>0.698781</v>
      </c>
    </row>
    <row r="3650" customFormat="false" ht="15" hidden="false" customHeight="false" outlineLevel="0" collapsed="false">
      <c r="A3650" s="43" t="n">
        <v>147</v>
      </c>
      <c r="B3650" s="44" t="str">
        <f aca="false">'Model Inputs &amp; Assumptions'!$B$35</f>
        <v>justETF — Sponsored Listing</v>
      </c>
      <c r="C3650" s="45" t="n">
        <f aca="false">ROUND(MAX(0,'Model Inputs &amp; Assumptions'!$S$35*EXP('Model Inputs &amp; Assumptions'!$T$35*P3650-'Model Inputs &amp; Assumptions'!$T$35^2/2)),0)</f>
        <v>122166</v>
      </c>
      <c r="D3650" s="46" t="n">
        <f aca="false">MIN(1,'Model Inputs &amp; Assumptions'!$U$35*EXP('Model Inputs &amp; Assumptions'!$V$35*Q3650-'Model Inputs &amp; Assumptions'!$V$35^2/2))</f>
        <v>0</v>
      </c>
      <c r="E3650" s="45" t="n">
        <f aca="false">ROUND(C3650*D3650,0)</f>
        <v>0</v>
      </c>
      <c r="F3650" s="47" t="n">
        <f aca="false">MIN(1,'Model Inputs &amp; Assumptions'!$W$35*EXP('Model Inputs &amp; Assumptions'!$X$35*R3650-'Model Inputs &amp; Assumptions'!$X$35^2/2))</f>
        <v>0.00687290813786537</v>
      </c>
      <c r="G3650" s="45" t="n">
        <f aca="false">ROUND(C3650*F3650,0)</f>
        <v>840</v>
      </c>
      <c r="H3650" s="48" t="n">
        <f aca="false">MAX(0,(C3650*'Model Inputs &amp; Assumptions'!$N$35+E3650*'Model Inputs &amp; Assumptions'!$O$35+G3650*'Model Inputs &amp; Assumptions'!$P$35)*EXP('Model Inputs &amp; Assumptions'!$Q$35*S3650-'Model Inputs &amp; Assumptions'!$Q$35^2/2))</f>
        <v>66.1332214835708</v>
      </c>
      <c r="I3650" s="49" t="n">
        <f aca="false">IF('Model Inputs &amp; Assumptions'!$H$35="Fixed",'Model Inputs &amp; Assumptions'!$I$35*'Model Inputs &amp; Assumptions'!$K$35,IF('Model Inputs &amp; Assumptions'!$H$35="CPM",'Model Inputs &amp; Assumptions'!$I$35*'Model Inputs &amp; Assumptions'!$K$35*C3650/1000,IF('Model Inputs &amp; Assumptions'!$H$35="CPC",'Model Inputs &amp; Assumptions'!$I$35*'Model Inputs &amp; Assumptions'!$K$35*G3650,0)))</f>
        <v>8672.8</v>
      </c>
      <c r="J3650" s="50" t="n">
        <f aca="false">H3650*INDEX('Model Inputs &amp; Assumptions'!$D$40:$D$42,MATCH('Model Inputs &amp; Assumptions'!$L$35,'Model Inputs &amp; Assumptions'!$A$40:$A$42,0))*INDEX('Model Inputs &amp; Assumptions'!$H$40:$H$42,MATCH('Model Inputs &amp; Assumptions'!$L$35,'Model Inputs &amp; Assumptions'!$A$40:$A$42,0))</f>
        <v>562132.382610352</v>
      </c>
      <c r="K3650" s="49" t="n">
        <f aca="false">H3650*INDEX('Model Inputs &amp; Assumptions'!$G$40:$G$42,MATCH('Model Inputs &amp; Assumptions'!$L$35,'Model Inputs &amp; Assumptions'!$A$40:$A$42,0))*INDEX('Model Inputs &amp; Assumptions'!$H$40:$H$42,MATCH('Model Inputs &amp; Assumptions'!$L$35,'Model Inputs &amp; Assumptions'!$A$40:$A$42,0))</f>
        <v>12647.9786087329</v>
      </c>
      <c r="L3650" s="51" t="n">
        <f aca="false">IFERROR(K3650/I3650,0)</f>
        <v>1.4583500840251</v>
      </c>
      <c r="M3650" s="49" t="n">
        <f aca="false">IFERROR(I3650/H3650,0)</f>
        <v>131.141350828563</v>
      </c>
      <c r="N3650" s="52" t="str">
        <f aca="false">'Model Inputs &amp; Assumptions'!$L$35</f>
        <v>PRD-EUAI</v>
      </c>
      <c r="P3650" s="53" t="n">
        <v>2.156717</v>
      </c>
      <c r="Q3650" s="53" t="n">
        <v>0.154643</v>
      </c>
      <c r="R3650" s="53" t="n">
        <v>0.227399</v>
      </c>
      <c r="S3650" s="53" t="n">
        <v>0.582036</v>
      </c>
    </row>
    <row r="3651" customFormat="false" ht="15" hidden="false" customHeight="false" outlineLevel="0" collapsed="false">
      <c r="A3651" s="43" t="n">
        <v>148</v>
      </c>
      <c r="B3651" s="44" t="str">
        <f aca="false">'Model Inputs &amp; Assumptions'!$B$35</f>
        <v>justETF — Sponsored Listing</v>
      </c>
      <c r="C3651" s="45" t="n">
        <f aca="false">ROUND(MAX(0,'Model Inputs &amp; Assumptions'!$S$35*EXP('Model Inputs &amp; Assumptions'!$T$35*P3651-'Model Inputs &amp; Assumptions'!$T$35^2/2)),0)</f>
        <v>89143</v>
      </c>
      <c r="D3651" s="46" t="n">
        <f aca="false">MIN(1,'Model Inputs &amp; Assumptions'!$U$35*EXP('Model Inputs &amp; Assumptions'!$V$35*Q3651-'Model Inputs &amp; Assumptions'!$V$35^2/2))</f>
        <v>0</v>
      </c>
      <c r="E3651" s="45" t="n">
        <f aca="false">ROUND(C3651*D3651,0)</f>
        <v>0</v>
      </c>
      <c r="F3651" s="47" t="n">
        <f aca="false">MIN(1,'Model Inputs &amp; Assumptions'!$W$35*EXP('Model Inputs &amp; Assumptions'!$X$35*R3651-'Model Inputs &amp; Assumptions'!$X$35^2/2))</f>
        <v>0.00675078724111299</v>
      </c>
      <c r="G3651" s="45" t="n">
        <f aca="false">ROUND(C3651*F3651,0)</f>
        <v>602</v>
      </c>
      <c r="H3651" s="48" t="n">
        <f aca="false">MAX(0,(C3651*'Model Inputs &amp; Assumptions'!$N$35+E3651*'Model Inputs &amp; Assumptions'!$O$35+G3651*'Model Inputs &amp; Assumptions'!$P$35)*EXP('Model Inputs &amp; Assumptions'!$Q$35*S3651-'Model Inputs &amp; Assumptions'!$Q$35^2/2))</f>
        <v>40.0614349003207</v>
      </c>
      <c r="I3651" s="49" t="n">
        <f aca="false">IF('Model Inputs &amp; Assumptions'!$H$35="Fixed",'Model Inputs &amp; Assumptions'!$I$35*'Model Inputs &amp; Assumptions'!$K$35,IF('Model Inputs &amp; Assumptions'!$H$35="CPM",'Model Inputs &amp; Assumptions'!$I$35*'Model Inputs &amp; Assumptions'!$K$35*C3651/1000,IF('Model Inputs &amp; Assumptions'!$H$35="CPC",'Model Inputs &amp; Assumptions'!$I$35*'Model Inputs &amp; Assumptions'!$K$35*G3651,0)))</f>
        <v>8672.8</v>
      </c>
      <c r="J3651" s="50" t="n">
        <f aca="false">H3651*INDEX('Model Inputs &amp; Assumptions'!$D$40:$D$42,MATCH('Model Inputs &amp; Assumptions'!$L$35,'Model Inputs &amp; Assumptions'!$A$40:$A$42,0))*INDEX('Model Inputs &amp; Assumptions'!$H$40:$H$42,MATCH('Model Inputs &amp; Assumptions'!$L$35,'Model Inputs &amp; Assumptions'!$A$40:$A$42,0))</f>
        <v>340522.196652726</v>
      </c>
      <c r="K3651" s="49" t="n">
        <f aca="false">H3651*INDEX('Model Inputs &amp; Assumptions'!$G$40:$G$42,MATCH('Model Inputs &amp; Assumptions'!$L$35,'Model Inputs &amp; Assumptions'!$A$40:$A$42,0))*INDEX('Model Inputs &amp; Assumptions'!$H$40:$H$42,MATCH('Model Inputs &amp; Assumptions'!$L$35,'Model Inputs &amp; Assumptions'!$A$40:$A$42,0))</f>
        <v>7661.74942468634</v>
      </c>
      <c r="L3651" s="51" t="n">
        <f aca="false">IFERROR(K3651/I3651,0)</f>
        <v>0.88342281900728</v>
      </c>
      <c r="M3651" s="49" t="n">
        <f aca="false">IFERROR(I3651/H3651,0)</f>
        <v>216.487502796126</v>
      </c>
      <c r="N3651" s="52" t="str">
        <f aca="false">'Model Inputs &amp; Assumptions'!$L$35</f>
        <v>PRD-EUAI</v>
      </c>
      <c r="P3651" s="53" t="n">
        <v>0.055773</v>
      </c>
      <c r="Q3651" s="53" t="n">
        <v>-0.572667</v>
      </c>
      <c r="R3651" s="53" t="n">
        <v>0.137758</v>
      </c>
      <c r="S3651" s="53" t="n">
        <v>-0.064551</v>
      </c>
    </row>
    <row r="3652" customFormat="false" ht="15" hidden="false" customHeight="false" outlineLevel="0" collapsed="false">
      <c r="A3652" s="43" t="n">
        <v>149</v>
      </c>
      <c r="B3652" s="44" t="str">
        <f aca="false">'Model Inputs &amp; Assumptions'!$B$35</f>
        <v>justETF — Sponsored Listing</v>
      </c>
      <c r="C3652" s="45" t="n">
        <f aca="false">ROUND(MAX(0,'Model Inputs &amp; Assumptions'!$S$35*EXP('Model Inputs &amp; Assumptions'!$T$35*P3652-'Model Inputs &amp; Assumptions'!$T$35^2/2)),0)</f>
        <v>91894</v>
      </c>
      <c r="D3652" s="46" t="n">
        <f aca="false">MIN(1,'Model Inputs &amp; Assumptions'!$U$35*EXP('Model Inputs &amp; Assumptions'!$V$35*Q3652-'Model Inputs &amp; Assumptions'!$V$35^2/2))</f>
        <v>0</v>
      </c>
      <c r="E3652" s="45" t="n">
        <f aca="false">ROUND(C3652*D3652,0)</f>
        <v>0</v>
      </c>
      <c r="F3652" s="47" t="n">
        <f aca="false">MIN(1,'Model Inputs &amp; Assumptions'!$W$35*EXP('Model Inputs &amp; Assumptions'!$X$35*R3652-'Model Inputs &amp; Assumptions'!$X$35^2/2))</f>
        <v>0.00727234302485221</v>
      </c>
      <c r="G3652" s="45" t="n">
        <f aca="false">ROUND(C3652*F3652,0)</f>
        <v>668</v>
      </c>
      <c r="H3652" s="48" t="n">
        <f aca="false">MAX(0,(C3652*'Model Inputs &amp; Assumptions'!$N$35+E3652*'Model Inputs &amp; Assumptions'!$O$35+G3652*'Model Inputs &amp; Assumptions'!$P$35)*EXP('Model Inputs &amp; Assumptions'!$Q$35*S3652-'Model Inputs &amp; Assumptions'!$Q$35^2/2))</f>
        <v>47.8957070201453</v>
      </c>
      <c r="I3652" s="49" t="n">
        <f aca="false">IF('Model Inputs &amp; Assumptions'!$H$35="Fixed",'Model Inputs &amp; Assumptions'!$I$35*'Model Inputs &amp; Assumptions'!$K$35,IF('Model Inputs &amp; Assumptions'!$H$35="CPM",'Model Inputs &amp; Assumptions'!$I$35*'Model Inputs &amp; Assumptions'!$K$35*C3652/1000,IF('Model Inputs &amp; Assumptions'!$H$35="CPC",'Model Inputs &amp; Assumptions'!$I$35*'Model Inputs &amp; Assumptions'!$K$35*G3652,0)))</f>
        <v>8672.8</v>
      </c>
      <c r="J3652" s="50" t="n">
        <f aca="false">H3652*INDEX('Model Inputs &amp; Assumptions'!$D$40:$D$42,MATCH('Model Inputs &amp; Assumptions'!$L$35,'Model Inputs &amp; Assumptions'!$A$40:$A$42,0))*INDEX('Model Inputs &amp; Assumptions'!$H$40:$H$42,MATCH('Model Inputs &amp; Assumptions'!$L$35,'Model Inputs &amp; Assumptions'!$A$40:$A$42,0))</f>
        <v>407113.509671235</v>
      </c>
      <c r="K3652" s="49" t="n">
        <f aca="false">H3652*INDEX('Model Inputs &amp; Assumptions'!$G$40:$G$42,MATCH('Model Inputs &amp; Assumptions'!$L$35,'Model Inputs &amp; Assumptions'!$A$40:$A$42,0))*INDEX('Model Inputs &amp; Assumptions'!$H$40:$H$42,MATCH('Model Inputs &amp; Assumptions'!$L$35,'Model Inputs &amp; Assumptions'!$A$40:$A$42,0))</f>
        <v>9160.05396760279</v>
      </c>
      <c r="L3652" s="51" t="n">
        <f aca="false">IFERROR(K3652/I3652,0)</f>
        <v>1.05618185218185</v>
      </c>
      <c r="M3652" s="49" t="n">
        <f aca="false">IFERROR(I3652/H3652,0)</f>
        <v>181.076771585231</v>
      </c>
      <c r="N3652" s="52" t="str">
        <f aca="false">'Model Inputs &amp; Assumptions'!$L$35</f>
        <v>PRD-EUAI</v>
      </c>
      <c r="P3652" s="53" t="n">
        <v>0.258407</v>
      </c>
      <c r="Q3652" s="53" t="n">
        <v>0.173417</v>
      </c>
      <c r="R3652" s="53" t="n">
        <v>0.509855</v>
      </c>
      <c r="S3652" s="53" t="n">
        <v>0.222299</v>
      </c>
    </row>
    <row r="3653" customFormat="false" ht="15" hidden="false" customHeight="false" outlineLevel="0" collapsed="false">
      <c r="A3653" s="43" t="n">
        <v>150</v>
      </c>
      <c r="B3653" s="44" t="str">
        <f aca="false">'Model Inputs &amp; Assumptions'!$B$35</f>
        <v>justETF — Sponsored Listing</v>
      </c>
      <c r="C3653" s="45" t="n">
        <f aca="false">ROUND(MAX(0,'Model Inputs &amp; Assumptions'!$S$35*EXP('Model Inputs &amp; Assumptions'!$T$35*P3653-'Model Inputs &amp; Assumptions'!$T$35^2/2)),0)</f>
        <v>85871</v>
      </c>
      <c r="D3653" s="46" t="n">
        <f aca="false">MIN(1,'Model Inputs &amp; Assumptions'!$U$35*EXP('Model Inputs &amp; Assumptions'!$V$35*Q3653-'Model Inputs &amp; Assumptions'!$V$35^2/2))</f>
        <v>0</v>
      </c>
      <c r="E3653" s="45" t="n">
        <f aca="false">ROUND(C3653*D3653,0)</f>
        <v>0</v>
      </c>
      <c r="F3653" s="47" t="n">
        <f aca="false">MIN(1,'Model Inputs &amp; Assumptions'!$W$35*EXP('Model Inputs &amp; Assumptions'!$X$35*R3653-'Model Inputs &amp; Assumptions'!$X$35^2/2))</f>
        <v>0.00667032061105608</v>
      </c>
      <c r="G3653" s="45" t="n">
        <f aca="false">ROUND(C3653*F3653,0)</f>
        <v>573</v>
      </c>
      <c r="H3653" s="48" t="n">
        <f aca="false">MAX(0,(C3653*'Model Inputs &amp; Assumptions'!$N$35+E3653*'Model Inputs &amp; Assumptions'!$O$35+G3653*'Model Inputs &amp; Assumptions'!$P$35)*EXP('Model Inputs &amp; Assumptions'!$Q$35*S3653-'Model Inputs &amp; Assumptions'!$Q$35^2/2))</f>
        <v>56.4866507193393</v>
      </c>
      <c r="I3653" s="49" t="n">
        <f aca="false">IF('Model Inputs &amp; Assumptions'!$H$35="Fixed",'Model Inputs &amp; Assumptions'!$I$35*'Model Inputs &amp; Assumptions'!$K$35,IF('Model Inputs &amp; Assumptions'!$H$35="CPM",'Model Inputs &amp; Assumptions'!$I$35*'Model Inputs &amp; Assumptions'!$K$35*C3653/1000,IF('Model Inputs &amp; Assumptions'!$H$35="CPC",'Model Inputs &amp; Assumptions'!$I$35*'Model Inputs &amp; Assumptions'!$K$35*G3653,0)))</f>
        <v>8672.8</v>
      </c>
      <c r="J3653" s="50" t="n">
        <f aca="false">H3653*INDEX('Model Inputs &amp; Assumptions'!$D$40:$D$42,MATCH('Model Inputs &amp; Assumptions'!$L$35,'Model Inputs &amp; Assumptions'!$A$40:$A$42,0))*INDEX('Model Inputs &amp; Assumptions'!$H$40:$H$42,MATCH('Model Inputs &amp; Assumptions'!$L$35,'Model Inputs &amp; Assumptions'!$A$40:$A$42,0))</f>
        <v>480136.531114384</v>
      </c>
      <c r="K3653" s="49" t="n">
        <f aca="false">H3653*INDEX('Model Inputs &amp; Assumptions'!$G$40:$G$42,MATCH('Model Inputs &amp; Assumptions'!$L$35,'Model Inputs &amp; Assumptions'!$A$40:$A$42,0))*INDEX('Model Inputs &amp; Assumptions'!$H$40:$H$42,MATCH('Model Inputs &amp; Assumptions'!$L$35,'Model Inputs &amp; Assumptions'!$A$40:$A$42,0))</f>
        <v>10803.0719500736</v>
      </c>
      <c r="L3653" s="51" t="n">
        <f aca="false">IFERROR(K3653/I3653,0)</f>
        <v>1.24562678144009</v>
      </c>
      <c r="M3653" s="49" t="n">
        <f aca="false">IFERROR(I3653/H3653,0)</f>
        <v>153.537161250573</v>
      </c>
      <c r="N3653" s="52" t="str">
        <f aca="false">'Model Inputs &amp; Assumptions'!$L$35</f>
        <v>PRD-EUAI</v>
      </c>
      <c r="P3653" s="53" t="n">
        <v>-0.193504</v>
      </c>
      <c r="Q3653" s="53" t="n">
        <v>0.951517</v>
      </c>
      <c r="R3653" s="53" t="n">
        <v>0.077802</v>
      </c>
      <c r="S3653" s="53" t="n">
        <v>1.446841</v>
      </c>
    </row>
    <row r="3654" customFormat="false" ht="15" hidden="false" customHeight="false" outlineLevel="0" collapsed="false">
      <c r="A3654" s="43" t="n">
        <v>151</v>
      </c>
      <c r="B3654" s="44" t="str">
        <f aca="false">'Model Inputs &amp; Assumptions'!$B$35</f>
        <v>justETF — Sponsored Listing</v>
      </c>
      <c r="C3654" s="45" t="n">
        <f aca="false">ROUND(MAX(0,'Model Inputs &amp; Assumptions'!$S$35*EXP('Model Inputs &amp; Assumptions'!$T$35*P3654-'Model Inputs &amp; Assumptions'!$T$35^2/2)),0)</f>
        <v>107197</v>
      </c>
      <c r="D3654" s="46" t="n">
        <f aca="false">MIN(1,'Model Inputs &amp; Assumptions'!$U$35*EXP('Model Inputs &amp; Assumptions'!$V$35*Q3654-'Model Inputs &amp; Assumptions'!$V$35^2/2))</f>
        <v>0</v>
      </c>
      <c r="E3654" s="45" t="n">
        <f aca="false">ROUND(C3654*D3654,0)</f>
        <v>0</v>
      </c>
      <c r="F3654" s="47" t="n">
        <f aca="false">MIN(1,'Model Inputs &amp; Assumptions'!$W$35*EXP('Model Inputs &amp; Assumptions'!$X$35*R3654-'Model Inputs &amp; Assumptions'!$X$35^2/2))</f>
        <v>0.00858810689017995</v>
      </c>
      <c r="G3654" s="45" t="n">
        <f aca="false">ROUND(C3654*F3654,0)</f>
        <v>921</v>
      </c>
      <c r="H3654" s="48" t="n">
        <f aca="false">MAX(0,(C3654*'Model Inputs &amp; Assumptions'!$N$35+E3654*'Model Inputs &amp; Assumptions'!$O$35+G3654*'Model Inputs &amp; Assumptions'!$P$35)*EXP('Model Inputs &amp; Assumptions'!$Q$35*S3654-'Model Inputs &amp; Assumptions'!$Q$35^2/2))</f>
        <v>59.7998288745282</v>
      </c>
      <c r="I3654" s="49" t="n">
        <f aca="false">IF('Model Inputs &amp; Assumptions'!$H$35="Fixed",'Model Inputs &amp; Assumptions'!$I$35*'Model Inputs &amp; Assumptions'!$K$35,IF('Model Inputs &amp; Assumptions'!$H$35="CPM",'Model Inputs &amp; Assumptions'!$I$35*'Model Inputs &amp; Assumptions'!$K$35*C3654/1000,IF('Model Inputs &amp; Assumptions'!$H$35="CPC",'Model Inputs &amp; Assumptions'!$I$35*'Model Inputs &amp; Assumptions'!$K$35*G3654,0)))</f>
        <v>8672.8</v>
      </c>
      <c r="J3654" s="50" t="n">
        <f aca="false">H3654*INDEX('Model Inputs &amp; Assumptions'!$D$40:$D$42,MATCH('Model Inputs &amp; Assumptions'!$L$35,'Model Inputs &amp; Assumptions'!$A$40:$A$42,0))*INDEX('Model Inputs &amp; Assumptions'!$H$40:$H$42,MATCH('Model Inputs &amp; Assumptions'!$L$35,'Model Inputs &amp; Assumptions'!$A$40:$A$42,0))</f>
        <v>508298.54543349</v>
      </c>
      <c r="K3654" s="49" t="n">
        <f aca="false">H3654*INDEX('Model Inputs &amp; Assumptions'!$G$40:$G$42,MATCH('Model Inputs &amp; Assumptions'!$L$35,'Model Inputs &amp; Assumptions'!$A$40:$A$42,0))*INDEX('Model Inputs &amp; Assumptions'!$H$40:$H$42,MATCH('Model Inputs &amp; Assumptions'!$L$35,'Model Inputs &amp; Assumptions'!$A$40:$A$42,0))</f>
        <v>11436.7172722535</v>
      </c>
      <c r="L3654" s="51" t="n">
        <f aca="false">IFERROR(K3654/I3654,0)</f>
        <v>1.31868799836887</v>
      </c>
      <c r="M3654" s="49" t="n">
        <f aca="false">IFERROR(I3654/H3654,0)</f>
        <v>145.030515358116</v>
      </c>
      <c r="N3654" s="52" t="str">
        <f aca="false">'Model Inputs &amp; Assumptions'!$L$35</f>
        <v>PRD-EUAI</v>
      </c>
      <c r="P3654" s="53" t="n">
        <v>1.285325</v>
      </c>
      <c r="Q3654" s="53" t="n">
        <v>-0.780987</v>
      </c>
      <c r="R3654" s="53" t="n">
        <v>1.341354</v>
      </c>
      <c r="S3654" s="53" t="n">
        <v>-0.15922</v>
      </c>
    </row>
    <row r="3655" customFormat="false" ht="15" hidden="false" customHeight="false" outlineLevel="0" collapsed="false">
      <c r="A3655" s="43" t="n">
        <v>152</v>
      </c>
      <c r="B3655" s="44" t="str">
        <f aca="false">'Model Inputs &amp; Assumptions'!$B$35</f>
        <v>justETF — Sponsored Listing</v>
      </c>
      <c r="C3655" s="45" t="n">
        <f aca="false">ROUND(MAX(0,'Model Inputs &amp; Assumptions'!$S$35*EXP('Model Inputs &amp; Assumptions'!$T$35*P3655-'Model Inputs &amp; Assumptions'!$T$35^2/2)),0)</f>
        <v>82964</v>
      </c>
      <c r="D3655" s="46" t="n">
        <f aca="false">MIN(1,'Model Inputs &amp; Assumptions'!$U$35*EXP('Model Inputs &amp; Assumptions'!$V$35*Q3655-'Model Inputs &amp; Assumptions'!$V$35^2/2))</f>
        <v>0</v>
      </c>
      <c r="E3655" s="45" t="n">
        <f aca="false">ROUND(C3655*D3655,0)</f>
        <v>0</v>
      </c>
      <c r="F3655" s="47" t="n">
        <f aca="false">MIN(1,'Model Inputs &amp; Assumptions'!$W$35*EXP('Model Inputs &amp; Assumptions'!$X$35*R3655-'Model Inputs &amp; Assumptions'!$X$35^2/2))</f>
        <v>0.00673853489318783</v>
      </c>
      <c r="G3655" s="45" t="n">
        <f aca="false">ROUND(C3655*F3655,0)</f>
        <v>559</v>
      </c>
      <c r="H3655" s="48" t="n">
        <f aca="false">MAX(0,(C3655*'Model Inputs &amp; Assumptions'!$N$35+E3655*'Model Inputs &amp; Assumptions'!$O$35+G3655*'Model Inputs &amp; Assumptions'!$P$35)*EXP('Model Inputs &amp; Assumptions'!$Q$35*S3655-'Model Inputs &amp; Assumptions'!$Q$35^2/2))</f>
        <v>64.7676231807022</v>
      </c>
      <c r="I3655" s="49" t="n">
        <f aca="false">IF('Model Inputs &amp; Assumptions'!$H$35="Fixed",'Model Inputs &amp; Assumptions'!$I$35*'Model Inputs &amp; Assumptions'!$K$35,IF('Model Inputs &amp; Assumptions'!$H$35="CPM",'Model Inputs &amp; Assumptions'!$I$35*'Model Inputs &amp; Assumptions'!$K$35*C3655/1000,IF('Model Inputs &amp; Assumptions'!$H$35="CPC",'Model Inputs &amp; Assumptions'!$I$35*'Model Inputs &amp; Assumptions'!$K$35*G3655,0)))</f>
        <v>8672.8</v>
      </c>
      <c r="J3655" s="50" t="n">
        <f aca="false">H3655*INDEX('Model Inputs &amp; Assumptions'!$D$40:$D$42,MATCH('Model Inputs &amp; Assumptions'!$L$35,'Model Inputs &amp; Assumptions'!$A$40:$A$42,0))*INDEX('Model Inputs &amp; Assumptions'!$H$40:$H$42,MATCH('Model Inputs &amp; Assumptions'!$L$35,'Model Inputs &amp; Assumptions'!$A$40:$A$42,0))</f>
        <v>550524.797035969</v>
      </c>
      <c r="K3655" s="49" t="n">
        <f aca="false">H3655*INDEX('Model Inputs &amp; Assumptions'!$G$40:$G$42,MATCH('Model Inputs &amp; Assumptions'!$L$35,'Model Inputs &amp; Assumptions'!$A$40:$A$42,0))*INDEX('Model Inputs &amp; Assumptions'!$H$40:$H$42,MATCH('Model Inputs &amp; Assumptions'!$L$35,'Model Inputs &amp; Assumptions'!$A$40:$A$42,0))</f>
        <v>12386.8079333093</v>
      </c>
      <c r="L3655" s="51" t="n">
        <f aca="false">IFERROR(K3655/I3655,0)</f>
        <v>1.42823631737262</v>
      </c>
      <c r="M3655" s="49" t="n">
        <f aca="false">IFERROR(I3655/H3655,0)</f>
        <v>133.906411476654</v>
      </c>
      <c r="N3655" s="52" t="str">
        <f aca="false">'Model Inputs &amp; Assumptions'!$L$35</f>
        <v>PRD-EUAI</v>
      </c>
      <c r="P3655" s="53" t="n">
        <v>-0.423132</v>
      </c>
      <c r="Q3655" s="53" t="n">
        <v>-0.165947</v>
      </c>
      <c r="R3655" s="53" t="n">
        <v>0.128675</v>
      </c>
      <c r="S3655" s="53" t="n">
        <v>2.06814</v>
      </c>
    </row>
    <row r="3656" customFormat="false" ht="15" hidden="false" customHeight="false" outlineLevel="0" collapsed="false">
      <c r="A3656" s="43" t="n">
        <v>153</v>
      </c>
      <c r="B3656" s="44" t="str">
        <f aca="false">'Model Inputs &amp; Assumptions'!$B$35</f>
        <v>justETF — Sponsored Listing</v>
      </c>
      <c r="C3656" s="45" t="n">
        <f aca="false">ROUND(MAX(0,'Model Inputs &amp; Assumptions'!$S$35*EXP('Model Inputs &amp; Assumptions'!$T$35*P3656-'Model Inputs &amp; Assumptions'!$T$35^2/2)),0)</f>
        <v>81088</v>
      </c>
      <c r="D3656" s="46" t="n">
        <f aca="false">MIN(1,'Model Inputs &amp; Assumptions'!$U$35*EXP('Model Inputs &amp; Assumptions'!$V$35*Q3656-'Model Inputs &amp; Assumptions'!$V$35^2/2))</f>
        <v>0</v>
      </c>
      <c r="E3656" s="45" t="n">
        <f aca="false">ROUND(C3656*D3656,0)</f>
        <v>0</v>
      </c>
      <c r="F3656" s="47" t="n">
        <f aca="false">MIN(1,'Model Inputs &amp; Assumptions'!$W$35*EXP('Model Inputs &amp; Assumptions'!$X$35*R3656-'Model Inputs &amp; Assumptions'!$X$35^2/2))</f>
        <v>0.00723672623318033</v>
      </c>
      <c r="G3656" s="45" t="n">
        <f aca="false">ROUND(C3656*F3656,0)</f>
        <v>587</v>
      </c>
      <c r="H3656" s="48" t="n">
        <f aca="false">MAX(0,(C3656*'Model Inputs &amp; Assumptions'!$N$35+E3656*'Model Inputs &amp; Assumptions'!$O$35+G3656*'Model Inputs &amp; Assumptions'!$P$35)*EXP('Model Inputs &amp; Assumptions'!$Q$35*S3656-'Model Inputs &amp; Assumptions'!$Q$35^2/2))</f>
        <v>41.5250825266992</v>
      </c>
      <c r="I3656" s="49" t="n">
        <f aca="false">IF('Model Inputs &amp; Assumptions'!$H$35="Fixed",'Model Inputs &amp; Assumptions'!$I$35*'Model Inputs &amp; Assumptions'!$K$35,IF('Model Inputs &amp; Assumptions'!$H$35="CPM",'Model Inputs &amp; Assumptions'!$I$35*'Model Inputs &amp; Assumptions'!$K$35*C3656/1000,IF('Model Inputs &amp; Assumptions'!$H$35="CPC",'Model Inputs &amp; Assumptions'!$I$35*'Model Inputs &amp; Assumptions'!$K$35*G3656,0)))</f>
        <v>8672.8</v>
      </c>
      <c r="J3656" s="50" t="n">
        <f aca="false">H3656*INDEX('Model Inputs &amp; Assumptions'!$D$40:$D$42,MATCH('Model Inputs &amp; Assumptions'!$L$35,'Model Inputs &amp; Assumptions'!$A$40:$A$42,0))*INDEX('Model Inputs &amp; Assumptions'!$H$40:$H$42,MATCH('Model Inputs &amp; Assumptions'!$L$35,'Model Inputs &amp; Assumptions'!$A$40:$A$42,0))</f>
        <v>352963.201476944</v>
      </c>
      <c r="K3656" s="49" t="n">
        <f aca="false">H3656*INDEX('Model Inputs &amp; Assumptions'!$G$40:$G$42,MATCH('Model Inputs &amp; Assumptions'!$L$35,'Model Inputs &amp; Assumptions'!$A$40:$A$42,0))*INDEX('Model Inputs &amp; Assumptions'!$H$40:$H$42,MATCH('Model Inputs &amp; Assumptions'!$L$35,'Model Inputs &amp; Assumptions'!$A$40:$A$42,0))</f>
        <v>7941.67203323123</v>
      </c>
      <c r="L3656" s="51" t="n">
        <f aca="false">IFERROR(K3656/I3656,0)</f>
        <v>0.915698740110602</v>
      </c>
      <c r="M3656" s="49" t="n">
        <f aca="false">IFERROR(I3656/H3656,0)</f>
        <v>208.856899788789</v>
      </c>
      <c r="N3656" s="52" t="str">
        <f aca="false">'Model Inputs &amp; Assumptions'!$L$35</f>
        <v>PRD-EUAI</v>
      </c>
      <c r="P3656" s="53" t="n">
        <v>-0.575599</v>
      </c>
      <c r="Q3656" s="53" t="n">
        <v>1.465528</v>
      </c>
      <c r="R3656" s="53" t="n">
        <v>0.485307</v>
      </c>
      <c r="S3656" s="53" t="n">
        <v>0.170511</v>
      </c>
    </row>
    <row r="3657" customFormat="false" ht="15" hidden="false" customHeight="false" outlineLevel="0" collapsed="false">
      <c r="A3657" s="43" t="n">
        <v>154</v>
      </c>
      <c r="B3657" s="44" t="str">
        <f aca="false">'Model Inputs &amp; Assumptions'!$B$35</f>
        <v>justETF — Sponsored Listing</v>
      </c>
      <c r="C3657" s="45" t="n">
        <f aca="false">ROUND(MAX(0,'Model Inputs &amp; Assumptions'!$S$35*EXP('Model Inputs &amp; Assumptions'!$T$35*P3657-'Model Inputs &amp; Assumptions'!$T$35^2/2)),0)</f>
        <v>84103</v>
      </c>
      <c r="D3657" s="46" t="n">
        <f aca="false">MIN(1,'Model Inputs &amp; Assumptions'!$U$35*EXP('Model Inputs &amp; Assumptions'!$V$35*Q3657-'Model Inputs &amp; Assumptions'!$V$35^2/2))</f>
        <v>0</v>
      </c>
      <c r="E3657" s="45" t="n">
        <f aca="false">ROUND(C3657*D3657,0)</f>
        <v>0</v>
      </c>
      <c r="F3657" s="47" t="n">
        <f aca="false">MIN(1,'Model Inputs &amp; Assumptions'!$W$35*EXP('Model Inputs &amp; Assumptions'!$X$35*R3657-'Model Inputs &amp; Assumptions'!$X$35^2/2))</f>
        <v>0.00921768135859235</v>
      </c>
      <c r="G3657" s="45" t="n">
        <f aca="false">ROUND(C3657*F3657,0)</f>
        <v>775</v>
      </c>
      <c r="H3657" s="48" t="n">
        <f aca="false">MAX(0,(C3657*'Model Inputs &amp; Assumptions'!$N$35+E3657*'Model Inputs &amp; Assumptions'!$O$35+G3657*'Model Inputs &amp; Assumptions'!$P$35)*EXP('Model Inputs &amp; Assumptions'!$Q$35*S3657-'Model Inputs &amp; Assumptions'!$Q$35^2/2))</f>
        <v>71.6747033127842</v>
      </c>
      <c r="I3657" s="49" t="n">
        <f aca="false">IF('Model Inputs &amp; Assumptions'!$H$35="Fixed",'Model Inputs &amp; Assumptions'!$I$35*'Model Inputs &amp; Assumptions'!$K$35,IF('Model Inputs &amp; Assumptions'!$H$35="CPM",'Model Inputs &amp; Assumptions'!$I$35*'Model Inputs &amp; Assumptions'!$K$35*C3657/1000,IF('Model Inputs &amp; Assumptions'!$H$35="CPC",'Model Inputs &amp; Assumptions'!$I$35*'Model Inputs &amp; Assumptions'!$K$35*G3657,0)))</f>
        <v>8672.8</v>
      </c>
      <c r="J3657" s="50" t="n">
        <f aca="false">H3657*INDEX('Model Inputs &amp; Assumptions'!$D$40:$D$42,MATCH('Model Inputs &amp; Assumptions'!$L$35,'Model Inputs &amp; Assumptions'!$A$40:$A$42,0))*INDEX('Model Inputs &amp; Assumptions'!$H$40:$H$42,MATCH('Model Inputs &amp; Assumptions'!$L$35,'Model Inputs &amp; Assumptions'!$A$40:$A$42,0))</f>
        <v>609234.978158666</v>
      </c>
      <c r="K3657" s="49" t="n">
        <f aca="false">H3657*INDEX('Model Inputs &amp; Assumptions'!$G$40:$G$42,MATCH('Model Inputs &amp; Assumptions'!$L$35,'Model Inputs &amp; Assumptions'!$A$40:$A$42,0))*INDEX('Model Inputs &amp; Assumptions'!$H$40:$H$42,MATCH('Model Inputs &amp; Assumptions'!$L$35,'Model Inputs &amp; Assumptions'!$A$40:$A$42,0))</f>
        <v>13707.78700857</v>
      </c>
      <c r="L3657" s="51" t="n">
        <f aca="false">IFERROR(K3657/I3657,0)</f>
        <v>1.58054918925491</v>
      </c>
      <c r="M3657" s="49" t="n">
        <f aca="false">IFERROR(I3657/H3657,0)</f>
        <v>121.002244852726</v>
      </c>
      <c r="N3657" s="52" t="str">
        <f aca="false">'Model Inputs &amp; Assumptions'!$L$35</f>
        <v>PRD-EUAI</v>
      </c>
      <c r="P3657" s="53" t="n">
        <v>-0.332225</v>
      </c>
      <c r="Q3657" s="53" t="n">
        <v>-0.268569</v>
      </c>
      <c r="R3657" s="53" t="n">
        <v>1.69508</v>
      </c>
      <c r="S3657" s="53" t="n">
        <v>1.201288</v>
      </c>
    </row>
    <row r="3658" customFormat="false" ht="15" hidden="false" customHeight="false" outlineLevel="0" collapsed="false">
      <c r="A3658" s="43" t="n">
        <v>155</v>
      </c>
      <c r="B3658" s="44" t="str">
        <f aca="false">'Model Inputs &amp; Assumptions'!$B$35</f>
        <v>justETF — Sponsored Listing</v>
      </c>
      <c r="C3658" s="45" t="n">
        <f aca="false">ROUND(MAX(0,'Model Inputs &amp; Assumptions'!$S$35*EXP('Model Inputs &amp; Assumptions'!$T$35*P3658-'Model Inputs &amp; Assumptions'!$T$35^2/2)),0)</f>
        <v>98290</v>
      </c>
      <c r="D3658" s="46" t="n">
        <f aca="false">MIN(1,'Model Inputs &amp; Assumptions'!$U$35*EXP('Model Inputs &amp; Assumptions'!$V$35*Q3658-'Model Inputs &amp; Assumptions'!$V$35^2/2))</f>
        <v>0</v>
      </c>
      <c r="E3658" s="45" t="n">
        <f aca="false">ROUND(C3658*D3658,0)</f>
        <v>0</v>
      </c>
      <c r="F3658" s="47" t="n">
        <f aca="false">MIN(1,'Model Inputs &amp; Assumptions'!$W$35*EXP('Model Inputs &amp; Assumptions'!$X$35*R3658-'Model Inputs &amp; Assumptions'!$X$35^2/2))</f>
        <v>0.00468941821316049</v>
      </c>
      <c r="G3658" s="45" t="n">
        <f aca="false">ROUND(C3658*F3658,0)</f>
        <v>461</v>
      </c>
      <c r="H3658" s="48" t="n">
        <f aca="false">MAX(0,(C3658*'Model Inputs &amp; Assumptions'!$N$35+E3658*'Model Inputs &amp; Assumptions'!$O$35+G3658*'Model Inputs &amp; Assumptions'!$P$35)*EXP('Model Inputs &amp; Assumptions'!$Q$35*S3658-'Model Inputs &amp; Assumptions'!$Q$35^2/2))</f>
        <v>30.6068103931839</v>
      </c>
      <c r="I3658" s="49" t="n">
        <f aca="false">IF('Model Inputs &amp; Assumptions'!$H$35="Fixed",'Model Inputs &amp; Assumptions'!$I$35*'Model Inputs &amp; Assumptions'!$K$35,IF('Model Inputs &amp; Assumptions'!$H$35="CPM",'Model Inputs &amp; Assumptions'!$I$35*'Model Inputs &amp; Assumptions'!$K$35*C3658/1000,IF('Model Inputs &amp; Assumptions'!$H$35="CPC",'Model Inputs &amp; Assumptions'!$I$35*'Model Inputs &amp; Assumptions'!$K$35*G3658,0)))</f>
        <v>8672.8</v>
      </c>
      <c r="J3658" s="50" t="n">
        <f aca="false">H3658*INDEX('Model Inputs &amp; Assumptions'!$D$40:$D$42,MATCH('Model Inputs &amp; Assumptions'!$L$35,'Model Inputs &amp; Assumptions'!$A$40:$A$42,0))*INDEX('Model Inputs &amp; Assumptions'!$H$40:$H$42,MATCH('Model Inputs &amp; Assumptions'!$L$35,'Model Inputs &amp; Assumptions'!$A$40:$A$42,0))</f>
        <v>260157.888342063</v>
      </c>
      <c r="K3658" s="49" t="n">
        <f aca="false">H3658*INDEX('Model Inputs &amp; Assumptions'!$G$40:$G$42,MATCH('Model Inputs &amp; Assumptions'!$L$35,'Model Inputs &amp; Assumptions'!$A$40:$A$42,0))*INDEX('Model Inputs &amp; Assumptions'!$H$40:$H$42,MATCH('Model Inputs &amp; Assumptions'!$L$35,'Model Inputs &amp; Assumptions'!$A$40:$A$42,0))</f>
        <v>5853.55248769642</v>
      </c>
      <c r="L3658" s="51" t="n">
        <f aca="false">IFERROR(K3658/I3658,0)</f>
        <v>0.674932258059268</v>
      </c>
      <c r="M3658" s="49" t="n">
        <f aca="false">IFERROR(I3658/H3658,0)</f>
        <v>283.361771076003</v>
      </c>
      <c r="N3658" s="52" t="str">
        <f aca="false">'Model Inputs &amp; Assumptions'!$L$35</f>
        <v>PRD-EUAI</v>
      </c>
      <c r="P3658" s="53" t="n">
        <v>0.707016</v>
      </c>
      <c r="Q3658" s="53" t="n">
        <v>-0.805107</v>
      </c>
      <c r="R3658" s="53" t="n">
        <v>-1.683995</v>
      </c>
      <c r="S3658" s="53" t="n">
        <v>-0.073521</v>
      </c>
    </row>
    <row r="3659" customFormat="false" ht="15" hidden="false" customHeight="false" outlineLevel="0" collapsed="false">
      <c r="A3659" s="43" t="n">
        <v>156</v>
      </c>
      <c r="B3659" s="44" t="str">
        <f aca="false">'Model Inputs &amp; Assumptions'!$B$35</f>
        <v>justETF — Sponsored Listing</v>
      </c>
      <c r="C3659" s="45" t="n">
        <f aca="false">ROUND(MAX(0,'Model Inputs &amp; Assumptions'!$S$35*EXP('Model Inputs &amp; Assumptions'!$T$35*P3659-'Model Inputs &amp; Assumptions'!$T$35^2/2)),0)</f>
        <v>81781</v>
      </c>
      <c r="D3659" s="46" t="n">
        <f aca="false">MIN(1,'Model Inputs &amp; Assumptions'!$U$35*EXP('Model Inputs &amp; Assumptions'!$V$35*Q3659-'Model Inputs &amp; Assumptions'!$V$35^2/2))</f>
        <v>0</v>
      </c>
      <c r="E3659" s="45" t="n">
        <f aca="false">ROUND(C3659*D3659,0)</f>
        <v>0</v>
      </c>
      <c r="F3659" s="47" t="n">
        <f aca="false">MIN(1,'Model Inputs &amp; Assumptions'!$W$35*EXP('Model Inputs &amp; Assumptions'!$X$35*R3659-'Model Inputs &amp; Assumptions'!$X$35^2/2))</f>
        <v>0.00817631145377329</v>
      </c>
      <c r="G3659" s="45" t="n">
        <f aca="false">ROUND(C3659*F3659,0)</f>
        <v>669</v>
      </c>
      <c r="H3659" s="48" t="n">
        <f aca="false">MAX(0,(C3659*'Model Inputs &amp; Assumptions'!$N$35+E3659*'Model Inputs &amp; Assumptions'!$O$35+G3659*'Model Inputs &amp; Assumptions'!$P$35)*EXP('Model Inputs &amp; Assumptions'!$Q$35*S3659-'Model Inputs &amp; Assumptions'!$Q$35^2/2))</f>
        <v>63.7843768366826</v>
      </c>
      <c r="I3659" s="49" t="n">
        <f aca="false">IF('Model Inputs &amp; Assumptions'!$H$35="Fixed",'Model Inputs &amp; Assumptions'!$I$35*'Model Inputs &amp; Assumptions'!$K$35,IF('Model Inputs &amp; Assumptions'!$H$35="CPM",'Model Inputs &amp; Assumptions'!$I$35*'Model Inputs &amp; Assumptions'!$K$35*C3659/1000,IF('Model Inputs &amp; Assumptions'!$H$35="CPC",'Model Inputs &amp; Assumptions'!$I$35*'Model Inputs &amp; Assumptions'!$K$35*G3659,0)))</f>
        <v>8672.8</v>
      </c>
      <c r="J3659" s="50" t="n">
        <f aca="false">H3659*INDEX('Model Inputs &amp; Assumptions'!$D$40:$D$42,MATCH('Model Inputs &amp; Assumptions'!$L$35,'Model Inputs &amp; Assumptions'!$A$40:$A$42,0))*INDEX('Model Inputs &amp; Assumptions'!$H$40:$H$42,MATCH('Model Inputs &amp; Assumptions'!$L$35,'Model Inputs &amp; Assumptions'!$A$40:$A$42,0))</f>
        <v>542167.203111802</v>
      </c>
      <c r="K3659" s="49" t="n">
        <f aca="false">H3659*INDEX('Model Inputs &amp; Assumptions'!$G$40:$G$42,MATCH('Model Inputs &amp; Assumptions'!$L$35,'Model Inputs &amp; Assumptions'!$A$40:$A$42,0))*INDEX('Model Inputs &amp; Assumptions'!$H$40:$H$42,MATCH('Model Inputs &amp; Assumptions'!$L$35,'Model Inputs &amp; Assumptions'!$A$40:$A$42,0))</f>
        <v>12198.7620700155</v>
      </c>
      <c r="L3659" s="51" t="n">
        <f aca="false">IFERROR(K3659/I3659,0)</f>
        <v>1.40655406212706</v>
      </c>
      <c r="M3659" s="49" t="n">
        <f aca="false">IFERROR(I3659/H3659,0)</f>
        <v>135.970600170734</v>
      </c>
      <c r="N3659" s="52" t="str">
        <f aca="false">'Model Inputs &amp; Assumptions'!$L$35</f>
        <v>PRD-EUAI</v>
      </c>
      <c r="P3659" s="53" t="n">
        <v>-0.518817</v>
      </c>
      <c r="Q3659" s="53" t="n">
        <v>-0.598073</v>
      </c>
      <c r="R3659" s="53" t="n">
        <v>1.095668</v>
      </c>
      <c r="S3659" s="53" t="n">
        <v>1.318401</v>
      </c>
    </row>
    <row r="3660" customFormat="false" ht="15" hidden="false" customHeight="false" outlineLevel="0" collapsed="false">
      <c r="A3660" s="43" t="n">
        <v>157</v>
      </c>
      <c r="B3660" s="44" t="str">
        <f aca="false">'Model Inputs &amp; Assumptions'!$B$35</f>
        <v>justETF — Sponsored Listing</v>
      </c>
      <c r="C3660" s="45" t="n">
        <f aca="false">ROUND(MAX(0,'Model Inputs &amp; Assumptions'!$S$35*EXP('Model Inputs &amp; Assumptions'!$T$35*P3660-'Model Inputs &amp; Assumptions'!$T$35^2/2)),0)</f>
        <v>111557</v>
      </c>
      <c r="D3660" s="46" t="n">
        <f aca="false">MIN(1,'Model Inputs &amp; Assumptions'!$U$35*EXP('Model Inputs &amp; Assumptions'!$V$35*Q3660-'Model Inputs &amp; Assumptions'!$V$35^2/2))</f>
        <v>0</v>
      </c>
      <c r="E3660" s="45" t="n">
        <f aca="false">ROUND(C3660*D3660,0)</f>
        <v>0</v>
      </c>
      <c r="F3660" s="47" t="n">
        <f aca="false">MIN(1,'Model Inputs &amp; Assumptions'!$W$35*EXP('Model Inputs &amp; Assumptions'!$X$35*R3660-'Model Inputs &amp; Assumptions'!$X$35^2/2))</f>
        <v>0.00786327767406902</v>
      </c>
      <c r="G3660" s="45" t="n">
        <f aca="false">ROUND(C3660*F3660,0)</f>
        <v>877</v>
      </c>
      <c r="H3660" s="48" t="n">
        <f aca="false">MAX(0,(C3660*'Model Inputs &amp; Assumptions'!$N$35+E3660*'Model Inputs &amp; Assumptions'!$O$35+G3660*'Model Inputs &amp; Assumptions'!$P$35)*EXP('Model Inputs &amp; Assumptions'!$Q$35*S3660-'Model Inputs &amp; Assumptions'!$Q$35^2/2))</f>
        <v>53.923955114252</v>
      </c>
      <c r="I3660" s="49" t="n">
        <f aca="false">IF('Model Inputs &amp; Assumptions'!$H$35="Fixed",'Model Inputs &amp; Assumptions'!$I$35*'Model Inputs &amp; Assumptions'!$K$35,IF('Model Inputs &amp; Assumptions'!$H$35="CPM",'Model Inputs &amp; Assumptions'!$I$35*'Model Inputs &amp; Assumptions'!$K$35*C3660/1000,IF('Model Inputs &amp; Assumptions'!$H$35="CPC",'Model Inputs &amp; Assumptions'!$I$35*'Model Inputs &amp; Assumptions'!$K$35*G3660,0)))</f>
        <v>8672.8</v>
      </c>
      <c r="J3660" s="50" t="n">
        <f aca="false">H3660*INDEX('Model Inputs &amp; Assumptions'!$D$40:$D$42,MATCH('Model Inputs &amp; Assumptions'!$L$35,'Model Inputs &amp; Assumptions'!$A$40:$A$42,0))*INDEX('Model Inputs &amp; Assumptions'!$H$40:$H$42,MATCH('Model Inputs &amp; Assumptions'!$L$35,'Model Inputs &amp; Assumptions'!$A$40:$A$42,0))</f>
        <v>458353.618471142</v>
      </c>
      <c r="K3660" s="49" t="n">
        <f aca="false">H3660*INDEX('Model Inputs &amp; Assumptions'!$G$40:$G$42,MATCH('Model Inputs &amp; Assumptions'!$L$35,'Model Inputs &amp; Assumptions'!$A$40:$A$42,0))*INDEX('Model Inputs &amp; Assumptions'!$H$40:$H$42,MATCH('Model Inputs &amp; Assumptions'!$L$35,'Model Inputs &amp; Assumptions'!$A$40:$A$42,0))</f>
        <v>10312.9564156007</v>
      </c>
      <c r="L3660" s="51" t="n">
        <f aca="false">IFERROR(K3660/I3660,0)</f>
        <v>1.18911498196669</v>
      </c>
      <c r="M3660" s="49" t="n">
        <f aca="false">IFERROR(I3660/H3660,0)</f>
        <v>160.833899917475</v>
      </c>
      <c r="N3660" s="52" t="str">
        <f aca="false">'Model Inputs &amp; Assumptions'!$L$35</f>
        <v>PRD-EUAI</v>
      </c>
      <c r="P3660" s="53" t="n">
        <v>1.551127</v>
      </c>
      <c r="Q3660" s="53" t="n">
        <v>-0.729438</v>
      </c>
      <c r="R3660" s="53" t="n">
        <v>0.90048</v>
      </c>
      <c r="S3660" s="53" t="n">
        <v>-0.368739</v>
      </c>
    </row>
    <row r="3661" customFormat="false" ht="15" hidden="false" customHeight="false" outlineLevel="0" collapsed="false">
      <c r="A3661" s="43" t="n">
        <v>158</v>
      </c>
      <c r="B3661" s="44" t="str">
        <f aca="false">'Model Inputs &amp; Assumptions'!$B$35</f>
        <v>justETF — Sponsored Listing</v>
      </c>
      <c r="C3661" s="45" t="n">
        <f aca="false">ROUND(MAX(0,'Model Inputs &amp; Assumptions'!$S$35*EXP('Model Inputs &amp; Assumptions'!$T$35*P3661-'Model Inputs &amp; Assumptions'!$T$35^2/2)),0)</f>
        <v>59356</v>
      </c>
      <c r="D3661" s="46" t="n">
        <f aca="false">MIN(1,'Model Inputs &amp; Assumptions'!$U$35*EXP('Model Inputs &amp; Assumptions'!$V$35*Q3661-'Model Inputs &amp; Assumptions'!$V$35^2/2))</f>
        <v>0</v>
      </c>
      <c r="E3661" s="45" t="n">
        <f aca="false">ROUND(C3661*D3661,0)</f>
        <v>0</v>
      </c>
      <c r="F3661" s="47" t="n">
        <f aca="false">MIN(1,'Model Inputs &amp; Assumptions'!$W$35*EXP('Model Inputs &amp; Assumptions'!$X$35*R3661-'Model Inputs &amp; Assumptions'!$X$35^2/2))</f>
        <v>0.00850121017079519</v>
      </c>
      <c r="G3661" s="45" t="n">
        <f aca="false">ROUND(C3661*F3661,0)</f>
        <v>505</v>
      </c>
      <c r="H3661" s="48" t="n">
        <f aca="false">MAX(0,(C3661*'Model Inputs &amp; Assumptions'!$N$35+E3661*'Model Inputs &amp; Assumptions'!$O$35+G3661*'Model Inputs &amp; Assumptions'!$P$35)*EXP('Model Inputs &amp; Assumptions'!$Q$35*S3661-'Model Inputs &amp; Assumptions'!$Q$35^2/2))</f>
        <v>34.3952444586743</v>
      </c>
      <c r="I3661" s="49" t="n">
        <f aca="false">IF('Model Inputs &amp; Assumptions'!$H$35="Fixed",'Model Inputs &amp; Assumptions'!$I$35*'Model Inputs &amp; Assumptions'!$K$35,IF('Model Inputs &amp; Assumptions'!$H$35="CPM",'Model Inputs &amp; Assumptions'!$I$35*'Model Inputs &amp; Assumptions'!$K$35*C3661/1000,IF('Model Inputs &amp; Assumptions'!$H$35="CPC",'Model Inputs &amp; Assumptions'!$I$35*'Model Inputs &amp; Assumptions'!$K$35*G3661,0)))</f>
        <v>8672.8</v>
      </c>
      <c r="J3661" s="50" t="n">
        <f aca="false">H3661*INDEX('Model Inputs &amp; Assumptions'!$D$40:$D$42,MATCH('Model Inputs &amp; Assumptions'!$L$35,'Model Inputs &amp; Assumptions'!$A$40:$A$42,0))*INDEX('Model Inputs &amp; Assumptions'!$H$40:$H$42,MATCH('Model Inputs &amp; Assumptions'!$L$35,'Model Inputs &amp; Assumptions'!$A$40:$A$42,0))</f>
        <v>292359.577898731</v>
      </c>
      <c r="K3661" s="49" t="n">
        <f aca="false">H3661*INDEX('Model Inputs &amp; Assumptions'!$G$40:$G$42,MATCH('Model Inputs &amp; Assumptions'!$L$35,'Model Inputs &amp; Assumptions'!$A$40:$A$42,0))*INDEX('Model Inputs &amp; Assumptions'!$H$40:$H$42,MATCH('Model Inputs &amp; Assumptions'!$L$35,'Model Inputs &amp; Assumptions'!$A$40:$A$42,0))</f>
        <v>6578.09050272146</v>
      </c>
      <c r="L3661" s="51" t="n">
        <f aca="false">IFERROR(K3661/I3661,0)</f>
        <v>0.758473676635165</v>
      </c>
      <c r="M3661" s="49" t="n">
        <f aca="false">IFERROR(I3661/H3661,0)</f>
        <v>252.151137068391</v>
      </c>
      <c r="N3661" s="52" t="str">
        <f aca="false">'Model Inputs &amp; Assumptions'!$L$35</f>
        <v>PRD-EUAI</v>
      </c>
      <c r="P3661" s="53" t="n">
        <v>-2.65547</v>
      </c>
      <c r="Q3661" s="53" t="n">
        <v>-0.822337</v>
      </c>
      <c r="R3661" s="53" t="n">
        <v>1.290505</v>
      </c>
      <c r="S3661" s="53" t="n">
        <v>0.024692</v>
      </c>
    </row>
    <row r="3662" customFormat="false" ht="15" hidden="false" customHeight="false" outlineLevel="0" collapsed="false">
      <c r="A3662" s="43" t="n">
        <v>159</v>
      </c>
      <c r="B3662" s="44" t="str">
        <f aca="false">'Model Inputs &amp; Assumptions'!$B$35</f>
        <v>justETF — Sponsored Listing</v>
      </c>
      <c r="C3662" s="45" t="n">
        <f aca="false">ROUND(MAX(0,'Model Inputs &amp; Assumptions'!$S$35*EXP('Model Inputs &amp; Assumptions'!$T$35*P3662-'Model Inputs &amp; Assumptions'!$T$35^2/2)),0)</f>
        <v>80837</v>
      </c>
      <c r="D3662" s="46" t="n">
        <f aca="false">MIN(1,'Model Inputs &amp; Assumptions'!$U$35*EXP('Model Inputs &amp; Assumptions'!$V$35*Q3662-'Model Inputs &amp; Assumptions'!$V$35^2/2))</f>
        <v>0</v>
      </c>
      <c r="E3662" s="45" t="n">
        <f aca="false">ROUND(C3662*D3662,0)</f>
        <v>0</v>
      </c>
      <c r="F3662" s="47" t="n">
        <f aca="false">MIN(1,'Model Inputs &amp; Assumptions'!$W$35*EXP('Model Inputs &amp; Assumptions'!$X$35*R3662-'Model Inputs &amp; Assumptions'!$X$35^2/2))</f>
        <v>0.0068854337288403</v>
      </c>
      <c r="G3662" s="45" t="n">
        <f aca="false">ROUND(C3662*F3662,0)</f>
        <v>557</v>
      </c>
      <c r="H3662" s="48" t="n">
        <f aca="false">MAX(0,(C3662*'Model Inputs &amp; Assumptions'!$N$35+E3662*'Model Inputs &amp; Assumptions'!$O$35+G3662*'Model Inputs &amp; Assumptions'!$P$35)*EXP('Model Inputs &amp; Assumptions'!$Q$35*S3662-'Model Inputs &amp; Assumptions'!$Q$35^2/2))</f>
        <v>38.5293821516074</v>
      </c>
      <c r="I3662" s="49" t="n">
        <f aca="false">IF('Model Inputs &amp; Assumptions'!$H$35="Fixed",'Model Inputs &amp; Assumptions'!$I$35*'Model Inputs &amp; Assumptions'!$K$35,IF('Model Inputs &amp; Assumptions'!$H$35="CPM",'Model Inputs &amp; Assumptions'!$I$35*'Model Inputs &amp; Assumptions'!$K$35*C3662/1000,IF('Model Inputs &amp; Assumptions'!$H$35="CPC",'Model Inputs &amp; Assumptions'!$I$35*'Model Inputs &amp; Assumptions'!$K$35*G3662,0)))</f>
        <v>8672.8</v>
      </c>
      <c r="J3662" s="50" t="n">
        <f aca="false">H3662*INDEX('Model Inputs &amp; Assumptions'!$D$40:$D$42,MATCH('Model Inputs &amp; Assumptions'!$L$35,'Model Inputs &amp; Assumptions'!$A$40:$A$42,0))*INDEX('Model Inputs &amp; Assumptions'!$H$40:$H$42,MATCH('Model Inputs &amp; Assumptions'!$L$35,'Model Inputs &amp; Assumptions'!$A$40:$A$42,0))</f>
        <v>327499.748288663</v>
      </c>
      <c r="K3662" s="49" t="n">
        <f aca="false">H3662*INDEX('Model Inputs &amp; Assumptions'!$G$40:$G$42,MATCH('Model Inputs &amp; Assumptions'!$L$35,'Model Inputs &amp; Assumptions'!$A$40:$A$42,0))*INDEX('Model Inputs &amp; Assumptions'!$H$40:$H$42,MATCH('Model Inputs &amp; Assumptions'!$L$35,'Model Inputs &amp; Assumptions'!$A$40:$A$42,0))</f>
        <v>7368.74433649492</v>
      </c>
      <c r="L3662" s="51" t="n">
        <f aca="false">IFERROR(K3662/I3662,0)</f>
        <v>0.849638448539678</v>
      </c>
      <c r="M3662" s="49" t="n">
        <f aca="false">IFERROR(I3662/H3662,0)</f>
        <v>225.095745524125</v>
      </c>
      <c r="N3662" s="52" t="str">
        <f aca="false">'Model Inputs &amp; Assumptions'!$L$35</f>
        <v>PRD-EUAI</v>
      </c>
      <c r="P3662" s="53" t="n">
        <v>-0.596206</v>
      </c>
      <c r="Q3662" s="53" t="n">
        <v>-0.157334</v>
      </c>
      <c r="R3662" s="53" t="n">
        <v>0.236503</v>
      </c>
      <c r="S3662" s="53" t="n">
        <v>0.084292</v>
      </c>
    </row>
    <row r="3663" customFormat="false" ht="15" hidden="false" customHeight="false" outlineLevel="0" collapsed="false">
      <c r="A3663" s="43" t="n">
        <v>160</v>
      </c>
      <c r="B3663" s="44" t="str">
        <f aca="false">'Model Inputs &amp; Assumptions'!$B$35</f>
        <v>justETF — Sponsored Listing</v>
      </c>
      <c r="C3663" s="45" t="n">
        <f aca="false">ROUND(MAX(0,'Model Inputs &amp; Assumptions'!$S$35*EXP('Model Inputs &amp; Assumptions'!$T$35*P3663-'Model Inputs &amp; Assumptions'!$T$35^2/2)),0)</f>
        <v>83554</v>
      </c>
      <c r="D3663" s="46" t="n">
        <f aca="false">MIN(1,'Model Inputs &amp; Assumptions'!$U$35*EXP('Model Inputs &amp; Assumptions'!$V$35*Q3663-'Model Inputs &amp; Assumptions'!$V$35^2/2))</f>
        <v>0</v>
      </c>
      <c r="E3663" s="45" t="n">
        <f aca="false">ROUND(C3663*D3663,0)</f>
        <v>0</v>
      </c>
      <c r="F3663" s="47" t="n">
        <f aca="false">MIN(1,'Model Inputs &amp; Assumptions'!$W$35*EXP('Model Inputs &amp; Assumptions'!$X$35*R3663-'Model Inputs &amp; Assumptions'!$X$35^2/2))</f>
        <v>0.0059802844062005</v>
      </c>
      <c r="G3663" s="45" t="n">
        <f aca="false">ROUND(C3663*F3663,0)</f>
        <v>500</v>
      </c>
      <c r="H3663" s="48" t="n">
        <f aca="false">MAX(0,(C3663*'Model Inputs &amp; Assumptions'!$N$35+E3663*'Model Inputs &amp; Assumptions'!$O$35+G3663*'Model Inputs &amp; Assumptions'!$P$35)*EXP('Model Inputs &amp; Assumptions'!$Q$35*S3663-'Model Inputs &amp; Assumptions'!$Q$35^2/2))</f>
        <v>36.4211591647044</v>
      </c>
      <c r="I3663" s="49" t="n">
        <f aca="false">IF('Model Inputs &amp; Assumptions'!$H$35="Fixed",'Model Inputs &amp; Assumptions'!$I$35*'Model Inputs &amp; Assumptions'!$K$35,IF('Model Inputs &amp; Assumptions'!$H$35="CPM",'Model Inputs &amp; Assumptions'!$I$35*'Model Inputs &amp; Assumptions'!$K$35*C3663/1000,IF('Model Inputs &amp; Assumptions'!$H$35="CPC",'Model Inputs &amp; Assumptions'!$I$35*'Model Inputs &amp; Assumptions'!$K$35*G3663,0)))</f>
        <v>8672.8</v>
      </c>
      <c r="J3663" s="50" t="n">
        <f aca="false">H3663*INDEX('Model Inputs &amp; Assumptions'!$D$40:$D$42,MATCH('Model Inputs &amp; Assumptions'!$L$35,'Model Inputs &amp; Assumptions'!$A$40:$A$42,0))*INDEX('Model Inputs &amp; Assumptions'!$H$40:$H$42,MATCH('Model Inputs &amp; Assumptions'!$L$35,'Model Inputs &amp; Assumptions'!$A$40:$A$42,0))</f>
        <v>309579.852899988</v>
      </c>
      <c r="K3663" s="49" t="n">
        <f aca="false">H3663*INDEX('Model Inputs &amp; Assumptions'!$G$40:$G$42,MATCH('Model Inputs &amp; Assumptions'!$L$35,'Model Inputs &amp; Assumptions'!$A$40:$A$42,0))*INDEX('Model Inputs &amp; Assumptions'!$H$40:$H$42,MATCH('Model Inputs &amp; Assumptions'!$L$35,'Model Inputs &amp; Assumptions'!$A$40:$A$42,0))</f>
        <v>6965.54669024972</v>
      </c>
      <c r="L3663" s="51" t="n">
        <f aca="false">IFERROR(K3663/I3663,0)</f>
        <v>0.803148543751697</v>
      </c>
      <c r="M3663" s="49" t="n">
        <f aca="false">IFERROR(I3663/H3663,0)</f>
        <v>238.125315034036</v>
      </c>
      <c r="N3663" s="52" t="str">
        <f aca="false">'Model Inputs &amp; Assumptions'!$L$35</f>
        <v>PRD-EUAI</v>
      </c>
      <c r="P3663" s="53" t="n">
        <v>-0.375848</v>
      </c>
      <c r="Q3663" s="53" t="n">
        <v>-0.051357</v>
      </c>
      <c r="R3663" s="53" t="n">
        <v>-0.468197</v>
      </c>
      <c r="S3663" s="53" t="n">
        <v>0.283084</v>
      </c>
    </row>
    <row r="3664" customFormat="false" ht="15" hidden="false" customHeight="false" outlineLevel="0" collapsed="false">
      <c r="A3664" s="43" t="n">
        <v>161</v>
      </c>
      <c r="B3664" s="44" t="str">
        <f aca="false">'Model Inputs &amp; Assumptions'!$B$35</f>
        <v>justETF — Sponsored Listing</v>
      </c>
      <c r="C3664" s="45" t="n">
        <f aca="false">ROUND(MAX(0,'Model Inputs &amp; Assumptions'!$S$35*EXP('Model Inputs &amp; Assumptions'!$T$35*P3664-'Model Inputs &amp; Assumptions'!$T$35^2/2)),0)</f>
        <v>96224</v>
      </c>
      <c r="D3664" s="46" t="n">
        <f aca="false">MIN(1,'Model Inputs &amp; Assumptions'!$U$35*EXP('Model Inputs &amp; Assumptions'!$V$35*Q3664-'Model Inputs &amp; Assumptions'!$V$35^2/2))</f>
        <v>0</v>
      </c>
      <c r="E3664" s="45" t="n">
        <f aca="false">ROUND(C3664*D3664,0)</f>
        <v>0</v>
      </c>
      <c r="F3664" s="47" t="n">
        <f aca="false">MIN(1,'Model Inputs &amp; Assumptions'!$W$35*EXP('Model Inputs &amp; Assumptions'!$X$35*R3664-'Model Inputs &amp; Assumptions'!$X$35^2/2))</f>
        <v>0.0055416612830682</v>
      </c>
      <c r="G3664" s="45" t="n">
        <f aca="false">ROUND(C3664*F3664,0)</f>
        <v>533</v>
      </c>
      <c r="H3664" s="48" t="n">
        <f aca="false">MAX(0,(C3664*'Model Inputs &amp; Assumptions'!$N$35+E3664*'Model Inputs &amp; Assumptions'!$O$35+G3664*'Model Inputs &amp; Assumptions'!$P$35)*EXP('Model Inputs &amp; Assumptions'!$Q$35*S3664-'Model Inputs &amp; Assumptions'!$Q$35^2/2))</f>
        <v>29.6233797872234</v>
      </c>
      <c r="I3664" s="49" t="n">
        <f aca="false">IF('Model Inputs &amp; Assumptions'!$H$35="Fixed",'Model Inputs &amp; Assumptions'!$I$35*'Model Inputs &amp; Assumptions'!$K$35,IF('Model Inputs &amp; Assumptions'!$H$35="CPM",'Model Inputs &amp; Assumptions'!$I$35*'Model Inputs &amp; Assumptions'!$K$35*C3664/1000,IF('Model Inputs &amp; Assumptions'!$H$35="CPC",'Model Inputs &amp; Assumptions'!$I$35*'Model Inputs &amp; Assumptions'!$K$35*G3664,0)))</f>
        <v>8672.8</v>
      </c>
      <c r="J3664" s="50" t="n">
        <f aca="false">H3664*INDEX('Model Inputs &amp; Assumptions'!$D$40:$D$42,MATCH('Model Inputs &amp; Assumptions'!$L$35,'Model Inputs &amp; Assumptions'!$A$40:$A$42,0))*INDEX('Model Inputs &amp; Assumptions'!$H$40:$H$42,MATCH('Model Inputs &amp; Assumptions'!$L$35,'Model Inputs &amp; Assumptions'!$A$40:$A$42,0))</f>
        <v>251798.728191399</v>
      </c>
      <c r="K3664" s="49" t="n">
        <f aca="false">H3664*INDEX('Model Inputs &amp; Assumptions'!$G$40:$G$42,MATCH('Model Inputs &amp; Assumptions'!$L$35,'Model Inputs &amp; Assumptions'!$A$40:$A$42,0))*INDEX('Model Inputs &amp; Assumptions'!$H$40:$H$42,MATCH('Model Inputs &amp; Assumptions'!$L$35,'Model Inputs &amp; Assumptions'!$A$40:$A$42,0))</f>
        <v>5665.47138430648</v>
      </c>
      <c r="L3664" s="51" t="n">
        <f aca="false">IFERROR(K3664/I3664,0)</f>
        <v>0.653245939524315</v>
      </c>
      <c r="M3664" s="49" t="n">
        <f aca="false">IFERROR(I3664/H3664,0)</f>
        <v>292.768754351946</v>
      </c>
      <c r="N3664" s="52" t="str">
        <f aca="false">'Model Inputs &amp; Assumptions'!$L$35</f>
        <v>PRD-EUAI</v>
      </c>
      <c r="P3664" s="53" t="n">
        <v>0.565405</v>
      </c>
      <c r="Q3664" s="53" t="n">
        <v>1.509405</v>
      </c>
      <c r="R3664" s="53" t="n">
        <v>-0.849066</v>
      </c>
      <c r="S3664" s="53" t="n">
        <v>-0.757298</v>
      </c>
    </row>
    <row r="3665" customFormat="false" ht="15" hidden="false" customHeight="false" outlineLevel="0" collapsed="false">
      <c r="A3665" s="43" t="n">
        <v>162</v>
      </c>
      <c r="B3665" s="44" t="str">
        <f aca="false">'Model Inputs &amp; Assumptions'!$B$35</f>
        <v>justETF — Sponsored Listing</v>
      </c>
      <c r="C3665" s="45" t="n">
        <f aca="false">ROUND(MAX(0,'Model Inputs &amp; Assumptions'!$S$35*EXP('Model Inputs &amp; Assumptions'!$T$35*P3665-'Model Inputs &amp; Assumptions'!$T$35^2/2)),0)</f>
        <v>82219</v>
      </c>
      <c r="D3665" s="46" t="n">
        <f aca="false">MIN(1,'Model Inputs &amp; Assumptions'!$U$35*EXP('Model Inputs &amp; Assumptions'!$V$35*Q3665-'Model Inputs &amp; Assumptions'!$V$35^2/2))</f>
        <v>0</v>
      </c>
      <c r="E3665" s="45" t="n">
        <f aca="false">ROUND(C3665*D3665,0)</f>
        <v>0</v>
      </c>
      <c r="F3665" s="47" t="n">
        <f aca="false">MIN(1,'Model Inputs &amp; Assumptions'!$W$35*EXP('Model Inputs &amp; Assumptions'!$X$35*R3665-'Model Inputs &amp; Assumptions'!$X$35^2/2))</f>
        <v>0.00490024462037949</v>
      </c>
      <c r="G3665" s="45" t="n">
        <f aca="false">ROUND(C3665*F3665,0)</f>
        <v>403</v>
      </c>
      <c r="H3665" s="48" t="n">
        <f aca="false">MAX(0,(C3665*'Model Inputs &amp; Assumptions'!$N$35+E3665*'Model Inputs &amp; Assumptions'!$O$35+G3665*'Model Inputs &amp; Assumptions'!$P$35)*EXP('Model Inputs &amp; Assumptions'!$Q$35*S3665-'Model Inputs &amp; Assumptions'!$Q$35^2/2))</f>
        <v>29.5117227277853</v>
      </c>
      <c r="I3665" s="49" t="n">
        <f aca="false">IF('Model Inputs &amp; Assumptions'!$H$35="Fixed",'Model Inputs &amp; Assumptions'!$I$35*'Model Inputs &amp; Assumptions'!$K$35,IF('Model Inputs &amp; Assumptions'!$H$35="CPM",'Model Inputs &amp; Assumptions'!$I$35*'Model Inputs &amp; Assumptions'!$K$35*C3665/1000,IF('Model Inputs &amp; Assumptions'!$H$35="CPC",'Model Inputs &amp; Assumptions'!$I$35*'Model Inputs &amp; Assumptions'!$K$35*G3665,0)))</f>
        <v>8672.8</v>
      </c>
      <c r="J3665" s="50" t="n">
        <f aca="false">H3665*INDEX('Model Inputs &amp; Assumptions'!$D$40:$D$42,MATCH('Model Inputs &amp; Assumptions'!$L$35,'Model Inputs &amp; Assumptions'!$A$40:$A$42,0))*INDEX('Model Inputs &amp; Assumptions'!$H$40:$H$42,MATCH('Model Inputs &amp; Assumptions'!$L$35,'Model Inputs &amp; Assumptions'!$A$40:$A$42,0))</f>
        <v>250849.643186175</v>
      </c>
      <c r="K3665" s="49" t="n">
        <f aca="false">H3665*INDEX('Model Inputs &amp; Assumptions'!$G$40:$G$42,MATCH('Model Inputs &amp; Assumptions'!$L$35,'Model Inputs &amp; Assumptions'!$A$40:$A$42,0))*INDEX('Model Inputs &amp; Assumptions'!$H$40:$H$42,MATCH('Model Inputs &amp; Assumptions'!$L$35,'Model Inputs &amp; Assumptions'!$A$40:$A$42,0))</f>
        <v>5644.11697168894</v>
      </c>
      <c r="L3665" s="51" t="n">
        <f aca="false">IFERROR(K3665/I3665,0)</f>
        <v>0.650783711337624</v>
      </c>
      <c r="M3665" s="49" t="n">
        <f aca="false">IFERROR(I3665/H3665,0)</f>
        <v>293.876439542262</v>
      </c>
      <c r="N3665" s="52" t="str">
        <f aca="false">'Model Inputs &amp; Assumptions'!$L$35</f>
        <v>PRD-EUAI</v>
      </c>
      <c r="P3665" s="53" t="n">
        <v>-0.483197</v>
      </c>
      <c r="Q3665" s="53" t="n">
        <v>1.969217</v>
      </c>
      <c r="R3665" s="53" t="n">
        <v>-1.464112</v>
      </c>
      <c r="S3665" s="53" t="n">
        <v>0.303504</v>
      </c>
    </row>
    <row r="3666" customFormat="false" ht="15" hidden="false" customHeight="false" outlineLevel="0" collapsed="false">
      <c r="A3666" s="43" t="n">
        <v>163</v>
      </c>
      <c r="B3666" s="44" t="str">
        <f aca="false">'Model Inputs &amp; Assumptions'!$B$35</f>
        <v>justETF — Sponsored Listing</v>
      </c>
      <c r="C3666" s="45" t="n">
        <f aca="false">ROUND(MAX(0,'Model Inputs &amp; Assumptions'!$S$35*EXP('Model Inputs &amp; Assumptions'!$T$35*P3666-'Model Inputs &amp; Assumptions'!$T$35^2/2)),0)</f>
        <v>99428</v>
      </c>
      <c r="D3666" s="46" t="n">
        <f aca="false">MIN(1,'Model Inputs &amp; Assumptions'!$U$35*EXP('Model Inputs &amp; Assumptions'!$V$35*Q3666-'Model Inputs &amp; Assumptions'!$V$35^2/2))</f>
        <v>0</v>
      </c>
      <c r="E3666" s="45" t="n">
        <f aca="false">ROUND(C3666*D3666,0)</f>
        <v>0</v>
      </c>
      <c r="F3666" s="47" t="n">
        <f aca="false">MIN(1,'Model Inputs &amp; Assumptions'!$W$35*EXP('Model Inputs &amp; Assumptions'!$X$35*R3666-'Model Inputs &amp; Assumptions'!$X$35^2/2))</f>
        <v>0.00695744651079959</v>
      </c>
      <c r="G3666" s="45" t="n">
        <f aca="false">ROUND(C3666*F3666,0)</f>
        <v>692</v>
      </c>
      <c r="H3666" s="48" t="n">
        <f aca="false">MAX(0,(C3666*'Model Inputs &amp; Assumptions'!$N$35+E3666*'Model Inputs &amp; Assumptions'!$O$35+G3666*'Model Inputs &amp; Assumptions'!$P$35)*EXP('Model Inputs &amp; Assumptions'!$Q$35*S3666-'Model Inputs &amp; Assumptions'!$Q$35^2/2))</f>
        <v>35.4090861703797</v>
      </c>
      <c r="I3666" s="49" t="n">
        <f aca="false">IF('Model Inputs &amp; Assumptions'!$H$35="Fixed",'Model Inputs &amp; Assumptions'!$I$35*'Model Inputs &amp; Assumptions'!$K$35,IF('Model Inputs &amp; Assumptions'!$H$35="CPM",'Model Inputs &amp; Assumptions'!$I$35*'Model Inputs &amp; Assumptions'!$K$35*C3666/1000,IF('Model Inputs &amp; Assumptions'!$H$35="CPC",'Model Inputs &amp; Assumptions'!$I$35*'Model Inputs &amp; Assumptions'!$K$35*G3666,0)))</f>
        <v>8672.8</v>
      </c>
      <c r="J3666" s="50" t="n">
        <f aca="false">H3666*INDEX('Model Inputs &amp; Assumptions'!$D$40:$D$42,MATCH('Model Inputs &amp; Assumptions'!$L$35,'Model Inputs &amp; Assumptions'!$A$40:$A$42,0))*INDEX('Model Inputs &amp; Assumptions'!$H$40:$H$42,MATCH('Model Inputs &amp; Assumptions'!$L$35,'Model Inputs &amp; Assumptions'!$A$40:$A$42,0))</f>
        <v>300977.232448227</v>
      </c>
      <c r="K3666" s="49" t="n">
        <f aca="false">H3666*INDEX('Model Inputs &amp; Assumptions'!$G$40:$G$42,MATCH('Model Inputs &amp; Assumptions'!$L$35,'Model Inputs &amp; Assumptions'!$A$40:$A$42,0))*INDEX('Model Inputs &amp; Assumptions'!$H$40:$H$42,MATCH('Model Inputs &amp; Assumptions'!$L$35,'Model Inputs &amp; Assumptions'!$A$40:$A$42,0))</f>
        <v>6771.98773008511</v>
      </c>
      <c r="L3666" s="51" t="n">
        <f aca="false">IFERROR(K3666/I3666,0)</f>
        <v>0.780830611807618</v>
      </c>
      <c r="M3666" s="49" t="n">
        <f aca="false">IFERROR(I3666/H3666,0)</f>
        <v>244.93148335624</v>
      </c>
      <c r="N3666" s="52" t="str">
        <f aca="false">'Model Inputs &amp; Assumptions'!$L$35</f>
        <v>PRD-EUAI</v>
      </c>
      <c r="P3666" s="53" t="n">
        <v>0.783744</v>
      </c>
      <c r="Q3666" s="53" t="n">
        <v>-2.228221</v>
      </c>
      <c r="R3666" s="53" t="n">
        <v>0.288525</v>
      </c>
      <c r="S3666" s="53" t="n">
        <v>-1.075221</v>
      </c>
    </row>
    <row r="3667" customFormat="false" ht="15" hidden="false" customHeight="false" outlineLevel="0" collapsed="false">
      <c r="A3667" s="43" t="n">
        <v>164</v>
      </c>
      <c r="B3667" s="44" t="str">
        <f aca="false">'Model Inputs &amp; Assumptions'!$B$35</f>
        <v>justETF — Sponsored Listing</v>
      </c>
      <c r="C3667" s="45" t="n">
        <f aca="false">ROUND(MAX(0,'Model Inputs &amp; Assumptions'!$S$35*EXP('Model Inputs &amp; Assumptions'!$T$35*P3667-'Model Inputs &amp; Assumptions'!$T$35^2/2)),0)</f>
        <v>94885</v>
      </c>
      <c r="D3667" s="46" t="n">
        <f aca="false">MIN(1,'Model Inputs &amp; Assumptions'!$U$35*EXP('Model Inputs &amp; Assumptions'!$V$35*Q3667-'Model Inputs &amp; Assumptions'!$V$35^2/2))</f>
        <v>0</v>
      </c>
      <c r="E3667" s="45" t="n">
        <f aca="false">ROUND(C3667*D3667,0)</f>
        <v>0</v>
      </c>
      <c r="F3667" s="47" t="n">
        <f aca="false">MIN(1,'Model Inputs &amp; Assumptions'!$W$35*EXP('Model Inputs &amp; Assumptions'!$X$35*R3667-'Model Inputs &amp; Assumptions'!$X$35^2/2))</f>
        <v>0.00704400377391531</v>
      </c>
      <c r="G3667" s="45" t="n">
        <f aca="false">ROUND(C3667*F3667,0)</f>
        <v>668</v>
      </c>
      <c r="H3667" s="48" t="n">
        <f aca="false">MAX(0,(C3667*'Model Inputs &amp; Assumptions'!$N$35+E3667*'Model Inputs &amp; Assumptions'!$O$35+G3667*'Model Inputs &amp; Assumptions'!$P$35)*EXP('Model Inputs &amp; Assumptions'!$Q$35*S3667-'Model Inputs &amp; Assumptions'!$Q$35^2/2))</f>
        <v>44.3895560026947</v>
      </c>
      <c r="I3667" s="49" t="n">
        <f aca="false">IF('Model Inputs &amp; Assumptions'!$H$35="Fixed",'Model Inputs &amp; Assumptions'!$I$35*'Model Inputs &amp; Assumptions'!$K$35,IF('Model Inputs &amp; Assumptions'!$H$35="CPM",'Model Inputs &amp; Assumptions'!$I$35*'Model Inputs &amp; Assumptions'!$K$35*C3667/1000,IF('Model Inputs &amp; Assumptions'!$H$35="CPC",'Model Inputs &amp; Assumptions'!$I$35*'Model Inputs &amp; Assumptions'!$K$35*G3667,0)))</f>
        <v>8672.8</v>
      </c>
      <c r="J3667" s="50" t="n">
        <f aca="false">H3667*INDEX('Model Inputs &amp; Assumptions'!$D$40:$D$42,MATCH('Model Inputs &amp; Assumptions'!$L$35,'Model Inputs &amp; Assumptions'!$A$40:$A$42,0))*INDEX('Model Inputs &amp; Assumptions'!$H$40:$H$42,MATCH('Model Inputs &amp; Assumptions'!$L$35,'Model Inputs &amp; Assumptions'!$A$40:$A$42,0))</f>
        <v>377311.226022905</v>
      </c>
      <c r="K3667" s="49" t="n">
        <f aca="false">H3667*INDEX('Model Inputs &amp; Assumptions'!$G$40:$G$42,MATCH('Model Inputs &amp; Assumptions'!$L$35,'Model Inputs &amp; Assumptions'!$A$40:$A$42,0))*INDEX('Model Inputs &amp; Assumptions'!$H$40:$H$42,MATCH('Model Inputs &amp; Assumptions'!$L$35,'Model Inputs &amp; Assumptions'!$A$40:$A$42,0))</f>
        <v>8489.50258551537</v>
      </c>
      <c r="L3667" s="51" t="n">
        <f aca="false">IFERROR(K3667/I3667,0)</f>
        <v>0.978865255224999</v>
      </c>
      <c r="M3667" s="49" t="n">
        <f aca="false">IFERROR(I3667/H3667,0)</f>
        <v>195.379291459313</v>
      </c>
      <c r="N3667" s="52" t="str">
        <f aca="false">'Model Inputs &amp; Assumptions'!$L$35</f>
        <v>PRD-EUAI</v>
      </c>
      <c r="P3667" s="53" t="n">
        <v>0.471946</v>
      </c>
      <c r="Q3667" s="53" t="n">
        <v>1.088312</v>
      </c>
      <c r="R3667" s="53" t="n">
        <v>0.350346</v>
      </c>
      <c r="S3667" s="53" t="n">
        <v>-0.070092</v>
      </c>
    </row>
    <row r="3668" customFormat="false" ht="15" hidden="false" customHeight="false" outlineLevel="0" collapsed="false">
      <c r="A3668" s="43" t="n">
        <v>165</v>
      </c>
      <c r="B3668" s="44" t="str">
        <f aca="false">'Model Inputs &amp; Assumptions'!$B$35</f>
        <v>justETF — Sponsored Listing</v>
      </c>
      <c r="C3668" s="45" t="n">
        <f aca="false">ROUND(MAX(0,'Model Inputs &amp; Assumptions'!$S$35*EXP('Model Inputs &amp; Assumptions'!$T$35*P3668-'Model Inputs &amp; Assumptions'!$T$35^2/2)),0)</f>
        <v>75271</v>
      </c>
      <c r="D3668" s="46" t="n">
        <f aca="false">MIN(1,'Model Inputs &amp; Assumptions'!$U$35*EXP('Model Inputs &amp; Assumptions'!$V$35*Q3668-'Model Inputs &amp; Assumptions'!$V$35^2/2))</f>
        <v>0</v>
      </c>
      <c r="E3668" s="45" t="n">
        <f aca="false">ROUND(C3668*D3668,0)</f>
        <v>0</v>
      </c>
      <c r="F3668" s="47" t="n">
        <f aca="false">MIN(1,'Model Inputs &amp; Assumptions'!$W$35*EXP('Model Inputs &amp; Assumptions'!$X$35*R3668-'Model Inputs &amp; Assumptions'!$X$35^2/2))</f>
        <v>0.00741022443072759</v>
      </c>
      <c r="G3668" s="45" t="n">
        <f aca="false">ROUND(C3668*F3668,0)</f>
        <v>558</v>
      </c>
      <c r="H3668" s="48" t="n">
        <f aca="false">MAX(0,(C3668*'Model Inputs &amp; Assumptions'!$N$35+E3668*'Model Inputs &amp; Assumptions'!$O$35+G3668*'Model Inputs &amp; Assumptions'!$P$35)*EXP('Model Inputs &amp; Assumptions'!$Q$35*S3668-'Model Inputs &amp; Assumptions'!$Q$35^2/2))</f>
        <v>31.4604790708145</v>
      </c>
      <c r="I3668" s="49" t="n">
        <f aca="false">IF('Model Inputs &amp; Assumptions'!$H$35="Fixed",'Model Inputs &amp; Assumptions'!$I$35*'Model Inputs &amp; Assumptions'!$K$35,IF('Model Inputs &amp; Assumptions'!$H$35="CPM",'Model Inputs &amp; Assumptions'!$I$35*'Model Inputs &amp; Assumptions'!$K$35*C3668/1000,IF('Model Inputs &amp; Assumptions'!$H$35="CPC",'Model Inputs &amp; Assumptions'!$I$35*'Model Inputs &amp; Assumptions'!$K$35*G3668,0)))</f>
        <v>8672.8</v>
      </c>
      <c r="J3668" s="50" t="n">
        <f aca="false">H3668*INDEX('Model Inputs &amp; Assumptions'!$D$40:$D$42,MATCH('Model Inputs &amp; Assumptions'!$L$35,'Model Inputs &amp; Assumptions'!$A$40:$A$42,0))*INDEX('Model Inputs &amp; Assumptions'!$H$40:$H$42,MATCH('Model Inputs &amp; Assumptions'!$L$35,'Model Inputs &amp; Assumptions'!$A$40:$A$42,0))</f>
        <v>267414.072101923</v>
      </c>
      <c r="K3668" s="49" t="n">
        <f aca="false">H3668*INDEX('Model Inputs &amp; Assumptions'!$G$40:$G$42,MATCH('Model Inputs &amp; Assumptions'!$L$35,'Model Inputs &amp; Assumptions'!$A$40:$A$42,0))*INDEX('Model Inputs &amp; Assumptions'!$H$40:$H$42,MATCH('Model Inputs &amp; Assumptions'!$L$35,'Model Inputs &amp; Assumptions'!$A$40:$A$42,0))</f>
        <v>6016.81662229327</v>
      </c>
      <c r="L3668" s="51" t="n">
        <f aca="false">IFERROR(K3668/I3668,0)</f>
        <v>0.693757105236287</v>
      </c>
      <c r="M3668" s="49" t="n">
        <f aca="false">IFERROR(I3668/H3668,0)</f>
        <v>275.672852294409</v>
      </c>
      <c r="N3668" s="52" t="str">
        <f aca="false">'Model Inputs &amp; Assumptions'!$L$35</f>
        <v>PRD-EUAI</v>
      </c>
      <c r="P3668" s="53" t="n">
        <v>-1.071823</v>
      </c>
      <c r="Q3668" s="53" t="n">
        <v>0.781349</v>
      </c>
      <c r="R3668" s="53" t="n">
        <v>0.603766</v>
      </c>
      <c r="S3668" s="53" t="n">
        <v>-0.70218</v>
      </c>
    </row>
    <row r="3669" customFormat="false" ht="15" hidden="false" customHeight="false" outlineLevel="0" collapsed="false">
      <c r="A3669" s="43" t="n">
        <v>166</v>
      </c>
      <c r="B3669" s="44" t="str">
        <f aca="false">'Model Inputs &amp; Assumptions'!$B$35</f>
        <v>justETF — Sponsored Listing</v>
      </c>
      <c r="C3669" s="45" t="n">
        <f aca="false">ROUND(MAX(0,'Model Inputs &amp; Assumptions'!$S$35*EXP('Model Inputs &amp; Assumptions'!$T$35*P3669-'Model Inputs &amp; Assumptions'!$T$35^2/2)),0)</f>
        <v>82721</v>
      </c>
      <c r="D3669" s="46" t="n">
        <f aca="false">MIN(1,'Model Inputs &amp; Assumptions'!$U$35*EXP('Model Inputs &amp; Assumptions'!$V$35*Q3669-'Model Inputs &amp; Assumptions'!$V$35^2/2))</f>
        <v>0</v>
      </c>
      <c r="E3669" s="45" t="n">
        <f aca="false">ROUND(C3669*D3669,0)</f>
        <v>0</v>
      </c>
      <c r="F3669" s="47" t="n">
        <f aca="false">MIN(1,'Model Inputs &amp; Assumptions'!$W$35*EXP('Model Inputs &amp; Assumptions'!$X$35*R3669-'Model Inputs &amp; Assumptions'!$X$35^2/2))</f>
        <v>0.00709420835416238</v>
      </c>
      <c r="G3669" s="45" t="n">
        <f aca="false">ROUND(C3669*F3669,0)</f>
        <v>587</v>
      </c>
      <c r="H3669" s="48" t="n">
        <f aca="false">MAX(0,(C3669*'Model Inputs &amp; Assumptions'!$N$35+E3669*'Model Inputs &amp; Assumptions'!$O$35+G3669*'Model Inputs &amp; Assumptions'!$P$35)*EXP('Model Inputs &amp; Assumptions'!$Q$35*S3669-'Model Inputs &amp; Assumptions'!$Q$35^2/2))</f>
        <v>32.2595622411659</v>
      </c>
      <c r="I3669" s="49" t="n">
        <f aca="false">IF('Model Inputs &amp; Assumptions'!$H$35="Fixed",'Model Inputs &amp; Assumptions'!$I$35*'Model Inputs &amp; Assumptions'!$K$35,IF('Model Inputs &amp; Assumptions'!$H$35="CPM",'Model Inputs &amp; Assumptions'!$I$35*'Model Inputs &amp; Assumptions'!$K$35*C3669/1000,IF('Model Inputs &amp; Assumptions'!$H$35="CPC",'Model Inputs &amp; Assumptions'!$I$35*'Model Inputs &amp; Assumptions'!$K$35*G3669,0)))</f>
        <v>8672.8</v>
      </c>
      <c r="J3669" s="50" t="n">
        <f aca="false">H3669*INDEX('Model Inputs &amp; Assumptions'!$D$40:$D$42,MATCH('Model Inputs &amp; Assumptions'!$L$35,'Model Inputs &amp; Assumptions'!$A$40:$A$42,0))*INDEX('Model Inputs &amp; Assumptions'!$H$40:$H$42,MATCH('Model Inputs &amp; Assumptions'!$L$35,'Model Inputs &amp; Assumptions'!$A$40:$A$42,0))</f>
        <v>274206.27904991</v>
      </c>
      <c r="K3669" s="49" t="n">
        <f aca="false">H3669*INDEX('Model Inputs &amp; Assumptions'!$G$40:$G$42,MATCH('Model Inputs &amp; Assumptions'!$L$35,'Model Inputs &amp; Assumptions'!$A$40:$A$42,0))*INDEX('Model Inputs &amp; Assumptions'!$H$40:$H$42,MATCH('Model Inputs &amp; Assumptions'!$L$35,'Model Inputs &amp; Assumptions'!$A$40:$A$42,0))</f>
        <v>6169.64127862298</v>
      </c>
      <c r="L3669" s="51" t="n">
        <f aca="false">IFERROR(K3669/I3669,0)</f>
        <v>0.711378249080225</v>
      </c>
      <c r="M3669" s="49" t="n">
        <f aca="false">IFERROR(I3669/H3669,0)</f>
        <v>268.844317699165</v>
      </c>
      <c r="N3669" s="52" t="str">
        <f aca="false">'Model Inputs &amp; Assumptions'!$L$35</f>
        <v>PRD-EUAI</v>
      </c>
      <c r="P3669" s="53" t="n">
        <v>-0.442671</v>
      </c>
      <c r="Q3669" s="53" t="n">
        <v>-1.145345</v>
      </c>
      <c r="R3669" s="53" t="n">
        <v>0.385856</v>
      </c>
      <c r="S3669" s="53" t="n">
        <v>-0.800578</v>
      </c>
    </row>
    <row r="3670" customFormat="false" ht="15" hidden="false" customHeight="false" outlineLevel="0" collapsed="false">
      <c r="A3670" s="43" t="n">
        <v>167</v>
      </c>
      <c r="B3670" s="44" t="str">
        <f aca="false">'Model Inputs &amp; Assumptions'!$B$35</f>
        <v>justETF — Sponsored Listing</v>
      </c>
      <c r="C3670" s="45" t="n">
        <f aca="false">ROUND(MAX(0,'Model Inputs &amp; Assumptions'!$S$35*EXP('Model Inputs &amp; Assumptions'!$T$35*P3670-'Model Inputs &amp; Assumptions'!$T$35^2/2)),0)</f>
        <v>102571</v>
      </c>
      <c r="D3670" s="46" t="n">
        <f aca="false">MIN(1,'Model Inputs &amp; Assumptions'!$U$35*EXP('Model Inputs &amp; Assumptions'!$V$35*Q3670-'Model Inputs &amp; Assumptions'!$V$35^2/2))</f>
        <v>0</v>
      </c>
      <c r="E3670" s="45" t="n">
        <f aca="false">ROUND(C3670*D3670,0)</f>
        <v>0</v>
      </c>
      <c r="F3670" s="47" t="n">
        <f aca="false">MIN(1,'Model Inputs &amp; Assumptions'!$W$35*EXP('Model Inputs &amp; Assumptions'!$X$35*R3670-'Model Inputs &amp; Assumptions'!$X$35^2/2))</f>
        <v>0.00529829423549842</v>
      </c>
      <c r="G3670" s="45" t="n">
        <f aca="false">ROUND(C3670*F3670,0)</f>
        <v>543</v>
      </c>
      <c r="H3670" s="48" t="n">
        <f aca="false">MAX(0,(C3670*'Model Inputs &amp; Assumptions'!$N$35+E3670*'Model Inputs &amp; Assumptions'!$O$35+G3670*'Model Inputs &amp; Assumptions'!$P$35)*EXP('Model Inputs &amp; Assumptions'!$Q$35*S3670-'Model Inputs &amp; Assumptions'!$Q$35^2/2))</f>
        <v>65.9498828622092</v>
      </c>
      <c r="I3670" s="49" t="n">
        <f aca="false">IF('Model Inputs &amp; Assumptions'!$H$35="Fixed",'Model Inputs &amp; Assumptions'!$I$35*'Model Inputs &amp; Assumptions'!$K$35,IF('Model Inputs &amp; Assumptions'!$H$35="CPM",'Model Inputs &amp; Assumptions'!$I$35*'Model Inputs &amp; Assumptions'!$K$35*C3670/1000,IF('Model Inputs &amp; Assumptions'!$H$35="CPC",'Model Inputs &amp; Assumptions'!$I$35*'Model Inputs &amp; Assumptions'!$K$35*G3670,0)))</f>
        <v>8672.8</v>
      </c>
      <c r="J3670" s="50" t="n">
        <f aca="false">H3670*INDEX('Model Inputs &amp; Assumptions'!$D$40:$D$42,MATCH('Model Inputs &amp; Assumptions'!$L$35,'Model Inputs &amp; Assumptions'!$A$40:$A$42,0))*INDEX('Model Inputs &amp; Assumptions'!$H$40:$H$42,MATCH('Model Inputs &amp; Assumptions'!$L$35,'Model Inputs &amp; Assumptions'!$A$40:$A$42,0))</f>
        <v>560574.004328778</v>
      </c>
      <c r="K3670" s="49" t="n">
        <f aca="false">H3670*INDEX('Model Inputs &amp; Assumptions'!$G$40:$G$42,MATCH('Model Inputs &amp; Assumptions'!$L$35,'Model Inputs &amp; Assumptions'!$A$40:$A$42,0))*INDEX('Model Inputs &amp; Assumptions'!$H$40:$H$42,MATCH('Model Inputs &amp; Assumptions'!$L$35,'Model Inputs &amp; Assumptions'!$A$40:$A$42,0))</f>
        <v>12612.9150973975</v>
      </c>
      <c r="L3670" s="51" t="n">
        <f aca="false">IFERROR(K3670/I3670,0)</f>
        <v>1.45430715540512</v>
      </c>
      <c r="M3670" s="49" t="n">
        <f aca="false">IFERROR(I3670/H3670,0)</f>
        <v>131.505919701485</v>
      </c>
      <c r="N3670" s="52" t="str">
        <f aca="false">'Model Inputs &amp; Assumptions'!$L$35</f>
        <v>PRD-EUAI</v>
      </c>
      <c r="P3670" s="53" t="n">
        <v>0.991209</v>
      </c>
      <c r="Q3670" s="53" t="n">
        <v>0.596137</v>
      </c>
      <c r="R3670" s="53" t="n">
        <v>-1.073613</v>
      </c>
      <c r="S3670" s="53" t="n">
        <v>2.249407</v>
      </c>
    </row>
    <row r="3671" customFormat="false" ht="15" hidden="false" customHeight="false" outlineLevel="0" collapsed="false">
      <c r="A3671" s="43" t="n">
        <v>168</v>
      </c>
      <c r="B3671" s="44" t="str">
        <f aca="false">'Model Inputs &amp; Assumptions'!$B$35</f>
        <v>justETF — Sponsored Listing</v>
      </c>
      <c r="C3671" s="45" t="n">
        <f aca="false">ROUND(MAX(0,'Model Inputs &amp; Assumptions'!$S$35*EXP('Model Inputs &amp; Assumptions'!$T$35*P3671-'Model Inputs &amp; Assumptions'!$T$35^2/2)),0)</f>
        <v>78587</v>
      </c>
      <c r="D3671" s="46" t="n">
        <f aca="false">MIN(1,'Model Inputs &amp; Assumptions'!$U$35*EXP('Model Inputs &amp; Assumptions'!$V$35*Q3671-'Model Inputs &amp; Assumptions'!$V$35^2/2))</f>
        <v>0</v>
      </c>
      <c r="E3671" s="45" t="n">
        <f aca="false">ROUND(C3671*D3671,0)</f>
        <v>0</v>
      </c>
      <c r="F3671" s="47" t="n">
        <f aca="false">MIN(1,'Model Inputs &amp; Assumptions'!$W$35*EXP('Model Inputs &amp; Assumptions'!$X$35*R3671-'Model Inputs &amp; Assumptions'!$X$35^2/2))</f>
        <v>0.00874914976905056</v>
      </c>
      <c r="G3671" s="45" t="n">
        <f aca="false">ROUND(C3671*F3671,0)</f>
        <v>688</v>
      </c>
      <c r="H3671" s="48" t="n">
        <f aca="false">MAX(0,(C3671*'Model Inputs &amp; Assumptions'!$N$35+E3671*'Model Inputs &amp; Assumptions'!$O$35+G3671*'Model Inputs &amp; Assumptions'!$P$35)*EXP('Model Inputs &amp; Assumptions'!$Q$35*S3671-'Model Inputs &amp; Assumptions'!$Q$35^2/2))</f>
        <v>37.3685768841917</v>
      </c>
      <c r="I3671" s="49" t="n">
        <f aca="false">IF('Model Inputs &amp; Assumptions'!$H$35="Fixed",'Model Inputs &amp; Assumptions'!$I$35*'Model Inputs &amp; Assumptions'!$K$35,IF('Model Inputs &amp; Assumptions'!$H$35="CPM",'Model Inputs &amp; Assumptions'!$I$35*'Model Inputs &amp; Assumptions'!$K$35*C3671/1000,IF('Model Inputs &amp; Assumptions'!$H$35="CPC",'Model Inputs &amp; Assumptions'!$I$35*'Model Inputs &amp; Assumptions'!$K$35*G3671,0)))</f>
        <v>8672.8</v>
      </c>
      <c r="J3671" s="50" t="n">
        <f aca="false">H3671*INDEX('Model Inputs &amp; Assumptions'!$D$40:$D$42,MATCH('Model Inputs &amp; Assumptions'!$L$35,'Model Inputs &amp; Assumptions'!$A$40:$A$42,0))*INDEX('Model Inputs &amp; Assumptions'!$H$40:$H$42,MATCH('Model Inputs &amp; Assumptions'!$L$35,'Model Inputs &amp; Assumptions'!$A$40:$A$42,0))</f>
        <v>317632.903515629</v>
      </c>
      <c r="K3671" s="49" t="n">
        <f aca="false">H3671*INDEX('Model Inputs &amp; Assumptions'!$G$40:$G$42,MATCH('Model Inputs &amp; Assumptions'!$L$35,'Model Inputs &amp; Assumptions'!$A$40:$A$42,0))*INDEX('Model Inputs &amp; Assumptions'!$H$40:$H$42,MATCH('Model Inputs &amp; Assumptions'!$L$35,'Model Inputs &amp; Assumptions'!$A$40:$A$42,0))</f>
        <v>7146.74032910165</v>
      </c>
      <c r="L3671" s="51" t="n">
        <f aca="false">IFERROR(K3671/I3671,0)</f>
        <v>0.824040716850574</v>
      </c>
      <c r="M3671" s="49" t="n">
        <f aca="false">IFERROR(I3671/H3671,0)</f>
        <v>232.088046244783</v>
      </c>
      <c r="N3671" s="52" t="str">
        <f aca="false">'Model Inputs &amp; Assumptions'!$L$35</f>
        <v>PRD-EUAI</v>
      </c>
      <c r="P3671" s="53" t="n">
        <v>-0.784408</v>
      </c>
      <c r="Q3671" s="53" t="n">
        <v>1.213057</v>
      </c>
      <c r="R3671" s="53" t="n">
        <v>1.434245</v>
      </c>
      <c r="S3671" s="53" t="n">
        <v>-0.845764</v>
      </c>
    </row>
    <row r="3672" customFormat="false" ht="15" hidden="false" customHeight="false" outlineLevel="0" collapsed="false">
      <c r="A3672" s="43" t="n">
        <v>169</v>
      </c>
      <c r="B3672" s="44" t="str">
        <f aca="false">'Model Inputs &amp; Assumptions'!$B$35</f>
        <v>justETF — Sponsored Listing</v>
      </c>
      <c r="C3672" s="45" t="n">
        <f aca="false">ROUND(MAX(0,'Model Inputs &amp; Assumptions'!$S$35*EXP('Model Inputs &amp; Assumptions'!$T$35*P3672-'Model Inputs &amp; Assumptions'!$T$35^2/2)),0)</f>
        <v>84383</v>
      </c>
      <c r="D3672" s="46" t="n">
        <f aca="false">MIN(1,'Model Inputs &amp; Assumptions'!$U$35*EXP('Model Inputs &amp; Assumptions'!$V$35*Q3672-'Model Inputs &amp; Assumptions'!$V$35^2/2))</f>
        <v>0</v>
      </c>
      <c r="E3672" s="45" t="n">
        <f aca="false">ROUND(C3672*D3672,0)</f>
        <v>0</v>
      </c>
      <c r="F3672" s="47" t="n">
        <f aca="false">MIN(1,'Model Inputs &amp; Assumptions'!$W$35*EXP('Model Inputs &amp; Assumptions'!$X$35*R3672-'Model Inputs &amp; Assumptions'!$X$35^2/2))</f>
        <v>0.00566307214291865</v>
      </c>
      <c r="G3672" s="45" t="n">
        <f aca="false">ROUND(C3672*F3672,0)</f>
        <v>478</v>
      </c>
      <c r="H3672" s="48" t="n">
        <f aca="false">MAX(0,(C3672*'Model Inputs &amp; Assumptions'!$N$35+E3672*'Model Inputs &amp; Assumptions'!$O$35+G3672*'Model Inputs &amp; Assumptions'!$P$35)*EXP('Model Inputs &amp; Assumptions'!$Q$35*S3672-'Model Inputs &amp; Assumptions'!$Q$35^2/2))</f>
        <v>34.0309959721453</v>
      </c>
      <c r="I3672" s="49" t="n">
        <f aca="false">IF('Model Inputs &amp; Assumptions'!$H$35="Fixed",'Model Inputs &amp; Assumptions'!$I$35*'Model Inputs &amp; Assumptions'!$K$35,IF('Model Inputs &amp; Assumptions'!$H$35="CPM",'Model Inputs &amp; Assumptions'!$I$35*'Model Inputs &amp; Assumptions'!$K$35*C3672/1000,IF('Model Inputs &amp; Assumptions'!$H$35="CPC",'Model Inputs &amp; Assumptions'!$I$35*'Model Inputs &amp; Assumptions'!$K$35*G3672,0)))</f>
        <v>8672.8</v>
      </c>
      <c r="J3672" s="50" t="n">
        <f aca="false">H3672*INDEX('Model Inputs &amp; Assumptions'!$D$40:$D$42,MATCH('Model Inputs &amp; Assumptions'!$L$35,'Model Inputs &amp; Assumptions'!$A$40:$A$42,0))*INDEX('Model Inputs &amp; Assumptions'!$H$40:$H$42,MATCH('Model Inputs &amp; Assumptions'!$L$35,'Model Inputs &amp; Assumptions'!$A$40:$A$42,0))</f>
        <v>289263.465763235</v>
      </c>
      <c r="K3672" s="49" t="n">
        <f aca="false">H3672*INDEX('Model Inputs &amp; Assumptions'!$G$40:$G$42,MATCH('Model Inputs &amp; Assumptions'!$L$35,'Model Inputs &amp; Assumptions'!$A$40:$A$42,0))*INDEX('Model Inputs &amp; Assumptions'!$H$40:$H$42,MATCH('Model Inputs &amp; Assumptions'!$L$35,'Model Inputs &amp; Assumptions'!$A$40:$A$42,0))</f>
        <v>6508.42797967278</v>
      </c>
      <c r="L3672" s="51" t="n">
        <f aca="false">IFERROR(K3672/I3672,0)</f>
        <v>0.75044137760271</v>
      </c>
      <c r="M3672" s="49" t="n">
        <f aca="false">IFERROR(I3672/H3672,0)</f>
        <v>254.850019878901</v>
      </c>
      <c r="N3672" s="52" t="str">
        <f aca="false">'Model Inputs &amp; Assumptions'!$L$35</f>
        <v>PRD-EUAI</v>
      </c>
      <c r="P3672" s="53" t="n">
        <v>-0.309999</v>
      </c>
      <c r="Q3672" s="53" t="n">
        <v>-0.854831</v>
      </c>
      <c r="R3672" s="53" t="n">
        <v>-0.740705</v>
      </c>
      <c r="S3672" s="53" t="n">
        <v>0.195081</v>
      </c>
    </row>
    <row r="3673" customFormat="false" ht="15" hidden="false" customHeight="false" outlineLevel="0" collapsed="false">
      <c r="A3673" s="43" t="n">
        <v>170</v>
      </c>
      <c r="B3673" s="44" t="str">
        <f aca="false">'Model Inputs &amp; Assumptions'!$B$35</f>
        <v>justETF — Sponsored Listing</v>
      </c>
      <c r="C3673" s="45" t="n">
        <f aca="false">ROUND(MAX(0,'Model Inputs &amp; Assumptions'!$S$35*EXP('Model Inputs &amp; Assumptions'!$T$35*P3673-'Model Inputs &amp; Assumptions'!$T$35^2/2)),0)</f>
        <v>73883</v>
      </c>
      <c r="D3673" s="46" t="n">
        <f aca="false">MIN(1,'Model Inputs &amp; Assumptions'!$U$35*EXP('Model Inputs &amp; Assumptions'!$V$35*Q3673-'Model Inputs &amp; Assumptions'!$V$35^2/2))</f>
        <v>0</v>
      </c>
      <c r="E3673" s="45" t="n">
        <f aca="false">ROUND(C3673*D3673,0)</f>
        <v>0</v>
      </c>
      <c r="F3673" s="47" t="n">
        <f aca="false">MIN(1,'Model Inputs &amp; Assumptions'!$W$35*EXP('Model Inputs &amp; Assumptions'!$X$35*R3673-'Model Inputs &amp; Assumptions'!$X$35^2/2))</f>
        <v>0.00761954095986873</v>
      </c>
      <c r="G3673" s="45" t="n">
        <f aca="false">ROUND(C3673*F3673,0)</f>
        <v>563</v>
      </c>
      <c r="H3673" s="48" t="n">
        <f aca="false">MAX(0,(C3673*'Model Inputs &amp; Assumptions'!$N$35+E3673*'Model Inputs &amp; Assumptions'!$O$35+G3673*'Model Inputs &amp; Assumptions'!$P$35)*EXP('Model Inputs &amp; Assumptions'!$Q$35*S3673-'Model Inputs &amp; Assumptions'!$Q$35^2/2))</f>
        <v>33.1563585999156</v>
      </c>
      <c r="I3673" s="49" t="n">
        <f aca="false">IF('Model Inputs &amp; Assumptions'!$H$35="Fixed",'Model Inputs &amp; Assumptions'!$I$35*'Model Inputs &amp; Assumptions'!$K$35,IF('Model Inputs &amp; Assumptions'!$H$35="CPM",'Model Inputs &amp; Assumptions'!$I$35*'Model Inputs &amp; Assumptions'!$K$35*C3673/1000,IF('Model Inputs &amp; Assumptions'!$H$35="CPC",'Model Inputs &amp; Assumptions'!$I$35*'Model Inputs &amp; Assumptions'!$K$35*G3673,0)))</f>
        <v>8672.8</v>
      </c>
      <c r="J3673" s="50" t="n">
        <f aca="false">H3673*INDEX('Model Inputs &amp; Assumptions'!$D$40:$D$42,MATCH('Model Inputs &amp; Assumptions'!$L$35,'Model Inputs &amp; Assumptions'!$A$40:$A$42,0))*INDEX('Model Inputs &amp; Assumptions'!$H$40:$H$42,MATCH('Model Inputs &amp; Assumptions'!$L$35,'Model Inputs &amp; Assumptions'!$A$40:$A$42,0))</f>
        <v>281829.048099283</v>
      </c>
      <c r="K3673" s="49" t="n">
        <f aca="false">H3673*INDEX('Model Inputs &amp; Assumptions'!$G$40:$G$42,MATCH('Model Inputs &amp; Assumptions'!$L$35,'Model Inputs &amp; Assumptions'!$A$40:$A$42,0))*INDEX('Model Inputs &amp; Assumptions'!$H$40:$H$42,MATCH('Model Inputs &amp; Assumptions'!$L$35,'Model Inputs &amp; Assumptions'!$A$40:$A$42,0))</f>
        <v>6341.15358223386</v>
      </c>
      <c r="L3673" s="51" t="n">
        <f aca="false">IFERROR(K3673/I3673,0)</f>
        <v>0.731154135023736</v>
      </c>
      <c r="M3673" s="49" t="n">
        <f aca="false">IFERROR(I3673/H3673,0)</f>
        <v>261.572753047196</v>
      </c>
      <c r="N3673" s="52" t="str">
        <f aca="false">'Model Inputs &amp; Assumptions'!$L$35</f>
        <v>PRD-EUAI</v>
      </c>
      <c r="P3673" s="53" t="n">
        <v>-1.195936</v>
      </c>
      <c r="Q3673" s="53" t="n">
        <v>-1.1243</v>
      </c>
      <c r="R3673" s="53" t="n">
        <v>0.743043</v>
      </c>
      <c r="S3673" s="53" t="n">
        <v>-0.534558</v>
      </c>
    </row>
    <row r="3674" customFormat="false" ht="15" hidden="false" customHeight="false" outlineLevel="0" collapsed="false">
      <c r="A3674" s="43" t="n">
        <v>171</v>
      </c>
      <c r="B3674" s="44" t="str">
        <f aca="false">'Model Inputs &amp; Assumptions'!$B$35</f>
        <v>justETF — Sponsored Listing</v>
      </c>
      <c r="C3674" s="45" t="n">
        <f aca="false">ROUND(MAX(0,'Model Inputs &amp; Assumptions'!$S$35*EXP('Model Inputs &amp; Assumptions'!$T$35*P3674-'Model Inputs &amp; Assumptions'!$T$35^2/2)),0)</f>
        <v>85399</v>
      </c>
      <c r="D3674" s="46" t="n">
        <f aca="false">MIN(1,'Model Inputs &amp; Assumptions'!$U$35*EXP('Model Inputs &amp; Assumptions'!$V$35*Q3674-'Model Inputs &amp; Assumptions'!$V$35^2/2))</f>
        <v>0</v>
      </c>
      <c r="E3674" s="45" t="n">
        <f aca="false">ROUND(C3674*D3674,0)</f>
        <v>0</v>
      </c>
      <c r="F3674" s="47" t="n">
        <f aca="false">MIN(1,'Model Inputs &amp; Assumptions'!$W$35*EXP('Model Inputs &amp; Assumptions'!$X$35*R3674-'Model Inputs &amp; Assumptions'!$X$35^2/2))</f>
        <v>0.00837956099924585</v>
      </c>
      <c r="G3674" s="45" t="n">
        <f aca="false">ROUND(C3674*F3674,0)</f>
        <v>716</v>
      </c>
      <c r="H3674" s="48" t="n">
        <f aca="false">MAX(0,(C3674*'Model Inputs &amp; Assumptions'!$N$35+E3674*'Model Inputs &amp; Assumptions'!$O$35+G3674*'Model Inputs &amp; Assumptions'!$P$35)*EXP('Model Inputs &amp; Assumptions'!$Q$35*S3674-'Model Inputs &amp; Assumptions'!$Q$35^2/2))</f>
        <v>42.719626431293</v>
      </c>
      <c r="I3674" s="49" t="n">
        <f aca="false">IF('Model Inputs &amp; Assumptions'!$H$35="Fixed",'Model Inputs &amp; Assumptions'!$I$35*'Model Inputs &amp; Assumptions'!$K$35,IF('Model Inputs &amp; Assumptions'!$H$35="CPM",'Model Inputs &amp; Assumptions'!$I$35*'Model Inputs &amp; Assumptions'!$K$35*C3674/1000,IF('Model Inputs &amp; Assumptions'!$H$35="CPC",'Model Inputs &amp; Assumptions'!$I$35*'Model Inputs &amp; Assumptions'!$K$35*G3674,0)))</f>
        <v>8672.8</v>
      </c>
      <c r="J3674" s="50" t="n">
        <f aca="false">H3674*INDEX('Model Inputs &amp; Assumptions'!$D$40:$D$42,MATCH('Model Inputs &amp; Assumptions'!$L$35,'Model Inputs &amp; Assumptions'!$A$40:$A$42,0))*INDEX('Model Inputs &amp; Assumptions'!$H$40:$H$42,MATCH('Model Inputs &amp; Assumptions'!$L$35,'Model Inputs &amp; Assumptions'!$A$40:$A$42,0))</f>
        <v>363116.824665991</v>
      </c>
      <c r="K3674" s="49" t="n">
        <f aca="false">H3674*INDEX('Model Inputs &amp; Assumptions'!$G$40:$G$42,MATCH('Model Inputs &amp; Assumptions'!$L$35,'Model Inputs &amp; Assumptions'!$A$40:$A$42,0))*INDEX('Model Inputs &amp; Assumptions'!$H$40:$H$42,MATCH('Model Inputs &amp; Assumptions'!$L$35,'Model Inputs &amp; Assumptions'!$A$40:$A$42,0))</f>
        <v>8170.12855498479</v>
      </c>
      <c r="L3674" s="51" t="n">
        <f aca="false">IFERROR(K3674/I3674,0)</f>
        <v>0.942040466168341</v>
      </c>
      <c r="M3674" s="49" t="n">
        <f aca="false">IFERROR(I3674/H3674,0)</f>
        <v>203.016756570863</v>
      </c>
      <c r="N3674" s="52" t="str">
        <f aca="false">'Model Inputs &amp; Assumptions'!$L$35</f>
        <v>PRD-EUAI</v>
      </c>
      <c r="P3674" s="53" t="n">
        <v>-0.230203</v>
      </c>
      <c r="Q3674" s="53" t="n">
        <v>0.058358</v>
      </c>
      <c r="R3674" s="53" t="n">
        <v>1.21844</v>
      </c>
      <c r="S3674" s="53" t="n">
        <v>-0.484468</v>
      </c>
    </row>
    <row r="3675" customFormat="false" ht="15" hidden="false" customHeight="false" outlineLevel="0" collapsed="false">
      <c r="A3675" s="43" t="n">
        <v>172</v>
      </c>
      <c r="B3675" s="44" t="str">
        <f aca="false">'Model Inputs &amp; Assumptions'!$B$35</f>
        <v>justETF — Sponsored Listing</v>
      </c>
      <c r="C3675" s="45" t="n">
        <f aca="false">ROUND(MAX(0,'Model Inputs &amp; Assumptions'!$S$35*EXP('Model Inputs &amp; Assumptions'!$T$35*P3675-'Model Inputs &amp; Assumptions'!$T$35^2/2)),0)</f>
        <v>90391</v>
      </c>
      <c r="D3675" s="46" t="n">
        <f aca="false">MIN(1,'Model Inputs &amp; Assumptions'!$U$35*EXP('Model Inputs &amp; Assumptions'!$V$35*Q3675-'Model Inputs &amp; Assumptions'!$V$35^2/2))</f>
        <v>0</v>
      </c>
      <c r="E3675" s="45" t="n">
        <f aca="false">ROUND(C3675*D3675,0)</f>
        <v>0</v>
      </c>
      <c r="F3675" s="47" t="n">
        <f aca="false">MIN(1,'Model Inputs &amp; Assumptions'!$W$35*EXP('Model Inputs &amp; Assumptions'!$X$35*R3675-'Model Inputs &amp; Assumptions'!$X$35^2/2))</f>
        <v>0.00527171705511809</v>
      </c>
      <c r="G3675" s="45" t="n">
        <f aca="false">ROUND(C3675*F3675,0)</f>
        <v>477</v>
      </c>
      <c r="H3675" s="48" t="n">
        <f aca="false">MAX(0,(C3675*'Model Inputs &amp; Assumptions'!$N$35+E3675*'Model Inputs &amp; Assumptions'!$O$35+G3675*'Model Inputs &amp; Assumptions'!$P$35)*EXP('Model Inputs &amp; Assumptions'!$Q$35*S3675-'Model Inputs &amp; Assumptions'!$Q$35^2/2))</f>
        <v>27.7071741419854</v>
      </c>
      <c r="I3675" s="49" t="n">
        <f aca="false">IF('Model Inputs &amp; Assumptions'!$H$35="Fixed",'Model Inputs &amp; Assumptions'!$I$35*'Model Inputs &amp; Assumptions'!$K$35,IF('Model Inputs &amp; Assumptions'!$H$35="CPM",'Model Inputs &amp; Assumptions'!$I$35*'Model Inputs &amp; Assumptions'!$K$35*C3675/1000,IF('Model Inputs &amp; Assumptions'!$H$35="CPC",'Model Inputs &amp; Assumptions'!$I$35*'Model Inputs &amp; Assumptions'!$K$35*G3675,0)))</f>
        <v>8672.8</v>
      </c>
      <c r="J3675" s="50" t="n">
        <f aca="false">H3675*INDEX('Model Inputs &amp; Assumptions'!$D$40:$D$42,MATCH('Model Inputs &amp; Assumptions'!$L$35,'Model Inputs &amp; Assumptions'!$A$40:$A$42,0))*INDEX('Model Inputs &amp; Assumptions'!$H$40:$H$42,MATCH('Model Inputs &amp; Assumptions'!$L$35,'Model Inputs &amp; Assumptions'!$A$40:$A$42,0))</f>
        <v>235510.980206876</v>
      </c>
      <c r="K3675" s="49" t="n">
        <f aca="false">H3675*INDEX('Model Inputs &amp; Assumptions'!$G$40:$G$42,MATCH('Model Inputs &amp; Assumptions'!$L$35,'Model Inputs &amp; Assumptions'!$A$40:$A$42,0))*INDEX('Model Inputs &amp; Assumptions'!$H$40:$H$42,MATCH('Model Inputs &amp; Assumptions'!$L$35,'Model Inputs &amp; Assumptions'!$A$40:$A$42,0))</f>
        <v>5298.99705465471</v>
      </c>
      <c r="L3675" s="51" t="n">
        <f aca="false">IFERROR(K3675/I3675,0)</f>
        <v>0.610990343909085</v>
      </c>
      <c r="M3675" s="49" t="n">
        <f aca="false">IFERROR(I3675/H3675,0)</f>
        <v>313.016403461292</v>
      </c>
      <c r="N3675" s="52" t="str">
        <f aca="false">'Model Inputs &amp; Assumptions'!$L$35</f>
        <v>PRD-EUAI</v>
      </c>
      <c r="P3675" s="53" t="n">
        <v>0.148468</v>
      </c>
      <c r="Q3675" s="53" t="n">
        <v>0.520115</v>
      </c>
      <c r="R3675" s="53" t="n">
        <v>-1.098757</v>
      </c>
      <c r="S3675" s="53" t="n">
        <v>-0.587558</v>
      </c>
    </row>
    <row r="3676" customFormat="false" ht="15" hidden="false" customHeight="false" outlineLevel="0" collapsed="false">
      <c r="A3676" s="43" t="n">
        <v>173</v>
      </c>
      <c r="B3676" s="44" t="str">
        <f aca="false">'Model Inputs &amp; Assumptions'!$B$35</f>
        <v>justETF — Sponsored Listing</v>
      </c>
      <c r="C3676" s="45" t="n">
        <f aca="false">ROUND(MAX(0,'Model Inputs &amp; Assumptions'!$S$35*EXP('Model Inputs &amp; Assumptions'!$T$35*P3676-'Model Inputs &amp; Assumptions'!$T$35^2/2)),0)</f>
        <v>91030</v>
      </c>
      <c r="D3676" s="46" t="n">
        <f aca="false">MIN(1,'Model Inputs &amp; Assumptions'!$U$35*EXP('Model Inputs &amp; Assumptions'!$V$35*Q3676-'Model Inputs &amp; Assumptions'!$V$35^2/2))</f>
        <v>0</v>
      </c>
      <c r="E3676" s="45" t="n">
        <f aca="false">ROUND(C3676*D3676,0)</f>
        <v>0</v>
      </c>
      <c r="F3676" s="47" t="n">
        <f aca="false">MIN(1,'Model Inputs &amp; Assumptions'!$W$35*EXP('Model Inputs &amp; Assumptions'!$X$35*R3676-'Model Inputs &amp; Assumptions'!$X$35^2/2))</f>
        <v>0.00690790996249184</v>
      </c>
      <c r="G3676" s="45" t="n">
        <f aca="false">ROUND(C3676*F3676,0)</f>
        <v>629</v>
      </c>
      <c r="H3676" s="48" t="n">
        <f aca="false">MAX(0,(C3676*'Model Inputs &amp; Assumptions'!$N$35+E3676*'Model Inputs &amp; Assumptions'!$O$35+G3676*'Model Inputs &amp; Assumptions'!$P$35)*EXP('Model Inputs &amp; Assumptions'!$Q$35*S3676-'Model Inputs &amp; Assumptions'!$Q$35^2/2))</f>
        <v>43.1230630589457</v>
      </c>
      <c r="I3676" s="49" t="n">
        <f aca="false">IF('Model Inputs &amp; Assumptions'!$H$35="Fixed",'Model Inputs &amp; Assumptions'!$I$35*'Model Inputs &amp; Assumptions'!$K$35,IF('Model Inputs &amp; Assumptions'!$H$35="CPM",'Model Inputs &amp; Assumptions'!$I$35*'Model Inputs &amp; Assumptions'!$K$35*C3676/1000,IF('Model Inputs &amp; Assumptions'!$H$35="CPC",'Model Inputs &amp; Assumptions'!$I$35*'Model Inputs &amp; Assumptions'!$K$35*G3676,0)))</f>
        <v>8672.8</v>
      </c>
      <c r="J3676" s="50" t="n">
        <f aca="false">H3676*INDEX('Model Inputs &amp; Assumptions'!$D$40:$D$42,MATCH('Model Inputs &amp; Assumptions'!$L$35,'Model Inputs &amp; Assumptions'!$A$40:$A$42,0))*INDEX('Model Inputs &amp; Assumptions'!$H$40:$H$42,MATCH('Model Inputs &amp; Assumptions'!$L$35,'Model Inputs &amp; Assumptions'!$A$40:$A$42,0))</f>
        <v>366546.036001039</v>
      </c>
      <c r="K3676" s="49" t="n">
        <f aca="false">H3676*INDEX('Model Inputs &amp; Assumptions'!$G$40:$G$42,MATCH('Model Inputs &amp; Assumptions'!$L$35,'Model Inputs &amp; Assumptions'!$A$40:$A$42,0))*INDEX('Model Inputs &amp; Assumptions'!$H$40:$H$42,MATCH('Model Inputs &amp; Assumptions'!$L$35,'Model Inputs &amp; Assumptions'!$A$40:$A$42,0))</f>
        <v>8247.28581002337</v>
      </c>
      <c r="L3676" s="51" t="n">
        <f aca="false">IFERROR(K3676/I3676,0)</f>
        <v>0.950936930405794</v>
      </c>
      <c r="M3676" s="49" t="n">
        <f aca="false">IFERROR(I3676/H3676,0)</f>
        <v>201.117438901429</v>
      </c>
      <c r="N3676" s="52" t="str">
        <f aca="false">'Model Inputs &amp; Assumptions'!$L$35</f>
        <v>PRD-EUAI</v>
      </c>
      <c r="P3676" s="53" t="n">
        <v>0.195432</v>
      </c>
      <c r="Q3676" s="53" t="n">
        <v>-0.003089</v>
      </c>
      <c r="R3676" s="53" t="n">
        <v>0.252798</v>
      </c>
      <c r="S3676" s="53" t="n">
        <v>0.049949</v>
      </c>
    </row>
    <row r="3677" customFormat="false" ht="15" hidden="false" customHeight="false" outlineLevel="0" collapsed="false">
      <c r="A3677" s="43" t="n">
        <v>174</v>
      </c>
      <c r="B3677" s="44" t="str">
        <f aca="false">'Model Inputs &amp; Assumptions'!$B$35</f>
        <v>justETF — Sponsored Listing</v>
      </c>
      <c r="C3677" s="45" t="n">
        <f aca="false">ROUND(MAX(0,'Model Inputs &amp; Assumptions'!$S$35*EXP('Model Inputs &amp; Assumptions'!$T$35*P3677-'Model Inputs &amp; Assumptions'!$T$35^2/2)),0)</f>
        <v>83713</v>
      </c>
      <c r="D3677" s="46" t="n">
        <f aca="false">MIN(1,'Model Inputs &amp; Assumptions'!$U$35*EXP('Model Inputs &amp; Assumptions'!$V$35*Q3677-'Model Inputs &amp; Assumptions'!$V$35^2/2))</f>
        <v>0</v>
      </c>
      <c r="E3677" s="45" t="n">
        <f aca="false">ROUND(C3677*D3677,0)</f>
        <v>0</v>
      </c>
      <c r="F3677" s="47" t="n">
        <f aca="false">MIN(1,'Model Inputs &amp; Assumptions'!$W$35*EXP('Model Inputs &amp; Assumptions'!$X$35*R3677-'Model Inputs &amp; Assumptions'!$X$35^2/2))</f>
        <v>0.00811296116303209</v>
      </c>
      <c r="G3677" s="45" t="n">
        <f aca="false">ROUND(C3677*F3677,0)</f>
        <v>679</v>
      </c>
      <c r="H3677" s="48" t="n">
        <f aca="false">MAX(0,(C3677*'Model Inputs &amp; Assumptions'!$N$35+E3677*'Model Inputs &amp; Assumptions'!$O$35+G3677*'Model Inputs &amp; Assumptions'!$P$35)*EXP('Model Inputs &amp; Assumptions'!$Q$35*S3677-'Model Inputs &amp; Assumptions'!$Q$35^2/2))</f>
        <v>68.4757994829394</v>
      </c>
      <c r="I3677" s="49" t="n">
        <f aca="false">IF('Model Inputs &amp; Assumptions'!$H$35="Fixed",'Model Inputs &amp; Assumptions'!$I$35*'Model Inputs &amp; Assumptions'!$K$35,IF('Model Inputs &amp; Assumptions'!$H$35="CPM",'Model Inputs &amp; Assumptions'!$I$35*'Model Inputs &amp; Assumptions'!$K$35*C3677/1000,IF('Model Inputs &amp; Assumptions'!$H$35="CPC",'Model Inputs &amp; Assumptions'!$I$35*'Model Inputs &amp; Assumptions'!$K$35*G3677,0)))</f>
        <v>8672.8</v>
      </c>
      <c r="J3677" s="50" t="n">
        <f aca="false">H3677*INDEX('Model Inputs &amp; Assumptions'!$D$40:$D$42,MATCH('Model Inputs &amp; Assumptions'!$L$35,'Model Inputs &amp; Assumptions'!$A$40:$A$42,0))*INDEX('Model Inputs &amp; Assumptions'!$H$40:$H$42,MATCH('Model Inputs &amp; Assumptions'!$L$35,'Model Inputs &amp; Assumptions'!$A$40:$A$42,0))</f>
        <v>582044.295604985</v>
      </c>
      <c r="K3677" s="49" t="n">
        <f aca="false">H3677*INDEX('Model Inputs &amp; Assumptions'!$G$40:$G$42,MATCH('Model Inputs &amp; Assumptions'!$L$35,'Model Inputs &amp; Assumptions'!$A$40:$A$42,0))*INDEX('Model Inputs &amp; Assumptions'!$H$40:$H$42,MATCH('Model Inputs &amp; Assumptions'!$L$35,'Model Inputs &amp; Assumptions'!$A$40:$A$42,0))</f>
        <v>13095.9966511122</v>
      </c>
      <c r="L3677" s="51" t="n">
        <f aca="false">IFERROR(K3677/I3677,0)</f>
        <v>1.51000791568031</v>
      </c>
      <c r="M3677" s="49" t="n">
        <f aca="false">IFERROR(I3677/H3677,0)</f>
        <v>126.654965191911</v>
      </c>
      <c r="N3677" s="52" t="str">
        <f aca="false">'Model Inputs &amp; Assumptions'!$L$35</f>
        <v>PRD-EUAI</v>
      </c>
      <c r="P3677" s="53" t="n">
        <v>-0.363148</v>
      </c>
      <c r="Q3677" s="53" t="n">
        <v>-1.883456</v>
      </c>
      <c r="R3677" s="53" t="n">
        <v>1.056777</v>
      </c>
      <c r="S3677" s="53" t="n">
        <v>1.534305</v>
      </c>
    </row>
    <row r="3678" customFormat="false" ht="15" hidden="false" customHeight="false" outlineLevel="0" collapsed="false">
      <c r="A3678" s="43" t="n">
        <v>175</v>
      </c>
      <c r="B3678" s="44" t="str">
        <f aca="false">'Model Inputs &amp; Assumptions'!$B$35</f>
        <v>justETF — Sponsored Listing</v>
      </c>
      <c r="C3678" s="45" t="n">
        <f aca="false">ROUND(MAX(0,'Model Inputs &amp; Assumptions'!$S$35*EXP('Model Inputs &amp; Assumptions'!$T$35*P3678-'Model Inputs &amp; Assumptions'!$T$35^2/2)),0)</f>
        <v>115530</v>
      </c>
      <c r="D3678" s="46" t="n">
        <f aca="false">MIN(1,'Model Inputs &amp; Assumptions'!$U$35*EXP('Model Inputs &amp; Assumptions'!$V$35*Q3678-'Model Inputs &amp; Assumptions'!$V$35^2/2))</f>
        <v>0</v>
      </c>
      <c r="E3678" s="45" t="n">
        <f aca="false">ROUND(C3678*D3678,0)</f>
        <v>0</v>
      </c>
      <c r="F3678" s="47" t="n">
        <f aca="false">MIN(1,'Model Inputs &amp; Assumptions'!$W$35*EXP('Model Inputs &amp; Assumptions'!$X$35*R3678-'Model Inputs &amp; Assumptions'!$X$35^2/2))</f>
        <v>0.00546894718082963</v>
      </c>
      <c r="G3678" s="45" t="n">
        <f aca="false">ROUND(C3678*F3678,0)</f>
        <v>632</v>
      </c>
      <c r="H3678" s="48" t="n">
        <f aca="false">MAX(0,(C3678*'Model Inputs &amp; Assumptions'!$N$35+E3678*'Model Inputs &amp; Assumptions'!$O$35+G3678*'Model Inputs &amp; Assumptions'!$P$35)*EXP('Model Inputs &amp; Assumptions'!$Q$35*S3678-'Model Inputs &amp; Assumptions'!$Q$35^2/2))</f>
        <v>58.0668130798485</v>
      </c>
      <c r="I3678" s="49" t="n">
        <f aca="false">IF('Model Inputs &amp; Assumptions'!$H$35="Fixed",'Model Inputs &amp; Assumptions'!$I$35*'Model Inputs &amp; Assumptions'!$K$35,IF('Model Inputs &amp; Assumptions'!$H$35="CPM",'Model Inputs &amp; Assumptions'!$I$35*'Model Inputs &amp; Assumptions'!$K$35*C3678/1000,IF('Model Inputs &amp; Assumptions'!$H$35="CPC",'Model Inputs &amp; Assumptions'!$I$35*'Model Inputs &amp; Assumptions'!$K$35*G3678,0)))</f>
        <v>8672.8</v>
      </c>
      <c r="J3678" s="50" t="n">
        <f aca="false">H3678*INDEX('Model Inputs &amp; Assumptions'!$D$40:$D$42,MATCH('Model Inputs &amp; Assumptions'!$L$35,'Model Inputs &amp; Assumptions'!$A$40:$A$42,0))*INDEX('Model Inputs &amp; Assumptions'!$H$40:$H$42,MATCH('Model Inputs &amp; Assumptions'!$L$35,'Model Inputs &amp; Assumptions'!$A$40:$A$42,0))</f>
        <v>493567.911178712</v>
      </c>
      <c r="K3678" s="49" t="n">
        <f aca="false">H3678*INDEX('Model Inputs &amp; Assumptions'!$G$40:$G$42,MATCH('Model Inputs &amp; Assumptions'!$L$35,'Model Inputs &amp; Assumptions'!$A$40:$A$42,0))*INDEX('Model Inputs &amp; Assumptions'!$H$40:$H$42,MATCH('Model Inputs &amp; Assumptions'!$L$35,'Model Inputs &amp; Assumptions'!$A$40:$A$42,0))</f>
        <v>11105.278001521</v>
      </c>
      <c r="L3678" s="51" t="n">
        <f aca="false">IFERROR(K3678/I3678,0)</f>
        <v>1.28047205072422</v>
      </c>
      <c r="M3678" s="49" t="n">
        <f aca="false">IFERROR(I3678/H3678,0)</f>
        <v>149.358980457114</v>
      </c>
      <c r="N3678" s="52" t="str">
        <f aca="false">'Model Inputs &amp; Assumptions'!$L$35</f>
        <v>PRD-EUAI</v>
      </c>
      <c r="P3678" s="53" t="n">
        <v>1.784418</v>
      </c>
      <c r="Q3678" s="53" t="n">
        <v>-0.628025</v>
      </c>
      <c r="R3678" s="53" t="n">
        <v>-0.915107</v>
      </c>
      <c r="S3678" s="53" t="n">
        <v>1.176019</v>
      </c>
    </row>
    <row r="3679" customFormat="false" ht="15" hidden="false" customHeight="false" outlineLevel="0" collapsed="false">
      <c r="A3679" s="43" t="n">
        <v>176</v>
      </c>
      <c r="B3679" s="44" t="str">
        <f aca="false">'Model Inputs &amp; Assumptions'!$B$35</f>
        <v>justETF — Sponsored Listing</v>
      </c>
      <c r="C3679" s="45" t="n">
        <f aca="false">ROUND(MAX(0,'Model Inputs &amp; Assumptions'!$S$35*EXP('Model Inputs &amp; Assumptions'!$T$35*P3679-'Model Inputs &amp; Assumptions'!$T$35^2/2)),0)</f>
        <v>123511</v>
      </c>
      <c r="D3679" s="46" t="n">
        <f aca="false">MIN(1,'Model Inputs &amp; Assumptions'!$U$35*EXP('Model Inputs &amp; Assumptions'!$V$35*Q3679-'Model Inputs &amp; Assumptions'!$V$35^2/2))</f>
        <v>0</v>
      </c>
      <c r="E3679" s="45" t="n">
        <f aca="false">ROUND(C3679*D3679,0)</f>
        <v>0</v>
      </c>
      <c r="F3679" s="47" t="n">
        <f aca="false">MIN(1,'Model Inputs &amp; Assumptions'!$W$35*EXP('Model Inputs &amp; Assumptions'!$X$35*R3679-'Model Inputs &amp; Assumptions'!$X$35^2/2))</f>
        <v>0.00572066882724904</v>
      </c>
      <c r="G3679" s="45" t="n">
        <f aca="false">ROUND(C3679*F3679,0)</f>
        <v>707</v>
      </c>
      <c r="H3679" s="48" t="n">
        <f aca="false">MAX(0,(C3679*'Model Inputs &amp; Assumptions'!$N$35+E3679*'Model Inputs &amp; Assumptions'!$O$35+G3679*'Model Inputs &amp; Assumptions'!$P$35)*EXP('Model Inputs &amp; Assumptions'!$Q$35*S3679-'Model Inputs &amp; Assumptions'!$Q$35^2/2))</f>
        <v>52.8938708373653</v>
      </c>
      <c r="I3679" s="49" t="n">
        <f aca="false">IF('Model Inputs &amp; Assumptions'!$H$35="Fixed",'Model Inputs &amp; Assumptions'!$I$35*'Model Inputs &amp; Assumptions'!$K$35,IF('Model Inputs &amp; Assumptions'!$H$35="CPM",'Model Inputs &amp; Assumptions'!$I$35*'Model Inputs &amp; Assumptions'!$K$35*C3679/1000,IF('Model Inputs &amp; Assumptions'!$H$35="CPC",'Model Inputs &amp; Assumptions'!$I$35*'Model Inputs &amp; Assumptions'!$K$35*G3679,0)))</f>
        <v>8672.8</v>
      </c>
      <c r="J3679" s="50" t="n">
        <f aca="false">H3679*INDEX('Model Inputs &amp; Assumptions'!$D$40:$D$42,MATCH('Model Inputs &amp; Assumptions'!$L$35,'Model Inputs &amp; Assumptions'!$A$40:$A$42,0))*INDEX('Model Inputs &amp; Assumptions'!$H$40:$H$42,MATCH('Model Inputs &amp; Assumptions'!$L$35,'Model Inputs &amp; Assumptions'!$A$40:$A$42,0))</f>
        <v>449597.902117605</v>
      </c>
      <c r="K3679" s="49" t="n">
        <f aca="false">H3679*INDEX('Model Inputs &amp; Assumptions'!$G$40:$G$42,MATCH('Model Inputs &amp; Assumptions'!$L$35,'Model Inputs &amp; Assumptions'!$A$40:$A$42,0))*INDEX('Model Inputs &amp; Assumptions'!$H$40:$H$42,MATCH('Model Inputs &amp; Assumptions'!$L$35,'Model Inputs &amp; Assumptions'!$A$40:$A$42,0))</f>
        <v>10115.9527976461</v>
      </c>
      <c r="L3679" s="51" t="n">
        <f aca="false">IFERROR(K3679/I3679,0)</f>
        <v>1.16639987058921</v>
      </c>
      <c r="M3679" s="49" t="n">
        <f aca="false">IFERROR(I3679/H3679,0)</f>
        <v>163.96606757457</v>
      </c>
      <c r="N3679" s="52" t="str">
        <f aca="false">'Model Inputs &amp; Assumptions'!$L$35</f>
        <v>PRD-EUAI</v>
      </c>
      <c r="P3679" s="53" t="n">
        <v>2.229746</v>
      </c>
      <c r="Q3679" s="53" t="n">
        <v>0.002426</v>
      </c>
      <c r="R3679" s="53" t="n">
        <v>-0.690109</v>
      </c>
      <c r="S3679" s="53" t="n">
        <v>0.385834</v>
      </c>
    </row>
    <row r="3680" customFormat="false" ht="15" hidden="false" customHeight="false" outlineLevel="0" collapsed="false">
      <c r="A3680" s="43" t="n">
        <v>177</v>
      </c>
      <c r="B3680" s="44" t="str">
        <f aca="false">'Model Inputs &amp; Assumptions'!$B$35</f>
        <v>justETF — Sponsored Listing</v>
      </c>
      <c r="C3680" s="45" t="n">
        <f aca="false">ROUND(MAX(0,'Model Inputs &amp; Assumptions'!$S$35*EXP('Model Inputs &amp; Assumptions'!$T$35*P3680-'Model Inputs &amp; Assumptions'!$T$35^2/2)),0)</f>
        <v>91354</v>
      </c>
      <c r="D3680" s="46" t="n">
        <f aca="false">MIN(1,'Model Inputs &amp; Assumptions'!$U$35*EXP('Model Inputs &amp; Assumptions'!$V$35*Q3680-'Model Inputs &amp; Assumptions'!$V$35^2/2))</f>
        <v>0</v>
      </c>
      <c r="E3680" s="45" t="n">
        <f aca="false">ROUND(C3680*D3680,0)</f>
        <v>0</v>
      </c>
      <c r="F3680" s="47" t="n">
        <f aca="false">MIN(1,'Model Inputs &amp; Assumptions'!$W$35*EXP('Model Inputs &amp; Assumptions'!$X$35*R3680-'Model Inputs &amp; Assumptions'!$X$35^2/2))</f>
        <v>0.00810731812809437</v>
      </c>
      <c r="G3680" s="45" t="n">
        <f aca="false">ROUND(C3680*F3680,0)</f>
        <v>741</v>
      </c>
      <c r="H3680" s="48" t="n">
        <f aca="false">MAX(0,(C3680*'Model Inputs &amp; Assumptions'!$N$35+E3680*'Model Inputs &amp; Assumptions'!$O$35+G3680*'Model Inputs &amp; Assumptions'!$P$35)*EXP('Model Inputs &amp; Assumptions'!$Q$35*S3680-'Model Inputs &amp; Assumptions'!$Q$35^2/2))</f>
        <v>33.1038161859198</v>
      </c>
      <c r="I3680" s="49" t="n">
        <f aca="false">IF('Model Inputs &amp; Assumptions'!$H$35="Fixed",'Model Inputs &amp; Assumptions'!$I$35*'Model Inputs &amp; Assumptions'!$K$35,IF('Model Inputs &amp; Assumptions'!$H$35="CPM",'Model Inputs &amp; Assumptions'!$I$35*'Model Inputs &amp; Assumptions'!$K$35*C3680/1000,IF('Model Inputs &amp; Assumptions'!$H$35="CPC",'Model Inputs &amp; Assumptions'!$I$35*'Model Inputs &amp; Assumptions'!$K$35*G3680,0)))</f>
        <v>8672.8</v>
      </c>
      <c r="J3680" s="50" t="n">
        <f aca="false">H3680*INDEX('Model Inputs &amp; Assumptions'!$D$40:$D$42,MATCH('Model Inputs &amp; Assumptions'!$L$35,'Model Inputs &amp; Assumptions'!$A$40:$A$42,0))*INDEX('Model Inputs &amp; Assumptions'!$H$40:$H$42,MATCH('Model Inputs &amp; Assumptions'!$L$35,'Model Inputs &amp; Assumptions'!$A$40:$A$42,0))</f>
        <v>281382.437580318</v>
      </c>
      <c r="K3680" s="49" t="n">
        <f aca="false">H3680*INDEX('Model Inputs &amp; Assumptions'!$G$40:$G$42,MATCH('Model Inputs &amp; Assumptions'!$L$35,'Model Inputs &amp; Assumptions'!$A$40:$A$42,0))*INDEX('Model Inputs &amp; Assumptions'!$H$40:$H$42,MATCH('Model Inputs &amp; Assumptions'!$L$35,'Model Inputs &amp; Assumptions'!$A$40:$A$42,0))</f>
        <v>6331.10484555716</v>
      </c>
      <c r="L3680" s="51" t="n">
        <f aca="false">IFERROR(K3680/I3680,0)</f>
        <v>0.729995485374638</v>
      </c>
      <c r="M3680" s="49" t="n">
        <f aca="false">IFERROR(I3680/H3680,0)</f>
        <v>261.987921612761</v>
      </c>
      <c r="N3680" s="52" t="str">
        <f aca="false">'Model Inputs &amp; Assumptions'!$L$35</f>
        <v>PRD-EUAI</v>
      </c>
      <c r="P3680" s="53" t="n">
        <v>0.219178</v>
      </c>
      <c r="Q3680" s="53" t="n">
        <v>-0.950445</v>
      </c>
      <c r="R3680" s="53" t="n">
        <v>1.053298</v>
      </c>
      <c r="S3680" s="53" t="n">
        <v>-1.597277</v>
      </c>
    </row>
    <row r="3681" customFormat="false" ht="15" hidden="false" customHeight="false" outlineLevel="0" collapsed="false">
      <c r="A3681" s="43" t="n">
        <v>178</v>
      </c>
      <c r="B3681" s="44" t="str">
        <f aca="false">'Model Inputs &amp; Assumptions'!$B$35</f>
        <v>justETF — Sponsored Listing</v>
      </c>
      <c r="C3681" s="45" t="n">
        <f aca="false">ROUND(MAX(0,'Model Inputs &amp; Assumptions'!$S$35*EXP('Model Inputs &amp; Assumptions'!$T$35*P3681-'Model Inputs &amp; Assumptions'!$T$35^2/2)),0)</f>
        <v>95741</v>
      </c>
      <c r="D3681" s="46" t="n">
        <f aca="false">MIN(1,'Model Inputs &amp; Assumptions'!$U$35*EXP('Model Inputs &amp; Assumptions'!$V$35*Q3681-'Model Inputs &amp; Assumptions'!$V$35^2/2))</f>
        <v>0</v>
      </c>
      <c r="E3681" s="45" t="n">
        <f aca="false">ROUND(C3681*D3681,0)</f>
        <v>0</v>
      </c>
      <c r="F3681" s="47" t="n">
        <f aca="false">MIN(1,'Model Inputs &amp; Assumptions'!$W$35*EXP('Model Inputs &amp; Assumptions'!$X$35*R3681-'Model Inputs &amp; Assumptions'!$X$35^2/2))</f>
        <v>0.00619914219229135</v>
      </c>
      <c r="G3681" s="45" t="n">
        <f aca="false">ROUND(C3681*F3681,0)</f>
        <v>594</v>
      </c>
      <c r="H3681" s="48" t="n">
        <f aca="false">MAX(0,(C3681*'Model Inputs &amp; Assumptions'!$N$35+E3681*'Model Inputs &amp; Assumptions'!$O$35+G3681*'Model Inputs &amp; Assumptions'!$P$35)*EXP('Model Inputs &amp; Assumptions'!$Q$35*S3681-'Model Inputs &amp; Assumptions'!$Q$35^2/2))</f>
        <v>38.1057962241743</v>
      </c>
      <c r="I3681" s="49" t="n">
        <f aca="false">IF('Model Inputs &amp; Assumptions'!$H$35="Fixed",'Model Inputs &amp; Assumptions'!$I$35*'Model Inputs &amp; Assumptions'!$K$35,IF('Model Inputs &amp; Assumptions'!$H$35="CPM",'Model Inputs &amp; Assumptions'!$I$35*'Model Inputs &amp; Assumptions'!$K$35*C3681/1000,IF('Model Inputs &amp; Assumptions'!$H$35="CPC",'Model Inputs &amp; Assumptions'!$I$35*'Model Inputs &amp; Assumptions'!$K$35*G3681,0)))</f>
        <v>8672.8</v>
      </c>
      <c r="J3681" s="50" t="n">
        <f aca="false">H3681*INDEX('Model Inputs &amp; Assumptions'!$D$40:$D$42,MATCH('Model Inputs &amp; Assumptions'!$L$35,'Model Inputs &amp; Assumptions'!$A$40:$A$42,0))*INDEX('Model Inputs &amp; Assumptions'!$H$40:$H$42,MATCH('Model Inputs &amp; Assumptions'!$L$35,'Model Inputs &amp; Assumptions'!$A$40:$A$42,0))</f>
        <v>323899.267905481</v>
      </c>
      <c r="K3681" s="49" t="n">
        <f aca="false">H3681*INDEX('Model Inputs &amp; Assumptions'!$G$40:$G$42,MATCH('Model Inputs &amp; Assumptions'!$L$35,'Model Inputs &amp; Assumptions'!$A$40:$A$42,0))*INDEX('Model Inputs &amp; Assumptions'!$H$40:$H$42,MATCH('Model Inputs &amp; Assumptions'!$L$35,'Model Inputs &amp; Assumptions'!$A$40:$A$42,0))</f>
        <v>7287.73352787333</v>
      </c>
      <c r="L3681" s="51" t="n">
        <f aca="false">IFERROR(K3681/I3681,0)</f>
        <v>0.840297657950527</v>
      </c>
      <c r="M3681" s="49" t="n">
        <f aca="false">IFERROR(I3681/H3681,0)</f>
        <v>227.597921034858</v>
      </c>
      <c r="N3681" s="52" t="str">
        <f aca="false">'Model Inputs &amp; Assumptions'!$L$35</f>
        <v>PRD-EUAI</v>
      </c>
      <c r="P3681" s="53" t="n">
        <v>0.531813</v>
      </c>
      <c r="Q3681" s="53" t="n">
        <v>-0.582799</v>
      </c>
      <c r="R3681" s="53" t="n">
        <v>-0.288483</v>
      </c>
      <c r="S3681" s="53" t="n">
        <v>-0.205588</v>
      </c>
    </row>
    <row r="3682" customFormat="false" ht="15" hidden="false" customHeight="false" outlineLevel="0" collapsed="false">
      <c r="A3682" s="43" t="n">
        <v>179</v>
      </c>
      <c r="B3682" s="44" t="str">
        <f aca="false">'Model Inputs &amp; Assumptions'!$B$35</f>
        <v>justETF — Sponsored Listing</v>
      </c>
      <c r="C3682" s="45" t="n">
        <f aca="false">ROUND(MAX(0,'Model Inputs &amp; Assumptions'!$S$35*EXP('Model Inputs &amp; Assumptions'!$T$35*P3682-'Model Inputs &amp; Assumptions'!$T$35^2/2)),0)</f>
        <v>92905</v>
      </c>
      <c r="D3682" s="46" t="n">
        <f aca="false">MIN(1,'Model Inputs &amp; Assumptions'!$U$35*EXP('Model Inputs &amp; Assumptions'!$V$35*Q3682-'Model Inputs &amp; Assumptions'!$V$35^2/2))</f>
        <v>0</v>
      </c>
      <c r="E3682" s="45" t="n">
        <f aca="false">ROUND(C3682*D3682,0)</f>
        <v>0</v>
      </c>
      <c r="F3682" s="47" t="n">
        <f aca="false">MIN(1,'Model Inputs &amp; Assumptions'!$W$35*EXP('Model Inputs &amp; Assumptions'!$X$35*R3682-'Model Inputs &amp; Assumptions'!$X$35^2/2))</f>
        <v>0.00603452248049208</v>
      </c>
      <c r="G3682" s="45" t="n">
        <f aca="false">ROUND(C3682*F3682,0)</f>
        <v>561</v>
      </c>
      <c r="H3682" s="48" t="n">
        <f aca="false">MAX(0,(C3682*'Model Inputs &amp; Assumptions'!$N$35+E3682*'Model Inputs &amp; Assumptions'!$O$35+G3682*'Model Inputs &amp; Assumptions'!$P$35)*EXP('Model Inputs &amp; Assumptions'!$Q$35*S3682-'Model Inputs &amp; Assumptions'!$Q$35^2/2))</f>
        <v>51.2165687753995</v>
      </c>
      <c r="I3682" s="49" t="n">
        <f aca="false">IF('Model Inputs &amp; Assumptions'!$H$35="Fixed",'Model Inputs &amp; Assumptions'!$I$35*'Model Inputs &amp; Assumptions'!$K$35,IF('Model Inputs &amp; Assumptions'!$H$35="CPM",'Model Inputs &amp; Assumptions'!$I$35*'Model Inputs &amp; Assumptions'!$K$35*C3682/1000,IF('Model Inputs &amp; Assumptions'!$H$35="CPC",'Model Inputs &amp; Assumptions'!$I$35*'Model Inputs &amp; Assumptions'!$K$35*G3682,0)))</f>
        <v>8672.8</v>
      </c>
      <c r="J3682" s="50" t="n">
        <f aca="false">H3682*INDEX('Model Inputs &amp; Assumptions'!$D$40:$D$42,MATCH('Model Inputs &amp; Assumptions'!$L$35,'Model Inputs &amp; Assumptions'!$A$40:$A$42,0))*INDEX('Model Inputs &amp; Assumptions'!$H$40:$H$42,MATCH('Model Inputs &amp; Assumptions'!$L$35,'Model Inputs &amp; Assumptions'!$A$40:$A$42,0))</f>
        <v>435340.834590896</v>
      </c>
      <c r="K3682" s="49" t="n">
        <f aca="false">H3682*INDEX('Model Inputs &amp; Assumptions'!$G$40:$G$42,MATCH('Model Inputs &amp; Assumptions'!$L$35,'Model Inputs &amp; Assumptions'!$A$40:$A$42,0))*INDEX('Model Inputs &amp; Assumptions'!$H$40:$H$42,MATCH('Model Inputs &amp; Assumptions'!$L$35,'Model Inputs &amp; Assumptions'!$A$40:$A$42,0))</f>
        <v>9795.16877829515</v>
      </c>
      <c r="L3682" s="51" t="n">
        <f aca="false">IFERROR(K3682/I3682,0)</f>
        <v>1.12941250556858</v>
      </c>
      <c r="M3682" s="49" t="n">
        <f aca="false">IFERROR(I3682/H3682,0)</f>
        <v>169.335826420409</v>
      </c>
      <c r="N3682" s="52" t="str">
        <f aca="false">'Model Inputs &amp; Assumptions'!$L$35</f>
        <v>PRD-EUAI</v>
      </c>
      <c r="P3682" s="53" t="n">
        <v>0.331379</v>
      </c>
      <c r="Q3682" s="53" t="n">
        <v>-0.702438</v>
      </c>
      <c r="R3682" s="53" t="n">
        <v>-0.423054</v>
      </c>
      <c r="S3682" s="53" t="n">
        <v>1.151547</v>
      </c>
    </row>
    <row r="3683" customFormat="false" ht="15" hidden="false" customHeight="false" outlineLevel="0" collapsed="false">
      <c r="A3683" s="43" t="n">
        <v>180</v>
      </c>
      <c r="B3683" s="44" t="str">
        <f aca="false">'Model Inputs &amp; Assumptions'!$B$35</f>
        <v>justETF — Sponsored Listing</v>
      </c>
      <c r="C3683" s="45" t="n">
        <f aca="false">ROUND(MAX(0,'Model Inputs &amp; Assumptions'!$S$35*EXP('Model Inputs &amp; Assumptions'!$T$35*P3683-'Model Inputs &amp; Assumptions'!$T$35^2/2)),0)</f>
        <v>98940</v>
      </c>
      <c r="D3683" s="46" t="n">
        <f aca="false">MIN(1,'Model Inputs &amp; Assumptions'!$U$35*EXP('Model Inputs &amp; Assumptions'!$V$35*Q3683-'Model Inputs &amp; Assumptions'!$V$35^2/2))</f>
        <v>0</v>
      </c>
      <c r="E3683" s="45" t="n">
        <f aca="false">ROUND(C3683*D3683,0)</f>
        <v>0</v>
      </c>
      <c r="F3683" s="47" t="n">
        <f aca="false">MIN(1,'Model Inputs &amp; Assumptions'!$W$35*EXP('Model Inputs &amp; Assumptions'!$X$35*R3683-'Model Inputs &amp; Assumptions'!$X$35^2/2))</f>
        <v>0.00839887632776409</v>
      </c>
      <c r="G3683" s="45" t="n">
        <f aca="false">ROUND(C3683*F3683,0)</f>
        <v>831</v>
      </c>
      <c r="H3683" s="48" t="n">
        <f aca="false">MAX(0,(C3683*'Model Inputs &amp; Assumptions'!$N$35+E3683*'Model Inputs &amp; Assumptions'!$O$35+G3683*'Model Inputs &amp; Assumptions'!$P$35)*EXP('Model Inputs &amp; Assumptions'!$Q$35*S3683-'Model Inputs &amp; Assumptions'!$Q$35^2/2))</f>
        <v>51.7386010295794</v>
      </c>
      <c r="I3683" s="49" t="n">
        <f aca="false">IF('Model Inputs &amp; Assumptions'!$H$35="Fixed",'Model Inputs &amp; Assumptions'!$I$35*'Model Inputs &amp; Assumptions'!$K$35,IF('Model Inputs &amp; Assumptions'!$H$35="CPM",'Model Inputs &amp; Assumptions'!$I$35*'Model Inputs &amp; Assumptions'!$K$35*C3683/1000,IF('Model Inputs &amp; Assumptions'!$H$35="CPC",'Model Inputs &amp; Assumptions'!$I$35*'Model Inputs &amp; Assumptions'!$K$35*G3683,0)))</f>
        <v>8672.8</v>
      </c>
      <c r="J3683" s="50" t="n">
        <f aca="false">H3683*INDEX('Model Inputs &amp; Assumptions'!$D$40:$D$42,MATCH('Model Inputs &amp; Assumptions'!$L$35,'Model Inputs &amp; Assumptions'!$A$40:$A$42,0))*INDEX('Model Inputs &amp; Assumptions'!$H$40:$H$42,MATCH('Model Inputs &amp; Assumptions'!$L$35,'Model Inputs &amp; Assumptions'!$A$40:$A$42,0))</f>
        <v>439778.108751425</v>
      </c>
      <c r="K3683" s="49" t="n">
        <f aca="false">H3683*INDEX('Model Inputs &amp; Assumptions'!$G$40:$G$42,MATCH('Model Inputs &amp; Assumptions'!$L$35,'Model Inputs &amp; Assumptions'!$A$40:$A$42,0))*INDEX('Model Inputs &amp; Assumptions'!$H$40:$H$42,MATCH('Model Inputs &amp; Assumptions'!$L$35,'Model Inputs &amp; Assumptions'!$A$40:$A$42,0))</f>
        <v>9895.00744690707</v>
      </c>
      <c r="L3683" s="51" t="n">
        <f aca="false">IFERROR(K3683/I3683,0)</f>
        <v>1.14092420520559</v>
      </c>
      <c r="M3683" s="49" t="n">
        <f aca="false">IFERROR(I3683/H3683,0)</f>
        <v>167.627261414387</v>
      </c>
      <c r="N3683" s="52" t="str">
        <f aca="false">'Model Inputs &amp; Assumptions'!$L$35</f>
        <v>PRD-EUAI</v>
      </c>
      <c r="P3683" s="53" t="n">
        <v>0.750934</v>
      </c>
      <c r="Q3683" s="53" t="n">
        <v>0.427798</v>
      </c>
      <c r="R3683" s="53" t="n">
        <v>1.229952</v>
      </c>
      <c r="S3683" s="53" t="n">
        <v>-0.320637</v>
      </c>
    </row>
    <row r="3684" customFormat="false" ht="15" hidden="false" customHeight="false" outlineLevel="0" collapsed="false">
      <c r="A3684" s="43" t="n">
        <v>181</v>
      </c>
      <c r="B3684" s="44" t="str">
        <f aca="false">'Model Inputs &amp; Assumptions'!$B$35</f>
        <v>justETF — Sponsored Listing</v>
      </c>
      <c r="C3684" s="45" t="n">
        <f aca="false">ROUND(MAX(0,'Model Inputs &amp; Assumptions'!$S$35*EXP('Model Inputs &amp; Assumptions'!$T$35*P3684-'Model Inputs &amp; Assumptions'!$T$35^2/2)),0)</f>
        <v>96640</v>
      </c>
      <c r="D3684" s="46" t="n">
        <f aca="false">MIN(1,'Model Inputs &amp; Assumptions'!$U$35*EXP('Model Inputs &amp; Assumptions'!$V$35*Q3684-'Model Inputs &amp; Assumptions'!$V$35^2/2))</f>
        <v>0</v>
      </c>
      <c r="E3684" s="45" t="n">
        <f aca="false">ROUND(C3684*D3684,0)</f>
        <v>0</v>
      </c>
      <c r="F3684" s="47" t="n">
        <f aca="false">MIN(1,'Model Inputs &amp; Assumptions'!$W$35*EXP('Model Inputs &amp; Assumptions'!$X$35*R3684-'Model Inputs &amp; Assumptions'!$X$35^2/2))</f>
        <v>0.00458220134834308</v>
      </c>
      <c r="G3684" s="45" t="n">
        <f aca="false">ROUND(C3684*F3684,0)</f>
        <v>443</v>
      </c>
      <c r="H3684" s="48" t="n">
        <f aca="false">MAX(0,(C3684*'Model Inputs &amp; Assumptions'!$N$35+E3684*'Model Inputs &amp; Assumptions'!$O$35+G3684*'Model Inputs &amp; Assumptions'!$P$35)*EXP('Model Inputs &amp; Assumptions'!$Q$35*S3684-'Model Inputs &amp; Assumptions'!$Q$35^2/2))</f>
        <v>28.3249678850847</v>
      </c>
      <c r="I3684" s="49" t="n">
        <f aca="false">IF('Model Inputs &amp; Assumptions'!$H$35="Fixed",'Model Inputs &amp; Assumptions'!$I$35*'Model Inputs &amp; Assumptions'!$K$35,IF('Model Inputs &amp; Assumptions'!$H$35="CPM",'Model Inputs &amp; Assumptions'!$I$35*'Model Inputs &amp; Assumptions'!$K$35*C3684/1000,IF('Model Inputs &amp; Assumptions'!$H$35="CPC",'Model Inputs &amp; Assumptions'!$I$35*'Model Inputs &amp; Assumptions'!$K$35*G3684,0)))</f>
        <v>8672.8</v>
      </c>
      <c r="J3684" s="50" t="n">
        <f aca="false">H3684*INDEX('Model Inputs &amp; Assumptions'!$D$40:$D$42,MATCH('Model Inputs &amp; Assumptions'!$L$35,'Model Inputs &amp; Assumptions'!$A$40:$A$42,0))*INDEX('Model Inputs &amp; Assumptions'!$H$40:$H$42,MATCH('Model Inputs &amp; Assumptions'!$L$35,'Model Inputs &amp; Assumptions'!$A$40:$A$42,0))</f>
        <v>240762.22702322</v>
      </c>
      <c r="K3684" s="49" t="n">
        <f aca="false">H3684*INDEX('Model Inputs &amp; Assumptions'!$G$40:$G$42,MATCH('Model Inputs &amp; Assumptions'!$L$35,'Model Inputs &amp; Assumptions'!$A$40:$A$42,0))*INDEX('Model Inputs &amp; Assumptions'!$H$40:$H$42,MATCH('Model Inputs &amp; Assumptions'!$L$35,'Model Inputs &amp; Assumptions'!$A$40:$A$42,0))</f>
        <v>5417.15010802245</v>
      </c>
      <c r="L3684" s="51" t="n">
        <f aca="false">IFERROR(K3684/I3684,0)</f>
        <v>0.624613747350619</v>
      </c>
      <c r="M3684" s="49" t="n">
        <f aca="false">IFERROR(I3684/H3684,0)</f>
        <v>306.189226239755</v>
      </c>
      <c r="N3684" s="52" t="str">
        <f aca="false">'Model Inputs &amp; Assumptions'!$L$35</f>
        <v>PRD-EUAI</v>
      </c>
      <c r="P3684" s="53" t="n">
        <v>0.594144</v>
      </c>
      <c r="Q3684" s="53" t="n">
        <v>-1.546898</v>
      </c>
      <c r="R3684" s="53" t="n">
        <v>-1.79964</v>
      </c>
      <c r="S3684" s="53" t="n">
        <v>-0.218331</v>
      </c>
    </row>
    <row r="3685" customFormat="false" ht="15" hidden="false" customHeight="false" outlineLevel="0" collapsed="false">
      <c r="A3685" s="43" t="n">
        <v>182</v>
      </c>
      <c r="B3685" s="44" t="str">
        <f aca="false">'Model Inputs &amp; Assumptions'!$B$35</f>
        <v>justETF — Sponsored Listing</v>
      </c>
      <c r="C3685" s="45" t="n">
        <f aca="false">ROUND(MAX(0,'Model Inputs &amp; Assumptions'!$S$35*EXP('Model Inputs &amp; Assumptions'!$T$35*P3685-'Model Inputs &amp; Assumptions'!$T$35^2/2)),0)</f>
        <v>82363</v>
      </c>
      <c r="D3685" s="46" t="n">
        <f aca="false">MIN(1,'Model Inputs &amp; Assumptions'!$U$35*EXP('Model Inputs &amp; Assumptions'!$V$35*Q3685-'Model Inputs &amp; Assumptions'!$V$35^2/2))</f>
        <v>0</v>
      </c>
      <c r="E3685" s="45" t="n">
        <f aca="false">ROUND(C3685*D3685,0)</f>
        <v>0</v>
      </c>
      <c r="F3685" s="47" t="n">
        <f aca="false">MIN(1,'Model Inputs &amp; Assumptions'!$W$35*EXP('Model Inputs &amp; Assumptions'!$X$35*R3685-'Model Inputs &amp; Assumptions'!$X$35^2/2))</f>
        <v>0.0103111344548846</v>
      </c>
      <c r="G3685" s="45" t="n">
        <f aca="false">ROUND(C3685*F3685,0)</f>
        <v>849</v>
      </c>
      <c r="H3685" s="48" t="n">
        <f aca="false">MAX(0,(C3685*'Model Inputs &amp; Assumptions'!$N$35+E3685*'Model Inputs &amp; Assumptions'!$O$35+G3685*'Model Inputs &amp; Assumptions'!$P$35)*EXP('Model Inputs &amp; Assumptions'!$Q$35*S3685-'Model Inputs &amp; Assumptions'!$Q$35^2/2))</f>
        <v>62.1572266889885</v>
      </c>
      <c r="I3685" s="49" t="n">
        <f aca="false">IF('Model Inputs &amp; Assumptions'!$H$35="Fixed",'Model Inputs &amp; Assumptions'!$I$35*'Model Inputs &amp; Assumptions'!$K$35,IF('Model Inputs &amp; Assumptions'!$H$35="CPM",'Model Inputs &amp; Assumptions'!$I$35*'Model Inputs &amp; Assumptions'!$K$35*C3685/1000,IF('Model Inputs &amp; Assumptions'!$H$35="CPC",'Model Inputs &amp; Assumptions'!$I$35*'Model Inputs &amp; Assumptions'!$K$35*G3685,0)))</f>
        <v>8672.8</v>
      </c>
      <c r="J3685" s="50" t="n">
        <f aca="false">H3685*INDEX('Model Inputs &amp; Assumptions'!$D$40:$D$42,MATCH('Model Inputs &amp; Assumptions'!$L$35,'Model Inputs &amp; Assumptions'!$A$40:$A$42,0))*INDEX('Model Inputs &amp; Assumptions'!$H$40:$H$42,MATCH('Model Inputs &amp; Assumptions'!$L$35,'Model Inputs &amp; Assumptions'!$A$40:$A$42,0))</f>
        <v>528336.426856402</v>
      </c>
      <c r="K3685" s="49" t="n">
        <f aca="false">H3685*INDEX('Model Inputs &amp; Assumptions'!$G$40:$G$42,MATCH('Model Inputs &amp; Assumptions'!$L$35,'Model Inputs &amp; Assumptions'!$A$40:$A$42,0))*INDEX('Model Inputs &amp; Assumptions'!$H$40:$H$42,MATCH('Model Inputs &amp; Assumptions'!$L$35,'Model Inputs &amp; Assumptions'!$A$40:$A$42,0))</f>
        <v>11887.569604269</v>
      </c>
      <c r="L3685" s="51" t="n">
        <f aca="false">IFERROR(K3685/I3685,0)</f>
        <v>1.37067263216828</v>
      </c>
      <c r="M3685" s="49" t="n">
        <f aca="false">IFERROR(I3685/H3685,0)</f>
        <v>139.53003475196</v>
      </c>
      <c r="N3685" s="52" t="str">
        <f aca="false">'Model Inputs &amp; Assumptions'!$L$35</f>
        <v>PRD-EUAI</v>
      </c>
      <c r="P3685" s="53" t="n">
        <v>-0.471553</v>
      </c>
      <c r="Q3685" s="53" t="n">
        <v>-0.438542</v>
      </c>
      <c r="R3685" s="53" t="n">
        <v>2.255584</v>
      </c>
      <c r="S3685" s="53" t="n">
        <v>0.302569</v>
      </c>
    </row>
    <row r="3686" customFormat="false" ht="15" hidden="false" customHeight="false" outlineLevel="0" collapsed="false">
      <c r="A3686" s="43" t="n">
        <v>183</v>
      </c>
      <c r="B3686" s="44" t="str">
        <f aca="false">'Model Inputs &amp; Assumptions'!$B$35</f>
        <v>justETF — Sponsored Listing</v>
      </c>
      <c r="C3686" s="45" t="n">
        <f aca="false">ROUND(MAX(0,'Model Inputs &amp; Assumptions'!$S$35*EXP('Model Inputs &amp; Assumptions'!$T$35*P3686-'Model Inputs &amp; Assumptions'!$T$35^2/2)),0)</f>
        <v>74817</v>
      </c>
      <c r="D3686" s="46" t="n">
        <f aca="false">MIN(1,'Model Inputs &amp; Assumptions'!$U$35*EXP('Model Inputs &amp; Assumptions'!$V$35*Q3686-'Model Inputs &amp; Assumptions'!$V$35^2/2))</f>
        <v>0</v>
      </c>
      <c r="E3686" s="45" t="n">
        <f aca="false">ROUND(C3686*D3686,0)</f>
        <v>0</v>
      </c>
      <c r="F3686" s="47" t="n">
        <f aca="false">MIN(1,'Model Inputs &amp; Assumptions'!$W$35*EXP('Model Inputs &amp; Assumptions'!$X$35*R3686-'Model Inputs &amp; Assumptions'!$X$35^2/2))</f>
        <v>0.00614750019234735</v>
      </c>
      <c r="G3686" s="45" t="n">
        <f aca="false">ROUND(C3686*F3686,0)</f>
        <v>460</v>
      </c>
      <c r="H3686" s="48" t="n">
        <f aca="false">MAX(0,(C3686*'Model Inputs &amp; Assumptions'!$N$35+E3686*'Model Inputs &amp; Assumptions'!$O$35+G3686*'Model Inputs &amp; Assumptions'!$P$35)*EXP('Model Inputs &amp; Assumptions'!$Q$35*S3686-'Model Inputs &amp; Assumptions'!$Q$35^2/2))</f>
        <v>35.5650499462722</v>
      </c>
      <c r="I3686" s="49" t="n">
        <f aca="false">IF('Model Inputs &amp; Assumptions'!$H$35="Fixed",'Model Inputs &amp; Assumptions'!$I$35*'Model Inputs &amp; Assumptions'!$K$35,IF('Model Inputs &amp; Assumptions'!$H$35="CPM",'Model Inputs &amp; Assumptions'!$I$35*'Model Inputs &amp; Assumptions'!$K$35*C3686/1000,IF('Model Inputs &amp; Assumptions'!$H$35="CPC",'Model Inputs &amp; Assumptions'!$I$35*'Model Inputs &amp; Assumptions'!$K$35*G3686,0)))</f>
        <v>8672.8</v>
      </c>
      <c r="J3686" s="50" t="n">
        <f aca="false">H3686*INDEX('Model Inputs &amp; Assumptions'!$D$40:$D$42,MATCH('Model Inputs &amp; Assumptions'!$L$35,'Model Inputs &amp; Assumptions'!$A$40:$A$42,0))*INDEX('Model Inputs &amp; Assumptions'!$H$40:$H$42,MATCH('Model Inputs &amp; Assumptions'!$L$35,'Model Inputs &amp; Assumptions'!$A$40:$A$42,0))</f>
        <v>302302.924543314</v>
      </c>
      <c r="K3686" s="49" t="n">
        <f aca="false">H3686*INDEX('Model Inputs &amp; Assumptions'!$G$40:$G$42,MATCH('Model Inputs &amp; Assumptions'!$L$35,'Model Inputs &amp; Assumptions'!$A$40:$A$42,0))*INDEX('Model Inputs &amp; Assumptions'!$H$40:$H$42,MATCH('Model Inputs &amp; Assumptions'!$L$35,'Model Inputs &amp; Assumptions'!$A$40:$A$42,0))</f>
        <v>6801.81580222455</v>
      </c>
      <c r="L3686" s="51" t="n">
        <f aca="false">IFERROR(K3686/I3686,0)</f>
        <v>0.784269878496513</v>
      </c>
      <c r="M3686" s="49" t="n">
        <f aca="false">IFERROR(I3686/H3686,0)</f>
        <v>243.857382826734</v>
      </c>
      <c r="N3686" s="52" t="str">
        <f aca="false">'Model Inputs &amp; Assumptions'!$L$35</f>
        <v>PRD-EUAI</v>
      </c>
      <c r="P3686" s="53" t="n">
        <v>-1.112127</v>
      </c>
      <c r="Q3686" s="53" t="n">
        <v>0.931263</v>
      </c>
      <c r="R3686" s="53" t="n">
        <v>-0.33031</v>
      </c>
      <c r="S3686" s="53" t="n">
        <v>0.512296</v>
      </c>
    </row>
    <row r="3687" customFormat="false" ht="15" hidden="false" customHeight="false" outlineLevel="0" collapsed="false">
      <c r="A3687" s="43" t="n">
        <v>184</v>
      </c>
      <c r="B3687" s="44" t="str">
        <f aca="false">'Model Inputs &amp; Assumptions'!$B$35</f>
        <v>justETF — Sponsored Listing</v>
      </c>
      <c r="C3687" s="45" t="n">
        <f aca="false">ROUND(MAX(0,'Model Inputs &amp; Assumptions'!$S$35*EXP('Model Inputs &amp; Assumptions'!$T$35*P3687-'Model Inputs &amp; Assumptions'!$T$35^2/2)),0)</f>
        <v>81759</v>
      </c>
      <c r="D3687" s="46" t="n">
        <f aca="false">MIN(1,'Model Inputs &amp; Assumptions'!$U$35*EXP('Model Inputs &amp; Assumptions'!$V$35*Q3687-'Model Inputs &amp; Assumptions'!$V$35^2/2))</f>
        <v>0</v>
      </c>
      <c r="E3687" s="45" t="n">
        <f aca="false">ROUND(C3687*D3687,0)</f>
        <v>0</v>
      </c>
      <c r="F3687" s="47" t="n">
        <f aca="false">MIN(1,'Model Inputs &amp; Assumptions'!$W$35*EXP('Model Inputs &amp; Assumptions'!$X$35*R3687-'Model Inputs &amp; Assumptions'!$X$35^2/2))</f>
        <v>0.00572626866862531</v>
      </c>
      <c r="G3687" s="45" t="n">
        <f aca="false">ROUND(C3687*F3687,0)</f>
        <v>468</v>
      </c>
      <c r="H3687" s="48" t="n">
        <f aca="false">MAX(0,(C3687*'Model Inputs &amp; Assumptions'!$N$35+E3687*'Model Inputs &amp; Assumptions'!$O$35+G3687*'Model Inputs &amp; Assumptions'!$P$35)*EXP('Model Inputs &amp; Assumptions'!$Q$35*S3687-'Model Inputs &amp; Assumptions'!$Q$35^2/2))</f>
        <v>28.2145335411675</v>
      </c>
      <c r="I3687" s="49" t="n">
        <f aca="false">IF('Model Inputs &amp; Assumptions'!$H$35="Fixed",'Model Inputs &amp; Assumptions'!$I$35*'Model Inputs &amp; Assumptions'!$K$35,IF('Model Inputs &amp; Assumptions'!$H$35="CPM",'Model Inputs &amp; Assumptions'!$I$35*'Model Inputs &amp; Assumptions'!$K$35*C3687/1000,IF('Model Inputs &amp; Assumptions'!$H$35="CPC",'Model Inputs &amp; Assumptions'!$I$35*'Model Inputs &amp; Assumptions'!$K$35*G3687,0)))</f>
        <v>8672.8</v>
      </c>
      <c r="J3687" s="50" t="n">
        <f aca="false">H3687*INDEX('Model Inputs &amp; Assumptions'!$D$40:$D$42,MATCH('Model Inputs &amp; Assumptions'!$L$35,'Model Inputs &amp; Assumptions'!$A$40:$A$42,0))*INDEX('Model Inputs &amp; Assumptions'!$H$40:$H$42,MATCH('Model Inputs &amp; Assumptions'!$L$35,'Model Inputs &amp; Assumptions'!$A$40:$A$42,0))</f>
        <v>239823.535099924</v>
      </c>
      <c r="K3687" s="49" t="n">
        <f aca="false">H3687*INDEX('Model Inputs &amp; Assumptions'!$G$40:$G$42,MATCH('Model Inputs &amp; Assumptions'!$L$35,'Model Inputs &amp; Assumptions'!$A$40:$A$42,0))*INDEX('Model Inputs &amp; Assumptions'!$H$40:$H$42,MATCH('Model Inputs &amp; Assumptions'!$L$35,'Model Inputs &amp; Assumptions'!$A$40:$A$42,0))</f>
        <v>5396.02953974829</v>
      </c>
      <c r="L3687" s="51" t="n">
        <f aca="false">IFERROR(K3687/I3687,0)</f>
        <v>0.62217848212207</v>
      </c>
      <c r="M3687" s="49" t="n">
        <f aca="false">IFERROR(I3687/H3687,0)</f>
        <v>307.387679734121</v>
      </c>
      <c r="N3687" s="52" t="str">
        <f aca="false">'Model Inputs &amp; Assumptions'!$L$35</f>
        <v>PRD-EUAI</v>
      </c>
      <c r="P3687" s="53" t="n">
        <v>-0.52062</v>
      </c>
      <c r="Q3687" s="53" t="n">
        <v>-0.709514</v>
      </c>
      <c r="R3687" s="53" t="n">
        <v>-0.685217</v>
      </c>
      <c r="S3687" s="53" t="n">
        <v>-0.444504</v>
      </c>
    </row>
    <row r="3688" customFormat="false" ht="15" hidden="false" customHeight="false" outlineLevel="0" collapsed="false">
      <c r="A3688" s="43" t="n">
        <v>185</v>
      </c>
      <c r="B3688" s="44" t="str">
        <f aca="false">'Model Inputs &amp; Assumptions'!$B$35</f>
        <v>justETF — Sponsored Listing</v>
      </c>
      <c r="C3688" s="45" t="n">
        <f aca="false">ROUND(MAX(0,'Model Inputs &amp; Assumptions'!$S$35*EXP('Model Inputs &amp; Assumptions'!$T$35*P3688-'Model Inputs &amp; Assumptions'!$T$35^2/2)),0)</f>
        <v>83009</v>
      </c>
      <c r="D3688" s="46" t="n">
        <f aca="false">MIN(1,'Model Inputs &amp; Assumptions'!$U$35*EXP('Model Inputs &amp; Assumptions'!$V$35*Q3688-'Model Inputs &amp; Assumptions'!$V$35^2/2))</f>
        <v>0</v>
      </c>
      <c r="E3688" s="45" t="n">
        <f aca="false">ROUND(C3688*D3688,0)</f>
        <v>0</v>
      </c>
      <c r="F3688" s="47" t="n">
        <f aca="false">MIN(1,'Model Inputs &amp; Assumptions'!$W$35*EXP('Model Inputs &amp; Assumptions'!$X$35*R3688-'Model Inputs &amp; Assumptions'!$X$35^2/2))</f>
        <v>0.00444718239686007</v>
      </c>
      <c r="G3688" s="45" t="n">
        <f aca="false">ROUND(C3688*F3688,0)</f>
        <v>369</v>
      </c>
      <c r="H3688" s="48" t="n">
        <f aca="false">MAX(0,(C3688*'Model Inputs &amp; Assumptions'!$N$35+E3688*'Model Inputs &amp; Assumptions'!$O$35+G3688*'Model Inputs &amp; Assumptions'!$P$35)*EXP('Model Inputs &amp; Assumptions'!$Q$35*S3688-'Model Inputs &amp; Assumptions'!$Q$35^2/2))</f>
        <v>21.216391504673</v>
      </c>
      <c r="I3688" s="49" t="n">
        <f aca="false">IF('Model Inputs &amp; Assumptions'!$H$35="Fixed",'Model Inputs &amp; Assumptions'!$I$35*'Model Inputs &amp; Assumptions'!$K$35,IF('Model Inputs &amp; Assumptions'!$H$35="CPM",'Model Inputs &amp; Assumptions'!$I$35*'Model Inputs &amp; Assumptions'!$K$35*C3688/1000,IF('Model Inputs &amp; Assumptions'!$H$35="CPC",'Model Inputs &amp; Assumptions'!$I$35*'Model Inputs &amp; Assumptions'!$K$35*G3688,0)))</f>
        <v>8672.8</v>
      </c>
      <c r="J3688" s="50" t="n">
        <f aca="false">H3688*INDEX('Model Inputs &amp; Assumptions'!$D$40:$D$42,MATCH('Model Inputs &amp; Assumptions'!$L$35,'Model Inputs &amp; Assumptions'!$A$40:$A$42,0))*INDEX('Model Inputs &amp; Assumptions'!$H$40:$H$42,MATCH('Model Inputs &amp; Assumptions'!$L$35,'Model Inputs &amp; Assumptions'!$A$40:$A$42,0))</f>
        <v>180339.327789721</v>
      </c>
      <c r="K3688" s="49" t="n">
        <f aca="false">H3688*INDEX('Model Inputs &amp; Assumptions'!$G$40:$G$42,MATCH('Model Inputs &amp; Assumptions'!$L$35,'Model Inputs &amp; Assumptions'!$A$40:$A$42,0))*INDEX('Model Inputs &amp; Assumptions'!$H$40:$H$42,MATCH('Model Inputs &amp; Assumptions'!$L$35,'Model Inputs &amp; Assumptions'!$A$40:$A$42,0))</f>
        <v>4057.63487526871</v>
      </c>
      <c r="L3688" s="51" t="n">
        <f aca="false">IFERROR(K3688/I3688,0)</f>
        <v>0.467857540271736</v>
      </c>
      <c r="M3688" s="49" t="n">
        <f aca="false">IFERROR(I3688/H3688,0)</f>
        <v>408.778278723306</v>
      </c>
      <c r="N3688" s="52" t="str">
        <f aca="false">'Model Inputs &amp; Assumptions'!$L$35</f>
        <v>PRD-EUAI</v>
      </c>
      <c r="P3688" s="53" t="n">
        <v>-0.419446</v>
      </c>
      <c r="Q3688" s="53" t="n">
        <v>0.995078</v>
      </c>
      <c r="R3688" s="53" t="n">
        <v>-1.949184</v>
      </c>
      <c r="S3688" s="53" t="n">
        <v>-0.626779</v>
      </c>
    </row>
    <row r="3689" customFormat="false" ht="15" hidden="false" customHeight="false" outlineLevel="0" collapsed="false">
      <c r="A3689" s="43" t="n">
        <v>186</v>
      </c>
      <c r="B3689" s="44" t="str">
        <f aca="false">'Model Inputs &amp; Assumptions'!$B$35</f>
        <v>justETF — Sponsored Listing</v>
      </c>
      <c r="C3689" s="45" t="n">
        <f aca="false">ROUND(MAX(0,'Model Inputs &amp; Assumptions'!$S$35*EXP('Model Inputs &amp; Assumptions'!$T$35*P3689-'Model Inputs &amp; Assumptions'!$T$35^2/2)),0)</f>
        <v>75040</v>
      </c>
      <c r="D3689" s="46" t="n">
        <f aca="false">MIN(1,'Model Inputs &amp; Assumptions'!$U$35*EXP('Model Inputs &amp; Assumptions'!$V$35*Q3689-'Model Inputs &amp; Assumptions'!$V$35^2/2))</f>
        <v>0</v>
      </c>
      <c r="E3689" s="45" t="n">
        <f aca="false">ROUND(C3689*D3689,0)</f>
        <v>0</v>
      </c>
      <c r="F3689" s="47" t="n">
        <f aca="false">MIN(1,'Model Inputs &amp; Assumptions'!$W$35*EXP('Model Inputs &amp; Assumptions'!$X$35*R3689-'Model Inputs &amp; Assumptions'!$X$35^2/2))</f>
        <v>0.0051479425314621</v>
      </c>
      <c r="G3689" s="45" t="n">
        <f aca="false">ROUND(C3689*F3689,0)</f>
        <v>386</v>
      </c>
      <c r="H3689" s="48" t="n">
        <f aca="false">MAX(0,(C3689*'Model Inputs &amp; Assumptions'!$N$35+E3689*'Model Inputs &amp; Assumptions'!$O$35+G3689*'Model Inputs &amp; Assumptions'!$P$35)*EXP('Model Inputs &amp; Assumptions'!$Q$35*S3689-'Model Inputs &amp; Assumptions'!$Q$35^2/2))</f>
        <v>32.2065514337996</v>
      </c>
      <c r="I3689" s="49" t="n">
        <f aca="false">IF('Model Inputs &amp; Assumptions'!$H$35="Fixed",'Model Inputs &amp; Assumptions'!$I$35*'Model Inputs &amp; Assumptions'!$K$35,IF('Model Inputs &amp; Assumptions'!$H$35="CPM",'Model Inputs &amp; Assumptions'!$I$35*'Model Inputs &amp; Assumptions'!$K$35*C3689/1000,IF('Model Inputs &amp; Assumptions'!$H$35="CPC",'Model Inputs &amp; Assumptions'!$I$35*'Model Inputs &amp; Assumptions'!$K$35*G3689,0)))</f>
        <v>8672.8</v>
      </c>
      <c r="J3689" s="50" t="n">
        <f aca="false">H3689*INDEX('Model Inputs &amp; Assumptions'!$D$40:$D$42,MATCH('Model Inputs &amp; Assumptions'!$L$35,'Model Inputs &amp; Assumptions'!$A$40:$A$42,0))*INDEX('Model Inputs &amp; Assumptions'!$H$40:$H$42,MATCH('Model Inputs &amp; Assumptions'!$L$35,'Model Inputs &amp; Assumptions'!$A$40:$A$42,0))</f>
        <v>273755.687187297</v>
      </c>
      <c r="K3689" s="49" t="n">
        <f aca="false">H3689*INDEX('Model Inputs &amp; Assumptions'!$G$40:$G$42,MATCH('Model Inputs &amp; Assumptions'!$L$35,'Model Inputs &amp; Assumptions'!$A$40:$A$42,0))*INDEX('Model Inputs &amp; Assumptions'!$H$40:$H$42,MATCH('Model Inputs &amp; Assumptions'!$L$35,'Model Inputs &amp; Assumptions'!$A$40:$A$42,0))</f>
        <v>6159.50296171418</v>
      </c>
      <c r="L3689" s="51" t="n">
        <f aca="false">IFERROR(K3689/I3689,0)</f>
        <v>0.710209270560163</v>
      </c>
      <c r="M3689" s="49" t="n">
        <f aca="false">IFERROR(I3689/H3689,0)</f>
        <v>269.286825626981</v>
      </c>
      <c r="N3689" s="52" t="str">
        <f aca="false">'Model Inputs &amp; Assumptions'!$L$35</f>
        <v>PRD-EUAI</v>
      </c>
      <c r="P3689" s="53" t="n">
        <v>-1.092315</v>
      </c>
      <c r="Q3689" s="53" t="n">
        <v>0.348258</v>
      </c>
      <c r="R3689" s="53" t="n">
        <v>-1.217552</v>
      </c>
      <c r="S3689" s="53" t="n">
        <v>0.805356</v>
      </c>
    </row>
    <row r="3690" customFormat="false" ht="15" hidden="false" customHeight="false" outlineLevel="0" collapsed="false">
      <c r="A3690" s="43" t="n">
        <v>187</v>
      </c>
      <c r="B3690" s="44" t="str">
        <f aca="false">'Model Inputs &amp; Assumptions'!$B$35</f>
        <v>justETF — Sponsored Listing</v>
      </c>
      <c r="C3690" s="45" t="n">
        <f aca="false">ROUND(MAX(0,'Model Inputs &amp; Assumptions'!$S$35*EXP('Model Inputs &amp; Assumptions'!$T$35*P3690-'Model Inputs &amp; Assumptions'!$T$35^2/2)),0)</f>
        <v>73826</v>
      </c>
      <c r="D3690" s="46" t="n">
        <f aca="false">MIN(1,'Model Inputs &amp; Assumptions'!$U$35*EXP('Model Inputs &amp; Assumptions'!$V$35*Q3690-'Model Inputs &amp; Assumptions'!$V$35^2/2))</f>
        <v>0</v>
      </c>
      <c r="E3690" s="45" t="n">
        <f aca="false">ROUND(C3690*D3690,0)</f>
        <v>0</v>
      </c>
      <c r="F3690" s="47" t="n">
        <f aca="false">MIN(1,'Model Inputs &amp; Assumptions'!$W$35*EXP('Model Inputs &amp; Assumptions'!$X$35*R3690-'Model Inputs &amp; Assumptions'!$X$35^2/2))</f>
        <v>0.0082894691026004</v>
      </c>
      <c r="G3690" s="45" t="n">
        <f aca="false">ROUND(C3690*F3690,0)</f>
        <v>612</v>
      </c>
      <c r="H3690" s="48" t="n">
        <f aca="false">MAX(0,(C3690*'Model Inputs &amp; Assumptions'!$N$35+E3690*'Model Inputs &amp; Assumptions'!$O$35+G3690*'Model Inputs &amp; Assumptions'!$P$35)*EXP('Model Inputs &amp; Assumptions'!$Q$35*S3690-'Model Inputs &amp; Assumptions'!$Q$35^2/2))</f>
        <v>44.3625642195091</v>
      </c>
      <c r="I3690" s="49" t="n">
        <f aca="false">IF('Model Inputs &amp; Assumptions'!$H$35="Fixed",'Model Inputs &amp; Assumptions'!$I$35*'Model Inputs &amp; Assumptions'!$K$35,IF('Model Inputs &amp; Assumptions'!$H$35="CPM",'Model Inputs &amp; Assumptions'!$I$35*'Model Inputs &amp; Assumptions'!$K$35*C3690/1000,IF('Model Inputs &amp; Assumptions'!$H$35="CPC",'Model Inputs &amp; Assumptions'!$I$35*'Model Inputs &amp; Assumptions'!$K$35*G3690,0)))</f>
        <v>8672.8</v>
      </c>
      <c r="J3690" s="50" t="n">
        <f aca="false">H3690*INDEX('Model Inputs &amp; Assumptions'!$D$40:$D$42,MATCH('Model Inputs &amp; Assumptions'!$L$35,'Model Inputs &amp; Assumptions'!$A$40:$A$42,0))*INDEX('Model Inputs &amp; Assumptions'!$H$40:$H$42,MATCH('Model Inputs &amp; Assumptions'!$L$35,'Model Inputs &amp; Assumptions'!$A$40:$A$42,0))</f>
        <v>377081.795865827</v>
      </c>
      <c r="K3690" s="49" t="n">
        <f aca="false">H3690*INDEX('Model Inputs &amp; Assumptions'!$G$40:$G$42,MATCH('Model Inputs &amp; Assumptions'!$L$35,'Model Inputs &amp; Assumptions'!$A$40:$A$42,0))*INDEX('Model Inputs &amp; Assumptions'!$H$40:$H$42,MATCH('Model Inputs &amp; Assumptions'!$L$35,'Model Inputs &amp; Assumptions'!$A$40:$A$42,0))</f>
        <v>8484.34040698111</v>
      </c>
      <c r="L3690" s="51" t="n">
        <f aca="false">IFERROR(K3690/I3690,0)</f>
        <v>0.97827004046918</v>
      </c>
      <c r="M3690" s="49" t="n">
        <f aca="false">IFERROR(I3690/H3690,0)</f>
        <v>195.498167262974</v>
      </c>
      <c r="N3690" s="52" t="str">
        <f aca="false">'Model Inputs &amp; Assumptions'!$L$35</f>
        <v>PRD-EUAI</v>
      </c>
      <c r="P3690" s="53" t="n">
        <v>-1.201083</v>
      </c>
      <c r="Q3690" s="53" t="n">
        <v>0.698462</v>
      </c>
      <c r="R3690" s="53" t="n">
        <v>1.164392</v>
      </c>
      <c r="S3690" s="53" t="n">
        <v>0.264322</v>
      </c>
    </row>
    <row r="3691" customFormat="false" ht="15" hidden="false" customHeight="false" outlineLevel="0" collapsed="false">
      <c r="A3691" s="43" t="n">
        <v>188</v>
      </c>
      <c r="B3691" s="44" t="str">
        <f aca="false">'Model Inputs &amp; Assumptions'!$B$35</f>
        <v>justETF — Sponsored Listing</v>
      </c>
      <c r="C3691" s="45" t="n">
        <f aca="false">ROUND(MAX(0,'Model Inputs &amp; Assumptions'!$S$35*EXP('Model Inputs &amp; Assumptions'!$T$35*P3691-'Model Inputs &amp; Assumptions'!$T$35^2/2)),0)</f>
        <v>105867</v>
      </c>
      <c r="D3691" s="46" t="n">
        <f aca="false">MIN(1,'Model Inputs &amp; Assumptions'!$U$35*EXP('Model Inputs &amp; Assumptions'!$V$35*Q3691-'Model Inputs &amp; Assumptions'!$V$35^2/2))</f>
        <v>0</v>
      </c>
      <c r="E3691" s="45" t="n">
        <f aca="false">ROUND(C3691*D3691,0)</f>
        <v>0</v>
      </c>
      <c r="F3691" s="47" t="n">
        <f aca="false">MIN(1,'Model Inputs &amp; Assumptions'!$W$35*EXP('Model Inputs &amp; Assumptions'!$X$35*R3691-'Model Inputs &amp; Assumptions'!$X$35^2/2))</f>
        <v>0.0044641986583034</v>
      </c>
      <c r="G3691" s="45" t="n">
        <f aca="false">ROUND(C3691*F3691,0)</f>
        <v>473</v>
      </c>
      <c r="H3691" s="48" t="n">
        <f aca="false">MAX(0,(C3691*'Model Inputs &amp; Assumptions'!$N$35+E3691*'Model Inputs &amp; Assumptions'!$O$35+G3691*'Model Inputs &amp; Assumptions'!$P$35)*EXP('Model Inputs &amp; Assumptions'!$Q$35*S3691-'Model Inputs &amp; Assumptions'!$Q$35^2/2))</f>
        <v>20.3454685528918</v>
      </c>
      <c r="I3691" s="49" t="n">
        <f aca="false">IF('Model Inputs &amp; Assumptions'!$H$35="Fixed",'Model Inputs &amp; Assumptions'!$I$35*'Model Inputs &amp; Assumptions'!$K$35,IF('Model Inputs &amp; Assumptions'!$H$35="CPM",'Model Inputs &amp; Assumptions'!$I$35*'Model Inputs &amp; Assumptions'!$K$35*C3691/1000,IF('Model Inputs &amp; Assumptions'!$H$35="CPC",'Model Inputs &amp; Assumptions'!$I$35*'Model Inputs &amp; Assumptions'!$K$35*G3691,0)))</f>
        <v>8672.8</v>
      </c>
      <c r="J3691" s="50" t="n">
        <f aca="false">H3691*INDEX('Model Inputs &amp; Assumptions'!$D$40:$D$42,MATCH('Model Inputs &amp; Assumptions'!$L$35,'Model Inputs &amp; Assumptions'!$A$40:$A$42,0))*INDEX('Model Inputs &amp; Assumptions'!$H$40:$H$42,MATCH('Model Inputs &amp; Assumptions'!$L$35,'Model Inputs &amp; Assumptions'!$A$40:$A$42,0))</f>
        <v>172936.482699581</v>
      </c>
      <c r="K3691" s="49" t="n">
        <f aca="false">H3691*INDEX('Model Inputs &amp; Assumptions'!$G$40:$G$42,MATCH('Model Inputs &amp; Assumptions'!$L$35,'Model Inputs &amp; Assumptions'!$A$40:$A$42,0))*INDEX('Model Inputs &amp; Assumptions'!$H$40:$H$42,MATCH('Model Inputs &amp; Assumptions'!$L$35,'Model Inputs &amp; Assumptions'!$A$40:$A$42,0))</f>
        <v>3891.07086074056</v>
      </c>
      <c r="L3691" s="51" t="n">
        <f aca="false">IFERROR(K3691/I3691,0)</f>
        <v>0.448652206985122</v>
      </c>
      <c r="M3691" s="49" t="n">
        <f aca="false">IFERROR(I3691/H3691,0)</f>
        <v>426.276739582254</v>
      </c>
      <c r="N3691" s="52" t="str">
        <f aca="false">'Model Inputs &amp; Assumptions'!$L$35</f>
        <v>PRD-EUAI</v>
      </c>
      <c r="P3691" s="53" t="n">
        <v>1.20211</v>
      </c>
      <c r="Q3691" s="53" t="n">
        <v>-0.272353</v>
      </c>
      <c r="R3691" s="53" t="n">
        <v>-1.930089</v>
      </c>
      <c r="S3691" s="53" t="n">
        <v>-1.742989</v>
      </c>
    </row>
    <row r="3692" customFormat="false" ht="15" hidden="false" customHeight="false" outlineLevel="0" collapsed="false">
      <c r="A3692" s="43" t="n">
        <v>189</v>
      </c>
      <c r="B3692" s="44" t="str">
        <f aca="false">'Model Inputs &amp; Assumptions'!$B$35</f>
        <v>justETF — Sponsored Listing</v>
      </c>
      <c r="C3692" s="45" t="n">
        <f aca="false">ROUND(MAX(0,'Model Inputs &amp; Assumptions'!$S$35*EXP('Model Inputs &amp; Assumptions'!$T$35*P3692-'Model Inputs &amp; Assumptions'!$T$35^2/2)),0)</f>
        <v>83912</v>
      </c>
      <c r="D3692" s="46" t="n">
        <f aca="false">MIN(1,'Model Inputs &amp; Assumptions'!$U$35*EXP('Model Inputs &amp; Assumptions'!$V$35*Q3692-'Model Inputs &amp; Assumptions'!$V$35^2/2))</f>
        <v>0</v>
      </c>
      <c r="E3692" s="45" t="n">
        <f aca="false">ROUND(C3692*D3692,0)</f>
        <v>0</v>
      </c>
      <c r="F3692" s="47" t="n">
        <f aca="false">MIN(1,'Model Inputs &amp; Assumptions'!$W$35*EXP('Model Inputs &amp; Assumptions'!$X$35*R3692-'Model Inputs &amp; Assumptions'!$X$35^2/2))</f>
        <v>0.00626237262195737</v>
      </c>
      <c r="G3692" s="45" t="n">
        <f aca="false">ROUND(C3692*F3692,0)</f>
        <v>525</v>
      </c>
      <c r="H3692" s="48" t="n">
        <f aca="false">MAX(0,(C3692*'Model Inputs &amp; Assumptions'!$N$35+E3692*'Model Inputs &amp; Assumptions'!$O$35+G3692*'Model Inputs &amp; Assumptions'!$P$35)*EXP('Model Inputs &amp; Assumptions'!$Q$35*S3692-'Model Inputs &amp; Assumptions'!$Q$35^2/2))</f>
        <v>43.7993959266739</v>
      </c>
      <c r="I3692" s="49" t="n">
        <f aca="false">IF('Model Inputs &amp; Assumptions'!$H$35="Fixed",'Model Inputs &amp; Assumptions'!$I$35*'Model Inputs &amp; Assumptions'!$K$35,IF('Model Inputs &amp; Assumptions'!$H$35="CPM",'Model Inputs &amp; Assumptions'!$I$35*'Model Inputs &amp; Assumptions'!$K$35*C3692/1000,IF('Model Inputs &amp; Assumptions'!$H$35="CPC",'Model Inputs &amp; Assumptions'!$I$35*'Model Inputs &amp; Assumptions'!$K$35*G3692,0)))</f>
        <v>8672.8</v>
      </c>
      <c r="J3692" s="50" t="n">
        <f aca="false">H3692*INDEX('Model Inputs &amp; Assumptions'!$D$40:$D$42,MATCH('Model Inputs &amp; Assumptions'!$L$35,'Model Inputs &amp; Assumptions'!$A$40:$A$42,0))*INDEX('Model Inputs &amp; Assumptions'!$H$40:$H$42,MATCH('Model Inputs &amp; Assumptions'!$L$35,'Model Inputs &amp; Assumptions'!$A$40:$A$42,0))</f>
        <v>372294.865376728</v>
      </c>
      <c r="K3692" s="49" t="n">
        <f aca="false">H3692*INDEX('Model Inputs &amp; Assumptions'!$G$40:$G$42,MATCH('Model Inputs &amp; Assumptions'!$L$35,'Model Inputs &amp; Assumptions'!$A$40:$A$42,0))*INDEX('Model Inputs &amp; Assumptions'!$H$40:$H$42,MATCH('Model Inputs &amp; Assumptions'!$L$35,'Model Inputs &amp; Assumptions'!$A$40:$A$42,0))</f>
        <v>8376.63447097639</v>
      </c>
      <c r="L3692" s="51" t="n">
        <f aca="false">IFERROR(K3692/I3692,0)</f>
        <v>0.965851221171523</v>
      </c>
      <c r="M3692" s="49" t="n">
        <f aca="false">IFERROR(I3692/H3692,0)</f>
        <v>198.011863326139</v>
      </c>
      <c r="N3692" s="52" t="str">
        <f aca="false">'Model Inputs &amp; Assumptions'!$L$35</f>
        <v>PRD-EUAI</v>
      </c>
      <c r="P3692" s="53" t="n">
        <v>-0.347384</v>
      </c>
      <c r="Q3692" s="53" t="n">
        <v>0.467049</v>
      </c>
      <c r="R3692" s="53" t="n">
        <v>-0.237742</v>
      </c>
      <c r="S3692" s="53" t="n">
        <v>0.80493</v>
      </c>
    </row>
    <row r="3693" customFormat="false" ht="15" hidden="false" customHeight="false" outlineLevel="0" collapsed="false">
      <c r="A3693" s="43" t="n">
        <v>190</v>
      </c>
      <c r="B3693" s="44" t="str">
        <f aca="false">'Model Inputs &amp; Assumptions'!$B$35</f>
        <v>justETF — Sponsored Listing</v>
      </c>
      <c r="C3693" s="45" t="n">
        <f aca="false">ROUND(MAX(0,'Model Inputs &amp; Assumptions'!$S$35*EXP('Model Inputs &amp; Assumptions'!$T$35*P3693-'Model Inputs &amp; Assumptions'!$T$35^2/2)),0)</f>
        <v>73609</v>
      </c>
      <c r="D3693" s="46" t="n">
        <f aca="false">MIN(1,'Model Inputs &amp; Assumptions'!$U$35*EXP('Model Inputs &amp; Assumptions'!$V$35*Q3693-'Model Inputs &amp; Assumptions'!$V$35^2/2))</f>
        <v>0</v>
      </c>
      <c r="E3693" s="45" t="n">
        <f aca="false">ROUND(C3693*D3693,0)</f>
        <v>0</v>
      </c>
      <c r="F3693" s="47" t="n">
        <f aca="false">MIN(1,'Model Inputs &amp; Assumptions'!$W$35*EXP('Model Inputs &amp; Assumptions'!$X$35*R3693-'Model Inputs &amp; Assumptions'!$X$35^2/2))</f>
        <v>0.00788716004447848</v>
      </c>
      <c r="G3693" s="45" t="n">
        <f aca="false">ROUND(C3693*F3693,0)</f>
        <v>581</v>
      </c>
      <c r="H3693" s="48" t="n">
        <f aca="false">MAX(0,(C3693*'Model Inputs &amp; Assumptions'!$N$35+E3693*'Model Inputs &amp; Assumptions'!$O$35+G3693*'Model Inputs &amp; Assumptions'!$P$35)*EXP('Model Inputs &amp; Assumptions'!$Q$35*S3693-'Model Inputs &amp; Assumptions'!$Q$35^2/2))</f>
        <v>36.5073839423544</v>
      </c>
      <c r="I3693" s="49" t="n">
        <f aca="false">IF('Model Inputs &amp; Assumptions'!$H$35="Fixed",'Model Inputs &amp; Assumptions'!$I$35*'Model Inputs &amp; Assumptions'!$K$35,IF('Model Inputs &amp; Assumptions'!$H$35="CPM",'Model Inputs &amp; Assumptions'!$I$35*'Model Inputs &amp; Assumptions'!$K$35*C3693/1000,IF('Model Inputs &amp; Assumptions'!$H$35="CPC",'Model Inputs &amp; Assumptions'!$I$35*'Model Inputs &amp; Assumptions'!$K$35*G3693,0)))</f>
        <v>8672.8</v>
      </c>
      <c r="J3693" s="50" t="n">
        <f aca="false">H3693*INDEX('Model Inputs &amp; Assumptions'!$D$40:$D$42,MATCH('Model Inputs &amp; Assumptions'!$L$35,'Model Inputs &amp; Assumptions'!$A$40:$A$42,0))*INDEX('Model Inputs &amp; Assumptions'!$H$40:$H$42,MATCH('Model Inputs &amp; Assumptions'!$L$35,'Model Inputs &amp; Assumptions'!$A$40:$A$42,0))</f>
        <v>310312.763510012</v>
      </c>
      <c r="K3693" s="49" t="n">
        <f aca="false">H3693*INDEX('Model Inputs &amp; Assumptions'!$G$40:$G$42,MATCH('Model Inputs &amp; Assumptions'!$L$35,'Model Inputs &amp; Assumptions'!$A$40:$A$42,0))*INDEX('Model Inputs &amp; Assumptions'!$H$40:$H$42,MATCH('Model Inputs &amp; Assumptions'!$L$35,'Model Inputs &amp; Assumptions'!$A$40:$A$42,0))</f>
        <v>6982.03717897527</v>
      </c>
      <c r="L3693" s="51" t="n">
        <f aca="false">IFERROR(K3693/I3693,0)</f>
        <v>0.805049946842459</v>
      </c>
      <c r="M3693" s="49" t="n">
        <f aca="false">IFERROR(I3693/H3693,0)</f>
        <v>237.562899979206</v>
      </c>
      <c r="N3693" s="52" t="str">
        <f aca="false">'Model Inputs &amp; Assumptions'!$L$35</f>
        <v>PRD-EUAI</v>
      </c>
      <c r="P3693" s="53" t="n">
        <v>-1.220706</v>
      </c>
      <c r="Q3693" s="53" t="n">
        <v>0.522326</v>
      </c>
      <c r="R3693" s="53" t="n">
        <v>0.915643</v>
      </c>
      <c r="S3693" s="53" t="n">
        <v>-0.285293</v>
      </c>
    </row>
    <row r="3694" customFormat="false" ht="15" hidden="false" customHeight="false" outlineLevel="0" collapsed="false">
      <c r="A3694" s="43" t="n">
        <v>191</v>
      </c>
      <c r="B3694" s="44" t="str">
        <f aca="false">'Model Inputs &amp; Assumptions'!$B$35</f>
        <v>justETF — Sponsored Listing</v>
      </c>
      <c r="C3694" s="45" t="n">
        <f aca="false">ROUND(MAX(0,'Model Inputs &amp; Assumptions'!$S$35*EXP('Model Inputs &amp; Assumptions'!$T$35*P3694-'Model Inputs &amp; Assumptions'!$T$35^2/2)),0)</f>
        <v>99678</v>
      </c>
      <c r="D3694" s="46" t="n">
        <f aca="false">MIN(1,'Model Inputs &amp; Assumptions'!$U$35*EXP('Model Inputs &amp; Assumptions'!$V$35*Q3694-'Model Inputs &amp; Assumptions'!$V$35^2/2))</f>
        <v>0</v>
      </c>
      <c r="E3694" s="45" t="n">
        <f aca="false">ROUND(C3694*D3694,0)</f>
        <v>0</v>
      </c>
      <c r="F3694" s="47" t="n">
        <f aca="false">MIN(1,'Model Inputs &amp; Assumptions'!$W$35*EXP('Model Inputs &amp; Assumptions'!$X$35*R3694-'Model Inputs &amp; Assumptions'!$X$35^2/2))</f>
        <v>0.00616771683445828</v>
      </c>
      <c r="G3694" s="45" t="n">
        <f aca="false">ROUND(C3694*F3694,0)</f>
        <v>615</v>
      </c>
      <c r="H3694" s="48" t="n">
        <f aca="false">MAX(0,(C3694*'Model Inputs &amp; Assumptions'!$N$35+E3694*'Model Inputs &amp; Assumptions'!$O$35+G3694*'Model Inputs &amp; Assumptions'!$P$35)*EXP('Model Inputs &amp; Assumptions'!$Q$35*S3694-'Model Inputs &amp; Assumptions'!$Q$35^2/2))</f>
        <v>30.2730618999699</v>
      </c>
      <c r="I3694" s="49" t="n">
        <f aca="false">IF('Model Inputs &amp; Assumptions'!$H$35="Fixed",'Model Inputs &amp; Assumptions'!$I$35*'Model Inputs &amp; Assumptions'!$K$35,IF('Model Inputs &amp; Assumptions'!$H$35="CPM",'Model Inputs &amp; Assumptions'!$I$35*'Model Inputs &amp; Assumptions'!$K$35*C3694/1000,IF('Model Inputs &amp; Assumptions'!$H$35="CPC",'Model Inputs &amp; Assumptions'!$I$35*'Model Inputs &amp; Assumptions'!$K$35*G3694,0)))</f>
        <v>8672.8</v>
      </c>
      <c r="J3694" s="50" t="n">
        <f aca="false">H3694*INDEX('Model Inputs &amp; Assumptions'!$D$40:$D$42,MATCH('Model Inputs &amp; Assumptions'!$L$35,'Model Inputs &amp; Assumptions'!$A$40:$A$42,0))*INDEX('Model Inputs &amp; Assumptions'!$H$40:$H$42,MATCH('Model Inputs &amp; Assumptions'!$L$35,'Model Inputs &amp; Assumptions'!$A$40:$A$42,0))</f>
        <v>257321.026149744</v>
      </c>
      <c r="K3694" s="49" t="n">
        <f aca="false">H3694*INDEX('Model Inputs &amp; Assumptions'!$G$40:$G$42,MATCH('Model Inputs &amp; Assumptions'!$L$35,'Model Inputs &amp; Assumptions'!$A$40:$A$42,0))*INDEX('Model Inputs &amp; Assumptions'!$H$40:$H$42,MATCH('Model Inputs &amp; Assumptions'!$L$35,'Model Inputs &amp; Assumptions'!$A$40:$A$42,0))</f>
        <v>5789.72308836924</v>
      </c>
      <c r="L3694" s="51" t="n">
        <f aca="false">IFERROR(K3694/I3694,0)</f>
        <v>0.66757253578651</v>
      </c>
      <c r="M3694" s="49" t="n">
        <f aca="false">IFERROR(I3694/H3694,0)</f>
        <v>286.485722146547</v>
      </c>
      <c r="N3694" s="52" t="str">
        <f aca="false">'Model Inputs &amp; Assumptions'!$L$35</f>
        <v>PRD-EUAI</v>
      </c>
      <c r="P3694" s="53" t="n">
        <v>0.800498</v>
      </c>
      <c r="Q3694" s="53" t="n">
        <v>1.96806</v>
      </c>
      <c r="R3694" s="53" t="n">
        <v>-0.313894</v>
      </c>
      <c r="S3694" s="53" t="n">
        <v>-1.224246</v>
      </c>
    </row>
    <row r="3695" customFormat="false" ht="15" hidden="false" customHeight="false" outlineLevel="0" collapsed="false">
      <c r="A3695" s="43" t="n">
        <v>192</v>
      </c>
      <c r="B3695" s="44" t="str">
        <f aca="false">'Model Inputs &amp; Assumptions'!$B$35</f>
        <v>justETF — Sponsored Listing</v>
      </c>
      <c r="C3695" s="45" t="n">
        <f aca="false">ROUND(MAX(0,'Model Inputs &amp; Assumptions'!$S$35*EXP('Model Inputs &amp; Assumptions'!$T$35*P3695-'Model Inputs &amp; Assumptions'!$T$35^2/2)),0)</f>
        <v>81915</v>
      </c>
      <c r="D3695" s="46" t="n">
        <f aca="false">MIN(1,'Model Inputs &amp; Assumptions'!$U$35*EXP('Model Inputs &amp; Assumptions'!$V$35*Q3695-'Model Inputs &amp; Assumptions'!$V$35^2/2))</f>
        <v>0</v>
      </c>
      <c r="E3695" s="45" t="n">
        <f aca="false">ROUND(C3695*D3695,0)</f>
        <v>0</v>
      </c>
      <c r="F3695" s="47" t="n">
        <f aca="false">MIN(1,'Model Inputs &amp; Assumptions'!$W$35*EXP('Model Inputs &amp; Assumptions'!$X$35*R3695-'Model Inputs &amp; Assumptions'!$X$35^2/2))</f>
        <v>0.00724961182748689</v>
      </c>
      <c r="G3695" s="45" t="n">
        <f aca="false">ROUND(C3695*F3695,0)</f>
        <v>594</v>
      </c>
      <c r="H3695" s="48" t="n">
        <f aca="false">MAX(0,(C3695*'Model Inputs &amp; Assumptions'!$N$35+E3695*'Model Inputs &amp; Assumptions'!$O$35+G3695*'Model Inputs &amp; Assumptions'!$P$35)*EXP('Model Inputs &amp; Assumptions'!$Q$35*S3695-'Model Inputs &amp; Assumptions'!$Q$35^2/2))</f>
        <v>35.7094286739779</v>
      </c>
      <c r="I3695" s="49" t="n">
        <f aca="false">IF('Model Inputs &amp; Assumptions'!$H$35="Fixed",'Model Inputs &amp; Assumptions'!$I$35*'Model Inputs &amp; Assumptions'!$K$35,IF('Model Inputs &amp; Assumptions'!$H$35="CPM",'Model Inputs &amp; Assumptions'!$I$35*'Model Inputs &amp; Assumptions'!$K$35*C3695/1000,IF('Model Inputs &amp; Assumptions'!$H$35="CPC",'Model Inputs &amp; Assumptions'!$I$35*'Model Inputs &amp; Assumptions'!$K$35*G3695,0)))</f>
        <v>8672.8</v>
      </c>
      <c r="J3695" s="50" t="n">
        <f aca="false">H3695*INDEX('Model Inputs &amp; Assumptions'!$D$40:$D$42,MATCH('Model Inputs &amp; Assumptions'!$L$35,'Model Inputs &amp; Assumptions'!$A$40:$A$42,0))*INDEX('Model Inputs &amp; Assumptions'!$H$40:$H$42,MATCH('Model Inputs &amp; Assumptions'!$L$35,'Model Inputs &amp; Assumptions'!$A$40:$A$42,0))</f>
        <v>303530.143728812</v>
      </c>
      <c r="K3695" s="49" t="n">
        <f aca="false">H3695*INDEX('Model Inputs &amp; Assumptions'!$G$40:$G$42,MATCH('Model Inputs &amp; Assumptions'!$L$35,'Model Inputs &amp; Assumptions'!$A$40:$A$42,0))*INDEX('Model Inputs &amp; Assumptions'!$H$40:$H$42,MATCH('Model Inputs &amp; Assumptions'!$L$35,'Model Inputs &amp; Assumptions'!$A$40:$A$42,0))</f>
        <v>6829.42823389828</v>
      </c>
      <c r="L3695" s="51" t="n">
        <f aca="false">IFERROR(K3695/I3695,0)</f>
        <v>0.787453675156614</v>
      </c>
      <c r="M3695" s="49" t="n">
        <f aca="false">IFERROR(I3695/H3695,0)</f>
        <v>242.871429817078</v>
      </c>
      <c r="N3695" s="52" t="str">
        <f aca="false">'Model Inputs &amp; Assumptions'!$L$35</f>
        <v>PRD-EUAI</v>
      </c>
      <c r="P3695" s="53" t="n">
        <v>-0.507888</v>
      </c>
      <c r="Q3695" s="53" t="n">
        <v>-0.635697</v>
      </c>
      <c r="R3695" s="53" t="n">
        <v>0.494202</v>
      </c>
      <c r="S3695" s="53" t="n">
        <v>-0.455402</v>
      </c>
    </row>
    <row r="3696" customFormat="false" ht="15" hidden="false" customHeight="false" outlineLevel="0" collapsed="false">
      <c r="A3696" s="43" t="n">
        <v>193</v>
      </c>
      <c r="B3696" s="44" t="str">
        <f aca="false">'Model Inputs &amp; Assumptions'!$B$35</f>
        <v>justETF — Sponsored Listing</v>
      </c>
      <c r="C3696" s="45" t="n">
        <f aca="false">ROUND(MAX(0,'Model Inputs &amp; Assumptions'!$S$35*EXP('Model Inputs &amp; Assumptions'!$T$35*P3696-'Model Inputs &amp; Assumptions'!$T$35^2/2)),0)</f>
        <v>82392</v>
      </c>
      <c r="D3696" s="46" t="n">
        <f aca="false">MIN(1,'Model Inputs &amp; Assumptions'!$U$35*EXP('Model Inputs &amp; Assumptions'!$V$35*Q3696-'Model Inputs &amp; Assumptions'!$V$35^2/2))</f>
        <v>0</v>
      </c>
      <c r="E3696" s="45" t="n">
        <f aca="false">ROUND(C3696*D3696,0)</f>
        <v>0</v>
      </c>
      <c r="F3696" s="47" t="n">
        <f aca="false">MIN(1,'Model Inputs &amp; Assumptions'!$W$35*EXP('Model Inputs &amp; Assumptions'!$X$35*R3696-'Model Inputs &amp; Assumptions'!$X$35^2/2))</f>
        <v>0.007993207562945</v>
      </c>
      <c r="G3696" s="45" t="n">
        <f aca="false">ROUND(C3696*F3696,0)</f>
        <v>659</v>
      </c>
      <c r="H3696" s="48" t="n">
        <f aca="false">MAX(0,(C3696*'Model Inputs &amp; Assumptions'!$N$35+E3696*'Model Inputs &amp; Assumptions'!$O$35+G3696*'Model Inputs &amp; Assumptions'!$P$35)*EXP('Model Inputs &amp; Assumptions'!$Q$35*S3696-'Model Inputs &amp; Assumptions'!$Q$35^2/2))</f>
        <v>43.3000373489198</v>
      </c>
      <c r="I3696" s="49" t="n">
        <f aca="false">IF('Model Inputs &amp; Assumptions'!$H$35="Fixed",'Model Inputs &amp; Assumptions'!$I$35*'Model Inputs &amp; Assumptions'!$K$35,IF('Model Inputs &amp; Assumptions'!$H$35="CPM",'Model Inputs &amp; Assumptions'!$I$35*'Model Inputs &amp; Assumptions'!$K$35*C3696/1000,IF('Model Inputs &amp; Assumptions'!$H$35="CPC",'Model Inputs &amp; Assumptions'!$I$35*'Model Inputs &amp; Assumptions'!$K$35*G3696,0)))</f>
        <v>8672.8</v>
      </c>
      <c r="J3696" s="50" t="n">
        <f aca="false">H3696*INDEX('Model Inputs &amp; Assumptions'!$D$40:$D$42,MATCH('Model Inputs &amp; Assumptions'!$L$35,'Model Inputs &amp; Assumptions'!$A$40:$A$42,0))*INDEX('Model Inputs &amp; Assumptions'!$H$40:$H$42,MATCH('Model Inputs &amp; Assumptions'!$L$35,'Model Inputs &amp; Assumptions'!$A$40:$A$42,0))</f>
        <v>368050.317465818</v>
      </c>
      <c r="K3696" s="49" t="n">
        <f aca="false">H3696*INDEX('Model Inputs &amp; Assumptions'!$G$40:$G$42,MATCH('Model Inputs &amp; Assumptions'!$L$35,'Model Inputs &amp; Assumptions'!$A$40:$A$42,0))*INDEX('Model Inputs &amp; Assumptions'!$H$40:$H$42,MATCH('Model Inputs &amp; Assumptions'!$L$35,'Model Inputs &amp; Assumptions'!$A$40:$A$42,0))</f>
        <v>8281.1321429809</v>
      </c>
      <c r="L3696" s="51" t="n">
        <f aca="false">IFERROR(K3696/I3696,0)</f>
        <v>0.954839514687403</v>
      </c>
      <c r="M3696" s="49" t="n">
        <f aca="false">IFERROR(I3696/H3696,0)</f>
        <v>200.295439242072</v>
      </c>
      <c r="N3696" s="52" t="str">
        <f aca="false">'Model Inputs &amp; Assumptions'!$L$35</f>
        <v>PRD-EUAI</v>
      </c>
      <c r="P3696" s="53" t="n">
        <v>-0.469232</v>
      </c>
      <c r="Q3696" s="53" t="n">
        <v>-1.82034</v>
      </c>
      <c r="R3696" s="53" t="n">
        <v>0.982423</v>
      </c>
      <c r="S3696" s="53" t="n">
        <v>-0.1135</v>
      </c>
    </row>
    <row r="3697" customFormat="false" ht="15" hidden="false" customHeight="false" outlineLevel="0" collapsed="false">
      <c r="A3697" s="43" t="n">
        <v>194</v>
      </c>
      <c r="B3697" s="44" t="str">
        <f aca="false">'Model Inputs &amp; Assumptions'!$B$35</f>
        <v>justETF — Sponsored Listing</v>
      </c>
      <c r="C3697" s="45" t="n">
        <f aca="false">ROUND(MAX(0,'Model Inputs &amp; Assumptions'!$S$35*EXP('Model Inputs &amp; Assumptions'!$T$35*P3697-'Model Inputs &amp; Assumptions'!$T$35^2/2)),0)</f>
        <v>106728</v>
      </c>
      <c r="D3697" s="46" t="n">
        <f aca="false">MIN(1,'Model Inputs &amp; Assumptions'!$U$35*EXP('Model Inputs &amp; Assumptions'!$V$35*Q3697-'Model Inputs &amp; Assumptions'!$V$35^2/2))</f>
        <v>0</v>
      </c>
      <c r="E3697" s="45" t="n">
        <f aca="false">ROUND(C3697*D3697,0)</f>
        <v>0</v>
      </c>
      <c r="F3697" s="47" t="n">
        <f aca="false">MIN(1,'Model Inputs &amp; Assumptions'!$W$35*EXP('Model Inputs &amp; Assumptions'!$X$35*R3697-'Model Inputs &amp; Assumptions'!$X$35^2/2))</f>
        <v>0.00598738602099845</v>
      </c>
      <c r="G3697" s="45" t="n">
        <f aca="false">ROUND(C3697*F3697,0)</f>
        <v>639</v>
      </c>
      <c r="H3697" s="48" t="n">
        <f aca="false">MAX(0,(C3697*'Model Inputs &amp; Assumptions'!$N$35+E3697*'Model Inputs &amp; Assumptions'!$O$35+G3697*'Model Inputs &amp; Assumptions'!$P$35)*EXP('Model Inputs &amp; Assumptions'!$Q$35*S3697-'Model Inputs &amp; Assumptions'!$Q$35^2/2))</f>
        <v>31.7010092350654</v>
      </c>
      <c r="I3697" s="49" t="n">
        <f aca="false">IF('Model Inputs &amp; Assumptions'!$H$35="Fixed",'Model Inputs &amp; Assumptions'!$I$35*'Model Inputs &amp; Assumptions'!$K$35,IF('Model Inputs &amp; Assumptions'!$H$35="CPM",'Model Inputs &amp; Assumptions'!$I$35*'Model Inputs &amp; Assumptions'!$K$35*C3697/1000,IF('Model Inputs &amp; Assumptions'!$H$35="CPC",'Model Inputs &amp; Assumptions'!$I$35*'Model Inputs &amp; Assumptions'!$K$35*G3697,0)))</f>
        <v>8672.8</v>
      </c>
      <c r="J3697" s="50" t="n">
        <f aca="false">H3697*INDEX('Model Inputs &amp; Assumptions'!$D$40:$D$42,MATCH('Model Inputs &amp; Assumptions'!$L$35,'Model Inputs &amp; Assumptions'!$A$40:$A$42,0))*INDEX('Model Inputs &amp; Assumptions'!$H$40:$H$42,MATCH('Model Inputs &amp; Assumptions'!$L$35,'Model Inputs &amp; Assumptions'!$A$40:$A$42,0))</f>
        <v>269458.578498056</v>
      </c>
      <c r="K3697" s="49" t="n">
        <f aca="false">H3697*INDEX('Model Inputs &amp; Assumptions'!$G$40:$G$42,MATCH('Model Inputs &amp; Assumptions'!$L$35,'Model Inputs &amp; Assumptions'!$A$40:$A$42,0))*INDEX('Model Inputs &amp; Assumptions'!$H$40:$H$42,MATCH('Model Inputs &amp; Assumptions'!$L$35,'Model Inputs &amp; Assumptions'!$A$40:$A$42,0))</f>
        <v>6062.81801620627</v>
      </c>
      <c r="L3697" s="51" t="n">
        <f aca="false">IFERROR(K3697/I3697,0)</f>
        <v>0.699061204709698</v>
      </c>
      <c r="M3697" s="49" t="n">
        <f aca="false">IFERROR(I3697/H3697,0)</f>
        <v>273.581195339572</v>
      </c>
      <c r="N3697" s="52" t="str">
        <f aca="false">'Model Inputs &amp; Assumptions'!$L$35</f>
        <v>PRD-EUAI</v>
      </c>
      <c r="P3697" s="53" t="n">
        <v>1.256063</v>
      </c>
      <c r="Q3697" s="53" t="n">
        <v>0.315012</v>
      </c>
      <c r="R3697" s="53" t="n">
        <v>-0.462263</v>
      </c>
      <c r="S3697" s="53" t="n">
        <v>-1.194215</v>
      </c>
    </row>
    <row r="3698" customFormat="false" ht="15" hidden="false" customHeight="false" outlineLevel="0" collapsed="false">
      <c r="A3698" s="43" t="n">
        <v>195</v>
      </c>
      <c r="B3698" s="44" t="str">
        <f aca="false">'Model Inputs &amp; Assumptions'!$B$35</f>
        <v>justETF — Sponsored Listing</v>
      </c>
      <c r="C3698" s="45" t="n">
        <f aca="false">ROUND(MAX(0,'Model Inputs &amp; Assumptions'!$S$35*EXP('Model Inputs &amp; Assumptions'!$T$35*P3698-'Model Inputs &amp; Assumptions'!$T$35^2/2)),0)</f>
        <v>82631</v>
      </c>
      <c r="D3698" s="46" t="n">
        <f aca="false">MIN(1,'Model Inputs &amp; Assumptions'!$U$35*EXP('Model Inputs &amp; Assumptions'!$V$35*Q3698-'Model Inputs &amp; Assumptions'!$V$35^2/2))</f>
        <v>0</v>
      </c>
      <c r="E3698" s="45" t="n">
        <f aca="false">ROUND(C3698*D3698,0)</f>
        <v>0</v>
      </c>
      <c r="F3698" s="47" t="n">
        <f aca="false">MIN(1,'Model Inputs &amp; Assumptions'!$W$35*EXP('Model Inputs &amp; Assumptions'!$X$35*R3698-'Model Inputs &amp; Assumptions'!$X$35^2/2))</f>
        <v>0.00757475135471718</v>
      </c>
      <c r="G3698" s="45" t="n">
        <f aca="false">ROUND(C3698*F3698,0)</f>
        <v>626</v>
      </c>
      <c r="H3698" s="48" t="n">
        <f aca="false">MAX(0,(C3698*'Model Inputs &amp; Assumptions'!$N$35+E3698*'Model Inputs &amp; Assumptions'!$O$35+G3698*'Model Inputs &amp; Assumptions'!$P$35)*EXP('Model Inputs &amp; Assumptions'!$Q$35*S3698-'Model Inputs &amp; Assumptions'!$Q$35^2/2))</f>
        <v>42.4416238033536</v>
      </c>
      <c r="I3698" s="49" t="n">
        <f aca="false">IF('Model Inputs &amp; Assumptions'!$H$35="Fixed",'Model Inputs &amp; Assumptions'!$I$35*'Model Inputs &amp; Assumptions'!$K$35,IF('Model Inputs &amp; Assumptions'!$H$35="CPM",'Model Inputs &amp; Assumptions'!$I$35*'Model Inputs &amp; Assumptions'!$K$35*C3698/1000,IF('Model Inputs &amp; Assumptions'!$H$35="CPC",'Model Inputs &amp; Assumptions'!$I$35*'Model Inputs &amp; Assumptions'!$K$35*G3698,0)))</f>
        <v>8672.8</v>
      </c>
      <c r="J3698" s="50" t="n">
        <f aca="false">H3698*INDEX('Model Inputs &amp; Assumptions'!$D$40:$D$42,MATCH('Model Inputs &amp; Assumptions'!$L$35,'Model Inputs &amp; Assumptions'!$A$40:$A$42,0))*INDEX('Model Inputs &amp; Assumptions'!$H$40:$H$42,MATCH('Model Inputs &amp; Assumptions'!$L$35,'Model Inputs &amp; Assumptions'!$A$40:$A$42,0))</f>
        <v>360753.802328506</v>
      </c>
      <c r="K3698" s="49" t="n">
        <f aca="false">H3698*INDEX('Model Inputs &amp; Assumptions'!$G$40:$G$42,MATCH('Model Inputs &amp; Assumptions'!$L$35,'Model Inputs &amp; Assumptions'!$A$40:$A$42,0))*INDEX('Model Inputs &amp; Assumptions'!$H$40:$H$42,MATCH('Model Inputs &amp; Assumptions'!$L$35,'Model Inputs &amp; Assumptions'!$A$40:$A$42,0))</f>
        <v>8116.96055239137</v>
      </c>
      <c r="L3698" s="51" t="n">
        <f aca="false">IFERROR(K3698/I3698,0)</f>
        <v>0.935910035097244</v>
      </c>
      <c r="M3698" s="49" t="n">
        <f aca="false">IFERROR(I3698/H3698,0)</f>
        <v>204.346564122617</v>
      </c>
      <c r="N3698" s="52" t="str">
        <f aca="false">'Model Inputs &amp; Assumptions'!$L$35</f>
        <v>PRD-EUAI</v>
      </c>
      <c r="P3698" s="53" t="n">
        <v>-0.449908</v>
      </c>
      <c r="Q3698" s="53" t="n">
        <v>0.412368</v>
      </c>
      <c r="R3698" s="53" t="n">
        <v>0.713565</v>
      </c>
      <c r="S3698" s="53" t="n">
        <v>0.007074</v>
      </c>
    </row>
    <row r="3699" customFormat="false" ht="15" hidden="false" customHeight="false" outlineLevel="0" collapsed="false">
      <c r="A3699" s="43" t="n">
        <v>196</v>
      </c>
      <c r="B3699" s="44" t="str">
        <f aca="false">'Model Inputs &amp; Assumptions'!$B$35</f>
        <v>justETF — Sponsored Listing</v>
      </c>
      <c r="C3699" s="45" t="n">
        <f aca="false">ROUND(MAX(0,'Model Inputs &amp; Assumptions'!$S$35*EXP('Model Inputs &amp; Assumptions'!$T$35*P3699-'Model Inputs &amp; Assumptions'!$T$35^2/2)),0)</f>
        <v>96277</v>
      </c>
      <c r="D3699" s="46" t="n">
        <f aca="false">MIN(1,'Model Inputs &amp; Assumptions'!$U$35*EXP('Model Inputs &amp; Assumptions'!$V$35*Q3699-'Model Inputs &amp; Assumptions'!$V$35^2/2))</f>
        <v>0</v>
      </c>
      <c r="E3699" s="45" t="n">
        <f aca="false">ROUND(C3699*D3699,0)</f>
        <v>0</v>
      </c>
      <c r="F3699" s="47" t="n">
        <f aca="false">MIN(1,'Model Inputs &amp; Assumptions'!$W$35*EXP('Model Inputs &amp; Assumptions'!$X$35*R3699-'Model Inputs &amp; Assumptions'!$X$35^2/2))</f>
        <v>0.00433218020307037</v>
      </c>
      <c r="G3699" s="45" t="n">
        <f aca="false">ROUND(C3699*F3699,0)</f>
        <v>417</v>
      </c>
      <c r="H3699" s="48" t="n">
        <f aca="false">MAX(0,(C3699*'Model Inputs &amp; Assumptions'!$N$35+E3699*'Model Inputs &amp; Assumptions'!$O$35+G3699*'Model Inputs &amp; Assumptions'!$P$35)*EXP('Model Inputs &amp; Assumptions'!$Q$35*S3699-'Model Inputs &amp; Assumptions'!$Q$35^2/2))</f>
        <v>20.4301511015843</v>
      </c>
      <c r="I3699" s="49" t="n">
        <f aca="false">IF('Model Inputs &amp; Assumptions'!$H$35="Fixed",'Model Inputs &amp; Assumptions'!$I$35*'Model Inputs &amp; Assumptions'!$K$35,IF('Model Inputs &amp; Assumptions'!$H$35="CPM",'Model Inputs &amp; Assumptions'!$I$35*'Model Inputs &amp; Assumptions'!$K$35*C3699/1000,IF('Model Inputs &amp; Assumptions'!$H$35="CPC",'Model Inputs &amp; Assumptions'!$I$35*'Model Inputs &amp; Assumptions'!$K$35*G3699,0)))</f>
        <v>8672.8</v>
      </c>
      <c r="J3699" s="50" t="n">
        <f aca="false">H3699*INDEX('Model Inputs &amp; Assumptions'!$D$40:$D$42,MATCH('Model Inputs &amp; Assumptions'!$L$35,'Model Inputs &amp; Assumptions'!$A$40:$A$42,0))*INDEX('Model Inputs &amp; Assumptions'!$H$40:$H$42,MATCH('Model Inputs &amp; Assumptions'!$L$35,'Model Inputs &amp; Assumptions'!$A$40:$A$42,0))</f>
        <v>173656.284363467</v>
      </c>
      <c r="K3699" s="49" t="n">
        <f aca="false">H3699*INDEX('Model Inputs &amp; Assumptions'!$G$40:$G$42,MATCH('Model Inputs &amp; Assumptions'!$L$35,'Model Inputs &amp; Assumptions'!$A$40:$A$42,0))*INDEX('Model Inputs &amp; Assumptions'!$H$40:$H$42,MATCH('Model Inputs &amp; Assumptions'!$L$35,'Model Inputs &amp; Assumptions'!$A$40:$A$42,0))</f>
        <v>3907.266398178</v>
      </c>
      <c r="L3699" s="51" t="n">
        <f aca="false">IFERROR(K3699/I3699,0)</f>
        <v>0.450519601302694</v>
      </c>
      <c r="M3699" s="49" t="n">
        <f aca="false">IFERROR(I3699/H3699,0)</f>
        <v>424.509831419085</v>
      </c>
      <c r="N3699" s="52" t="str">
        <f aca="false">'Model Inputs &amp; Assumptions'!$L$35</f>
        <v>PRD-EUAI</v>
      </c>
      <c r="P3699" s="53" t="n">
        <v>0.569024</v>
      </c>
      <c r="Q3699" s="53" t="n">
        <v>0.0804</v>
      </c>
      <c r="R3699" s="53" t="n">
        <v>-2.080183</v>
      </c>
      <c r="S3699" s="53" t="n">
        <v>-1.242363</v>
      </c>
    </row>
    <row r="3700" customFormat="false" ht="15" hidden="false" customHeight="false" outlineLevel="0" collapsed="false">
      <c r="A3700" s="43" t="n">
        <v>197</v>
      </c>
      <c r="B3700" s="44" t="str">
        <f aca="false">'Model Inputs &amp; Assumptions'!$B$35</f>
        <v>justETF — Sponsored Listing</v>
      </c>
      <c r="C3700" s="45" t="n">
        <f aca="false">ROUND(MAX(0,'Model Inputs &amp; Assumptions'!$S$35*EXP('Model Inputs &amp; Assumptions'!$T$35*P3700-'Model Inputs &amp; Assumptions'!$T$35^2/2)),0)</f>
        <v>96139</v>
      </c>
      <c r="D3700" s="46" t="n">
        <f aca="false">MIN(1,'Model Inputs &amp; Assumptions'!$U$35*EXP('Model Inputs &amp; Assumptions'!$V$35*Q3700-'Model Inputs &amp; Assumptions'!$V$35^2/2))</f>
        <v>0</v>
      </c>
      <c r="E3700" s="45" t="n">
        <f aca="false">ROUND(C3700*D3700,0)</f>
        <v>0</v>
      </c>
      <c r="F3700" s="47" t="n">
        <f aca="false">MIN(1,'Model Inputs &amp; Assumptions'!$W$35*EXP('Model Inputs &amp; Assumptions'!$X$35*R3700-'Model Inputs &amp; Assumptions'!$X$35^2/2))</f>
        <v>0.00588033848892232</v>
      </c>
      <c r="G3700" s="45" t="n">
        <f aca="false">ROUND(C3700*F3700,0)</f>
        <v>565</v>
      </c>
      <c r="H3700" s="48" t="n">
        <f aca="false">MAX(0,(C3700*'Model Inputs &amp; Assumptions'!$N$35+E3700*'Model Inputs &amp; Assumptions'!$O$35+G3700*'Model Inputs &amp; Assumptions'!$P$35)*EXP('Model Inputs &amp; Assumptions'!$Q$35*S3700-'Model Inputs &amp; Assumptions'!$Q$35^2/2))</f>
        <v>44.3757395784655</v>
      </c>
      <c r="I3700" s="49" t="n">
        <f aca="false">IF('Model Inputs &amp; Assumptions'!$H$35="Fixed",'Model Inputs &amp; Assumptions'!$I$35*'Model Inputs &amp; Assumptions'!$K$35,IF('Model Inputs &amp; Assumptions'!$H$35="CPM",'Model Inputs &amp; Assumptions'!$I$35*'Model Inputs &amp; Assumptions'!$K$35*C3700/1000,IF('Model Inputs &amp; Assumptions'!$H$35="CPC",'Model Inputs &amp; Assumptions'!$I$35*'Model Inputs &amp; Assumptions'!$K$35*G3700,0)))</f>
        <v>8672.8</v>
      </c>
      <c r="J3700" s="50" t="n">
        <f aca="false">H3700*INDEX('Model Inputs &amp; Assumptions'!$D$40:$D$42,MATCH('Model Inputs &amp; Assumptions'!$L$35,'Model Inputs &amp; Assumptions'!$A$40:$A$42,0))*INDEX('Model Inputs &amp; Assumptions'!$H$40:$H$42,MATCH('Model Inputs &amp; Assumptions'!$L$35,'Model Inputs &amp; Assumptions'!$A$40:$A$42,0))</f>
        <v>377193.786416957</v>
      </c>
      <c r="K3700" s="49" t="n">
        <f aca="false">H3700*INDEX('Model Inputs &amp; Assumptions'!$G$40:$G$42,MATCH('Model Inputs &amp; Assumptions'!$L$35,'Model Inputs &amp; Assumptions'!$A$40:$A$42,0))*INDEX('Model Inputs &amp; Assumptions'!$H$40:$H$42,MATCH('Model Inputs &amp; Assumptions'!$L$35,'Model Inputs &amp; Assumptions'!$A$40:$A$42,0))</f>
        <v>8486.86019438152</v>
      </c>
      <c r="L3700" s="51" t="n">
        <f aca="false">IFERROR(K3700/I3700,0)</f>
        <v>0.978560579556951</v>
      </c>
      <c r="M3700" s="49" t="n">
        <f aca="false">IFERROR(I3700/H3700,0)</f>
        <v>195.440122967747</v>
      </c>
      <c r="N3700" s="52" t="str">
        <f aca="false">'Model Inputs &amp; Assumptions'!$L$35</f>
        <v>PRD-EUAI</v>
      </c>
      <c r="P3700" s="53" t="n">
        <v>0.559463</v>
      </c>
      <c r="Q3700" s="53" t="n">
        <v>1.084823</v>
      </c>
      <c r="R3700" s="53" t="n">
        <v>-0.552466</v>
      </c>
      <c r="S3700" s="53" t="n">
        <v>0.572797</v>
      </c>
    </row>
    <row r="3701" customFormat="false" ht="15" hidden="false" customHeight="false" outlineLevel="0" collapsed="false">
      <c r="A3701" s="43" t="n">
        <v>198</v>
      </c>
      <c r="B3701" s="44" t="str">
        <f aca="false">'Model Inputs &amp; Assumptions'!$B$35</f>
        <v>justETF — Sponsored Listing</v>
      </c>
      <c r="C3701" s="45" t="n">
        <f aca="false">ROUND(MAX(0,'Model Inputs &amp; Assumptions'!$S$35*EXP('Model Inputs &amp; Assumptions'!$T$35*P3701-'Model Inputs &amp; Assumptions'!$T$35^2/2)),0)</f>
        <v>101544</v>
      </c>
      <c r="D3701" s="46" t="n">
        <f aca="false">MIN(1,'Model Inputs &amp; Assumptions'!$U$35*EXP('Model Inputs &amp; Assumptions'!$V$35*Q3701-'Model Inputs &amp; Assumptions'!$V$35^2/2))</f>
        <v>0</v>
      </c>
      <c r="E3701" s="45" t="n">
        <f aca="false">ROUND(C3701*D3701,0)</f>
        <v>0</v>
      </c>
      <c r="F3701" s="47" t="n">
        <f aca="false">MIN(1,'Model Inputs &amp; Assumptions'!$W$35*EXP('Model Inputs &amp; Assumptions'!$X$35*R3701-'Model Inputs &amp; Assumptions'!$X$35^2/2))</f>
        <v>0.00635314347848703</v>
      </c>
      <c r="G3701" s="45" t="n">
        <f aca="false">ROUND(C3701*F3701,0)</f>
        <v>645</v>
      </c>
      <c r="H3701" s="48" t="n">
        <f aca="false">MAX(0,(C3701*'Model Inputs &amp; Assumptions'!$N$35+E3701*'Model Inputs &amp; Assumptions'!$O$35+G3701*'Model Inputs &amp; Assumptions'!$P$35)*EXP('Model Inputs &amp; Assumptions'!$Q$35*S3701-'Model Inputs &amp; Assumptions'!$Q$35^2/2))</f>
        <v>67.3278614517631</v>
      </c>
      <c r="I3701" s="49" t="n">
        <f aca="false">IF('Model Inputs &amp; Assumptions'!$H$35="Fixed",'Model Inputs &amp; Assumptions'!$I$35*'Model Inputs &amp; Assumptions'!$K$35,IF('Model Inputs &amp; Assumptions'!$H$35="CPM",'Model Inputs &amp; Assumptions'!$I$35*'Model Inputs &amp; Assumptions'!$K$35*C3701/1000,IF('Model Inputs &amp; Assumptions'!$H$35="CPC",'Model Inputs &amp; Assumptions'!$I$35*'Model Inputs &amp; Assumptions'!$K$35*G3701,0)))</f>
        <v>8672.8</v>
      </c>
      <c r="J3701" s="50" t="n">
        <f aca="false">H3701*INDEX('Model Inputs &amp; Assumptions'!$D$40:$D$42,MATCH('Model Inputs &amp; Assumptions'!$L$35,'Model Inputs &amp; Assumptions'!$A$40:$A$42,0))*INDEX('Model Inputs &amp; Assumptions'!$H$40:$H$42,MATCH('Model Inputs &amp; Assumptions'!$L$35,'Model Inputs &amp; Assumptions'!$A$40:$A$42,0))</f>
        <v>572286.822339986</v>
      </c>
      <c r="K3701" s="49" t="n">
        <f aca="false">H3701*INDEX('Model Inputs &amp; Assumptions'!$G$40:$G$42,MATCH('Model Inputs &amp; Assumptions'!$L$35,'Model Inputs &amp; Assumptions'!$A$40:$A$42,0))*INDEX('Model Inputs &amp; Assumptions'!$H$40:$H$42,MATCH('Model Inputs &amp; Assumptions'!$L$35,'Model Inputs &amp; Assumptions'!$A$40:$A$42,0))</f>
        <v>12876.4535026497</v>
      </c>
      <c r="L3701" s="51" t="n">
        <f aca="false">IFERROR(K3701/I3701,0)</f>
        <v>1.48469392844868</v>
      </c>
      <c r="M3701" s="49" t="n">
        <f aca="false">IFERROR(I3701/H3701,0)</f>
        <v>128.814428573728</v>
      </c>
      <c r="N3701" s="52" t="str">
        <f aca="false">'Model Inputs &amp; Assumptions'!$L$35</f>
        <v>PRD-EUAI</v>
      </c>
      <c r="P3701" s="53" t="n">
        <v>0.92414</v>
      </c>
      <c r="Q3701" s="53" t="n">
        <v>-0.129771</v>
      </c>
      <c r="R3701" s="53" t="n">
        <v>-0.165789</v>
      </c>
      <c r="S3701" s="53" t="n">
        <v>1.666861</v>
      </c>
    </row>
    <row r="3702" customFormat="false" ht="15" hidden="false" customHeight="false" outlineLevel="0" collapsed="false">
      <c r="A3702" s="43" t="n">
        <v>199</v>
      </c>
      <c r="B3702" s="44" t="str">
        <f aca="false">'Model Inputs &amp; Assumptions'!$B$35</f>
        <v>justETF — Sponsored Listing</v>
      </c>
      <c r="C3702" s="45" t="n">
        <f aca="false">ROUND(MAX(0,'Model Inputs &amp; Assumptions'!$S$35*EXP('Model Inputs &amp; Assumptions'!$T$35*P3702-'Model Inputs &amp; Assumptions'!$T$35^2/2)),0)</f>
        <v>85668</v>
      </c>
      <c r="D3702" s="46" t="n">
        <f aca="false">MIN(1,'Model Inputs &amp; Assumptions'!$U$35*EXP('Model Inputs &amp; Assumptions'!$V$35*Q3702-'Model Inputs &amp; Assumptions'!$V$35^2/2))</f>
        <v>0</v>
      </c>
      <c r="E3702" s="45" t="n">
        <f aca="false">ROUND(C3702*D3702,0)</f>
        <v>0</v>
      </c>
      <c r="F3702" s="47" t="n">
        <f aca="false">MIN(1,'Model Inputs &amp; Assumptions'!$W$35*EXP('Model Inputs &amp; Assumptions'!$X$35*R3702-'Model Inputs &amp; Assumptions'!$X$35^2/2))</f>
        <v>0.00619040013267766</v>
      </c>
      <c r="G3702" s="45" t="n">
        <f aca="false">ROUND(C3702*F3702,0)</f>
        <v>530</v>
      </c>
      <c r="H3702" s="48" t="n">
        <f aca="false">MAX(0,(C3702*'Model Inputs &amp; Assumptions'!$N$35+E3702*'Model Inputs &amp; Assumptions'!$O$35+G3702*'Model Inputs &amp; Assumptions'!$P$35)*EXP('Model Inputs &amp; Assumptions'!$Q$35*S3702-'Model Inputs &amp; Assumptions'!$Q$35^2/2))</f>
        <v>22.2745196727928</v>
      </c>
      <c r="I3702" s="49" t="n">
        <f aca="false">IF('Model Inputs &amp; Assumptions'!$H$35="Fixed",'Model Inputs &amp; Assumptions'!$I$35*'Model Inputs &amp; Assumptions'!$K$35,IF('Model Inputs &amp; Assumptions'!$H$35="CPM",'Model Inputs &amp; Assumptions'!$I$35*'Model Inputs &amp; Assumptions'!$K$35*C3702/1000,IF('Model Inputs &amp; Assumptions'!$H$35="CPC",'Model Inputs &amp; Assumptions'!$I$35*'Model Inputs &amp; Assumptions'!$K$35*G3702,0)))</f>
        <v>8672.8</v>
      </c>
      <c r="J3702" s="50" t="n">
        <f aca="false">H3702*INDEX('Model Inputs &amp; Assumptions'!$D$40:$D$42,MATCH('Model Inputs &amp; Assumptions'!$L$35,'Model Inputs &amp; Assumptions'!$A$40:$A$42,0))*INDEX('Model Inputs &amp; Assumptions'!$H$40:$H$42,MATCH('Model Inputs &amp; Assumptions'!$L$35,'Model Inputs &amp; Assumptions'!$A$40:$A$42,0))</f>
        <v>189333.417218738</v>
      </c>
      <c r="K3702" s="49" t="n">
        <f aca="false">H3702*INDEX('Model Inputs &amp; Assumptions'!$G$40:$G$42,MATCH('Model Inputs &amp; Assumptions'!$L$35,'Model Inputs &amp; Assumptions'!$A$40:$A$42,0))*INDEX('Model Inputs &amp; Assumptions'!$H$40:$H$42,MATCH('Model Inputs &amp; Assumptions'!$L$35,'Model Inputs &amp; Assumptions'!$A$40:$A$42,0))</f>
        <v>4260.00188742161</v>
      </c>
      <c r="L3702" s="51" t="n">
        <f aca="false">IFERROR(K3702/I3702,0)</f>
        <v>0.491191067178029</v>
      </c>
      <c r="M3702" s="49" t="n">
        <f aca="false">IFERROR(I3702/H3702,0)</f>
        <v>389.359686646505</v>
      </c>
      <c r="N3702" s="52" t="str">
        <f aca="false">'Model Inputs &amp; Assumptions'!$L$35</f>
        <v>PRD-EUAI</v>
      </c>
      <c r="P3702" s="53" t="n">
        <v>-0.209288</v>
      </c>
      <c r="Q3702" s="53" t="n">
        <v>0.067792</v>
      </c>
      <c r="R3702" s="53" t="n">
        <v>-0.295539</v>
      </c>
      <c r="S3702" s="53" t="n">
        <v>-1.832206</v>
      </c>
    </row>
    <row r="3703" customFormat="false" ht="15" hidden="false" customHeight="false" outlineLevel="0" collapsed="false">
      <c r="A3703" s="43" t="n">
        <v>200</v>
      </c>
      <c r="B3703" s="44" t="str">
        <f aca="false">'Model Inputs &amp; Assumptions'!$B$35</f>
        <v>justETF — Sponsored Listing</v>
      </c>
      <c r="C3703" s="45" t="n">
        <f aca="false">ROUND(MAX(0,'Model Inputs &amp; Assumptions'!$S$35*EXP('Model Inputs &amp; Assumptions'!$T$35*P3703-'Model Inputs &amp; Assumptions'!$T$35^2/2)),0)</f>
        <v>94040</v>
      </c>
      <c r="D3703" s="46" t="n">
        <f aca="false">MIN(1,'Model Inputs &amp; Assumptions'!$U$35*EXP('Model Inputs &amp; Assumptions'!$V$35*Q3703-'Model Inputs &amp; Assumptions'!$V$35^2/2))</f>
        <v>0</v>
      </c>
      <c r="E3703" s="45" t="n">
        <f aca="false">ROUND(C3703*D3703,0)</f>
        <v>0</v>
      </c>
      <c r="F3703" s="47" t="n">
        <f aca="false">MIN(1,'Model Inputs &amp; Assumptions'!$W$35*EXP('Model Inputs &amp; Assumptions'!$X$35*R3703-'Model Inputs &amp; Assumptions'!$X$35^2/2))</f>
        <v>0.00647999232789668</v>
      </c>
      <c r="G3703" s="45" t="n">
        <f aca="false">ROUND(C3703*F3703,0)</f>
        <v>609</v>
      </c>
      <c r="H3703" s="48" t="n">
        <f aca="false">MAX(0,(C3703*'Model Inputs &amp; Assumptions'!$N$35+E3703*'Model Inputs &amp; Assumptions'!$O$35+G3703*'Model Inputs &amp; Assumptions'!$P$35)*EXP('Model Inputs &amp; Assumptions'!$Q$35*S3703-'Model Inputs &amp; Assumptions'!$Q$35^2/2))</f>
        <v>49.4582040749096</v>
      </c>
      <c r="I3703" s="49" t="n">
        <f aca="false">IF('Model Inputs &amp; Assumptions'!$H$35="Fixed",'Model Inputs &amp; Assumptions'!$I$35*'Model Inputs &amp; Assumptions'!$K$35,IF('Model Inputs &amp; Assumptions'!$H$35="CPM",'Model Inputs &amp; Assumptions'!$I$35*'Model Inputs &amp; Assumptions'!$K$35*C3703/1000,IF('Model Inputs &amp; Assumptions'!$H$35="CPC",'Model Inputs &amp; Assumptions'!$I$35*'Model Inputs &amp; Assumptions'!$K$35*G3703,0)))</f>
        <v>8672.8</v>
      </c>
      <c r="J3703" s="50" t="n">
        <f aca="false">H3703*INDEX('Model Inputs &amp; Assumptions'!$D$40:$D$42,MATCH('Model Inputs &amp; Assumptions'!$L$35,'Model Inputs &amp; Assumptions'!$A$40:$A$42,0))*INDEX('Model Inputs &amp; Assumptions'!$H$40:$H$42,MATCH('Model Inputs &amp; Assumptions'!$L$35,'Model Inputs &amp; Assumptions'!$A$40:$A$42,0))</f>
        <v>420394.734636731</v>
      </c>
      <c r="K3703" s="49" t="n">
        <f aca="false">H3703*INDEX('Model Inputs &amp; Assumptions'!$G$40:$G$42,MATCH('Model Inputs &amp; Assumptions'!$L$35,'Model Inputs &amp; Assumptions'!$A$40:$A$42,0))*INDEX('Model Inputs &amp; Assumptions'!$H$40:$H$42,MATCH('Model Inputs &amp; Assumptions'!$L$35,'Model Inputs &amp; Assumptions'!$A$40:$A$42,0))</f>
        <v>9458.88152932645</v>
      </c>
      <c r="L3703" s="51" t="n">
        <f aca="false">IFERROR(K3703/I3703,0)</f>
        <v>1.09063757141021</v>
      </c>
      <c r="M3703" s="49" t="n">
        <f aca="false">IFERROR(I3703/H3703,0)</f>
        <v>175.356144894872</v>
      </c>
      <c r="N3703" s="52" t="str">
        <f aca="false">'Model Inputs &amp; Assumptions'!$L$35</f>
        <v>PRD-EUAI</v>
      </c>
      <c r="P3703" s="53" t="n">
        <v>0.412297</v>
      </c>
      <c r="Q3703" s="53" t="n">
        <v>0.007723</v>
      </c>
      <c r="R3703" s="53" t="n">
        <v>-0.066941</v>
      </c>
      <c r="S3703" s="53" t="n">
        <v>0.701422</v>
      </c>
    </row>
    <row r="3704" customFormat="false" ht="15" hidden="false" customHeight="false" outlineLevel="0" collapsed="false">
      <c r="A3704" s="43" t="n">
        <v>201</v>
      </c>
      <c r="B3704" s="44" t="str">
        <f aca="false">'Model Inputs &amp; Assumptions'!$B$35</f>
        <v>justETF — Sponsored Listing</v>
      </c>
      <c r="C3704" s="45" t="n">
        <f aca="false">ROUND(MAX(0,'Model Inputs &amp; Assumptions'!$S$35*EXP('Model Inputs &amp; Assumptions'!$T$35*P3704-'Model Inputs &amp; Assumptions'!$T$35^2/2)),0)</f>
        <v>73876</v>
      </c>
      <c r="D3704" s="46" t="n">
        <f aca="false">MIN(1,'Model Inputs &amp; Assumptions'!$U$35*EXP('Model Inputs &amp; Assumptions'!$V$35*Q3704-'Model Inputs &amp; Assumptions'!$V$35^2/2))</f>
        <v>0</v>
      </c>
      <c r="E3704" s="45" t="n">
        <f aca="false">ROUND(C3704*D3704,0)</f>
        <v>0</v>
      </c>
      <c r="F3704" s="47" t="n">
        <f aca="false">MIN(1,'Model Inputs &amp; Assumptions'!$W$35*EXP('Model Inputs &amp; Assumptions'!$X$35*R3704-'Model Inputs &amp; Assumptions'!$X$35^2/2))</f>
        <v>0.00517832024366254</v>
      </c>
      <c r="G3704" s="45" t="n">
        <f aca="false">ROUND(C3704*F3704,0)</f>
        <v>383</v>
      </c>
      <c r="H3704" s="48" t="n">
        <f aca="false">MAX(0,(C3704*'Model Inputs &amp; Assumptions'!$N$35+E3704*'Model Inputs &amp; Assumptions'!$O$35+G3704*'Model Inputs &amp; Assumptions'!$P$35)*EXP('Model Inputs &amp; Assumptions'!$Q$35*S3704-'Model Inputs &amp; Assumptions'!$Q$35^2/2))</f>
        <v>27.4391435942312</v>
      </c>
      <c r="I3704" s="49" t="n">
        <f aca="false">IF('Model Inputs &amp; Assumptions'!$H$35="Fixed",'Model Inputs &amp; Assumptions'!$I$35*'Model Inputs &amp; Assumptions'!$K$35,IF('Model Inputs &amp; Assumptions'!$H$35="CPM",'Model Inputs &amp; Assumptions'!$I$35*'Model Inputs &amp; Assumptions'!$K$35*C3704/1000,IF('Model Inputs &amp; Assumptions'!$H$35="CPC",'Model Inputs &amp; Assumptions'!$I$35*'Model Inputs &amp; Assumptions'!$K$35*G3704,0)))</f>
        <v>8672.8</v>
      </c>
      <c r="J3704" s="50" t="n">
        <f aca="false">H3704*INDEX('Model Inputs &amp; Assumptions'!$D$40:$D$42,MATCH('Model Inputs &amp; Assumptions'!$L$35,'Model Inputs &amp; Assumptions'!$A$40:$A$42,0))*INDEX('Model Inputs &amp; Assumptions'!$H$40:$H$42,MATCH('Model Inputs &amp; Assumptions'!$L$35,'Model Inputs &amp; Assumptions'!$A$40:$A$42,0))</f>
        <v>233232.720550965</v>
      </c>
      <c r="K3704" s="49" t="n">
        <f aca="false">H3704*INDEX('Model Inputs &amp; Assumptions'!$G$40:$G$42,MATCH('Model Inputs &amp; Assumptions'!$L$35,'Model Inputs &amp; Assumptions'!$A$40:$A$42,0))*INDEX('Model Inputs &amp; Assumptions'!$H$40:$H$42,MATCH('Model Inputs &amp; Assumptions'!$L$35,'Model Inputs &amp; Assumptions'!$A$40:$A$42,0))</f>
        <v>5247.73621239671</v>
      </c>
      <c r="L3704" s="51" t="n">
        <f aca="false">IFERROR(K3704/I3704,0)</f>
        <v>0.60507981417728</v>
      </c>
      <c r="M3704" s="49" t="n">
        <f aca="false">IFERROR(I3704/H3704,0)</f>
        <v>316.074004650181</v>
      </c>
      <c r="N3704" s="52" t="str">
        <f aca="false">'Model Inputs &amp; Assumptions'!$L$35</f>
        <v>PRD-EUAI</v>
      </c>
      <c r="P3704" s="53" t="n">
        <v>-1.196572</v>
      </c>
      <c r="Q3704" s="53" t="n">
        <v>1.166019</v>
      </c>
      <c r="R3704" s="53" t="n">
        <v>-1.188134</v>
      </c>
      <c r="S3704" s="53" t="n">
        <v>0.219214</v>
      </c>
    </row>
    <row r="3705" customFormat="false" ht="15" hidden="false" customHeight="false" outlineLevel="0" collapsed="false">
      <c r="A3705" s="43" t="n">
        <v>202</v>
      </c>
      <c r="B3705" s="44" t="str">
        <f aca="false">'Model Inputs &amp; Assumptions'!$B$35</f>
        <v>justETF — Sponsored Listing</v>
      </c>
      <c r="C3705" s="45" t="n">
        <f aca="false">ROUND(MAX(0,'Model Inputs &amp; Assumptions'!$S$35*EXP('Model Inputs &amp; Assumptions'!$T$35*P3705-'Model Inputs &amp; Assumptions'!$T$35^2/2)),0)</f>
        <v>108949</v>
      </c>
      <c r="D3705" s="46" t="n">
        <f aca="false">MIN(1,'Model Inputs &amp; Assumptions'!$U$35*EXP('Model Inputs &amp; Assumptions'!$V$35*Q3705-'Model Inputs &amp; Assumptions'!$V$35^2/2))</f>
        <v>0</v>
      </c>
      <c r="E3705" s="45" t="n">
        <f aca="false">ROUND(C3705*D3705,0)</f>
        <v>0</v>
      </c>
      <c r="F3705" s="47" t="n">
        <f aca="false">MIN(1,'Model Inputs &amp; Assumptions'!$W$35*EXP('Model Inputs &amp; Assumptions'!$X$35*R3705-'Model Inputs &amp; Assumptions'!$X$35^2/2))</f>
        <v>0.00576116623977896</v>
      </c>
      <c r="G3705" s="45" t="n">
        <f aca="false">ROUND(C3705*F3705,0)</f>
        <v>628</v>
      </c>
      <c r="H3705" s="48" t="n">
        <f aca="false">MAX(0,(C3705*'Model Inputs &amp; Assumptions'!$N$35+E3705*'Model Inputs &amp; Assumptions'!$O$35+G3705*'Model Inputs &amp; Assumptions'!$P$35)*EXP('Model Inputs &amp; Assumptions'!$Q$35*S3705-'Model Inputs &amp; Assumptions'!$Q$35^2/2))</f>
        <v>23.2117052839132</v>
      </c>
      <c r="I3705" s="49" t="n">
        <f aca="false">IF('Model Inputs &amp; Assumptions'!$H$35="Fixed",'Model Inputs &amp; Assumptions'!$I$35*'Model Inputs &amp; Assumptions'!$K$35,IF('Model Inputs &amp; Assumptions'!$H$35="CPM",'Model Inputs &amp; Assumptions'!$I$35*'Model Inputs &amp; Assumptions'!$K$35*C3705/1000,IF('Model Inputs &amp; Assumptions'!$H$35="CPC",'Model Inputs &amp; Assumptions'!$I$35*'Model Inputs &amp; Assumptions'!$K$35*G3705,0)))</f>
        <v>8672.8</v>
      </c>
      <c r="J3705" s="50" t="n">
        <f aca="false">H3705*INDEX('Model Inputs &amp; Assumptions'!$D$40:$D$42,MATCH('Model Inputs &amp; Assumptions'!$L$35,'Model Inputs &amp; Assumptions'!$A$40:$A$42,0))*INDEX('Model Inputs &amp; Assumptions'!$H$40:$H$42,MATCH('Model Inputs &amp; Assumptions'!$L$35,'Model Inputs &amp; Assumptions'!$A$40:$A$42,0))</f>
        <v>197299.494913262</v>
      </c>
      <c r="K3705" s="49" t="n">
        <f aca="false">H3705*INDEX('Model Inputs &amp; Assumptions'!$G$40:$G$42,MATCH('Model Inputs &amp; Assumptions'!$L$35,'Model Inputs &amp; Assumptions'!$A$40:$A$42,0))*INDEX('Model Inputs &amp; Assumptions'!$H$40:$H$42,MATCH('Model Inputs &amp; Assumptions'!$L$35,'Model Inputs &amp; Assumptions'!$A$40:$A$42,0))</f>
        <v>4439.23863554841</v>
      </c>
      <c r="L3705" s="51" t="n">
        <f aca="false">IFERROR(K3705/I3705,0)</f>
        <v>0.511857604873675</v>
      </c>
      <c r="M3705" s="49" t="n">
        <f aca="false">IFERROR(I3705/H3705,0)</f>
        <v>373.639071060007</v>
      </c>
      <c r="N3705" s="52" t="str">
        <f aca="false">'Model Inputs &amp; Assumptions'!$L$35</f>
        <v>PRD-EUAI</v>
      </c>
      <c r="P3705" s="53" t="n">
        <v>1.393366</v>
      </c>
      <c r="Q3705" s="53" t="n">
        <v>-1.361165</v>
      </c>
      <c r="R3705" s="53" t="n">
        <v>-0.654838</v>
      </c>
      <c r="S3705" s="53" t="n">
        <v>-2.326244</v>
      </c>
    </row>
    <row r="3706" customFormat="false" ht="15" hidden="false" customHeight="false" outlineLevel="0" collapsed="false">
      <c r="A3706" s="43" t="n">
        <v>203</v>
      </c>
      <c r="B3706" s="44" t="str">
        <f aca="false">'Model Inputs &amp; Assumptions'!$B$35</f>
        <v>justETF — Sponsored Listing</v>
      </c>
      <c r="C3706" s="45" t="n">
        <f aca="false">ROUND(MAX(0,'Model Inputs &amp; Assumptions'!$S$35*EXP('Model Inputs &amp; Assumptions'!$T$35*P3706-'Model Inputs &amp; Assumptions'!$T$35^2/2)),0)</f>
        <v>69551</v>
      </c>
      <c r="D3706" s="46" t="n">
        <f aca="false">MIN(1,'Model Inputs &amp; Assumptions'!$U$35*EXP('Model Inputs &amp; Assumptions'!$V$35*Q3706-'Model Inputs &amp; Assumptions'!$V$35^2/2))</f>
        <v>0</v>
      </c>
      <c r="E3706" s="45" t="n">
        <f aca="false">ROUND(C3706*D3706,0)</f>
        <v>0</v>
      </c>
      <c r="F3706" s="47" t="n">
        <f aca="false">MIN(1,'Model Inputs &amp; Assumptions'!$W$35*EXP('Model Inputs &amp; Assumptions'!$X$35*R3706-'Model Inputs &amp; Assumptions'!$X$35^2/2))</f>
        <v>0.00710165692399027</v>
      </c>
      <c r="G3706" s="45" t="n">
        <f aca="false">ROUND(C3706*F3706,0)</f>
        <v>494</v>
      </c>
      <c r="H3706" s="48" t="n">
        <f aca="false">MAX(0,(C3706*'Model Inputs &amp; Assumptions'!$N$35+E3706*'Model Inputs &amp; Assumptions'!$O$35+G3706*'Model Inputs &amp; Assumptions'!$P$35)*EXP('Model Inputs &amp; Assumptions'!$Q$35*S3706-'Model Inputs &amp; Assumptions'!$Q$35^2/2))</f>
        <v>25.3593033877678</v>
      </c>
      <c r="I3706" s="49" t="n">
        <f aca="false">IF('Model Inputs &amp; Assumptions'!$H$35="Fixed",'Model Inputs &amp; Assumptions'!$I$35*'Model Inputs &amp; Assumptions'!$K$35,IF('Model Inputs &amp; Assumptions'!$H$35="CPM",'Model Inputs &amp; Assumptions'!$I$35*'Model Inputs &amp; Assumptions'!$K$35*C3706/1000,IF('Model Inputs &amp; Assumptions'!$H$35="CPC",'Model Inputs &amp; Assumptions'!$I$35*'Model Inputs &amp; Assumptions'!$K$35*G3706,0)))</f>
        <v>8672.8</v>
      </c>
      <c r="J3706" s="50" t="n">
        <f aca="false">H3706*INDEX('Model Inputs &amp; Assumptions'!$D$40:$D$42,MATCH('Model Inputs &amp; Assumptions'!$L$35,'Model Inputs &amp; Assumptions'!$A$40:$A$42,0))*INDEX('Model Inputs &amp; Assumptions'!$H$40:$H$42,MATCH('Model Inputs &amp; Assumptions'!$L$35,'Model Inputs &amp; Assumptions'!$A$40:$A$42,0))</f>
        <v>215554.078796026</v>
      </c>
      <c r="K3706" s="49" t="n">
        <f aca="false">H3706*INDEX('Model Inputs &amp; Assumptions'!$G$40:$G$42,MATCH('Model Inputs &amp; Assumptions'!$L$35,'Model Inputs &amp; Assumptions'!$A$40:$A$42,0))*INDEX('Model Inputs &amp; Assumptions'!$H$40:$H$42,MATCH('Model Inputs &amp; Assumptions'!$L$35,'Model Inputs &amp; Assumptions'!$A$40:$A$42,0))</f>
        <v>4849.96677291059</v>
      </c>
      <c r="L3706" s="51" t="n">
        <f aca="false">IFERROR(K3706/I3706,0)</f>
        <v>0.559215798001866</v>
      </c>
      <c r="M3706" s="49" t="n">
        <f aca="false">IFERROR(I3706/H3706,0)</f>
        <v>341.996775991228</v>
      </c>
      <c r="N3706" s="52" t="str">
        <f aca="false">'Model Inputs &amp; Assumptions'!$L$35</f>
        <v>PRD-EUAI</v>
      </c>
      <c r="P3706" s="53" t="n">
        <v>-1.598773</v>
      </c>
      <c r="Q3706" s="53" t="n">
        <v>-0.026024</v>
      </c>
      <c r="R3706" s="53" t="n">
        <v>0.391103</v>
      </c>
      <c r="S3706" s="53" t="n">
        <v>-1.062807</v>
      </c>
    </row>
    <row r="3707" customFormat="false" ht="15" hidden="false" customHeight="false" outlineLevel="0" collapsed="false">
      <c r="A3707" s="43" t="n">
        <v>204</v>
      </c>
      <c r="B3707" s="44" t="str">
        <f aca="false">'Model Inputs &amp; Assumptions'!$B$35</f>
        <v>justETF — Sponsored Listing</v>
      </c>
      <c r="C3707" s="45" t="n">
        <f aca="false">ROUND(MAX(0,'Model Inputs &amp; Assumptions'!$S$35*EXP('Model Inputs &amp; Assumptions'!$T$35*P3707-'Model Inputs &amp; Assumptions'!$T$35^2/2)),0)</f>
        <v>80566</v>
      </c>
      <c r="D3707" s="46" t="n">
        <f aca="false">MIN(1,'Model Inputs &amp; Assumptions'!$U$35*EXP('Model Inputs &amp; Assumptions'!$V$35*Q3707-'Model Inputs &amp; Assumptions'!$V$35^2/2))</f>
        <v>0</v>
      </c>
      <c r="E3707" s="45" t="n">
        <f aca="false">ROUND(C3707*D3707,0)</f>
        <v>0</v>
      </c>
      <c r="F3707" s="47" t="n">
        <f aca="false">MIN(1,'Model Inputs &amp; Assumptions'!$W$35*EXP('Model Inputs &amp; Assumptions'!$X$35*R3707-'Model Inputs &amp; Assumptions'!$X$35^2/2))</f>
        <v>0.00718149462470083</v>
      </c>
      <c r="G3707" s="45" t="n">
        <f aca="false">ROUND(C3707*F3707,0)</f>
        <v>579</v>
      </c>
      <c r="H3707" s="48" t="n">
        <f aca="false">MAX(0,(C3707*'Model Inputs &amp; Assumptions'!$N$35+E3707*'Model Inputs &amp; Assumptions'!$O$35+G3707*'Model Inputs &amp; Assumptions'!$P$35)*EXP('Model Inputs &amp; Assumptions'!$Q$35*S3707-'Model Inputs &amp; Assumptions'!$Q$35^2/2))</f>
        <v>61.3787411980249</v>
      </c>
      <c r="I3707" s="49" t="n">
        <f aca="false">IF('Model Inputs &amp; Assumptions'!$H$35="Fixed",'Model Inputs &amp; Assumptions'!$I$35*'Model Inputs &amp; Assumptions'!$K$35,IF('Model Inputs &amp; Assumptions'!$H$35="CPM",'Model Inputs &amp; Assumptions'!$I$35*'Model Inputs &amp; Assumptions'!$K$35*C3707/1000,IF('Model Inputs &amp; Assumptions'!$H$35="CPC",'Model Inputs &amp; Assumptions'!$I$35*'Model Inputs &amp; Assumptions'!$K$35*G3707,0)))</f>
        <v>8672.8</v>
      </c>
      <c r="J3707" s="50" t="n">
        <f aca="false">H3707*INDEX('Model Inputs &amp; Assumptions'!$D$40:$D$42,MATCH('Model Inputs &amp; Assumptions'!$L$35,'Model Inputs &amp; Assumptions'!$A$40:$A$42,0))*INDEX('Model Inputs &amp; Assumptions'!$H$40:$H$42,MATCH('Model Inputs &amp; Assumptions'!$L$35,'Model Inputs &amp; Assumptions'!$A$40:$A$42,0))</f>
        <v>521719.300183212</v>
      </c>
      <c r="K3707" s="49" t="n">
        <f aca="false">H3707*INDEX('Model Inputs &amp; Assumptions'!$G$40:$G$42,MATCH('Model Inputs &amp; Assumptions'!$L$35,'Model Inputs &amp; Assumptions'!$A$40:$A$42,0))*INDEX('Model Inputs &amp; Assumptions'!$H$40:$H$42,MATCH('Model Inputs &amp; Assumptions'!$L$35,'Model Inputs &amp; Assumptions'!$A$40:$A$42,0))</f>
        <v>11738.6842541223</v>
      </c>
      <c r="L3707" s="51" t="n">
        <f aca="false">IFERROR(K3707/I3707,0)</f>
        <v>1.35350570220947</v>
      </c>
      <c r="M3707" s="49" t="n">
        <f aca="false">IFERROR(I3707/H3707,0)</f>
        <v>141.299737184559</v>
      </c>
      <c r="N3707" s="52" t="str">
        <f aca="false">'Model Inputs &amp; Assumptions'!$L$35</f>
        <v>PRD-EUAI</v>
      </c>
      <c r="P3707" s="53" t="n">
        <v>-0.618608</v>
      </c>
      <c r="Q3707" s="53" t="n">
        <v>-0.678676</v>
      </c>
      <c r="R3707" s="53" t="n">
        <v>0.447</v>
      </c>
      <c r="S3707" s="53" t="n">
        <v>1.726235</v>
      </c>
    </row>
    <row r="3708" customFormat="false" ht="15" hidden="false" customHeight="false" outlineLevel="0" collapsed="false">
      <c r="A3708" s="43" t="n">
        <v>205</v>
      </c>
      <c r="B3708" s="44" t="str">
        <f aca="false">'Model Inputs &amp; Assumptions'!$B$35</f>
        <v>justETF — Sponsored Listing</v>
      </c>
      <c r="C3708" s="45" t="n">
        <f aca="false">ROUND(MAX(0,'Model Inputs &amp; Assumptions'!$S$35*EXP('Model Inputs &amp; Assumptions'!$T$35*P3708-'Model Inputs &amp; Assumptions'!$T$35^2/2)),0)</f>
        <v>99020</v>
      </c>
      <c r="D3708" s="46" t="n">
        <f aca="false">MIN(1,'Model Inputs &amp; Assumptions'!$U$35*EXP('Model Inputs &amp; Assumptions'!$V$35*Q3708-'Model Inputs &amp; Assumptions'!$V$35^2/2))</f>
        <v>0</v>
      </c>
      <c r="E3708" s="45" t="n">
        <f aca="false">ROUND(C3708*D3708,0)</f>
        <v>0</v>
      </c>
      <c r="F3708" s="47" t="n">
        <f aca="false">MIN(1,'Model Inputs &amp; Assumptions'!$W$35*EXP('Model Inputs &amp; Assumptions'!$X$35*R3708-'Model Inputs &amp; Assumptions'!$X$35^2/2))</f>
        <v>0.00533817549184774</v>
      </c>
      <c r="G3708" s="45" t="n">
        <f aca="false">ROUND(C3708*F3708,0)</f>
        <v>529</v>
      </c>
      <c r="H3708" s="48" t="n">
        <f aca="false">MAX(0,(C3708*'Model Inputs &amp; Assumptions'!$N$35+E3708*'Model Inputs &amp; Assumptions'!$O$35+G3708*'Model Inputs &amp; Assumptions'!$P$35)*EXP('Model Inputs &amp; Assumptions'!$Q$35*S3708-'Model Inputs &amp; Assumptions'!$Q$35^2/2))</f>
        <v>28.6136774184951</v>
      </c>
      <c r="I3708" s="49" t="n">
        <f aca="false">IF('Model Inputs &amp; Assumptions'!$H$35="Fixed",'Model Inputs &amp; Assumptions'!$I$35*'Model Inputs &amp; Assumptions'!$K$35,IF('Model Inputs &amp; Assumptions'!$H$35="CPM",'Model Inputs &amp; Assumptions'!$I$35*'Model Inputs &amp; Assumptions'!$K$35*C3708/1000,IF('Model Inputs &amp; Assumptions'!$H$35="CPC",'Model Inputs &amp; Assumptions'!$I$35*'Model Inputs &amp; Assumptions'!$K$35*G3708,0)))</f>
        <v>8672.8</v>
      </c>
      <c r="J3708" s="50" t="n">
        <f aca="false">H3708*INDEX('Model Inputs &amp; Assumptions'!$D$40:$D$42,MATCH('Model Inputs &amp; Assumptions'!$L$35,'Model Inputs &amp; Assumptions'!$A$40:$A$42,0))*INDEX('Model Inputs &amp; Assumptions'!$H$40:$H$42,MATCH('Model Inputs &amp; Assumptions'!$L$35,'Model Inputs &amp; Assumptions'!$A$40:$A$42,0))</f>
        <v>243216.258057208</v>
      </c>
      <c r="K3708" s="49" t="n">
        <f aca="false">H3708*INDEX('Model Inputs &amp; Assumptions'!$G$40:$G$42,MATCH('Model Inputs &amp; Assumptions'!$L$35,'Model Inputs &amp; Assumptions'!$A$40:$A$42,0))*INDEX('Model Inputs &amp; Assumptions'!$H$40:$H$42,MATCH('Model Inputs &amp; Assumptions'!$L$35,'Model Inputs &amp; Assumptions'!$A$40:$A$42,0))</f>
        <v>5472.36580628719</v>
      </c>
      <c r="L3708" s="51" t="n">
        <f aca="false">IFERROR(K3708/I3708,0)</f>
        <v>0.63098028390914</v>
      </c>
      <c r="M3708" s="49" t="n">
        <f aca="false">IFERROR(I3708/H3708,0)</f>
        <v>303.099803396614</v>
      </c>
      <c r="N3708" s="52" t="str">
        <f aca="false">'Model Inputs &amp; Assumptions'!$L$35</f>
        <v>PRD-EUAI</v>
      </c>
      <c r="P3708" s="53" t="n">
        <v>0.756348</v>
      </c>
      <c r="Q3708" s="53" t="n">
        <v>-0.113903</v>
      </c>
      <c r="R3708" s="53" t="n">
        <v>-1.036118</v>
      </c>
      <c r="S3708" s="53" t="n">
        <v>-0.861706</v>
      </c>
    </row>
    <row r="3709" customFormat="false" ht="15" hidden="false" customHeight="false" outlineLevel="0" collapsed="false">
      <c r="A3709" s="43" t="n">
        <v>206</v>
      </c>
      <c r="B3709" s="44" t="str">
        <f aca="false">'Model Inputs &amp; Assumptions'!$B$35</f>
        <v>justETF — Sponsored Listing</v>
      </c>
      <c r="C3709" s="45" t="n">
        <f aca="false">ROUND(MAX(0,'Model Inputs &amp; Assumptions'!$S$35*EXP('Model Inputs &amp; Assumptions'!$T$35*P3709-'Model Inputs &amp; Assumptions'!$T$35^2/2)),0)</f>
        <v>90282</v>
      </c>
      <c r="D3709" s="46" t="n">
        <f aca="false">MIN(1,'Model Inputs &amp; Assumptions'!$U$35*EXP('Model Inputs &amp; Assumptions'!$V$35*Q3709-'Model Inputs &amp; Assumptions'!$V$35^2/2))</f>
        <v>0</v>
      </c>
      <c r="E3709" s="45" t="n">
        <f aca="false">ROUND(C3709*D3709,0)</f>
        <v>0</v>
      </c>
      <c r="F3709" s="47" t="n">
        <f aca="false">MIN(1,'Model Inputs &amp; Assumptions'!$W$35*EXP('Model Inputs &amp; Assumptions'!$X$35*R3709-'Model Inputs &amp; Assumptions'!$X$35^2/2))</f>
        <v>0.00615754602985127</v>
      </c>
      <c r="G3709" s="45" t="n">
        <f aca="false">ROUND(C3709*F3709,0)</f>
        <v>556</v>
      </c>
      <c r="H3709" s="48" t="n">
        <f aca="false">MAX(0,(C3709*'Model Inputs &amp; Assumptions'!$N$35+E3709*'Model Inputs &amp; Assumptions'!$O$35+G3709*'Model Inputs &amp; Assumptions'!$P$35)*EXP('Model Inputs &amp; Assumptions'!$Q$35*S3709-'Model Inputs &amp; Assumptions'!$Q$35^2/2))</f>
        <v>29.6829069724235</v>
      </c>
      <c r="I3709" s="49" t="n">
        <f aca="false">IF('Model Inputs &amp; Assumptions'!$H$35="Fixed",'Model Inputs &amp; Assumptions'!$I$35*'Model Inputs &amp; Assumptions'!$K$35,IF('Model Inputs &amp; Assumptions'!$H$35="CPM",'Model Inputs &amp; Assumptions'!$I$35*'Model Inputs &amp; Assumptions'!$K$35*C3709/1000,IF('Model Inputs &amp; Assumptions'!$H$35="CPC",'Model Inputs &amp; Assumptions'!$I$35*'Model Inputs &amp; Assumptions'!$K$35*G3709,0)))</f>
        <v>8672.8</v>
      </c>
      <c r="J3709" s="50" t="n">
        <f aca="false">H3709*INDEX('Model Inputs &amp; Assumptions'!$D$40:$D$42,MATCH('Model Inputs &amp; Assumptions'!$L$35,'Model Inputs &amp; Assumptions'!$A$40:$A$42,0))*INDEX('Model Inputs &amp; Assumptions'!$H$40:$H$42,MATCH('Model Inputs &amp; Assumptions'!$L$35,'Model Inputs &amp; Assumptions'!$A$40:$A$42,0))</f>
        <v>252304.7092656</v>
      </c>
      <c r="K3709" s="49" t="n">
        <f aca="false">H3709*INDEX('Model Inputs &amp; Assumptions'!$G$40:$G$42,MATCH('Model Inputs &amp; Assumptions'!$L$35,'Model Inputs &amp; Assumptions'!$A$40:$A$42,0))*INDEX('Model Inputs &amp; Assumptions'!$H$40:$H$42,MATCH('Model Inputs &amp; Assumptions'!$L$35,'Model Inputs &amp; Assumptions'!$A$40:$A$42,0))</f>
        <v>5676.85595847599</v>
      </c>
      <c r="L3709" s="51" t="n">
        <f aca="false">IFERROR(K3709/I3709,0)</f>
        <v>0.654558615265657</v>
      </c>
      <c r="M3709" s="49" t="n">
        <f aca="false">IFERROR(I3709/H3709,0)</f>
        <v>292.181625204612</v>
      </c>
      <c r="N3709" s="52" t="str">
        <f aca="false">'Model Inputs &amp; Assumptions'!$L$35</f>
        <v>PRD-EUAI</v>
      </c>
      <c r="P3709" s="53" t="n">
        <v>0.14044</v>
      </c>
      <c r="Q3709" s="53" t="n">
        <v>0.649176</v>
      </c>
      <c r="R3709" s="53" t="n">
        <v>-0.322146</v>
      </c>
      <c r="S3709" s="53" t="n">
        <v>-0.912065</v>
      </c>
    </row>
    <row r="3710" customFormat="false" ht="15" hidden="false" customHeight="false" outlineLevel="0" collapsed="false">
      <c r="A3710" s="43" t="n">
        <v>207</v>
      </c>
      <c r="B3710" s="44" t="str">
        <f aca="false">'Model Inputs &amp; Assumptions'!$B$35</f>
        <v>justETF — Sponsored Listing</v>
      </c>
      <c r="C3710" s="45" t="n">
        <f aca="false">ROUND(MAX(0,'Model Inputs &amp; Assumptions'!$S$35*EXP('Model Inputs &amp; Assumptions'!$T$35*P3710-'Model Inputs &amp; Assumptions'!$T$35^2/2)),0)</f>
        <v>91467</v>
      </c>
      <c r="D3710" s="46" t="n">
        <f aca="false">MIN(1,'Model Inputs &amp; Assumptions'!$U$35*EXP('Model Inputs &amp; Assumptions'!$V$35*Q3710-'Model Inputs &amp; Assumptions'!$V$35^2/2))</f>
        <v>0</v>
      </c>
      <c r="E3710" s="45" t="n">
        <f aca="false">ROUND(C3710*D3710,0)</f>
        <v>0</v>
      </c>
      <c r="F3710" s="47" t="n">
        <f aca="false">MIN(1,'Model Inputs &amp; Assumptions'!$W$35*EXP('Model Inputs &amp; Assumptions'!$X$35*R3710-'Model Inputs &amp; Assumptions'!$X$35^2/2))</f>
        <v>0.00552335754561709</v>
      </c>
      <c r="G3710" s="45" t="n">
        <f aca="false">ROUND(C3710*F3710,0)</f>
        <v>505</v>
      </c>
      <c r="H3710" s="48" t="n">
        <f aca="false">MAX(0,(C3710*'Model Inputs &amp; Assumptions'!$N$35+E3710*'Model Inputs &amp; Assumptions'!$O$35+G3710*'Model Inputs &amp; Assumptions'!$P$35)*EXP('Model Inputs &amp; Assumptions'!$Q$35*S3710-'Model Inputs &amp; Assumptions'!$Q$35^2/2))</f>
        <v>34.5935563597318</v>
      </c>
      <c r="I3710" s="49" t="n">
        <f aca="false">IF('Model Inputs &amp; Assumptions'!$H$35="Fixed",'Model Inputs &amp; Assumptions'!$I$35*'Model Inputs &amp; Assumptions'!$K$35,IF('Model Inputs &amp; Assumptions'!$H$35="CPM",'Model Inputs &amp; Assumptions'!$I$35*'Model Inputs &amp; Assumptions'!$K$35*C3710/1000,IF('Model Inputs &amp; Assumptions'!$H$35="CPC",'Model Inputs &amp; Assumptions'!$I$35*'Model Inputs &amp; Assumptions'!$K$35*G3710,0)))</f>
        <v>8672.8</v>
      </c>
      <c r="J3710" s="50" t="n">
        <f aca="false">H3710*INDEX('Model Inputs &amp; Assumptions'!$D$40:$D$42,MATCH('Model Inputs &amp; Assumptions'!$L$35,'Model Inputs &amp; Assumptions'!$A$40:$A$42,0))*INDEX('Model Inputs &amp; Assumptions'!$H$40:$H$42,MATCH('Model Inputs &amp; Assumptions'!$L$35,'Model Inputs &amp; Assumptions'!$A$40:$A$42,0))</f>
        <v>294045.22905772</v>
      </c>
      <c r="K3710" s="49" t="n">
        <f aca="false">H3710*INDEX('Model Inputs &amp; Assumptions'!$G$40:$G$42,MATCH('Model Inputs &amp; Assumptions'!$L$35,'Model Inputs &amp; Assumptions'!$A$40:$A$42,0))*INDEX('Model Inputs &amp; Assumptions'!$H$40:$H$42,MATCH('Model Inputs &amp; Assumptions'!$L$35,'Model Inputs &amp; Assumptions'!$A$40:$A$42,0))</f>
        <v>6616.0176537987</v>
      </c>
      <c r="L3710" s="51" t="n">
        <f aca="false">IFERROR(K3710/I3710,0)</f>
        <v>0.762846791555058</v>
      </c>
      <c r="M3710" s="49" t="n">
        <f aca="false">IFERROR(I3710/H3710,0)</f>
        <v>250.705649046696</v>
      </c>
      <c r="N3710" s="52" t="str">
        <f aca="false">'Model Inputs &amp; Assumptions'!$L$35</f>
        <v>PRD-EUAI</v>
      </c>
      <c r="P3710" s="53" t="n">
        <v>0.227403</v>
      </c>
      <c r="Q3710" s="53" t="n">
        <v>0.495565</v>
      </c>
      <c r="R3710" s="53" t="n">
        <v>-0.865608</v>
      </c>
      <c r="S3710" s="53" t="n">
        <v>0.046804</v>
      </c>
    </row>
    <row r="3711" customFormat="false" ht="15" hidden="false" customHeight="false" outlineLevel="0" collapsed="false">
      <c r="A3711" s="43" t="n">
        <v>208</v>
      </c>
      <c r="B3711" s="44" t="str">
        <f aca="false">'Model Inputs &amp; Assumptions'!$B$35</f>
        <v>justETF — Sponsored Listing</v>
      </c>
      <c r="C3711" s="45" t="n">
        <f aca="false">ROUND(MAX(0,'Model Inputs &amp; Assumptions'!$S$35*EXP('Model Inputs &amp; Assumptions'!$T$35*P3711-'Model Inputs &amp; Assumptions'!$T$35^2/2)),0)</f>
        <v>78496</v>
      </c>
      <c r="D3711" s="46" t="n">
        <f aca="false">MIN(1,'Model Inputs &amp; Assumptions'!$U$35*EXP('Model Inputs &amp; Assumptions'!$V$35*Q3711-'Model Inputs &amp; Assumptions'!$V$35^2/2))</f>
        <v>0</v>
      </c>
      <c r="E3711" s="45" t="n">
        <f aca="false">ROUND(C3711*D3711,0)</f>
        <v>0</v>
      </c>
      <c r="F3711" s="47" t="n">
        <f aca="false">MIN(1,'Model Inputs &amp; Assumptions'!$W$35*EXP('Model Inputs &amp; Assumptions'!$X$35*R3711-'Model Inputs &amp; Assumptions'!$X$35^2/2))</f>
        <v>0.00533948884455449</v>
      </c>
      <c r="G3711" s="45" t="n">
        <f aca="false">ROUND(C3711*F3711,0)</f>
        <v>419</v>
      </c>
      <c r="H3711" s="48" t="n">
        <f aca="false">MAX(0,(C3711*'Model Inputs &amp; Assumptions'!$N$35+E3711*'Model Inputs &amp; Assumptions'!$O$35+G3711*'Model Inputs &amp; Assumptions'!$P$35)*EXP('Model Inputs &amp; Assumptions'!$Q$35*S3711-'Model Inputs &amp; Assumptions'!$Q$35^2/2))</f>
        <v>19.1346300113543</v>
      </c>
      <c r="I3711" s="49" t="n">
        <f aca="false">IF('Model Inputs &amp; Assumptions'!$H$35="Fixed",'Model Inputs &amp; Assumptions'!$I$35*'Model Inputs &amp; Assumptions'!$K$35,IF('Model Inputs &amp; Assumptions'!$H$35="CPM",'Model Inputs &amp; Assumptions'!$I$35*'Model Inputs &amp; Assumptions'!$K$35*C3711/1000,IF('Model Inputs &amp; Assumptions'!$H$35="CPC",'Model Inputs &amp; Assumptions'!$I$35*'Model Inputs &amp; Assumptions'!$K$35*G3711,0)))</f>
        <v>8672.8</v>
      </c>
      <c r="J3711" s="50" t="n">
        <f aca="false">H3711*INDEX('Model Inputs &amp; Assumptions'!$D$40:$D$42,MATCH('Model Inputs &amp; Assumptions'!$L$35,'Model Inputs &amp; Assumptions'!$A$40:$A$42,0))*INDEX('Model Inputs &amp; Assumptions'!$H$40:$H$42,MATCH('Model Inputs &amp; Assumptions'!$L$35,'Model Inputs &amp; Assumptions'!$A$40:$A$42,0))</f>
        <v>162644.355096512</v>
      </c>
      <c r="K3711" s="49" t="n">
        <f aca="false">H3711*INDEX('Model Inputs &amp; Assumptions'!$G$40:$G$42,MATCH('Model Inputs &amp; Assumptions'!$L$35,'Model Inputs &amp; Assumptions'!$A$40:$A$42,0))*INDEX('Model Inputs &amp; Assumptions'!$H$40:$H$42,MATCH('Model Inputs &amp; Assumptions'!$L$35,'Model Inputs &amp; Assumptions'!$A$40:$A$42,0))</f>
        <v>3659.49798967151</v>
      </c>
      <c r="L3711" s="51" t="n">
        <f aca="false">IFERROR(K3711/I3711,0)</f>
        <v>0.421951156451378</v>
      </c>
      <c r="M3711" s="49" t="n">
        <f aca="false">IFERROR(I3711/H3711,0)</f>
        <v>453.251512825367</v>
      </c>
      <c r="N3711" s="52" t="str">
        <f aca="false">'Model Inputs &amp; Assumptions'!$L$35</f>
        <v>PRD-EUAI</v>
      </c>
      <c r="P3711" s="53" t="n">
        <v>-0.792113</v>
      </c>
      <c r="Q3711" s="53" t="n">
        <v>0.721005</v>
      </c>
      <c r="R3711" s="53" t="n">
        <v>-1.034888</v>
      </c>
      <c r="S3711" s="53" t="n">
        <v>-1.512735</v>
      </c>
    </row>
    <row r="3712" customFormat="false" ht="15" hidden="false" customHeight="false" outlineLevel="0" collapsed="false">
      <c r="A3712" s="43" t="n">
        <v>209</v>
      </c>
      <c r="B3712" s="44" t="str">
        <f aca="false">'Model Inputs &amp; Assumptions'!$B$35</f>
        <v>justETF — Sponsored Listing</v>
      </c>
      <c r="C3712" s="45" t="n">
        <f aca="false">ROUND(MAX(0,'Model Inputs &amp; Assumptions'!$S$35*EXP('Model Inputs &amp; Assumptions'!$T$35*P3712-'Model Inputs &amp; Assumptions'!$T$35^2/2)),0)</f>
        <v>114992</v>
      </c>
      <c r="D3712" s="46" t="n">
        <f aca="false">MIN(1,'Model Inputs &amp; Assumptions'!$U$35*EXP('Model Inputs &amp; Assumptions'!$V$35*Q3712-'Model Inputs &amp; Assumptions'!$V$35^2/2))</f>
        <v>0</v>
      </c>
      <c r="E3712" s="45" t="n">
        <f aca="false">ROUND(C3712*D3712,0)</f>
        <v>0</v>
      </c>
      <c r="F3712" s="47" t="n">
        <f aca="false">MIN(1,'Model Inputs &amp; Assumptions'!$W$35*EXP('Model Inputs &amp; Assumptions'!$X$35*R3712-'Model Inputs &amp; Assumptions'!$X$35^2/2))</f>
        <v>0.00584586706176372</v>
      </c>
      <c r="G3712" s="45" t="n">
        <f aca="false">ROUND(C3712*F3712,0)</f>
        <v>672</v>
      </c>
      <c r="H3712" s="48" t="n">
        <f aca="false">MAX(0,(C3712*'Model Inputs &amp; Assumptions'!$N$35+E3712*'Model Inputs &amp; Assumptions'!$O$35+G3712*'Model Inputs &amp; Assumptions'!$P$35)*EXP('Model Inputs &amp; Assumptions'!$Q$35*S3712-'Model Inputs &amp; Assumptions'!$Q$35^2/2))</f>
        <v>60.8998726505914</v>
      </c>
      <c r="I3712" s="49" t="n">
        <f aca="false">IF('Model Inputs &amp; Assumptions'!$H$35="Fixed",'Model Inputs &amp; Assumptions'!$I$35*'Model Inputs &amp; Assumptions'!$K$35,IF('Model Inputs &amp; Assumptions'!$H$35="CPM",'Model Inputs &amp; Assumptions'!$I$35*'Model Inputs &amp; Assumptions'!$K$35*C3712/1000,IF('Model Inputs &amp; Assumptions'!$H$35="CPC",'Model Inputs &amp; Assumptions'!$I$35*'Model Inputs &amp; Assumptions'!$K$35*G3712,0)))</f>
        <v>8672.8</v>
      </c>
      <c r="J3712" s="50" t="n">
        <f aca="false">H3712*INDEX('Model Inputs &amp; Assumptions'!$D$40:$D$42,MATCH('Model Inputs &amp; Assumptions'!$L$35,'Model Inputs &amp; Assumptions'!$A$40:$A$42,0))*INDEX('Model Inputs &amp; Assumptions'!$H$40:$H$42,MATCH('Model Inputs &amp; Assumptions'!$L$35,'Model Inputs &amp; Assumptions'!$A$40:$A$42,0))</f>
        <v>517648.917530027</v>
      </c>
      <c r="K3712" s="49" t="n">
        <f aca="false">H3712*INDEX('Model Inputs &amp; Assumptions'!$G$40:$G$42,MATCH('Model Inputs &amp; Assumptions'!$L$35,'Model Inputs &amp; Assumptions'!$A$40:$A$42,0))*INDEX('Model Inputs &amp; Assumptions'!$H$40:$H$42,MATCH('Model Inputs &amp; Assumptions'!$L$35,'Model Inputs &amp; Assumptions'!$A$40:$A$42,0))</f>
        <v>11647.1006444256</v>
      </c>
      <c r="L3712" s="51" t="n">
        <f aca="false">IFERROR(K3712/I3712,0)</f>
        <v>1.34294583576534</v>
      </c>
      <c r="M3712" s="49" t="n">
        <f aca="false">IFERROR(I3712/H3712,0)</f>
        <v>142.410806829754</v>
      </c>
      <c r="N3712" s="52" t="str">
        <f aca="false">'Model Inputs &amp; Assumptions'!$L$35</f>
        <v>PRD-EUAI</v>
      </c>
      <c r="P3712" s="53" t="n">
        <v>1.753291</v>
      </c>
      <c r="Q3712" s="53" t="n">
        <v>1.087291</v>
      </c>
      <c r="R3712" s="53" t="n">
        <v>-0.581863</v>
      </c>
      <c r="S3712" s="53" t="n">
        <v>1.123203</v>
      </c>
    </row>
    <row r="3713" customFormat="false" ht="15" hidden="false" customHeight="false" outlineLevel="0" collapsed="false">
      <c r="A3713" s="43" t="n">
        <v>210</v>
      </c>
      <c r="B3713" s="44" t="str">
        <f aca="false">'Model Inputs &amp; Assumptions'!$B$35</f>
        <v>justETF — Sponsored Listing</v>
      </c>
      <c r="C3713" s="45" t="n">
        <f aca="false">ROUND(MAX(0,'Model Inputs &amp; Assumptions'!$S$35*EXP('Model Inputs &amp; Assumptions'!$T$35*P3713-'Model Inputs &amp; Assumptions'!$T$35^2/2)),0)</f>
        <v>84086</v>
      </c>
      <c r="D3713" s="46" t="n">
        <f aca="false">MIN(1,'Model Inputs &amp; Assumptions'!$U$35*EXP('Model Inputs &amp; Assumptions'!$V$35*Q3713-'Model Inputs &amp; Assumptions'!$V$35^2/2))</f>
        <v>0</v>
      </c>
      <c r="E3713" s="45" t="n">
        <f aca="false">ROUND(C3713*D3713,0)</f>
        <v>0</v>
      </c>
      <c r="F3713" s="47" t="n">
        <f aca="false">MIN(1,'Model Inputs &amp; Assumptions'!$W$35*EXP('Model Inputs &amp; Assumptions'!$X$35*R3713-'Model Inputs &amp; Assumptions'!$X$35^2/2))</f>
        <v>0.00766895933611109</v>
      </c>
      <c r="G3713" s="45" t="n">
        <f aca="false">ROUND(C3713*F3713,0)</f>
        <v>645</v>
      </c>
      <c r="H3713" s="48" t="n">
        <f aca="false">MAX(0,(C3713*'Model Inputs &amp; Assumptions'!$N$35+E3713*'Model Inputs &amp; Assumptions'!$O$35+G3713*'Model Inputs &amp; Assumptions'!$P$35)*EXP('Model Inputs &amp; Assumptions'!$Q$35*S3713-'Model Inputs &amp; Assumptions'!$Q$35^2/2))</f>
        <v>50.9550616343053</v>
      </c>
      <c r="I3713" s="49" t="n">
        <f aca="false">IF('Model Inputs &amp; Assumptions'!$H$35="Fixed",'Model Inputs &amp; Assumptions'!$I$35*'Model Inputs &amp; Assumptions'!$K$35,IF('Model Inputs &amp; Assumptions'!$H$35="CPM",'Model Inputs &amp; Assumptions'!$I$35*'Model Inputs &amp; Assumptions'!$K$35*C3713/1000,IF('Model Inputs &amp; Assumptions'!$H$35="CPC",'Model Inputs &amp; Assumptions'!$I$35*'Model Inputs &amp; Assumptions'!$K$35*G3713,0)))</f>
        <v>8672.8</v>
      </c>
      <c r="J3713" s="50" t="n">
        <f aca="false">H3713*INDEX('Model Inputs &amp; Assumptions'!$D$40:$D$42,MATCH('Model Inputs &amp; Assumptions'!$L$35,'Model Inputs &amp; Assumptions'!$A$40:$A$42,0))*INDEX('Model Inputs &amp; Assumptions'!$H$40:$H$42,MATCH('Model Inputs &amp; Assumptions'!$L$35,'Model Inputs &amp; Assumptions'!$A$40:$A$42,0))</f>
        <v>433118.023891595</v>
      </c>
      <c r="K3713" s="49" t="n">
        <f aca="false">H3713*INDEX('Model Inputs &amp; Assumptions'!$G$40:$G$42,MATCH('Model Inputs &amp; Assumptions'!$L$35,'Model Inputs &amp; Assumptions'!$A$40:$A$42,0))*INDEX('Model Inputs &amp; Assumptions'!$H$40:$H$42,MATCH('Model Inputs &amp; Assumptions'!$L$35,'Model Inputs &amp; Assumptions'!$A$40:$A$42,0))</f>
        <v>9745.15553756089</v>
      </c>
      <c r="L3713" s="51" t="n">
        <f aca="false">IFERROR(K3713/I3713,0)</f>
        <v>1.12364582805563</v>
      </c>
      <c r="M3713" s="49" t="n">
        <f aca="false">IFERROR(I3713/H3713,0)</f>
        <v>170.204877039361</v>
      </c>
      <c r="N3713" s="52" t="str">
        <f aca="false">'Model Inputs &amp; Assumptions'!$L$35</f>
        <v>PRD-EUAI</v>
      </c>
      <c r="P3713" s="53" t="n">
        <v>-0.333535</v>
      </c>
      <c r="Q3713" s="53" t="n">
        <v>-0.302164</v>
      </c>
      <c r="R3713" s="53" t="n">
        <v>0.775367</v>
      </c>
      <c r="S3713" s="53" t="n">
        <v>0.595207</v>
      </c>
    </row>
    <row r="3714" customFormat="false" ht="15" hidden="false" customHeight="false" outlineLevel="0" collapsed="false">
      <c r="A3714" s="43" t="n">
        <v>211</v>
      </c>
      <c r="B3714" s="44" t="str">
        <f aca="false">'Model Inputs &amp; Assumptions'!$B$35</f>
        <v>justETF — Sponsored Listing</v>
      </c>
      <c r="C3714" s="45" t="n">
        <f aca="false">ROUND(MAX(0,'Model Inputs &amp; Assumptions'!$S$35*EXP('Model Inputs &amp; Assumptions'!$T$35*P3714-'Model Inputs &amp; Assumptions'!$T$35^2/2)),0)</f>
        <v>99042</v>
      </c>
      <c r="D3714" s="46" t="n">
        <f aca="false">MIN(1,'Model Inputs &amp; Assumptions'!$U$35*EXP('Model Inputs &amp; Assumptions'!$V$35*Q3714-'Model Inputs &amp; Assumptions'!$V$35^2/2))</f>
        <v>0</v>
      </c>
      <c r="E3714" s="45" t="n">
        <f aca="false">ROUND(C3714*D3714,0)</f>
        <v>0</v>
      </c>
      <c r="F3714" s="47" t="n">
        <f aca="false">MIN(1,'Model Inputs &amp; Assumptions'!$W$35*EXP('Model Inputs &amp; Assumptions'!$X$35*R3714-'Model Inputs &amp; Assumptions'!$X$35^2/2))</f>
        <v>0.00871996414758471</v>
      </c>
      <c r="G3714" s="45" t="n">
        <f aca="false">ROUND(C3714*F3714,0)</f>
        <v>864</v>
      </c>
      <c r="H3714" s="48" t="n">
        <f aca="false">MAX(0,(C3714*'Model Inputs &amp; Assumptions'!$N$35+E3714*'Model Inputs &amp; Assumptions'!$O$35+G3714*'Model Inputs &amp; Assumptions'!$P$35)*EXP('Model Inputs &amp; Assumptions'!$Q$35*S3714-'Model Inputs &amp; Assumptions'!$Q$35^2/2))</f>
        <v>64.7353831262115</v>
      </c>
      <c r="I3714" s="49" t="n">
        <f aca="false">IF('Model Inputs &amp; Assumptions'!$H$35="Fixed",'Model Inputs &amp; Assumptions'!$I$35*'Model Inputs &amp; Assumptions'!$K$35,IF('Model Inputs &amp; Assumptions'!$H$35="CPM",'Model Inputs &amp; Assumptions'!$I$35*'Model Inputs &amp; Assumptions'!$K$35*C3714/1000,IF('Model Inputs &amp; Assumptions'!$H$35="CPC",'Model Inputs &amp; Assumptions'!$I$35*'Model Inputs &amp; Assumptions'!$K$35*G3714,0)))</f>
        <v>8672.8</v>
      </c>
      <c r="J3714" s="50" t="n">
        <f aca="false">H3714*INDEX('Model Inputs &amp; Assumptions'!$D$40:$D$42,MATCH('Model Inputs &amp; Assumptions'!$L$35,'Model Inputs &amp; Assumptions'!$A$40:$A$42,0))*INDEX('Model Inputs &amp; Assumptions'!$H$40:$H$42,MATCH('Model Inputs &amp; Assumptions'!$L$35,'Model Inputs &amp; Assumptions'!$A$40:$A$42,0))</f>
        <v>550250.756572798</v>
      </c>
      <c r="K3714" s="49" t="n">
        <f aca="false">H3714*INDEX('Model Inputs &amp; Assumptions'!$G$40:$G$42,MATCH('Model Inputs &amp; Assumptions'!$L$35,'Model Inputs &amp; Assumptions'!$A$40:$A$42,0))*INDEX('Model Inputs &amp; Assumptions'!$H$40:$H$42,MATCH('Model Inputs &amp; Assumptions'!$L$35,'Model Inputs &amp; Assumptions'!$A$40:$A$42,0))</f>
        <v>12380.642022888</v>
      </c>
      <c r="L3714" s="51" t="n">
        <f aca="false">IFERROR(K3714/I3714,0)</f>
        <v>1.42752536930264</v>
      </c>
      <c r="M3714" s="49" t="n">
        <f aca="false">IFERROR(I3714/H3714,0)</f>
        <v>133.973100662601</v>
      </c>
      <c r="N3714" s="52" t="str">
        <f aca="false">'Model Inputs &amp; Assumptions'!$L$35</f>
        <v>PRD-EUAI</v>
      </c>
      <c r="P3714" s="53" t="n">
        <v>0.757802</v>
      </c>
      <c r="Q3714" s="53" t="n">
        <v>-1.294922</v>
      </c>
      <c r="R3714" s="53" t="n">
        <v>1.417538</v>
      </c>
      <c r="S3714" s="53" t="n">
        <v>0.39152</v>
      </c>
    </row>
    <row r="3715" customFormat="false" ht="15" hidden="false" customHeight="false" outlineLevel="0" collapsed="false">
      <c r="A3715" s="43" t="n">
        <v>212</v>
      </c>
      <c r="B3715" s="44" t="str">
        <f aca="false">'Model Inputs &amp; Assumptions'!$B$35</f>
        <v>justETF — Sponsored Listing</v>
      </c>
      <c r="C3715" s="45" t="n">
        <f aca="false">ROUND(MAX(0,'Model Inputs &amp; Assumptions'!$S$35*EXP('Model Inputs &amp; Assumptions'!$T$35*P3715-'Model Inputs &amp; Assumptions'!$T$35^2/2)),0)</f>
        <v>82608</v>
      </c>
      <c r="D3715" s="46" t="n">
        <f aca="false">MIN(1,'Model Inputs &amp; Assumptions'!$U$35*EXP('Model Inputs &amp; Assumptions'!$V$35*Q3715-'Model Inputs &amp; Assumptions'!$V$35^2/2))</f>
        <v>0</v>
      </c>
      <c r="E3715" s="45" t="n">
        <f aca="false">ROUND(C3715*D3715,0)</f>
        <v>0</v>
      </c>
      <c r="F3715" s="47" t="n">
        <f aca="false">MIN(1,'Model Inputs &amp; Assumptions'!$W$35*EXP('Model Inputs &amp; Assumptions'!$X$35*R3715-'Model Inputs &amp; Assumptions'!$X$35^2/2))</f>
        <v>0.00653971591463814</v>
      </c>
      <c r="G3715" s="45" t="n">
        <f aca="false">ROUND(C3715*F3715,0)</f>
        <v>540</v>
      </c>
      <c r="H3715" s="48" t="n">
        <f aca="false">MAX(0,(C3715*'Model Inputs &amp; Assumptions'!$N$35+E3715*'Model Inputs &amp; Assumptions'!$O$35+G3715*'Model Inputs &amp; Assumptions'!$P$35)*EXP('Model Inputs &amp; Assumptions'!$Q$35*S3715-'Model Inputs &amp; Assumptions'!$Q$35^2/2))</f>
        <v>38.0900107465248</v>
      </c>
      <c r="I3715" s="49" t="n">
        <f aca="false">IF('Model Inputs &amp; Assumptions'!$H$35="Fixed",'Model Inputs &amp; Assumptions'!$I$35*'Model Inputs &amp; Assumptions'!$K$35,IF('Model Inputs &amp; Assumptions'!$H$35="CPM",'Model Inputs &amp; Assumptions'!$I$35*'Model Inputs &amp; Assumptions'!$K$35*C3715/1000,IF('Model Inputs &amp; Assumptions'!$H$35="CPC",'Model Inputs &amp; Assumptions'!$I$35*'Model Inputs &amp; Assumptions'!$K$35*G3715,0)))</f>
        <v>8672.8</v>
      </c>
      <c r="J3715" s="50" t="n">
        <f aca="false">H3715*INDEX('Model Inputs &amp; Assumptions'!$D$40:$D$42,MATCH('Model Inputs &amp; Assumptions'!$L$35,'Model Inputs &amp; Assumptions'!$A$40:$A$42,0))*INDEX('Model Inputs &amp; Assumptions'!$H$40:$H$42,MATCH('Model Inputs &amp; Assumptions'!$L$35,'Model Inputs &amp; Assumptions'!$A$40:$A$42,0))</f>
        <v>323765.091345461</v>
      </c>
      <c r="K3715" s="49" t="n">
        <f aca="false">H3715*INDEX('Model Inputs &amp; Assumptions'!$G$40:$G$42,MATCH('Model Inputs &amp; Assumptions'!$L$35,'Model Inputs &amp; Assumptions'!$A$40:$A$42,0))*INDEX('Model Inputs &amp; Assumptions'!$H$40:$H$42,MATCH('Model Inputs &amp; Assumptions'!$L$35,'Model Inputs &amp; Assumptions'!$A$40:$A$42,0))</f>
        <v>7284.71455527287</v>
      </c>
      <c r="L3715" s="51" t="n">
        <f aca="false">IFERROR(K3715/I3715,0)</f>
        <v>0.839949561303485</v>
      </c>
      <c r="M3715" s="49" t="n">
        <f aca="false">IFERROR(I3715/H3715,0)</f>
        <v>227.692243452341</v>
      </c>
      <c r="N3715" s="52" t="str">
        <f aca="false">'Model Inputs &amp; Assumptions'!$L$35</f>
        <v>PRD-EUAI</v>
      </c>
      <c r="P3715" s="53" t="n">
        <v>-0.451734</v>
      </c>
      <c r="Q3715" s="53" t="n">
        <v>-1.851458</v>
      </c>
      <c r="R3715" s="53" t="n">
        <v>-0.021069</v>
      </c>
      <c r="S3715" s="53" t="n">
        <v>0.159396</v>
      </c>
    </row>
    <row r="3716" customFormat="false" ht="15" hidden="false" customHeight="false" outlineLevel="0" collapsed="false">
      <c r="A3716" s="43" t="n">
        <v>213</v>
      </c>
      <c r="B3716" s="44" t="str">
        <f aca="false">'Model Inputs &amp; Assumptions'!$B$35</f>
        <v>justETF — Sponsored Listing</v>
      </c>
      <c r="C3716" s="45" t="n">
        <f aca="false">ROUND(MAX(0,'Model Inputs &amp; Assumptions'!$S$35*EXP('Model Inputs &amp; Assumptions'!$T$35*P3716-'Model Inputs &amp; Assumptions'!$T$35^2/2)),0)</f>
        <v>81053</v>
      </c>
      <c r="D3716" s="46" t="n">
        <f aca="false">MIN(1,'Model Inputs &amp; Assumptions'!$U$35*EXP('Model Inputs &amp; Assumptions'!$V$35*Q3716-'Model Inputs &amp; Assumptions'!$V$35^2/2))</f>
        <v>0</v>
      </c>
      <c r="E3716" s="45" t="n">
        <f aca="false">ROUND(C3716*D3716,0)</f>
        <v>0</v>
      </c>
      <c r="F3716" s="47" t="n">
        <f aca="false">MIN(1,'Model Inputs &amp; Assumptions'!$W$35*EXP('Model Inputs &amp; Assumptions'!$X$35*R3716-'Model Inputs &amp; Assumptions'!$X$35^2/2))</f>
        <v>0.00652831667270346</v>
      </c>
      <c r="G3716" s="45" t="n">
        <f aca="false">ROUND(C3716*F3716,0)</f>
        <v>529</v>
      </c>
      <c r="H3716" s="48" t="n">
        <f aca="false">MAX(0,(C3716*'Model Inputs &amp; Assumptions'!$N$35+E3716*'Model Inputs &amp; Assumptions'!$O$35+G3716*'Model Inputs &amp; Assumptions'!$P$35)*EXP('Model Inputs &amp; Assumptions'!$Q$35*S3716-'Model Inputs &amp; Assumptions'!$Q$35^2/2))</f>
        <v>33.4412161248627</v>
      </c>
      <c r="I3716" s="49" t="n">
        <f aca="false">IF('Model Inputs &amp; Assumptions'!$H$35="Fixed",'Model Inputs &amp; Assumptions'!$I$35*'Model Inputs &amp; Assumptions'!$K$35,IF('Model Inputs &amp; Assumptions'!$H$35="CPM",'Model Inputs &amp; Assumptions'!$I$35*'Model Inputs &amp; Assumptions'!$K$35*C3716/1000,IF('Model Inputs &amp; Assumptions'!$H$35="CPC",'Model Inputs &amp; Assumptions'!$I$35*'Model Inputs &amp; Assumptions'!$K$35*G3716,0)))</f>
        <v>8672.8</v>
      </c>
      <c r="J3716" s="50" t="n">
        <f aca="false">H3716*INDEX('Model Inputs &amp; Assumptions'!$D$40:$D$42,MATCH('Model Inputs &amp; Assumptions'!$L$35,'Model Inputs &amp; Assumptions'!$A$40:$A$42,0))*INDEX('Model Inputs &amp; Assumptions'!$H$40:$H$42,MATCH('Model Inputs &amp; Assumptions'!$L$35,'Model Inputs &amp; Assumptions'!$A$40:$A$42,0))</f>
        <v>284250.337061333</v>
      </c>
      <c r="K3716" s="49" t="n">
        <f aca="false">H3716*INDEX('Model Inputs &amp; Assumptions'!$G$40:$G$42,MATCH('Model Inputs &amp; Assumptions'!$L$35,'Model Inputs &amp; Assumptions'!$A$40:$A$42,0))*INDEX('Model Inputs &amp; Assumptions'!$H$40:$H$42,MATCH('Model Inputs &amp; Assumptions'!$L$35,'Model Inputs &amp; Assumptions'!$A$40:$A$42,0))</f>
        <v>6395.63258388</v>
      </c>
      <c r="L3716" s="51" t="n">
        <f aca="false">IFERROR(K3716/I3716,0)</f>
        <v>0.737435728240015</v>
      </c>
      <c r="M3716" s="49" t="n">
        <f aca="false">IFERROR(I3716/H3716,0)</f>
        <v>259.344635303259</v>
      </c>
      <c r="N3716" s="52" t="str">
        <f aca="false">'Model Inputs &amp; Assumptions'!$L$35</f>
        <v>PRD-EUAI</v>
      </c>
      <c r="P3716" s="53" t="n">
        <v>-0.578427</v>
      </c>
      <c r="Q3716" s="53" t="n">
        <v>1.417007</v>
      </c>
      <c r="R3716" s="53" t="n">
        <v>-0.029792</v>
      </c>
      <c r="S3716" s="53" t="n">
        <v>-0.262074</v>
      </c>
    </row>
    <row r="3717" customFormat="false" ht="15" hidden="false" customHeight="false" outlineLevel="0" collapsed="false">
      <c r="A3717" s="43" t="n">
        <v>214</v>
      </c>
      <c r="B3717" s="44" t="str">
        <f aca="false">'Model Inputs &amp; Assumptions'!$B$35</f>
        <v>justETF — Sponsored Listing</v>
      </c>
      <c r="C3717" s="45" t="n">
        <f aca="false">ROUND(MAX(0,'Model Inputs &amp; Assumptions'!$S$35*EXP('Model Inputs &amp; Assumptions'!$T$35*P3717-'Model Inputs &amp; Assumptions'!$T$35^2/2)),0)</f>
        <v>66728</v>
      </c>
      <c r="D3717" s="46" t="n">
        <f aca="false">MIN(1,'Model Inputs &amp; Assumptions'!$U$35*EXP('Model Inputs &amp; Assumptions'!$V$35*Q3717-'Model Inputs &amp; Assumptions'!$V$35^2/2))</f>
        <v>0</v>
      </c>
      <c r="E3717" s="45" t="n">
        <f aca="false">ROUND(C3717*D3717,0)</f>
        <v>0</v>
      </c>
      <c r="F3717" s="47" t="n">
        <f aca="false">MIN(1,'Model Inputs &amp; Assumptions'!$W$35*EXP('Model Inputs &amp; Assumptions'!$X$35*R3717-'Model Inputs &amp; Assumptions'!$X$35^2/2))</f>
        <v>0.00595932801999034</v>
      </c>
      <c r="G3717" s="45" t="n">
        <f aca="false">ROUND(C3717*F3717,0)</f>
        <v>398</v>
      </c>
      <c r="H3717" s="48" t="n">
        <f aca="false">MAX(0,(C3717*'Model Inputs &amp; Assumptions'!$N$35+E3717*'Model Inputs &amp; Assumptions'!$O$35+G3717*'Model Inputs &amp; Assumptions'!$P$35)*EXP('Model Inputs &amp; Assumptions'!$Q$35*S3717-'Model Inputs &amp; Assumptions'!$Q$35^2/2))</f>
        <v>36.827564066821</v>
      </c>
      <c r="I3717" s="49" t="n">
        <f aca="false">IF('Model Inputs &amp; Assumptions'!$H$35="Fixed",'Model Inputs &amp; Assumptions'!$I$35*'Model Inputs &amp; Assumptions'!$K$35,IF('Model Inputs &amp; Assumptions'!$H$35="CPM",'Model Inputs &amp; Assumptions'!$I$35*'Model Inputs &amp; Assumptions'!$K$35*C3717/1000,IF('Model Inputs &amp; Assumptions'!$H$35="CPC",'Model Inputs &amp; Assumptions'!$I$35*'Model Inputs &amp; Assumptions'!$K$35*G3717,0)))</f>
        <v>8672.8</v>
      </c>
      <c r="J3717" s="50" t="n">
        <f aca="false">H3717*INDEX('Model Inputs &amp; Assumptions'!$D$40:$D$42,MATCH('Model Inputs &amp; Assumptions'!$L$35,'Model Inputs &amp; Assumptions'!$A$40:$A$42,0))*INDEX('Model Inputs &amp; Assumptions'!$H$40:$H$42,MATCH('Model Inputs &amp; Assumptions'!$L$35,'Model Inputs &amp; Assumptions'!$A$40:$A$42,0))</f>
        <v>313034.294567979</v>
      </c>
      <c r="K3717" s="49" t="n">
        <f aca="false">H3717*INDEX('Model Inputs &amp; Assumptions'!$G$40:$G$42,MATCH('Model Inputs &amp; Assumptions'!$L$35,'Model Inputs &amp; Assumptions'!$A$40:$A$42,0))*INDEX('Model Inputs &amp; Assumptions'!$H$40:$H$42,MATCH('Model Inputs &amp; Assumptions'!$L$35,'Model Inputs &amp; Assumptions'!$A$40:$A$42,0))</f>
        <v>7043.27162777952</v>
      </c>
      <c r="L3717" s="51" t="n">
        <f aca="false">IFERROR(K3717/I3717,0)</f>
        <v>0.812110463492704</v>
      </c>
      <c r="M3717" s="49" t="n">
        <f aca="false">IFERROR(I3717/H3717,0)</f>
        <v>235.497519853982</v>
      </c>
      <c r="N3717" s="52" t="str">
        <f aca="false">'Model Inputs &amp; Assumptions'!$L$35</f>
        <v>PRD-EUAI</v>
      </c>
      <c r="P3717" s="53" t="n">
        <v>-1.875023</v>
      </c>
      <c r="Q3717" s="53" t="n">
        <v>-0.437832</v>
      </c>
      <c r="R3717" s="53" t="n">
        <v>-0.485749</v>
      </c>
      <c r="S3717" s="53" t="n">
        <v>1.203287</v>
      </c>
    </row>
    <row r="3718" customFormat="false" ht="15" hidden="false" customHeight="false" outlineLevel="0" collapsed="false">
      <c r="A3718" s="43" t="n">
        <v>215</v>
      </c>
      <c r="B3718" s="44" t="str">
        <f aca="false">'Model Inputs &amp; Assumptions'!$B$35</f>
        <v>justETF — Sponsored Listing</v>
      </c>
      <c r="C3718" s="45" t="n">
        <f aca="false">ROUND(MAX(0,'Model Inputs &amp; Assumptions'!$S$35*EXP('Model Inputs &amp; Assumptions'!$T$35*P3718-'Model Inputs &amp; Assumptions'!$T$35^2/2)),0)</f>
        <v>96522</v>
      </c>
      <c r="D3718" s="46" t="n">
        <f aca="false">MIN(1,'Model Inputs &amp; Assumptions'!$U$35*EXP('Model Inputs &amp; Assumptions'!$V$35*Q3718-'Model Inputs &amp; Assumptions'!$V$35^2/2))</f>
        <v>0</v>
      </c>
      <c r="E3718" s="45" t="n">
        <f aca="false">ROUND(C3718*D3718,0)</f>
        <v>0</v>
      </c>
      <c r="F3718" s="47" t="n">
        <f aca="false">MIN(1,'Model Inputs &amp; Assumptions'!$W$35*EXP('Model Inputs &amp; Assumptions'!$X$35*R3718-'Model Inputs &amp; Assumptions'!$X$35^2/2))</f>
        <v>0.00658297339098308</v>
      </c>
      <c r="G3718" s="45" t="n">
        <f aca="false">ROUND(C3718*F3718,0)</f>
        <v>635</v>
      </c>
      <c r="H3718" s="48" t="n">
        <f aca="false">MAX(0,(C3718*'Model Inputs &amp; Assumptions'!$N$35+E3718*'Model Inputs &amp; Assumptions'!$O$35+G3718*'Model Inputs &amp; Assumptions'!$P$35)*EXP('Model Inputs &amp; Assumptions'!$Q$35*S3718-'Model Inputs &amp; Assumptions'!$Q$35^2/2))</f>
        <v>57.6427120735622</v>
      </c>
      <c r="I3718" s="49" t="n">
        <f aca="false">IF('Model Inputs &amp; Assumptions'!$H$35="Fixed",'Model Inputs &amp; Assumptions'!$I$35*'Model Inputs &amp; Assumptions'!$K$35,IF('Model Inputs &amp; Assumptions'!$H$35="CPM",'Model Inputs &amp; Assumptions'!$I$35*'Model Inputs &amp; Assumptions'!$K$35*C3718/1000,IF('Model Inputs &amp; Assumptions'!$H$35="CPC",'Model Inputs &amp; Assumptions'!$I$35*'Model Inputs &amp; Assumptions'!$K$35*G3718,0)))</f>
        <v>8672.8</v>
      </c>
      <c r="J3718" s="50" t="n">
        <f aca="false">H3718*INDEX('Model Inputs &amp; Assumptions'!$D$40:$D$42,MATCH('Model Inputs &amp; Assumptions'!$L$35,'Model Inputs &amp; Assumptions'!$A$40:$A$42,0))*INDEX('Model Inputs &amp; Assumptions'!$H$40:$H$42,MATCH('Model Inputs &amp; Assumptions'!$L$35,'Model Inputs &amp; Assumptions'!$A$40:$A$42,0))</f>
        <v>489963.052625279</v>
      </c>
      <c r="K3718" s="49" t="n">
        <f aca="false">H3718*INDEX('Model Inputs &amp; Assumptions'!$G$40:$G$42,MATCH('Model Inputs &amp; Assumptions'!$L$35,'Model Inputs &amp; Assumptions'!$A$40:$A$42,0))*INDEX('Model Inputs &amp; Assumptions'!$H$40:$H$42,MATCH('Model Inputs &amp; Assumptions'!$L$35,'Model Inputs &amp; Assumptions'!$A$40:$A$42,0))</f>
        <v>11024.1686840688</v>
      </c>
      <c r="L3718" s="51" t="n">
        <f aca="false">IFERROR(K3718/I3718,0)</f>
        <v>1.27111990176976</v>
      </c>
      <c r="M3718" s="49" t="n">
        <f aca="false">IFERROR(I3718/H3718,0)</f>
        <v>150.45787555818</v>
      </c>
      <c r="N3718" s="52" t="str">
        <f aca="false">'Model Inputs &amp; Assumptions'!$L$35</f>
        <v>PRD-EUAI</v>
      </c>
      <c r="P3718" s="53" t="n">
        <v>0.585968</v>
      </c>
      <c r="Q3718" s="53" t="n">
        <v>-0.341195</v>
      </c>
      <c r="R3718" s="53" t="n">
        <v>0.011895</v>
      </c>
      <c r="S3718" s="53" t="n">
        <v>1.129611</v>
      </c>
    </row>
    <row r="3719" customFormat="false" ht="15" hidden="false" customHeight="false" outlineLevel="0" collapsed="false">
      <c r="A3719" s="43" t="n">
        <v>216</v>
      </c>
      <c r="B3719" s="44" t="str">
        <f aca="false">'Model Inputs &amp; Assumptions'!$B$35</f>
        <v>justETF — Sponsored Listing</v>
      </c>
      <c r="C3719" s="45" t="n">
        <f aca="false">ROUND(MAX(0,'Model Inputs &amp; Assumptions'!$S$35*EXP('Model Inputs &amp; Assumptions'!$T$35*P3719-'Model Inputs &amp; Assumptions'!$T$35^2/2)),0)</f>
        <v>105892</v>
      </c>
      <c r="D3719" s="46" t="n">
        <f aca="false">MIN(1,'Model Inputs &amp; Assumptions'!$U$35*EXP('Model Inputs &amp; Assumptions'!$V$35*Q3719-'Model Inputs &amp; Assumptions'!$V$35^2/2))</f>
        <v>0</v>
      </c>
      <c r="E3719" s="45" t="n">
        <f aca="false">ROUND(C3719*D3719,0)</f>
        <v>0</v>
      </c>
      <c r="F3719" s="47" t="n">
        <f aca="false">MIN(1,'Model Inputs &amp; Assumptions'!$W$35*EXP('Model Inputs &amp; Assumptions'!$X$35*R3719-'Model Inputs &amp; Assumptions'!$X$35^2/2))</f>
        <v>0.00501393244513244</v>
      </c>
      <c r="G3719" s="45" t="n">
        <f aca="false">ROUND(C3719*F3719,0)</f>
        <v>531</v>
      </c>
      <c r="H3719" s="48" t="n">
        <f aca="false">MAX(0,(C3719*'Model Inputs &amp; Assumptions'!$N$35+E3719*'Model Inputs &amp; Assumptions'!$O$35+G3719*'Model Inputs &amp; Assumptions'!$P$35)*EXP('Model Inputs &amp; Assumptions'!$Q$35*S3719-'Model Inputs &amp; Assumptions'!$Q$35^2/2))</f>
        <v>37.5803581512766</v>
      </c>
      <c r="I3719" s="49" t="n">
        <f aca="false">IF('Model Inputs &amp; Assumptions'!$H$35="Fixed",'Model Inputs &amp; Assumptions'!$I$35*'Model Inputs &amp; Assumptions'!$K$35,IF('Model Inputs &amp; Assumptions'!$H$35="CPM",'Model Inputs &amp; Assumptions'!$I$35*'Model Inputs &amp; Assumptions'!$K$35*C3719/1000,IF('Model Inputs &amp; Assumptions'!$H$35="CPC",'Model Inputs &amp; Assumptions'!$I$35*'Model Inputs &amp; Assumptions'!$K$35*G3719,0)))</f>
        <v>8672.8</v>
      </c>
      <c r="J3719" s="50" t="n">
        <f aca="false">H3719*INDEX('Model Inputs &amp; Assumptions'!$D$40:$D$42,MATCH('Model Inputs &amp; Assumptions'!$L$35,'Model Inputs &amp; Assumptions'!$A$40:$A$42,0))*INDEX('Model Inputs &amp; Assumptions'!$H$40:$H$42,MATCH('Model Inputs &amp; Assumptions'!$L$35,'Model Inputs &amp; Assumptions'!$A$40:$A$42,0))</f>
        <v>319433.044285851</v>
      </c>
      <c r="K3719" s="49" t="n">
        <f aca="false">H3719*INDEX('Model Inputs &amp; Assumptions'!$G$40:$G$42,MATCH('Model Inputs &amp; Assumptions'!$L$35,'Model Inputs &amp; Assumptions'!$A$40:$A$42,0))*INDEX('Model Inputs &amp; Assumptions'!$H$40:$H$42,MATCH('Model Inputs &amp; Assumptions'!$L$35,'Model Inputs &amp; Assumptions'!$A$40:$A$42,0))</f>
        <v>7187.24349643165</v>
      </c>
      <c r="L3719" s="51" t="n">
        <f aca="false">IFERROR(K3719/I3719,0)</f>
        <v>0.828710854214516</v>
      </c>
      <c r="M3719" s="49" t="n">
        <f aca="false">IFERROR(I3719/H3719,0)</f>
        <v>230.780131607271</v>
      </c>
      <c r="N3719" s="52" t="str">
        <f aca="false">'Model Inputs &amp; Assumptions'!$L$35</f>
        <v>PRD-EUAI</v>
      </c>
      <c r="P3719" s="53" t="n">
        <v>1.203643</v>
      </c>
      <c r="Q3719" s="53" t="n">
        <v>-0.532721</v>
      </c>
      <c r="R3719" s="53" t="n">
        <v>-1.349435</v>
      </c>
      <c r="S3719" s="53" t="n">
        <v>0.172229</v>
      </c>
    </row>
    <row r="3720" customFormat="false" ht="15" hidden="false" customHeight="false" outlineLevel="0" collapsed="false">
      <c r="A3720" s="43" t="n">
        <v>217</v>
      </c>
      <c r="B3720" s="44" t="str">
        <f aca="false">'Model Inputs &amp; Assumptions'!$B$35</f>
        <v>justETF — Sponsored Listing</v>
      </c>
      <c r="C3720" s="45" t="n">
        <f aca="false">ROUND(MAX(0,'Model Inputs &amp; Assumptions'!$S$35*EXP('Model Inputs &amp; Assumptions'!$T$35*P3720-'Model Inputs &amp; Assumptions'!$T$35^2/2)),0)</f>
        <v>84827</v>
      </c>
      <c r="D3720" s="46" t="n">
        <f aca="false">MIN(1,'Model Inputs &amp; Assumptions'!$U$35*EXP('Model Inputs &amp; Assumptions'!$V$35*Q3720-'Model Inputs &amp; Assumptions'!$V$35^2/2))</f>
        <v>0</v>
      </c>
      <c r="E3720" s="45" t="n">
        <f aca="false">ROUND(C3720*D3720,0)</f>
        <v>0</v>
      </c>
      <c r="F3720" s="47" t="n">
        <f aca="false">MIN(1,'Model Inputs &amp; Assumptions'!$W$35*EXP('Model Inputs &amp; Assumptions'!$X$35*R3720-'Model Inputs &amp; Assumptions'!$X$35^2/2))</f>
        <v>0.00503748488311043</v>
      </c>
      <c r="G3720" s="45" t="n">
        <f aca="false">ROUND(C3720*F3720,0)</f>
        <v>427</v>
      </c>
      <c r="H3720" s="48" t="n">
        <f aca="false">MAX(0,(C3720*'Model Inputs &amp; Assumptions'!$N$35+E3720*'Model Inputs &amp; Assumptions'!$O$35+G3720*'Model Inputs &amp; Assumptions'!$P$35)*EXP('Model Inputs &amp; Assumptions'!$Q$35*S3720-'Model Inputs &amp; Assumptions'!$Q$35^2/2))</f>
        <v>19.8013788921996</v>
      </c>
      <c r="I3720" s="49" t="n">
        <f aca="false">IF('Model Inputs &amp; Assumptions'!$H$35="Fixed",'Model Inputs &amp; Assumptions'!$I$35*'Model Inputs &amp; Assumptions'!$K$35,IF('Model Inputs &amp; Assumptions'!$H$35="CPM",'Model Inputs &amp; Assumptions'!$I$35*'Model Inputs &amp; Assumptions'!$K$35*C3720/1000,IF('Model Inputs &amp; Assumptions'!$H$35="CPC",'Model Inputs &amp; Assumptions'!$I$35*'Model Inputs &amp; Assumptions'!$K$35*G3720,0)))</f>
        <v>8672.8</v>
      </c>
      <c r="J3720" s="50" t="n">
        <f aca="false">H3720*INDEX('Model Inputs &amp; Assumptions'!$D$40:$D$42,MATCH('Model Inputs &amp; Assumptions'!$L$35,'Model Inputs &amp; Assumptions'!$A$40:$A$42,0))*INDEX('Model Inputs &amp; Assumptions'!$H$40:$H$42,MATCH('Model Inputs &amp; Assumptions'!$L$35,'Model Inputs &amp; Assumptions'!$A$40:$A$42,0))</f>
        <v>168311.720583696</v>
      </c>
      <c r="K3720" s="49" t="n">
        <f aca="false">H3720*INDEX('Model Inputs &amp; Assumptions'!$G$40:$G$42,MATCH('Model Inputs &amp; Assumptions'!$L$35,'Model Inputs &amp; Assumptions'!$A$40:$A$42,0))*INDEX('Model Inputs &amp; Assumptions'!$H$40:$H$42,MATCH('Model Inputs &amp; Assumptions'!$L$35,'Model Inputs &amp; Assumptions'!$A$40:$A$42,0))</f>
        <v>3787.01371313317</v>
      </c>
      <c r="L3720" s="51" t="n">
        <f aca="false">IFERROR(K3720/I3720,0)</f>
        <v>0.436654103995615</v>
      </c>
      <c r="M3720" s="49" t="n">
        <f aca="false">IFERROR(I3720/H3720,0)</f>
        <v>437.989699970668</v>
      </c>
      <c r="N3720" s="52" t="str">
        <f aca="false">'Model Inputs &amp; Assumptions'!$L$35</f>
        <v>PRD-EUAI</v>
      </c>
      <c r="P3720" s="53" t="n">
        <v>-0.275081</v>
      </c>
      <c r="Q3720" s="53" t="n">
        <v>-0.458798</v>
      </c>
      <c r="R3720" s="53" t="n">
        <v>-1.326003</v>
      </c>
      <c r="S3720" s="53" t="n">
        <v>-1.45374</v>
      </c>
    </row>
    <row r="3721" customFormat="false" ht="15" hidden="false" customHeight="false" outlineLevel="0" collapsed="false">
      <c r="A3721" s="43" t="n">
        <v>218</v>
      </c>
      <c r="B3721" s="44" t="str">
        <f aca="false">'Model Inputs &amp; Assumptions'!$B$35</f>
        <v>justETF — Sponsored Listing</v>
      </c>
      <c r="C3721" s="45" t="n">
        <f aca="false">ROUND(MAX(0,'Model Inputs &amp; Assumptions'!$S$35*EXP('Model Inputs &amp; Assumptions'!$T$35*P3721-'Model Inputs &amp; Assumptions'!$T$35^2/2)),0)</f>
        <v>79711</v>
      </c>
      <c r="D3721" s="46" t="n">
        <f aca="false">MIN(1,'Model Inputs &amp; Assumptions'!$U$35*EXP('Model Inputs &amp; Assumptions'!$V$35*Q3721-'Model Inputs &amp; Assumptions'!$V$35^2/2))</f>
        <v>0</v>
      </c>
      <c r="E3721" s="45" t="n">
        <f aca="false">ROUND(C3721*D3721,0)</f>
        <v>0</v>
      </c>
      <c r="F3721" s="47" t="n">
        <f aca="false">MIN(1,'Model Inputs &amp; Assumptions'!$W$35*EXP('Model Inputs &amp; Assumptions'!$X$35*R3721-'Model Inputs &amp; Assumptions'!$X$35^2/2))</f>
        <v>0.00640122466775808</v>
      </c>
      <c r="G3721" s="45" t="n">
        <f aca="false">ROUND(C3721*F3721,0)</f>
        <v>510</v>
      </c>
      <c r="H3721" s="48" t="n">
        <f aca="false">MAX(0,(C3721*'Model Inputs &amp; Assumptions'!$N$35+E3721*'Model Inputs &amp; Assumptions'!$O$35+G3721*'Model Inputs &amp; Assumptions'!$P$35)*EXP('Model Inputs &amp; Assumptions'!$Q$35*S3721-'Model Inputs &amp; Assumptions'!$Q$35^2/2))</f>
        <v>38.5513889343453</v>
      </c>
      <c r="I3721" s="49" t="n">
        <f aca="false">IF('Model Inputs &amp; Assumptions'!$H$35="Fixed",'Model Inputs &amp; Assumptions'!$I$35*'Model Inputs &amp; Assumptions'!$K$35,IF('Model Inputs &amp; Assumptions'!$H$35="CPM",'Model Inputs &amp; Assumptions'!$I$35*'Model Inputs &amp; Assumptions'!$K$35*C3721/1000,IF('Model Inputs &amp; Assumptions'!$H$35="CPC",'Model Inputs &amp; Assumptions'!$I$35*'Model Inputs &amp; Assumptions'!$K$35*G3721,0)))</f>
        <v>8672.8</v>
      </c>
      <c r="J3721" s="50" t="n">
        <f aca="false">H3721*INDEX('Model Inputs &amp; Assumptions'!$D$40:$D$42,MATCH('Model Inputs &amp; Assumptions'!$L$35,'Model Inputs &amp; Assumptions'!$A$40:$A$42,0))*INDEX('Model Inputs &amp; Assumptions'!$H$40:$H$42,MATCH('Model Inputs &amp; Assumptions'!$L$35,'Model Inputs &amp; Assumptions'!$A$40:$A$42,0))</f>
        <v>327686.805941935</v>
      </c>
      <c r="K3721" s="49" t="n">
        <f aca="false">H3721*INDEX('Model Inputs &amp; Assumptions'!$G$40:$G$42,MATCH('Model Inputs &amp; Assumptions'!$L$35,'Model Inputs &amp; Assumptions'!$A$40:$A$42,0))*INDEX('Model Inputs &amp; Assumptions'!$H$40:$H$42,MATCH('Model Inputs &amp; Assumptions'!$L$35,'Model Inputs &amp; Assumptions'!$A$40:$A$42,0))</f>
        <v>7372.95313369353</v>
      </c>
      <c r="L3721" s="51" t="n">
        <f aca="false">IFERROR(K3721/I3721,0)</f>
        <v>0.850123735551787</v>
      </c>
      <c r="M3721" s="49" t="n">
        <f aca="false">IFERROR(I3721/H3721,0)</f>
        <v>224.967251238864</v>
      </c>
      <c r="N3721" s="52" t="str">
        <f aca="false">'Model Inputs &amp; Assumptions'!$L$35</f>
        <v>PRD-EUAI</v>
      </c>
      <c r="P3721" s="53" t="n">
        <v>-0.689733</v>
      </c>
      <c r="Q3721" s="53" t="n">
        <v>1.429854</v>
      </c>
      <c r="R3721" s="53" t="n">
        <v>-0.128091</v>
      </c>
      <c r="S3721" s="53" t="n">
        <v>0.425544</v>
      </c>
    </row>
    <row r="3722" customFormat="false" ht="15" hidden="false" customHeight="false" outlineLevel="0" collapsed="false">
      <c r="A3722" s="43" t="n">
        <v>219</v>
      </c>
      <c r="B3722" s="44" t="str">
        <f aca="false">'Model Inputs &amp; Assumptions'!$B$35</f>
        <v>justETF — Sponsored Listing</v>
      </c>
      <c r="C3722" s="45" t="n">
        <f aca="false">ROUND(MAX(0,'Model Inputs &amp; Assumptions'!$S$35*EXP('Model Inputs &amp; Assumptions'!$T$35*P3722-'Model Inputs &amp; Assumptions'!$T$35^2/2)),0)</f>
        <v>69062</v>
      </c>
      <c r="D3722" s="46" t="n">
        <f aca="false">MIN(1,'Model Inputs &amp; Assumptions'!$U$35*EXP('Model Inputs &amp; Assumptions'!$V$35*Q3722-'Model Inputs &amp; Assumptions'!$V$35^2/2))</f>
        <v>0</v>
      </c>
      <c r="E3722" s="45" t="n">
        <f aca="false">ROUND(C3722*D3722,0)</f>
        <v>0</v>
      </c>
      <c r="F3722" s="47" t="n">
        <f aca="false">MIN(1,'Model Inputs &amp; Assumptions'!$W$35*EXP('Model Inputs &amp; Assumptions'!$X$35*R3722-'Model Inputs &amp; Assumptions'!$X$35^2/2))</f>
        <v>0.0073648621025833</v>
      </c>
      <c r="G3722" s="45" t="n">
        <f aca="false">ROUND(C3722*F3722,0)</f>
        <v>509</v>
      </c>
      <c r="H3722" s="48" t="n">
        <f aca="false">MAX(0,(C3722*'Model Inputs &amp; Assumptions'!$N$35+E3722*'Model Inputs &amp; Assumptions'!$O$35+G3722*'Model Inputs &amp; Assumptions'!$P$35)*EXP('Model Inputs &amp; Assumptions'!$Q$35*S3722-'Model Inputs &amp; Assumptions'!$Q$35^2/2))</f>
        <v>34.2365874125775</v>
      </c>
      <c r="I3722" s="49" t="n">
        <f aca="false">IF('Model Inputs &amp; Assumptions'!$H$35="Fixed",'Model Inputs &amp; Assumptions'!$I$35*'Model Inputs &amp; Assumptions'!$K$35,IF('Model Inputs &amp; Assumptions'!$H$35="CPM",'Model Inputs &amp; Assumptions'!$I$35*'Model Inputs &amp; Assumptions'!$K$35*C3722/1000,IF('Model Inputs &amp; Assumptions'!$H$35="CPC",'Model Inputs &amp; Assumptions'!$I$35*'Model Inputs &amp; Assumptions'!$K$35*G3722,0)))</f>
        <v>8672.8</v>
      </c>
      <c r="J3722" s="50" t="n">
        <f aca="false">H3722*INDEX('Model Inputs &amp; Assumptions'!$D$40:$D$42,MATCH('Model Inputs &amp; Assumptions'!$L$35,'Model Inputs &amp; Assumptions'!$A$40:$A$42,0))*INDEX('Model Inputs &amp; Assumptions'!$H$40:$H$42,MATCH('Model Inputs &amp; Assumptions'!$L$35,'Model Inputs &amp; Assumptions'!$A$40:$A$42,0))</f>
        <v>291010.993006909</v>
      </c>
      <c r="K3722" s="49" t="n">
        <f aca="false">H3722*INDEX('Model Inputs &amp; Assumptions'!$G$40:$G$42,MATCH('Model Inputs &amp; Assumptions'!$L$35,'Model Inputs &amp; Assumptions'!$A$40:$A$42,0))*INDEX('Model Inputs &amp; Assumptions'!$H$40:$H$42,MATCH('Model Inputs &amp; Assumptions'!$L$35,'Model Inputs &amp; Assumptions'!$A$40:$A$42,0))</f>
        <v>6547.74734265544</v>
      </c>
      <c r="L3722" s="51" t="n">
        <f aca="false">IFERROR(K3722/I3722,0)</f>
        <v>0.754975018754663</v>
      </c>
      <c r="M3722" s="49" t="n">
        <f aca="false">IFERROR(I3722/H3722,0)</f>
        <v>253.319640053082</v>
      </c>
      <c r="N3722" s="52" t="str">
        <f aca="false">'Model Inputs &amp; Assumptions'!$L$35</f>
        <v>PRD-EUAI</v>
      </c>
      <c r="P3722" s="53" t="n">
        <v>-1.645777</v>
      </c>
      <c r="Q3722" s="53" t="n">
        <v>0.682543</v>
      </c>
      <c r="R3722" s="53" t="n">
        <v>0.573064</v>
      </c>
      <c r="S3722" s="53" t="n">
        <v>-0.023435</v>
      </c>
    </row>
    <row r="3723" customFormat="false" ht="15" hidden="false" customHeight="false" outlineLevel="0" collapsed="false">
      <c r="A3723" s="43" t="n">
        <v>220</v>
      </c>
      <c r="B3723" s="44" t="str">
        <f aca="false">'Model Inputs &amp; Assumptions'!$B$35</f>
        <v>justETF — Sponsored Listing</v>
      </c>
      <c r="C3723" s="45" t="n">
        <f aca="false">ROUND(MAX(0,'Model Inputs &amp; Assumptions'!$S$35*EXP('Model Inputs &amp; Assumptions'!$T$35*P3723-'Model Inputs &amp; Assumptions'!$T$35^2/2)),0)</f>
        <v>87398</v>
      </c>
      <c r="D3723" s="46" t="n">
        <f aca="false">MIN(1,'Model Inputs &amp; Assumptions'!$U$35*EXP('Model Inputs &amp; Assumptions'!$V$35*Q3723-'Model Inputs &amp; Assumptions'!$V$35^2/2))</f>
        <v>0</v>
      </c>
      <c r="E3723" s="45" t="n">
        <f aca="false">ROUND(C3723*D3723,0)</f>
        <v>0</v>
      </c>
      <c r="F3723" s="47" t="n">
        <f aca="false">MIN(1,'Model Inputs &amp; Assumptions'!$W$35*EXP('Model Inputs &amp; Assumptions'!$X$35*R3723-'Model Inputs &amp; Assumptions'!$X$35^2/2))</f>
        <v>0.00601605979782947</v>
      </c>
      <c r="G3723" s="45" t="n">
        <f aca="false">ROUND(C3723*F3723,0)</f>
        <v>526</v>
      </c>
      <c r="H3723" s="48" t="n">
        <f aca="false">MAX(0,(C3723*'Model Inputs &amp; Assumptions'!$N$35+E3723*'Model Inputs &amp; Assumptions'!$O$35+G3723*'Model Inputs &amp; Assumptions'!$P$35)*EXP('Model Inputs &amp; Assumptions'!$Q$35*S3723-'Model Inputs &amp; Assumptions'!$Q$35^2/2))</f>
        <v>31.4184699768058</v>
      </c>
      <c r="I3723" s="49" t="n">
        <f aca="false">IF('Model Inputs &amp; Assumptions'!$H$35="Fixed",'Model Inputs &amp; Assumptions'!$I$35*'Model Inputs &amp; Assumptions'!$K$35,IF('Model Inputs &amp; Assumptions'!$H$35="CPM",'Model Inputs &amp; Assumptions'!$I$35*'Model Inputs &amp; Assumptions'!$K$35*C3723/1000,IF('Model Inputs &amp; Assumptions'!$H$35="CPC",'Model Inputs &amp; Assumptions'!$I$35*'Model Inputs &amp; Assumptions'!$K$35*G3723,0)))</f>
        <v>8672.8</v>
      </c>
      <c r="J3723" s="50" t="n">
        <f aca="false">H3723*INDEX('Model Inputs &amp; Assumptions'!$D$40:$D$42,MATCH('Model Inputs &amp; Assumptions'!$L$35,'Model Inputs &amp; Assumptions'!$A$40:$A$42,0))*INDEX('Model Inputs &amp; Assumptions'!$H$40:$H$42,MATCH('Model Inputs &amp; Assumptions'!$L$35,'Model Inputs &amp; Assumptions'!$A$40:$A$42,0))</f>
        <v>267056.994802849</v>
      </c>
      <c r="K3723" s="49" t="n">
        <f aca="false">H3723*INDEX('Model Inputs &amp; Assumptions'!$G$40:$G$42,MATCH('Model Inputs &amp; Assumptions'!$L$35,'Model Inputs &amp; Assumptions'!$A$40:$A$42,0))*INDEX('Model Inputs &amp; Assumptions'!$H$40:$H$42,MATCH('Model Inputs &amp; Assumptions'!$L$35,'Model Inputs &amp; Assumptions'!$A$40:$A$42,0))</f>
        <v>6008.78238306411</v>
      </c>
      <c r="L3723" s="51" t="n">
        <f aca="false">IFERROR(K3723/I3723,0)</f>
        <v>0.692830733219273</v>
      </c>
      <c r="M3723" s="49" t="n">
        <f aca="false">IFERROR(I3723/H3723,0)</f>
        <v>276.041449707849</v>
      </c>
      <c r="N3723" s="52" t="str">
        <f aca="false">'Model Inputs &amp; Assumptions'!$L$35</f>
        <v>PRD-EUAI</v>
      </c>
      <c r="P3723" s="53" t="n">
        <v>-0.075963</v>
      </c>
      <c r="Q3723" s="53" t="n">
        <v>0.64482</v>
      </c>
      <c r="R3723" s="53" t="n">
        <v>-0.438375</v>
      </c>
      <c r="S3723" s="53" t="n">
        <v>-0.480174</v>
      </c>
    </row>
    <row r="3724" customFormat="false" ht="15" hidden="false" customHeight="false" outlineLevel="0" collapsed="false">
      <c r="A3724" s="43" t="n">
        <v>221</v>
      </c>
      <c r="B3724" s="44" t="str">
        <f aca="false">'Model Inputs &amp; Assumptions'!$B$35</f>
        <v>justETF — Sponsored Listing</v>
      </c>
      <c r="C3724" s="45" t="n">
        <f aca="false">ROUND(MAX(0,'Model Inputs &amp; Assumptions'!$S$35*EXP('Model Inputs &amp; Assumptions'!$T$35*P3724-'Model Inputs &amp; Assumptions'!$T$35^2/2)),0)</f>
        <v>95993</v>
      </c>
      <c r="D3724" s="46" t="n">
        <f aca="false">MIN(1,'Model Inputs &amp; Assumptions'!$U$35*EXP('Model Inputs &amp; Assumptions'!$V$35*Q3724-'Model Inputs &amp; Assumptions'!$V$35^2/2))</f>
        <v>0</v>
      </c>
      <c r="E3724" s="45" t="n">
        <f aca="false">ROUND(C3724*D3724,0)</f>
        <v>0</v>
      </c>
      <c r="F3724" s="47" t="n">
        <f aca="false">MIN(1,'Model Inputs &amp; Assumptions'!$W$35*EXP('Model Inputs &amp; Assumptions'!$X$35*R3724-'Model Inputs &amp; Assumptions'!$X$35^2/2))</f>
        <v>0.00575139208011378</v>
      </c>
      <c r="G3724" s="45" t="n">
        <f aca="false">ROUND(C3724*F3724,0)</f>
        <v>552</v>
      </c>
      <c r="H3724" s="48" t="n">
        <f aca="false">MAX(0,(C3724*'Model Inputs &amp; Assumptions'!$N$35+E3724*'Model Inputs &amp; Assumptions'!$O$35+G3724*'Model Inputs &amp; Assumptions'!$P$35)*EXP('Model Inputs &amp; Assumptions'!$Q$35*S3724-'Model Inputs &amp; Assumptions'!$Q$35^2/2))</f>
        <v>46.1330443010101</v>
      </c>
      <c r="I3724" s="49" t="n">
        <f aca="false">IF('Model Inputs &amp; Assumptions'!$H$35="Fixed",'Model Inputs &amp; Assumptions'!$I$35*'Model Inputs &amp; Assumptions'!$K$35,IF('Model Inputs &amp; Assumptions'!$H$35="CPM",'Model Inputs &amp; Assumptions'!$I$35*'Model Inputs &amp; Assumptions'!$K$35*C3724/1000,IF('Model Inputs &amp; Assumptions'!$H$35="CPC",'Model Inputs &amp; Assumptions'!$I$35*'Model Inputs &amp; Assumptions'!$K$35*G3724,0)))</f>
        <v>8672.8</v>
      </c>
      <c r="J3724" s="50" t="n">
        <f aca="false">H3724*INDEX('Model Inputs &amp; Assumptions'!$D$40:$D$42,MATCH('Model Inputs &amp; Assumptions'!$L$35,'Model Inputs &amp; Assumptions'!$A$40:$A$42,0))*INDEX('Model Inputs &amp; Assumptions'!$H$40:$H$42,MATCH('Model Inputs &amp; Assumptions'!$L$35,'Model Inputs &amp; Assumptions'!$A$40:$A$42,0))</f>
        <v>392130.876558586</v>
      </c>
      <c r="K3724" s="49" t="n">
        <f aca="false">H3724*INDEX('Model Inputs &amp; Assumptions'!$G$40:$G$42,MATCH('Model Inputs &amp; Assumptions'!$L$35,'Model Inputs &amp; Assumptions'!$A$40:$A$42,0))*INDEX('Model Inputs &amp; Assumptions'!$H$40:$H$42,MATCH('Model Inputs &amp; Assumptions'!$L$35,'Model Inputs &amp; Assumptions'!$A$40:$A$42,0))</f>
        <v>8822.94472256817</v>
      </c>
      <c r="L3724" s="51" t="n">
        <f aca="false">IFERROR(K3724/I3724,0)</f>
        <v>1.01731213939768</v>
      </c>
      <c r="M3724" s="49" t="n">
        <f aca="false">IFERROR(I3724/H3724,0)</f>
        <v>187.995397472829</v>
      </c>
      <c r="N3724" s="52" t="str">
        <f aca="false">'Model Inputs &amp; Assumptions'!$L$35</f>
        <v>PRD-EUAI</v>
      </c>
      <c r="P3724" s="53" t="n">
        <v>0.549389</v>
      </c>
      <c r="Q3724" s="53" t="n">
        <v>1.513828</v>
      </c>
      <c r="R3724" s="53" t="n">
        <v>-0.663328</v>
      </c>
      <c r="S3724" s="53" t="n">
        <v>0.811698</v>
      </c>
    </row>
    <row r="3725" customFormat="false" ht="15" hidden="false" customHeight="false" outlineLevel="0" collapsed="false">
      <c r="A3725" s="43" t="n">
        <v>222</v>
      </c>
      <c r="B3725" s="44" t="str">
        <f aca="false">'Model Inputs &amp; Assumptions'!$B$35</f>
        <v>justETF — Sponsored Listing</v>
      </c>
      <c r="C3725" s="45" t="n">
        <f aca="false">ROUND(MAX(0,'Model Inputs &amp; Assumptions'!$S$35*EXP('Model Inputs &amp; Assumptions'!$T$35*P3725-'Model Inputs &amp; Assumptions'!$T$35^2/2)),0)</f>
        <v>86782</v>
      </c>
      <c r="D3725" s="46" t="n">
        <f aca="false">MIN(1,'Model Inputs &amp; Assumptions'!$U$35*EXP('Model Inputs &amp; Assumptions'!$V$35*Q3725-'Model Inputs &amp; Assumptions'!$V$35^2/2))</f>
        <v>0</v>
      </c>
      <c r="E3725" s="45" t="n">
        <f aca="false">ROUND(C3725*D3725,0)</f>
        <v>0</v>
      </c>
      <c r="F3725" s="47" t="n">
        <f aca="false">MIN(1,'Model Inputs &amp; Assumptions'!$W$35*EXP('Model Inputs &amp; Assumptions'!$X$35*R3725-'Model Inputs &amp; Assumptions'!$X$35^2/2))</f>
        <v>0.00649192908661309</v>
      </c>
      <c r="G3725" s="45" t="n">
        <f aca="false">ROUND(C3725*F3725,0)</f>
        <v>563</v>
      </c>
      <c r="H3725" s="48" t="n">
        <f aca="false">MAX(0,(C3725*'Model Inputs &amp; Assumptions'!$N$35+E3725*'Model Inputs &amp; Assumptions'!$O$35+G3725*'Model Inputs &amp; Assumptions'!$P$35)*EXP('Model Inputs &amp; Assumptions'!$Q$35*S3725-'Model Inputs &amp; Assumptions'!$Q$35^2/2))</f>
        <v>19.4116963921707</v>
      </c>
      <c r="I3725" s="49" t="n">
        <f aca="false">IF('Model Inputs &amp; Assumptions'!$H$35="Fixed",'Model Inputs &amp; Assumptions'!$I$35*'Model Inputs &amp; Assumptions'!$K$35,IF('Model Inputs &amp; Assumptions'!$H$35="CPM",'Model Inputs &amp; Assumptions'!$I$35*'Model Inputs &amp; Assumptions'!$K$35*C3725/1000,IF('Model Inputs &amp; Assumptions'!$H$35="CPC",'Model Inputs &amp; Assumptions'!$I$35*'Model Inputs &amp; Assumptions'!$K$35*G3725,0)))</f>
        <v>8672.8</v>
      </c>
      <c r="J3725" s="50" t="n">
        <f aca="false">H3725*INDEX('Model Inputs &amp; Assumptions'!$D$40:$D$42,MATCH('Model Inputs &amp; Assumptions'!$L$35,'Model Inputs &amp; Assumptions'!$A$40:$A$42,0))*INDEX('Model Inputs &amp; Assumptions'!$H$40:$H$42,MATCH('Model Inputs &amp; Assumptions'!$L$35,'Model Inputs &amp; Assumptions'!$A$40:$A$42,0))</f>
        <v>164999.419333451</v>
      </c>
      <c r="K3725" s="49" t="n">
        <f aca="false">H3725*INDEX('Model Inputs &amp; Assumptions'!$G$40:$G$42,MATCH('Model Inputs &amp; Assumptions'!$L$35,'Model Inputs &amp; Assumptions'!$A$40:$A$42,0))*INDEX('Model Inputs &amp; Assumptions'!$H$40:$H$42,MATCH('Model Inputs &amp; Assumptions'!$L$35,'Model Inputs &amp; Assumptions'!$A$40:$A$42,0))</f>
        <v>3712.48693500265</v>
      </c>
      <c r="L3725" s="51" t="n">
        <f aca="false">IFERROR(K3725/I3725,0)</f>
        <v>0.42806094168004</v>
      </c>
      <c r="M3725" s="49" t="n">
        <f aca="false">IFERROR(I3725/H3725,0)</f>
        <v>446.782178372519</v>
      </c>
      <c r="N3725" s="52" t="str">
        <f aca="false">'Model Inputs &amp; Assumptions'!$L$35</f>
        <v>PRD-EUAI</v>
      </c>
      <c r="P3725" s="53" t="n">
        <v>-0.123168</v>
      </c>
      <c r="Q3725" s="53" t="n">
        <v>-0.557055</v>
      </c>
      <c r="R3725" s="53" t="n">
        <v>-0.057739</v>
      </c>
      <c r="S3725" s="53" t="n">
        <v>-2.59363</v>
      </c>
    </row>
    <row r="3726" customFormat="false" ht="15" hidden="false" customHeight="false" outlineLevel="0" collapsed="false">
      <c r="A3726" s="43" t="n">
        <v>223</v>
      </c>
      <c r="B3726" s="44" t="str">
        <f aca="false">'Model Inputs &amp; Assumptions'!$B$35</f>
        <v>justETF — Sponsored Listing</v>
      </c>
      <c r="C3726" s="45" t="n">
        <f aca="false">ROUND(MAX(0,'Model Inputs &amp; Assumptions'!$S$35*EXP('Model Inputs &amp; Assumptions'!$T$35*P3726-'Model Inputs &amp; Assumptions'!$T$35^2/2)),0)</f>
        <v>98221</v>
      </c>
      <c r="D3726" s="46" t="n">
        <f aca="false">MIN(1,'Model Inputs &amp; Assumptions'!$U$35*EXP('Model Inputs &amp; Assumptions'!$V$35*Q3726-'Model Inputs &amp; Assumptions'!$V$35^2/2))</f>
        <v>0</v>
      </c>
      <c r="E3726" s="45" t="n">
        <f aca="false">ROUND(C3726*D3726,0)</f>
        <v>0</v>
      </c>
      <c r="F3726" s="47" t="n">
        <f aca="false">MIN(1,'Model Inputs &amp; Assumptions'!$W$35*EXP('Model Inputs &amp; Assumptions'!$X$35*R3726-'Model Inputs &amp; Assumptions'!$X$35^2/2))</f>
        <v>0.00782088661804427</v>
      </c>
      <c r="G3726" s="45" t="n">
        <f aca="false">ROUND(C3726*F3726,0)</f>
        <v>768</v>
      </c>
      <c r="H3726" s="48" t="n">
        <f aca="false">MAX(0,(C3726*'Model Inputs &amp; Assumptions'!$N$35+E3726*'Model Inputs &amp; Assumptions'!$O$35+G3726*'Model Inputs &amp; Assumptions'!$P$35)*EXP('Model Inputs &amp; Assumptions'!$Q$35*S3726-'Model Inputs &amp; Assumptions'!$Q$35^2/2))</f>
        <v>49.4390341033917</v>
      </c>
      <c r="I3726" s="49" t="n">
        <f aca="false">IF('Model Inputs &amp; Assumptions'!$H$35="Fixed",'Model Inputs &amp; Assumptions'!$I$35*'Model Inputs &amp; Assumptions'!$K$35,IF('Model Inputs &amp; Assumptions'!$H$35="CPM",'Model Inputs &amp; Assumptions'!$I$35*'Model Inputs &amp; Assumptions'!$K$35*C3726/1000,IF('Model Inputs &amp; Assumptions'!$H$35="CPC",'Model Inputs &amp; Assumptions'!$I$35*'Model Inputs &amp; Assumptions'!$K$35*G3726,0)))</f>
        <v>8672.8</v>
      </c>
      <c r="J3726" s="50" t="n">
        <f aca="false">H3726*INDEX('Model Inputs &amp; Assumptions'!$D$40:$D$42,MATCH('Model Inputs &amp; Assumptions'!$L$35,'Model Inputs &amp; Assumptions'!$A$40:$A$42,0))*INDEX('Model Inputs &amp; Assumptions'!$H$40:$H$42,MATCH('Model Inputs &amp; Assumptions'!$L$35,'Model Inputs &amp; Assumptions'!$A$40:$A$42,0))</f>
        <v>420231.789878829</v>
      </c>
      <c r="K3726" s="49" t="n">
        <f aca="false">H3726*INDEX('Model Inputs &amp; Assumptions'!$G$40:$G$42,MATCH('Model Inputs &amp; Assumptions'!$L$35,'Model Inputs &amp; Assumptions'!$A$40:$A$42,0))*INDEX('Model Inputs &amp; Assumptions'!$H$40:$H$42,MATCH('Model Inputs &amp; Assumptions'!$L$35,'Model Inputs &amp; Assumptions'!$A$40:$A$42,0))</f>
        <v>9455.21527227365</v>
      </c>
      <c r="L3726" s="51" t="n">
        <f aca="false">IFERROR(K3726/I3726,0)</f>
        <v>1.09021484091339</v>
      </c>
      <c r="M3726" s="49" t="n">
        <f aca="false">IFERROR(I3726/H3726,0)</f>
        <v>175.424139190556</v>
      </c>
      <c r="N3726" s="52" t="str">
        <f aca="false">'Model Inputs &amp; Assumptions'!$L$35</f>
        <v>PRD-EUAI</v>
      </c>
      <c r="P3726" s="53" t="n">
        <v>0.702353</v>
      </c>
      <c r="Q3726" s="53" t="n">
        <v>-0.858603</v>
      </c>
      <c r="R3726" s="53" t="n">
        <v>0.873452</v>
      </c>
      <c r="S3726" s="53" t="n">
        <v>-0.192267</v>
      </c>
    </row>
    <row r="3727" customFormat="false" ht="15" hidden="false" customHeight="false" outlineLevel="0" collapsed="false">
      <c r="A3727" s="43" t="n">
        <v>224</v>
      </c>
      <c r="B3727" s="44" t="str">
        <f aca="false">'Model Inputs &amp; Assumptions'!$B$35</f>
        <v>justETF — Sponsored Listing</v>
      </c>
      <c r="C3727" s="45" t="n">
        <f aca="false">ROUND(MAX(0,'Model Inputs &amp; Assumptions'!$S$35*EXP('Model Inputs &amp; Assumptions'!$T$35*P3727-'Model Inputs &amp; Assumptions'!$T$35^2/2)),0)</f>
        <v>90192</v>
      </c>
      <c r="D3727" s="46" t="n">
        <f aca="false">MIN(1,'Model Inputs &amp; Assumptions'!$U$35*EXP('Model Inputs &amp; Assumptions'!$V$35*Q3727-'Model Inputs &amp; Assumptions'!$V$35^2/2))</f>
        <v>0</v>
      </c>
      <c r="E3727" s="45" t="n">
        <f aca="false">ROUND(C3727*D3727,0)</f>
        <v>0</v>
      </c>
      <c r="F3727" s="47" t="n">
        <f aca="false">MIN(1,'Model Inputs &amp; Assumptions'!$W$35*EXP('Model Inputs &amp; Assumptions'!$X$35*R3727-'Model Inputs &amp; Assumptions'!$X$35^2/2))</f>
        <v>0.00523170446439741</v>
      </c>
      <c r="G3727" s="45" t="n">
        <f aca="false">ROUND(C3727*F3727,0)</f>
        <v>472</v>
      </c>
      <c r="H3727" s="48" t="n">
        <f aca="false">MAX(0,(C3727*'Model Inputs &amp; Assumptions'!$N$35+E3727*'Model Inputs &amp; Assumptions'!$O$35+G3727*'Model Inputs &amp; Assumptions'!$P$35)*EXP('Model Inputs &amp; Assumptions'!$Q$35*S3727-'Model Inputs &amp; Assumptions'!$Q$35^2/2))</f>
        <v>28.3371042077762</v>
      </c>
      <c r="I3727" s="49" t="n">
        <f aca="false">IF('Model Inputs &amp; Assumptions'!$H$35="Fixed",'Model Inputs &amp; Assumptions'!$I$35*'Model Inputs &amp; Assumptions'!$K$35,IF('Model Inputs &amp; Assumptions'!$H$35="CPM",'Model Inputs &amp; Assumptions'!$I$35*'Model Inputs &amp; Assumptions'!$K$35*C3727/1000,IF('Model Inputs &amp; Assumptions'!$H$35="CPC",'Model Inputs &amp; Assumptions'!$I$35*'Model Inputs &amp; Assumptions'!$K$35*G3727,0)))</f>
        <v>8672.8</v>
      </c>
      <c r="J3727" s="50" t="n">
        <f aca="false">H3727*INDEX('Model Inputs &amp; Assumptions'!$D$40:$D$42,MATCH('Model Inputs &amp; Assumptions'!$L$35,'Model Inputs &amp; Assumptions'!$A$40:$A$42,0))*INDEX('Model Inputs &amp; Assumptions'!$H$40:$H$42,MATCH('Model Inputs &amp; Assumptions'!$L$35,'Model Inputs &amp; Assumptions'!$A$40:$A$42,0))</f>
        <v>240865.385766097</v>
      </c>
      <c r="K3727" s="49" t="n">
        <f aca="false">H3727*INDEX('Model Inputs &amp; Assumptions'!$G$40:$G$42,MATCH('Model Inputs &amp; Assumptions'!$L$35,'Model Inputs &amp; Assumptions'!$A$40:$A$42,0))*INDEX('Model Inputs &amp; Assumptions'!$H$40:$H$42,MATCH('Model Inputs &amp; Assumptions'!$L$35,'Model Inputs &amp; Assumptions'!$A$40:$A$42,0))</f>
        <v>5419.47117973719</v>
      </c>
      <c r="L3727" s="51" t="n">
        <f aca="false">IFERROR(K3727/I3727,0)</f>
        <v>0.62488137392044</v>
      </c>
      <c r="M3727" s="49" t="n">
        <f aca="false">IFERROR(I3727/H3727,0)</f>
        <v>306.058090354202</v>
      </c>
      <c r="N3727" s="52" t="str">
        <f aca="false">'Model Inputs &amp; Assumptions'!$L$35</f>
        <v>PRD-EUAI</v>
      </c>
      <c r="P3727" s="53" t="n">
        <v>0.133777</v>
      </c>
      <c r="Q3727" s="53" t="n">
        <v>0.721502</v>
      </c>
      <c r="R3727" s="53" t="n">
        <v>-1.136852</v>
      </c>
      <c r="S3727" s="53" t="n">
        <v>-0.460565</v>
      </c>
    </row>
    <row r="3728" customFormat="false" ht="15" hidden="false" customHeight="false" outlineLevel="0" collapsed="false">
      <c r="A3728" s="43" t="n">
        <v>225</v>
      </c>
      <c r="B3728" s="44" t="str">
        <f aca="false">'Model Inputs &amp; Assumptions'!$B$35</f>
        <v>justETF — Sponsored Listing</v>
      </c>
      <c r="C3728" s="45" t="n">
        <f aca="false">ROUND(MAX(0,'Model Inputs &amp; Assumptions'!$S$35*EXP('Model Inputs &amp; Assumptions'!$T$35*P3728-'Model Inputs &amp; Assumptions'!$T$35^2/2)),0)</f>
        <v>71015</v>
      </c>
      <c r="D3728" s="46" t="n">
        <f aca="false">MIN(1,'Model Inputs &amp; Assumptions'!$U$35*EXP('Model Inputs &amp; Assumptions'!$V$35*Q3728-'Model Inputs &amp; Assumptions'!$V$35^2/2))</f>
        <v>0</v>
      </c>
      <c r="E3728" s="45" t="n">
        <f aca="false">ROUND(C3728*D3728,0)</f>
        <v>0</v>
      </c>
      <c r="F3728" s="47" t="n">
        <f aca="false">MIN(1,'Model Inputs &amp; Assumptions'!$W$35*EXP('Model Inputs &amp; Assumptions'!$X$35*R3728-'Model Inputs &amp; Assumptions'!$X$35^2/2))</f>
        <v>0.00698910233300175</v>
      </c>
      <c r="G3728" s="45" t="n">
        <f aca="false">ROUND(C3728*F3728,0)</f>
        <v>496</v>
      </c>
      <c r="H3728" s="48" t="n">
        <f aca="false">MAX(0,(C3728*'Model Inputs &amp; Assumptions'!$N$35+E3728*'Model Inputs &amp; Assumptions'!$O$35+G3728*'Model Inputs &amp; Assumptions'!$P$35)*EXP('Model Inputs &amp; Assumptions'!$Q$35*S3728-'Model Inputs &amp; Assumptions'!$Q$35^2/2))</f>
        <v>42.9208331723994</v>
      </c>
      <c r="I3728" s="49" t="n">
        <f aca="false">IF('Model Inputs &amp; Assumptions'!$H$35="Fixed",'Model Inputs &amp; Assumptions'!$I$35*'Model Inputs &amp; Assumptions'!$K$35,IF('Model Inputs &amp; Assumptions'!$H$35="CPM",'Model Inputs &amp; Assumptions'!$I$35*'Model Inputs &amp; Assumptions'!$K$35*C3728/1000,IF('Model Inputs &amp; Assumptions'!$H$35="CPC",'Model Inputs &amp; Assumptions'!$I$35*'Model Inputs &amp; Assumptions'!$K$35*G3728,0)))</f>
        <v>8672.8</v>
      </c>
      <c r="J3728" s="50" t="n">
        <f aca="false">H3728*INDEX('Model Inputs &amp; Assumptions'!$D$40:$D$42,MATCH('Model Inputs &amp; Assumptions'!$L$35,'Model Inputs &amp; Assumptions'!$A$40:$A$42,0))*INDEX('Model Inputs &amp; Assumptions'!$H$40:$H$42,MATCH('Model Inputs &amp; Assumptions'!$L$35,'Model Inputs &amp; Assumptions'!$A$40:$A$42,0))</f>
        <v>364827.081965395</v>
      </c>
      <c r="K3728" s="49" t="n">
        <f aca="false">H3728*INDEX('Model Inputs &amp; Assumptions'!$G$40:$G$42,MATCH('Model Inputs &amp; Assumptions'!$L$35,'Model Inputs &amp; Assumptions'!$A$40:$A$42,0))*INDEX('Model Inputs &amp; Assumptions'!$H$40:$H$42,MATCH('Model Inputs &amp; Assumptions'!$L$35,'Model Inputs &amp; Assumptions'!$A$40:$A$42,0))</f>
        <v>8208.60934422139</v>
      </c>
      <c r="L3728" s="51" t="n">
        <f aca="false">IFERROR(K3728/I3728,0)</f>
        <v>0.946477417237961</v>
      </c>
      <c r="M3728" s="49" t="n">
        <f aca="false">IFERROR(I3728/H3728,0)</f>
        <v>202.065042986563</v>
      </c>
      <c r="N3728" s="52" t="str">
        <f aca="false">'Model Inputs &amp; Assumptions'!$L$35</f>
        <v>PRD-EUAI</v>
      </c>
      <c r="P3728" s="53" t="n">
        <v>-1.459876</v>
      </c>
      <c r="Q3728" s="53" t="n">
        <v>-0.700186</v>
      </c>
      <c r="R3728" s="53" t="n">
        <v>0.311223</v>
      </c>
      <c r="S3728" s="53" t="n">
        <v>0.945544</v>
      </c>
    </row>
    <row r="3729" customFormat="false" ht="15" hidden="false" customHeight="false" outlineLevel="0" collapsed="false">
      <c r="A3729" s="43" t="n">
        <v>226</v>
      </c>
      <c r="B3729" s="44" t="str">
        <f aca="false">'Model Inputs &amp; Assumptions'!$B$35</f>
        <v>justETF — Sponsored Listing</v>
      </c>
      <c r="C3729" s="45" t="n">
        <f aca="false">ROUND(MAX(0,'Model Inputs &amp; Assumptions'!$S$35*EXP('Model Inputs &amp; Assumptions'!$T$35*P3729-'Model Inputs &amp; Assumptions'!$T$35^2/2)),0)</f>
        <v>85534</v>
      </c>
      <c r="D3729" s="46" t="n">
        <f aca="false">MIN(1,'Model Inputs &amp; Assumptions'!$U$35*EXP('Model Inputs &amp; Assumptions'!$V$35*Q3729-'Model Inputs &amp; Assumptions'!$V$35^2/2))</f>
        <v>0</v>
      </c>
      <c r="E3729" s="45" t="n">
        <f aca="false">ROUND(C3729*D3729,0)</f>
        <v>0</v>
      </c>
      <c r="F3729" s="47" t="n">
        <f aca="false">MIN(1,'Model Inputs &amp; Assumptions'!$W$35*EXP('Model Inputs &amp; Assumptions'!$X$35*R3729-'Model Inputs &amp; Assumptions'!$X$35^2/2))</f>
        <v>0.00725755450025771</v>
      </c>
      <c r="G3729" s="45" t="n">
        <f aca="false">ROUND(C3729*F3729,0)</f>
        <v>621</v>
      </c>
      <c r="H3729" s="48" t="n">
        <f aca="false">MAX(0,(C3729*'Model Inputs &amp; Assumptions'!$N$35+E3729*'Model Inputs &amp; Assumptions'!$O$35+G3729*'Model Inputs &amp; Assumptions'!$P$35)*EXP('Model Inputs &amp; Assumptions'!$Q$35*S3729-'Model Inputs &amp; Assumptions'!$Q$35^2/2))</f>
        <v>38.0782862511164</v>
      </c>
      <c r="I3729" s="49" t="n">
        <f aca="false">IF('Model Inputs &amp; Assumptions'!$H$35="Fixed",'Model Inputs &amp; Assumptions'!$I$35*'Model Inputs &amp; Assumptions'!$K$35,IF('Model Inputs &amp; Assumptions'!$H$35="CPM",'Model Inputs &amp; Assumptions'!$I$35*'Model Inputs &amp; Assumptions'!$K$35*C3729/1000,IF('Model Inputs &amp; Assumptions'!$H$35="CPC",'Model Inputs &amp; Assumptions'!$I$35*'Model Inputs &amp; Assumptions'!$K$35*G3729,0)))</f>
        <v>8672.8</v>
      </c>
      <c r="J3729" s="50" t="n">
        <f aca="false">H3729*INDEX('Model Inputs &amp; Assumptions'!$D$40:$D$42,MATCH('Model Inputs &amp; Assumptions'!$L$35,'Model Inputs &amp; Assumptions'!$A$40:$A$42,0))*INDEX('Model Inputs &amp; Assumptions'!$H$40:$H$42,MATCH('Model Inputs &amp; Assumptions'!$L$35,'Model Inputs &amp; Assumptions'!$A$40:$A$42,0))</f>
        <v>323665.43313449</v>
      </c>
      <c r="K3729" s="49" t="n">
        <f aca="false">H3729*INDEX('Model Inputs &amp; Assumptions'!$G$40:$G$42,MATCH('Model Inputs &amp; Assumptions'!$L$35,'Model Inputs &amp; Assumptions'!$A$40:$A$42,0))*INDEX('Model Inputs &amp; Assumptions'!$H$40:$H$42,MATCH('Model Inputs &amp; Assumptions'!$L$35,'Model Inputs &amp; Assumptions'!$A$40:$A$42,0))</f>
        <v>7282.47224552602</v>
      </c>
      <c r="L3729" s="51" t="n">
        <f aca="false">IFERROR(K3729/I3729,0)</f>
        <v>0.839691016226135</v>
      </c>
      <c r="M3729" s="49" t="n">
        <f aca="false">IFERROR(I3729/H3729,0)</f>
        <v>227.762351036628</v>
      </c>
      <c r="N3729" s="52" t="str">
        <f aca="false">'Model Inputs &amp; Assumptions'!$L$35</f>
        <v>PRD-EUAI</v>
      </c>
      <c r="P3729" s="53" t="n">
        <v>-0.219701</v>
      </c>
      <c r="Q3729" s="53" t="n">
        <v>-1.533199</v>
      </c>
      <c r="R3729" s="53" t="n">
        <v>0.499677</v>
      </c>
      <c r="S3729" s="53" t="n">
        <v>-0.379334</v>
      </c>
    </row>
    <row r="3730" customFormat="false" ht="15" hidden="false" customHeight="false" outlineLevel="0" collapsed="false">
      <c r="A3730" s="43" t="n">
        <v>227</v>
      </c>
      <c r="B3730" s="44" t="str">
        <f aca="false">'Model Inputs &amp; Assumptions'!$B$35</f>
        <v>justETF — Sponsored Listing</v>
      </c>
      <c r="C3730" s="45" t="n">
        <f aca="false">ROUND(MAX(0,'Model Inputs &amp; Assumptions'!$S$35*EXP('Model Inputs &amp; Assumptions'!$T$35*P3730-'Model Inputs &amp; Assumptions'!$T$35^2/2)),0)</f>
        <v>80084</v>
      </c>
      <c r="D3730" s="46" t="n">
        <f aca="false">MIN(1,'Model Inputs &amp; Assumptions'!$U$35*EXP('Model Inputs &amp; Assumptions'!$V$35*Q3730-'Model Inputs &amp; Assumptions'!$V$35^2/2))</f>
        <v>0</v>
      </c>
      <c r="E3730" s="45" t="n">
        <f aca="false">ROUND(C3730*D3730,0)</f>
        <v>0</v>
      </c>
      <c r="F3730" s="47" t="n">
        <f aca="false">MIN(1,'Model Inputs &amp; Assumptions'!$W$35*EXP('Model Inputs &amp; Assumptions'!$X$35*R3730-'Model Inputs &amp; Assumptions'!$X$35^2/2))</f>
        <v>0.00635705313484198</v>
      </c>
      <c r="G3730" s="45" t="n">
        <f aca="false">ROUND(C3730*F3730,0)</f>
        <v>509</v>
      </c>
      <c r="H3730" s="48" t="n">
        <f aca="false">MAX(0,(C3730*'Model Inputs &amp; Assumptions'!$N$35+E3730*'Model Inputs &amp; Assumptions'!$O$35+G3730*'Model Inputs &amp; Assumptions'!$P$35)*EXP('Model Inputs &amp; Assumptions'!$Q$35*S3730-'Model Inputs &amp; Assumptions'!$Q$35^2/2))</f>
        <v>47.1555447198767</v>
      </c>
      <c r="I3730" s="49" t="n">
        <f aca="false">IF('Model Inputs &amp; Assumptions'!$H$35="Fixed",'Model Inputs &amp; Assumptions'!$I$35*'Model Inputs &amp; Assumptions'!$K$35,IF('Model Inputs &amp; Assumptions'!$H$35="CPM",'Model Inputs &amp; Assumptions'!$I$35*'Model Inputs &amp; Assumptions'!$K$35*C3730/1000,IF('Model Inputs &amp; Assumptions'!$H$35="CPC",'Model Inputs &amp; Assumptions'!$I$35*'Model Inputs &amp; Assumptions'!$K$35*G3730,0)))</f>
        <v>8672.8</v>
      </c>
      <c r="J3730" s="50" t="n">
        <f aca="false">H3730*INDEX('Model Inputs &amp; Assumptions'!$D$40:$D$42,MATCH('Model Inputs &amp; Assumptions'!$L$35,'Model Inputs &amp; Assumptions'!$A$40:$A$42,0))*INDEX('Model Inputs &amp; Assumptions'!$H$40:$H$42,MATCH('Model Inputs &amp; Assumptions'!$L$35,'Model Inputs &amp; Assumptions'!$A$40:$A$42,0))</f>
        <v>400822.130118952</v>
      </c>
      <c r="K3730" s="49" t="n">
        <f aca="false">H3730*INDEX('Model Inputs &amp; Assumptions'!$G$40:$G$42,MATCH('Model Inputs &amp; Assumptions'!$L$35,'Model Inputs &amp; Assumptions'!$A$40:$A$42,0))*INDEX('Model Inputs &amp; Assumptions'!$H$40:$H$42,MATCH('Model Inputs &amp; Assumptions'!$L$35,'Model Inputs &amp; Assumptions'!$A$40:$A$42,0))</f>
        <v>9018.49792767642</v>
      </c>
      <c r="L3730" s="51" t="n">
        <f aca="false">IFERROR(K3730/I3730,0)</f>
        <v>1.03986001379905</v>
      </c>
      <c r="M3730" s="49" t="n">
        <f aca="false">IFERROR(I3730/H3730,0)</f>
        <v>183.918986654061</v>
      </c>
      <c r="N3730" s="52" t="str">
        <f aca="false">'Model Inputs &amp; Assumptions'!$L$35</f>
        <v>PRD-EUAI</v>
      </c>
      <c r="P3730" s="53" t="n">
        <v>-0.658628</v>
      </c>
      <c r="Q3730" s="53" t="n">
        <v>-0.280401</v>
      </c>
      <c r="R3730" s="53" t="n">
        <v>-0.162713</v>
      </c>
      <c r="S3730" s="53" t="n">
        <v>1.207937</v>
      </c>
    </row>
    <row r="3731" customFormat="false" ht="15" hidden="false" customHeight="false" outlineLevel="0" collapsed="false">
      <c r="A3731" s="43" t="n">
        <v>228</v>
      </c>
      <c r="B3731" s="44" t="str">
        <f aca="false">'Model Inputs &amp; Assumptions'!$B$35</f>
        <v>justETF — Sponsored Listing</v>
      </c>
      <c r="C3731" s="45" t="n">
        <f aca="false">ROUND(MAX(0,'Model Inputs &amp; Assumptions'!$S$35*EXP('Model Inputs &amp; Assumptions'!$T$35*P3731-'Model Inputs &amp; Assumptions'!$T$35^2/2)),0)</f>
        <v>100223</v>
      </c>
      <c r="D3731" s="46" t="n">
        <f aca="false">MIN(1,'Model Inputs &amp; Assumptions'!$U$35*EXP('Model Inputs &amp; Assumptions'!$V$35*Q3731-'Model Inputs &amp; Assumptions'!$V$35^2/2))</f>
        <v>0</v>
      </c>
      <c r="E3731" s="45" t="n">
        <f aca="false">ROUND(C3731*D3731,0)</f>
        <v>0</v>
      </c>
      <c r="F3731" s="47" t="n">
        <f aca="false">MIN(1,'Model Inputs &amp; Assumptions'!$W$35*EXP('Model Inputs &amp; Assumptions'!$X$35*R3731-'Model Inputs &amp; Assumptions'!$X$35^2/2))</f>
        <v>0.0063962464517437</v>
      </c>
      <c r="G3731" s="45" t="n">
        <f aca="false">ROUND(C3731*F3731,0)</f>
        <v>641</v>
      </c>
      <c r="H3731" s="48" t="n">
        <f aca="false">MAX(0,(C3731*'Model Inputs &amp; Assumptions'!$N$35+E3731*'Model Inputs &amp; Assumptions'!$O$35+G3731*'Model Inputs &amp; Assumptions'!$P$35)*EXP('Model Inputs &amp; Assumptions'!$Q$35*S3731-'Model Inputs &amp; Assumptions'!$Q$35^2/2))</f>
        <v>45.6368826659929</v>
      </c>
      <c r="I3731" s="49" t="n">
        <f aca="false">IF('Model Inputs &amp; Assumptions'!$H$35="Fixed",'Model Inputs &amp; Assumptions'!$I$35*'Model Inputs &amp; Assumptions'!$K$35,IF('Model Inputs &amp; Assumptions'!$H$35="CPM",'Model Inputs &amp; Assumptions'!$I$35*'Model Inputs &amp; Assumptions'!$K$35*C3731/1000,IF('Model Inputs &amp; Assumptions'!$H$35="CPC",'Model Inputs &amp; Assumptions'!$I$35*'Model Inputs &amp; Assumptions'!$K$35*G3731,0)))</f>
        <v>8672.8</v>
      </c>
      <c r="J3731" s="50" t="n">
        <f aca="false">H3731*INDEX('Model Inputs &amp; Assumptions'!$D$40:$D$42,MATCH('Model Inputs &amp; Assumptions'!$L$35,'Model Inputs &amp; Assumptions'!$A$40:$A$42,0))*INDEX('Model Inputs &amp; Assumptions'!$H$40:$H$42,MATCH('Model Inputs &amp; Assumptions'!$L$35,'Model Inputs &amp; Assumptions'!$A$40:$A$42,0))</f>
        <v>387913.50266094</v>
      </c>
      <c r="K3731" s="49" t="n">
        <f aca="false">H3731*INDEX('Model Inputs &amp; Assumptions'!$G$40:$G$42,MATCH('Model Inputs &amp; Assumptions'!$L$35,'Model Inputs &amp; Assumptions'!$A$40:$A$42,0))*INDEX('Model Inputs &amp; Assumptions'!$H$40:$H$42,MATCH('Model Inputs &amp; Assumptions'!$L$35,'Model Inputs &amp; Assumptions'!$A$40:$A$42,0))</f>
        <v>8728.05380987115</v>
      </c>
      <c r="L3731" s="51" t="n">
        <f aca="false">IFERROR(K3731/I3731,0)</f>
        <v>1.0063709309417</v>
      </c>
      <c r="M3731" s="49" t="n">
        <f aca="false">IFERROR(I3731/H3731,0)</f>
        <v>190.039272916042</v>
      </c>
      <c r="N3731" s="52" t="str">
        <f aca="false">'Model Inputs &amp; Assumptions'!$L$35</f>
        <v>PRD-EUAI</v>
      </c>
      <c r="P3731" s="53" t="n">
        <v>0.83682</v>
      </c>
      <c r="Q3731" s="53" t="n">
        <v>0.181595</v>
      </c>
      <c r="R3731" s="53" t="n">
        <v>-0.131981</v>
      </c>
      <c r="S3731" s="53" t="n">
        <v>0.19518</v>
      </c>
    </row>
    <row r="3732" customFormat="false" ht="15" hidden="false" customHeight="false" outlineLevel="0" collapsed="false">
      <c r="A3732" s="43" t="n">
        <v>229</v>
      </c>
      <c r="B3732" s="44" t="str">
        <f aca="false">'Model Inputs &amp; Assumptions'!$B$35</f>
        <v>justETF — Sponsored Listing</v>
      </c>
      <c r="C3732" s="45" t="n">
        <f aca="false">ROUND(MAX(0,'Model Inputs &amp; Assumptions'!$S$35*EXP('Model Inputs &amp; Assumptions'!$T$35*P3732-'Model Inputs &amp; Assumptions'!$T$35^2/2)),0)</f>
        <v>83756</v>
      </c>
      <c r="D3732" s="46" t="n">
        <f aca="false">MIN(1,'Model Inputs &amp; Assumptions'!$U$35*EXP('Model Inputs &amp; Assumptions'!$V$35*Q3732-'Model Inputs &amp; Assumptions'!$V$35^2/2))</f>
        <v>0</v>
      </c>
      <c r="E3732" s="45" t="n">
        <f aca="false">ROUND(C3732*D3732,0)</f>
        <v>0</v>
      </c>
      <c r="F3732" s="47" t="n">
        <f aca="false">MIN(1,'Model Inputs &amp; Assumptions'!$W$35*EXP('Model Inputs &amp; Assumptions'!$X$35*R3732-'Model Inputs &amp; Assumptions'!$X$35^2/2))</f>
        <v>0.00614655600883295</v>
      </c>
      <c r="G3732" s="45" t="n">
        <f aca="false">ROUND(C3732*F3732,0)</f>
        <v>515</v>
      </c>
      <c r="H3732" s="48" t="n">
        <f aca="false">MAX(0,(C3732*'Model Inputs &amp; Assumptions'!$N$35+E3732*'Model Inputs &amp; Assumptions'!$O$35+G3732*'Model Inputs &amp; Assumptions'!$P$35)*EXP('Model Inputs &amp; Assumptions'!$Q$35*S3732-'Model Inputs &amp; Assumptions'!$Q$35^2/2))</f>
        <v>33.441079310621</v>
      </c>
      <c r="I3732" s="49" t="n">
        <f aca="false">IF('Model Inputs &amp; Assumptions'!$H$35="Fixed",'Model Inputs &amp; Assumptions'!$I$35*'Model Inputs &amp; Assumptions'!$K$35,IF('Model Inputs &amp; Assumptions'!$H$35="CPM",'Model Inputs &amp; Assumptions'!$I$35*'Model Inputs &amp; Assumptions'!$K$35*C3732/1000,IF('Model Inputs &amp; Assumptions'!$H$35="CPC",'Model Inputs &amp; Assumptions'!$I$35*'Model Inputs &amp; Assumptions'!$K$35*G3732,0)))</f>
        <v>8672.8</v>
      </c>
      <c r="J3732" s="50" t="n">
        <f aca="false">H3732*INDEX('Model Inputs &amp; Assumptions'!$D$40:$D$42,MATCH('Model Inputs &amp; Assumptions'!$L$35,'Model Inputs &amp; Assumptions'!$A$40:$A$42,0))*INDEX('Model Inputs &amp; Assumptions'!$H$40:$H$42,MATCH('Model Inputs &amp; Assumptions'!$L$35,'Model Inputs &amp; Assumptions'!$A$40:$A$42,0))</f>
        <v>284249.174140279</v>
      </c>
      <c r="K3732" s="49" t="n">
        <f aca="false">H3732*INDEX('Model Inputs &amp; Assumptions'!$G$40:$G$42,MATCH('Model Inputs &amp; Assumptions'!$L$35,'Model Inputs &amp; Assumptions'!$A$40:$A$42,0))*INDEX('Model Inputs &amp; Assumptions'!$H$40:$H$42,MATCH('Model Inputs &amp; Assumptions'!$L$35,'Model Inputs &amp; Assumptions'!$A$40:$A$42,0))</f>
        <v>6395.60641815627</v>
      </c>
      <c r="L3732" s="51" t="n">
        <f aca="false">IFERROR(K3732/I3732,0)</f>
        <v>0.737432711253144</v>
      </c>
      <c r="M3732" s="49" t="n">
        <f aca="false">IFERROR(I3732/H3732,0)</f>
        <v>259.345696334792</v>
      </c>
      <c r="N3732" s="52" t="str">
        <f aca="false">'Model Inputs &amp; Assumptions'!$L$35</f>
        <v>PRD-EUAI</v>
      </c>
      <c r="P3732" s="53" t="n">
        <v>-0.359756</v>
      </c>
      <c r="Q3732" s="53" t="n">
        <v>1.298696</v>
      </c>
      <c r="R3732" s="53" t="n">
        <v>-0.331078</v>
      </c>
      <c r="S3732" s="53" t="n">
        <v>-0.15893</v>
      </c>
    </row>
    <row r="3733" customFormat="false" ht="15" hidden="false" customHeight="false" outlineLevel="0" collapsed="false">
      <c r="A3733" s="43" t="n">
        <v>230</v>
      </c>
      <c r="B3733" s="44" t="str">
        <f aca="false">'Model Inputs &amp; Assumptions'!$B$35</f>
        <v>justETF — Sponsored Listing</v>
      </c>
      <c r="C3733" s="45" t="n">
        <f aca="false">ROUND(MAX(0,'Model Inputs &amp; Assumptions'!$S$35*EXP('Model Inputs &amp; Assumptions'!$T$35*P3733-'Model Inputs &amp; Assumptions'!$T$35^2/2)),0)</f>
        <v>122268</v>
      </c>
      <c r="D3733" s="46" t="n">
        <f aca="false">MIN(1,'Model Inputs &amp; Assumptions'!$U$35*EXP('Model Inputs &amp; Assumptions'!$V$35*Q3733-'Model Inputs &amp; Assumptions'!$V$35^2/2))</f>
        <v>0</v>
      </c>
      <c r="E3733" s="45" t="n">
        <f aca="false">ROUND(C3733*D3733,0)</f>
        <v>0</v>
      </c>
      <c r="F3733" s="47" t="n">
        <f aca="false">MIN(1,'Model Inputs &amp; Assumptions'!$W$35*EXP('Model Inputs &amp; Assumptions'!$X$35*R3733-'Model Inputs &amp; Assumptions'!$X$35^2/2))</f>
        <v>0.0059256591299611</v>
      </c>
      <c r="G3733" s="45" t="n">
        <f aca="false">ROUND(C3733*F3733,0)</f>
        <v>725</v>
      </c>
      <c r="H3733" s="48" t="n">
        <f aca="false">MAX(0,(C3733*'Model Inputs &amp; Assumptions'!$N$35+E3733*'Model Inputs &amp; Assumptions'!$O$35+G3733*'Model Inputs &amp; Assumptions'!$P$35)*EXP('Model Inputs &amp; Assumptions'!$Q$35*S3733-'Model Inputs &amp; Assumptions'!$Q$35^2/2))</f>
        <v>41.1888783899013</v>
      </c>
      <c r="I3733" s="49" t="n">
        <f aca="false">IF('Model Inputs &amp; Assumptions'!$H$35="Fixed",'Model Inputs &amp; Assumptions'!$I$35*'Model Inputs &amp; Assumptions'!$K$35,IF('Model Inputs &amp; Assumptions'!$H$35="CPM",'Model Inputs &amp; Assumptions'!$I$35*'Model Inputs &amp; Assumptions'!$K$35*C3733/1000,IF('Model Inputs &amp; Assumptions'!$H$35="CPC",'Model Inputs &amp; Assumptions'!$I$35*'Model Inputs &amp; Assumptions'!$K$35*G3733,0)))</f>
        <v>8672.8</v>
      </c>
      <c r="J3733" s="50" t="n">
        <f aca="false">H3733*INDEX('Model Inputs &amp; Assumptions'!$D$40:$D$42,MATCH('Model Inputs &amp; Assumptions'!$L$35,'Model Inputs &amp; Assumptions'!$A$40:$A$42,0))*INDEX('Model Inputs &amp; Assumptions'!$H$40:$H$42,MATCH('Model Inputs &amp; Assumptions'!$L$35,'Model Inputs &amp; Assumptions'!$A$40:$A$42,0))</f>
        <v>350105.466314161</v>
      </c>
      <c r="K3733" s="49" t="n">
        <f aca="false">H3733*INDEX('Model Inputs &amp; Assumptions'!$G$40:$G$42,MATCH('Model Inputs &amp; Assumptions'!$L$35,'Model Inputs &amp; Assumptions'!$A$40:$A$42,0))*INDEX('Model Inputs &amp; Assumptions'!$H$40:$H$42,MATCH('Model Inputs &amp; Assumptions'!$L$35,'Model Inputs &amp; Assumptions'!$A$40:$A$42,0))</f>
        <v>7877.37299206863</v>
      </c>
      <c r="L3733" s="51" t="n">
        <f aca="false">IFERROR(K3733/I3733,0)</f>
        <v>0.908284866717626</v>
      </c>
      <c r="M3733" s="49" t="n">
        <f aca="false">IFERROR(I3733/H3733,0)</f>
        <v>210.561693812143</v>
      </c>
      <c r="N3733" s="52" t="str">
        <f aca="false">'Model Inputs &amp; Assumptions'!$L$35</f>
        <v>PRD-EUAI</v>
      </c>
      <c r="P3733" s="53" t="n">
        <v>2.162317</v>
      </c>
      <c r="Q3733" s="53" t="n">
        <v>-1.785127</v>
      </c>
      <c r="R3733" s="53" t="n">
        <v>-0.514078</v>
      </c>
      <c r="S3733" s="53" t="n">
        <v>-0.672859</v>
      </c>
    </row>
    <row r="3734" customFormat="false" ht="15" hidden="false" customHeight="false" outlineLevel="0" collapsed="false">
      <c r="A3734" s="43" t="n">
        <v>231</v>
      </c>
      <c r="B3734" s="44" t="str">
        <f aca="false">'Model Inputs &amp; Assumptions'!$B$35</f>
        <v>justETF — Sponsored Listing</v>
      </c>
      <c r="C3734" s="45" t="n">
        <f aca="false">ROUND(MAX(0,'Model Inputs &amp; Assumptions'!$S$35*EXP('Model Inputs &amp; Assumptions'!$T$35*P3734-'Model Inputs &amp; Assumptions'!$T$35^2/2)),0)</f>
        <v>76641</v>
      </c>
      <c r="D3734" s="46" t="n">
        <f aca="false">MIN(1,'Model Inputs &amp; Assumptions'!$U$35*EXP('Model Inputs &amp; Assumptions'!$V$35*Q3734-'Model Inputs &amp; Assumptions'!$V$35^2/2))</f>
        <v>0</v>
      </c>
      <c r="E3734" s="45" t="n">
        <f aca="false">ROUND(C3734*D3734,0)</f>
        <v>0</v>
      </c>
      <c r="F3734" s="47" t="n">
        <f aca="false">MIN(1,'Model Inputs &amp; Assumptions'!$W$35*EXP('Model Inputs &amp; Assumptions'!$X$35*R3734-'Model Inputs &amp; Assumptions'!$X$35^2/2))</f>
        <v>0.0082392747675155</v>
      </c>
      <c r="G3734" s="45" t="n">
        <f aca="false">ROUND(C3734*F3734,0)</f>
        <v>631</v>
      </c>
      <c r="H3734" s="48" t="n">
        <f aca="false">MAX(0,(C3734*'Model Inputs &amp; Assumptions'!$N$35+E3734*'Model Inputs &amp; Assumptions'!$O$35+G3734*'Model Inputs &amp; Assumptions'!$P$35)*EXP('Model Inputs &amp; Assumptions'!$Q$35*S3734-'Model Inputs &amp; Assumptions'!$Q$35^2/2))</f>
        <v>46.7952005637631</v>
      </c>
      <c r="I3734" s="49" t="n">
        <f aca="false">IF('Model Inputs &amp; Assumptions'!$H$35="Fixed",'Model Inputs &amp; Assumptions'!$I$35*'Model Inputs &amp; Assumptions'!$K$35,IF('Model Inputs &amp; Assumptions'!$H$35="CPM",'Model Inputs &amp; Assumptions'!$I$35*'Model Inputs &amp; Assumptions'!$K$35*C3734/1000,IF('Model Inputs &amp; Assumptions'!$H$35="CPC",'Model Inputs &amp; Assumptions'!$I$35*'Model Inputs &amp; Assumptions'!$K$35*G3734,0)))</f>
        <v>8672.8</v>
      </c>
      <c r="J3734" s="50" t="n">
        <f aca="false">H3734*INDEX('Model Inputs &amp; Assumptions'!$D$40:$D$42,MATCH('Model Inputs &amp; Assumptions'!$L$35,'Model Inputs &amp; Assumptions'!$A$40:$A$42,0))*INDEX('Model Inputs &amp; Assumptions'!$H$40:$H$42,MATCH('Model Inputs &amp; Assumptions'!$L$35,'Model Inputs &amp; Assumptions'!$A$40:$A$42,0))</f>
        <v>397759.204791986</v>
      </c>
      <c r="K3734" s="49" t="n">
        <f aca="false">H3734*INDEX('Model Inputs &amp; Assumptions'!$G$40:$G$42,MATCH('Model Inputs &amp; Assumptions'!$L$35,'Model Inputs &amp; Assumptions'!$A$40:$A$42,0))*INDEX('Model Inputs &amp; Assumptions'!$H$40:$H$42,MATCH('Model Inputs &amp; Assumptions'!$L$35,'Model Inputs &amp; Assumptions'!$A$40:$A$42,0))</f>
        <v>8949.58210781969</v>
      </c>
      <c r="L3734" s="51" t="n">
        <f aca="false">IFERROR(K3734/I3734,0)</f>
        <v>1.03191381189693</v>
      </c>
      <c r="M3734" s="49" t="n">
        <f aca="false">IFERROR(I3734/H3734,0)</f>
        <v>185.335245826812</v>
      </c>
      <c r="N3734" s="52" t="str">
        <f aca="false">'Model Inputs &amp; Assumptions'!$L$35</f>
        <v>PRD-EUAI</v>
      </c>
      <c r="P3734" s="53" t="n">
        <v>-0.951594</v>
      </c>
      <c r="Q3734" s="53" t="n">
        <v>-0.402421</v>
      </c>
      <c r="R3734" s="53" t="n">
        <v>1.134024</v>
      </c>
      <c r="S3734" s="53" t="n">
        <v>0.352057</v>
      </c>
    </row>
    <row r="3735" customFormat="false" ht="15" hidden="false" customHeight="false" outlineLevel="0" collapsed="false">
      <c r="A3735" s="43" t="n">
        <v>232</v>
      </c>
      <c r="B3735" s="44" t="str">
        <f aca="false">'Model Inputs &amp; Assumptions'!$B$35</f>
        <v>justETF — Sponsored Listing</v>
      </c>
      <c r="C3735" s="45" t="n">
        <f aca="false">ROUND(MAX(0,'Model Inputs &amp; Assumptions'!$S$35*EXP('Model Inputs &amp; Assumptions'!$T$35*P3735-'Model Inputs &amp; Assumptions'!$T$35^2/2)),0)</f>
        <v>95472</v>
      </c>
      <c r="D3735" s="46" t="n">
        <f aca="false">MIN(1,'Model Inputs &amp; Assumptions'!$U$35*EXP('Model Inputs &amp; Assumptions'!$V$35*Q3735-'Model Inputs &amp; Assumptions'!$V$35^2/2))</f>
        <v>0</v>
      </c>
      <c r="E3735" s="45" t="n">
        <f aca="false">ROUND(C3735*D3735,0)</f>
        <v>0</v>
      </c>
      <c r="F3735" s="47" t="n">
        <f aca="false">MIN(1,'Model Inputs &amp; Assumptions'!$W$35*EXP('Model Inputs &amp; Assumptions'!$X$35*R3735-'Model Inputs &amp; Assumptions'!$X$35^2/2))</f>
        <v>0.00799089945790723</v>
      </c>
      <c r="G3735" s="45" t="n">
        <f aca="false">ROUND(C3735*F3735,0)</f>
        <v>763</v>
      </c>
      <c r="H3735" s="48" t="n">
        <f aca="false">MAX(0,(C3735*'Model Inputs &amp; Assumptions'!$N$35+E3735*'Model Inputs &amp; Assumptions'!$O$35+G3735*'Model Inputs &amp; Assumptions'!$P$35)*EXP('Model Inputs &amp; Assumptions'!$Q$35*S3735-'Model Inputs &amp; Assumptions'!$Q$35^2/2))</f>
        <v>64.0361709210102</v>
      </c>
      <c r="I3735" s="49" t="n">
        <f aca="false">IF('Model Inputs &amp; Assumptions'!$H$35="Fixed",'Model Inputs &amp; Assumptions'!$I$35*'Model Inputs &amp; Assumptions'!$K$35,IF('Model Inputs &amp; Assumptions'!$H$35="CPM",'Model Inputs &amp; Assumptions'!$I$35*'Model Inputs &amp; Assumptions'!$K$35*C3735/1000,IF('Model Inputs &amp; Assumptions'!$H$35="CPC",'Model Inputs &amp; Assumptions'!$I$35*'Model Inputs &amp; Assumptions'!$K$35*G3735,0)))</f>
        <v>8672.8</v>
      </c>
      <c r="J3735" s="50" t="n">
        <f aca="false">H3735*INDEX('Model Inputs &amp; Assumptions'!$D$40:$D$42,MATCH('Model Inputs &amp; Assumptions'!$L$35,'Model Inputs &amp; Assumptions'!$A$40:$A$42,0))*INDEX('Model Inputs &amp; Assumptions'!$H$40:$H$42,MATCH('Model Inputs &amp; Assumptions'!$L$35,'Model Inputs &amp; Assumptions'!$A$40:$A$42,0))</f>
        <v>544307.452828587</v>
      </c>
      <c r="K3735" s="49" t="n">
        <f aca="false">H3735*INDEX('Model Inputs &amp; Assumptions'!$G$40:$G$42,MATCH('Model Inputs &amp; Assumptions'!$L$35,'Model Inputs &amp; Assumptions'!$A$40:$A$42,0))*INDEX('Model Inputs &amp; Assumptions'!$H$40:$H$42,MATCH('Model Inputs &amp; Assumptions'!$L$35,'Model Inputs &amp; Assumptions'!$A$40:$A$42,0))</f>
        <v>12246.9176886432</v>
      </c>
      <c r="L3735" s="51" t="n">
        <f aca="false">IFERROR(K3735/I3735,0)</f>
        <v>1.41210655020791</v>
      </c>
      <c r="M3735" s="49" t="n">
        <f aca="false">IFERROR(I3735/H3735,0)</f>
        <v>135.435955574203</v>
      </c>
      <c r="N3735" s="52" t="str">
        <f aca="false">'Model Inputs &amp; Assumptions'!$L$35</f>
        <v>PRD-EUAI</v>
      </c>
      <c r="P3735" s="53" t="n">
        <v>0.513093</v>
      </c>
      <c r="Q3735" s="53" t="n">
        <v>-0.603184</v>
      </c>
      <c r="R3735" s="53" t="n">
        <v>0.980979</v>
      </c>
      <c r="S3735" s="53" t="n">
        <v>0.827885</v>
      </c>
    </row>
    <row r="3736" customFormat="false" ht="15" hidden="false" customHeight="false" outlineLevel="0" collapsed="false">
      <c r="A3736" s="43" t="n">
        <v>233</v>
      </c>
      <c r="B3736" s="44" t="str">
        <f aca="false">'Model Inputs &amp; Assumptions'!$B$35</f>
        <v>justETF — Sponsored Listing</v>
      </c>
      <c r="C3736" s="45" t="n">
        <f aca="false">ROUND(MAX(0,'Model Inputs &amp; Assumptions'!$S$35*EXP('Model Inputs &amp; Assumptions'!$T$35*P3736-'Model Inputs &amp; Assumptions'!$T$35^2/2)),0)</f>
        <v>91465</v>
      </c>
      <c r="D3736" s="46" t="n">
        <f aca="false">MIN(1,'Model Inputs &amp; Assumptions'!$U$35*EXP('Model Inputs &amp; Assumptions'!$V$35*Q3736-'Model Inputs &amp; Assumptions'!$V$35^2/2))</f>
        <v>0</v>
      </c>
      <c r="E3736" s="45" t="n">
        <f aca="false">ROUND(C3736*D3736,0)</f>
        <v>0</v>
      </c>
      <c r="F3736" s="47" t="n">
        <f aca="false">MIN(1,'Model Inputs &amp; Assumptions'!$W$35*EXP('Model Inputs &amp; Assumptions'!$X$35*R3736-'Model Inputs &amp; Assumptions'!$X$35^2/2))</f>
        <v>0.00564677127688519</v>
      </c>
      <c r="G3736" s="45" t="n">
        <f aca="false">ROUND(C3736*F3736,0)</f>
        <v>516</v>
      </c>
      <c r="H3736" s="48" t="n">
        <f aca="false">MAX(0,(C3736*'Model Inputs &amp; Assumptions'!$N$35+E3736*'Model Inputs &amp; Assumptions'!$O$35+G3736*'Model Inputs &amp; Assumptions'!$P$35)*EXP('Model Inputs &amp; Assumptions'!$Q$35*S3736-'Model Inputs &amp; Assumptions'!$Q$35^2/2))</f>
        <v>34.2513639936984</v>
      </c>
      <c r="I3736" s="49" t="n">
        <f aca="false">IF('Model Inputs &amp; Assumptions'!$H$35="Fixed",'Model Inputs &amp; Assumptions'!$I$35*'Model Inputs &amp; Assumptions'!$K$35,IF('Model Inputs &amp; Assumptions'!$H$35="CPM",'Model Inputs &amp; Assumptions'!$I$35*'Model Inputs &amp; Assumptions'!$K$35*C3736/1000,IF('Model Inputs &amp; Assumptions'!$H$35="CPC",'Model Inputs &amp; Assumptions'!$I$35*'Model Inputs &amp; Assumptions'!$K$35*G3736,0)))</f>
        <v>8672.8</v>
      </c>
      <c r="J3736" s="50" t="n">
        <f aca="false">H3736*INDEX('Model Inputs &amp; Assumptions'!$D$40:$D$42,MATCH('Model Inputs &amp; Assumptions'!$L$35,'Model Inputs &amp; Assumptions'!$A$40:$A$42,0))*INDEX('Model Inputs &amp; Assumptions'!$H$40:$H$42,MATCH('Model Inputs &amp; Assumptions'!$L$35,'Model Inputs &amp; Assumptions'!$A$40:$A$42,0))</f>
        <v>291136.593946437</v>
      </c>
      <c r="K3736" s="49" t="n">
        <f aca="false">H3736*INDEX('Model Inputs &amp; Assumptions'!$G$40:$G$42,MATCH('Model Inputs &amp; Assumptions'!$L$35,'Model Inputs &amp; Assumptions'!$A$40:$A$42,0))*INDEX('Model Inputs &amp; Assumptions'!$H$40:$H$42,MATCH('Model Inputs &amp; Assumptions'!$L$35,'Model Inputs &amp; Assumptions'!$A$40:$A$42,0))</f>
        <v>6550.57336379482</v>
      </c>
      <c r="L3736" s="51" t="n">
        <f aca="false">IFERROR(K3736/I3736,0)</f>
        <v>0.755300867516237</v>
      </c>
      <c r="M3736" s="49" t="n">
        <f aca="false">IFERROR(I3736/H3736,0)</f>
        <v>253.210353946652</v>
      </c>
      <c r="N3736" s="52" t="str">
        <f aca="false">'Model Inputs &amp; Assumptions'!$L$35</f>
        <v>PRD-EUAI</v>
      </c>
      <c r="P3736" s="53" t="n">
        <v>0.227243</v>
      </c>
      <c r="Q3736" s="53" t="n">
        <v>-0.409298</v>
      </c>
      <c r="R3736" s="53" t="n">
        <v>-0.755118</v>
      </c>
      <c r="S3736" s="53" t="n">
        <v>-0.074309</v>
      </c>
    </row>
    <row r="3737" customFormat="false" ht="15" hidden="false" customHeight="false" outlineLevel="0" collapsed="false">
      <c r="A3737" s="43" t="n">
        <v>234</v>
      </c>
      <c r="B3737" s="44" t="str">
        <f aca="false">'Model Inputs &amp; Assumptions'!$B$35</f>
        <v>justETF — Sponsored Listing</v>
      </c>
      <c r="C3737" s="45" t="n">
        <f aca="false">ROUND(MAX(0,'Model Inputs &amp; Assumptions'!$S$35*EXP('Model Inputs &amp; Assumptions'!$T$35*P3737-'Model Inputs &amp; Assumptions'!$T$35^2/2)),0)</f>
        <v>71848</v>
      </c>
      <c r="D3737" s="46" t="n">
        <f aca="false">MIN(1,'Model Inputs &amp; Assumptions'!$U$35*EXP('Model Inputs &amp; Assumptions'!$V$35*Q3737-'Model Inputs &amp; Assumptions'!$V$35^2/2))</f>
        <v>0</v>
      </c>
      <c r="E3737" s="45" t="n">
        <f aca="false">ROUND(C3737*D3737,0)</f>
        <v>0</v>
      </c>
      <c r="F3737" s="47" t="n">
        <f aca="false">MIN(1,'Model Inputs &amp; Assumptions'!$W$35*EXP('Model Inputs &amp; Assumptions'!$X$35*R3737-'Model Inputs &amp; Assumptions'!$X$35^2/2))</f>
        <v>0.00654908618646153</v>
      </c>
      <c r="G3737" s="45" t="n">
        <f aca="false">ROUND(C3737*F3737,0)</f>
        <v>471</v>
      </c>
      <c r="H3737" s="48" t="n">
        <f aca="false">MAX(0,(C3737*'Model Inputs &amp; Assumptions'!$N$35+E3737*'Model Inputs &amp; Assumptions'!$O$35+G3737*'Model Inputs &amp; Assumptions'!$P$35)*EXP('Model Inputs &amp; Assumptions'!$Q$35*S3737-'Model Inputs &amp; Assumptions'!$Q$35^2/2))</f>
        <v>18.7960119513102</v>
      </c>
      <c r="I3737" s="49" t="n">
        <f aca="false">IF('Model Inputs &amp; Assumptions'!$H$35="Fixed",'Model Inputs &amp; Assumptions'!$I$35*'Model Inputs &amp; Assumptions'!$K$35,IF('Model Inputs &amp; Assumptions'!$H$35="CPM",'Model Inputs &amp; Assumptions'!$I$35*'Model Inputs &amp; Assumptions'!$K$35*C3737/1000,IF('Model Inputs &amp; Assumptions'!$H$35="CPC",'Model Inputs &amp; Assumptions'!$I$35*'Model Inputs &amp; Assumptions'!$K$35*G3737,0)))</f>
        <v>8672.8</v>
      </c>
      <c r="J3737" s="50" t="n">
        <f aca="false">H3737*INDEX('Model Inputs &amp; Assumptions'!$D$40:$D$42,MATCH('Model Inputs &amp; Assumptions'!$L$35,'Model Inputs &amp; Assumptions'!$A$40:$A$42,0))*INDEX('Model Inputs &amp; Assumptions'!$H$40:$H$42,MATCH('Model Inputs &amp; Assumptions'!$L$35,'Model Inputs &amp; Assumptions'!$A$40:$A$42,0))</f>
        <v>159766.101586136</v>
      </c>
      <c r="K3737" s="49" t="n">
        <f aca="false">H3737*INDEX('Model Inputs &amp; Assumptions'!$G$40:$G$42,MATCH('Model Inputs &amp; Assumptions'!$L$35,'Model Inputs &amp; Assumptions'!$A$40:$A$42,0))*INDEX('Model Inputs &amp; Assumptions'!$H$40:$H$42,MATCH('Model Inputs &amp; Assumptions'!$L$35,'Model Inputs &amp; Assumptions'!$A$40:$A$42,0))</f>
        <v>3594.73728568807</v>
      </c>
      <c r="L3737" s="51" t="n">
        <f aca="false">IFERROR(K3737/I3737,0)</f>
        <v>0.414484051942633</v>
      </c>
      <c r="M3737" s="49" t="n">
        <f aca="false">IFERROR(I3737/H3737,0)</f>
        <v>461.417029445732</v>
      </c>
      <c r="N3737" s="52" t="str">
        <f aca="false">'Model Inputs &amp; Assumptions'!$L$35</f>
        <v>PRD-EUAI</v>
      </c>
      <c r="P3737" s="53" t="n">
        <v>-1.382087</v>
      </c>
      <c r="Q3737" s="53" t="n">
        <v>-0.551178</v>
      </c>
      <c r="R3737" s="53" t="n">
        <v>-0.01391</v>
      </c>
      <c r="S3737" s="53" t="n">
        <v>-2.031359</v>
      </c>
    </row>
    <row r="3738" customFormat="false" ht="15" hidden="false" customHeight="false" outlineLevel="0" collapsed="false">
      <c r="A3738" s="43" t="n">
        <v>235</v>
      </c>
      <c r="B3738" s="44" t="str">
        <f aca="false">'Model Inputs &amp; Assumptions'!$B$35</f>
        <v>justETF — Sponsored Listing</v>
      </c>
      <c r="C3738" s="45" t="n">
        <f aca="false">ROUND(MAX(0,'Model Inputs &amp; Assumptions'!$S$35*EXP('Model Inputs &amp; Assumptions'!$T$35*P3738-'Model Inputs &amp; Assumptions'!$T$35^2/2)),0)</f>
        <v>99755</v>
      </c>
      <c r="D3738" s="46" t="n">
        <f aca="false">MIN(1,'Model Inputs &amp; Assumptions'!$U$35*EXP('Model Inputs &amp; Assumptions'!$V$35*Q3738-'Model Inputs &amp; Assumptions'!$V$35^2/2))</f>
        <v>0</v>
      </c>
      <c r="E3738" s="45" t="n">
        <f aca="false">ROUND(C3738*D3738,0)</f>
        <v>0</v>
      </c>
      <c r="F3738" s="47" t="n">
        <f aca="false">MIN(1,'Model Inputs &amp; Assumptions'!$W$35*EXP('Model Inputs &amp; Assumptions'!$X$35*R3738-'Model Inputs &amp; Assumptions'!$X$35^2/2))</f>
        <v>0.00505343255575351</v>
      </c>
      <c r="G3738" s="45" t="n">
        <f aca="false">ROUND(C3738*F3738,0)</f>
        <v>504</v>
      </c>
      <c r="H3738" s="48" t="n">
        <f aca="false">MAX(0,(C3738*'Model Inputs &amp; Assumptions'!$N$35+E3738*'Model Inputs &amp; Assumptions'!$O$35+G3738*'Model Inputs &amp; Assumptions'!$P$35)*EXP('Model Inputs &amp; Assumptions'!$Q$35*S3738-'Model Inputs &amp; Assumptions'!$Q$35^2/2))</f>
        <v>29.2039288867331</v>
      </c>
      <c r="I3738" s="49" t="n">
        <f aca="false">IF('Model Inputs &amp; Assumptions'!$H$35="Fixed",'Model Inputs &amp; Assumptions'!$I$35*'Model Inputs &amp; Assumptions'!$K$35,IF('Model Inputs &amp; Assumptions'!$H$35="CPM",'Model Inputs &amp; Assumptions'!$I$35*'Model Inputs &amp; Assumptions'!$K$35*C3738/1000,IF('Model Inputs &amp; Assumptions'!$H$35="CPC",'Model Inputs &amp; Assumptions'!$I$35*'Model Inputs &amp; Assumptions'!$K$35*G3738,0)))</f>
        <v>8672.8</v>
      </c>
      <c r="J3738" s="50" t="n">
        <f aca="false">H3738*INDEX('Model Inputs &amp; Assumptions'!$D$40:$D$42,MATCH('Model Inputs &amp; Assumptions'!$L$35,'Model Inputs &amp; Assumptions'!$A$40:$A$42,0))*INDEX('Model Inputs &amp; Assumptions'!$H$40:$H$42,MATCH('Model Inputs &amp; Assumptions'!$L$35,'Model Inputs &amp; Assumptions'!$A$40:$A$42,0))</f>
        <v>248233.395537231</v>
      </c>
      <c r="K3738" s="49" t="n">
        <f aca="false">H3738*INDEX('Model Inputs &amp; Assumptions'!$G$40:$G$42,MATCH('Model Inputs &amp; Assumptions'!$L$35,'Model Inputs &amp; Assumptions'!$A$40:$A$42,0))*INDEX('Model Inputs &amp; Assumptions'!$H$40:$H$42,MATCH('Model Inputs &amp; Assumptions'!$L$35,'Model Inputs &amp; Assumptions'!$A$40:$A$42,0))</f>
        <v>5585.25139958771</v>
      </c>
      <c r="L3738" s="51" t="n">
        <f aca="false">IFERROR(K3738/I3738,0)</f>
        <v>0.643996333316542</v>
      </c>
      <c r="M3738" s="49" t="n">
        <f aca="false">IFERROR(I3738/H3738,0)</f>
        <v>296.973740541463</v>
      </c>
      <c r="N3738" s="52" t="str">
        <f aca="false">'Model Inputs &amp; Assumptions'!$L$35</f>
        <v>PRD-EUAI</v>
      </c>
      <c r="P3738" s="53" t="n">
        <v>0.805674</v>
      </c>
      <c r="Q3738" s="53" t="n">
        <v>0.370151</v>
      </c>
      <c r="R3738" s="53" t="n">
        <v>-1.310199</v>
      </c>
      <c r="S3738" s="53" t="n">
        <v>-0.596973</v>
      </c>
    </row>
    <row r="3739" customFormat="false" ht="15" hidden="false" customHeight="false" outlineLevel="0" collapsed="false">
      <c r="A3739" s="43" t="n">
        <v>236</v>
      </c>
      <c r="B3739" s="44" t="str">
        <f aca="false">'Model Inputs &amp; Assumptions'!$B$35</f>
        <v>justETF — Sponsored Listing</v>
      </c>
      <c r="C3739" s="45" t="n">
        <f aca="false">ROUND(MAX(0,'Model Inputs &amp; Assumptions'!$S$35*EXP('Model Inputs &amp; Assumptions'!$T$35*P3739-'Model Inputs &amp; Assumptions'!$T$35^2/2)),0)</f>
        <v>80151</v>
      </c>
      <c r="D3739" s="46" t="n">
        <f aca="false">MIN(1,'Model Inputs &amp; Assumptions'!$U$35*EXP('Model Inputs &amp; Assumptions'!$V$35*Q3739-'Model Inputs &amp; Assumptions'!$V$35^2/2))</f>
        <v>0</v>
      </c>
      <c r="E3739" s="45" t="n">
        <f aca="false">ROUND(C3739*D3739,0)</f>
        <v>0</v>
      </c>
      <c r="F3739" s="47" t="n">
        <f aca="false">MIN(1,'Model Inputs &amp; Assumptions'!$W$35*EXP('Model Inputs &amp; Assumptions'!$X$35*R3739-'Model Inputs &amp; Assumptions'!$X$35^2/2))</f>
        <v>0.00761183845195677</v>
      </c>
      <c r="G3739" s="45" t="n">
        <f aca="false">ROUND(C3739*F3739,0)</f>
        <v>610</v>
      </c>
      <c r="H3739" s="48" t="n">
        <f aca="false">MAX(0,(C3739*'Model Inputs &amp; Assumptions'!$N$35+E3739*'Model Inputs &amp; Assumptions'!$O$35+G3739*'Model Inputs &amp; Assumptions'!$P$35)*EXP('Model Inputs &amp; Assumptions'!$Q$35*S3739-'Model Inputs &amp; Assumptions'!$Q$35^2/2))</f>
        <v>37.4613104942926</v>
      </c>
      <c r="I3739" s="49" t="n">
        <f aca="false">IF('Model Inputs &amp; Assumptions'!$H$35="Fixed",'Model Inputs &amp; Assumptions'!$I$35*'Model Inputs &amp; Assumptions'!$K$35,IF('Model Inputs &amp; Assumptions'!$H$35="CPM",'Model Inputs &amp; Assumptions'!$I$35*'Model Inputs &amp; Assumptions'!$K$35*C3739/1000,IF('Model Inputs &amp; Assumptions'!$H$35="CPC",'Model Inputs &amp; Assumptions'!$I$35*'Model Inputs &amp; Assumptions'!$K$35*G3739,0)))</f>
        <v>8672.8</v>
      </c>
      <c r="J3739" s="50" t="n">
        <f aca="false">H3739*INDEX('Model Inputs &amp; Assumptions'!$D$40:$D$42,MATCH('Model Inputs &amp; Assumptions'!$L$35,'Model Inputs &amp; Assumptions'!$A$40:$A$42,0))*INDEX('Model Inputs &amp; Assumptions'!$H$40:$H$42,MATCH('Model Inputs &amp; Assumptions'!$L$35,'Model Inputs &amp; Assumptions'!$A$40:$A$42,0))</f>
        <v>318421.139201487</v>
      </c>
      <c r="K3739" s="49" t="n">
        <f aca="false">H3739*INDEX('Model Inputs &amp; Assumptions'!$G$40:$G$42,MATCH('Model Inputs &amp; Assumptions'!$L$35,'Model Inputs &amp; Assumptions'!$A$40:$A$42,0))*INDEX('Model Inputs &amp; Assumptions'!$H$40:$H$42,MATCH('Model Inputs &amp; Assumptions'!$L$35,'Model Inputs &amp; Assumptions'!$A$40:$A$42,0))</f>
        <v>7164.47563203347</v>
      </c>
      <c r="L3739" s="51" t="n">
        <f aca="false">IFERROR(K3739/I3739,0)</f>
        <v>0.826085650774083</v>
      </c>
      <c r="M3739" s="49" t="n">
        <f aca="false">IFERROR(I3739/H3739,0)</f>
        <v>231.513523834713</v>
      </c>
      <c r="N3739" s="52" t="str">
        <f aca="false">'Model Inputs &amp; Assumptions'!$L$35</f>
        <v>PRD-EUAI</v>
      </c>
      <c r="P3739" s="53" t="n">
        <v>-0.653087</v>
      </c>
      <c r="Q3739" s="53" t="n">
        <v>-0.418854</v>
      </c>
      <c r="R3739" s="53" t="n">
        <v>0.737986</v>
      </c>
      <c r="S3739" s="53" t="n">
        <v>-0.373424</v>
      </c>
    </row>
    <row r="3740" customFormat="false" ht="15" hidden="false" customHeight="false" outlineLevel="0" collapsed="false">
      <c r="A3740" s="43" t="n">
        <v>237</v>
      </c>
      <c r="B3740" s="44" t="str">
        <f aca="false">'Model Inputs &amp; Assumptions'!$B$35</f>
        <v>justETF — Sponsored Listing</v>
      </c>
      <c r="C3740" s="45" t="n">
        <f aca="false">ROUND(MAX(0,'Model Inputs &amp; Assumptions'!$S$35*EXP('Model Inputs &amp; Assumptions'!$T$35*P3740-'Model Inputs &amp; Assumptions'!$T$35^2/2)),0)</f>
        <v>97526</v>
      </c>
      <c r="D3740" s="46" t="n">
        <f aca="false">MIN(1,'Model Inputs &amp; Assumptions'!$U$35*EXP('Model Inputs &amp; Assumptions'!$V$35*Q3740-'Model Inputs &amp; Assumptions'!$V$35^2/2))</f>
        <v>0</v>
      </c>
      <c r="E3740" s="45" t="n">
        <f aca="false">ROUND(C3740*D3740,0)</f>
        <v>0</v>
      </c>
      <c r="F3740" s="47" t="n">
        <f aca="false">MIN(1,'Model Inputs &amp; Assumptions'!$W$35*EXP('Model Inputs &amp; Assumptions'!$X$35*R3740-'Model Inputs &amp; Assumptions'!$X$35^2/2))</f>
        <v>0.00704450532483901</v>
      </c>
      <c r="G3740" s="45" t="n">
        <f aca="false">ROUND(C3740*F3740,0)</f>
        <v>687</v>
      </c>
      <c r="H3740" s="48" t="n">
        <f aca="false">MAX(0,(C3740*'Model Inputs &amp; Assumptions'!$N$35+E3740*'Model Inputs &amp; Assumptions'!$O$35+G3740*'Model Inputs &amp; Assumptions'!$P$35)*EXP('Model Inputs &amp; Assumptions'!$Q$35*S3740-'Model Inputs &amp; Assumptions'!$Q$35^2/2))</f>
        <v>37.4090126482629</v>
      </c>
      <c r="I3740" s="49" t="n">
        <f aca="false">IF('Model Inputs &amp; Assumptions'!$H$35="Fixed",'Model Inputs &amp; Assumptions'!$I$35*'Model Inputs &amp; Assumptions'!$K$35,IF('Model Inputs &amp; Assumptions'!$H$35="CPM",'Model Inputs &amp; Assumptions'!$I$35*'Model Inputs &amp; Assumptions'!$K$35*C3740/1000,IF('Model Inputs &amp; Assumptions'!$H$35="CPC",'Model Inputs &amp; Assumptions'!$I$35*'Model Inputs &amp; Assumptions'!$K$35*G3740,0)))</f>
        <v>8672.8</v>
      </c>
      <c r="J3740" s="50" t="n">
        <f aca="false">H3740*INDEX('Model Inputs &amp; Assumptions'!$D$40:$D$42,MATCH('Model Inputs &amp; Assumptions'!$L$35,'Model Inputs &amp; Assumptions'!$A$40:$A$42,0))*INDEX('Model Inputs &amp; Assumptions'!$H$40:$H$42,MATCH('Model Inputs &amp; Assumptions'!$L$35,'Model Inputs &amp; Assumptions'!$A$40:$A$42,0))</f>
        <v>317976.607510235</v>
      </c>
      <c r="K3740" s="49" t="n">
        <f aca="false">H3740*INDEX('Model Inputs &amp; Assumptions'!$G$40:$G$42,MATCH('Model Inputs &amp; Assumptions'!$L$35,'Model Inputs &amp; Assumptions'!$A$40:$A$42,0))*INDEX('Model Inputs &amp; Assumptions'!$H$40:$H$42,MATCH('Model Inputs &amp; Assumptions'!$L$35,'Model Inputs &amp; Assumptions'!$A$40:$A$42,0))</f>
        <v>7154.47366898028</v>
      </c>
      <c r="L3740" s="51" t="n">
        <f aca="false">IFERROR(K3740/I3740,0)</f>
        <v>0.82493239426486</v>
      </c>
      <c r="M3740" s="49" t="n">
        <f aca="false">IFERROR(I3740/H3740,0)</f>
        <v>231.837180027865</v>
      </c>
      <c r="N3740" s="52" t="str">
        <f aca="false">'Model Inputs &amp; Assumptions'!$L$35</f>
        <v>PRD-EUAI</v>
      </c>
      <c r="P3740" s="53" t="n">
        <v>0.654966</v>
      </c>
      <c r="Q3740" s="53" t="n">
        <v>-0.015798</v>
      </c>
      <c r="R3740" s="53" t="n">
        <v>0.350702</v>
      </c>
      <c r="S3740" s="53" t="n">
        <v>-0.83601</v>
      </c>
    </row>
    <row r="3741" customFormat="false" ht="15" hidden="false" customHeight="false" outlineLevel="0" collapsed="false">
      <c r="A3741" s="43" t="n">
        <v>238</v>
      </c>
      <c r="B3741" s="44" t="str">
        <f aca="false">'Model Inputs &amp; Assumptions'!$B$35</f>
        <v>justETF — Sponsored Listing</v>
      </c>
      <c r="C3741" s="45" t="n">
        <f aca="false">ROUND(MAX(0,'Model Inputs &amp; Assumptions'!$S$35*EXP('Model Inputs &amp; Assumptions'!$T$35*P3741-'Model Inputs &amp; Assumptions'!$T$35^2/2)),0)</f>
        <v>84587</v>
      </c>
      <c r="D3741" s="46" t="n">
        <f aca="false">MIN(1,'Model Inputs &amp; Assumptions'!$U$35*EXP('Model Inputs &amp; Assumptions'!$V$35*Q3741-'Model Inputs &amp; Assumptions'!$V$35^2/2))</f>
        <v>0</v>
      </c>
      <c r="E3741" s="45" t="n">
        <f aca="false">ROUND(C3741*D3741,0)</f>
        <v>0</v>
      </c>
      <c r="F3741" s="47" t="n">
        <f aca="false">MIN(1,'Model Inputs &amp; Assumptions'!$W$35*EXP('Model Inputs &amp; Assumptions'!$X$35*R3741-'Model Inputs &amp; Assumptions'!$X$35^2/2))</f>
        <v>0.00833928037266781</v>
      </c>
      <c r="G3741" s="45" t="n">
        <f aca="false">ROUND(C3741*F3741,0)</f>
        <v>705</v>
      </c>
      <c r="H3741" s="48" t="n">
        <f aca="false">MAX(0,(C3741*'Model Inputs &amp; Assumptions'!$N$35+E3741*'Model Inputs &amp; Assumptions'!$O$35+G3741*'Model Inputs &amp; Assumptions'!$P$35)*EXP('Model Inputs &amp; Assumptions'!$Q$35*S3741-'Model Inputs &amp; Assumptions'!$Q$35^2/2))</f>
        <v>52.5898211037568</v>
      </c>
      <c r="I3741" s="49" t="n">
        <f aca="false">IF('Model Inputs &amp; Assumptions'!$H$35="Fixed",'Model Inputs &amp; Assumptions'!$I$35*'Model Inputs &amp; Assumptions'!$K$35,IF('Model Inputs &amp; Assumptions'!$H$35="CPM",'Model Inputs &amp; Assumptions'!$I$35*'Model Inputs &amp; Assumptions'!$K$35*C3741/1000,IF('Model Inputs &amp; Assumptions'!$H$35="CPC",'Model Inputs &amp; Assumptions'!$I$35*'Model Inputs &amp; Assumptions'!$K$35*G3741,0)))</f>
        <v>8672.8</v>
      </c>
      <c r="J3741" s="50" t="n">
        <f aca="false">H3741*INDEX('Model Inputs &amp; Assumptions'!$D$40:$D$42,MATCH('Model Inputs &amp; Assumptions'!$L$35,'Model Inputs &amp; Assumptions'!$A$40:$A$42,0))*INDEX('Model Inputs &amp; Assumptions'!$H$40:$H$42,MATCH('Model Inputs &amp; Assumptions'!$L$35,'Model Inputs &amp; Assumptions'!$A$40:$A$42,0))</f>
        <v>447013.479381933</v>
      </c>
      <c r="K3741" s="49" t="n">
        <f aca="false">H3741*INDEX('Model Inputs &amp; Assumptions'!$G$40:$G$42,MATCH('Model Inputs &amp; Assumptions'!$L$35,'Model Inputs &amp; Assumptions'!$A$40:$A$42,0))*INDEX('Model Inputs &amp; Assumptions'!$H$40:$H$42,MATCH('Model Inputs &amp; Assumptions'!$L$35,'Model Inputs &amp; Assumptions'!$A$40:$A$42,0))</f>
        <v>10057.8032860935</v>
      </c>
      <c r="L3741" s="51" t="n">
        <f aca="false">IFERROR(K3741/I3741,0)</f>
        <v>1.15969505650926</v>
      </c>
      <c r="M3741" s="49" t="n">
        <f aca="false">IFERROR(I3741/H3741,0)</f>
        <v>164.914042641237</v>
      </c>
      <c r="N3741" s="52" t="str">
        <f aca="false">'Model Inputs &amp; Assumptions'!$L$35</f>
        <v>PRD-EUAI</v>
      </c>
      <c r="P3741" s="53" t="n">
        <v>-0.293935</v>
      </c>
      <c r="Q3741" s="53" t="n">
        <v>1.076448</v>
      </c>
      <c r="R3741" s="53" t="n">
        <v>1.194347</v>
      </c>
      <c r="S3741" s="53" t="n">
        <v>0.374557</v>
      </c>
    </row>
    <row r="3742" customFormat="false" ht="15" hidden="false" customHeight="false" outlineLevel="0" collapsed="false">
      <c r="A3742" s="43" t="n">
        <v>239</v>
      </c>
      <c r="B3742" s="44" t="str">
        <f aca="false">'Model Inputs &amp; Assumptions'!$B$35</f>
        <v>justETF — Sponsored Listing</v>
      </c>
      <c r="C3742" s="45" t="n">
        <f aca="false">ROUND(MAX(0,'Model Inputs &amp; Assumptions'!$S$35*EXP('Model Inputs &amp; Assumptions'!$T$35*P3742-'Model Inputs &amp; Assumptions'!$T$35^2/2)),0)</f>
        <v>104199</v>
      </c>
      <c r="D3742" s="46" t="n">
        <f aca="false">MIN(1,'Model Inputs &amp; Assumptions'!$U$35*EXP('Model Inputs &amp; Assumptions'!$V$35*Q3742-'Model Inputs &amp; Assumptions'!$V$35^2/2))</f>
        <v>0</v>
      </c>
      <c r="E3742" s="45" t="n">
        <f aca="false">ROUND(C3742*D3742,0)</f>
        <v>0</v>
      </c>
      <c r="F3742" s="47" t="n">
        <f aca="false">MIN(1,'Model Inputs &amp; Assumptions'!$W$35*EXP('Model Inputs &amp; Assumptions'!$X$35*R3742-'Model Inputs &amp; Assumptions'!$X$35^2/2))</f>
        <v>0.0100413997953907</v>
      </c>
      <c r="G3742" s="45" t="n">
        <f aca="false">ROUND(C3742*F3742,0)</f>
        <v>1046</v>
      </c>
      <c r="H3742" s="48" t="n">
        <f aca="false">MAX(0,(C3742*'Model Inputs &amp; Assumptions'!$N$35+E3742*'Model Inputs &amp; Assumptions'!$O$35+G3742*'Model Inputs &amp; Assumptions'!$P$35)*EXP('Model Inputs &amp; Assumptions'!$Q$35*S3742-'Model Inputs &amp; Assumptions'!$Q$35^2/2))</f>
        <v>56.5975765804179</v>
      </c>
      <c r="I3742" s="49" t="n">
        <f aca="false">IF('Model Inputs &amp; Assumptions'!$H$35="Fixed",'Model Inputs &amp; Assumptions'!$I$35*'Model Inputs &amp; Assumptions'!$K$35,IF('Model Inputs &amp; Assumptions'!$H$35="CPM",'Model Inputs &amp; Assumptions'!$I$35*'Model Inputs &amp; Assumptions'!$K$35*C3742/1000,IF('Model Inputs &amp; Assumptions'!$H$35="CPC",'Model Inputs &amp; Assumptions'!$I$35*'Model Inputs &amp; Assumptions'!$K$35*G3742,0)))</f>
        <v>8672.8</v>
      </c>
      <c r="J3742" s="50" t="n">
        <f aca="false">H3742*INDEX('Model Inputs &amp; Assumptions'!$D$40:$D$42,MATCH('Model Inputs &amp; Assumptions'!$L$35,'Model Inputs &amp; Assumptions'!$A$40:$A$42,0))*INDEX('Model Inputs &amp; Assumptions'!$H$40:$H$42,MATCH('Model Inputs &amp; Assumptions'!$L$35,'Model Inputs &amp; Assumptions'!$A$40:$A$42,0))</f>
        <v>481079.400933552</v>
      </c>
      <c r="K3742" s="49" t="n">
        <f aca="false">H3742*INDEX('Model Inputs &amp; Assumptions'!$G$40:$G$42,MATCH('Model Inputs &amp; Assumptions'!$L$35,'Model Inputs &amp; Assumptions'!$A$40:$A$42,0))*INDEX('Model Inputs &amp; Assumptions'!$H$40:$H$42,MATCH('Model Inputs &amp; Assumptions'!$L$35,'Model Inputs &amp; Assumptions'!$A$40:$A$42,0))</f>
        <v>10824.2865210049</v>
      </c>
      <c r="L3742" s="51" t="n">
        <f aca="false">IFERROR(K3742/I3742,0)</f>
        <v>1.24807288545855</v>
      </c>
      <c r="M3742" s="49" t="n">
        <f aca="false">IFERROR(I3742/H3742,0)</f>
        <v>153.236243033782</v>
      </c>
      <c r="N3742" s="52" t="str">
        <f aca="false">'Model Inputs &amp; Assumptions'!$L$35</f>
        <v>PRD-EUAI</v>
      </c>
      <c r="P3742" s="53" t="n">
        <v>1.096187</v>
      </c>
      <c r="Q3742" s="53" t="n">
        <v>1.608093</v>
      </c>
      <c r="R3742" s="53" t="n">
        <v>2.123045</v>
      </c>
      <c r="S3742" s="53" t="n">
        <v>-0.860394</v>
      </c>
    </row>
    <row r="3743" customFormat="false" ht="15" hidden="false" customHeight="false" outlineLevel="0" collapsed="false">
      <c r="A3743" s="43" t="n">
        <v>240</v>
      </c>
      <c r="B3743" s="44" t="str">
        <f aca="false">'Model Inputs &amp; Assumptions'!$B$35</f>
        <v>justETF — Sponsored Listing</v>
      </c>
      <c r="C3743" s="45" t="n">
        <f aca="false">ROUND(MAX(0,'Model Inputs &amp; Assumptions'!$S$35*EXP('Model Inputs &amp; Assumptions'!$T$35*P3743-'Model Inputs &amp; Assumptions'!$T$35^2/2)),0)</f>
        <v>80803</v>
      </c>
      <c r="D3743" s="46" t="n">
        <f aca="false">MIN(1,'Model Inputs &amp; Assumptions'!$U$35*EXP('Model Inputs &amp; Assumptions'!$V$35*Q3743-'Model Inputs &amp; Assumptions'!$V$35^2/2))</f>
        <v>0</v>
      </c>
      <c r="E3743" s="45" t="n">
        <f aca="false">ROUND(C3743*D3743,0)</f>
        <v>0</v>
      </c>
      <c r="F3743" s="47" t="n">
        <f aca="false">MIN(1,'Model Inputs &amp; Assumptions'!$W$35*EXP('Model Inputs &amp; Assumptions'!$X$35*R3743-'Model Inputs &amp; Assumptions'!$X$35^2/2))</f>
        <v>0.00481924620292096</v>
      </c>
      <c r="G3743" s="45" t="n">
        <f aca="false">ROUND(C3743*F3743,0)</f>
        <v>389</v>
      </c>
      <c r="H3743" s="48" t="n">
        <f aca="false">MAX(0,(C3743*'Model Inputs &amp; Assumptions'!$N$35+E3743*'Model Inputs &amp; Assumptions'!$O$35+G3743*'Model Inputs &amp; Assumptions'!$P$35)*EXP('Model Inputs &amp; Assumptions'!$Q$35*S3743-'Model Inputs &amp; Assumptions'!$Q$35^2/2))</f>
        <v>23.6309285705985</v>
      </c>
      <c r="I3743" s="49" t="n">
        <f aca="false">IF('Model Inputs &amp; Assumptions'!$H$35="Fixed",'Model Inputs &amp; Assumptions'!$I$35*'Model Inputs &amp; Assumptions'!$K$35,IF('Model Inputs &amp; Assumptions'!$H$35="CPM",'Model Inputs &amp; Assumptions'!$I$35*'Model Inputs &amp; Assumptions'!$K$35*C3743/1000,IF('Model Inputs &amp; Assumptions'!$H$35="CPC",'Model Inputs &amp; Assumptions'!$I$35*'Model Inputs &amp; Assumptions'!$K$35*G3743,0)))</f>
        <v>8672.8</v>
      </c>
      <c r="J3743" s="50" t="n">
        <f aca="false">H3743*INDEX('Model Inputs &amp; Assumptions'!$D$40:$D$42,MATCH('Model Inputs &amp; Assumptions'!$L$35,'Model Inputs &amp; Assumptions'!$A$40:$A$42,0))*INDEX('Model Inputs &amp; Assumptions'!$H$40:$H$42,MATCH('Model Inputs &amp; Assumptions'!$L$35,'Model Inputs &amp; Assumptions'!$A$40:$A$42,0))</f>
        <v>200862.892850087</v>
      </c>
      <c r="K3743" s="49" t="n">
        <f aca="false">H3743*INDEX('Model Inputs &amp; Assumptions'!$G$40:$G$42,MATCH('Model Inputs &amp; Assumptions'!$L$35,'Model Inputs &amp; Assumptions'!$A$40:$A$42,0))*INDEX('Model Inputs &amp; Assumptions'!$H$40:$H$42,MATCH('Model Inputs &amp; Assumptions'!$L$35,'Model Inputs &amp; Assumptions'!$A$40:$A$42,0))</f>
        <v>4519.41508912697</v>
      </c>
      <c r="L3743" s="51" t="n">
        <f aca="false">IFERROR(K3743/I3743,0)</f>
        <v>0.521102191809677</v>
      </c>
      <c r="M3743" s="49" t="n">
        <f aca="false">IFERROR(I3743/H3743,0)</f>
        <v>367.010546119235</v>
      </c>
      <c r="N3743" s="52" t="str">
        <f aca="false">'Model Inputs &amp; Assumptions'!$L$35</f>
        <v>PRD-EUAI</v>
      </c>
      <c r="P3743" s="53" t="n">
        <v>-0.599013</v>
      </c>
      <c r="Q3743" s="53" t="n">
        <v>1.053051</v>
      </c>
      <c r="R3743" s="53" t="n">
        <v>-1.54745</v>
      </c>
      <c r="S3743" s="53" t="n">
        <v>-0.415242</v>
      </c>
    </row>
    <row r="3744" customFormat="false" ht="15" hidden="false" customHeight="false" outlineLevel="0" collapsed="false">
      <c r="A3744" s="43" t="n">
        <v>241</v>
      </c>
      <c r="B3744" s="44" t="str">
        <f aca="false">'Model Inputs &amp; Assumptions'!$B$35</f>
        <v>justETF — Sponsored Listing</v>
      </c>
      <c r="C3744" s="45" t="n">
        <f aca="false">ROUND(MAX(0,'Model Inputs &amp; Assumptions'!$S$35*EXP('Model Inputs &amp; Assumptions'!$T$35*P3744-'Model Inputs &amp; Assumptions'!$T$35^2/2)),0)</f>
        <v>86400</v>
      </c>
      <c r="D3744" s="46" t="n">
        <f aca="false">MIN(1,'Model Inputs &amp; Assumptions'!$U$35*EXP('Model Inputs &amp; Assumptions'!$V$35*Q3744-'Model Inputs &amp; Assumptions'!$V$35^2/2))</f>
        <v>0</v>
      </c>
      <c r="E3744" s="45" t="n">
        <f aca="false">ROUND(C3744*D3744,0)</f>
        <v>0</v>
      </c>
      <c r="F3744" s="47" t="n">
        <f aca="false">MIN(1,'Model Inputs &amp; Assumptions'!$W$35*EXP('Model Inputs &amp; Assumptions'!$X$35*R3744-'Model Inputs &amp; Assumptions'!$X$35^2/2))</f>
        <v>0.00708024935272526</v>
      </c>
      <c r="G3744" s="45" t="n">
        <f aca="false">ROUND(C3744*F3744,0)</f>
        <v>612</v>
      </c>
      <c r="H3744" s="48" t="n">
        <f aca="false">MAX(0,(C3744*'Model Inputs &amp; Assumptions'!$N$35+E3744*'Model Inputs &amp; Assumptions'!$O$35+G3744*'Model Inputs &amp; Assumptions'!$P$35)*EXP('Model Inputs &amp; Assumptions'!$Q$35*S3744-'Model Inputs &amp; Assumptions'!$Q$35^2/2))</f>
        <v>31.5346009417301</v>
      </c>
      <c r="I3744" s="49" t="n">
        <f aca="false">IF('Model Inputs &amp; Assumptions'!$H$35="Fixed",'Model Inputs &amp; Assumptions'!$I$35*'Model Inputs &amp; Assumptions'!$K$35,IF('Model Inputs &amp; Assumptions'!$H$35="CPM",'Model Inputs &amp; Assumptions'!$I$35*'Model Inputs &amp; Assumptions'!$K$35*C3744/1000,IF('Model Inputs &amp; Assumptions'!$H$35="CPC",'Model Inputs &amp; Assumptions'!$I$35*'Model Inputs &amp; Assumptions'!$K$35*G3744,0)))</f>
        <v>8672.8</v>
      </c>
      <c r="J3744" s="50" t="n">
        <f aca="false">H3744*INDEX('Model Inputs &amp; Assumptions'!$D$40:$D$42,MATCH('Model Inputs &amp; Assumptions'!$L$35,'Model Inputs &amp; Assumptions'!$A$40:$A$42,0))*INDEX('Model Inputs &amp; Assumptions'!$H$40:$H$42,MATCH('Model Inputs &amp; Assumptions'!$L$35,'Model Inputs &amp; Assumptions'!$A$40:$A$42,0))</f>
        <v>268044.108004706</v>
      </c>
      <c r="K3744" s="49" t="n">
        <f aca="false">H3744*INDEX('Model Inputs &amp; Assumptions'!$G$40:$G$42,MATCH('Model Inputs &amp; Assumptions'!$L$35,'Model Inputs &amp; Assumptions'!$A$40:$A$42,0))*INDEX('Model Inputs &amp; Assumptions'!$H$40:$H$42,MATCH('Model Inputs &amp; Assumptions'!$L$35,'Model Inputs &amp; Assumptions'!$A$40:$A$42,0))</f>
        <v>6030.99243010588</v>
      </c>
      <c r="L3744" s="51" t="n">
        <f aca="false">IFERROR(K3744/I3744,0)</f>
        <v>0.695391618635952</v>
      </c>
      <c r="M3744" s="49" t="n">
        <f aca="false">IFERROR(I3744/H3744,0)</f>
        <v>275.024885078637</v>
      </c>
      <c r="N3744" s="52" t="str">
        <f aca="false">'Model Inputs &amp; Assumptions'!$L$35</f>
        <v>PRD-EUAI</v>
      </c>
      <c r="P3744" s="53" t="n">
        <v>-0.152574</v>
      </c>
      <c r="Q3744" s="53" t="n">
        <v>-1.641044</v>
      </c>
      <c r="R3744" s="53" t="n">
        <v>0.376008</v>
      </c>
      <c r="S3744" s="53" t="n">
        <v>-1.048411</v>
      </c>
    </row>
    <row r="3745" customFormat="false" ht="15" hidden="false" customHeight="false" outlineLevel="0" collapsed="false">
      <c r="A3745" s="43" t="n">
        <v>242</v>
      </c>
      <c r="B3745" s="44" t="str">
        <f aca="false">'Model Inputs &amp; Assumptions'!$B$35</f>
        <v>justETF — Sponsored Listing</v>
      </c>
      <c r="C3745" s="45" t="n">
        <f aca="false">ROUND(MAX(0,'Model Inputs &amp; Assumptions'!$S$35*EXP('Model Inputs &amp; Assumptions'!$T$35*P3745-'Model Inputs &amp; Assumptions'!$T$35^2/2)),0)</f>
        <v>101559</v>
      </c>
      <c r="D3745" s="46" t="n">
        <f aca="false">MIN(1,'Model Inputs &amp; Assumptions'!$U$35*EXP('Model Inputs &amp; Assumptions'!$V$35*Q3745-'Model Inputs &amp; Assumptions'!$V$35^2/2))</f>
        <v>0</v>
      </c>
      <c r="E3745" s="45" t="n">
        <f aca="false">ROUND(C3745*D3745,0)</f>
        <v>0</v>
      </c>
      <c r="F3745" s="47" t="n">
        <f aca="false">MIN(1,'Model Inputs &amp; Assumptions'!$W$35*EXP('Model Inputs &amp; Assumptions'!$X$35*R3745-'Model Inputs &amp; Assumptions'!$X$35^2/2))</f>
        <v>0.00747141291417997</v>
      </c>
      <c r="G3745" s="45" t="n">
        <f aca="false">ROUND(C3745*F3745,0)</f>
        <v>759</v>
      </c>
      <c r="H3745" s="48" t="n">
        <f aca="false">MAX(0,(C3745*'Model Inputs &amp; Assumptions'!$N$35+E3745*'Model Inputs &amp; Assumptions'!$O$35+G3745*'Model Inputs &amp; Assumptions'!$P$35)*EXP('Model Inputs &amp; Assumptions'!$Q$35*S3745-'Model Inputs &amp; Assumptions'!$Q$35^2/2))</f>
        <v>40.2989994242831</v>
      </c>
      <c r="I3745" s="49" t="n">
        <f aca="false">IF('Model Inputs &amp; Assumptions'!$H$35="Fixed",'Model Inputs &amp; Assumptions'!$I$35*'Model Inputs &amp; Assumptions'!$K$35,IF('Model Inputs &amp; Assumptions'!$H$35="CPM",'Model Inputs &amp; Assumptions'!$I$35*'Model Inputs &amp; Assumptions'!$K$35*C3745/1000,IF('Model Inputs &amp; Assumptions'!$H$35="CPC",'Model Inputs &amp; Assumptions'!$I$35*'Model Inputs &amp; Assumptions'!$K$35*G3745,0)))</f>
        <v>8672.8</v>
      </c>
      <c r="J3745" s="50" t="n">
        <f aca="false">H3745*INDEX('Model Inputs &amp; Assumptions'!$D$40:$D$42,MATCH('Model Inputs &amp; Assumptions'!$L$35,'Model Inputs &amp; Assumptions'!$A$40:$A$42,0))*INDEX('Model Inputs &amp; Assumptions'!$H$40:$H$42,MATCH('Model Inputs &amp; Assumptions'!$L$35,'Model Inputs &amp; Assumptions'!$A$40:$A$42,0))</f>
        <v>342541.495106406</v>
      </c>
      <c r="K3745" s="49" t="n">
        <f aca="false">H3745*INDEX('Model Inputs &amp; Assumptions'!$G$40:$G$42,MATCH('Model Inputs &amp; Assumptions'!$L$35,'Model Inputs &amp; Assumptions'!$A$40:$A$42,0))*INDEX('Model Inputs &amp; Assumptions'!$H$40:$H$42,MATCH('Model Inputs &amp; Assumptions'!$L$35,'Model Inputs &amp; Assumptions'!$A$40:$A$42,0))</f>
        <v>7707.18363989414</v>
      </c>
      <c r="L3745" s="51" t="n">
        <f aca="false">IFERROR(K3745/I3745,0)</f>
        <v>0.888661521065186</v>
      </c>
      <c r="M3745" s="49" t="n">
        <f aca="false">IFERROR(I3745/H3745,0)</f>
        <v>215.211298640184</v>
      </c>
      <c r="N3745" s="52" t="str">
        <f aca="false">'Model Inputs &amp; Assumptions'!$L$35</f>
        <v>PRD-EUAI</v>
      </c>
      <c r="P3745" s="53" t="n">
        <v>0.925122</v>
      </c>
      <c r="Q3745" s="53" t="n">
        <v>0.327513</v>
      </c>
      <c r="R3745" s="53" t="n">
        <v>0.644883</v>
      </c>
      <c r="S3745" s="53" t="n">
        <v>-0.933135</v>
      </c>
    </row>
    <row r="3746" customFormat="false" ht="15" hidden="false" customHeight="false" outlineLevel="0" collapsed="false">
      <c r="A3746" s="43" t="n">
        <v>243</v>
      </c>
      <c r="B3746" s="44" t="str">
        <f aca="false">'Model Inputs &amp; Assumptions'!$B$35</f>
        <v>justETF — Sponsored Listing</v>
      </c>
      <c r="C3746" s="45" t="n">
        <f aca="false">ROUND(MAX(0,'Model Inputs &amp; Assumptions'!$S$35*EXP('Model Inputs &amp; Assumptions'!$T$35*P3746-'Model Inputs &amp; Assumptions'!$T$35^2/2)),0)</f>
        <v>83090</v>
      </c>
      <c r="D3746" s="46" t="n">
        <f aca="false">MIN(1,'Model Inputs &amp; Assumptions'!$U$35*EXP('Model Inputs &amp; Assumptions'!$V$35*Q3746-'Model Inputs &amp; Assumptions'!$V$35^2/2))</f>
        <v>0</v>
      </c>
      <c r="E3746" s="45" t="n">
        <f aca="false">ROUND(C3746*D3746,0)</f>
        <v>0</v>
      </c>
      <c r="F3746" s="47" t="n">
        <f aca="false">MIN(1,'Model Inputs &amp; Assumptions'!$W$35*EXP('Model Inputs &amp; Assumptions'!$X$35*R3746-'Model Inputs &amp; Assumptions'!$X$35^2/2))</f>
        <v>0.00517817939526746</v>
      </c>
      <c r="G3746" s="45" t="n">
        <f aca="false">ROUND(C3746*F3746,0)</f>
        <v>430</v>
      </c>
      <c r="H3746" s="48" t="n">
        <f aca="false">MAX(0,(C3746*'Model Inputs &amp; Assumptions'!$N$35+E3746*'Model Inputs &amp; Assumptions'!$O$35+G3746*'Model Inputs &amp; Assumptions'!$P$35)*EXP('Model Inputs &amp; Assumptions'!$Q$35*S3746-'Model Inputs &amp; Assumptions'!$Q$35^2/2))</f>
        <v>39.8357341228923</v>
      </c>
      <c r="I3746" s="49" t="n">
        <f aca="false">IF('Model Inputs &amp; Assumptions'!$H$35="Fixed",'Model Inputs &amp; Assumptions'!$I$35*'Model Inputs &amp; Assumptions'!$K$35,IF('Model Inputs &amp; Assumptions'!$H$35="CPM",'Model Inputs &amp; Assumptions'!$I$35*'Model Inputs &amp; Assumptions'!$K$35*C3746/1000,IF('Model Inputs &amp; Assumptions'!$H$35="CPC",'Model Inputs &amp; Assumptions'!$I$35*'Model Inputs &amp; Assumptions'!$K$35*G3746,0)))</f>
        <v>8672.8</v>
      </c>
      <c r="J3746" s="50" t="n">
        <f aca="false">H3746*INDEX('Model Inputs &amp; Assumptions'!$D$40:$D$42,MATCH('Model Inputs &amp; Assumptions'!$L$35,'Model Inputs &amp; Assumptions'!$A$40:$A$42,0))*INDEX('Model Inputs &amp; Assumptions'!$H$40:$H$42,MATCH('Model Inputs &amp; Assumptions'!$L$35,'Model Inputs &amp; Assumptions'!$A$40:$A$42,0))</f>
        <v>338603.740044585</v>
      </c>
      <c r="K3746" s="49" t="n">
        <f aca="false">H3746*INDEX('Model Inputs &amp; Assumptions'!$G$40:$G$42,MATCH('Model Inputs &amp; Assumptions'!$L$35,'Model Inputs &amp; Assumptions'!$A$40:$A$42,0))*INDEX('Model Inputs &amp; Assumptions'!$H$40:$H$42,MATCH('Model Inputs &amp; Assumptions'!$L$35,'Model Inputs &amp; Assumptions'!$A$40:$A$42,0))</f>
        <v>7618.58415100316</v>
      </c>
      <c r="L3746" s="51" t="n">
        <f aca="false">IFERROR(K3746/I3746,0)</f>
        <v>0.878445732751033</v>
      </c>
      <c r="M3746" s="49" t="n">
        <f aca="false">IFERROR(I3746/H3746,0)</f>
        <v>217.714074836543</v>
      </c>
      <c r="N3746" s="52" t="str">
        <f aca="false">'Model Inputs &amp; Assumptions'!$L$35</f>
        <v>PRD-EUAI</v>
      </c>
      <c r="P3746" s="53" t="n">
        <v>-0.412965</v>
      </c>
      <c r="Q3746" s="53" t="n">
        <v>-0.375473</v>
      </c>
      <c r="R3746" s="53" t="n">
        <v>-1.18827</v>
      </c>
      <c r="S3746" s="53" t="n">
        <v>1.207843</v>
      </c>
    </row>
    <row r="3747" customFormat="false" ht="15" hidden="false" customHeight="false" outlineLevel="0" collapsed="false">
      <c r="A3747" s="43" t="n">
        <v>244</v>
      </c>
      <c r="B3747" s="44" t="str">
        <f aca="false">'Model Inputs &amp; Assumptions'!$B$35</f>
        <v>justETF — Sponsored Listing</v>
      </c>
      <c r="C3747" s="45" t="n">
        <f aca="false">ROUND(MAX(0,'Model Inputs &amp; Assumptions'!$S$35*EXP('Model Inputs &amp; Assumptions'!$T$35*P3747-'Model Inputs &amp; Assumptions'!$T$35^2/2)),0)</f>
        <v>108285</v>
      </c>
      <c r="D3747" s="46" t="n">
        <f aca="false">MIN(1,'Model Inputs &amp; Assumptions'!$U$35*EXP('Model Inputs &amp; Assumptions'!$V$35*Q3747-'Model Inputs &amp; Assumptions'!$V$35^2/2))</f>
        <v>0</v>
      </c>
      <c r="E3747" s="45" t="n">
        <f aca="false">ROUND(C3747*D3747,0)</f>
        <v>0</v>
      </c>
      <c r="F3747" s="47" t="n">
        <f aca="false">MIN(1,'Model Inputs &amp; Assumptions'!$W$35*EXP('Model Inputs &amp; Assumptions'!$X$35*R3747-'Model Inputs &amp; Assumptions'!$X$35^2/2))</f>
        <v>0.00853902067696976</v>
      </c>
      <c r="G3747" s="45" t="n">
        <f aca="false">ROUND(C3747*F3747,0)</f>
        <v>925</v>
      </c>
      <c r="H3747" s="48" t="n">
        <f aca="false">MAX(0,(C3747*'Model Inputs &amp; Assumptions'!$N$35+E3747*'Model Inputs &amp; Assumptions'!$O$35+G3747*'Model Inputs &amp; Assumptions'!$P$35)*EXP('Model Inputs &amp; Assumptions'!$Q$35*S3747-'Model Inputs &amp; Assumptions'!$Q$35^2/2))</f>
        <v>41.0441641180327</v>
      </c>
      <c r="I3747" s="49" t="n">
        <f aca="false">IF('Model Inputs &amp; Assumptions'!$H$35="Fixed",'Model Inputs &amp; Assumptions'!$I$35*'Model Inputs &amp; Assumptions'!$K$35,IF('Model Inputs &amp; Assumptions'!$H$35="CPM",'Model Inputs &amp; Assumptions'!$I$35*'Model Inputs &amp; Assumptions'!$K$35*C3747/1000,IF('Model Inputs &amp; Assumptions'!$H$35="CPC",'Model Inputs &amp; Assumptions'!$I$35*'Model Inputs &amp; Assumptions'!$K$35*G3747,0)))</f>
        <v>8672.8</v>
      </c>
      <c r="J3747" s="50" t="n">
        <f aca="false">H3747*INDEX('Model Inputs &amp; Assumptions'!$D$40:$D$42,MATCH('Model Inputs &amp; Assumptions'!$L$35,'Model Inputs &amp; Assumptions'!$A$40:$A$42,0))*INDEX('Model Inputs &amp; Assumptions'!$H$40:$H$42,MATCH('Model Inputs &amp; Assumptions'!$L$35,'Model Inputs &amp; Assumptions'!$A$40:$A$42,0))</f>
        <v>348875.395003278</v>
      </c>
      <c r="K3747" s="49" t="n">
        <f aca="false">H3747*INDEX('Model Inputs &amp; Assumptions'!$G$40:$G$42,MATCH('Model Inputs &amp; Assumptions'!$L$35,'Model Inputs &amp; Assumptions'!$A$40:$A$42,0))*INDEX('Model Inputs &amp; Assumptions'!$H$40:$H$42,MATCH('Model Inputs &amp; Assumptions'!$L$35,'Model Inputs &amp; Assumptions'!$A$40:$A$42,0))</f>
        <v>7849.69638757375</v>
      </c>
      <c r="L3747" s="51" t="n">
        <f aca="false">IFERROR(K3747/I3747,0)</f>
        <v>0.90509367073768</v>
      </c>
      <c r="M3747" s="49" t="n">
        <f aca="false">IFERROR(I3747/H3747,0)</f>
        <v>211.30409612093</v>
      </c>
      <c r="N3747" s="52" t="str">
        <f aca="false">'Model Inputs &amp; Assumptions'!$L$35</f>
        <v>PRD-EUAI</v>
      </c>
      <c r="P3747" s="53" t="n">
        <v>1.352661</v>
      </c>
      <c r="Q3747" s="53" t="n">
        <v>0.785237</v>
      </c>
      <c r="R3747" s="53" t="n">
        <v>1.312694</v>
      </c>
      <c r="S3747" s="53" t="n">
        <v>-1.623404</v>
      </c>
    </row>
    <row r="3748" customFormat="false" ht="15" hidden="false" customHeight="false" outlineLevel="0" collapsed="false">
      <c r="A3748" s="43" t="n">
        <v>245</v>
      </c>
      <c r="B3748" s="44" t="str">
        <f aca="false">'Model Inputs &amp; Assumptions'!$B$35</f>
        <v>justETF — Sponsored Listing</v>
      </c>
      <c r="C3748" s="45" t="n">
        <f aca="false">ROUND(MAX(0,'Model Inputs &amp; Assumptions'!$S$35*EXP('Model Inputs &amp; Assumptions'!$T$35*P3748-'Model Inputs &amp; Assumptions'!$T$35^2/2)),0)</f>
        <v>83910</v>
      </c>
      <c r="D3748" s="46" t="n">
        <f aca="false">MIN(1,'Model Inputs &amp; Assumptions'!$U$35*EXP('Model Inputs &amp; Assumptions'!$V$35*Q3748-'Model Inputs &amp; Assumptions'!$V$35^2/2))</f>
        <v>0</v>
      </c>
      <c r="E3748" s="45" t="n">
        <f aca="false">ROUND(C3748*D3748,0)</f>
        <v>0</v>
      </c>
      <c r="F3748" s="47" t="n">
        <f aca="false">MIN(1,'Model Inputs &amp; Assumptions'!$W$35*EXP('Model Inputs &amp; Assumptions'!$X$35*R3748-'Model Inputs &amp; Assumptions'!$X$35^2/2))</f>
        <v>0.00668531497683069</v>
      </c>
      <c r="G3748" s="45" t="n">
        <f aca="false">ROUND(C3748*F3748,0)</f>
        <v>561</v>
      </c>
      <c r="H3748" s="48" t="n">
        <f aca="false">MAX(0,(C3748*'Model Inputs &amp; Assumptions'!$N$35+E3748*'Model Inputs &amp; Assumptions'!$O$35+G3748*'Model Inputs &amp; Assumptions'!$P$35)*EXP('Model Inputs &amp; Assumptions'!$Q$35*S3748-'Model Inputs &amp; Assumptions'!$Q$35^2/2))</f>
        <v>21.3513115476244</v>
      </c>
      <c r="I3748" s="49" t="n">
        <f aca="false">IF('Model Inputs &amp; Assumptions'!$H$35="Fixed",'Model Inputs &amp; Assumptions'!$I$35*'Model Inputs &amp; Assumptions'!$K$35,IF('Model Inputs &amp; Assumptions'!$H$35="CPM",'Model Inputs &amp; Assumptions'!$I$35*'Model Inputs &amp; Assumptions'!$K$35*C3748/1000,IF('Model Inputs &amp; Assumptions'!$H$35="CPC",'Model Inputs &amp; Assumptions'!$I$35*'Model Inputs &amp; Assumptions'!$K$35*G3748,0)))</f>
        <v>8672.8</v>
      </c>
      <c r="J3748" s="50" t="n">
        <f aca="false">H3748*INDEX('Model Inputs &amp; Assumptions'!$D$40:$D$42,MATCH('Model Inputs &amp; Assumptions'!$L$35,'Model Inputs &amp; Assumptions'!$A$40:$A$42,0))*INDEX('Model Inputs &amp; Assumptions'!$H$40:$H$42,MATCH('Model Inputs &amp; Assumptions'!$L$35,'Model Inputs &amp; Assumptions'!$A$40:$A$42,0))</f>
        <v>181486.148154807</v>
      </c>
      <c r="K3748" s="49" t="n">
        <f aca="false">H3748*INDEX('Model Inputs &amp; Assumptions'!$G$40:$G$42,MATCH('Model Inputs &amp; Assumptions'!$L$35,'Model Inputs &amp; Assumptions'!$A$40:$A$42,0))*INDEX('Model Inputs &amp; Assumptions'!$H$40:$H$42,MATCH('Model Inputs &amp; Assumptions'!$L$35,'Model Inputs &amp; Assumptions'!$A$40:$A$42,0))</f>
        <v>4083.43833348316</v>
      </c>
      <c r="L3748" s="51" t="n">
        <f aca="false">IFERROR(K3748/I3748,0)</f>
        <v>0.470832756835528</v>
      </c>
      <c r="M3748" s="49" t="n">
        <f aca="false">IFERROR(I3748/H3748,0)</f>
        <v>406.195187619046</v>
      </c>
      <c r="N3748" s="52" t="str">
        <f aca="false">'Model Inputs &amp; Assumptions'!$L$35</f>
        <v>PRD-EUAI</v>
      </c>
      <c r="P3748" s="53" t="n">
        <v>-0.347479</v>
      </c>
      <c r="Q3748" s="53" t="n">
        <v>-2.295361</v>
      </c>
      <c r="R3748" s="53" t="n">
        <v>0.089029</v>
      </c>
      <c r="S3748" s="53" t="n">
        <v>-2.213645</v>
      </c>
    </row>
    <row r="3749" customFormat="false" ht="15" hidden="false" customHeight="false" outlineLevel="0" collapsed="false">
      <c r="A3749" s="43" t="n">
        <v>246</v>
      </c>
      <c r="B3749" s="44" t="str">
        <f aca="false">'Model Inputs &amp; Assumptions'!$B$35</f>
        <v>justETF — Sponsored Listing</v>
      </c>
      <c r="C3749" s="45" t="n">
        <f aca="false">ROUND(MAX(0,'Model Inputs &amp; Assumptions'!$S$35*EXP('Model Inputs &amp; Assumptions'!$T$35*P3749-'Model Inputs &amp; Assumptions'!$T$35^2/2)),0)</f>
        <v>73784</v>
      </c>
      <c r="D3749" s="46" t="n">
        <f aca="false">MIN(1,'Model Inputs &amp; Assumptions'!$U$35*EXP('Model Inputs &amp; Assumptions'!$V$35*Q3749-'Model Inputs &amp; Assumptions'!$V$35^2/2))</f>
        <v>0</v>
      </c>
      <c r="E3749" s="45" t="n">
        <f aca="false">ROUND(C3749*D3749,0)</f>
        <v>0</v>
      </c>
      <c r="F3749" s="47" t="n">
        <f aca="false">MIN(1,'Model Inputs &amp; Assumptions'!$W$35*EXP('Model Inputs &amp; Assumptions'!$X$35*R3749-'Model Inputs &amp; Assumptions'!$X$35^2/2))</f>
        <v>0.00781482777901867</v>
      </c>
      <c r="G3749" s="45" t="n">
        <f aca="false">ROUND(C3749*F3749,0)</f>
        <v>577</v>
      </c>
      <c r="H3749" s="48" t="n">
        <f aca="false">MAX(0,(C3749*'Model Inputs &amp; Assumptions'!$N$35+E3749*'Model Inputs &amp; Assumptions'!$O$35+G3749*'Model Inputs &amp; Assumptions'!$P$35)*EXP('Model Inputs &amp; Assumptions'!$Q$35*S3749-'Model Inputs &amp; Assumptions'!$Q$35^2/2))</f>
        <v>43.04421699556</v>
      </c>
      <c r="I3749" s="49" t="n">
        <f aca="false">IF('Model Inputs &amp; Assumptions'!$H$35="Fixed",'Model Inputs &amp; Assumptions'!$I$35*'Model Inputs &amp; Assumptions'!$K$35,IF('Model Inputs &amp; Assumptions'!$H$35="CPM",'Model Inputs &amp; Assumptions'!$I$35*'Model Inputs &amp; Assumptions'!$K$35*C3749/1000,IF('Model Inputs &amp; Assumptions'!$H$35="CPC",'Model Inputs &amp; Assumptions'!$I$35*'Model Inputs &amp; Assumptions'!$K$35*G3749,0)))</f>
        <v>8672.8</v>
      </c>
      <c r="J3749" s="50" t="n">
        <f aca="false">H3749*INDEX('Model Inputs &amp; Assumptions'!$D$40:$D$42,MATCH('Model Inputs &amp; Assumptions'!$L$35,'Model Inputs &amp; Assumptions'!$A$40:$A$42,0))*INDEX('Model Inputs &amp; Assumptions'!$H$40:$H$42,MATCH('Model Inputs &amp; Assumptions'!$L$35,'Model Inputs &amp; Assumptions'!$A$40:$A$42,0))</f>
        <v>365875.84446226</v>
      </c>
      <c r="K3749" s="49" t="n">
        <f aca="false">H3749*INDEX('Model Inputs &amp; Assumptions'!$G$40:$G$42,MATCH('Model Inputs &amp; Assumptions'!$L$35,'Model Inputs &amp; Assumptions'!$A$40:$A$42,0))*INDEX('Model Inputs &amp; Assumptions'!$H$40:$H$42,MATCH('Model Inputs &amp; Assumptions'!$L$35,'Model Inputs &amp; Assumptions'!$A$40:$A$42,0))</f>
        <v>8232.20650040084</v>
      </c>
      <c r="L3749" s="51" t="n">
        <f aca="false">IFERROR(K3749/I3749,0)</f>
        <v>0.949198240522189</v>
      </c>
      <c r="M3749" s="49" t="n">
        <f aca="false">IFERROR(I3749/H3749,0)</f>
        <v>201.485834923995</v>
      </c>
      <c r="N3749" s="52" t="str">
        <f aca="false">'Model Inputs &amp; Assumptions'!$L$35</f>
        <v>PRD-EUAI</v>
      </c>
      <c r="P3749" s="53" t="n">
        <v>-1.204822</v>
      </c>
      <c r="Q3749" s="53" t="n">
        <v>0.373147</v>
      </c>
      <c r="R3749" s="53" t="n">
        <v>0.869577</v>
      </c>
      <c r="S3749" s="53" t="n">
        <v>0.374791</v>
      </c>
    </row>
    <row r="3750" customFormat="false" ht="15" hidden="false" customHeight="false" outlineLevel="0" collapsed="false">
      <c r="A3750" s="43" t="n">
        <v>247</v>
      </c>
      <c r="B3750" s="44" t="str">
        <f aca="false">'Model Inputs &amp; Assumptions'!$B$35</f>
        <v>justETF — Sponsored Listing</v>
      </c>
      <c r="C3750" s="45" t="n">
        <f aca="false">ROUND(MAX(0,'Model Inputs &amp; Assumptions'!$S$35*EXP('Model Inputs &amp; Assumptions'!$T$35*P3750-'Model Inputs &amp; Assumptions'!$T$35^2/2)),0)</f>
        <v>121920</v>
      </c>
      <c r="D3750" s="46" t="n">
        <f aca="false">MIN(1,'Model Inputs &amp; Assumptions'!$U$35*EXP('Model Inputs &amp; Assumptions'!$V$35*Q3750-'Model Inputs &amp; Assumptions'!$V$35^2/2))</f>
        <v>0</v>
      </c>
      <c r="E3750" s="45" t="n">
        <f aca="false">ROUND(C3750*D3750,0)</f>
        <v>0</v>
      </c>
      <c r="F3750" s="47" t="n">
        <f aca="false">MIN(1,'Model Inputs &amp; Assumptions'!$W$35*EXP('Model Inputs &amp; Assumptions'!$X$35*R3750-'Model Inputs &amp; Assumptions'!$X$35^2/2))</f>
        <v>0.00686617736041823</v>
      </c>
      <c r="G3750" s="45" t="n">
        <f aca="false">ROUND(C3750*F3750,0)</f>
        <v>837</v>
      </c>
      <c r="H3750" s="48" t="n">
        <f aca="false">MAX(0,(C3750*'Model Inputs &amp; Assumptions'!$N$35+E3750*'Model Inputs &amp; Assumptions'!$O$35+G3750*'Model Inputs &amp; Assumptions'!$P$35)*EXP('Model Inputs &amp; Assumptions'!$Q$35*S3750-'Model Inputs &amp; Assumptions'!$Q$35^2/2))</f>
        <v>41.9004963766788</v>
      </c>
      <c r="I3750" s="49" t="n">
        <f aca="false">IF('Model Inputs &amp; Assumptions'!$H$35="Fixed",'Model Inputs &amp; Assumptions'!$I$35*'Model Inputs &amp; Assumptions'!$K$35,IF('Model Inputs &amp; Assumptions'!$H$35="CPM",'Model Inputs &amp; Assumptions'!$I$35*'Model Inputs &amp; Assumptions'!$K$35*C3750/1000,IF('Model Inputs &amp; Assumptions'!$H$35="CPC",'Model Inputs &amp; Assumptions'!$I$35*'Model Inputs &amp; Assumptions'!$K$35*G3750,0)))</f>
        <v>8672.8</v>
      </c>
      <c r="J3750" s="50" t="n">
        <f aca="false">H3750*INDEX('Model Inputs &amp; Assumptions'!$D$40:$D$42,MATCH('Model Inputs &amp; Assumptions'!$L$35,'Model Inputs &amp; Assumptions'!$A$40:$A$42,0))*INDEX('Model Inputs &amp; Assumptions'!$H$40:$H$42,MATCH('Model Inputs &amp; Assumptions'!$L$35,'Model Inputs &amp; Assumptions'!$A$40:$A$42,0))</f>
        <v>356154.219201769</v>
      </c>
      <c r="K3750" s="49" t="n">
        <f aca="false">H3750*INDEX('Model Inputs &amp; Assumptions'!$G$40:$G$42,MATCH('Model Inputs &amp; Assumptions'!$L$35,'Model Inputs &amp; Assumptions'!$A$40:$A$42,0))*INDEX('Model Inputs &amp; Assumptions'!$H$40:$H$42,MATCH('Model Inputs &amp; Assumptions'!$L$35,'Model Inputs &amp; Assumptions'!$A$40:$A$42,0))</f>
        <v>8013.46993203981</v>
      </c>
      <c r="L3750" s="51" t="n">
        <f aca="false">IFERROR(K3750/I3750,0)</f>
        <v>0.923977254409166</v>
      </c>
      <c r="M3750" s="49" t="n">
        <f aca="false">IFERROR(I3750/H3750,0)</f>
        <v>206.985614729547</v>
      </c>
      <c r="N3750" s="52" t="str">
        <f aca="false">'Model Inputs &amp; Assumptions'!$L$35</f>
        <v>PRD-EUAI</v>
      </c>
      <c r="P3750" s="53" t="n">
        <v>2.143273</v>
      </c>
      <c r="Q3750" s="53" t="n">
        <v>1.937495</v>
      </c>
      <c r="R3750" s="53" t="n">
        <v>0.2225</v>
      </c>
      <c r="S3750" s="53" t="n">
        <v>-1.159486</v>
      </c>
    </row>
    <row r="3751" customFormat="false" ht="15" hidden="false" customHeight="false" outlineLevel="0" collapsed="false">
      <c r="A3751" s="43" t="n">
        <v>248</v>
      </c>
      <c r="B3751" s="44" t="str">
        <f aca="false">'Model Inputs &amp; Assumptions'!$B$35</f>
        <v>justETF — Sponsored Listing</v>
      </c>
      <c r="C3751" s="45" t="n">
        <f aca="false">ROUND(MAX(0,'Model Inputs &amp; Assumptions'!$S$35*EXP('Model Inputs &amp; Assumptions'!$T$35*P3751-'Model Inputs &amp; Assumptions'!$T$35^2/2)),0)</f>
        <v>102158</v>
      </c>
      <c r="D3751" s="46" t="n">
        <f aca="false">MIN(1,'Model Inputs &amp; Assumptions'!$U$35*EXP('Model Inputs &amp; Assumptions'!$V$35*Q3751-'Model Inputs &amp; Assumptions'!$V$35^2/2))</f>
        <v>0</v>
      </c>
      <c r="E3751" s="45" t="n">
        <f aca="false">ROUND(C3751*D3751,0)</f>
        <v>0</v>
      </c>
      <c r="F3751" s="47" t="n">
        <f aca="false">MIN(1,'Model Inputs &amp; Assumptions'!$W$35*EXP('Model Inputs &amp; Assumptions'!$X$35*R3751-'Model Inputs &amp; Assumptions'!$X$35^2/2))</f>
        <v>0.00717048809131369</v>
      </c>
      <c r="G3751" s="45" t="n">
        <f aca="false">ROUND(C3751*F3751,0)</f>
        <v>733</v>
      </c>
      <c r="H3751" s="48" t="n">
        <f aca="false">MAX(0,(C3751*'Model Inputs &amp; Assumptions'!$N$35+E3751*'Model Inputs &amp; Assumptions'!$O$35+G3751*'Model Inputs &amp; Assumptions'!$P$35)*EXP('Model Inputs &amp; Assumptions'!$Q$35*S3751-'Model Inputs &amp; Assumptions'!$Q$35^2/2))</f>
        <v>58.4143118043658</v>
      </c>
      <c r="I3751" s="49" t="n">
        <f aca="false">IF('Model Inputs &amp; Assumptions'!$H$35="Fixed",'Model Inputs &amp; Assumptions'!$I$35*'Model Inputs &amp; Assumptions'!$K$35,IF('Model Inputs &amp; Assumptions'!$H$35="CPM",'Model Inputs &amp; Assumptions'!$I$35*'Model Inputs &amp; Assumptions'!$K$35*C3751/1000,IF('Model Inputs &amp; Assumptions'!$H$35="CPC",'Model Inputs &amp; Assumptions'!$I$35*'Model Inputs &amp; Assumptions'!$K$35*G3751,0)))</f>
        <v>8672.8</v>
      </c>
      <c r="J3751" s="50" t="n">
        <f aca="false">H3751*INDEX('Model Inputs &amp; Assumptions'!$D$40:$D$42,MATCH('Model Inputs &amp; Assumptions'!$L$35,'Model Inputs &amp; Assumptions'!$A$40:$A$42,0))*INDEX('Model Inputs &amp; Assumptions'!$H$40:$H$42,MATCH('Model Inputs &amp; Assumptions'!$L$35,'Model Inputs &amp; Assumptions'!$A$40:$A$42,0))</f>
        <v>496521.650337109</v>
      </c>
      <c r="K3751" s="49" t="n">
        <f aca="false">H3751*INDEX('Model Inputs &amp; Assumptions'!$G$40:$G$42,MATCH('Model Inputs &amp; Assumptions'!$L$35,'Model Inputs &amp; Assumptions'!$A$40:$A$42,0))*INDEX('Model Inputs &amp; Assumptions'!$H$40:$H$42,MATCH('Model Inputs &amp; Assumptions'!$L$35,'Model Inputs &amp; Assumptions'!$A$40:$A$42,0))</f>
        <v>11171.737132585</v>
      </c>
      <c r="L3751" s="51" t="n">
        <f aca="false">IFERROR(K3751/I3751,0)</f>
        <v>1.28813498899836</v>
      </c>
      <c r="M3751" s="49" t="n">
        <f aca="false">IFERROR(I3751/H3751,0)</f>
        <v>148.470464379447</v>
      </c>
      <c r="N3751" s="52" t="str">
        <f aca="false">'Model Inputs &amp; Assumptions'!$L$35</f>
        <v>PRD-EUAI</v>
      </c>
      <c r="P3751" s="53" t="n">
        <v>0.964337</v>
      </c>
      <c r="Q3751" s="53" t="n">
        <v>-0.917278</v>
      </c>
      <c r="R3751" s="53" t="n">
        <v>0.439331</v>
      </c>
      <c r="S3751" s="53" t="n">
        <v>0.628751</v>
      </c>
    </row>
    <row r="3752" customFormat="false" ht="15" hidden="false" customHeight="false" outlineLevel="0" collapsed="false">
      <c r="A3752" s="43" t="n">
        <v>249</v>
      </c>
      <c r="B3752" s="44" t="str">
        <f aca="false">'Model Inputs &amp; Assumptions'!$B$35</f>
        <v>justETF — Sponsored Listing</v>
      </c>
      <c r="C3752" s="45" t="n">
        <f aca="false">ROUND(MAX(0,'Model Inputs &amp; Assumptions'!$S$35*EXP('Model Inputs &amp; Assumptions'!$T$35*P3752-'Model Inputs &amp; Assumptions'!$T$35^2/2)),0)</f>
        <v>104814</v>
      </c>
      <c r="D3752" s="46" t="n">
        <f aca="false">MIN(1,'Model Inputs &amp; Assumptions'!$U$35*EXP('Model Inputs &amp; Assumptions'!$V$35*Q3752-'Model Inputs &amp; Assumptions'!$V$35^2/2))</f>
        <v>0</v>
      </c>
      <c r="E3752" s="45" t="n">
        <f aca="false">ROUND(C3752*D3752,0)</f>
        <v>0</v>
      </c>
      <c r="F3752" s="47" t="n">
        <f aca="false">MIN(1,'Model Inputs &amp; Assumptions'!$W$35*EXP('Model Inputs &amp; Assumptions'!$X$35*R3752-'Model Inputs &amp; Assumptions'!$X$35^2/2))</f>
        <v>0.00699565139269275</v>
      </c>
      <c r="G3752" s="45" t="n">
        <f aca="false">ROUND(C3752*F3752,0)</f>
        <v>733</v>
      </c>
      <c r="H3752" s="48" t="n">
        <f aca="false">MAX(0,(C3752*'Model Inputs &amp; Assumptions'!$N$35+E3752*'Model Inputs &amp; Assumptions'!$O$35+G3752*'Model Inputs &amp; Assumptions'!$P$35)*EXP('Model Inputs &amp; Assumptions'!$Q$35*S3752-'Model Inputs &amp; Assumptions'!$Q$35^2/2))</f>
        <v>53.6038023514754</v>
      </c>
      <c r="I3752" s="49" t="n">
        <f aca="false">IF('Model Inputs &amp; Assumptions'!$H$35="Fixed",'Model Inputs &amp; Assumptions'!$I$35*'Model Inputs &amp; Assumptions'!$K$35,IF('Model Inputs &amp; Assumptions'!$H$35="CPM",'Model Inputs &amp; Assumptions'!$I$35*'Model Inputs &amp; Assumptions'!$K$35*C3752/1000,IF('Model Inputs &amp; Assumptions'!$H$35="CPC",'Model Inputs &amp; Assumptions'!$I$35*'Model Inputs &amp; Assumptions'!$K$35*G3752,0)))</f>
        <v>8672.8</v>
      </c>
      <c r="J3752" s="50" t="n">
        <f aca="false">H3752*INDEX('Model Inputs &amp; Assumptions'!$D$40:$D$42,MATCH('Model Inputs &amp; Assumptions'!$L$35,'Model Inputs &amp; Assumptions'!$A$40:$A$42,0))*INDEX('Model Inputs &amp; Assumptions'!$H$40:$H$42,MATCH('Model Inputs &amp; Assumptions'!$L$35,'Model Inputs &amp; Assumptions'!$A$40:$A$42,0))</f>
        <v>455632.319987541</v>
      </c>
      <c r="K3752" s="49" t="n">
        <f aca="false">H3752*INDEX('Model Inputs &amp; Assumptions'!$G$40:$G$42,MATCH('Model Inputs &amp; Assumptions'!$L$35,'Model Inputs &amp; Assumptions'!$A$40:$A$42,0))*INDEX('Model Inputs &amp; Assumptions'!$H$40:$H$42,MATCH('Model Inputs &amp; Assumptions'!$L$35,'Model Inputs &amp; Assumptions'!$A$40:$A$42,0))</f>
        <v>10251.7271997197</v>
      </c>
      <c r="L3752" s="51" t="n">
        <f aca="false">IFERROR(K3752/I3752,0)</f>
        <v>1.18205506868827</v>
      </c>
      <c r="M3752" s="49" t="n">
        <f aca="false">IFERROR(I3752/H3752,0)</f>
        <v>161.79449254613</v>
      </c>
      <c r="N3752" s="52" t="str">
        <f aca="false">'Model Inputs &amp; Assumptions'!$L$35</f>
        <v>PRD-EUAI</v>
      </c>
      <c r="P3752" s="53" t="n">
        <v>1.135422</v>
      </c>
      <c r="Q3752" s="53" t="n">
        <v>0.524735</v>
      </c>
      <c r="R3752" s="53" t="n">
        <v>0.315906</v>
      </c>
      <c r="S3752" s="53" t="n">
        <v>0.298209</v>
      </c>
    </row>
    <row r="3753" customFormat="false" ht="15" hidden="false" customHeight="false" outlineLevel="0" collapsed="false">
      <c r="A3753" s="43" t="n">
        <v>250</v>
      </c>
      <c r="B3753" s="44" t="str">
        <f aca="false">'Model Inputs &amp; Assumptions'!$B$35</f>
        <v>justETF — Sponsored Listing</v>
      </c>
      <c r="C3753" s="45" t="n">
        <f aca="false">ROUND(MAX(0,'Model Inputs &amp; Assumptions'!$S$35*EXP('Model Inputs &amp; Assumptions'!$T$35*P3753-'Model Inputs &amp; Assumptions'!$T$35^2/2)),0)</f>
        <v>88941</v>
      </c>
      <c r="D3753" s="46" t="n">
        <f aca="false">MIN(1,'Model Inputs &amp; Assumptions'!$U$35*EXP('Model Inputs &amp; Assumptions'!$V$35*Q3753-'Model Inputs &amp; Assumptions'!$V$35^2/2))</f>
        <v>0</v>
      </c>
      <c r="E3753" s="45" t="n">
        <f aca="false">ROUND(C3753*D3753,0)</f>
        <v>0</v>
      </c>
      <c r="F3753" s="47" t="n">
        <f aca="false">MIN(1,'Model Inputs &amp; Assumptions'!$W$35*EXP('Model Inputs &amp; Assumptions'!$X$35*R3753-'Model Inputs &amp; Assumptions'!$X$35^2/2))</f>
        <v>0.010122654444946</v>
      </c>
      <c r="G3753" s="45" t="n">
        <f aca="false">ROUND(C3753*F3753,0)</f>
        <v>900</v>
      </c>
      <c r="H3753" s="48" t="n">
        <f aca="false">MAX(0,(C3753*'Model Inputs &amp; Assumptions'!$N$35+E3753*'Model Inputs &amp; Assumptions'!$O$35+G3753*'Model Inputs &amp; Assumptions'!$P$35)*EXP('Model Inputs &amp; Assumptions'!$Q$35*S3753-'Model Inputs &amp; Assumptions'!$Q$35^2/2))</f>
        <v>68.3319144693484</v>
      </c>
      <c r="I3753" s="49" t="n">
        <f aca="false">IF('Model Inputs &amp; Assumptions'!$H$35="Fixed",'Model Inputs &amp; Assumptions'!$I$35*'Model Inputs &amp; Assumptions'!$K$35,IF('Model Inputs &amp; Assumptions'!$H$35="CPM",'Model Inputs &amp; Assumptions'!$I$35*'Model Inputs &amp; Assumptions'!$K$35*C3753/1000,IF('Model Inputs &amp; Assumptions'!$H$35="CPC",'Model Inputs &amp; Assumptions'!$I$35*'Model Inputs &amp; Assumptions'!$K$35*G3753,0)))</f>
        <v>8672.8</v>
      </c>
      <c r="J3753" s="50" t="n">
        <f aca="false">H3753*INDEX('Model Inputs &amp; Assumptions'!$D$40:$D$42,MATCH('Model Inputs &amp; Assumptions'!$L$35,'Model Inputs &amp; Assumptions'!$A$40:$A$42,0))*INDEX('Model Inputs &amp; Assumptions'!$H$40:$H$42,MATCH('Model Inputs &amp; Assumptions'!$L$35,'Model Inputs &amp; Assumptions'!$A$40:$A$42,0))</f>
        <v>580821.272989462</v>
      </c>
      <c r="K3753" s="49" t="n">
        <f aca="false">H3753*INDEX('Model Inputs &amp; Assumptions'!$G$40:$G$42,MATCH('Model Inputs &amp; Assumptions'!$L$35,'Model Inputs &amp; Assumptions'!$A$40:$A$42,0))*INDEX('Model Inputs &amp; Assumptions'!$H$40:$H$42,MATCH('Model Inputs &amp; Assumptions'!$L$35,'Model Inputs &amp; Assumptions'!$A$40:$A$42,0))</f>
        <v>13068.4786422629</v>
      </c>
      <c r="L3753" s="51" t="n">
        <f aca="false">IFERROR(K3753/I3753,0)</f>
        <v>1.50683500625667</v>
      </c>
      <c r="M3753" s="49" t="n">
        <f aca="false">IFERROR(I3753/H3753,0)</f>
        <v>126.921659774224</v>
      </c>
      <c r="N3753" s="52" t="str">
        <f aca="false">'Model Inputs &amp; Assumptions'!$L$35</f>
        <v>PRD-EUAI</v>
      </c>
      <c r="P3753" s="53" t="n">
        <v>0.040698</v>
      </c>
      <c r="Q3753" s="53" t="n">
        <v>-0.566811</v>
      </c>
      <c r="R3753" s="53" t="n">
        <v>2.163342</v>
      </c>
      <c r="S3753" s="53" t="n">
        <v>0.44247</v>
      </c>
    </row>
    <row r="3754" customFormat="false" ht="15" hidden="false" customHeight="false" outlineLevel="0" collapsed="false">
      <c r="A3754" s="43" t="n">
        <v>251</v>
      </c>
      <c r="B3754" s="44" t="str">
        <f aca="false">'Model Inputs &amp; Assumptions'!$B$35</f>
        <v>justETF — Sponsored Listing</v>
      </c>
      <c r="C3754" s="45" t="n">
        <f aca="false">ROUND(MAX(0,'Model Inputs &amp; Assumptions'!$S$35*EXP('Model Inputs &amp; Assumptions'!$T$35*P3754-'Model Inputs &amp; Assumptions'!$T$35^2/2)),0)</f>
        <v>61101</v>
      </c>
      <c r="D3754" s="46" t="n">
        <f aca="false">MIN(1,'Model Inputs &amp; Assumptions'!$U$35*EXP('Model Inputs &amp; Assumptions'!$V$35*Q3754-'Model Inputs &amp; Assumptions'!$V$35^2/2))</f>
        <v>0</v>
      </c>
      <c r="E3754" s="45" t="n">
        <f aca="false">ROUND(C3754*D3754,0)</f>
        <v>0</v>
      </c>
      <c r="F3754" s="47" t="n">
        <f aca="false">MIN(1,'Model Inputs &amp; Assumptions'!$W$35*EXP('Model Inputs &amp; Assumptions'!$X$35*R3754-'Model Inputs &amp; Assumptions'!$X$35^2/2))</f>
        <v>0.00505405820943107</v>
      </c>
      <c r="G3754" s="45" t="n">
        <f aca="false">ROUND(C3754*F3754,0)</f>
        <v>309</v>
      </c>
      <c r="H3754" s="48" t="n">
        <f aca="false">MAX(0,(C3754*'Model Inputs &amp; Assumptions'!$N$35+E3754*'Model Inputs &amp; Assumptions'!$O$35+G3754*'Model Inputs &amp; Assumptions'!$P$35)*EXP('Model Inputs &amp; Assumptions'!$Q$35*S3754-'Model Inputs &amp; Assumptions'!$Q$35^2/2))</f>
        <v>19.4628387050366</v>
      </c>
      <c r="I3754" s="49" t="n">
        <f aca="false">IF('Model Inputs &amp; Assumptions'!$H$35="Fixed",'Model Inputs &amp; Assumptions'!$I$35*'Model Inputs &amp; Assumptions'!$K$35,IF('Model Inputs &amp; Assumptions'!$H$35="CPM",'Model Inputs &amp; Assumptions'!$I$35*'Model Inputs &amp; Assumptions'!$K$35*C3754/1000,IF('Model Inputs &amp; Assumptions'!$H$35="CPC",'Model Inputs &amp; Assumptions'!$I$35*'Model Inputs &amp; Assumptions'!$K$35*G3754,0)))</f>
        <v>8672.8</v>
      </c>
      <c r="J3754" s="50" t="n">
        <f aca="false">H3754*INDEX('Model Inputs &amp; Assumptions'!$D$40:$D$42,MATCH('Model Inputs &amp; Assumptions'!$L$35,'Model Inputs &amp; Assumptions'!$A$40:$A$42,0))*INDEX('Model Inputs &amp; Assumptions'!$H$40:$H$42,MATCH('Model Inputs &amp; Assumptions'!$L$35,'Model Inputs &amp; Assumptions'!$A$40:$A$42,0))</f>
        <v>165434.128992811</v>
      </c>
      <c r="K3754" s="49" t="n">
        <f aca="false">H3754*INDEX('Model Inputs &amp; Assumptions'!$G$40:$G$42,MATCH('Model Inputs &amp; Assumptions'!$L$35,'Model Inputs &amp; Assumptions'!$A$40:$A$42,0))*INDEX('Model Inputs &amp; Assumptions'!$H$40:$H$42,MATCH('Model Inputs &amp; Assumptions'!$L$35,'Model Inputs &amp; Assumptions'!$A$40:$A$42,0))</f>
        <v>3722.26790233825</v>
      </c>
      <c r="L3754" s="51" t="n">
        <f aca="false">IFERROR(K3754/I3754,0)</f>
        <v>0.42918871671643</v>
      </c>
      <c r="M3754" s="49" t="n">
        <f aca="false">IFERROR(I3754/H3754,0)</f>
        <v>445.608173167239</v>
      </c>
      <c r="N3754" s="52" t="str">
        <f aca="false">'Model Inputs &amp; Assumptions'!$L$35</f>
        <v>PRD-EUAI</v>
      </c>
      <c r="P3754" s="53" t="n">
        <v>-2.462233</v>
      </c>
      <c r="Q3754" s="53" t="n">
        <v>-0.799103</v>
      </c>
      <c r="R3754" s="53" t="n">
        <v>-1.30958</v>
      </c>
      <c r="S3754" s="53" t="n">
        <v>-0.276055</v>
      </c>
    </row>
    <row r="3755" customFormat="false" ht="15" hidden="false" customHeight="false" outlineLevel="0" collapsed="false">
      <c r="A3755" s="43" t="n">
        <v>252</v>
      </c>
      <c r="B3755" s="44" t="str">
        <f aca="false">'Model Inputs &amp; Assumptions'!$B$35</f>
        <v>justETF — Sponsored Listing</v>
      </c>
      <c r="C3755" s="45" t="n">
        <f aca="false">ROUND(MAX(0,'Model Inputs &amp; Assumptions'!$S$35*EXP('Model Inputs &amp; Assumptions'!$T$35*P3755-'Model Inputs &amp; Assumptions'!$T$35^2/2)),0)</f>
        <v>85759</v>
      </c>
      <c r="D3755" s="46" t="n">
        <f aca="false">MIN(1,'Model Inputs &amp; Assumptions'!$U$35*EXP('Model Inputs &amp; Assumptions'!$V$35*Q3755-'Model Inputs &amp; Assumptions'!$V$35^2/2))</f>
        <v>0</v>
      </c>
      <c r="E3755" s="45" t="n">
        <f aca="false">ROUND(C3755*D3755,0)</f>
        <v>0</v>
      </c>
      <c r="F3755" s="47" t="n">
        <f aca="false">MIN(1,'Model Inputs &amp; Assumptions'!$W$35*EXP('Model Inputs &amp; Assumptions'!$X$35*R3755-'Model Inputs &amp; Assumptions'!$X$35^2/2))</f>
        <v>0.00539461549957269</v>
      </c>
      <c r="G3755" s="45" t="n">
        <f aca="false">ROUND(C3755*F3755,0)</f>
        <v>463</v>
      </c>
      <c r="H3755" s="48" t="n">
        <f aca="false">MAX(0,(C3755*'Model Inputs &amp; Assumptions'!$N$35+E3755*'Model Inputs &amp; Assumptions'!$O$35+G3755*'Model Inputs &amp; Assumptions'!$P$35)*EXP('Model Inputs &amp; Assumptions'!$Q$35*S3755-'Model Inputs &amp; Assumptions'!$Q$35^2/2))</f>
        <v>25.1369234040127</v>
      </c>
      <c r="I3755" s="49" t="n">
        <f aca="false">IF('Model Inputs &amp; Assumptions'!$H$35="Fixed",'Model Inputs &amp; Assumptions'!$I$35*'Model Inputs &amp; Assumptions'!$K$35,IF('Model Inputs &amp; Assumptions'!$H$35="CPM",'Model Inputs &amp; Assumptions'!$I$35*'Model Inputs &amp; Assumptions'!$K$35*C3755/1000,IF('Model Inputs &amp; Assumptions'!$H$35="CPC",'Model Inputs &amp; Assumptions'!$I$35*'Model Inputs &amp; Assumptions'!$K$35*G3755,0)))</f>
        <v>8672.8</v>
      </c>
      <c r="J3755" s="50" t="n">
        <f aca="false">H3755*INDEX('Model Inputs &amp; Assumptions'!$D$40:$D$42,MATCH('Model Inputs &amp; Assumptions'!$L$35,'Model Inputs &amp; Assumptions'!$A$40:$A$42,0))*INDEX('Model Inputs &amp; Assumptions'!$H$40:$H$42,MATCH('Model Inputs &amp; Assumptions'!$L$35,'Model Inputs &amp; Assumptions'!$A$40:$A$42,0))</f>
        <v>213663.848934108</v>
      </c>
      <c r="K3755" s="49" t="n">
        <f aca="false">H3755*INDEX('Model Inputs &amp; Assumptions'!$G$40:$G$42,MATCH('Model Inputs &amp; Assumptions'!$L$35,'Model Inputs &amp; Assumptions'!$A$40:$A$42,0))*INDEX('Model Inputs &amp; Assumptions'!$H$40:$H$42,MATCH('Model Inputs &amp; Assumptions'!$L$35,'Model Inputs &amp; Assumptions'!$A$40:$A$42,0))</f>
        <v>4807.43660101742</v>
      </c>
      <c r="L3755" s="51" t="n">
        <f aca="false">IFERROR(K3755/I3755,0)</f>
        <v>0.554311940897682</v>
      </c>
      <c r="M3755" s="49" t="n">
        <f aca="false">IFERROR(I3755/H3755,0)</f>
        <v>345.022334698905</v>
      </c>
      <c r="N3755" s="52" t="str">
        <f aca="false">'Model Inputs &amp; Assumptions'!$L$35</f>
        <v>PRD-EUAI</v>
      </c>
      <c r="P3755" s="53" t="n">
        <v>-0.2022</v>
      </c>
      <c r="Q3755" s="53" t="n">
        <v>0.208486</v>
      </c>
      <c r="R3755" s="53" t="n">
        <v>-0.983531</v>
      </c>
      <c r="S3755" s="53" t="n">
        <v>-0.84742</v>
      </c>
    </row>
    <row r="3756" customFormat="false" ht="15" hidden="false" customHeight="false" outlineLevel="0" collapsed="false">
      <c r="A3756" s="43" t="n">
        <v>253</v>
      </c>
      <c r="B3756" s="44" t="str">
        <f aca="false">'Model Inputs &amp; Assumptions'!$B$35</f>
        <v>justETF — Sponsored Listing</v>
      </c>
      <c r="C3756" s="45" t="n">
        <f aca="false">ROUND(MAX(0,'Model Inputs &amp; Assumptions'!$S$35*EXP('Model Inputs &amp; Assumptions'!$T$35*P3756-'Model Inputs &amp; Assumptions'!$T$35^2/2)),0)</f>
        <v>87811</v>
      </c>
      <c r="D3756" s="46" t="n">
        <f aca="false">MIN(1,'Model Inputs &amp; Assumptions'!$U$35*EXP('Model Inputs &amp; Assumptions'!$V$35*Q3756-'Model Inputs &amp; Assumptions'!$V$35^2/2))</f>
        <v>0</v>
      </c>
      <c r="E3756" s="45" t="n">
        <f aca="false">ROUND(C3756*D3756,0)</f>
        <v>0</v>
      </c>
      <c r="F3756" s="47" t="n">
        <f aca="false">MIN(1,'Model Inputs &amp; Assumptions'!$W$35*EXP('Model Inputs &amp; Assumptions'!$X$35*R3756-'Model Inputs &amp; Assumptions'!$X$35^2/2))</f>
        <v>0.00942222939192628</v>
      </c>
      <c r="G3756" s="45" t="n">
        <f aca="false">ROUND(C3756*F3756,0)</f>
        <v>827</v>
      </c>
      <c r="H3756" s="48" t="n">
        <f aca="false">MAX(0,(C3756*'Model Inputs &amp; Assumptions'!$N$35+E3756*'Model Inputs &amp; Assumptions'!$O$35+G3756*'Model Inputs &amp; Assumptions'!$P$35)*EXP('Model Inputs &amp; Assumptions'!$Q$35*S3756-'Model Inputs &amp; Assumptions'!$Q$35^2/2))</f>
        <v>50.5439956547924</v>
      </c>
      <c r="I3756" s="49" t="n">
        <f aca="false">IF('Model Inputs &amp; Assumptions'!$H$35="Fixed",'Model Inputs &amp; Assumptions'!$I$35*'Model Inputs &amp; Assumptions'!$K$35,IF('Model Inputs &amp; Assumptions'!$H$35="CPM",'Model Inputs &amp; Assumptions'!$I$35*'Model Inputs &amp; Assumptions'!$K$35*C3756/1000,IF('Model Inputs &amp; Assumptions'!$H$35="CPC",'Model Inputs &amp; Assumptions'!$I$35*'Model Inputs &amp; Assumptions'!$K$35*G3756,0)))</f>
        <v>8672.8</v>
      </c>
      <c r="J3756" s="50" t="n">
        <f aca="false">H3756*INDEX('Model Inputs &amp; Assumptions'!$D$40:$D$42,MATCH('Model Inputs &amp; Assumptions'!$L$35,'Model Inputs &amp; Assumptions'!$A$40:$A$42,0))*INDEX('Model Inputs &amp; Assumptions'!$H$40:$H$42,MATCH('Model Inputs &amp; Assumptions'!$L$35,'Model Inputs &amp; Assumptions'!$A$40:$A$42,0))</f>
        <v>429623.963065735</v>
      </c>
      <c r="K3756" s="49" t="n">
        <f aca="false">H3756*INDEX('Model Inputs &amp; Assumptions'!$G$40:$G$42,MATCH('Model Inputs &amp; Assumptions'!$L$35,'Model Inputs &amp; Assumptions'!$A$40:$A$42,0))*INDEX('Model Inputs &amp; Assumptions'!$H$40:$H$42,MATCH('Model Inputs &amp; Assumptions'!$L$35,'Model Inputs &amp; Assumptions'!$A$40:$A$42,0))</f>
        <v>9666.53916897904</v>
      </c>
      <c r="L3756" s="51" t="n">
        <f aca="false">IFERROR(K3756/I3756,0)</f>
        <v>1.11458112362548</v>
      </c>
      <c r="M3756" s="49" t="n">
        <f aca="false">IFERROR(I3756/H3756,0)</f>
        <v>171.589125229313</v>
      </c>
      <c r="N3756" s="52" t="str">
        <f aca="false">'Model Inputs &amp; Assumptions'!$L$35</f>
        <v>PRD-EUAI</v>
      </c>
      <c r="P3756" s="53" t="n">
        <v>-0.044547</v>
      </c>
      <c r="Q3756" s="53" t="n">
        <v>0.605426</v>
      </c>
      <c r="R3756" s="53" t="n">
        <v>1.804821</v>
      </c>
      <c r="S3756" s="53" t="n">
        <v>-0.391925</v>
      </c>
    </row>
    <row r="3757" customFormat="false" ht="15" hidden="false" customHeight="false" outlineLevel="0" collapsed="false">
      <c r="A3757" s="43" t="n">
        <v>254</v>
      </c>
      <c r="B3757" s="44" t="str">
        <f aca="false">'Model Inputs &amp; Assumptions'!$B$35</f>
        <v>justETF — Sponsored Listing</v>
      </c>
      <c r="C3757" s="45" t="n">
        <f aca="false">ROUND(MAX(0,'Model Inputs &amp; Assumptions'!$S$35*EXP('Model Inputs &amp; Assumptions'!$T$35*P3757-'Model Inputs &amp; Assumptions'!$T$35^2/2)),0)</f>
        <v>67625</v>
      </c>
      <c r="D3757" s="46" t="n">
        <f aca="false">MIN(1,'Model Inputs &amp; Assumptions'!$U$35*EXP('Model Inputs &amp; Assumptions'!$V$35*Q3757-'Model Inputs &amp; Assumptions'!$V$35^2/2))</f>
        <v>0</v>
      </c>
      <c r="E3757" s="45" t="n">
        <f aca="false">ROUND(C3757*D3757,0)</f>
        <v>0</v>
      </c>
      <c r="F3757" s="47" t="n">
        <f aca="false">MIN(1,'Model Inputs &amp; Assumptions'!$W$35*EXP('Model Inputs &amp; Assumptions'!$X$35*R3757-'Model Inputs &amp; Assumptions'!$X$35^2/2))</f>
        <v>0.00633638696327823</v>
      </c>
      <c r="G3757" s="45" t="n">
        <f aca="false">ROUND(C3757*F3757,0)</f>
        <v>428</v>
      </c>
      <c r="H3757" s="48" t="n">
        <f aca="false">MAX(0,(C3757*'Model Inputs &amp; Assumptions'!$N$35+E3757*'Model Inputs &amp; Assumptions'!$O$35+G3757*'Model Inputs &amp; Assumptions'!$P$35)*EXP('Model Inputs &amp; Assumptions'!$Q$35*S3757-'Model Inputs &amp; Assumptions'!$Q$35^2/2))</f>
        <v>27.9987229063921</v>
      </c>
      <c r="I3757" s="49" t="n">
        <f aca="false">IF('Model Inputs &amp; Assumptions'!$H$35="Fixed",'Model Inputs &amp; Assumptions'!$I$35*'Model Inputs &amp; Assumptions'!$K$35,IF('Model Inputs &amp; Assumptions'!$H$35="CPM",'Model Inputs &amp; Assumptions'!$I$35*'Model Inputs &amp; Assumptions'!$K$35*C3757/1000,IF('Model Inputs &amp; Assumptions'!$H$35="CPC",'Model Inputs &amp; Assumptions'!$I$35*'Model Inputs &amp; Assumptions'!$K$35*G3757,0)))</f>
        <v>8672.8</v>
      </c>
      <c r="J3757" s="50" t="n">
        <f aca="false">H3757*INDEX('Model Inputs &amp; Assumptions'!$D$40:$D$42,MATCH('Model Inputs &amp; Assumptions'!$L$35,'Model Inputs &amp; Assumptions'!$A$40:$A$42,0))*INDEX('Model Inputs &amp; Assumptions'!$H$40:$H$42,MATCH('Model Inputs &amp; Assumptions'!$L$35,'Model Inputs &amp; Assumptions'!$A$40:$A$42,0))</f>
        <v>237989.144704333</v>
      </c>
      <c r="K3757" s="49" t="n">
        <f aca="false">H3757*INDEX('Model Inputs &amp; Assumptions'!$G$40:$G$42,MATCH('Model Inputs &amp; Assumptions'!$L$35,'Model Inputs &amp; Assumptions'!$A$40:$A$42,0))*INDEX('Model Inputs &amp; Assumptions'!$H$40:$H$42,MATCH('Model Inputs &amp; Assumptions'!$L$35,'Model Inputs &amp; Assumptions'!$A$40:$A$42,0))</f>
        <v>5354.7557558475</v>
      </c>
      <c r="L3757" s="51" t="n">
        <f aca="false">IFERROR(K3757/I3757,0)</f>
        <v>0.617419490343084</v>
      </c>
      <c r="M3757" s="49" t="n">
        <f aca="false">IFERROR(I3757/H3757,0)</f>
        <v>309.756985309498</v>
      </c>
      <c r="N3757" s="52" t="str">
        <f aca="false">'Model Inputs &amp; Assumptions'!$L$35</f>
        <v>PRD-EUAI</v>
      </c>
      <c r="P3757" s="53" t="n">
        <v>-1.785929</v>
      </c>
      <c r="Q3757" s="53" t="n">
        <v>1.480906</v>
      </c>
      <c r="R3757" s="53" t="n">
        <v>-0.178994</v>
      </c>
      <c r="S3757" s="53" t="n">
        <v>-0.130401</v>
      </c>
    </row>
    <row r="3758" customFormat="false" ht="15" hidden="false" customHeight="false" outlineLevel="0" collapsed="false">
      <c r="A3758" s="43" t="n">
        <v>255</v>
      </c>
      <c r="B3758" s="44" t="str">
        <f aca="false">'Model Inputs &amp; Assumptions'!$B$35</f>
        <v>justETF — Sponsored Listing</v>
      </c>
      <c r="C3758" s="45" t="n">
        <f aca="false">ROUND(MAX(0,'Model Inputs &amp; Assumptions'!$S$35*EXP('Model Inputs &amp; Assumptions'!$T$35*P3758-'Model Inputs &amp; Assumptions'!$T$35^2/2)),0)</f>
        <v>102165</v>
      </c>
      <c r="D3758" s="46" t="n">
        <f aca="false">MIN(1,'Model Inputs &amp; Assumptions'!$U$35*EXP('Model Inputs &amp; Assumptions'!$V$35*Q3758-'Model Inputs &amp; Assumptions'!$V$35^2/2))</f>
        <v>0</v>
      </c>
      <c r="E3758" s="45" t="n">
        <f aca="false">ROUND(C3758*D3758,0)</f>
        <v>0</v>
      </c>
      <c r="F3758" s="47" t="n">
        <f aca="false">MIN(1,'Model Inputs &amp; Assumptions'!$W$35*EXP('Model Inputs &amp; Assumptions'!$X$35*R3758-'Model Inputs &amp; Assumptions'!$X$35^2/2))</f>
        <v>0.00640864926986093</v>
      </c>
      <c r="G3758" s="45" t="n">
        <f aca="false">ROUND(C3758*F3758,0)</f>
        <v>655</v>
      </c>
      <c r="H3758" s="48" t="n">
        <f aca="false">MAX(0,(C3758*'Model Inputs &amp; Assumptions'!$N$35+E3758*'Model Inputs &amp; Assumptions'!$O$35+G3758*'Model Inputs &amp; Assumptions'!$P$35)*EXP('Model Inputs &amp; Assumptions'!$Q$35*S3758-'Model Inputs &amp; Assumptions'!$Q$35^2/2))</f>
        <v>43.3225757351701</v>
      </c>
      <c r="I3758" s="49" t="n">
        <f aca="false">IF('Model Inputs &amp; Assumptions'!$H$35="Fixed",'Model Inputs &amp; Assumptions'!$I$35*'Model Inputs &amp; Assumptions'!$K$35,IF('Model Inputs &amp; Assumptions'!$H$35="CPM",'Model Inputs &amp; Assumptions'!$I$35*'Model Inputs &amp; Assumptions'!$K$35*C3758/1000,IF('Model Inputs &amp; Assumptions'!$H$35="CPC",'Model Inputs &amp; Assumptions'!$I$35*'Model Inputs &amp; Assumptions'!$K$35*G3758,0)))</f>
        <v>8672.8</v>
      </c>
      <c r="J3758" s="50" t="n">
        <f aca="false">H3758*INDEX('Model Inputs &amp; Assumptions'!$D$40:$D$42,MATCH('Model Inputs &amp; Assumptions'!$L$35,'Model Inputs &amp; Assumptions'!$A$40:$A$42,0))*INDEX('Model Inputs &amp; Assumptions'!$H$40:$H$42,MATCH('Model Inputs &amp; Assumptions'!$L$35,'Model Inputs &amp; Assumptions'!$A$40:$A$42,0))</f>
        <v>368241.893748946</v>
      </c>
      <c r="K3758" s="49" t="n">
        <f aca="false">H3758*INDEX('Model Inputs &amp; Assumptions'!$G$40:$G$42,MATCH('Model Inputs &amp; Assumptions'!$L$35,'Model Inputs &amp; Assumptions'!$A$40:$A$42,0))*INDEX('Model Inputs &amp; Assumptions'!$H$40:$H$42,MATCH('Model Inputs &amp; Assumptions'!$L$35,'Model Inputs &amp; Assumptions'!$A$40:$A$42,0))</f>
        <v>8285.44260935129</v>
      </c>
      <c r="L3758" s="51" t="n">
        <f aca="false">IFERROR(K3758/I3758,0)</f>
        <v>0.955336524461684</v>
      </c>
      <c r="M3758" s="49" t="n">
        <f aca="false">IFERROR(I3758/H3758,0)</f>
        <v>200.191236389466</v>
      </c>
      <c r="N3758" s="52" t="str">
        <f aca="false">'Model Inputs &amp; Assumptions'!$L$35</f>
        <v>PRD-EUAI</v>
      </c>
      <c r="P3758" s="53" t="n">
        <v>0.964766</v>
      </c>
      <c r="Q3758" s="53" t="n">
        <v>-1.736281</v>
      </c>
      <c r="R3758" s="53" t="n">
        <v>-0.122295</v>
      </c>
      <c r="S3758" s="53" t="n">
        <v>-0.088082</v>
      </c>
    </row>
    <row r="3759" customFormat="false" ht="15" hidden="false" customHeight="false" outlineLevel="0" collapsed="false">
      <c r="A3759" s="43" t="n">
        <v>256</v>
      </c>
      <c r="B3759" s="44" t="str">
        <f aca="false">'Model Inputs &amp; Assumptions'!$B$35</f>
        <v>justETF — Sponsored Listing</v>
      </c>
      <c r="C3759" s="45" t="n">
        <f aca="false">ROUND(MAX(0,'Model Inputs &amp; Assumptions'!$S$35*EXP('Model Inputs &amp; Assumptions'!$T$35*P3759-'Model Inputs &amp; Assumptions'!$T$35^2/2)),0)</f>
        <v>83311</v>
      </c>
      <c r="D3759" s="46" t="n">
        <f aca="false">MIN(1,'Model Inputs &amp; Assumptions'!$U$35*EXP('Model Inputs &amp; Assumptions'!$V$35*Q3759-'Model Inputs &amp; Assumptions'!$V$35^2/2))</f>
        <v>0</v>
      </c>
      <c r="E3759" s="45" t="n">
        <f aca="false">ROUND(C3759*D3759,0)</f>
        <v>0</v>
      </c>
      <c r="F3759" s="47" t="n">
        <f aca="false">MIN(1,'Model Inputs &amp; Assumptions'!$W$35*EXP('Model Inputs &amp; Assumptions'!$X$35*R3759-'Model Inputs &amp; Assumptions'!$X$35^2/2))</f>
        <v>0.00735024706096772</v>
      </c>
      <c r="G3759" s="45" t="n">
        <f aca="false">ROUND(C3759*F3759,0)</f>
        <v>612</v>
      </c>
      <c r="H3759" s="48" t="n">
        <f aca="false">MAX(0,(C3759*'Model Inputs &amp; Assumptions'!$N$35+E3759*'Model Inputs &amp; Assumptions'!$O$35+G3759*'Model Inputs &amp; Assumptions'!$P$35)*EXP('Model Inputs &amp; Assumptions'!$Q$35*S3759-'Model Inputs &amp; Assumptions'!$Q$35^2/2))</f>
        <v>25.4658104427087</v>
      </c>
      <c r="I3759" s="49" t="n">
        <f aca="false">IF('Model Inputs &amp; Assumptions'!$H$35="Fixed",'Model Inputs &amp; Assumptions'!$I$35*'Model Inputs &amp; Assumptions'!$K$35,IF('Model Inputs &amp; Assumptions'!$H$35="CPM",'Model Inputs &amp; Assumptions'!$I$35*'Model Inputs &amp; Assumptions'!$K$35*C3759/1000,IF('Model Inputs &amp; Assumptions'!$H$35="CPC",'Model Inputs &amp; Assumptions'!$I$35*'Model Inputs &amp; Assumptions'!$K$35*G3759,0)))</f>
        <v>8672.8</v>
      </c>
      <c r="J3759" s="50" t="n">
        <f aca="false">H3759*INDEX('Model Inputs &amp; Assumptions'!$D$40:$D$42,MATCH('Model Inputs &amp; Assumptions'!$L$35,'Model Inputs &amp; Assumptions'!$A$40:$A$42,0))*INDEX('Model Inputs &amp; Assumptions'!$H$40:$H$42,MATCH('Model Inputs &amp; Assumptions'!$L$35,'Model Inputs &amp; Assumptions'!$A$40:$A$42,0))</f>
        <v>216459.388763024</v>
      </c>
      <c r="K3759" s="49" t="n">
        <f aca="false">H3759*INDEX('Model Inputs &amp; Assumptions'!$G$40:$G$42,MATCH('Model Inputs &amp; Assumptions'!$L$35,'Model Inputs &amp; Assumptions'!$A$40:$A$42,0))*INDEX('Model Inputs &amp; Assumptions'!$H$40:$H$42,MATCH('Model Inputs &amp; Assumptions'!$L$35,'Model Inputs &amp; Assumptions'!$A$40:$A$42,0))</f>
        <v>4870.33624716804</v>
      </c>
      <c r="L3759" s="51" t="n">
        <f aca="false">IFERROR(K3759/I3759,0)</f>
        <v>0.561564459824744</v>
      </c>
      <c r="M3759" s="49" t="n">
        <f aca="false">IFERROR(I3759/H3759,0)</f>
        <v>340.566424128205</v>
      </c>
      <c r="N3759" s="52" t="str">
        <f aca="false">'Model Inputs &amp; Assumptions'!$L$35</f>
        <v>PRD-EUAI</v>
      </c>
      <c r="P3759" s="53" t="n">
        <v>-0.395286</v>
      </c>
      <c r="Q3759" s="53" t="n">
        <v>-0.886368</v>
      </c>
      <c r="R3759" s="53" t="n">
        <v>0.563132</v>
      </c>
      <c r="S3759" s="53" t="n">
        <v>-1.870521</v>
      </c>
    </row>
    <row r="3760" customFormat="false" ht="15" hidden="false" customHeight="false" outlineLevel="0" collapsed="false">
      <c r="A3760" s="43" t="n">
        <v>257</v>
      </c>
      <c r="B3760" s="44" t="str">
        <f aca="false">'Model Inputs &amp; Assumptions'!$B$35</f>
        <v>justETF — Sponsored Listing</v>
      </c>
      <c r="C3760" s="45" t="n">
        <f aca="false">ROUND(MAX(0,'Model Inputs &amp; Assumptions'!$S$35*EXP('Model Inputs &amp; Assumptions'!$T$35*P3760-'Model Inputs &amp; Assumptions'!$T$35^2/2)),0)</f>
        <v>81502</v>
      </c>
      <c r="D3760" s="46" t="n">
        <f aca="false">MIN(1,'Model Inputs &amp; Assumptions'!$U$35*EXP('Model Inputs &amp; Assumptions'!$V$35*Q3760-'Model Inputs &amp; Assumptions'!$V$35^2/2))</f>
        <v>0</v>
      </c>
      <c r="E3760" s="45" t="n">
        <f aca="false">ROUND(C3760*D3760,0)</f>
        <v>0</v>
      </c>
      <c r="F3760" s="47" t="n">
        <f aca="false">MIN(1,'Model Inputs &amp; Assumptions'!$W$35*EXP('Model Inputs &amp; Assumptions'!$X$35*R3760-'Model Inputs &amp; Assumptions'!$X$35^2/2))</f>
        <v>0.00524792587123848</v>
      </c>
      <c r="G3760" s="45" t="n">
        <f aca="false">ROUND(C3760*F3760,0)</f>
        <v>428</v>
      </c>
      <c r="H3760" s="48" t="n">
        <f aca="false">MAX(0,(C3760*'Model Inputs &amp; Assumptions'!$N$35+E3760*'Model Inputs &amp; Assumptions'!$O$35+G3760*'Model Inputs &amp; Assumptions'!$P$35)*EXP('Model Inputs &amp; Assumptions'!$Q$35*S3760-'Model Inputs &amp; Assumptions'!$Q$35^2/2))</f>
        <v>19.3692426716327</v>
      </c>
      <c r="I3760" s="49" t="n">
        <f aca="false">IF('Model Inputs &amp; Assumptions'!$H$35="Fixed",'Model Inputs &amp; Assumptions'!$I$35*'Model Inputs &amp; Assumptions'!$K$35,IF('Model Inputs &amp; Assumptions'!$H$35="CPM",'Model Inputs &amp; Assumptions'!$I$35*'Model Inputs &amp; Assumptions'!$K$35*C3760/1000,IF('Model Inputs &amp; Assumptions'!$H$35="CPC",'Model Inputs &amp; Assumptions'!$I$35*'Model Inputs &amp; Assumptions'!$K$35*G3760,0)))</f>
        <v>8672.8</v>
      </c>
      <c r="J3760" s="50" t="n">
        <f aca="false">H3760*INDEX('Model Inputs &amp; Assumptions'!$D$40:$D$42,MATCH('Model Inputs &amp; Assumptions'!$L$35,'Model Inputs &amp; Assumptions'!$A$40:$A$42,0))*INDEX('Model Inputs &amp; Assumptions'!$H$40:$H$42,MATCH('Model Inputs &amp; Assumptions'!$L$35,'Model Inputs &amp; Assumptions'!$A$40:$A$42,0))</f>
        <v>164638.562708878</v>
      </c>
      <c r="K3760" s="49" t="n">
        <f aca="false">H3760*INDEX('Model Inputs &amp; Assumptions'!$G$40:$G$42,MATCH('Model Inputs &amp; Assumptions'!$L$35,'Model Inputs &amp; Assumptions'!$A$40:$A$42,0))*INDEX('Model Inputs &amp; Assumptions'!$H$40:$H$42,MATCH('Model Inputs &amp; Assumptions'!$L$35,'Model Inputs &amp; Assumptions'!$A$40:$A$42,0))</f>
        <v>3704.36766094976</v>
      </c>
      <c r="L3760" s="51" t="n">
        <f aca="false">IFERROR(K3760/I3760,0)</f>
        <v>0.427124764891357</v>
      </c>
      <c r="M3760" s="49" t="n">
        <f aca="false">IFERROR(I3760/H3760,0)</f>
        <v>447.761440497711</v>
      </c>
      <c r="N3760" s="52" t="str">
        <f aca="false">'Model Inputs &amp; Assumptions'!$L$35</f>
        <v>PRD-EUAI</v>
      </c>
      <c r="P3760" s="53" t="n">
        <v>-0.541588</v>
      </c>
      <c r="Q3760" s="53" t="n">
        <v>-1.35913</v>
      </c>
      <c r="R3760" s="53" t="n">
        <v>-1.121373</v>
      </c>
      <c r="S3760" s="53" t="n">
        <v>-1.547603</v>
      </c>
    </row>
    <row r="3761" customFormat="false" ht="15" hidden="false" customHeight="false" outlineLevel="0" collapsed="false">
      <c r="A3761" s="43" t="n">
        <v>258</v>
      </c>
      <c r="B3761" s="44" t="str">
        <f aca="false">'Model Inputs &amp; Assumptions'!$B$35</f>
        <v>justETF — Sponsored Listing</v>
      </c>
      <c r="C3761" s="45" t="n">
        <f aca="false">ROUND(MAX(0,'Model Inputs &amp; Assumptions'!$S$35*EXP('Model Inputs &amp; Assumptions'!$T$35*P3761-'Model Inputs &amp; Assumptions'!$T$35^2/2)),0)</f>
        <v>93097</v>
      </c>
      <c r="D3761" s="46" t="n">
        <f aca="false">MIN(1,'Model Inputs &amp; Assumptions'!$U$35*EXP('Model Inputs &amp; Assumptions'!$V$35*Q3761-'Model Inputs &amp; Assumptions'!$V$35^2/2))</f>
        <v>0</v>
      </c>
      <c r="E3761" s="45" t="n">
        <f aca="false">ROUND(C3761*D3761,0)</f>
        <v>0</v>
      </c>
      <c r="F3761" s="47" t="n">
        <f aca="false">MIN(1,'Model Inputs &amp; Assumptions'!$W$35*EXP('Model Inputs &amp; Assumptions'!$X$35*R3761-'Model Inputs &amp; Assumptions'!$X$35^2/2))</f>
        <v>0.00530111473815974</v>
      </c>
      <c r="G3761" s="45" t="n">
        <f aca="false">ROUND(C3761*F3761,0)</f>
        <v>494</v>
      </c>
      <c r="H3761" s="48" t="n">
        <f aca="false">MAX(0,(C3761*'Model Inputs &amp; Assumptions'!$N$35+E3761*'Model Inputs &amp; Assumptions'!$O$35+G3761*'Model Inputs &amp; Assumptions'!$P$35)*EXP('Model Inputs &amp; Assumptions'!$Q$35*S3761-'Model Inputs &amp; Assumptions'!$Q$35^2/2))</f>
        <v>33.1315579398728</v>
      </c>
      <c r="I3761" s="49" t="n">
        <f aca="false">IF('Model Inputs &amp; Assumptions'!$H$35="Fixed",'Model Inputs &amp; Assumptions'!$I$35*'Model Inputs &amp; Assumptions'!$K$35,IF('Model Inputs &amp; Assumptions'!$H$35="CPM",'Model Inputs &amp; Assumptions'!$I$35*'Model Inputs &amp; Assumptions'!$K$35*C3761/1000,IF('Model Inputs &amp; Assumptions'!$H$35="CPC",'Model Inputs &amp; Assumptions'!$I$35*'Model Inputs &amp; Assumptions'!$K$35*G3761,0)))</f>
        <v>8672.8</v>
      </c>
      <c r="J3761" s="50" t="n">
        <f aca="false">H3761*INDEX('Model Inputs &amp; Assumptions'!$D$40:$D$42,MATCH('Model Inputs &amp; Assumptions'!$L$35,'Model Inputs &amp; Assumptions'!$A$40:$A$42,0))*INDEX('Model Inputs &amp; Assumptions'!$H$40:$H$42,MATCH('Model Inputs &amp; Assumptions'!$L$35,'Model Inputs &amp; Assumptions'!$A$40:$A$42,0))</f>
        <v>281618.242488919</v>
      </c>
      <c r="K3761" s="49" t="n">
        <f aca="false">H3761*INDEX('Model Inputs &amp; Assumptions'!$G$40:$G$42,MATCH('Model Inputs &amp; Assumptions'!$L$35,'Model Inputs &amp; Assumptions'!$A$40:$A$42,0))*INDEX('Model Inputs &amp; Assumptions'!$H$40:$H$42,MATCH('Model Inputs &amp; Assumptions'!$L$35,'Model Inputs &amp; Assumptions'!$A$40:$A$42,0))</f>
        <v>6336.41045600067</v>
      </c>
      <c r="L3761" s="51" t="n">
        <f aca="false">IFERROR(K3761/I3761,0)</f>
        <v>0.730607238262231</v>
      </c>
      <c r="M3761" s="49" t="n">
        <f aca="false">IFERROR(I3761/H3761,0)</f>
        <v>261.768553586868</v>
      </c>
      <c r="N3761" s="52" t="str">
        <f aca="false">'Model Inputs &amp; Assumptions'!$L$35</f>
        <v>PRD-EUAI</v>
      </c>
      <c r="P3761" s="53" t="n">
        <v>0.345158</v>
      </c>
      <c r="Q3761" s="53" t="n">
        <v>0.461134</v>
      </c>
      <c r="R3761" s="53" t="n">
        <v>-1.070952</v>
      </c>
      <c r="S3761" s="53" t="n">
        <v>-0.034574</v>
      </c>
    </row>
    <row r="3762" customFormat="false" ht="15" hidden="false" customHeight="false" outlineLevel="0" collapsed="false">
      <c r="A3762" s="43" t="n">
        <v>259</v>
      </c>
      <c r="B3762" s="44" t="str">
        <f aca="false">'Model Inputs &amp; Assumptions'!$B$35</f>
        <v>justETF — Sponsored Listing</v>
      </c>
      <c r="C3762" s="45" t="n">
        <f aca="false">ROUND(MAX(0,'Model Inputs &amp; Assumptions'!$S$35*EXP('Model Inputs &amp; Assumptions'!$T$35*P3762-'Model Inputs &amp; Assumptions'!$T$35^2/2)),0)</f>
        <v>85107</v>
      </c>
      <c r="D3762" s="46" t="n">
        <f aca="false">MIN(1,'Model Inputs &amp; Assumptions'!$U$35*EXP('Model Inputs &amp; Assumptions'!$V$35*Q3762-'Model Inputs &amp; Assumptions'!$V$35^2/2))</f>
        <v>0</v>
      </c>
      <c r="E3762" s="45" t="n">
        <f aca="false">ROUND(C3762*D3762,0)</f>
        <v>0</v>
      </c>
      <c r="F3762" s="47" t="n">
        <f aca="false">MIN(1,'Model Inputs &amp; Assumptions'!$W$35*EXP('Model Inputs &amp; Assumptions'!$X$35*R3762-'Model Inputs &amp; Assumptions'!$X$35^2/2))</f>
        <v>0.00807940900083536</v>
      </c>
      <c r="G3762" s="45" t="n">
        <f aca="false">ROUND(C3762*F3762,0)</f>
        <v>688</v>
      </c>
      <c r="H3762" s="48" t="n">
        <f aca="false">MAX(0,(C3762*'Model Inputs &amp; Assumptions'!$N$35+E3762*'Model Inputs &amp; Assumptions'!$O$35+G3762*'Model Inputs &amp; Assumptions'!$P$35)*EXP('Model Inputs &amp; Assumptions'!$Q$35*S3762-'Model Inputs &amp; Assumptions'!$Q$35^2/2))</f>
        <v>36.5647265781046</v>
      </c>
      <c r="I3762" s="49" t="n">
        <f aca="false">IF('Model Inputs &amp; Assumptions'!$H$35="Fixed",'Model Inputs &amp; Assumptions'!$I$35*'Model Inputs &amp; Assumptions'!$K$35,IF('Model Inputs &amp; Assumptions'!$H$35="CPM",'Model Inputs &amp; Assumptions'!$I$35*'Model Inputs &amp; Assumptions'!$K$35*C3762/1000,IF('Model Inputs &amp; Assumptions'!$H$35="CPC",'Model Inputs &amp; Assumptions'!$I$35*'Model Inputs &amp; Assumptions'!$K$35*G3762,0)))</f>
        <v>8672.8</v>
      </c>
      <c r="J3762" s="50" t="n">
        <f aca="false">H3762*INDEX('Model Inputs &amp; Assumptions'!$D$40:$D$42,MATCH('Model Inputs &amp; Assumptions'!$L$35,'Model Inputs &amp; Assumptions'!$A$40:$A$42,0))*INDEX('Model Inputs &amp; Assumptions'!$H$40:$H$42,MATCH('Model Inputs &amp; Assumptions'!$L$35,'Model Inputs &amp; Assumptions'!$A$40:$A$42,0))</f>
        <v>310800.175913889</v>
      </c>
      <c r="K3762" s="49" t="n">
        <f aca="false">H3762*INDEX('Model Inputs &amp; Assumptions'!$G$40:$G$42,MATCH('Model Inputs &amp; Assumptions'!$L$35,'Model Inputs &amp; Assumptions'!$A$40:$A$42,0))*INDEX('Model Inputs &amp; Assumptions'!$H$40:$H$42,MATCH('Model Inputs &amp; Assumptions'!$L$35,'Model Inputs &amp; Assumptions'!$A$40:$A$42,0))</f>
        <v>6993.00395806251</v>
      </c>
      <c r="L3762" s="51" t="n">
        <f aca="false">IFERROR(K3762/I3762,0)</f>
        <v>0.806314449550607</v>
      </c>
      <c r="M3762" s="49" t="n">
        <f aca="false">IFERROR(I3762/H3762,0)</f>
        <v>237.190341939911</v>
      </c>
      <c r="N3762" s="52" t="str">
        <f aca="false">'Model Inputs &amp; Assumptions'!$L$35</f>
        <v>PRD-EUAI</v>
      </c>
      <c r="P3762" s="53" t="n">
        <v>-0.253109</v>
      </c>
      <c r="Q3762" s="53" t="n">
        <v>0.316293</v>
      </c>
      <c r="R3762" s="53" t="n">
        <v>1.036056</v>
      </c>
      <c r="S3762" s="53" t="n">
        <v>-0.929403</v>
      </c>
    </row>
    <row r="3763" customFormat="false" ht="15" hidden="false" customHeight="false" outlineLevel="0" collapsed="false">
      <c r="A3763" s="43" t="n">
        <v>260</v>
      </c>
      <c r="B3763" s="44" t="str">
        <f aca="false">'Model Inputs &amp; Assumptions'!$B$35</f>
        <v>justETF — Sponsored Listing</v>
      </c>
      <c r="C3763" s="45" t="n">
        <f aca="false">ROUND(MAX(0,'Model Inputs &amp; Assumptions'!$S$35*EXP('Model Inputs &amp; Assumptions'!$T$35*P3763-'Model Inputs &amp; Assumptions'!$T$35^2/2)),0)</f>
        <v>103873</v>
      </c>
      <c r="D3763" s="46" t="n">
        <f aca="false">MIN(1,'Model Inputs &amp; Assumptions'!$U$35*EXP('Model Inputs &amp; Assumptions'!$V$35*Q3763-'Model Inputs &amp; Assumptions'!$V$35^2/2))</f>
        <v>0</v>
      </c>
      <c r="E3763" s="45" t="n">
        <f aca="false">ROUND(C3763*D3763,0)</f>
        <v>0</v>
      </c>
      <c r="F3763" s="47" t="n">
        <f aca="false">MIN(1,'Model Inputs &amp; Assumptions'!$W$35*EXP('Model Inputs &amp; Assumptions'!$X$35*R3763-'Model Inputs &amp; Assumptions'!$X$35^2/2))</f>
        <v>0.00642491580488213</v>
      </c>
      <c r="G3763" s="45" t="n">
        <f aca="false">ROUND(C3763*F3763,0)</f>
        <v>667</v>
      </c>
      <c r="H3763" s="48" t="n">
        <f aca="false">MAX(0,(C3763*'Model Inputs &amp; Assumptions'!$N$35+E3763*'Model Inputs &amp; Assumptions'!$O$35+G3763*'Model Inputs &amp; Assumptions'!$P$35)*EXP('Model Inputs &amp; Assumptions'!$Q$35*S3763-'Model Inputs &amp; Assumptions'!$Q$35^2/2))</f>
        <v>48.5871401042218</v>
      </c>
      <c r="I3763" s="49" t="n">
        <f aca="false">IF('Model Inputs &amp; Assumptions'!$H$35="Fixed",'Model Inputs &amp; Assumptions'!$I$35*'Model Inputs &amp; Assumptions'!$K$35,IF('Model Inputs &amp; Assumptions'!$H$35="CPM",'Model Inputs &amp; Assumptions'!$I$35*'Model Inputs &amp; Assumptions'!$K$35*C3763/1000,IF('Model Inputs &amp; Assumptions'!$H$35="CPC",'Model Inputs &amp; Assumptions'!$I$35*'Model Inputs &amp; Assumptions'!$K$35*G3763,0)))</f>
        <v>8672.8</v>
      </c>
      <c r="J3763" s="50" t="n">
        <f aca="false">H3763*INDEX('Model Inputs &amp; Assumptions'!$D$40:$D$42,MATCH('Model Inputs &amp; Assumptions'!$L$35,'Model Inputs &amp; Assumptions'!$A$40:$A$42,0))*INDEX('Model Inputs &amp; Assumptions'!$H$40:$H$42,MATCH('Model Inputs &amp; Assumptions'!$L$35,'Model Inputs &amp; Assumptions'!$A$40:$A$42,0))</f>
        <v>412990.690885885</v>
      </c>
      <c r="K3763" s="49" t="n">
        <f aca="false">H3763*INDEX('Model Inputs &amp; Assumptions'!$G$40:$G$42,MATCH('Model Inputs &amp; Assumptions'!$L$35,'Model Inputs &amp; Assumptions'!$A$40:$A$42,0))*INDEX('Model Inputs &amp; Assumptions'!$H$40:$H$42,MATCH('Model Inputs &amp; Assumptions'!$L$35,'Model Inputs &amp; Assumptions'!$A$40:$A$42,0))</f>
        <v>9292.29054493241</v>
      </c>
      <c r="L3763" s="51" t="n">
        <f aca="false">IFERROR(K3763/I3763,0)</f>
        <v>1.07142912841671</v>
      </c>
      <c r="M3763" s="49" t="n">
        <f aca="false">IFERROR(I3763/H3763,0)</f>
        <v>178.499907205825</v>
      </c>
      <c r="N3763" s="52" t="str">
        <f aca="false">'Model Inputs &amp; Assumptions'!$L$35</f>
        <v>PRD-EUAI</v>
      </c>
      <c r="P3763" s="53" t="n">
        <v>1.0753</v>
      </c>
      <c r="Q3763" s="53" t="n">
        <v>0.601565</v>
      </c>
      <c r="R3763" s="53" t="n">
        <v>-0.10962</v>
      </c>
      <c r="S3763" s="53" t="n">
        <v>0.283188</v>
      </c>
    </row>
    <row r="3764" customFormat="false" ht="15" hidden="false" customHeight="false" outlineLevel="0" collapsed="false">
      <c r="A3764" s="43" t="n">
        <v>261</v>
      </c>
      <c r="B3764" s="44" t="str">
        <f aca="false">'Model Inputs &amp; Assumptions'!$B$35</f>
        <v>justETF — Sponsored Listing</v>
      </c>
      <c r="C3764" s="45" t="n">
        <f aca="false">ROUND(MAX(0,'Model Inputs &amp; Assumptions'!$S$35*EXP('Model Inputs &amp; Assumptions'!$T$35*P3764-'Model Inputs &amp; Assumptions'!$T$35^2/2)),0)</f>
        <v>91056</v>
      </c>
      <c r="D3764" s="46" t="n">
        <f aca="false">MIN(1,'Model Inputs &amp; Assumptions'!$U$35*EXP('Model Inputs &amp; Assumptions'!$V$35*Q3764-'Model Inputs &amp; Assumptions'!$V$35^2/2))</f>
        <v>0</v>
      </c>
      <c r="E3764" s="45" t="n">
        <f aca="false">ROUND(C3764*D3764,0)</f>
        <v>0</v>
      </c>
      <c r="F3764" s="47" t="n">
        <f aca="false">MIN(1,'Model Inputs &amp; Assumptions'!$W$35*EXP('Model Inputs &amp; Assumptions'!$X$35*R3764-'Model Inputs &amp; Assumptions'!$X$35^2/2))</f>
        <v>0.00907690364681691</v>
      </c>
      <c r="G3764" s="45" t="n">
        <f aca="false">ROUND(C3764*F3764,0)</f>
        <v>827</v>
      </c>
      <c r="H3764" s="48" t="n">
        <f aca="false">MAX(0,(C3764*'Model Inputs &amp; Assumptions'!$N$35+E3764*'Model Inputs &amp; Assumptions'!$O$35+G3764*'Model Inputs &amp; Assumptions'!$P$35)*EXP('Model Inputs &amp; Assumptions'!$Q$35*S3764-'Model Inputs &amp; Assumptions'!$Q$35^2/2))</f>
        <v>79.5690149853129</v>
      </c>
      <c r="I3764" s="49" t="n">
        <f aca="false">IF('Model Inputs &amp; Assumptions'!$H$35="Fixed",'Model Inputs &amp; Assumptions'!$I$35*'Model Inputs &amp; Assumptions'!$K$35,IF('Model Inputs &amp; Assumptions'!$H$35="CPM",'Model Inputs &amp; Assumptions'!$I$35*'Model Inputs &amp; Assumptions'!$K$35*C3764/1000,IF('Model Inputs &amp; Assumptions'!$H$35="CPC",'Model Inputs &amp; Assumptions'!$I$35*'Model Inputs &amp; Assumptions'!$K$35*G3764,0)))</f>
        <v>8672.8</v>
      </c>
      <c r="J3764" s="50" t="n">
        <f aca="false">H3764*INDEX('Model Inputs &amp; Assumptions'!$D$40:$D$42,MATCH('Model Inputs &amp; Assumptions'!$L$35,'Model Inputs &amp; Assumptions'!$A$40:$A$42,0))*INDEX('Model Inputs &amp; Assumptions'!$H$40:$H$42,MATCH('Model Inputs &amp; Assumptions'!$L$35,'Model Inputs &amp; Assumptions'!$A$40:$A$42,0))</f>
        <v>676336.627375159</v>
      </c>
      <c r="K3764" s="49" t="n">
        <f aca="false">H3764*INDEX('Model Inputs &amp; Assumptions'!$G$40:$G$42,MATCH('Model Inputs &amp; Assumptions'!$L$35,'Model Inputs &amp; Assumptions'!$A$40:$A$42,0))*INDEX('Model Inputs &amp; Assumptions'!$H$40:$H$42,MATCH('Model Inputs &amp; Assumptions'!$L$35,'Model Inputs &amp; Assumptions'!$A$40:$A$42,0))</f>
        <v>15217.5741159411</v>
      </c>
      <c r="L3764" s="51" t="n">
        <f aca="false">IFERROR(K3764/I3764,0)</f>
        <v>1.75463219674627</v>
      </c>
      <c r="M3764" s="49" t="n">
        <f aca="false">IFERROR(I3764/H3764,0)</f>
        <v>108.997202008858</v>
      </c>
      <c r="N3764" s="52" t="str">
        <f aca="false">'Model Inputs &amp; Assumptions'!$L$35</f>
        <v>PRD-EUAI</v>
      </c>
      <c r="P3764" s="53" t="n">
        <v>0.197371</v>
      </c>
      <c r="Q3764" s="53" t="n">
        <v>-0.342723</v>
      </c>
      <c r="R3764" s="53" t="n">
        <v>1.618128</v>
      </c>
      <c r="S3764" s="53" t="n">
        <v>1.353385</v>
      </c>
    </row>
    <row r="3765" customFormat="false" ht="15" hidden="false" customHeight="false" outlineLevel="0" collapsed="false">
      <c r="A3765" s="43" t="n">
        <v>262</v>
      </c>
      <c r="B3765" s="44" t="str">
        <f aca="false">'Model Inputs &amp; Assumptions'!$B$35</f>
        <v>justETF — Sponsored Listing</v>
      </c>
      <c r="C3765" s="45" t="n">
        <f aca="false">ROUND(MAX(0,'Model Inputs &amp; Assumptions'!$S$35*EXP('Model Inputs &amp; Assumptions'!$T$35*P3765-'Model Inputs &amp; Assumptions'!$T$35^2/2)),0)</f>
        <v>107057</v>
      </c>
      <c r="D3765" s="46" t="n">
        <f aca="false">MIN(1,'Model Inputs &amp; Assumptions'!$U$35*EXP('Model Inputs &amp; Assumptions'!$V$35*Q3765-'Model Inputs &amp; Assumptions'!$V$35^2/2))</f>
        <v>0</v>
      </c>
      <c r="E3765" s="45" t="n">
        <f aca="false">ROUND(C3765*D3765,0)</f>
        <v>0</v>
      </c>
      <c r="F3765" s="47" t="n">
        <f aca="false">MIN(1,'Model Inputs &amp; Assumptions'!$W$35*EXP('Model Inputs &amp; Assumptions'!$X$35*R3765-'Model Inputs &amp; Assumptions'!$X$35^2/2))</f>
        <v>0.00855601313498245</v>
      </c>
      <c r="G3765" s="45" t="n">
        <f aca="false">ROUND(C3765*F3765,0)</f>
        <v>916</v>
      </c>
      <c r="H3765" s="48" t="n">
        <f aca="false">MAX(0,(C3765*'Model Inputs &amp; Assumptions'!$N$35+E3765*'Model Inputs &amp; Assumptions'!$O$35+G3765*'Model Inputs &amp; Assumptions'!$P$35)*EXP('Model Inputs &amp; Assumptions'!$Q$35*S3765-'Model Inputs &amp; Assumptions'!$Q$35^2/2))</f>
        <v>76.7950686450661</v>
      </c>
      <c r="I3765" s="49" t="n">
        <f aca="false">IF('Model Inputs &amp; Assumptions'!$H$35="Fixed",'Model Inputs &amp; Assumptions'!$I$35*'Model Inputs &amp; Assumptions'!$K$35,IF('Model Inputs &amp; Assumptions'!$H$35="CPM",'Model Inputs &amp; Assumptions'!$I$35*'Model Inputs &amp; Assumptions'!$K$35*C3765/1000,IF('Model Inputs &amp; Assumptions'!$H$35="CPC",'Model Inputs &amp; Assumptions'!$I$35*'Model Inputs &amp; Assumptions'!$K$35*G3765,0)))</f>
        <v>8672.8</v>
      </c>
      <c r="J3765" s="50" t="n">
        <f aca="false">H3765*INDEX('Model Inputs &amp; Assumptions'!$D$40:$D$42,MATCH('Model Inputs &amp; Assumptions'!$L$35,'Model Inputs &amp; Assumptions'!$A$40:$A$42,0))*INDEX('Model Inputs &amp; Assumptions'!$H$40:$H$42,MATCH('Model Inputs &amp; Assumptions'!$L$35,'Model Inputs &amp; Assumptions'!$A$40:$A$42,0))</f>
        <v>652758.083483062</v>
      </c>
      <c r="K3765" s="49" t="n">
        <f aca="false">H3765*INDEX('Model Inputs &amp; Assumptions'!$G$40:$G$42,MATCH('Model Inputs &amp; Assumptions'!$L$35,'Model Inputs &amp; Assumptions'!$A$40:$A$42,0))*INDEX('Model Inputs &amp; Assumptions'!$H$40:$H$42,MATCH('Model Inputs &amp; Assumptions'!$L$35,'Model Inputs &amp; Assumptions'!$A$40:$A$42,0))</f>
        <v>14687.0568783689</v>
      </c>
      <c r="L3765" s="51" t="n">
        <f aca="false">IFERROR(K3765/I3765,0)</f>
        <v>1.69346195904078</v>
      </c>
      <c r="M3765" s="49" t="n">
        <f aca="false">IFERROR(I3765/H3765,0)</f>
        <v>112.934334886583</v>
      </c>
      <c r="N3765" s="52" t="str">
        <f aca="false">'Model Inputs &amp; Assumptions'!$L$35</f>
        <v>PRD-EUAI</v>
      </c>
      <c r="P3765" s="53" t="n">
        <v>1.276614</v>
      </c>
      <c r="Q3765" s="53" t="n">
        <v>0.537441</v>
      </c>
      <c r="R3765" s="53" t="n">
        <v>1.322634</v>
      </c>
      <c r="S3765" s="53" t="n">
        <v>0.823785</v>
      </c>
    </row>
    <row r="3766" customFormat="false" ht="15" hidden="false" customHeight="false" outlineLevel="0" collapsed="false">
      <c r="A3766" s="43" t="n">
        <v>263</v>
      </c>
      <c r="B3766" s="44" t="str">
        <f aca="false">'Model Inputs &amp; Assumptions'!$B$35</f>
        <v>justETF — Sponsored Listing</v>
      </c>
      <c r="C3766" s="45" t="n">
        <f aca="false">ROUND(MAX(0,'Model Inputs &amp; Assumptions'!$S$35*EXP('Model Inputs &amp; Assumptions'!$T$35*P3766-'Model Inputs &amp; Assumptions'!$T$35^2/2)),0)</f>
        <v>72906</v>
      </c>
      <c r="D3766" s="46" t="n">
        <f aca="false">MIN(1,'Model Inputs &amp; Assumptions'!$U$35*EXP('Model Inputs &amp; Assumptions'!$V$35*Q3766-'Model Inputs &amp; Assumptions'!$V$35^2/2))</f>
        <v>0</v>
      </c>
      <c r="E3766" s="45" t="n">
        <f aca="false">ROUND(C3766*D3766,0)</f>
        <v>0</v>
      </c>
      <c r="F3766" s="47" t="n">
        <f aca="false">MIN(1,'Model Inputs &amp; Assumptions'!$W$35*EXP('Model Inputs &amp; Assumptions'!$X$35*R3766-'Model Inputs &amp; Assumptions'!$X$35^2/2))</f>
        <v>0.00577768409274722</v>
      </c>
      <c r="G3766" s="45" t="n">
        <f aca="false">ROUND(C3766*F3766,0)</f>
        <v>421</v>
      </c>
      <c r="H3766" s="48" t="n">
        <f aca="false">MAX(0,(C3766*'Model Inputs &amp; Assumptions'!$N$35+E3766*'Model Inputs &amp; Assumptions'!$O$35+G3766*'Model Inputs &amp; Assumptions'!$P$35)*EXP('Model Inputs &amp; Assumptions'!$Q$35*S3766-'Model Inputs &amp; Assumptions'!$Q$35^2/2))</f>
        <v>22.4543836234231</v>
      </c>
      <c r="I3766" s="49" t="n">
        <f aca="false">IF('Model Inputs &amp; Assumptions'!$H$35="Fixed",'Model Inputs &amp; Assumptions'!$I$35*'Model Inputs &amp; Assumptions'!$K$35,IF('Model Inputs &amp; Assumptions'!$H$35="CPM",'Model Inputs &amp; Assumptions'!$I$35*'Model Inputs &amp; Assumptions'!$K$35*C3766/1000,IF('Model Inputs &amp; Assumptions'!$H$35="CPC",'Model Inputs &amp; Assumptions'!$I$35*'Model Inputs &amp; Assumptions'!$K$35*G3766,0)))</f>
        <v>8672.8</v>
      </c>
      <c r="J3766" s="50" t="n">
        <f aca="false">H3766*INDEX('Model Inputs &amp; Assumptions'!$D$40:$D$42,MATCH('Model Inputs &amp; Assumptions'!$L$35,'Model Inputs &amp; Assumptions'!$A$40:$A$42,0))*INDEX('Model Inputs &amp; Assumptions'!$H$40:$H$42,MATCH('Model Inputs &amp; Assumptions'!$L$35,'Model Inputs &amp; Assumptions'!$A$40:$A$42,0))</f>
        <v>190862.260799096</v>
      </c>
      <c r="K3766" s="49" t="n">
        <f aca="false">H3766*INDEX('Model Inputs &amp; Assumptions'!$G$40:$G$42,MATCH('Model Inputs &amp; Assumptions'!$L$35,'Model Inputs &amp; Assumptions'!$A$40:$A$42,0))*INDEX('Model Inputs &amp; Assumptions'!$H$40:$H$42,MATCH('Model Inputs &amp; Assumptions'!$L$35,'Model Inputs &amp; Assumptions'!$A$40:$A$42,0))</f>
        <v>4294.40086797967</v>
      </c>
      <c r="L3766" s="51" t="n">
        <f aca="false">IFERROR(K3766/I3766,0)</f>
        <v>0.495157373394944</v>
      </c>
      <c r="M3766" s="49" t="n">
        <f aca="false">IFERROR(I3766/H3766,0)</f>
        <v>386.240840338768</v>
      </c>
      <c r="N3766" s="52" t="str">
        <f aca="false">'Model Inputs &amp; Assumptions'!$L$35</f>
        <v>PRD-EUAI</v>
      </c>
      <c r="P3766" s="53" t="n">
        <v>-1.284621</v>
      </c>
      <c r="Q3766" s="53" t="n">
        <v>0.514131</v>
      </c>
      <c r="R3766" s="53" t="n">
        <v>-0.640523</v>
      </c>
      <c r="S3766" s="53" t="n">
        <v>-0.915719</v>
      </c>
    </row>
    <row r="3767" customFormat="false" ht="15" hidden="false" customHeight="false" outlineLevel="0" collapsed="false">
      <c r="A3767" s="43" t="n">
        <v>264</v>
      </c>
      <c r="B3767" s="44" t="str">
        <f aca="false">'Model Inputs &amp; Assumptions'!$B$35</f>
        <v>justETF — Sponsored Listing</v>
      </c>
      <c r="C3767" s="45" t="n">
        <f aca="false">ROUND(MAX(0,'Model Inputs &amp; Assumptions'!$S$35*EXP('Model Inputs &amp; Assumptions'!$T$35*P3767-'Model Inputs &amp; Assumptions'!$T$35^2/2)),0)</f>
        <v>87802</v>
      </c>
      <c r="D3767" s="46" t="n">
        <f aca="false">MIN(1,'Model Inputs &amp; Assumptions'!$U$35*EXP('Model Inputs &amp; Assumptions'!$V$35*Q3767-'Model Inputs &amp; Assumptions'!$V$35^2/2))</f>
        <v>0</v>
      </c>
      <c r="E3767" s="45" t="n">
        <f aca="false">ROUND(C3767*D3767,0)</f>
        <v>0</v>
      </c>
      <c r="F3767" s="47" t="n">
        <f aca="false">MIN(1,'Model Inputs &amp; Assumptions'!$W$35*EXP('Model Inputs &amp; Assumptions'!$X$35*R3767-'Model Inputs &amp; Assumptions'!$X$35^2/2))</f>
        <v>0.00549968889667072</v>
      </c>
      <c r="G3767" s="45" t="n">
        <f aca="false">ROUND(C3767*F3767,0)</f>
        <v>483</v>
      </c>
      <c r="H3767" s="48" t="n">
        <f aca="false">MAX(0,(C3767*'Model Inputs &amp; Assumptions'!$N$35+E3767*'Model Inputs &amp; Assumptions'!$O$35+G3767*'Model Inputs &amp; Assumptions'!$P$35)*EXP('Model Inputs &amp; Assumptions'!$Q$35*S3767-'Model Inputs &amp; Assumptions'!$Q$35^2/2))</f>
        <v>31.9546476538914</v>
      </c>
      <c r="I3767" s="49" t="n">
        <f aca="false">IF('Model Inputs &amp; Assumptions'!$H$35="Fixed",'Model Inputs &amp; Assumptions'!$I$35*'Model Inputs &amp; Assumptions'!$K$35,IF('Model Inputs &amp; Assumptions'!$H$35="CPM",'Model Inputs &amp; Assumptions'!$I$35*'Model Inputs &amp; Assumptions'!$K$35*C3767/1000,IF('Model Inputs &amp; Assumptions'!$H$35="CPC",'Model Inputs &amp; Assumptions'!$I$35*'Model Inputs &amp; Assumptions'!$K$35*G3767,0)))</f>
        <v>8672.8</v>
      </c>
      <c r="J3767" s="50" t="n">
        <f aca="false">H3767*INDEX('Model Inputs &amp; Assumptions'!$D$40:$D$42,MATCH('Model Inputs &amp; Assumptions'!$L$35,'Model Inputs &amp; Assumptions'!$A$40:$A$42,0))*INDEX('Model Inputs &amp; Assumptions'!$H$40:$H$42,MATCH('Model Inputs &amp; Assumptions'!$L$35,'Model Inputs &amp; Assumptions'!$A$40:$A$42,0))</f>
        <v>271614.505058077</v>
      </c>
      <c r="K3767" s="49" t="n">
        <f aca="false">H3767*INDEX('Model Inputs &amp; Assumptions'!$G$40:$G$42,MATCH('Model Inputs &amp; Assumptions'!$L$35,'Model Inputs &amp; Assumptions'!$A$40:$A$42,0))*INDEX('Model Inputs &amp; Assumptions'!$H$40:$H$42,MATCH('Model Inputs &amp; Assumptions'!$L$35,'Model Inputs &amp; Assumptions'!$A$40:$A$42,0))</f>
        <v>6111.32636380672</v>
      </c>
      <c r="L3767" s="51" t="n">
        <f aca="false">IFERROR(K3767/I3767,0)</f>
        <v>0.704654363505064</v>
      </c>
      <c r="M3767" s="49" t="n">
        <f aca="false">IFERROR(I3767/H3767,0)</f>
        <v>271.409658273727</v>
      </c>
      <c r="N3767" s="52" t="str">
        <f aca="false">'Model Inputs &amp; Assumptions'!$L$35</f>
        <v>PRD-EUAI</v>
      </c>
      <c r="P3767" s="53" t="n">
        <v>-0.045258</v>
      </c>
      <c r="Q3767" s="53" t="n">
        <v>0.544787</v>
      </c>
      <c r="R3767" s="53" t="n">
        <v>-0.88708</v>
      </c>
      <c r="S3767" s="53" t="n">
        <v>-0.087073</v>
      </c>
    </row>
    <row r="3768" customFormat="false" ht="15" hidden="false" customHeight="false" outlineLevel="0" collapsed="false">
      <c r="A3768" s="43" t="n">
        <v>265</v>
      </c>
      <c r="B3768" s="44" t="str">
        <f aca="false">'Model Inputs &amp; Assumptions'!$B$35</f>
        <v>justETF — Sponsored Listing</v>
      </c>
      <c r="C3768" s="45" t="n">
        <f aca="false">ROUND(MAX(0,'Model Inputs &amp; Assumptions'!$S$35*EXP('Model Inputs &amp; Assumptions'!$T$35*P3768-'Model Inputs &amp; Assumptions'!$T$35^2/2)),0)</f>
        <v>78734</v>
      </c>
      <c r="D3768" s="46" t="n">
        <f aca="false">MIN(1,'Model Inputs &amp; Assumptions'!$U$35*EXP('Model Inputs &amp; Assumptions'!$V$35*Q3768-'Model Inputs &amp; Assumptions'!$V$35^2/2))</f>
        <v>0</v>
      </c>
      <c r="E3768" s="45" t="n">
        <f aca="false">ROUND(C3768*D3768,0)</f>
        <v>0</v>
      </c>
      <c r="F3768" s="47" t="n">
        <f aca="false">MIN(1,'Model Inputs &amp; Assumptions'!$W$35*EXP('Model Inputs &amp; Assumptions'!$X$35*R3768-'Model Inputs &amp; Assumptions'!$X$35^2/2))</f>
        <v>0.0092430704144985</v>
      </c>
      <c r="G3768" s="45" t="n">
        <f aca="false">ROUND(C3768*F3768,0)</f>
        <v>728</v>
      </c>
      <c r="H3768" s="48" t="n">
        <f aca="false">MAX(0,(C3768*'Model Inputs &amp; Assumptions'!$N$35+E3768*'Model Inputs &amp; Assumptions'!$O$35+G3768*'Model Inputs &amp; Assumptions'!$P$35)*EXP('Model Inputs &amp; Assumptions'!$Q$35*S3768-'Model Inputs &amp; Assumptions'!$Q$35^2/2))</f>
        <v>51.5664099866417</v>
      </c>
      <c r="I3768" s="49" t="n">
        <f aca="false">IF('Model Inputs &amp; Assumptions'!$H$35="Fixed",'Model Inputs &amp; Assumptions'!$I$35*'Model Inputs &amp; Assumptions'!$K$35,IF('Model Inputs &amp; Assumptions'!$H$35="CPM",'Model Inputs &amp; Assumptions'!$I$35*'Model Inputs &amp; Assumptions'!$K$35*C3768/1000,IF('Model Inputs &amp; Assumptions'!$H$35="CPC",'Model Inputs &amp; Assumptions'!$I$35*'Model Inputs &amp; Assumptions'!$K$35*G3768,0)))</f>
        <v>8672.8</v>
      </c>
      <c r="J3768" s="50" t="n">
        <f aca="false">H3768*INDEX('Model Inputs &amp; Assumptions'!$D$40:$D$42,MATCH('Model Inputs &amp; Assumptions'!$L$35,'Model Inputs &amp; Assumptions'!$A$40:$A$42,0))*INDEX('Model Inputs &amp; Assumptions'!$H$40:$H$42,MATCH('Model Inputs &amp; Assumptions'!$L$35,'Model Inputs &amp; Assumptions'!$A$40:$A$42,0))</f>
        <v>438314.484886455</v>
      </c>
      <c r="K3768" s="49" t="n">
        <f aca="false">H3768*INDEX('Model Inputs &amp; Assumptions'!$G$40:$G$42,MATCH('Model Inputs &amp; Assumptions'!$L$35,'Model Inputs &amp; Assumptions'!$A$40:$A$42,0))*INDEX('Model Inputs &amp; Assumptions'!$H$40:$H$42,MATCH('Model Inputs &amp; Assumptions'!$L$35,'Model Inputs &amp; Assumptions'!$A$40:$A$42,0))</f>
        <v>9862.07590994523</v>
      </c>
      <c r="L3768" s="51" t="n">
        <f aca="false">IFERROR(K3768/I3768,0)</f>
        <v>1.13712709966161</v>
      </c>
      <c r="M3768" s="49" t="n">
        <f aca="false">IFERROR(I3768/H3768,0)</f>
        <v>168.187003947855</v>
      </c>
      <c r="N3768" s="52" t="str">
        <f aca="false">'Model Inputs &amp; Assumptions'!$L$35</f>
        <v>PRD-EUAI</v>
      </c>
      <c r="P3768" s="53" t="n">
        <v>-0.771996</v>
      </c>
      <c r="Q3768" s="53" t="n">
        <v>1.84479</v>
      </c>
      <c r="R3768" s="53" t="n">
        <v>1.708833</v>
      </c>
      <c r="S3768" s="53" t="n">
        <v>0.175498</v>
      </c>
    </row>
    <row r="3769" customFormat="false" ht="15" hidden="false" customHeight="false" outlineLevel="0" collapsed="false">
      <c r="A3769" s="43" t="n">
        <v>266</v>
      </c>
      <c r="B3769" s="44" t="str">
        <f aca="false">'Model Inputs &amp; Assumptions'!$B$35</f>
        <v>justETF — Sponsored Listing</v>
      </c>
      <c r="C3769" s="45" t="n">
        <f aca="false">ROUND(MAX(0,'Model Inputs &amp; Assumptions'!$S$35*EXP('Model Inputs &amp; Assumptions'!$T$35*P3769-'Model Inputs &amp; Assumptions'!$T$35^2/2)),0)</f>
        <v>92052</v>
      </c>
      <c r="D3769" s="46" t="n">
        <f aca="false">MIN(1,'Model Inputs &amp; Assumptions'!$U$35*EXP('Model Inputs &amp; Assumptions'!$V$35*Q3769-'Model Inputs &amp; Assumptions'!$V$35^2/2))</f>
        <v>0</v>
      </c>
      <c r="E3769" s="45" t="n">
        <f aca="false">ROUND(C3769*D3769,0)</f>
        <v>0</v>
      </c>
      <c r="F3769" s="47" t="n">
        <f aca="false">MIN(1,'Model Inputs &amp; Assumptions'!$W$35*EXP('Model Inputs &amp; Assumptions'!$X$35*R3769-'Model Inputs &amp; Assumptions'!$X$35^2/2))</f>
        <v>0.00669151513714452</v>
      </c>
      <c r="G3769" s="45" t="n">
        <f aca="false">ROUND(C3769*F3769,0)</f>
        <v>616</v>
      </c>
      <c r="H3769" s="48" t="n">
        <f aca="false">MAX(0,(C3769*'Model Inputs &amp; Assumptions'!$N$35+E3769*'Model Inputs &amp; Assumptions'!$O$35+G3769*'Model Inputs &amp; Assumptions'!$P$35)*EXP('Model Inputs &amp; Assumptions'!$Q$35*S3769-'Model Inputs &amp; Assumptions'!$Q$35^2/2))</f>
        <v>42.7601838873765</v>
      </c>
      <c r="I3769" s="49" t="n">
        <f aca="false">IF('Model Inputs &amp; Assumptions'!$H$35="Fixed",'Model Inputs &amp; Assumptions'!$I$35*'Model Inputs &amp; Assumptions'!$K$35,IF('Model Inputs &amp; Assumptions'!$H$35="CPM",'Model Inputs &amp; Assumptions'!$I$35*'Model Inputs &amp; Assumptions'!$K$35*C3769/1000,IF('Model Inputs &amp; Assumptions'!$H$35="CPC",'Model Inputs &amp; Assumptions'!$I$35*'Model Inputs &amp; Assumptions'!$K$35*G3769,0)))</f>
        <v>8672.8</v>
      </c>
      <c r="J3769" s="50" t="n">
        <f aca="false">H3769*INDEX('Model Inputs &amp; Assumptions'!$D$40:$D$42,MATCH('Model Inputs &amp; Assumptions'!$L$35,'Model Inputs &amp; Assumptions'!$A$40:$A$42,0))*INDEX('Model Inputs &amp; Assumptions'!$H$40:$H$42,MATCH('Model Inputs &amp; Assumptions'!$L$35,'Model Inputs &amp; Assumptions'!$A$40:$A$42,0))</f>
        <v>363461.5630427</v>
      </c>
      <c r="K3769" s="49" t="n">
        <f aca="false">H3769*INDEX('Model Inputs &amp; Assumptions'!$G$40:$G$42,MATCH('Model Inputs &amp; Assumptions'!$L$35,'Model Inputs &amp; Assumptions'!$A$40:$A$42,0))*INDEX('Model Inputs &amp; Assumptions'!$H$40:$H$42,MATCH('Model Inputs &amp; Assumptions'!$L$35,'Model Inputs &amp; Assumptions'!$A$40:$A$42,0))</f>
        <v>8177.88516846075</v>
      </c>
      <c r="L3769" s="51" t="n">
        <f aca="false">IFERROR(K3769/I3769,0)</f>
        <v>0.942934827098601</v>
      </c>
      <c r="M3769" s="49" t="n">
        <f aca="false">IFERROR(I3769/H3769,0)</f>
        <v>202.824197923067</v>
      </c>
      <c r="N3769" s="52" t="str">
        <f aca="false">'Model Inputs &amp; Assumptions'!$L$35</f>
        <v>PRD-EUAI</v>
      </c>
      <c r="P3769" s="53" t="n">
        <v>0.269892</v>
      </c>
      <c r="Q3769" s="53" t="n">
        <v>-0.906648</v>
      </c>
      <c r="R3769" s="53" t="n">
        <v>0.093664</v>
      </c>
      <c r="S3769" s="53" t="n">
        <v>0.097771</v>
      </c>
    </row>
    <row r="3770" customFormat="false" ht="15" hidden="false" customHeight="false" outlineLevel="0" collapsed="false">
      <c r="A3770" s="43" t="n">
        <v>267</v>
      </c>
      <c r="B3770" s="44" t="str">
        <f aca="false">'Model Inputs &amp; Assumptions'!$B$35</f>
        <v>justETF — Sponsored Listing</v>
      </c>
      <c r="C3770" s="45" t="n">
        <f aca="false">ROUND(MAX(0,'Model Inputs &amp; Assumptions'!$S$35*EXP('Model Inputs &amp; Assumptions'!$T$35*P3770-'Model Inputs &amp; Assumptions'!$T$35^2/2)),0)</f>
        <v>88259</v>
      </c>
      <c r="D3770" s="46" t="n">
        <f aca="false">MIN(1,'Model Inputs &amp; Assumptions'!$U$35*EXP('Model Inputs &amp; Assumptions'!$V$35*Q3770-'Model Inputs &amp; Assumptions'!$V$35^2/2))</f>
        <v>0</v>
      </c>
      <c r="E3770" s="45" t="n">
        <f aca="false">ROUND(C3770*D3770,0)</f>
        <v>0</v>
      </c>
      <c r="F3770" s="47" t="n">
        <f aca="false">MIN(1,'Model Inputs &amp; Assumptions'!$W$35*EXP('Model Inputs &amp; Assumptions'!$X$35*R3770-'Model Inputs &amp; Assumptions'!$X$35^2/2))</f>
        <v>0.00741215430442801</v>
      </c>
      <c r="G3770" s="45" t="n">
        <f aca="false">ROUND(C3770*F3770,0)</f>
        <v>654</v>
      </c>
      <c r="H3770" s="48" t="n">
        <f aca="false">MAX(0,(C3770*'Model Inputs &amp; Assumptions'!$N$35+E3770*'Model Inputs &amp; Assumptions'!$O$35+G3770*'Model Inputs &amp; Assumptions'!$P$35)*EXP('Model Inputs &amp; Assumptions'!$Q$35*S3770-'Model Inputs &amp; Assumptions'!$Q$35^2/2))</f>
        <v>47.8119885494427</v>
      </c>
      <c r="I3770" s="49" t="n">
        <f aca="false">IF('Model Inputs &amp; Assumptions'!$H$35="Fixed",'Model Inputs &amp; Assumptions'!$I$35*'Model Inputs &amp; Assumptions'!$K$35,IF('Model Inputs &amp; Assumptions'!$H$35="CPM",'Model Inputs &amp; Assumptions'!$I$35*'Model Inputs &amp; Assumptions'!$K$35*C3770/1000,IF('Model Inputs &amp; Assumptions'!$H$35="CPC",'Model Inputs &amp; Assumptions'!$I$35*'Model Inputs &amp; Assumptions'!$K$35*G3770,0)))</f>
        <v>8672.8</v>
      </c>
      <c r="J3770" s="50" t="n">
        <f aca="false">H3770*INDEX('Model Inputs &amp; Assumptions'!$D$40:$D$42,MATCH('Model Inputs &amp; Assumptions'!$L$35,'Model Inputs &amp; Assumptions'!$A$40:$A$42,0))*INDEX('Model Inputs &amp; Assumptions'!$H$40:$H$42,MATCH('Model Inputs &amp; Assumptions'!$L$35,'Model Inputs &amp; Assumptions'!$A$40:$A$42,0))</f>
        <v>406401.902670263</v>
      </c>
      <c r="K3770" s="49" t="n">
        <f aca="false">H3770*INDEX('Model Inputs &amp; Assumptions'!$G$40:$G$42,MATCH('Model Inputs &amp; Assumptions'!$L$35,'Model Inputs &amp; Assumptions'!$A$40:$A$42,0))*INDEX('Model Inputs &amp; Assumptions'!$H$40:$H$42,MATCH('Model Inputs &amp; Assumptions'!$L$35,'Model Inputs &amp; Assumptions'!$A$40:$A$42,0))</f>
        <v>9144.04281008091</v>
      </c>
      <c r="L3770" s="51" t="n">
        <f aca="false">IFERROR(K3770/I3770,0)</f>
        <v>1.0543357174247</v>
      </c>
      <c r="M3770" s="49" t="n">
        <f aca="false">IFERROR(I3770/H3770,0)</f>
        <v>181.393835795627</v>
      </c>
      <c r="N3770" s="52" t="str">
        <f aca="false">'Model Inputs &amp; Assumptions'!$L$35</f>
        <v>PRD-EUAI</v>
      </c>
      <c r="P3770" s="53" t="n">
        <v>-0.010607</v>
      </c>
      <c r="Q3770" s="53" t="n">
        <v>0.264051</v>
      </c>
      <c r="R3770" s="53" t="n">
        <v>0.605068</v>
      </c>
      <c r="S3770" s="53" t="n">
        <v>0.297035</v>
      </c>
    </row>
    <row r="3771" customFormat="false" ht="15" hidden="false" customHeight="false" outlineLevel="0" collapsed="false">
      <c r="A3771" s="43" t="n">
        <v>268</v>
      </c>
      <c r="B3771" s="44" t="str">
        <f aca="false">'Model Inputs &amp; Assumptions'!$B$35</f>
        <v>justETF — Sponsored Listing</v>
      </c>
      <c r="C3771" s="45" t="n">
        <f aca="false">ROUND(MAX(0,'Model Inputs &amp; Assumptions'!$S$35*EXP('Model Inputs &amp; Assumptions'!$T$35*P3771-'Model Inputs &amp; Assumptions'!$T$35^2/2)),0)</f>
        <v>89727</v>
      </c>
      <c r="D3771" s="46" t="n">
        <f aca="false">MIN(1,'Model Inputs &amp; Assumptions'!$U$35*EXP('Model Inputs &amp; Assumptions'!$V$35*Q3771-'Model Inputs &amp; Assumptions'!$V$35^2/2))</f>
        <v>0</v>
      </c>
      <c r="E3771" s="45" t="n">
        <f aca="false">ROUND(C3771*D3771,0)</f>
        <v>0</v>
      </c>
      <c r="F3771" s="47" t="n">
        <f aca="false">MIN(1,'Model Inputs &amp; Assumptions'!$W$35*EXP('Model Inputs &amp; Assumptions'!$X$35*R3771-'Model Inputs &amp; Assumptions'!$X$35^2/2))</f>
        <v>0.00816882538162612</v>
      </c>
      <c r="G3771" s="45" t="n">
        <f aca="false">ROUND(C3771*F3771,0)</f>
        <v>733</v>
      </c>
      <c r="H3771" s="48" t="n">
        <f aca="false">MAX(0,(C3771*'Model Inputs &amp; Assumptions'!$N$35+E3771*'Model Inputs &amp; Assumptions'!$O$35+G3771*'Model Inputs &amp; Assumptions'!$P$35)*EXP('Model Inputs &amp; Assumptions'!$Q$35*S3771-'Model Inputs &amp; Assumptions'!$Q$35^2/2))</f>
        <v>44.9906938456649</v>
      </c>
      <c r="I3771" s="49" t="n">
        <f aca="false">IF('Model Inputs &amp; Assumptions'!$H$35="Fixed",'Model Inputs &amp; Assumptions'!$I$35*'Model Inputs &amp; Assumptions'!$K$35,IF('Model Inputs &amp; Assumptions'!$H$35="CPM",'Model Inputs &amp; Assumptions'!$I$35*'Model Inputs &amp; Assumptions'!$K$35*C3771/1000,IF('Model Inputs &amp; Assumptions'!$H$35="CPC",'Model Inputs &amp; Assumptions'!$I$35*'Model Inputs &amp; Assumptions'!$K$35*G3771,0)))</f>
        <v>8672.8</v>
      </c>
      <c r="J3771" s="50" t="n">
        <f aca="false">H3771*INDEX('Model Inputs &amp; Assumptions'!$D$40:$D$42,MATCH('Model Inputs &amp; Assumptions'!$L$35,'Model Inputs &amp; Assumptions'!$A$40:$A$42,0))*INDEX('Model Inputs &amp; Assumptions'!$H$40:$H$42,MATCH('Model Inputs &amp; Assumptions'!$L$35,'Model Inputs &amp; Assumptions'!$A$40:$A$42,0))</f>
        <v>382420.897688152</v>
      </c>
      <c r="K3771" s="49" t="n">
        <f aca="false">H3771*INDEX('Model Inputs &amp; Assumptions'!$G$40:$G$42,MATCH('Model Inputs &amp; Assumptions'!$L$35,'Model Inputs &amp; Assumptions'!$A$40:$A$42,0))*INDEX('Model Inputs &amp; Assumptions'!$H$40:$H$42,MATCH('Model Inputs &amp; Assumptions'!$L$35,'Model Inputs &amp; Assumptions'!$A$40:$A$42,0))</f>
        <v>8604.47019798342</v>
      </c>
      <c r="L3771" s="51" t="n">
        <f aca="false">IFERROR(K3771/I3771,0)</f>
        <v>0.992121367722468</v>
      </c>
      <c r="M3771" s="49" t="n">
        <f aca="false">IFERROR(I3771/H3771,0)</f>
        <v>192.768754128376</v>
      </c>
      <c r="N3771" s="52" t="str">
        <f aca="false">'Model Inputs &amp; Assumptions'!$L$35</f>
        <v>PRD-EUAI</v>
      </c>
      <c r="P3771" s="53" t="n">
        <v>0.099316</v>
      </c>
      <c r="Q3771" s="53" t="n">
        <v>-0.075093</v>
      </c>
      <c r="R3771" s="53" t="n">
        <v>1.091088</v>
      </c>
      <c r="S3771" s="53" t="n">
        <v>-0.3755</v>
      </c>
    </row>
    <row r="3772" customFormat="false" ht="15" hidden="false" customHeight="false" outlineLevel="0" collapsed="false">
      <c r="A3772" s="43" t="n">
        <v>269</v>
      </c>
      <c r="B3772" s="44" t="str">
        <f aca="false">'Model Inputs &amp; Assumptions'!$B$35</f>
        <v>justETF — Sponsored Listing</v>
      </c>
      <c r="C3772" s="45" t="n">
        <f aca="false">ROUND(MAX(0,'Model Inputs &amp; Assumptions'!$S$35*EXP('Model Inputs &amp; Assumptions'!$T$35*P3772-'Model Inputs &amp; Assumptions'!$T$35^2/2)),0)</f>
        <v>85280</v>
      </c>
      <c r="D3772" s="46" t="n">
        <f aca="false">MIN(1,'Model Inputs &amp; Assumptions'!$U$35*EXP('Model Inputs &amp; Assumptions'!$V$35*Q3772-'Model Inputs &amp; Assumptions'!$V$35^2/2))</f>
        <v>0</v>
      </c>
      <c r="E3772" s="45" t="n">
        <f aca="false">ROUND(C3772*D3772,0)</f>
        <v>0</v>
      </c>
      <c r="F3772" s="47" t="n">
        <f aca="false">MIN(1,'Model Inputs &amp; Assumptions'!$W$35*EXP('Model Inputs &amp; Assumptions'!$X$35*R3772-'Model Inputs &amp; Assumptions'!$X$35^2/2))</f>
        <v>0.0051277621010789</v>
      </c>
      <c r="G3772" s="45" t="n">
        <f aca="false">ROUND(C3772*F3772,0)</f>
        <v>437</v>
      </c>
      <c r="H3772" s="48" t="n">
        <f aca="false">MAX(0,(C3772*'Model Inputs &amp; Assumptions'!$N$35+E3772*'Model Inputs &amp; Assumptions'!$O$35+G3772*'Model Inputs &amp; Assumptions'!$P$35)*EXP('Model Inputs &amp; Assumptions'!$Q$35*S3772-'Model Inputs &amp; Assumptions'!$Q$35^2/2))</f>
        <v>23.5272658651785</v>
      </c>
      <c r="I3772" s="49" t="n">
        <f aca="false">IF('Model Inputs &amp; Assumptions'!$H$35="Fixed",'Model Inputs &amp; Assumptions'!$I$35*'Model Inputs &amp; Assumptions'!$K$35,IF('Model Inputs &amp; Assumptions'!$H$35="CPM",'Model Inputs &amp; Assumptions'!$I$35*'Model Inputs &amp; Assumptions'!$K$35*C3772/1000,IF('Model Inputs &amp; Assumptions'!$H$35="CPC",'Model Inputs &amp; Assumptions'!$I$35*'Model Inputs &amp; Assumptions'!$K$35*G3772,0)))</f>
        <v>8672.8</v>
      </c>
      <c r="J3772" s="50" t="n">
        <f aca="false">H3772*INDEX('Model Inputs &amp; Assumptions'!$D$40:$D$42,MATCH('Model Inputs &amp; Assumptions'!$L$35,'Model Inputs &amp; Assumptions'!$A$40:$A$42,0))*INDEX('Model Inputs &amp; Assumptions'!$H$40:$H$42,MATCH('Model Inputs &amp; Assumptions'!$L$35,'Model Inputs &amp; Assumptions'!$A$40:$A$42,0))</f>
        <v>199981.759854017</v>
      </c>
      <c r="K3772" s="49" t="n">
        <f aca="false">H3772*INDEX('Model Inputs &amp; Assumptions'!$G$40:$G$42,MATCH('Model Inputs &amp; Assumptions'!$L$35,'Model Inputs &amp; Assumptions'!$A$40:$A$42,0))*INDEX('Model Inputs &amp; Assumptions'!$H$40:$H$42,MATCH('Model Inputs &amp; Assumptions'!$L$35,'Model Inputs &amp; Assumptions'!$A$40:$A$42,0))</f>
        <v>4499.58959671539</v>
      </c>
      <c r="L3772" s="51" t="n">
        <f aca="false">IFERROR(K3772/I3772,0)</f>
        <v>0.518816252734456</v>
      </c>
      <c r="M3772" s="49" t="n">
        <f aca="false">IFERROR(I3772/H3772,0)</f>
        <v>368.627619107929</v>
      </c>
      <c r="N3772" s="52" t="str">
        <f aca="false">'Model Inputs &amp; Assumptions'!$L$35</f>
        <v>PRD-EUAI</v>
      </c>
      <c r="P3772" s="53" t="n">
        <v>-0.239559</v>
      </c>
      <c r="Q3772" s="53" t="n">
        <v>0.096548</v>
      </c>
      <c r="R3772" s="53" t="n">
        <v>-1.237191</v>
      </c>
      <c r="S3772" s="53" t="n">
        <v>-0.879666</v>
      </c>
    </row>
    <row r="3773" customFormat="false" ht="15" hidden="false" customHeight="false" outlineLevel="0" collapsed="false">
      <c r="A3773" s="43" t="n">
        <v>270</v>
      </c>
      <c r="B3773" s="44" t="str">
        <f aca="false">'Model Inputs &amp; Assumptions'!$B$35</f>
        <v>justETF — Sponsored Listing</v>
      </c>
      <c r="C3773" s="45" t="n">
        <f aca="false">ROUND(MAX(0,'Model Inputs &amp; Assumptions'!$S$35*EXP('Model Inputs &amp; Assumptions'!$T$35*P3773-'Model Inputs &amp; Assumptions'!$T$35^2/2)),0)</f>
        <v>93454</v>
      </c>
      <c r="D3773" s="46" t="n">
        <f aca="false">MIN(1,'Model Inputs &amp; Assumptions'!$U$35*EXP('Model Inputs &amp; Assumptions'!$V$35*Q3773-'Model Inputs &amp; Assumptions'!$V$35^2/2))</f>
        <v>0</v>
      </c>
      <c r="E3773" s="45" t="n">
        <f aca="false">ROUND(C3773*D3773,0)</f>
        <v>0</v>
      </c>
      <c r="F3773" s="47" t="n">
        <f aca="false">MIN(1,'Model Inputs &amp; Assumptions'!$W$35*EXP('Model Inputs &amp; Assumptions'!$X$35*R3773-'Model Inputs &amp; Assumptions'!$X$35^2/2))</f>
        <v>0.0053022259682617</v>
      </c>
      <c r="G3773" s="45" t="n">
        <f aca="false">ROUND(C3773*F3773,0)</f>
        <v>496</v>
      </c>
      <c r="H3773" s="48" t="n">
        <f aca="false">MAX(0,(C3773*'Model Inputs &amp; Assumptions'!$N$35+E3773*'Model Inputs &amp; Assumptions'!$O$35+G3773*'Model Inputs &amp; Assumptions'!$P$35)*EXP('Model Inputs &amp; Assumptions'!$Q$35*S3773-'Model Inputs &amp; Assumptions'!$Q$35^2/2))</f>
        <v>42.2790693762881</v>
      </c>
      <c r="I3773" s="49" t="n">
        <f aca="false">IF('Model Inputs &amp; Assumptions'!$H$35="Fixed",'Model Inputs &amp; Assumptions'!$I$35*'Model Inputs &amp; Assumptions'!$K$35,IF('Model Inputs &amp; Assumptions'!$H$35="CPM",'Model Inputs &amp; Assumptions'!$I$35*'Model Inputs &amp; Assumptions'!$K$35*C3773/1000,IF('Model Inputs &amp; Assumptions'!$H$35="CPC",'Model Inputs &amp; Assumptions'!$I$35*'Model Inputs &amp; Assumptions'!$K$35*G3773,0)))</f>
        <v>8672.8</v>
      </c>
      <c r="J3773" s="50" t="n">
        <f aca="false">H3773*INDEX('Model Inputs &amp; Assumptions'!$D$40:$D$42,MATCH('Model Inputs &amp; Assumptions'!$L$35,'Model Inputs &amp; Assumptions'!$A$40:$A$42,0))*INDEX('Model Inputs &amp; Assumptions'!$H$40:$H$42,MATCH('Model Inputs &amp; Assumptions'!$L$35,'Model Inputs &amp; Assumptions'!$A$40:$A$42,0))</f>
        <v>359372.089698449</v>
      </c>
      <c r="K3773" s="49" t="n">
        <f aca="false">H3773*INDEX('Model Inputs &amp; Assumptions'!$G$40:$G$42,MATCH('Model Inputs &amp; Assumptions'!$L$35,'Model Inputs &amp; Assumptions'!$A$40:$A$42,0))*INDEX('Model Inputs &amp; Assumptions'!$H$40:$H$42,MATCH('Model Inputs &amp; Assumptions'!$L$35,'Model Inputs &amp; Assumptions'!$A$40:$A$42,0))</f>
        <v>8085.8720182151</v>
      </c>
      <c r="L3773" s="51" t="n">
        <f aca="false">IFERROR(K3773/I3773,0)</f>
        <v>0.932325433333537</v>
      </c>
      <c r="M3773" s="49" t="n">
        <f aca="false">IFERROR(I3773/H3773,0)</f>
        <v>205.132235121147</v>
      </c>
      <c r="N3773" s="52" t="str">
        <f aca="false">'Model Inputs &amp; Assumptions'!$L$35</f>
        <v>PRD-EUAI</v>
      </c>
      <c r="P3773" s="53" t="n">
        <v>0.370636</v>
      </c>
      <c r="Q3773" s="53" t="n">
        <v>-0.881779</v>
      </c>
      <c r="R3773" s="53" t="n">
        <v>-1.069904</v>
      </c>
      <c r="S3773" s="53" t="n">
        <v>0.887601</v>
      </c>
    </row>
    <row r="3774" customFormat="false" ht="15" hidden="false" customHeight="false" outlineLevel="0" collapsed="false">
      <c r="A3774" s="43" t="n">
        <v>271</v>
      </c>
      <c r="B3774" s="44" t="str">
        <f aca="false">'Model Inputs &amp; Assumptions'!$B$35</f>
        <v>justETF — Sponsored Listing</v>
      </c>
      <c r="C3774" s="45" t="n">
        <f aca="false">ROUND(MAX(0,'Model Inputs &amp; Assumptions'!$S$35*EXP('Model Inputs &amp; Assumptions'!$T$35*P3774-'Model Inputs &amp; Assumptions'!$T$35^2/2)),0)</f>
        <v>96057</v>
      </c>
      <c r="D3774" s="46" t="n">
        <f aca="false">MIN(1,'Model Inputs &amp; Assumptions'!$U$35*EXP('Model Inputs &amp; Assumptions'!$V$35*Q3774-'Model Inputs &amp; Assumptions'!$V$35^2/2))</f>
        <v>0</v>
      </c>
      <c r="E3774" s="45" t="n">
        <f aca="false">ROUND(C3774*D3774,0)</f>
        <v>0</v>
      </c>
      <c r="F3774" s="47" t="n">
        <f aca="false">MIN(1,'Model Inputs &amp; Assumptions'!$W$35*EXP('Model Inputs &amp; Assumptions'!$X$35*R3774-'Model Inputs &amp; Assumptions'!$X$35^2/2))</f>
        <v>0.00607281058293506</v>
      </c>
      <c r="G3774" s="45" t="n">
        <f aca="false">ROUND(C3774*F3774,0)</f>
        <v>583</v>
      </c>
      <c r="H3774" s="48" t="n">
        <f aca="false">MAX(0,(C3774*'Model Inputs &amp; Assumptions'!$N$35+E3774*'Model Inputs &amp; Assumptions'!$O$35+G3774*'Model Inputs &amp; Assumptions'!$P$35)*EXP('Model Inputs &amp; Assumptions'!$Q$35*S3774-'Model Inputs &amp; Assumptions'!$Q$35^2/2))</f>
        <v>45.0279230438437</v>
      </c>
      <c r="I3774" s="49" t="n">
        <f aca="false">IF('Model Inputs &amp; Assumptions'!$H$35="Fixed",'Model Inputs &amp; Assumptions'!$I$35*'Model Inputs &amp; Assumptions'!$K$35,IF('Model Inputs &amp; Assumptions'!$H$35="CPM",'Model Inputs &amp; Assumptions'!$I$35*'Model Inputs &amp; Assumptions'!$K$35*C3774/1000,IF('Model Inputs &amp; Assumptions'!$H$35="CPC",'Model Inputs &amp; Assumptions'!$I$35*'Model Inputs &amp; Assumptions'!$K$35*G3774,0)))</f>
        <v>8672.8</v>
      </c>
      <c r="J3774" s="50" t="n">
        <f aca="false">H3774*INDEX('Model Inputs &amp; Assumptions'!$D$40:$D$42,MATCH('Model Inputs &amp; Assumptions'!$L$35,'Model Inputs &amp; Assumptions'!$A$40:$A$42,0))*INDEX('Model Inputs &amp; Assumptions'!$H$40:$H$42,MATCH('Model Inputs &amp; Assumptions'!$L$35,'Model Inputs &amp; Assumptions'!$A$40:$A$42,0))</f>
        <v>382737.345872672</v>
      </c>
      <c r="K3774" s="49" t="n">
        <f aca="false">H3774*INDEX('Model Inputs &amp; Assumptions'!$G$40:$G$42,MATCH('Model Inputs &amp; Assumptions'!$L$35,'Model Inputs &amp; Assumptions'!$A$40:$A$42,0))*INDEX('Model Inputs &amp; Assumptions'!$H$40:$H$42,MATCH('Model Inputs &amp; Assumptions'!$L$35,'Model Inputs &amp; Assumptions'!$A$40:$A$42,0))</f>
        <v>8611.59028213511</v>
      </c>
      <c r="L3774" s="51" t="n">
        <f aca="false">IFERROR(K3774/I3774,0)</f>
        <v>0.99294233490166</v>
      </c>
      <c r="M3774" s="49" t="n">
        <f aca="false">IFERROR(I3774/H3774,0)</f>
        <v>192.609372445522</v>
      </c>
      <c r="N3774" s="52" t="str">
        <f aca="false">'Model Inputs &amp; Assumptions'!$L$35</f>
        <v>PRD-EUAI</v>
      </c>
      <c r="P3774" s="53" t="n">
        <v>0.55379</v>
      </c>
      <c r="Q3774" s="53" t="n">
        <v>0.579485</v>
      </c>
      <c r="R3774" s="53" t="n">
        <v>-0.39143</v>
      </c>
      <c r="S3774" s="53" t="n">
        <v>0.508291</v>
      </c>
    </row>
    <row r="3775" customFormat="false" ht="15" hidden="false" customHeight="false" outlineLevel="0" collapsed="false">
      <c r="A3775" s="43" t="n">
        <v>272</v>
      </c>
      <c r="B3775" s="44" t="str">
        <f aca="false">'Model Inputs &amp; Assumptions'!$B$35</f>
        <v>justETF — Sponsored Listing</v>
      </c>
      <c r="C3775" s="45" t="n">
        <f aca="false">ROUND(MAX(0,'Model Inputs &amp; Assumptions'!$S$35*EXP('Model Inputs &amp; Assumptions'!$T$35*P3775-'Model Inputs &amp; Assumptions'!$T$35^2/2)),0)</f>
        <v>85299</v>
      </c>
      <c r="D3775" s="46" t="n">
        <f aca="false">MIN(1,'Model Inputs &amp; Assumptions'!$U$35*EXP('Model Inputs &amp; Assumptions'!$V$35*Q3775-'Model Inputs &amp; Assumptions'!$V$35^2/2))</f>
        <v>0</v>
      </c>
      <c r="E3775" s="45" t="n">
        <f aca="false">ROUND(C3775*D3775,0)</f>
        <v>0</v>
      </c>
      <c r="F3775" s="47" t="n">
        <f aca="false">MIN(1,'Model Inputs &amp; Assumptions'!$W$35*EXP('Model Inputs &amp; Assumptions'!$X$35*R3775-'Model Inputs &amp; Assumptions'!$X$35^2/2))</f>
        <v>0.00646937514388565</v>
      </c>
      <c r="G3775" s="45" t="n">
        <f aca="false">ROUND(C3775*F3775,0)</f>
        <v>552</v>
      </c>
      <c r="H3775" s="48" t="n">
        <f aca="false">MAX(0,(C3775*'Model Inputs &amp; Assumptions'!$N$35+E3775*'Model Inputs &amp; Assumptions'!$O$35+G3775*'Model Inputs &amp; Assumptions'!$P$35)*EXP('Model Inputs &amp; Assumptions'!$Q$35*S3775-'Model Inputs &amp; Assumptions'!$Q$35^2/2))</f>
        <v>38.3443062734242</v>
      </c>
      <c r="I3775" s="49" t="n">
        <f aca="false">IF('Model Inputs &amp; Assumptions'!$H$35="Fixed",'Model Inputs &amp; Assumptions'!$I$35*'Model Inputs &amp; Assumptions'!$K$35,IF('Model Inputs &amp; Assumptions'!$H$35="CPM",'Model Inputs &amp; Assumptions'!$I$35*'Model Inputs &amp; Assumptions'!$K$35*C3775/1000,IF('Model Inputs &amp; Assumptions'!$H$35="CPC",'Model Inputs &amp; Assumptions'!$I$35*'Model Inputs &amp; Assumptions'!$K$35*G3775,0)))</f>
        <v>8672.8</v>
      </c>
      <c r="J3775" s="50" t="n">
        <f aca="false">H3775*INDEX('Model Inputs &amp; Assumptions'!$D$40:$D$42,MATCH('Model Inputs &amp; Assumptions'!$L$35,'Model Inputs &amp; Assumptions'!$A$40:$A$42,0))*INDEX('Model Inputs &amp; Assumptions'!$H$40:$H$42,MATCH('Model Inputs &amp; Assumptions'!$L$35,'Model Inputs &amp; Assumptions'!$A$40:$A$42,0))</f>
        <v>325926.603324106</v>
      </c>
      <c r="K3775" s="49" t="n">
        <f aca="false">H3775*INDEX('Model Inputs &amp; Assumptions'!$G$40:$G$42,MATCH('Model Inputs &amp; Assumptions'!$L$35,'Model Inputs &amp; Assumptions'!$A$40:$A$42,0))*INDEX('Model Inputs &amp; Assumptions'!$H$40:$H$42,MATCH('Model Inputs &amp; Assumptions'!$L$35,'Model Inputs &amp; Assumptions'!$A$40:$A$42,0))</f>
        <v>7333.34857479238</v>
      </c>
      <c r="L3775" s="51" t="n">
        <f aca="false">IFERROR(K3775/I3775,0)</f>
        <v>0.845557210450187</v>
      </c>
      <c r="M3775" s="49" t="n">
        <f aca="false">IFERROR(I3775/H3775,0)</f>
        <v>226.18221172542</v>
      </c>
      <c r="N3775" s="52" t="str">
        <f aca="false">'Model Inputs &amp; Assumptions'!$L$35</f>
        <v>PRD-EUAI</v>
      </c>
      <c r="P3775" s="53" t="n">
        <v>-0.238088</v>
      </c>
      <c r="Q3775" s="53" t="n">
        <v>-2.490872</v>
      </c>
      <c r="R3775" s="53" t="n">
        <v>-0.07514</v>
      </c>
      <c r="S3775" s="53" t="n">
        <v>0.100454</v>
      </c>
    </row>
    <row r="3776" customFormat="false" ht="15" hidden="false" customHeight="false" outlineLevel="0" collapsed="false">
      <c r="A3776" s="43" t="n">
        <v>273</v>
      </c>
      <c r="B3776" s="44" t="str">
        <f aca="false">'Model Inputs &amp; Assumptions'!$B$35</f>
        <v>justETF — Sponsored Listing</v>
      </c>
      <c r="C3776" s="45" t="n">
        <f aca="false">ROUND(MAX(0,'Model Inputs &amp; Assumptions'!$S$35*EXP('Model Inputs &amp; Assumptions'!$T$35*P3776-'Model Inputs &amp; Assumptions'!$T$35^2/2)),0)</f>
        <v>98266</v>
      </c>
      <c r="D3776" s="46" t="n">
        <f aca="false">MIN(1,'Model Inputs &amp; Assumptions'!$U$35*EXP('Model Inputs &amp; Assumptions'!$V$35*Q3776-'Model Inputs &amp; Assumptions'!$V$35^2/2))</f>
        <v>0</v>
      </c>
      <c r="E3776" s="45" t="n">
        <f aca="false">ROUND(C3776*D3776,0)</f>
        <v>0</v>
      </c>
      <c r="F3776" s="47" t="n">
        <f aca="false">MIN(1,'Model Inputs &amp; Assumptions'!$W$35*EXP('Model Inputs &amp; Assumptions'!$X$35*R3776-'Model Inputs &amp; Assumptions'!$X$35^2/2))</f>
        <v>0.00961383614927467</v>
      </c>
      <c r="G3776" s="45" t="n">
        <f aca="false">ROUND(C3776*F3776,0)</f>
        <v>945</v>
      </c>
      <c r="H3776" s="48" t="n">
        <f aca="false">MAX(0,(C3776*'Model Inputs &amp; Assumptions'!$N$35+E3776*'Model Inputs &amp; Assumptions'!$O$35+G3776*'Model Inputs &amp; Assumptions'!$P$35)*EXP('Model Inputs &amp; Assumptions'!$Q$35*S3776-'Model Inputs &amp; Assumptions'!$Q$35^2/2))</f>
        <v>62.8529235687231</v>
      </c>
      <c r="I3776" s="49" t="n">
        <f aca="false">IF('Model Inputs &amp; Assumptions'!$H$35="Fixed",'Model Inputs &amp; Assumptions'!$I$35*'Model Inputs &amp; Assumptions'!$K$35,IF('Model Inputs &amp; Assumptions'!$H$35="CPM",'Model Inputs &amp; Assumptions'!$I$35*'Model Inputs &amp; Assumptions'!$K$35*C3776/1000,IF('Model Inputs &amp; Assumptions'!$H$35="CPC",'Model Inputs &amp; Assumptions'!$I$35*'Model Inputs &amp; Assumptions'!$K$35*G3776,0)))</f>
        <v>8672.8</v>
      </c>
      <c r="J3776" s="50" t="n">
        <f aca="false">H3776*INDEX('Model Inputs &amp; Assumptions'!$D$40:$D$42,MATCH('Model Inputs &amp; Assumptions'!$L$35,'Model Inputs &amp; Assumptions'!$A$40:$A$42,0))*INDEX('Model Inputs &amp; Assumptions'!$H$40:$H$42,MATCH('Model Inputs &amp; Assumptions'!$L$35,'Model Inputs &amp; Assumptions'!$A$40:$A$42,0))</f>
        <v>534249.850334146</v>
      </c>
      <c r="K3776" s="49" t="n">
        <f aca="false">H3776*INDEX('Model Inputs &amp; Assumptions'!$G$40:$G$42,MATCH('Model Inputs &amp; Assumptions'!$L$35,'Model Inputs &amp; Assumptions'!$A$40:$A$42,0))*INDEX('Model Inputs &amp; Assumptions'!$H$40:$H$42,MATCH('Model Inputs &amp; Assumptions'!$L$35,'Model Inputs &amp; Assumptions'!$A$40:$A$42,0))</f>
        <v>12020.6216325183</v>
      </c>
      <c r="L3776" s="51" t="n">
        <f aca="false">IFERROR(K3776/I3776,0)</f>
        <v>1.38601393235383</v>
      </c>
      <c r="M3776" s="49" t="n">
        <f aca="false">IFERROR(I3776/H3776,0)</f>
        <v>137.985625927443</v>
      </c>
      <c r="N3776" s="52" t="str">
        <f aca="false">'Model Inputs &amp; Assumptions'!$L$35</f>
        <v>PRD-EUAI</v>
      </c>
      <c r="P3776" s="53" t="n">
        <v>0.705411</v>
      </c>
      <c r="Q3776" s="53" t="n">
        <v>0.51052</v>
      </c>
      <c r="R3776" s="53" t="n">
        <v>1.905479</v>
      </c>
      <c r="S3776" s="53" t="n">
        <v>-0.066644</v>
      </c>
    </row>
    <row r="3777" customFormat="false" ht="15" hidden="false" customHeight="false" outlineLevel="0" collapsed="false">
      <c r="A3777" s="43" t="n">
        <v>274</v>
      </c>
      <c r="B3777" s="44" t="str">
        <f aca="false">'Model Inputs &amp; Assumptions'!$B$35</f>
        <v>justETF — Sponsored Listing</v>
      </c>
      <c r="C3777" s="45" t="n">
        <f aca="false">ROUND(MAX(0,'Model Inputs &amp; Assumptions'!$S$35*EXP('Model Inputs &amp; Assumptions'!$T$35*P3777-'Model Inputs &amp; Assumptions'!$T$35^2/2)),0)</f>
        <v>89799</v>
      </c>
      <c r="D3777" s="46" t="n">
        <f aca="false">MIN(1,'Model Inputs &amp; Assumptions'!$U$35*EXP('Model Inputs &amp; Assumptions'!$V$35*Q3777-'Model Inputs &amp; Assumptions'!$V$35^2/2))</f>
        <v>0</v>
      </c>
      <c r="E3777" s="45" t="n">
        <f aca="false">ROUND(C3777*D3777,0)</f>
        <v>0</v>
      </c>
      <c r="F3777" s="47" t="n">
        <f aca="false">MIN(1,'Model Inputs &amp; Assumptions'!$W$35*EXP('Model Inputs &amp; Assumptions'!$X$35*R3777-'Model Inputs &amp; Assumptions'!$X$35^2/2))</f>
        <v>0.00509365642047058</v>
      </c>
      <c r="G3777" s="45" t="n">
        <f aca="false">ROUND(C3777*F3777,0)</f>
        <v>457</v>
      </c>
      <c r="H3777" s="48" t="n">
        <f aca="false">MAX(0,(C3777*'Model Inputs &amp; Assumptions'!$N$35+E3777*'Model Inputs &amp; Assumptions'!$O$35+G3777*'Model Inputs &amp; Assumptions'!$P$35)*EXP('Model Inputs &amp; Assumptions'!$Q$35*S3777-'Model Inputs &amp; Assumptions'!$Q$35^2/2))</f>
        <v>48.871580612301</v>
      </c>
      <c r="I3777" s="49" t="n">
        <f aca="false">IF('Model Inputs &amp; Assumptions'!$H$35="Fixed",'Model Inputs &amp; Assumptions'!$I$35*'Model Inputs &amp; Assumptions'!$K$35,IF('Model Inputs &amp; Assumptions'!$H$35="CPM",'Model Inputs &amp; Assumptions'!$I$35*'Model Inputs &amp; Assumptions'!$K$35*C3777/1000,IF('Model Inputs &amp; Assumptions'!$H$35="CPC",'Model Inputs &amp; Assumptions'!$I$35*'Model Inputs &amp; Assumptions'!$K$35*G3777,0)))</f>
        <v>8672.8</v>
      </c>
      <c r="J3777" s="50" t="n">
        <f aca="false">H3777*INDEX('Model Inputs &amp; Assumptions'!$D$40:$D$42,MATCH('Model Inputs &amp; Assumptions'!$L$35,'Model Inputs &amp; Assumptions'!$A$40:$A$42,0))*INDEX('Model Inputs &amp; Assumptions'!$H$40:$H$42,MATCH('Model Inputs &amp; Assumptions'!$L$35,'Model Inputs &amp; Assumptions'!$A$40:$A$42,0))</f>
        <v>415408.435204558</v>
      </c>
      <c r="K3777" s="49" t="n">
        <f aca="false">H3777*INDEX('Model Inputs &amp; Assumptions'!$G$40:$G$42,MATCH('Model Inputs &amp; Assumptions'!$L$35,'Model Inputs &amp; Assumptions'!$A$40:$A$42,0))*INDEX('Model Inputs &amp; Assumptions'!$H$40:$H$42,MATCH('Model Inputs &amp; Assumptions'!$L$35,'Model Inputs &amp; Assumptions'!$A$40:$A$42,0))</f>
        <v>9346.68979210256</v>
      </c>
      <c r="L3777" s="51" t="n">
        <f aca="false">IFERROR(K3777/I3777,0)</f>
        <v>1.07770152570134</v>
      </c>
      <c r="M3777" s="49" t="n">
        <f aca="false">IFERROR(I3777/H3777,0)</f>
        <v>177.461008859146</v>
      </c>
      <c r="N3777" s="52" t="str">
        <f aca="false">'Model Inputs &amp; Assumptions'!$L$35</f>
        <v>PRD-EUAI</v>
      </c>
      <c r="P3777" s="53" t="n">
        <v>0.104692</v>
      </c>
      <c r="Q3777" s="53" t="n">
        <v>1.40725</v>
      </c>
      <c r="R3777" s="53" t="n">
        <v>-1.270558</v>
      </c>
      <c r="S3777" s="53" t="n">
        <v>1.759895</v>
      </c>
    </row>
    <row r="3778" customFormat="false" ht="15" hidden="false" customHeight="false" outlineLevel="0" collapsed="false">
      <c r="A3778" s="43" t="n">
        <v>275</v>
      </c>
      <c r="B3778" s="44" t="str">
        <f aca="false">'Model Inputs &amp; Assumptions'!$B$35</f>
        <v>justETF — Sponsored Listing</v>
      </c>
      <c r="C3778" s="45" t="n">
        <f aca="false">ROUND(MAX(0,'Model Inputs &amp; Assumptions'!$S$35*EXP('Model Inputs &amp; Assumptions'!$T$35*P3778-'Model Inputs &amp; Assumptions'!$T$35^2/2)),0)</f>
        <v>91458</v>
      </c>
      <c r="D3778" s="46" t="n">
        <f aca="false">MIN(1,'Model Inputs &amp; Assumptions'!$U$35*EXP('Model Inputs &amp; Assumptions'!$V$35*Q3778-'Model Inputs &amp; Assumptions'!$V$35^2/2))</f>
        <v>0</v>
      </c>
      <c r="E3778" s="45" t="n">
        <f aca="false">ROUND(C3778*D3778,0)</f>
        <v>0</v>
      </c>
      <c r="F3778" s="47" t="n">
        <f aca="false">MIN(1,'Model Inputs &amp; Assumptions'!$W$35*EXP('Model Inputs &amp; Assumptions'!$X$35*R3778-'Model Inputs &amp; Assumptions'!$X$35^2/2))</f>
        <v>0.00765623176782547</v>
      </c>
      <c r="G3778" s="45" t="n">
        <f aca="false">ROUND(C3778*F3778,0)</f>
        <v>700</v>
      </c>
      <c r="H3778" s="48" t="n">
        <f aca="false">MAX(0,(C3778*'Model Inputs &amp; Assumptions'!$N$35+E3778*'Model Inputs &amp; Assumptions'!$O$35+G3778*'Model Inputs &amp; Assumptions'!$P$35)*EXP('Model Inputs &amp; Assumptions'!$Q$35*S3778-'Model Inputs &amp; Assumptions'!$Q$35^2/2))</f>
        <v>43.9677063611649</v>
      </c>
      <c r="I3778" s="49" t="n">
        <f aca="false">IF('Model Inputs &amp; Assumptions'!$H$35="Fixed",'Model Inputs &amp; Assumptions'!$I$35*'Model Inputs &amp; Assumptions'!$K$35,IF('Model Inputs &amp; Assumptions'!$H$35="CPM",'Model Inputs &amp; Assumptions'!$I$35*'Model Inputs &amp; Assumptions'!$K$35*C3778/1000,IF('Model Inputs &amp; Assumptions'!$H$35="CPC",'Model Inputs &amp; Assumptions'!$I$35*'Model Inputs &amp; Assumptions'!$K$35*G3778,0)))</f>
        <v>8672.8</v>
      </c>
      <c r="J3778" s="50" t="n">
        <f aca="false">H3778*INDEX('Model Inputs &amp; Assumptions'!$D$40:$D$42,MATCH('Model Inputs &amp; Assumptions'!$L$35,'Model Inputs &amp; Assumptions'!$A$40:$A$42,0))*INDEX('Model Inputs &amp; Assumptions'!$H$40:$H$42,MATCH('Model Inputs &amp; Assumptions'!$L$35,'Model Inputs &amp; Assumptions'!$A$40:$A$42,0))</f>
        <v>373725.504069901</v>
      </c>
      <c r="K3778" s="49" t="n">
        <f aca="false">H3778*INDEX('Model Inputs &amp; Assumptions'!$G$40:$G$42,MATCH('Model Inputs &amp; Assumptions'!$L$35,'Model Inputs &amp; Assumptions'!$A$40:$A$42,0))*INDEX('Model Inputs &amp; Assumptions'!$H$40:$H$42,MATCH('Model Inputs &amp; Assumptions'!$L$35,'Model Inputs &amp; Assumptions'!$A$40:$A$42,0))</f>
        <v>8408.82384157278</v>
      </c>
      <c r="L3778" s="51" t="n">
        <f aca="false">IFERROR(K3778/I3778,0)</f>
        <v>0.969562752694952</v>
      </c>
      <c r="M3778" s="49" t="n">
        <f aca="false">IFERROR(I3778/H3778,0)</f>
        <v>197.25386466055</v>
      </c>
      <c r="N3778" s="52" t="str">
        <f aca="false">'Model Inputs &amp; Assumptions'!$L$35</f>
        <v>PRD-EUAI</v>
      </c>
      <c r="P3778" s="53" t="n">
        <v>0.226744</v>
      </c>
      <c r="Q3778" s="53" t="n">
        <v>1.168849</v>
      </c>
      <c r="R3778" s="53" t="n">
        <v>0.767062</v>
      </c>
      <c r="S3778" s="53" t="n">
        <v>-0.286788</v>
      </c>
    </row>
    <row r="3779" customFormat="false" ht="15" hidden="false" customHeight="false" outlineLevel="0" collapsed="false">
      <c r="A3779" s="43" t="n">
        <v>276</v>
      </c>
      <c r="B3779" s="44" t="str">
        <f aca="false">'Model Inputs &amp; Assumptions'!$B$35</f>
        <v>justETF — Sponsored Listing</v>
      </c>
      <c r="C3779" s="45" t="n">
        <f aca="false">ROUND(MAX(0,'Model Inputs &amp; Assumptions'!$S$35*EXP('Model Inputs &amp; Assumptions'!$T$35*P3779-'Model Inputs &amp; Assumptions'!$T$35^2/2)),0)</f>
        <v>84648</v>
      </c>
      <c r="D3779" s="46" t="n">
        <f aca="false">MIN(1,'Model Inputs &amp; Assumptions'!$U$35*EXP('Model Inputs &amp; Assumptions'!$V$35*Q3779-'Model Inputs &amp; Assumptions'!$V$35^2/2))</f>
        <v>0</v>
      </c>
      <c r="E3779" s="45" t="n">
        <f aca="false">ROUND(C3779*D3779,0)</f>
        <v>0</v>
      </c>
      <c r="F3779" s="47" t="n">
        <f aca="false">MIN(1,'Model Inputs &amp; Assumptions'!$W$35*EXP('Model Inputs &amp; Assumptions'!$X$35*R3779-'Model Inputs &amp; Assumptions'!$X$35^2/2))</f>
        <v>0.00557514054222933</v>
      </c>
      <c r="G3779" s="45" t="n">
        <f aca="false">ROUND(C3779*F3779,0)</f>
        <v>472</v>
      </c>
      <c r="H3779" s="48" t="n">
        <f aca="false">MAX(0,(C3779*'Model Inputs &amp; Assumptions'!$N$35+E3779*'Model Inputs &amp; Assumptions'!$O$35+G3779*'Model Inputs &amp; Assumptions'!$P$35)*EXP('Model Inputs &amp; Assumptions'!$Q$35*S3779-'Model Inputs &amp; Assumptions'!$Q$35^2/2))</f>
        <v>47.4851176184897</v>
      </c>
      <c r="I3779" s="49" t="n">
        <f aca="false">IF('Model Inputs &amp; Assumptions'!$H$35="Fixed",'Model Inputs &amp; Assumptions'!$I$35*'Model Inputs &amp; Assumptions'!$K$35,IF('Model Inputs &amp; Assumptions'!$H$35="CPM",'Model Inputs &amp; Assumptions'!$I$35*'Model Inputs &amp; Assumptions'!$K$35*C3779/1000,IF('Model Inputs &amp; Assumptions'!$H$35="CPC",'Model Inputs &amp; Assumptions'!$I$35*'Model Inputs &amp; Assumptions'!$K$35*G3779,0)))</f>
        <v>8672.8</v>
      </c>
      <c r="J3779" s="50" t="n">
        <f aca="false">H3779*INDEX('Model Inputs &amp; Assumptions'!$D$40:$D$42,MATCH('Model Inputs &amp; Assumptions'!$L$35,'Model Inputs &amp; Assumptions'!$A$40:$A$42,0))*INDEX('Model Inputs &amp; Assumptions'!$H$40:$H$42,MATCH('Model Inputs &amp; Assumptions'!$L$35,'Model Inputs &amp; Assumptions'!$A$40:$A$42,0))</f>
        <v>403623.499757163</v>
      </c>
      <c r="K3779" s="49" t="n">
        <f aca="false">H3779*INDEX('Model Inputs &amp; Assumptions'!$G$40:$G$42,MATCH('Model Inputs &amp; Assumptions'!$L$35,'Model Inputs &amp; Assumptions'!$A$40:$A$42,0))*INDEX('Model Inputs &amp; Assumptions'!$H$40:$H$42,MATCH('Model Inputs &amp; Assumptions'!$L$35,'Model Inputs &amp; Assumptions'!$A$40:$A$42,0))</f>
        <v>9081.52874453616</v>
      </c>
      <c r="L3779" s="51" t="n">
        <f aca="false">IFERROR(K3779/I3779,0)</f>
        <v>1.04712765710453</v>
      </c>
      <c r="M3779" s="49" t="n">
        <f aca="false">IFERROR(I3779/H3779,0)</f>
        <v>182.642487477445</v>
      </c>
      <c r="N3779" s="52" t="str">
        <f aca="false">'Model Inputs &amp; Assumptions'!$L$35</f>
        <v>PRD-EUAI</v>
      </c>
      <c r="P3779" s="53" t="n">
        <v>-0.289094</v>
      </c>
      <c r="Q3779" s="53" t="n">
        <v>0.313858</v>
      </c>
      <c r="R3779" s="53" t="n">
        <v>-0.81895</v>
      </c>
      <c r="S3779" s="53" t="n">
        <v>1.52499</v>
      </c>
    </row>
    <row r="3780" customFormat="false" ht="15" hidden="false" customHeight="false" outlineLevel="0" collapsed="false">
      <c r="A3780" s="43" t="n">
        <v>277</v>
      </c>
      <c r="B3780" s="44" t="str">
        <f aca="false">'Model Inputs &amp; Assumptions'!$B$35</f>
        <v>justETF — Sponsored Listing</v>
      </c>
      <c r="C3780" s="45" t="n">
        <f aca="false">ROUND(MAX(0,'Model Inputs &amp; Assumptions'!$S$35*EXP('Model Inputs &amp; Assumptions'!$T$35*P3780-'Model Inputs &amp; Assumptions'!$T$35^2/2)),0)</f>
        <v>77109</v>
      </c>
      <c r="D3780" s="46" t="n">
        <f aca="false">MIN(1,'Model Inputs &amp; Assumptions'!$U$35*EXP('Model Inputs &amp; Assumptions'!$V$35*Q3780-'Model Inputs &amp; Assumptions'!$V$35^2/2))</f>
        <v>0</v>
      </c>
      <c r="E3780" s="45" t="n">
        <f aca="false">ROUND(C3780*D3780,0)</f>
        <v>0</v>
      </c>
      <c r="F3780" s="47" t="n">
        <f aca="false">MIN(1,'Model Inputs &amp; Assumptions'!$W$35*EXP('Model Inputs &amp; Assumptions'!$X$35*R3780-'Model Inputs &amp; Assumptions'!$X$35^2/2))</f>
        <v>0.00531990436345034</v>
      </c>
      <c r="G3780" s="45" t="n">
        <f aca="false">ROUND(C3780*F3780,0)</f>
        <v>410</v>
      </c>
      <c r="H3780" s="48" t="n">
        <f aca="false">MAX(0,(C3780*'Model Inputs &amp; Assumptions'!$N$35+E3780*'Model Inputs &amp; Assumptions'!$O$35+G3780*'Model Inputs &amp; Assumptions'!$P$35)*EXP('Model Inputs &amp; Assumptions'!$Q$35*S3780-'Model Inputs &amp; Assumptions'!$Q$35^2/2))</f>
        <v>31.125924052116</v>
      </c>
      <c r="I3780" s="49" t="n">
        <f aca="false">IF('Model Inputs &amp; Assumptions'!$H$35="Fixed",'Model Inputs &amp; Assumptions'!$I$35*'Model Inputs &amp; Assumptions'!$K$35,IF('Model Inputs &amp; Assumptions'!$H$35="CPM",'Model Inputs &amp; Assumptions'!$I$35*'Model Inputs &amp; Assumptions'!$K$35*C3780/1000,IF('Model Inputs &amp; Assumptions'!$H$35="CPC",'Model Inputs &amp; Assumptions'!$I$35*'Model Inputs &amp; Assumptions'!$K$35*G3780,0)))</f>
        <v>8672.8</v>
      </c>
      <c r="J3780" s="50" t="n">
        <f aca="false">H3780*INDEX('Model Inputs &amp; Assumptions'!$D$40:$D$42,MATCH('Model Inputs &amp; Assumptions'!$L$35,'Model Inputs &amp; Assumptions'!$A$40:$A$42,0))*INDEX('Model Inputs &amp; Assumptions'!$H$40:$H$42,MATCH('Model Inputs &amp; Assumptions'!$L$35,'Model Inputs &amp; Assumptions'!$A$40:$A$42,0))</f>
        <v>264570.354442986</v>
      </c>
      <c r="K3780" s="49" t="n">
        <f aca="false">H3780*INDEX('Model Inputs &amp; Assumptions'!$G$40:$G$42,MATCH('Model Inputs &amp; Assumptions'!$L$35,'Model Inputs &amp; Assumptions'!$A$40:$A$42,0))*INDEX('Model Inputs &amp; Assumptions'!$H$40:$H$42,MATCH('Model Inputs &amp; Assumptions'!$L$35,'Model Inputs &amp; Assumptions'!$A$40:$A$42,0))</f>
        <v>5952.83297496718</v>
      </c>
      <c r="L3780" s="51" t="n">
        <f aca="false">IFERROR(K3780/I3780,0)</f>
        <v>0.686379597703992</v>
      </c>
      <c r="M3780" s="49" t="n">
        <f aca="false">IFERROR(I3780/H3780,0)</f>
        <v>278.63590444668</v>
      </c>
      <c r="N3780" s="52" t="str">
        <f aca="false">'Model Inputs &amp; Assumptions'!$L$35</f>
        <v>PRD-EUAI</v>
      </c>
      <c r="P3780" s="53" t="n">
        <v>-0.910992</v>
      </c>
      <c r="Q3780" s="53" t="n">
        <v>-0.049994</v>
      </c>
      <c r="R3780" s="53" t="n">
        <v>-1.053261</v>
      </c>
      <c r="S3780" s="53" t="n">
        <v>0.442092</v>
      </c>
    </row>
    <row r="3781" customFormat="false" ht="15" hidden="false" customHeight="false" outlineLevel="0" collapsed="false">
      <c r="A3781" s="43" t="n">
        <v>278</v>
      </c>
      <c r="B3781" s="44" t="str">
        <f aca="false">'Model Inputs &amp; Assumptions'!$B$35</f>
        <v>justETF — Sponsored Listing</v>
      </c>
      <c r="C3781" s="45" t="n">
        <f aca="false">ROUND(MAX(0,'Model Inputs &amp; Assumptions'!$S$35*EXP('Model Inputs &amp; Assumptions'!$T$35*P3781-'Model Inputs &amp; Assumptions'!$T$35^2/2)),0)</f>
        <v>99589</v>
      </c>
      <c r="D3781" s="46" t="n">
        <f aca="false">MIN(1,'Model Inputs &amp; Assumptions'!$U$35*EXP('Model Inputs &amp; Assumptions'!$V$35*Q3781-'Model Inputs &amp; Assumptions'!$V$35^2/2))</f>
        <v>0</v>
      </c>
      <c r="E3781" s="45" t="n">
        <f aca="false">ROUND(C3781*D3781,0)</f>
        <v>0</v>
      </c>
      <c r="F3781" s="47" t="n">
        <f aca="false">MIN(1,'Model Inputs &amp; Assumptions'!$W$35*EXP('Model Inputs &amp; Assumptions'!$X$35*R3781-'Model Inputs &amp; Assumptions'!$X$35^2/2))</f>
        <v>0.00605655360584754</v>
      </c>
      <c r="G3781" s="45" t="n">
        <f aca="false">ROUND(C3781*F3781,0)</f>
        <v>603</v>
      </c>
      <c r="H3781" s="48" t="n">
        <f aca="false">MAX(0,(C3781*'Model Inputs &amp; Assumptions'!$N$35+E3781*'Model Inputs &amp; Assumptions'!$O$35+G3781*'Model Inputs &amp; Assumptions'!$P$35)*EXP('Model Inputs &amp; Assumptions'!$Q$35*S3781-'Model Inputs &amp; Assumptions'!$Q$35^2/2))</f>
        <v>56.4370015810343</v>
      </c>
      <c r="I3781" s="49" t="n">
        <f aca="false">IF('Model Inputs &amp; Assumptions'!$H$35="Fixed",'Model Inputs &amp; Assumptions'!$I$35*'Model Inputs &amp; Assumptions'!$K$35,IF('Model Inputs &amp; Assumptions'!$H$35="CPM",'Model Inputs &amp; Assumptions'!$I$35*'Model Inputs &amp; Assumptions'!$K$35*C3781/1000,IF('Model Inputs &amp; Assumptions'!$H$35="CPC",'Model Inputs &amp; Assumptions'!$I$35*'Model Inputs &amp; Assumptions'!$K$35*G3781,0)))</f>
        <v>8672.8</v>
      </c>
      <c r="J3781" s="50" t="n">
        <f aca="false">H3781*INDEX('Model Inputs &amp; Assumptions'!$D$40:$D$42,MATCH('Model Inputs &amp; Assumptions'!$L$35,'Model Inputs &amp; Assumptions'!$A$40:$A$42,0))*INDEX('Model Inputs &amp; Assumptions'!$H$40:$H$42,MATCH('Model Inputs &amp; Assumptions'!$L$35,'Model Inputs &amp; Assumptions'!$A$40:$A$42,0))</f>
        <v>479714.513438791</v>
      </c>
      <c r="K3781" s="49" t="n">
        <f aca="false">H3781*INDEX('Model Inputs &amp; Assumptions'!$G$40:$G$42,MATCH('Model Inputs &amp; Assumptions'!$L$35,'Model Inputs &amp; Assumptions'!$A$40:$A$42,0))*INDEX('Model Inputs &amp; Assumptions'!$H$40:$H$42,MATCH('Model Inputs &amp; Assumptions'!$L$35,'Model Inputs &amp; Assumptions'!$A$40:$A$42,0))</f>
        <v>10793.5765523728</v>
      </c>
      <c r="L3781" s="51" t="n">
        <f aca="false">IFERROR(K3781/I3781,0)</f>
        <v>1.24453193344396</v>
      </c>
      <c r="M3781" s="49" t="n">
        <f aca="false">IFERROR(I3781/H3781,0)</f>
        <v>153.672231993886</v>
      </c>
      <c r="N3781" s="52" t="str">
        <f aca="false">'Model Inputs &amp; Assumptions'!$L$35</f>
        <v>PRD-EUAI</v>
      </c>
      <c r="P3781" s="53" t="n">
        <v>0.794532</v>
      </c>
      <c r="Q3781" s="53" t="n">
        <v>0.034049</v>
      </c>
      <c r="R3781" s="53" t="n">
        <v>-0.404833</v>
      </c>
      <c r="S3781" s="53" t="n">
        <v>1.247184</v>
      </c>
    </row>
    <row r="3782" customFormat="false" ht="15" hidden="false" customHeight="false" outlineLevel="0" collapsed="false">
      <c r="A3782" s="43" t="n">
        <v>279</v>
      </c>
      <c r="B3782" s="44" t="str">
        <f aca="false">'Model Inputs &amp; Assumptions'!$B$35</f>
        <v>justETF — Sponsored Listing</v>
      </c>
      <c r="C3782" s="45" t="n">
        <f aca="false">ROUND(MAX(0,'Model Inputs &amp; Assumptions'!$S$35*EXP('Model Inputs &amp; Assumptions'!$T$35*P3782-'Model Inputs &amp; Assumptions'!$T$35^2/2)),0)</f>
        <v>90538</v>
      </c>
      <c r="D3782" s="46" t="n">
        <f aca="false">MIN(1,'Model Inputs &amp; Assumptions'!$U$35*EXP('Model Inputs &amp; Assumptions'!$V$35*Q3782-'Model Inputs &amp; Assumptions'!$V$35^2/2))</f>
        <v>0</v>
      </c>
      <c r="E3782" s="45" t="n">
        <f aca="false">ROUND(C3782*D3782,0)</f>
        <v>0</v>
      </c>
      <c r="F3782" s="47" t="n">
        <f aca="false">MIN(1,'Model Inputs &amp; Assumptions'!$W$35*EXP('Model Inputs &amp; Assumptions'!$X$35*R3782-'Model Inputs &amp; Assumptions'!$X$35^2/2))</f>
        <v>0.00701880465446315</v>
      </c>
      <c r="G3782" s="45" t="n">
        <f aca="false">ROUND(C3782*F3782,0)</f>
        <v>635</v>
      </c>
      <c r="H3782" s="48" t="n">
        <f aca="false">MAX(0,(C3782*'Model Inputs &amp; Assumptions'!$N$35+E3782*'Model Inputs &amp; Assumptions'!$O$35+G3782*'Model Inputs &amp; Assumptions'!$P$35)*EXP('Model Inputs &amp; Assumptions'!$Q$35*S3782-'Model Inputs &amp; Assumptions'!$Q$35^2/2))</f>
        <v>52.380052530899</v>
      </c>
      <c r="I3782" s="49" t="n">
        <f aca="false">IF('Model Inputs &amp; Assumptions'!$H$35="Fixed",'Model Inputs &amp; Assumptions'!$I$35*'Model Inputs &amp; Assumptions'!$K$35,IF('Model Inputs &amp; Assumptions'!$H$35="CPM",'Model Inputs &amp; Assumptions'!$I$35*'Model Inputs &amp; Assumptions'!$K$35*C3782/1000,IF('Model Inputs &amp; Assumptions'!$H$35="CPC",'Model Inputs &amp; Assumptions'!$I$35*'Model Inputs &amp; Assumptions'!$K$35*G3782,0)))</f>
        <v>8672.8</v>
      </c>
      <c r="J3782" s="50" t="n">
        <f aca="false">H3782*INDEX('Model Inputs &amp; Assumptions'!$D$40:$D$42,MATCH('Model Inputs &amp; Assumptions'!$L$35,'Model Inputs &amp; Assumptions'!$A$40:$A$42,0))*INDEX('Model Inputs &amp; Assumptions'!$H$40:$H$42,MATCH('Model Inputs &amp; Assumptions'!$L$35,'Model Inputs &amp; Assumptions'!$A$40:$A$42,0))</f>
        <v>445230.446512641</v>
      </c>
      <c r="K3782" s="49" t="n">
        <f aca="false">H3782*INDEX('Model Inputs &amp; Assumptions'!$G$40:$G$42,MATCH('Model Inputs &amp; Assumptions'!$L$35,'Model Inputs &amp; Assumptions'!$A$40:$A$42,0))*INDEX('Model Inputs &amp; Assumptions'!$H$40:$H$42,MATCH('Model Inputs &amp; Assumptions'!$L$35,'Model Inputs &amp; Assumptions'!$A$40:$A$42,0))</f>
        <v>10017.6850465344</v>
      </c>
      <c r="L3782" s="51" t="n">
        <f aca="false">IFERROR(K3782/I3782,0)</f>
        <v>1.15506930247837</v>
      </c>
      <c r="M3782" s="49" t="n">
        <f aca="false">IFERROR(I3782/H3782,0)</f>
        <v>165.574480760284</v>
      </c>
      <c r="N3782" s="52" t="str">
        <f aca="false">'Model Inputs &amp; Assumptions'!$L$35</f>
        <v>PRD-EUAI</v>
      </c>
      <c r="P3782" s="53" t="n">
        <v>0.159325</v>
      </c>
      <c r="Q3782" s="53" t="n">
        <v>-0.992311</v>
      </c>
      <c r="R3782" s="53" t="n">
        <v>0.332427</v>
      </c>
      <c r="S3782" s="53" t="n">
        <v>0.761388</v>
      </c>
    </row>
    <row r="3783" customFormat="false" ht="15" hidden="false" customHeight="false" outlineLevel="0" collapsed="false">
      <c r="A3783" s="43" t="n">
        <v>280</v>
      </c>
      <c r="B3783" s="44" t="str">
        <f aca="false">'Model Inputs &amp; Assumptions'!$B$35</f>
        <v>justETF — Sponsored Listing</v>
      </c>
      <c r="C3783" s="45" t="n">
        <f aca="false">ROUND(MAX(0,'Model Inputs &amp; Assumptions'!$S$35*EXP('Model Inputs &amp; Assumptions'!$T$35*P3783-'Model Inputs &amp; Assumptions'!$T$35^2/2)),0)</f>
        <v>94274</v>
      </c>
      <c r="D3783" s="46" t="n">
        <f aca="false">MIN(1,'Model Inputs &amp; Assumptions'!$U$35*EXP('Model Inputs &amp; Assumptions'!$V$35*Q3783-'Model Inputs &amp; Assumptions'!$V$35^2/2))</f>
        <v>0</v>
      </c>
      <c r="E3783" s="45" t="n">
        <f aca="false">ROUND(C3783*D3783,0)</f>
        <v>0</v>
      </c>
      <c r="F3783" s="47" t="n">
        <f aca="false">MIN(1,'Model Inputs &amp; Assumptions'!$W$35*EXP('Model Inputs &amp; Assumptions'!$X$35*R3783-'Model Inputs &amp; Assumptions'!$X$35^2/2))</f>
        <v>0.00560064139720105</v>
      </c>
      <c r="G3783" s="45" t="n">
        <f aca="false">ROUND(C3783*F3783,0)</f>
        <v>528</v>
      </c>
      <c r="H3783" s="48" t="n">
        <f aca="false">MAX(0,(C3783*'Model Inputs &amp; Assumptions'!$N$35+E3783*'Model Inputs &amp; Assumptions'!$O$35+G3783*'Model Inputs &amp; Assumptions'!$P$35)*EXP('Model Inputs &amp; Assumptions'!$Q$35*S3783-'Model Inputs &amp; Assumptions'!$Q$35^2/2))</f>
        <v>31.740352686531</v>
      </c>
      <c r="I3783" s="49" t="n">
        <f aca="false">IF('Model Inputs &amp; Assumptions'!$H$35="Fixed",'Model Inputs &amp; Assumptions'!$I$35*'Model Inputs &amp; Assumptions'!$K$35,IF('Model Inputs &amp; Assumptions'!$H$35="CPM",'Model Inputs &amp; Assumptions'!$I$35*'Model Inputs &amp; Assumptions'!$K$35*C3783/1000,IF('Model Inputs &amp; Assumptions'!$H$35="CPC",'Model Inputs &amp; Assumptions'!$I$35*'Model Inputs &amp; Assumptions'!$K$35*G3783,0)))</f>
        <v>8672.8</v>
      </c>
      <c r="J3783" s="50" t="n">
        <f aca="false">H3783*INDEX('Model Inputs &amp; Assumptions'!$D$40:$D$42,MATCH('Model Inputs &amp; Assumptions'!$L$35,'Model Inputs &amp; Assumptions'!$A$40:$A$42,0))*INDEX('Model Inputs &amp; Assumptions'!$H$40:$H$42,MATCH('Model Inputs &amp; Assumptions'!$L$35,'Model Inputs &amp; Assumptions'!$A$40:$A$42,0))</f>
        <v>269792.997835513</v>
      </c>
      <c r="K3783" s="49" t="n">
        <f aca="false">H3783*INDEX('Model Inputs &amp; Assumptions'!$G$40:$G$42,MATCH('Model Inputs &amp; Assumptions'!$L$35,'Model Inputs &amp; Assumptions'!$A$40:$A$42,0))*INDEX('Model Inputs &amp; Assumptions'!$H$40:$H$42,MATCH('Model Inputs &amp; Assumptions'!$L$35,'Model Inputs &amp; Assumptions'!$A$40:$A$42,0))</f>
        <v>6070.34245129905</v>
      </c>
      <c r="L3783" s="51" t="n">
        <f aca="false">IFERROR(K3783/I3783,0)</f>
        <v>0.699928794772051</v>
      </c>
      <c r="M3783" s="49" t="n">
        <f aca="false">IFERROR(I3783/H3783,0)</f>
        <v>273.242080378026</v>
      </c>
      <c r="N3783" s="52" t="str">
        <f aca="false">'Model Inputs &amp; Assumptions'!$L$35</f>
        <v>PRD-EUAI</v>
      </c>
      <c r="P3783" s="53" t="n">
        <v>0.428914</v>
      </c>
      <c r="Q3783" s="53" t="n">
        <v>0.106947</v>
      </c>
      <c r="R3783" s="53" t="n">
        <v>-0.796132</v>
      </c>
      <c r="S3783" s="53" t="n">
        <v>-0.455567</v>
      </c>
    </row>
    <row r="3784" customFormat="false" ht="15" hidden="false" customHeight="false" outlineLevel="0" collapsed="false">
      <c r="A3784" s="43" t="n">
        <v>281</v>
      </c>
      <c r="B3784" s="44" t="str">
        <f aca="false">'Model Inputs &amp; Assumptions'!$B$35</f>
        <v>justETF — Sponsored Listing</v>
      </c>
      <c r="C3784" s="45" t="n">
        <f aca="false">ROUND(MAX(0,'Model Inputs &amp; Assumptions'!$S$35*EXP('Model Inputs &amp; Assumptions'!$T$35*P3784-'Model Inputs &amp; Assumptions'!$T$35^2/2)),0)</f>
        <v>88830</v>
      </c>
      <c r="D3784" s="46" t="n">
        <f aca="false">MIN(1,'Model Inputs &amp; Assumptions'!$U$35*EXP('Model Inputs &amp; Assumptions'!$V$35*Q3784-'Model Inputs &amp; Assumptions'!$V$35^2/2))</f>
        <v>0</v>
      </c>
      <c r="E3784" s="45" t="n">
        <f aca="false">ROUND(C3784*D3784,0)</f>
        <v>0</v>
      </c>
      <c r="F3784" s="47" t="n">
        <f aca="false">MIN(1,'Model Inputs &amp; Assumptions'!$W$35*EXP('Model Inputs &amp; Assumptions'!$X$35*R3784-'Model Inputs &amp; Assumptions'!$X$35^2/2))</f>
        <v>0.007677369123265</v>
      </c>
      <c r="G3784" s="45" t="n">
        <f aca="false">ROUND(C3784*F3784,0)</f>
        <v>682</v>
      </c>
      <c r="H3784" s="48" t="n">
        <f aca="false">MAX(0,(C3784*'Model Inputs &amp; Assumptions'!$N$35+E3784*'Model Inputs &amp; Assumptions'!$O$35+G3784*'Model Inputs &amp; Assumptions'!$P$35)*EXP('Model Inputs &amp; Assumptions'!$Q$35*S3784-'Model Inputs &amp; Assumptions'!$Q$35^2/2))</f>
        <v>35.0689190455834</v>
      </c>
      <c r="I3784" s="49" t="n">
        <f aca="false">IF('Model Inputs &amp; Assumptions'!$H$35="Fixed",'Model Inputs &amp; Assumptions'!$I$35*'Model Inputs &amp; Assumptions'!$K$35,IF('Model Inputs &amp; Assumptions'!$H$35="CPM",'Model Inputs &amp; Assumptions'!$I$35*'Model Inputs &amp; Assumptions'!$K$35*C3784/1000,IF('Model Inputs &amp; Assumptions'!$H$35="CPC",'Model Inputs &amp; Assumptions'!$I$35*'Model Inputs &amp; Assumptions'!$K$35*G3784,0)))</f>
        <v>8672.8</v>
      </c>
      <c r="J3784" s="50" t="n">
        <f aca="false">H3784*INDEX('Model Inputs &amp; Assumptions'!$D$40:$D$42,MATCH('Model Inputs &amp; Assumptions'!$L$35,'Model Inputs &amp; Assumptions'!$A$40:$A$42,0))*INDEX('Model Inputs &amp; Assumptions'!$H$40:$H$42,MATCH('Model Inputs &amp; Assumptions'!$L$35,'Model Inputs &amp; Assumptions'!$A$40:$A$42,0))</f>
        <v>298085.811887459</v>
      </c>
      <c r="K3784" s="49" t="n">
        <f aca="false">H3784*INDEX('Model Inputs &amp; Assumptions'!$G$40:$G$42,MATCH('Model Inputs &amp; Assumptions'!$L$35,'Model Inputs &amp; Assumptions'!$A$40:$A$42,0))*INDEX('Model Inputs &amp; Assumptions'!$H$40:$H$42,MATCH('Model Inputs &amp; Assumptions'!$L$35,'Model Inputs &amp; Assumptions'!$A$40:$A$42,0))</f>
        <v>6706.93076746782</v>
      </c>
      <c r="L3784" s="51" t="n">
        <f aca="false">IFERROR(K3784/I3784,0)</f>
        <v>0.773329347784777</v>
      </c>
      <c r="M3784" s="49" t="n">
        <f aca="false">IFERROR(I3784/H3784,0)</f>
        <v>247.307309037011</v>
      </c>
      <c r="N3784" s="52" t="str">
        <f aca="false">'Model Inputs &amp; Assumptions'!$L$35</f>
        <v>PRD-EUAI</v>
      </c>
      <c r="P3784" s="53" t="n">
        <v>0.032348</v>
      </c>
      <c r="Q3784" s="53" t="n">
        <v>0.590909</v>
      </c>
      <c r="R3784" s="53" t="n">
        <v>0.780847</v>
      </c>
      <c r="S3784" s="53" t="n">
        <v>-1.056363</v>
      </c>
    </row>
    <row r="3785" customFormat="false" ht="15" hidden="false" customHeight="false" outlineLevel="0" collapsed="false">
      <c r="A3785" s="43" t="n">
        <v>282</v>
      </c>
      <c r="B3785" s="44" t="str">
        <f aca="false">'Model Inputs &amp; Assumptions'!$B$35</f>
        <v>justETF — Sponsored Listing</v>
      </c>
      <c r="C3785" s="45" t="n">
        <f aca="false">ROUND(MAX(0,'Model Inputs &amp; Assumptions'!$S$35*EXP('Model Inputs &amp; Assumptions'!$T$35*P3785-'Model Inputs &amp; Assumptions'!$T$35^2/2)),0)</f>
        <v>88601</v>
      </c>
      <c r="D3785" s="46" t="n">
        <f aca="false">MIN(1,'Model Inputs &amp; Assumptions'!$U$35*EXP('Model Inputs &amp; Assumptions'!$V$35*Q3785-'Model Inputs &amp; Assumptions'!$V$35^2/2))</f>
        <v>0</v>
      </c>
      <c r="E3785" s="45" t="n">
        <f aca="false">ROUND(C3785*D3785,0)</f>
        <v>0</v>
      </c>
      <c r="F3785" s="47" t="n">
        <f aca="false">MIN(1,'Model Inputs &amp; Assumptions'!$W$35*EXP('Model Inputs &amp; Assumptions'!$X$35*R3785-'Model Inputs &amp; Assumptions'!$X$35^2/2))</f>
        <v>0.00825925612851438</v>
      </c>
      <c r="G3785" s="45" t="n">
        <f aca="false">ROUND(C3785*F3785,0)</f>
        <v>732</v>
      </c>
      <c r="H3785" s="48" t="n">
        <f aca="false">MAX(0,(C3785*'Model Inputs &amp; Assumptions'!$N$35+E3785*'Model Inputs &amp; Assumptions'!$O$35+G3785*'Model Inputs &amp; Assumptions'!$P$35)*EXP('Model Inputs &amp; Assumptions'!$Q$35*S3785-'Model Inputs &amp; Assumptions'!$Q$35^2/2))</f>
        <v>39.8083980784801</v>
      </c>
      <c r="I3785" s="49" t="n">
        <f aca="false">IF('Model Inputs &amp; Assumptions'!$H$35="Fixed",'Model Inputs &amp; Assumptions'!$I$35*'Model Inputs &amp; Assumptions'!$K$35,IF('Model Inputs &amp; Assumptions'!$H$35="CPM",'Model Inputs &amp; Assumptions'!$I$35*'Model Inputs &amp; Assumptions'!$K$35*C3785/1000,IF('Model Inputs &amp; Assumptions'!$H$35="CPC",'Model Inputs &amp; Assumptions'!$I$35*'Model Inputs &amp; Assumptions'!$K$35*G3785,0)))</f>
        <v>8672.8</v>
      </c>
      <c r="J3785" s="50" t="n">
        <f aca="false">H3785*INDEX('Model Inputs &amp; Assumptions'!$D$40:$D$42,MATCH('Model Inputs &amp; Assumptions'!$L$35,'Model Inputs &amp; Assumptions'!$A$40:$A$42,0))*INDEX('Model Inputs &amp; Assumptions'!$H$40:$H$42,MATCH('Model Inputs &amp; Assumptions'!$L$35,'Model Inputs &amp; Assumptions'!$A$40:$A$42,0))</f>
        <v>338371.383667081</v>
      </c>
      <c r="K3785" s="49" t="n">
        <f aca="false">H3785*INDEX('Model Inputs &amp; Assumptions'!$G$40:$G$42,MATCH('Model Inputs &amp; Assumptions'!$L$35,'Model Inputs &amp; Assumptions'!$A$40:$A$42,0))*INDEX('Model Inputs &amp; Assumptions'!$H$40:$H$42,MATCH('Model Inputs &amp; Assumptions'!$L$35,'Model Inputs &amp; Assumptions'!$A$40:$A$42,0))</f>
        <v>7613.35613250931</v>
      </c>
      <c r="L3785" s="51" t="n">
        <f aca="false">IFERROR(K3785/I3785,0)</f>
        <v>0.87784292644928</v>
      </c>
      <c r="M3785" s="49" t="n">
        <f aca="false">IFERROR(I3785/H3785,0)</f>
        <v>217.863576999558</v>
      </c>
      <c r="N3785" s="52" t="str">
        <f aca="false">'Model Inputs &amp; Assumptions'!$L$35</f>
        <v>PRD-EUAI</v>
      </c>
      <c r="P3785" s="53" t="n">
        <v>0.015132</v>
      </c>
      <c r="Q3785" s="53" t="n">
        <v>-1.558246</v>
      </c>
      <c r="R3785" s="53" t="n">
        <v>1.146135</v>
      </c>
      <c r="S3785" s="53" t="n">
        <v>-0.840933</v>
      </c>
    </row>
    <row r="3786" customFormat="false" ht="15" hidden="false" customHeight="false" outlineLevel="0" collapsed="false">
      <c r="A3786" s="43" t="n">
        <v>283</v>
      </c>
      <c r="B3786" s="44" t="str">
        <f aca="false">'Model Inputs &amp; Assumptions'!$B$35</f>
        <v>justETF — Sponsored Listing</v>
      </c>
      <c r="C3786" s="45" t="n">
        <f aca="false">ROUND(MAX(0,'Model Inputs &amp; Assumptions'!$S$35*EXP('Model Inputs &amp; Assumptions'!$T$35*P3786-'Model Inputs &amp; Assumptions'!$T$35^2/2)),0)</f>
        <v>64929</v>
      </c>
      <c r="D3786" s="46" t="n">
        <f aca="false">MIN(1,'Model Inputs &amp; Assumptions'!$U$35*EXP('Model Inputs &amp; Assumptions'!$V$35*Q3786-'Model Inputs &amp; Assumptions'!$V$35^2/2))</f>
        <v>0</v>
      </c>
      <c r="E3786" s="45" t="n">
        <f aca="false">ROUND(C3786*D3786,0)</f>
        <v>0</v>
      </c>
      <c r="F3786" s="47" t="n">
        <f aca="false">MIN(1,'Model Inputs &amp; Assumptions'!$W$35*EXP('Model Inputs &amp; Assumptions'!$X$35*R3786-'Model Inputs &amp; Assumptions'!$X$35^2/2))</f>
        <v>0.00624255857505768</v>
      </c>
      <c r="G3786" s="45" t="n">
        <f aca="false">ROUND(C3786*F3786,0)</f>
        <v>405</v>
      </c>
      <c r="H3786" s="48" t="n">
        <f aca="false">MAX(0,(C3786*'Model Inputs &amp; Assumptions'!$N$35+E3786*'Model Inputs &amp; Assumptions'!$O$35+G3786*'Model Inputs &amp; Assumptions'!$P$35)*EXP('Model Inputs &amp; Assumptions'!$Q$35*S3786-'Model Inputs &amp; Assumptions'!$Q$35^2/2))</f>
        <v>24.9060924481255</v>
      </c>
      <c r="I3786" s="49" t="n">
        <f aca="false">IF('Model Inputs &amp; Assumptions'!$H$35="Fixed",'Model Inputs &amp; Assumptions'!$I$35*'Model Inputs &amp; Assumptions'!$K$35,IF('Model Inputs &amp; Assumptions'!$H$35="CPM",'Model Inputs &amp; Assumptions'!$I$35*'Model Inputs &amp; Assumptions'!$K$35*C3786/1000,IF('Model Inputs &amp; Assumptions'!$H$35="CPC",'Model Inputs &amp; Assumptions'!$I$35*'Model Inputs &amp; Assumptions'!$K$35*G3786,0)))</f>
        <v>8672.8</v>
      </c>
      <c r="J3786" s="50" t="n">
        <f aca="false">H3786*INDEX('Model Inputs &amp; Assumptions'!$D$40:$D$42,MATCH('Model Inputs &amp; Assumptions'!$L$35,'Model Inputs &amp; Assumptions'!$A$40:$A$42,0))*INDEX('Model Inputs &amp; Assumptions'!$H$40:$H$42,MATCH('Model Inputs &amp; Assumptions'!$L$35,'Model Inputs &amp; Assumptions'!$A$40:$A$42,0))</f>
        <v>211701.785809066</v>
      </c>
      <c r="K3786" s="49" t="n">
        <f aca="false">H3786*INDEX('Model Inputs &amp; Assumptions'!$G$40:$G$42,MATCH('Model Inputs &amp; Assumptions'!$L$35,'Model Inputs &amp; Assumptions'!$A$40:$A$42,0))*INDEX('Model Inputs &amp; Assumptions'!$H$40:$H$42,MATCH('Model Inputs &amp; Assumptions'!$L$35,'Model Inputs &amp; Assumptions'!$A$40:$A$42,0))</f>
        <v>4763.29018070399</v>
      </c>
      <c r="L3786" s="51" t="n">
        <f aca="false">IFERROR(K3786/I3786,0)</f>
        <v>0.549221725475509</v>
      </c>
      <c r="M3786" s="49" t="n">
        <f aca="false">IFERROR(I3786/H3786,0)</f>
        <v>348.220019582106</v>
      </c>
      <c r="N3786" s="52" t="str">
        <f aca="false">'Model Inputs &amp; Assumptions'!$L$35</f>
        <v>PRD-EUAI</v>
      </c>
      <c r="P3786" s="53" t="n">
        <v>-2.057179</v>
      </c>
      <c r="Q3786" s="53" t="n">
        <v>-0.112155</v>
      </c>
      <c r="R3786" s="53" t="n">
        <v>-0.253587</v>
      </c>
      <c r="S3786" s="53" t="n">
        <v>-0.368133</v>
      </c>
    </row>
    <row r="3787" customFormat="false" ht="15" hidden="false" customHeight="false" outlineLevel="0" collapsed="false">
      <c r="A3787" s="43" t="n">
        <v>284</v>
      </c>
      <c r="B3787" s="44" t="str">
        <f aca="false">'Model Inputs &amp; Assumptions'!$B$35</f>
        <v>justETF — Sponsored Listing</v>
      </c>
      <c r="C3787" s="45" t="n">
        <f aca="false">ROUND(MAX(0,'Model Inputs &amp; Assumptions'!$S$35*EXP('Model Inputs &amp; Assumptions'!$T$35*P3787-'Model Inputs &amp; Assumptions'!$T$35^2/2)),0)</f>
        <v>87004</v>
      </c>
      <c r="D3787" s="46" t="n">
        <f aca="false">MIN(1,'Model Inputs &amp; Assumptions'!$U$35*EXP('Model Inputs &amp; Assumptions'!$V$35*Q3787-'Model Inputs &amp; Assumptions'!$V$35^2/2))</f>
        <v>0</v>
      </c>
      <c r="E3787" s="45" t="n">
        <f aca="false">ROUND(C3787*D3787,0)</f>
        <v>0</v>
      </c>
      <c r="F3787" s="47" t="n">
        <f aca="false">MIN(1,'Model Inputs &amp; Assumptions'!$W$35*EXP('Model Inputs &amp; Assumptions'!$X$35*R3787-'Model Inputs &amp; Assumptions'!$X$35^2/2))</f>
        <v>0.00805304053555005</v>
      </c>
      <c r="G3787" s="45" t="n">
        <f aca="false">ROUND(C3787*F3787,0)</f>
        <v>701</v>
      </c>
      <c r="H3787" s="48" t="n">
        <f aca="false">MAX(0,(C3787*'Model Inputs &amp; Assumptions'!$N$35+E3787*'Model Inputs &amp; Assumptions'!$O$35+G3787*'Model Inputs &amp; Assumptions'!$P$35)*EXP('Model Inputs &amp; Assumptions'!$Q$35*S3787-'Model Inputs &amp; Assumptions'!$Q$35^2/2))</f>
        <v>37.3678029553937</v>
      </c>
      <c r="I3787" s="49" t="n">
        <f aca="false">IF('Model Inputs &amp; Assumptions'!$H$35="Fixed",'Model Inputs &amp; Assumptions'!$I$35*'Model Inputs &amp; Assumptions'!$K$35,IF('Model Inputs &amp; Assumptions'!$H$35="CPM",'Model Inputs &amp; Assumptions'!$I$35*'Model Inputs &amp; Assumptions'!$K$35*C3787/1000,IF('Model Inputs &amp; Assumptions'!$H$35="CPC",'Model Inputs &amp; Assumptions'!$I$35*'Model Inputs &amp; Assumptions'!$K$35*G3787,0)))</f>
        <v>8672.8</v>
      </c>
      <c r="J3787" s="50" t="n">
        <f aca="false">H3787*INDEX('Model Inputs &amp; Assumptions'!$D$40:$D$42,MATCH('Model Inputs &amp; Assumptions'!$L$35,'Model Inputs &amp; Assumptions'!$A$40:$A$42,0))*INDEX('Model Inputs &amp; Assumptions'!$H$40:$H$42,MATCH('Model Inputs &amp; Assumptions'!$L$35,'Model Inputs &amp; Assumptions'!$A$40:$A$42,0))</f>
        <v>317626.325120846</v>
      </c>
      <c r="K3787" s="49" t="n">
        <f aca="false">H3787*INDEX('Model Inputs &amp; Assumptions'!$G$40:$G$42,MATCH('Model Inputs &amp; Assumptions'!$L$35,'Model Inputs &amp; Assumptions'!$A$40:$A$42,0))*INDEX('Model Inputs &amp; Assumptions'!$H$40:$H$42,MATCH('Model Inputs &amp; Assumptions'!$L$35,'Model Inputs &amp; Assumptions'!$A$40:$A$42,0))</f>
        <v>7146.59231521904</v>
      </c>
      <c r="L3787" s="51" t="n">
        <f aca="false">IFERROR(K3787/I3787,0)</f>
        <v>0.824023650403449</v>
      </c>
      <c r="M3787" s="49" t="n">
        <f aca="false">IFERROR(I3787/H3787,0)</f>
        <v>232.092853046587</v>
      </c>
      <c r="N3787" s="52" t="str">
        <f aca="false">'Model Inputs &amp; Assumptions'!$L$35</f>
        <v>PRD-EUAI</v>
      </c>
      <c r="P3787" s="53" t="n">
        <v>-0.106145</v>
      </c>
      <c r="Q3787" s="53" t="n">
        <v>-0.548087</v>
      </c>
      <c r="R3787" s="53" t="n">
        <v>1.019711</v>
      </c>
      <c r="S3787" s="53" t="n">
        <v>-0.91784</v>
      </c>
    </row>
    <row r="3788" customFormat="false" ht="15" hidden="false" customHeight="false" outlineLevel="0" collapsed="false">
      <c r="A3788" s="43" t="n">
        <v>285</v>
      </c>
      <c r="B3788" s="44" t="str">
        <f aca="false">'Model Inputs &amp; Assumptions'!$B$35</f>
        <v>justETF — Sponsored Listing</v>
      </c>
      <c r="C3788" s="45" t="n">
        <f aca="false">ROUND(MAX(0,'Model Inputs &amp; Assumptions'!$S$35*EXP('Model Inputs &amp; Assumptions'!$T$35*P3788-'Model Inputs &amp; Assumptions'!$T$35^2/2)),0)</f>
        <v>90045</v>
      </c>
      <c r="D3788" s="46" t="n">
        <f aca="false">MIN(1,'Model Inputs &amp; Assumptions'!$U$35*EXP('Model Inputs &amp; Assumptions'!$V$35*Q3788-'Model Inputs &amp; Assumptions'!$V$35^2/2))</f>
        <v>0</v>
      </c>
      <c r="E3788" s="45" t="n">
        <f aca="false">ROUND(C3788*D3788,0)</f>
        <v>0</v>
      </c>
      <c r="F3788" s="47" t="n">
        <f aca="false">MIN(1,'Model Inputs &amp; Assumptions'!$W$35*EXP('Model Inputs &amp; Assumptions'!$X$35*R3788-'Model Inputs &amp; Assumptions'!$X$35^2/2))</f>
        <v>0.00754800829443093</v>
      </c>
      <c r="G3788" s="45" t="n">
        <f aca="false">ROUND(C3788*F3788,0)</f>
        <v>680</v>
      </c>
      <c r="H3788" s="48" t="n">
        <f aca="false">MAX(0,(C3788*'Model Inputs &amp; Assumptions'!$N$35+E3788*'Model Inputs &amp; Assumptions'!$O$35+G3788*'Model Inputs &amp; Assumptions'!$P$35)*EXP('Model Inputs &amp; Assumptions'!$Q$35*S3788-'Model Inputs &amp; Assumptions'!$Q$35^2/2))</f>
        <v>53.160705299255</v>
      </c>
      <c r="I3788" s="49" t="n">
        <f aca="false">IF('Model Inputs &amp; Assumptions'!$H$35="Fixed",'Model Inputs &amp; Assumptions'!$I$35*'Model Inputs &amp; Assumptions'!$K$35,IF('Model Inputs &amp; Assumptions'!$H$35="CPM",'Model Inputs &amp; Assumptions'!$I$35*'Model Inputs &amp; Assumptions'!$K$35*C3788/1000,IF('Model Inputs &amp; Assumptions'!$H$35="CPC",'Model Inputs &amp; Assumptions'!$I$35*'Model Inputs &amp; Assumptions'!$K$35*G3788,0)))</f>
        <v>8672.8</v>
      </c>
      <c r="J3788" s="50" t="n">
        <f aca="false">H3788*INDEX('Model Inputs &amp; Assumptions'!$D$40:$D$42,MATCH('Model Inputs &amp; Assumptions'!$L$35,'Model Inputs &amp; Assumptions'!$A$40:$A$42,0))*INDEX('Model Inputs &amp; Assumptions'!$H$40:$H$42,MATCH('Model Inputs &amp; Assumptions'!$L$35,'Model Inputs &amp; Assumptions'!$A$40:$A$42,0))</f>
        <v>451865.995043667</v>
      </c>
      <c r="K3788" s="49" t="n">
        <f aca="false">H3788*INDEX('Model Inputs &amp; Assumptions'!$G$40:$G$42,MATCH('Model Inputs &amp; Assumptions'!$L$35,'Model Inputs &amp; Assumptions'!$A$40:$A$42,0))*INDEX('Model Inputs &amp; Assumptions'!$H$40:$H$42,MATCH('Model Inputs &amp; Assumptions'!$L$35,'Model Inputs &amp; Assumptions'!$A$40:$A$42,0))</f>
        <v>10166.9848884825</v>
      </c>
      <c r="L3788" s="51" t="n">
        <f aca="false">IFERROR(K3788/I3788,0)</f>
        <v>1.17228402459212</v>
      </c>
      <c r="M3788" s="49" t="n">
        <f aca="false">IFERROR(I3788/H3788,0)</f>
        <v>163.143057474099</v>
      </c>
      <c r="N3788" s="52" t="str">
        <f aca="false">'Model Inputs &amp; Assumptions'!$L$35</f>
        <v>PRD-EUAI</v>
      </c>
      <c r="P3788" s="53" t="n">
        <v>0.122894</v>
      </c>
      <c r="Q3788" s="53" t="n">
        <v>-0.756235</v>
      </c>
      <c r="R3788" s="53" t="n">
        <v>0.695881</v>
      </c>
      <c r="S3788" s="53" t="n">
        <v>0.554949</v>
      </c>
    </row>
    <row r="3789" customFormat="false" ht="15" hidden="false" customHeight="false" outlineLevel="0" collapsed="false">
      <c r="A3789" s="43" t="n">
        <v>286</v>
      </c>
      <c r="B3789" s="44" t="str">
        <f aca="false">'Model Inputs &amp; Assumptions'!$B$35</f>
        <v>justETF — Sponsored Listing</v>
      </c>
      <c r="C3789" s="45" t="n">
        <f aca="false">ROUND(MAX(0,'Model Inputs &amp; Assumptions'!$S$35*EXP('Model Inputs &amp; Assumptions'!$T$35*P3789-'Model Inputs &amp; Assumptions'!$T$35^2/2)),0)</f>
        <v>75793</v>
      </c>
      <c r="D3789" s="46" t="n">
        <f aca="false">MIN(1,'Model Inputs &amp; Assumptions'!$U$35*EXP('Model Inputs &amp; Assumptions'!$V$35*Q3789-'Model Inputs &amp; Assumptions'!$V$35^2/2))</f>
        <v>0</v>
      </c>
      <c r="E3789" s="45" t="n">
        <f aca="false">ROUND(C3789*D3789,0)</f>
        <v>0</v>
      </c>
      <c r="F3789" s="47" t="n">
        <f aca="false">MIN(1,'Model Inputs &amp; Assumptions'!$W$35*EXP('Model Inputs &amp; Assumptions'!$X$35*R3789-'Model Inputs &amp; Assumptions'!$X$35^2/2))</f>
        <v>0.00552126900676093</v>
      </c>
      <c r="G3789" s="45" t="n">
        <f aca="false">ROUND(C3789*F3789,0)</f>
        <v>418</v>
      </c>
      <c r="H3789" s="48" t="n">
        <f aca="false">MAX(0,(C3789*'Model Inputs &amp; Assumptions'!$N$35+E3789*'Model Inputs &amp; Assumptions'!$O$35+G3789*'Model Inputs &amp; Assumptions'!$P$35)*EXP('Model Inputs &amp; Assumptions'!$Q$35*S3789-'Model Inputs &amp; Assumptions'!$Q$35^2/2))</f>
        <v>35.1043893581457</v>
      </c>
      <c r="I3789" s="49" t="n">
        <f aca="false">IF('Model Inputs &amp; Assumptions'!$H$35="Fixed",'Model Inputs &amp; Assumptions'!$I$35*'Model Inputs &amp; Assumptions'!$K$35,IF('Model Inputs &amp; Assumptions'!$H$35="CPM",'Model Inputs &amp; Assumptions'!$I$35*'Model Inputs &amp; Assumptions'!$K$35*C3789/1000,IF('Model Inputs &amp; Assumptions'!$H$35="CPC",'Model Inputs &amp; Assumptions'!$I$35*'Model Inputs &amp; Assumptions'!$K$35*G3789,0)))</f>
        <v>8672.8</v>
      </c>
      <c r="J3789" s="50" t="n">
        <f aca="false">H3789*INDEX('Model Inputs &amp; Assumptions'!$D$40:$D$42,MATCH('Model Inputs &amp; Assumptions'!$L$35,'Model Inputs &amp; Assumptions'!$A$40:$A$42,0))*INDEX('Model Inputs &amp; Assumptions'!$H$40:$H$42,MATCH('Model Inputs &amp; Assumptions'!$L$35,'Model Inputs &amp; Assumptions'!$A$40:$A$42,0))</f>
        <v>298387.309544239</v>
      </c>
      <c r="K3789" s="49" t="n">
        <f aca="false">H3789*INDEX('Model Inputs &amp; Assumptions'!$G$40:$G$42,MATCH('Model Inputs &amp; Assumptions'!$L$35,'Model Inputs &amp; Assumptions'!$A$40:$A$42,0))*INDEX('Model Inputs &amp; Assumptions'!$H$40:$H$42,MATCH('Model Inputs &amp; Assumptions'!$L$35,'Model Inputs &amp; Assumptions'!$A$40:$A$42,0))</f>
        <v>6713.71446474537</v>
      </c>
      <c r="L3789" s="51" t="n">
        <f aca="false">IFERROR(K3789/I3789,0)</f>
        <v>0.774111528542728</v>
      </c>
      <c r="M3789" s="49" t="n">
        <f aca="false">IFERROR(I3789/H3789,0)</f>
        <v>247.05742383146</v>
      </c>
      <c r="N3789" s="52" t="str">
        <f aca="false">'Model Inputs &amp; Assumptions'!$L$35</f>
        <v>PRD-EUAI</v>
      </c>
      <c r="P3789" s="53" t="n">
        <v>-1.025753</v>
      </c>
      <c r="Q3789" s="53" t="n">
        <v>0.081479</v>
      </c>
      <c r="R3789" s="53" t="n">
        <v>-0.867499</v>
      </c>
      <c r="S3789" s="53" t="n">
        <v>0.830403</v>
      </c>
    </row>
    <row r="3790" customFormat="false" ht="15" hidden="false" customHeight="false" outlineLevel="0" collapsed="false">
      <c r="A3790" s="43" t="n">
        <v>287</v>
      </c>
      <c r="B3790" s="44" t="str">
        <f aca="false">'Model Inputs &amp; Assumptions'!$B$35</f>
        <v>justETF — Sponsored Listing</v>
      </c>
      <c r="C3790" s="45" t="n">
        <f aca="false">ROUND(MAX(0,'Model Inputs &amp; Assumptions'!$S$35*EXP('Model Inputs &amp; Assumptions'!$T$35*P3790-'Model Inputs &amp; Assumptions'!$T$35^2/2)),0)</f>
        <v>84047</v>
      </c>
      <c r="D3790" s="46" t="n">
        <f aca="false">MIN(1,'Model Inputs &amp; Assumptions'!$U$35*EXP('Model Inputs &amp; Assumptions'!$V$35*Q3790-'Model Inputs &amp; Assumptions'!$V$35^2/2))</f>
        <v>0</v>
      </c>
      <c r="E3790" s="45" t="n">
        <f aca="false">ROUND(C3790*D3790,0)</f>
        <v>0</v>
      </c>
      <c r="F3790" s="47" t="n">
        <f aca="false">MIN(1,'Model Inputs &amp; Assumptions'!$W$35*EXP('Model Inputs &amp; Assumptions'!$X$35*R3790-'Model Inputs &amp; Assumptions'!$X$35^2/2))</f>
        <v>0.00715004697344498</v>
      </c>
      <c r="G3790" s="45" t="n">
        <f aca="false">ROUND(C3790*F3790,0)</f>
        <v>601</v>
      </c>
      <c r="H3790" s="48" t="n">
        <f aca="false">MAX(0,(C3790*'Model Inputs &amp; Assumptions'!$N$35+E3790*'Model Inputs &amp; Assumptions'!$O$35+G3790*'Model Inputs &amp; Assumptions'!$P$35)*EXP('Model Inputs &amp; Assumptions'!$Q$35*S3790-'Model Inputs &amp; Assumptions'!$Q$35^2/2))</f>
        <v>41.1393900372771</v>
      </c>
      <c r="I3790" s="49" t="n">
        <f aca="false">IF('Model Inputs &amp; Assumptions'!$H$35="Fixed",'Model Inputs &amp; Assumptions'!$I$35*'Model Inputs &amp; Assumptions'!$K$35,IF('Model Inputs &amp; Assumptions'!$H$35="CPM",'Model Inputs &amp; Assumptions'!$I$35*'Model Inputs &amp; Assumptions'!$K$35*C3790/1000,IF('Model Inputs &amp; Assumptions'!$H$35="CPC",'Model Inputs &amp; Assumptions'!$I$35*'Model Inputs &amp; Assumptions'!$K$35*G3790,0)))</f>
        <v>8672.8</v>
      </c>
      <c r="J3790" s="50" t="n">
        <f aca="false">H3790*INDEX('Model Inputs &amp; Assumptions'!$D$40:$D$42,MATCH('Model Inputs &amp; Assumptions'!$L$35,'Model Inputs &amp; Assumptions'!$A$40:$A$42,0))*INDEX('Model Inputs &amp; Assumptions'!$H$40:$H$42,MATCH('Model Inputs &amp; Assumptions'!$L$35,'Model Inputs &amp; Assumptions'!$A$40:$A$42,0))</f>
        <v>349684.815316855</v>
      </c>
      <c r="K3790" s="49" t="n">
        <f aca="false">H3790*INDEX('Model Inputs &amp; Assumptions'!$G$40:$G$42,MATCH('Model Inputs &amp; Assumptions'!$L$35,'Model Inputs &amp; Assumptions'!$A$40:$A$42,0))*INDEX('Model Inputs &amp; Assumptions'!$H$40:$H$42,MATCH('Model Inputs &amp; Assumptions'!$L$35,'Model Inputs &amp; Assumptions'!$A$40:$A$42,0))</f>
        <v>7867.90834462924</v>
      </c>
      <c r="L3790" s="51" t="n">
        <f aca="false">IFERROR(K3790/I3790,0)</f>
        <v>0.907193564319394</v>
      </c>
      <c r="M3790" s="49" t="n">
        <f aca="false">IFERROR(I3790/H3790,0)</f>
        <v>210.814987585898</v>
      </c>
      <c r="N3790" s="52" t="str">
        <f aca="false">'Model Inputs &amp; Assumptions'!$L$35</f>
        <v>PRD-EUAI</v>
      </c>
      <c r="P3790" s="53" t="n">
        <v>-0.336642</v>
      </c>
      <c r="Q3790" s="53" t="n">
        <v>-0.691902</v>
      </c>
      <c r="R3790" s="53" t="n">
        <v>0.425057</v>
      </c>
      <c r="S3790" s="53" t="n">
        <v>0.043966</v>
      </c>
    </row>
    <row r="3791" customFormat="false" ht="15" hidden="false" customHeight="false" outlineLevel="0" collapsed="false">
      <c r="A3791" s="43" t="n">
        <v>288</v>
      </c>
      <c r="B3791" s="44" t="str">
        <f aca="false">'Model Inputs &amp; Assumptions'!$B$35</f>
        <v>justETF — Sponsored Listing</v>
      </c>
      <c r="C3791" s="45" t="n">
        <f aca="false">ROUND(MAX(0,'Model Inputs &amp; Assumptions'!$S$35*EXP('Model Inputs &amp; Assumptions'!$T$35*P3791-'Model Inputs &amp; Assumptions'!$T$35^2/2)),0)</f>
        <v>87412</v>
      </c>
      <c r="D3791" s="46" t="n">
        <f aca="false">MIN(1,'Model Inputs &amp; Assumptions'!$U$35*EXP('Model Inputs &amp; Assumptions'!$V$35*Q3791-'Model Inputs &amp; Assumptions'!$V$35^2/2))</f>
        <v>0</v>
      </c>
      <c r="E3791" s="45" t="n">
        <f aca="false">ROUND(C3791*D3791,0)</f>
        <v>0</v>
      </c>
      <c r="F3791" s="47" t="n">
        <f aca="false">MIN(1,'Model Inputs &amp; Assumptions'!$W$35*EXP('Model Inputs &amp; Assumptions'!$X$35*R3791-'Model Inputs &amp; Assumptions'!$X$35^2/2))</f>
        <v>0.00563886456171032</v>
      </c>
      <c r="G3791" s="45" t="n">
        <f aca="false">ROUND(C3791*F3791,0)</f>
        <v>493</v>
      </c>
      <c r="H3791" s="48" t="n">
        <f aca="false">MAX(0,(C3791*'Model Inputs &amp; Assumptions'!$N$35+E3791*'Model Inputs &amp; Assumptions'!$O$35+G3791*'Model Inputs &amp; Assumptions'!$P$35)*EXP('Model Inputs &amp; Assumptions'!$Q$35*S3791-'Model Inputs &amp; Assumptions'!$Q$35^2/2))</f>
        <v>23.4464438946656</v>
      </c>
      <c r="I3791" s="49" t="n">
        <f aca="false">IF('Model Inputs &amp; Assumptions'!$H$35="Fixed",'Model Inputs &amp; Assumptions'!$I$35*'Model Inputs &amp; Assumptions'!$K$35,IF('Model Inputs &amp; Assumptions'!$H$35="CPM",'Model Inputs &amp; Assumptions'!$I$35*'Model Inputs &amp; Assumptions'!$K$35*C3791/1000,IF('Model Inputs &amp; Assumptions'!$H$35="CPC",'Model Inputs &amp; Assumptions'!$I$35*'Model Inputs &amp; Assumptions'!$K$35*G3791,0)))</f>
        <v>8672.8</v>
      </c>
      <c r="J3791" s="50" t="n">
        <f aca="false">H3791*INDEX('Model Inputs &amp; Assumptions'!$D$40:$D$42,MATCH('Model Inputs &amp; Assumptions'!$L$35,'Model Inputs &amp; Assumptions'!$A$40:$A$42,0))*INDEX('Model Inputs &amp; Assumptions'!$H$40:$H$42,MATCH('Model Inputs &amp; Assumptions'!$L$35,'Model Inputs &amp; Assumptions'!$A$40:$A$42,0))</f>
        <v>199294.773104658</v>
      </c>
      <c r="K3791" s="49" t="n">
        <f aca="false">H3791*INDEX('Model Inputs &amp; Assumptions'!$G$40:$G$42,MATCH('Model Inputs &amp; Assumptions'!$L$35,'Model Inputs &amp; Assumptions'!$A$40:$A$42,0))*INDEX('Model Inputs &amp; Assumptions'!$H$40:$H$42,MATCH('Model Inputs &amp; Assumptions'!$L$35,'Model Inputs &amp; Assumptions'!$A$40:$A$42,0))</f>
        <v>4484.1323948548</v>
      </c>
      <c r="L3791" s="51" t="n">
        <f aca="false">IFERROR(K3791/I3791,0)</f>
        <v>0.517033990735956</v>
      </c>
      <c r="M3791" s="49" t="n">
        <f aca="false">IFERROR(I3791/H3791,0)</f>
        <v>369.898311187957</v>
      </c>
      <c r="N3791" s="52" t="str">
        <f aca="false">'Model Inputs &amp; Assumptions'!$L$35</f>
        <v>PRD-EUAI</v>
      </c>
      <c r="P3791" s="53" t="n">
        <v>-0.074922</v>
      </c>
      <c r="Q3791" s="53" t="n">
        <v>0.250195</v>
      </c>
      <c r="R3791" s="53" t="n">
        <v>-0.762124</v>
      </c>
      <c r="S3791" s="53" t="n">
        <v>-1.356655</v>
      </c>
    </row>
    <row r="3792" customFormat="false" ht="15" hidden="false" customHeight="false" outlineLevel="0" collapsed="false">
      <c r="A3792" s="43" t="n">
        <v>289</v>
      </c>
      <c r="B3792" s="44" t="str">
        <f aca="false">'Model Inputs &amp; Assumptions'!$B$35</f>
        <v>justETF — Sponsored Listing</v>
      </c>
      <c r="C3792" s="45" t="n">
        <f aca="false">ROUND(MAX(0,'Model Inputs &amp; Assumptions'!$S$35*EXP('Model Inputs &amp; Assumptions'!$T$35*P3792-'Model Inputs &amp; Assumptions'!$T$35^2/2)),0)</f>
        <v>97821</v>
      </c>
      <c r="D3792" s="46" t="n">
        <f aca="false">MIN(1,'Model Inputs &amp; Assumptions'!$U$35*EXP('Model Inputs &amp; Assumptions'!$V$35*Q3792-'Model Inputs &amp; Assumptions'!$V$35^2/2))</f>
        <v>0</v>
      </c>
      <c r="E3792" s="45" t="n">
        <f aca="false">ROUND(C3792*D3792,0)</f>
        <v>0</v>
      </c>
      <c r="F3792" s="47" t="n">
        <f aca="false">MIN(1,'Model Inputs &amp; Assumptions'!$W$35*EXP('Model Inputs &amp; Assumptions'!$X$35*R3792-'Model Inputs &amp; Assumptions'!$X$35^2/2))</f>
        <v>0.00544205488848399</v>
      </c>
      <c r="G3792" s="45" t="n">
        <f aca="false">ROUND(C3792*F3792,0)</f>
        <v>532</v>
      </c>
      <c r="H3792" s="48" t="n">
        <f aca="false">MAX(0,(C3792*'Model Inputs &amp; Assumptions'!$N$35+E3792*'Model Inputs &amp; Assumptions'!$O$35+G3792*'Model Inputs &amp; Assumptions'!$P$35)*EXP('Model Inputs &amp; Assumptions'!$Q$35*S3792-'Model Inputs &amp; Assumptions'!$Q$35^2/2))</f>
        <v>33.3617732952044</v>
      </c>
      <c r="I3792" s="49" t="n">
        <f aca="false">IF('Model Inputs &amp; Assumptions'!$H$35="Fixed",'Model Inputs &amp; Assumptions'!$I$35*'Model Inputs &amp; Assumptions'!$K$35,IF('Model Inputs &amp; Assumptions'!$H$35="CPM",'Model Inputs &amp; Assumptions'!$I$35*'Model Inputs &amp; Assumptions'!$K$35*C3792/1000,IF('Model Inputs &amp; Assumptions'!$H$35="CPC",'Model Inputs &amp; Assumptions'!$I$35*'Model Inputs &amp; Assumptions'!$K$35*G3792,0)))</f>
        <v>8672.8</v>
      </c>
      <c r="J3792" s="50" t="n">
        <f aca="false">H3792*INDEX('Model Inputs &amp; Assumptions'!$D$40:$D$42,MATCH('Model Inputs &amp; Assumptions'!$L$35,'Model Inputs &amp; Assumptions'!$A$40:$A$42,0))*INDEX('Model Inputs &amp; Assumptions'!$H$40:$H$42,MATCH('Model Inputs &amp; Assumptions'!$L$35,'Model Inputs &amp; Assumptions'!$A$40:$A$42,0))</f>
        <v>283575.073009238</v>
      </c>
      <c r="K3792" s="49" t="n">
        <f aca="false">H3792*INDEX('Model Inputs &amp; Assumptions'!$G$40:$G$42,MATCH('Model Inputs &amp; Assumptions'!$L$35,'Model Inputs &amp; Assumptions'!$A$40:$A$42,0))*INDEX('Model Inputs &amp; Assumptions'!$H$40:$H$42,MATCH('Model Inputs &amp; Assumptions'!$L$35,'Model Inputs &amp; Assumptions'!$A$40:$A$42,0))</f>
        <v>6380.43914270785</v>
      </c>
      <c r="L3792" s="51" t="n">
        <f aca="false">IFERROR(K3792/I3792,0)</f>
        <v>0.73568387864448</v>
      </c>
      <c r="M3792" s="49" t="n">
        <f aca="false">IFERROR(I3792/H3792,0)</f>
        <v>259.962200547855</v>
      </c>
      <c r="N3792" s="52" t="str">
        <f aca="false">'Model Inputs &amp; Assumptions'!$L$35</f>
        <v>PRD-EUAI</v>
      </c>
      <c r="P3792" s="53" t="n">
        <v>0.675147</v>
      </c>
      <c r="Q3792" s="53" t="n">
        <v>-0.428002</v>
      </c>
      <c r="R3792" s="53" t="n">
        <v>-0.939754</v>
      </c>
      <c r="S3792" s="53" t="n">
        <v>-0.292972</v>
      </c>
    </row>
    <row r="3793" customFormat="false" ht="15" hidden="false" customHeight="false" outlineLevel="0" collapsed="false">
      <c r="A3793" s="43" t="n">
        <v>290</v>
      </c>
      <c r="B3793" s="44" t="str">
        <f aca="false">'Model Inputs &amp; Assumptions'!$B$35</f>
        <v>justETF — Sponsored Listing</v>
      </c>
      <c r="C3793" s="45" t="n">
        <f aca="false">ROUND(MAX(0,'Model Inputs &amp; Assumptions'!$S$35*EXP('Model Inputs &amp; Assumptions'!$T$35*P3793-'Model Inputs &amp; Assumptions'!$T$35^2/2)),0)</f>
        <v>96454</v>
      </c>
      <c r="D3793" s="46" t="n">
        <f aca="false">MIN(1,'Model Inputs &amp; Assumptions'!$U$35*EXP('Model Inputs &amp; Assumptions'!$V$35*Q3793-'Model Inputs &amp; Assumptions'!$V$35^2/2))</f>
        <v>0</v>
      </c>
      <c r="E3793" s="45" t="n">
        <f aca="false">ROUND(C3793*D3793,0)</f>
        <v>0</v>
      </c>
      <c r="F3793" s="47" t="n">
        <f aca="false">MIN(1,'Model Inputs &amp; Assumptions'!$W$35*EXP('Model Inputs &amp; Assumptions'!$X$35*R3793-'Model Inputs &amp; Assumptions'!$X$35^2/2))</f>
        <v>0.00671695902717857</v>
      </c>
      <c r="G3793" s="45" t="n">
        <f aca="false">ROUND(C3793*F3793,0)</f>
        <v>648</v>
      </c>
      <c r="H3793" s="48" t="n">
        <f aca="false">MAX(0,(C3793*'Model Inputs &amp; Assumptions'!$N$35+E3793*'Model Inputs &amp; Assumptions'!$O$35+G3793*'Model Inputs &amp; Assumptions'!$P$35)*EXP('Model Inputs &amp; Assumptions'!$Q$35*S3793-'Model Inputs &amp; Assumptions'!$Q$35^2/2))</f>
        <v>57.6432514654344</v>
      </c>
      <c r="I3793" s="49" t="n">
        <f aca="false">IF('Model Inputs &amp; Assumptions'!$H$35="Fixed",'Model Inputs &amp; Assumptions'!$I$35*'Model Inputs &amp; Assumptions'!$K$35,IF('Model Inputs &amp; Assumptions'!$H$35="CPM",'Model Inputs &amp; Assumptions'!$I$35*'Model Inputs &amp; Assumptions'!$K$35*C3793/1000,IF('Model Inputs &amp; Assumptions'!$H$35="CPC",'Model Inputs &amp; Assumptions'!$I$35*'Model Inputs &amp; Assumptions'!$K$35*G3793,0)))</f>
        <v>8672.8</v>
      </c>
      <c r="J3793" s="50" t="n">
        <f aca="false">H3793*INDEX('Model Inputs &amp; Assumptions'!$D$40:$D$42,MATCH('Model Inputs &amp; Assumptions'!$L$35,'Model Inputs &amp; Assumptions'!$A$40:$A$42,0))*INDEX('Model Inputs &amp; Assumptions'!$H$40:$H$42,MATCH('Model Inputs &amp; Assumptions'!$L$35,'Model Inputs &amp; Assumptions'!$A$40:$A$42,0))</f>
        <v>489967.637456192</v>
      </c>
      <c r="K3793" s="49" t="n">
        <f aca="false">H3793*INDEX('Model Inputs &amp; Assumptions'!$G$40:$G$42,MATCH('Model Inputs &amp; Assumptions'!$L$35,'Model Inputs &amp; Assumptions'!$A$40:$A$42,0))*INDEX('Model Inputs &amp; Assumptions'!$H$40:$H$42,MATCH('Model Inputs &amp; Assumptions'!$L$35,'Model Inputs &amp; Assumptions'!$A$40:$A$42,0))</f>
        <v>11024.2718427643</v>
      </c>
      <c r="L3793" s="51" t="n">
        <f aca="false">IFERROR(K3793/I3793,0)</f>
        <v>1.27113179627852</v>
      </c>
      <c r="M3793" s="49" t="n">
        <f aca="false">IFERROR(I3793/H3793,0)</f>
        <v>150.456467661277</v>
      </c>
      <c r="N3793" s="52" t="str">
        <f aca="false">'Model Inputs &amp; Assumptions'!$L$35</f>
        <v>PRD-EUAI</v>
      </c>
      <c r="P3793" s="53" t="n">
        <v>0.581293</v>
      </c>
      <c r="Q3793" s="53" t="n">
        <v>1.309354</v>
      </c>
      <c r="R3793" s="53" t="n">
        <v>0.11264</v>
      </c>
      <c r="S3793" s="53" t="n">
        <v>1.051702</v>
      </c>
    </row>
    <row r="3794" customFormat="false" ht="15" hidden="false" customHeight="false" outlineLevel="0" collapsed="false">
      <c r="A3794" s="43" t="n">
        <v>291</v>
      </c>
      <c r="B3794" s="44" t="str">
        <f aca="false">'Model Inputs &amp; Assumptions'!$B$35</f>
        <v>justETF — Sponsored Listing</v>
      </c>
      <c r="C3794" s="45" t="n">
        <f aca="false">ROUND(MAX(0,'Model Inputs &amp; Assumptions'!$S$35*EXP('Model Inputs &amp; Assumptions'!$T$35*P3794-'Model Inputs &amp; Assumptions'!$T$35^2/2)),0)</f>
        <v>105053</v>
      </c>
      <c r="D3794" s="46" t="n">
        <f aca="false">MIN(1,'Model Inputs &amp; Assumptions'!$U$35*EXP('Model Inputs &amp; Assumptions'!$V$35*Q3794-'Model Inputs &amp; Assumptions'!$V$35^2/2))</f>
        <v>0</v>
      </c>
      <c r="E3794" s="45" t="n">
        <f aca="false">ROUND(C3794*D3794,0)</f>
        <v>0</v>
      </c>
      <c r="F3794" s="47" t="n">
        <f aca="false">MIN(1,'Model Inputs &amp; Assumptions'!$W$35*EXP('Model Inputs &amp; Assumptions'!$X$35*R3794-'Model Inputs &amp; Assumptions'!$X$35^2/2))</f>
        <v>0.00515515366731414</v>
      </c>
      <c r="G3794" s="45" t="n">
        <f aca="false">ROUND(C3794*F3794,0)</f>
        <v>542</v>
      </c>
      <c r="H3794" s="48" t="n">
        <f aca="false">MAX(0,(C3794*'Model Inputs &amp; Assumptions'!$N$35+E3794*'Model Inputs &amp; Assumptions'!$O$35+G3794*'Model Inputs &amp; Assumptions'!$P$35)*EXP('Model Inputs &amp; Assumptions'!$Q$35*S3794-'Model Inputs &amp; Assumptions'!$Q$35^2/2))</f>
        <v>31.1859048312066</v>
      </c>
      <c r="I3794" s="49" t="n">
        <f aca="false">IF('Model Inputs &amp; Assumptions'!$H$35="Fixed",'Model Inputs &amp; Assumptions'!$I$35*'Model Inputs &amp; Assumptions'!$K$35,IF('Model Inputs &amp; Assumptions'!$H$35="CPM",'Model Inputs &amp; Assumptions'!$I$35*'Model Inputs &amp; Assumptions'!$K$35*C3794/1000,IF('Model Inputs &amp; Assumptions'!$H$35="CPC",'Model Inputs &amp; Assumptions'!$I$35*'Model Inputs &amp; Assumptions'!$K$35*G3794,0)))</f>
        <v>8672.8</v>
      </c>
      <c r="J3794" s="50" t="n">
        <f aca="false">H3794*INDEX('Model Inputs &amp; Assumptions'!$D$40:$D$42,MATCH('Model Inputs &amp; Assumptions'!$L$35,'Model Inputs &amp; Assumptions'!$A$40:$A$42,0))*INDEX('Model Inputs &amp; Assumptions'!$H$40:$H$42,MATCH('Model Inputs &amp; Assumptions'!$L$35,'Model Inputs &amp; Assumptions'!$A$40:$A$42,0))</f>
        <v>265080.191065256</v>
      </c>
      <c r="K3794" s="49" t="n">
        <f aca="false">H3794*INDEX('Model Inputs &amp; Assumptions'!$G$40:$G$42,MATCH('Model Inputs &amp; Assumptions'!$L$35,'Model Inputs &amp; Assumptions'!$A$40:$A$42,0))*INDEX('Model Inputs &amp; Assumptions'!$H$40:$H$42,MATCH('Model Inputs &amp; Assumptions'!$L$35,'Model Inputs &amp; Assumptions'!$A$40:$A$42,0))</f>
        <v>5964.30429896827</v>
      </c>
      <c r="L3794" s="51" t="n">
        <f aca="false">IFERROR(K3794/I3794,0)</f>
        <v>0.687702275962581</v>
      </c>
      <c r="M3794" s="49" t="n">
        <f aca="false">IFERROR(I3794/H3794,0)</f>
        <v>278.099995717342</v>
      </c>
      <c r="N3794" s="52" t="str">
        <f aca="false">'Model Inputs &amp; Assumptions'!$L$35</f>
        <v>PRD-EUAI</v>
      </c>
      <c r="P3794" s="53" t="n">
        <v>1.150659</v>
      </c>
      <c r="Q3794" s="53" t="n">
        <v>1.222601</v>
      </c>
      <c r="R3794" s="53" t="n">
        <v>-1.210553</v>
      </c>
      <c r="S3794" s="53" t="n">
        <v>-0.623999</v>
      </c>
    </row>
    <row r="3795" customFormat="false" ht="15" hidden="false" customHeight="false" outlineLevel="0" collapsed="false">
      <c r="A3795" s="43" t="n">
        <v>292</v>
      </c>
      <c r="B3795" s="44" t="str">
        <f aca="false">'Model Inputs &amp; Assumptions'!$B$35</f>
        <v>justETF — Sponsored Listing</v>
      </c>
      <c r="C3795" s="45" t="n">
        <f aca="false">ROUND(MAX(0,'Model Inputs &amp; Assumptions'!$S$35*EXP('Model Inputs &amp; Assumptions'!$T$35*P3795-'Model Inputs &amp; Assumptions'!$T$35^2/2)),0)</f>
        <v>75434</v>
      </c>
      <c r="D3795" s="46" t="n">
        <f aca="false">MIN(1,'Model Inputs &amp; Assumptions'!$U$35*EXP('Model Inputs &amp; Assumptions'!$V$35*Q3795-'Model Inputs &amp; Assumptions'!$V$35^2/2))</f>
        <v>0</v>
      </c>
      <c r="E3795" s="45" t="n">
        <f aca="false">ROUND(C3795*D3795,0)</f>
        <v>0</v>
      </c>
      <c r="F3795" s="47" t="n">
        <f aca="false">MIN(1,'Model Inputs &amp; Assumptions'!$W$35*EXP('Model Inputs &amp; Assumptions'!$X$35*R3795-'Model Inputs &amp; Assumptions'!$X$35^2/2))</f>
        <v>0.00745384142037014</v>
      </c>
      <c r="G3795" s="45" t="n">
        <f aca="false">ROUND(C3795*F3795,0)</f>
        <v>562</v>
      </c>
      <c r="H3795" s="48" t="n">
        <f aca="false">MAX(0,(C3795*'Model Inputs &amp; Assumptions'!$N$35+E3795*'Model Inputs &amp; Assumptions'!$O$35+G3795*'Model Inputs &amp; Assumptions'!$P$35)*EXP('Model Inputs &amp; Assumptions'!$Q$35*S3795-'Model Inputs &amp; Assumptions'!$Q$35^2/2))</f>
        <v>29.4500289453389</v>
      </c>
      <c r="I3795" s="49" t="n">
        <f aca="false">IF('Model Inputs &amp; Assumptions'!$H$35="Fixed",'Model Inputs &amp; Assumptions'!$I$35*'Model Inputs &amp; Assumptions'!$K$35,IF('Model Inputs &amp; Assumptions'!$H$35="CPM",'Model Inputs &amp; Assumptions'!$I$35*'Model Inputs &amp; Assumptions'!$K$35*C3795/1000,IF('Model Inputs &amp; Assumptions'!$H$35="CPC",'Model Inputs &amp; Assumptions'!$I$35*'Model Inputs &amp; Assumptions'!$K$35*G3795,0)))</f>
        <v>8672.8</v>
      </c>
      <c r="J3795" s="50" t="n">
        <f aca="false">H3795*INDEX('Model Inputs &amp; Assumptions'!$D$40:$D$42,MATCH('Model Inputs &amp; Assumptions'!$L$35,'Model Inputs &amp; Assumptions'!$A$40:$A$42,0))*INDEX('Model Inputs &amp; Assumptions'!$H$40:$H$42,MATCH('Model Inputs &amp; Assumptions'!$L$35,'Model Inputs &amp; Assumptions'!$A$40:$A$42,0))</f>
        <v>250325.246035381</v>
      </c>
      <c r="K3795" s="49" t="n">
        <f aca="false">H3795*INDEX('Model Inputs &amp; Assumptions'!$G$40:$G$42,MATCH('Model Inputs &amp; Assumptions'!$L$35,'Model Inputs &amp; Assumptions'!$A$40:$A$42,0))*INDEX('Model Inputs &amp; Assumptions'!$H$40:$H$42,MATCH('Model Inputs &amp; Assumptions'!$L$35,'Model Inputs &amp; Assumptions'!$A$40:$A$42,0))</f>
        <v>5632.31803579607</v>
      </c>
      <c r="L3795" s="51" t="n">
        <f aca="false">IFERROR(K3795/I3795,0)</f>
        <v>0.649423258439728</v>
      </c>
      <c r="M3795" s="49" t="n">
        <f aca="false">IFERROR(I3795/H3795,0)</f>
        <v>294.492070486493</v>
      </c>
      <c r="N3795" s="52" t="str">
        <f aca="false">'Model Inputs &amp; Assumptions'!$L$35</f>
        <v>PRD-EUAI</v>
      </c>
      <c r="P3795" s="53" t="n">
        <v>-1.057447</v>
      </c>
      <c r="Q3795" s="53" t="n">
        <v>-0.809361</v>
      </c>
      <c r="R3795" s="53" t="n">
        <v>0.63311</v>
      </c>
      <c r="S3795" s="53" t="n">
        <v>-0.983642</v>
      </c>
    </row>
    <row r="3796" customFormat="false" ht="15" hidden="false" customHeight="false" outlineLevel="0" collapsed="false">
      <c r="A3796" s="43" t="n">
        <v>293</v>
      </c>
      <c r="B3796" s="44" t="str">
        <f aca="false">'Model Inputs &amp; Assumptions'!$B$35</f>
        <v>justETF — Sponsored Listing</v>
      </c>
      <c r="C3796" s="45" t="n">
        <f aca="false">ROUND(MAX(0,'Model Inputs &amp; Assumptions'!$S$35*EXP('Model Inputs &amp; Assumptions'!$T$35*P3796-'Model Inputs &amp; Assumptions'!$T$35^2/2)),0)</f>
        <v>85936</v>
      </c>
      <c r="D3796" s="46" t="n">
        <f aca="false">MIN(1,'Model Inputs &amp; Assumptions'!$U$35*EXP('Model Inputs &amp; Assumptions'!$V$35*Q3796-'Model Inputs &amp; Assumptions'!$V$35^2/2))</f>
        <v>0</v>
      </c>
      <c r="E3796" s="45" t="n">
        <f aca="false">ROUND(C3796*D3796,0)</f>
        <v>0</v>
      </c>
      <c r="F3796" s="47" t="n">
        <f aca="false">MIN(1,'Model Inputs &amp; Assumptions'!$W$35*EXP('Model Inputs &amp; Assumptions'!$X$35*R3796-'Model Inputs &amp; Assumptions'!$X$35^2/2))</f>
        <v>0.00711166167730135</v>
      </c>
      <c r="G3796" s="45" t="n">
        <f aca="false">ROUND(C3796*F3796,0)</f>
        <v>611</v>
      </c>
      <c r="H3796" s="48" t="n">
        <f aca="false">MAX(0,(C3796*'Model Inputs &amp; Assumptions'!$N$35+E3796*'Model Inputs &amp; Assumptions'!$O$35+G3796*'Model Inputs &amp; Assumptions'!$P$35)*EXP('Model Inputs &amp; Assumptions'!$Q$35*S3796-'Model Inputs &amp; Assumptions'!$Q$35^2/2))</f>
        <v>43.1139108354931</v>
      </c>
      <c r="I3796" s="49" t="n">
        <f aca="false">IF('Model Inputs &amp; Assumptions'!$H$35="Fixed",'Model Inputs &amp; Assumptions'!$I$35*'Model Inputs &amp; Assumptions'!$K$35,IF('Model Inputs &amp; Assumptions'!$H$35="CPM",'Model Inputs &amp; Assumptions'!$I$35*'Model Inputs &amp; Assumptions'!$K$35*C3796/1000,IF('Model Inputs &amp; Assumptions'!$H$35="CPC",'Model Inputs &amp; Assumptions'!$I$35*'Model Inputs &amp; Assumptions'!$K$35*G3796,0)))</f>
        <v>8672.8</v>
      </c>
      <c r="J3796" s="50" t="n">
        <f aca="false">H3796*INDEX('Model Inputs &amp; Assumptions'!$D$40:$D$42,MATCH('Model Inputs &amp; Assumptions'!$L$35,'Model Inputs &amp; Assumptions'!$A$40:$A$42,0))*INDEX('Model Inputs &amp; Assumptions'!$H$40:$H$42,MATCH('Model Inputs &amp; Assumptions'!$L$35,'Model Inputs &amp; Assumptions'!$A$40:$A$42,0))</f>
        <v>366468.242101692</v>
      </c>
      <c r="K3796" s="49" t="n">
        <f aca="false">H3796*INDEX('Model Inputs &amp; Assumptions'!$G$40:$G$42,MATCH('Model Inputs &amp; Assumptions'!$L$35,'Model Inputs &amp; Assumptions'!$A$40:$A$42,0))*INDEX('Model Inputs &amp; Assumptions'!$H$40:$H$42,MATCH('Model Inputs &amp; Assumptions'!$L$35,'Model Inputs &amp; Assumptions'!$A$40:$A$42,0))</f>
        <v>8245.53544728806</v>
      </c>
      <c r="L3796" s="51" t="n">
        <f aca="false">IFERROR(K3796/I3796,0)</f>
        <v>0.950735108302747</v>
      </c>
      <c r="M3796" s="49" t="n">
        <f aca="false">IFERROR(I3796/H3796,0)</f>
        <v>201.160132122837</v>
      </c>
      <c r="N3796" s="52" t="str">
        <f aca="false">'Model Inputs &amp; Assumptions'!$L$35</f>
        <v>PRD-EUAI</v>
      </c>
      <c r="P3796" s="53" t="n">
        <v>-0.188457</v>
      </c>
      <c r="Q3796" s="53" t="n">
        <v>0.154094</v>
      </c>
      <c r="R3796" s="53" t="n">
        <v>0.398142</v>
      </c>
      <c r="S3796" s="53" t="n">
        <v>0.160803</v>
      </c>
    </row>
    <row r="3797" customFormat="false" ht="15" hidden="false" customHeight="false" outlineLevel="0" collapsed="false">
      <c r="A3797" s="43" t="n">
        <v>294</v>
      </c>
      <c r="B3797" s="44" t="str">
        <f aca="false">'Model Inputs &amp; Assumptions'!$B$35</f>
        <v>justETF — Sponsored Listing</v>
      </c>
      <c r="C3797" s="45" t="n">
        <f aca="false">ROUND(MAX(0,'Model Inputs &amp; Assumptions'!$S$35*EXP('Model Inputs &amp; Assumptions'!$T$35*P3797-'Model Inputs &amp; Assumptions'!$T$35^2/2)),0)</f>
        <v>94880</v>
      </c>
      <c r="D3797" s="46" t="n">
        <f aca="false">MIN(1,'Model Inputs &amp; Assumptions'!$U$35*EXP('Model Inputs &amp; Assumptions'!$V$35*Q3797-'Model Inputs &amp; Assumptions'!$V$35^2/2))</f>
        <v>0</v>
      </c>
      <c r="E3797" s="45" t="n">
        <f aca="false">ROUND(C3797*D3797,0)</f>
        <v>0</v>
      </c>
      <c r="F3797" s="47" t="n">
        <f aca="false">MIN(1,'Model Inputs &amp; Assumptions'!$W$35*EXP('Model Inputs &amp; Assumptions'!$X$35*R3797-'Model Inputs &amp; Assumptions'!$X$35^2/2))</f>
        <v>0.00557429095555084</v>
      </c>
      <c r="G3797" s="45" t="n">
        <f aca="false">ROUND(C3797*F3797,0)</f>
        <v>529</v>
      </c>
      <c r="H3797" s="48" t="n">
        <f aca="false">MAX(0,(C3797*'Model Inputs &amp; Assumptions'!$N$35+E3797*'Model Inputs &amp; Assumptions'!$O$35+G3797*'Model Inputs &amp; Assumptions'!$P$35)*EXP('Model Inputs &amp; Assumptions'!$Q$35*S3797-'Model Inputs &amp; Assumptions'!$Q$35^2/2))</f>
        <v>34.4023272575074</v>
      </c>
      <c r="I3797" s="49" t="n">
        <f aca="false">IF('Model Inputs &amp; Assumptions'!$H$35="Fixed",'Model Inputs &amp; Assumptions'!$I$35*'Model Inputs &amp; Assumptions'!$K$35,IF('Model Inputs &amp; Assumptions'!$H$35="CPM",'Model Inputs &amp; Assumptions'!$I$35*'Model Inputs &amp; Assumptions'!$K$35*C3797/1000,IF('Model Inputs &amp; Assumptions'!$H$35="CPC",'Model Inputs &amp; Assumptions'!$I$35*'Model Inputs &amp; Assumptions'!$K$35*G3797,0)))</f>
        <v>8672.8</v>
      </c>
      <c r="J3797" s="50" t="n">
        <f aca="false">H3797*INDEX('Model Inputs &amp; Assumptions'!$D$40:$D$42,MATCH('Model Inputs &amp; Assumptions'!$L$35,'Model Inputs &amp; Assumptions'!$A$40:$A$42,0))*INDEX('Model Inputs &amp; Assumptions'!$H$40:$H$42,MATCH('Model Inputs &amp; Assumptions'!$L$35,'Model Inputs &amp; Assumptions'!$A$40:$A$42,0))</f>
        <v>292419.781688813</v>
      </c>
      <c r="K3797" s="49" t="n">
        <f aca="false">H3797*INDEX('Model Inputs &amp; Assumptions'!$G$40:$G$42,MATCH('Model Inputs &amp; Assumptions'!$L$35,'Model Inputs &amp; Assumptions'!$A$40:$A$42,0))*INDEX('Model Inputs &amp; Assumptions'!$H$40:$H$42,MATCH('Model Inputs &amp; Assumptions'!$L$35,'Model Inputs &amp; Assumptions'!$A$40:$A$42,0))</f>
        <v>6579.4450879983</v>
      </c>
      <c r="L3797" s="51" t="n">
        <f aca="false">IFERROR(K3797/I3797,0)</f>
        <v>0.758629864403457</v>
      </c>
      <c r="M3797" s="49" t="n">
        <f aca="false">IFERROR(I3797/H3797,0)</f>
        <v>252.099223842695</v>
      </c>
      <c r="N3797" s="52" t="str">
        <f aca="false">'Model Inputs &amp; Assumptions'!$L$35</f>
        <v>PRD-EUAI</v>
      </c>
      <c r="P3797" s="53" t="n">
        <v>0.471627</v>
      </c>
      <c r="Q3797" s="53" t="n">
        <v>-0.70973</v>
      </c>
      <c r="R3797" s="53" t="n">
        <v>-0.819712</v>
      </c>
      <c r="S3797" s="53" t="n">
        <v>-0.153093</v>
      </c>
    </row>
    <row r="3798" customFormat="false" ht="15" hidden="false" customHeight="false" outlineLevel="0" collapsed="false">
      <c r="A3798" s="43" t="n">
        <v>295</v>
      </c>
      <c r="B3798" s="44" t="str">
        <f aca="false">'Model Inputs &amp; Assumptions'!$B$35</f>
        <v>justETF — Sponsored Listing</v>
      </c>
      <c r="C3798" s="45" t="n">
        <f aca="false">ROUND(MAX(0,'Model Inputs &amp; Assumptions'!$S$35*EXP('Model Inputs &amp; Assumptions'!$T$35*P3798-'Model Inputs &amp; Assumptions'!$T$35^2/2)),0)</f>
        <v>96239</v>
      </c>
      <c r="D3798" s="46" t="n">
        <f aca="false">MIN(1,'Model Inputs &amp; Assumptions'!$U$35*EXP('Model Inputs &amp; Assumptions'!$V$35*Q3798-'Model Inputs &amp; Assumptions'!$V$35^2/2))</f>
        <v>0</v>
      </c>
      <c r="E3798" s="45" t="n">
        <f aca="false">ROUND(C3798*D3798,0)</f>
        <v>0</v>
      </c>
      <c r="F3798" s="47" t="n">
        <f aca="false">MIN(1,'Model Inputs &amp; Assumptions'!$W$35*EXP('Model Inputs &amp; Assumptions'!$X$35*R3798-'Model Inputs &amp; Assumptions'!$X$35^2/2))</f>
        <v>0.0094921403670576</v>
      </c>
      <c r="G3798" s="45" t="n">
        <f aca="false">ROUND(C3798*F3798,0)</f>
        <v>914</v>
      </c>
      <c r="H3798" s="48" t="n">
        <f aca="false">MAX(0,(C3798*'Model Inputs &amp; Assumptions'!$N$35+E3798*'Model Inputs &amp; Assumptions'!$O$35+G3798*'Model Inputs &amp; Assumptions'!$P$35)*EXP('Model Inputs &amp; Assumptions'!$Q$35*S3798-'Model Inputs &amp; Assumptions'!$Q$35^2/2))</f>
        <v>79.5121415995219</v>
      </c>
      <c r="I3798" s="49" t="n">
        <f aca="false">IF('Model Inputs &amp; Assumptions'!$H$35="Fixed",'Model Inputs &amp; Assumptions'!$I$35*'Model Inputs &amp; Assumptions'!$K$35,IF('Model Inputs &amp; Assumptions'!$H$35="CPM",'Model Inputs &amp; Assumptions'!$I$35*'Model Inputs &amp; Assumptions'!$K$35*C3798/1000,IF('Model Inputs &amp; Assumptions'!$H$35="CPC",'Model Inputs &amp; Assumptions'!$I$35*'Model Inputs &amp; Assumptions'!$K$35*G3798,0)))</f>
        <v>8672.8</v>
      </c>
      <c r="J3798" s="50" t="n">
        <f aca="false">H3798*INDEX('Model Inputs &amp; Assumptions'!$D$40:$D$42,MATCH('Model Inputs &amp; Assumptions'!$L$35,'Model Inputs &amp; Assumptions'!$A$40:$A$42,0))*INDEX('Model Inputs &amp; Assumptions'!$H$40:$H$42,MATCH('Model Inputs &amp; Assumptions'!$L$35,'Model Inputs &amp; Assumptions'!$A$40:$A$42,0))</f>
        <v>675853.203595936</v>
      </c>
      <c r="K3798" s="49" t="n">
        <f aca="false">H3798*INDEX('Model Inputs &amp; Assumptions'!$G$40:$G$42,MATCH('Model Inputs &amp; Assumptions'!$L$35,'Model Inputs &amp; Assumptions'!$A$40:$A$42,0))*INDEX('Model Inputs &amp; Assumptions'!$H$40:$H$42,MATCH('Model Inputs &amp; Assumptions'!$L$35,'Model Inputs &amp; Assumptions'!$A$40:$A$42,0))</f>
        <v>15206.6970809086</v>
      </c>
      <c r="L3798" s="51" t="n">
        <f aca="false">IFERROR(K3798/I3798,0)</f>
        <v>1.75337804179833</v>
      </c>
      <c r="M3798" s="49" t="n">
        <f aca="false">IFERROR(I3798/H3798,0)</f>
        <v>109.075165446835</v>
      </c>
      <c r="N3798" s="52" t="str">
        <f aca="false">'Model Inputs &amp; Assumptions'!$L$35</f>
        <v>PRD-EUAI</v>
      </c>
      <c r="P3798" s="53" t="n">
        <v>0.566424</v>
      </c>
      <c r="Q3798" s="53" t="n">
        <v>1.106892</v>
      </c>
      <c r="R3798" s="53" t="n">
        <v>1.841783</v>
      </c>
      <c r="S3798" s="53" t="n">
        <v>0.96592</v>
      </c>
    </row>
    <row r="3799" customFormat="false" ht="15" hidden="false" customHeight="false" outlineLevel="0" collapsed="false">
      <c r="A3799" s="43" t="n">
        <v>296</v>
      </c>
      <c r="B3799" s="44" t="str">
        <f aca="false">'Model Inputs &amp; Assumptions'!$B$35</f>
        <v>justETF — Sponsored Listing</v>
      </c>
      <c r="C3799" s="45" t="n">
        <f aca="false">ROUND(MAX(0,'Model Inputs &amp; Assumptions'!$S$35*EXP('Model Inputs &amp; Assumptions'!$T$35*P3799-'Model Inputs &amp; Assumptions'!$T$35^2/2)),0)</f>
        <v>89766</v>
      </c>
      <c r="D3799" s="46" t="n">
        <f aca="false">MIN(1,'Model Inputs &amp; Assumptions'!$U$35*EXP('Model Inputs &amp; Assumptions'!$V$35*Q3799-'Model Inputs &amp; Assumptions'!$V$35^2/2))</f>
        <v>0</v>
      </c>
      <c r="E3799" s="45" t="n">
        <f aca="false">ROUND(C3799*D3799,0)</f>
        <v>0</v>
      </c>
      <c r="F3799" s="47" t="n">
        <f aca="false">MIN(1,'Model Inputs &amp; Assumptions'!$W$35*EXP('Model Inputs &amp; Assumptions'!$X$35*R3799-'Model Inputs &amp; Assumptions'!$X$35^2/2))</f>
        <v>0.00492166814252286</v>
      </c>
      <c r="G3799" s="45" t="n">
        <f aca="false">ROUND(C3799*F3799,0)</f>
        <v>442</v>
      </c>
      <c r="H3799" s="48" t="n">
        <f aca="false">MAX(0,(C3799*'Model Inputs &amp; Assumptions'!$N$35+E3799*'Model Inputs &amp; Assumptions'!$O$35+G3799*'Model Inputs &amp; Assumptions'!$P$35)*EXP('Model Inputs &amp; Assumptions'!$Q$35*S3799-'Model Inputs &amp; Assumptions'!$Q$35^2/2))</f>
        <v>30.3770881551055</v>
      </c>
      <c r="I3799" s="49" t="n">
        <f aca="false">IF('Model Inputs &amp; Assumptions'!$H$35="Fixed",'Model Inputs &amp; Assumptions'!$I$35*'Model Inputs &amp; Assumptions'!$K$35,IF('Model Inputs &amp; Assumptions'!$H$35="CPM",'Model Inputs &amp; Assumptions'!$I$35*'Model Inputs &amp; Assumptions'!$K$35*C3799/1000,IF('Model Inputs &amp; Assumptions'!$H$35="CPC",'Model Inputs &amp; Assumptions'!$I$35*'Model Inputs &amp; Assumptions'!$K$35*G3799,0)))</f>
        <v>8672.8</v>
      </c>
      <c r="J3799" s="50" t="n">
        <f aca="false">H3799*INDEX('Model Inputs &amp; Assumptions'!$D$40:$D$42,MATCH('Model Inputs &amp; Assumptions'!$L$35,'Model Inputs &amp; Assumptions'!$A$40:$A$42,0))*INDEX('Model Inputs &amp; Assumptions'!$H$40:$H$42,MATCH('Model Inputs &amp; Assumptions'!$L$35,'Model Inputs &amp; Assumptions'!$A$40:$A$42,0))</f>
        <v>258205.249318397</v>
      </c>
      <c r="K3799" s="49" t="n">
        <f aca="false">H3799*INDEX('Model Inputs &amp; Assumptions'!$G$40:$G$42,MATCH('Model Inputs &amp; Assumptions'!$L$35,'Model Inputs &amp; Assumptions'!$A$40:$A$42,0))*INDEX('Model Inputs &amp; Assumptions'!$H$40:$H$42,MATCH('Model Inputs &amp; Assumptions'!$L$35,'Model Inputs &amp; Assumptions'!$A$40:$A$42,0))</f>
        <v>5809.61810966393</v>
      </c>
      <c r="L3799" s="51" t="n">
        <f aca="false">IFERROR(K3799/I3799,0)</f>
        <v>0.669866491751675</v>
      </c>
      <c r="M3799" s="49" t="n">
        <f aca="false">IFERROR(I3799/H3799,0)</f>
        <v>285.5046525762</v>
      </c>
      <c r="N3799" s="52" t="str">
        <f aca="false">'Model Inputs &amp; Assumptions'!$L$35</f>
        <v>PRD-EUAI</v>
      </c>
      <c r="P3799" s="53" t="n">
        <v>0.102204</v>
      </c>
      <c r="Q3799" s="53" t="n">
        <v>1.310455</v>
      </c>
      <c r="R3799" s="53" t="n">
        <v>-1.4423</v>
      </c>
      <c r="S3799" s="53" t="n">
        <v>0.05938</v>
      </c>
    </row>
    <row r="3800" customFormat="false" ht="15" hidden="false" customHeight="false" outlineLevel="0" collapsed="false">
      <c r="A3800" s="43" t="n">
        <v>297</v>
      </c>
      <c r="B3800" s="44" t="str">
        <f aca="false">'Model Inputs &amp; Assumptions'!$B$35</f>
        <v>justETF — Sponsored Listing</v>
      </c>
      <c r="C3800" s="45" t="n">
        <f aca="false">ROUND(MAX(0,'Model Inputs &amp; Assumptions'!$S$35*EXP('Model Inputs &amp; Assumptions'!$T$35*P3800-'Model Inputs &amp; Assumptions'!$T$35^2/2)),0)</f>
        <v>82957</v>
      </c>
      <c r="D3800" s="46" t="n">
        <f aca="false">MIN(1,'Model Inputs &amp; Assumptions'!$U$35*EXP('Model Inputs &amp; Assumptions'!$V$35*Q3800-'Model Inputs &amp; Assumptions'!$V$35^2/2))</f>
        <v>0</v>
      </c>
      <c r="E3800" s="45" t="n">
        <f aca="false">ROUND(C3800*D3800,0)</f>
        <v>0</v>
      </c>
      <c r="F3800" s="47" t="n">
        <f aca="false">MIN(1,'Model Inputs &amp; Assumptions'!$W$35*EXP('Model Inputs &amp; Assumptions'!$X$35*R3800-'Model Inputs &amp; Assumptions'!$X$35^2/2))</f>
        <v>0.00691696110428606</v>
      </c>
      <c r="G3800" s="45" t="n">
        <f aca="false">ROUND(C3800*F3800,0)</f>
        <v>574</v>
      </c>
      <c r="H3800" s="48" t="n">
        <f aca="false">MAX(0,(C3800*'Model Inputs &amp; Assumptions'!$N$35+E3800*'Model Inputs &amp; Assumptions'!$O$35+G3800*'Model Inputs &amp; Assumptions'!$P$35)*EXP('Model Inputs &amp; Assumptions'!$Q$35*S3800-'Model Inputs &amp; Assumptions'!$Q$35^2/2))</f>
        <v>36.2300577680493</v>
      </c>
      <c r="I3800" s="49" t="n">
        <f aca="false">IF('Model Inputs &amp; Assumptions'!$H$35="Fixed",'Model Inputs &amp; Assumptions'!$I$35*'Model Inputs &amp; Assumptions'!$K$35,IF('Model Inputs &amp; Assumptions'!$H$35="CPM",'Model Inputs &amp; Assumptions'!$I$35*'Model Inputs &amp; Assumptions'!$K$35*C3800/1000,IF('Model Inputs &amp; Assumptions'!$H$35="CPC",'Model Inputs &amp; Assumptions'!$I$35*'Model Inputs &amp; Assumptions'!$K$35*G3800,0)))</f>
        <v>8672.8</v>
      </c>
      <c r="J3800" s="50" t="n">
        <f aca="false">H3800*INDEX('Model Inputs &amp; Assumptions'!$D$40:$D$42,MATCH('Model Inputs &amp; Assumptions'!$L$35,'Model Inputs &amp; Assumptions'!$A$40:$A$42,0))*INDEX('Model Inputs &amp; Assumptions'!$H$40:$H$42,MATCH('Model Inputs &amp; Assumptions'!$L$35,'Model Inputs &amp; Assumptions'!$A$40:$A$42,0))</f>
        <v>307955.491028419</v>
      </c>
      <c r="K3800" s="49" t="n">
        <f aca="false">H3800*INDEX('Model Inputs &amp; Assumptions'!$G$40:$G$42,MATCH('Model Inputs &amp; Assumptions'!$L$35,'Model Inputs &amp; Assumptions'!$A$40:$A$42,0))*INDEX('Model Inputs &amp; Assumptions'!$H$40:$H$42,MATCH('Model Inputs &amp; Assumptions'!$L$35,'Model Inputs &amp; Assumptions'!$A$40:$A$42,0))</f>
        <v>6928.99854813943</v>
      </c>
      <c r="L3800" s="51" t="n">
        <f aca="false">IFERROR(K3800/I3800,0)</f>
        <v>0.798934432725237</v>
      </c>
      <c r="M3800" s="49" t="n">
        <f aca="false">IFERROR(I3800/H3800,0)</f>
        <v>239.381346160822</v>
      </c>
      <c r="N3800" s="52" t="str">
        <f aca="false">'Model Inputs &amp; Assumptions'!$L$35</f>
        <v>PRD-EUAI</v>
      </c>
      <c r="P3800" s="53" t="n">
        <v>-0.423649</v>
      </c>
      <c r="Q3800" s="53" t="n">
        <v>1.807521</v>
      </c>
      <c r="R3800" s="53" t="n">
        <v>0.259345</v>
      </c>
      <c r="S3800" s="53" t="n">
        <v>-0.268001</v>
      </c>
    </row>
    <row r="3801" customFormat="false" ht="15" hidden="false" customHeight="false" outlineLevel="0" collapsed="false">
      <c r="A3801" s="43" t="n">
        <v>298</v>
      </c>
      <c r="B3801" s="44" t="str">
        <f aca="false">'Model Inputs &amp; Assumptions'!$B$35</f>
        <v>justETF — Sponsored Listing</v>
      </c>
      <c r="C3801" s="45" t="n">
        <f aca="false">ROUND(MAX(0,'Model Inputs &amp; Assumptions'!$S$35*EXP('Model Inputs &amp; Assumptions'!$T$35*P3801-'Model Inputs &amp; Assumptions'!$T$35^2/2)),0)</f>
        <v>74170</v>
      </c>
      <c r="D3801" s="46" t="n">
        <f aca="false">MIN(1,'Model Inputs &amp; Assumptions'!$U$35*EXP('Model Inputs &amp; Assumptions'!$V$35*Q3801-'Model Inputs &amp; Assumptions'!$V$35^2/2))</f>
        <v>0</v>
      </c>
      <c r="E3801" s="45" t="n">
        <f aca="false">ROUND(C3801*D3801,0)</f>
        <v>0</v>
      </c>
      <c r="F3801" s="47" t="n">
        <f aca="false">MIN(1,'Model Inputs &amp; Assumptions'!$W$35*EXP('Model Inputs &amp; Assumptions'!$X$35*R3801-'Model Inputs &amp; Assumptions'!$X$35^2/2))</f>
        <v>0.00738832850777808</v>
      </c>
      <c r="G3801" s="45" t="n">
        <f aca="false">ROUND(C3801*F3801,0)</f>
        <v>548</v>
      </c>
      <c r="H3801" s="48" t="n">
        <f aca="false">MAX(0,(C3801*'Model Inputs &amp; Assumptions'!$N$35+E3801*'Model Inputs &amp; Assumptions'!$O$35+G3801*'Model Inputs &amp; Assumptions'!$P$35)*EXP('Model Inputs &amp; Assumptions'!$Q$35*S3801-'Model Inputs &amp; Assumptions'!$Q$35^2/2))</f>
        <v>50.1708564854228</v>
      </c>
      <c r="I3801" s="49" t="n">
        <f aca="false">IF('Model Inputs &amp; Assumptions'!$H$35="Fixed",'Model Inputs &amp; Assumptions'!$I$35*'Model Inputs &amp; Assumptions'!$K$35,IF('Model Inputs &amp; Assumptions'!$H$35="CPM",'Model Inputs &amp; Assumptions'!$I$35*'Model Inputs &amp; Assumptions'!$K$35*C3801/1000,IF('Model Inputs &amp; Assumptions'!$H$35="CPC",'Model Inputs &amp; Assumptions'!$I$35*'Model Inputs &amp; Assumptions'!$K$35*G3801,0)))</f>
        <v>8672.8</v>
      </c>
      <c r="J3801" s="50" t="n">
        <f aca="false">H3801*INDEX('Model Inputs &amp; Assumptions'!$D$40:$D$42,MATCH('Model Inputs &amp; Assumptions'!$L$35,'Model Inputs &amp; Assumptions'!$A$40:$A$42,0))*INDEX('Model Inputs &amp; Assumptions'!$H$40:$H$42,MATCH('Model Inputs &amp; Assumptions'!$L$35,'Model Inputs &amp; Assumptions'!$A$40:$A$42,0))</f>
        <v>426452.280126094</v>
      </c>
      <c r="K3801" s="49" t="n">
        <f aca="false">H3801*INDEX('Model Inputs &amp; Assumptions'!$G$40:$G$42,MATCH('Model Inputs &amp; Assumptions'!$L$35,'Model Inputs &amp; Assumptions'!$A$40:$A$42,0))*INDEX('Model Inputs &amp; Assumptions'!$H$40:$H$42,MATCH('Model Inputs &amp; Assumptions'!$L$35,'Model Inputs &amp; Assumptions'!$A$40:$A$42,0))</f>
        <v>9595.17630283711</v>
      </c>
      <c r="L3801" s="51" t="n">
        <f aca="false">IFERROR(K3801/I3801,0)</f>
        <v>1.10635276990558</v>
      </c>
      <c r="M3801" s="49" t="n">
        <f aca="false">IFERROR(I3801/H3801,0)</f>
        <v>172.865296858544</v>
      </c>
      <c r="N3801" s="52" t="str">
        <f aca="false">'Model Inputs &amp; Assumptions'!$L$35</f>
        <v>PRD-EUAI</v>
      </c>
      <c r="P3801" s="53" t="n">
        <v>-1.170073</v>
      </c>
      <c r="Q3801" s="53" t="n">
        <v>3.028331</v>
      </c>
      <c r="R3801" s="53" t="n">
        <v>0.58897</v>
      </c>
      <c r="S3801" s="53" t="n">
        <v>1.162381</v>
      </c>
    </row>
    <row r="3802" customFormat="false" ht="15" hidden="false" customHeight="false" outlineLevel="0" collapsed="false">
      <c r="A3802" s="43" t="n">
        <v>299</v>
      </c>
      <c r="B3802" s="44" t="str">
        <f aca="false">'Model Inputs &amp; Assumptions'!$B$35</f>
        <v>justETF — Sponsored Listing</v>
      </c>
      <c r="C3802" s="45" t="n">
        <f aca="false">ROUND(MAX(0,'Model Inputs &amp; Assumptions'!$S$35*EXP('Model Inputs &amp; Assumptions'!$T$35*P3802-'Model Inputs &amp; Assumptions'!$T$35^2/2)),0)</f>
        <v>98961</v>
      </c>
      <c r="D3802" s="46" t="n">
        <f aca="false">MIN(1,'Model Inputs &amp; Assumptions'!$U$35*EXP('Model Inputs &amp; Assumptions'!$V$35*Q3802-'Model Inputs &amp; Assumptions'!$V$35^2/2))</f>
        <v>0</v>
      </c>
      <c r="E3802" s="45" t="n">
        <f aca="false">ROUND(C3802*D3802,0)</f>
        <v>0</v>
      </c>
      <c r="F3802" s="47" t="n">
        <f aca="false">MIN(1,'Model Inputs &amp; Assumptions'!$W$35*EXP('Model Inputs &amp; Assumptions'!$X$35*R3802-'Model Inputs &amp; Assumptions'!$X$35^2/2))</f>
        <v>0.00551667280805489</v>
      </c>
      <c r="G3802" s="45" t="n">
        <f aca="false">ROUND(C3802*F3802,0)</f>
        <v>546</v>
      </c>
      <c r="H3802" s="48" t="n">
        <f aca="false">MAX(0,(C3802*'Model Inputs &amp; Assumptions'!$N$35+E3802*'Model Inputs &amp; Assumptions'!$O$35+G3802*'Model Inputs &amp; Assumptions'!$P$35)*EXP('Model Inputs &amp; Assumptions'!$Q$35*S3802-'Model Inputs &amp; Assumptions'!$Q$35^2/2))</f>
        <v>32.6939550125348</v>
      </c>
      <c r="I3802" s="49" t="n">
        <f aca="false">IF('Model Inputs &amp; Assumptions'!$H$35="Fixed",'Model Inputs &amp; Assumptions'!$I$35*'Model Inputs &amp; Assumptions'!$K$35,IF('Model Inputs &amp; Assumptions'!$H$35="CPM",'Model Inputs &amp; Assumptions'!$I$35*'Model Inputs &amp; Assumptions'!$K$35*C3802/1000,IF('Model Inputs &amp; Assumptions'!$H$35="CPC",'Model Inputs &amp; Assumptions'!$I$35*'Model Inputs &amp; Assumptions'!$K$35*G3802,0)))</f>
        <v>8672.8</v>
      </c>
      <c r="J3802" s="50" t="n">
        <f aca="false">H3802*INDEX('Model Inputs &amp; Assumptions'!$D$40:$D$42,MATCH('Model Inputs &amp; Assumptions'!$L$35,'Model Inputs &amp; Assumptions'!$A$40:$A$42,0))*INDEX('Model Inputs &amp; Assumptions'!$H$40:$H$42,MATCH('Model Inputs &amp; Assumptions'!$L$35,'Model Inputs &amp; Assumptions'!$A$40:$A$42,0))</f>
        <v>277898.617606546</v>
      </c>
      <c r="K3802" s="49" t="n">
        <f aca="false">H3802*INDEX('Model Inputs &amp; Assumptions'!$G$40:$G$42,MATCH('Model Inputs &amp; Assumptions'!$L$35,'Model Inputs &amp; Assumptions'!$A$40:$A$42,0))*INDEX('Model Inputs &amp; Assumptions'!$H$40:$H$42,MATCH('Model Inputs &amp; Assumptions'!$L$35,'Model Inputs &amp; Assumptions'!$A$40:$A$42,0))</f>
        <v>6252.71889614728</v>
      </c>
      <c r="L3802" s="51" t="n">
        <f aca="false">IFERROR(K3802/I3802,0)</f>
        <v>0.72095734897003</v>
      </c>
      <c r="M3802" s="49" t="n">
        <f aca="false">IFERROR(I3802/H3802,0)</f>
        <v>265.272280355034</v>
      </c>
      <c r="N3802" s="52" t="str">
        <f aca="false">'Model Inputs &amp; Assumptions'!$L$35</f>
        <v>PRD-EUAI</v>
      </c>
      <c r="P3802" s="53" t="n">
        <v>0.752369</v>
      </c>
      <c r="Q3802" s="53" t="n">
        <v>-0.793631</v>
      </c>
      <c r="R3802" s="53" t="n">
        <v>-0.871663</v>
      </c>
      <c r="S3802" s="53" t="n">
        <v>-0.470649</v>
      </c>
    </row>
    <row r="3803" customFormat="false" ht="15" hidden="false" customHeight="false" outlineLevel="0" collapsed="false">
      <c r="A3803" s="43" t="n">
        <v>300</v>
      </c>
      <c r="B3803" s="44" t="str">
        <f aca="false">'Model Inputs &amp; Assumptions'!$B$35</f>
        <v>justETF — Sponsored Listing</v>
      </c>
      <c r="C3803" s="45" t="n">
        <f aca="false">ROUND(MAX(0,'Model Inputs &amp; Assumptions'!$S$35*EXP('Model Inputs &amp; Assumptions'!$T$35*P3803-'Model Inputs &amp; Assumptions'!$T$35^2/2)),0)</f>
        <v>104938</v>
      </c>
      <c r="D3803" s="46" t="n">
        <f aca="false">MIN(1,'Model Inputs &amp; Assumptions'!$U$35*EXP('Model Inputs &amp; Assumptions'!$V$35*Q3803-'Model Inputs &amp; Assumptions'!$V$35^2/2))</f>
        <v>0</v>
      </c>
      <c r="E3803" s="45" t="n">
        <f aca="false">ROUND(C3803*D3803,0)</f>
        <v>0</v>
      </c>
      <c r="F3803" s="47" t="n">
        <f aca="false">MIN(1,'Model Inputs &amp; Assumptions'!$W$35*EXP('Model Inputs &amp; Assumptions'!$X$35*R3803-'Model Inputs &amp; Assumptions'!$X$35^2/2))</f>
        <v>0.00510474105432098</v>
      </c>
      <c r="G3803" s="45" t="n">
        <f aca="false">ROUND(C3803*F3803,0)</f>
        <v>536</v>
      </c>
      <c r="H3803" s="48" t="n">
        <f aca="false">MAX(0,(C3803*'Model Inputs &amp; Assumptions'!$N$35+E3803*'Model Inputs &amp; Assumptions'!$O$35+G3803*'Model Inputs &amp; Assumptions'!$P$35)*EXP('Model Inputs &amp; Assumptions'!$Q$35*S3803-'Model Inputs &amp; Assumptions'!$Q$35^2/2))</f>
        <v>36.2106749737436</v>
      </c>
      <c r="I3803" s="49" t="n">
        <f aca="false">IF('Model Inputs &amp; Assumptions'!$H$35="Fixed",'Model Inputs &amp; Assumptions'!$I$35*'Model Inputs &amp; Assumptions'!$K$35,IF('Model Inputs &amp; Assumptions'!$H$35="CPM",'Model Inputs &amp; Assumptions'!$I$35*'Model Inputs &amp; Assumptions'!$K$35*C3803/1000,IF('Model Inputs &amp; Assumptions'!$H$35="CPC",'Model Inputs &amp; Assumptions'!$I$35*'Model Inputs &amp; Assumptions'!$K$35*G3803,0)))</f>
        <v>8672.8</v>
      </c>
      <c r="J3803" s="50" t="n">
        <f aca="false">H3803*INDEX('Model Inputs &amp; Assumptions'!$D$40:$D$42,MATCH('Model Inputs &amp; Assumptions'!$L$35,'Model Inputs &amp; Assumptions'!$A$40:$A$42,0))*INDEX('Model Inputs &amp; Assumptions'!$H$40:$H$42,MATCH('Model Inputs &amp; Assumptions'!$L$35,'Model Inputs &amp; Assumptions'!$A$40:$A$42,0))</f>
        <v>307790.737276821</v>
      </c>
      <c r="K3803" s="49" t="n">
        <f aca="false">H3803*INDEX('Model Inputs &amp; Assumptions'!$G$40:$G$42,MATCH('Model Inputs &amp; Assumptions'!$L$35,'Model Inputs &amp; Assumptions'!$A$40:$A$42,0))*INDEX('Model Inputs &amp; Assumptions'!$H$40:$H$42,MATCH('Model Inputs &amp; Assumptions'!$L$35,'Model Inputs &amp; Assumptions'!$A$40:$A$42,0))</f>
        <v>6925.29158872847</v>
      </c>
      <c r="L3803" s="51" t="n">
        <f aca="false">IFERROR(K3803/I3803,0)</f>
        <v>0.798507009123751</v>
      </c>
      <c r="M3803" s="49" t="n">
        <f aca="false">IFERROR(I3803/H3803,0)</f>
        <v>239.509481838951</v>
      </c>
      <c r="N3803" s="52" t="str">
        <f aca="false">'Model Inputs &amp; Assumptions'!$L$35</f>
        <v>PRD-EUAI</v>
      </c>
      <c r="P3803" s="53" t="n">
        <v>1.1433</v>
      </c>
      <c r="Q3803" s="53" t="n">
        <v>0.672373</v>
      </c>
      <c r="R3803" s="53" t="n">
        <v>-1.259689</v>
      </c>
      <c r="S3803" s="53" t="n">
        <v>-0.006616</v>
      </c>
    </row>
    <row r="3804" customFormat="false" ht="15" hidden="false" customHeight="false" outlineLevel="0" collapsed="false">
      <c r="A3804" s="43" t="n">
        <v>301</v>
      </c>
      <c r="B3804" s="44" t="str">
        <f aca="false">'Model Inputs &amp; Assumptions'!$B$35</f>
        <v>justETF — Sponsored Listing</v>
      </c>
      <c r="C3804" s="45" t="n">
        <f aca="false">ROUND(MAX(0,'Model Inputs &amp; Assumptions'!$S$35*EXP('Model Inputs &amp; Assumptions'!$T$35*P3804-'Model Inputs &amp; Assumptions'!$T$35^2/2)),0)</f>
        <v>85623</v>
      </c>
      <c r="D3804" s="46" t="n">
        <f aca="false">MIN(1,'Model Inputs &amp; Assumptions'!$U$35*EXP('Model Inputs &amp; Assumptions'!$V$35*Q3804-'Model Inputs &amp; Assumptions'!$V$35^2/2))</f>
        <v>0</v>
      </c>
      <c r="E3804" s="45" t="n">
        <f aca="false">ROUND(C3804*D3804,0)</f>
        <v>0</v>
      </c>
      <c r="F3804" s="47" t="n">
        <f aca="false">MIN(1,'Model Inputs &amp; Assumptions'!$W$35*EXP('Model Inputs &amp; Assumptions'!$X$35*R3804-'Model Inputs &amp; Assumptions'!$X$35^2/2))</f>
        <v>0.0049285268321753</v>
      </c>
      <c r="G3804" s="45" t="n">
        <f aca="false">ROUND(C3804*F3804,0)</f>
        <v>422</v>
      </c>
      <c r="H3804" s="48" t="n">
        <f aca="false">MAX(0,(C3804*'Model Inputs &amp; Assumptions'!$N$35+E3804*'Model Inputs &amp; Assumptions'!$O$35+G3804*'Model Inputs &amp; Assumptions'!$P$35)*EXP('Model Inputs &amp; Assumptions'!$Q$35*S3804-'Model Inputs &amp; Assumptions'!$Q$35^2/2))</f>
        <v>28.8931249872392</v>
      </c>
      <c r="I3804" s="49" t="n">
        <f aca="false">IF('Model Inputs &amp; Assumptions'!$H$35="Fixed",'Model Inputs &amp; Assumptions'!$I$35*'Model Inputs &amp; Assumptions'!$K$35,IF('Model Inputs &amp; Assumptions'!$H$35="CPM",'Model Inputs &amp; Assumptions'!$I$35*'Model Inputs &amp; Assumptions'!$K$35*C3804/1000,IF('Model Inputs &amp; Assumptions'!$H$35="CPC",'Model Inputs &amp; Assumptions'!$I$35*'Model Inputs &amp; Assumptions'!$K$35*G3804,0)))</f>
        <v>8672.8</v>
      </c>
      <c r="J3804" s="50" t="n">
        <f aca="false">H3804*INDEX('Model Inputs &amp; Assumptions'!$D$40:$D$42,MATCH('Model Inputs &amp; Assumptions'!$L$35,'Model Inputs &amp; Assumptions'!$A$40:$A$42,0))*INDEX('Model Inputs &amp; Assumptions'!$H$40:$H$42,MATCH('Model Inputs &amp; Assumptions'!$L$35,'Model Inputs &amp; Assumptions'!$A$40:$A$42,0))</f>
        <v>245591.562391533</v>
      </c>
      <c r="K3804" s="49" t="n">
        <f aca="false">H3804*INDEX('Model Inputs &amp; Assumptions'!$G$40:$G$42,MATCH('Model Inputs &amp; Assumptions'!$L$35,'Model Inputs &amp; Assumptions'!$A$40:$A$42,0))*INDEX('Model Inputs &amp; Assumptions'!$H$40:$H$42,MATCH('Model Inputs &amp; Assumptions'!$L$35,'Model Inputs &amp; Assumptions'!$A$40:$A$42,0))</f>
        <v>5525.8101538095</v>
      </c>
      <c r="L3804" s="51" t="n">
        <f aca="false">IFERROR(K3804/I3804,0)</f>
        <v>0.637142578384086</v>
      </c>
      <c r="M3804" s="49" t="n">
        <f aca="false">IFERROR(I3804/H3804,0)</f>
        <v>300.168292762738</v>
      </c>
      <c r="N3804" s="52" t="str">
        <f aca="false">'Model Inputs &amp; Assumptions'!$L$35</f>
        <v>PRD-EUAI</v>
      </c>
      <c r="P3804" s="53" t="n">
        <v>-0.212752</v>
      </c>
      <c r="Q3804" s="53" t="n">
        <v>-1.340435</v>
      </c>
      <c r="R3804" s="53" t="n">
        <v>-1.435337</v>
      </c>
      <c r="S3804" s="53" t="n">
        <v>0.04484</v>
      </c>
    </row>
    <row r="3805" customFormat="false" ht="15" hidden="false" customHeight="false" outlineLevel="0" collapsed="false">
      <c r="A3805" s="43" t="n">
        <v>302</v>
      </c>
      <c r="B3805" s="44" t="str">
        <f aca="false">'Model Inputs &amp; Assumptions'!$B$35</f>
        <v>justETF — Sponsored Listing</v>
      </c>
      <c r="C3805" s="45" t="n">
        <f aca="false">ROUND(MAX(0,'Model Inputs &amp; Assumptions'!$S$35*EXP('Model Inputs &amp; Assumptions'!$T$35*P3805-'Model Inputs &amp; Assumptions'!$T$35^2/2)),0)</f>
        <v>85763</v>
      </c>
      <c r="D3805" s="46" t="n">
        <f aca="false">MIN(1,'Model Inputs &amp; Assumptions'!$U$35*EXP('Model Inputs &amp; Assumptions'!$V$35*Q3805-'Model Inputs &amp; Assumptions'!$V$35^2/2))</f>
        <v>0</v>
      </c>
      <c r="E3805" s="45" t="n">
        <f aca="false">ROUND(C3805*D3805,0)</f>
        <v>0</v>
      </c>
      <c r="F3805" s="47" t="n">
        <f aca="false">MIN(1,'Model Inputs &amp; Assumptions'!$W$35*EXP('Model Inputs &amp; Assumptions'!$X$35*R3805-'Model Inputs &amp; Assumptions'!$X$35^2/2))</f>
        <v>0.00643582170767862</v>
      </c>
      <c r="G3805" s="45" t="n">
        <f aca="false">ROUND(C3805*F3805,0)</f>
        <v>552</v>
      </c>
      <c r="H3805" s="48" t="n">
        <f aca="false">MAX(0,(C3805*'Model Inputs &amp; Assumptions'!$N$35+E3805*'Model Inputs &amp; Assumptions'!$O$35+G3805*'Model Inputs &amp; Assumptions'!$P$35)*EXP('Model Inputs &amp; Assumptions'!$Q$35*S3805-'Model Inputs &amp; Assumptions'!$Q$35^2/2))</f>
        <v>44.8818368920589</v>
      </c>
      <c r="I3805" s="49" t="n">
        <f aca="false">IF('Model Inputs &amp; Assumptions'!$H$35="Fixed",'Model Inputs &amp; Assumptions'!$I$35*'Model Inputs &amp; Assumptions'!$K$35,IF('Model Inputs &amp; Assumptions'!$H$35="CPM",'Model Inputs &amp; Assumptions'!$I$35*'Model Inputs &amp; Assumptions'!$K$35*C3805/1000,IF('Model Inputs &amp; Assumptions'!$H$35="CPC",'Model Inputs &amp; Assumptions'!$I$35*'Model Inputs &amp; Assumptions'!$K$35*G3805,0)))</f>
        <v>8672.8</v>
      </c>
      <c r="J3805" s="50" t="n">
        <f aca="false">H3805*INDEX('Model Inputs &amp; Assumptions'!$D$40:$D$42,MATCH('Model Inputs &amp; Assumptions'!$L$35,'Model Inputs &amp; Assumptions'!$A$40:$A$42,0))*INDEX('Model Inputs &amp; Assumptions'!$H$40:$H$42,MATCH('Model Inputs &amp; Assumptions'!$L$35,'Model Inputs &amp; Assumptions'!$A$40:$A$42,0))</f>
        <v>381495.6135825</v>
      </c>
      <c r="K3805" s="49" t="n">
        <f aca="false">H3805*INDEX('Model Inputs &amp; Assumptions'!$G$40:$G$42,MATCH('Model Inputs &amp; Assumptions'!$L$35,'Model Inputs &amp; Assumptions'!$A$40:$A$42,0))*INDEX('Model Inputs &amp; Assumptions'!$H$40:$H$42,MATCH('Model Inputs &amp; Assumptions'!$L$35,'Model Inputs &amp; Assumptions'!$A$40:$A$42,0))</f>
        <v>8583.65130560626</v>
      </c>
      <c r="L3805" s="51" t="n">
        <f aca="false">IFERROR(K3805/I3805,0)</f>
        <v>0.989720886634796</v>
      </c>
      <c r="M3805" s="49" t="n">
        <f aca="false">IFERROR(I3805/H3805,0)</f>
        <v>193.236297811476</v>
      </c>
      <c r="N3805" s="52" t="str">
        <f aca="false">'Model Inputs &amp; Assumptions'!$L$35</f>
        <v>PRD-EUAI</v>
      </c>
      <c r="P3805" s="53" t="n">
        <v>-0.201881</v>
      </c>
      <c r="Q3805" s="53" t="n">
        <v>-1.910281</v>
      </c>
      <c r="R3805" s="53" t="n">
        <v>-0.10114</v>
      </c>
      <c r="S3805" s="53" t="n">
        <v>0.705943</v>
      </c>
    </row>
    <row r="3806" customFormat="false" ht="15" hidden="false" customHeight="false" outlineLevel="0" collapsed="false">
      <c r="A3806" s="43" t="n">
        <v>303</v>
      </c>
      <c r="B3806" s="44" t="str">
        <f aca="false">'Model Inputs &amp; Assumptions'!$B$35</f>
        <v>justETF — Sponsored Listing</v>
      </c>
      <c r="C3806" s="45" t="n">
        <f aca="false">ROUND(MAX(0,'Model Inputs &amp; Assumptions'!$S$35*EXP('Model Inputs &amp; Assumptions'!$T$35*P3806-'Model Inputs &amp; Assumptions'!$T$35^2/2)),0)</f>
        <v>87313</v>
      </c>
      <c r="D3806" s="46" t="n">
        <f aca="false">MIN(1,'Model Inputs &amp; Assumptions'!$U$35*EXP('Model Inputs &amp; Assumptions'!$V$35*Q3806-'Model Inputs &amp; Assumptions'!$V$35^2/2))</f>
        <v>0</v>
      </c>
      <c r="E3806" s="45" t="n">
        <f aca="false">ROUND(C3806*D3806,0)</f>
        <v>0</v>
      </c>
      <c r="F3806" s="47" t="n">
        <f aca="false">MIN(1,'Model Inputs &amp; Assumptions'!$W$35*EXP('Model Inputs &amp; Assumptions'!$X$35*R3806-'Model Inputs &amp; Assumptions'!$X$35^2/2))</f>
        <v>0.00506238403952218</v>
      </c>
      <c r="G3806" s="45" t="n">
        <f aca="false">ROUND(C3806*F3806,0)</f>
        <v>442</v>
      </c>
      <c r="H3806" s="48" t="n">
        <f aca="false">MAX(0,(C3806*'Model Inputs &amp; Assumptions'!$N$35+E3806*'Model Inputs &amp; Assumptions'!$O$35+G3806*'Model Inputs &amp; Assumptions'!$P$35)*EXP('Model Inputs &amp; Assumptions'!$Q$35*S3806-'Model Inputs &amp; Assumptions'!$Q$35^2/2))</f>
        <v>35.3444269039214</v>
      </c>
      <c r="I3806" s="49" t="n">
        <f aca="false">IF('Model Inputs &amp; Assumptions'!$H$35="Fixed",'Model Inputs &amp; Assumptions'!$I$35*'Model Inputs &amp; Assumptions'!$K$35,IF('Model Inputs &amp; Assumptions'!$H$35="CPM",'Model Inputs &amp; Assumptions'!$I$35*'Model Inputs &amp; Assumptions'!$K$35*C3806/1000,IF('Model Inputs &amp; Assumptions'!$H$35="CPC",'Model Inputs &amp; Assumptions'!$I$35*'Model Inputs &amp; Assumptions'!$K$35*G3806,0)))</f>
        <v>8672.8</v>
      </c>
      <c r="J3806" s="50" t="n">
        <f aca="false">H3806*INDEX('Model Inputs &amp; Assumptions'!$D$40:$D$42,MATCH('Model Inputs &amp; Assumptions'!$L$35,'Model Inputs &amp; Assumptions'!$A$40:$A$42,0))*INDEX('Model Inputs &amp; Assumptions'!$H$40:$H$42,MATCH('Model Inputs &amp; Assumptions'!$L$35,'Model Inputs &amp; Assumptions'!$A$40:$A$42,0))</f>
        <v>300427.628683332</v>
      </c>
      <c r="K3806" s="49" t="n">
        <f aca="false">H3806*INDEX('Model Inputs &amp; Assumptions'!$G$40:$G$42,MATCH('Model Inputs &amp; Assumptions'!$L$35,'Model Inputs &amp; Assumptions'!$A$40:$A$42,0))*INDEX('Model Inputs &amp; Assumptions'!$H$40:$H$42,MATCH('Model Inputs &amp; Assumptions'!$L$35,'Model Inputs &amp; Assumptions'!$A$40:$A$42,0))</f>
        <v>6759.62164537497</v>
      </c>
      <c r="L3806" s="51" t="n">
        <f aca="false">IFERROR(K3806/I3806,0)</f>
        <v>0.779404764940385</v>
      </c>
      <c r="M3806" s="49" t="n">
        <f aca="false">IFERROR(I3806/H3806,0)</f>
        <v>245.379562202995</v>
      </c>
      <c r="N3806" s="52" t="str">
        <f aca="false">'Model Inputs &amp; Assumptions'!$L$35</f>
        <v>PRD-EUAI</v>
      </c>
      <c r="P3806" s="53" t="n">
        <v>-0.082488</v>
      </c>
      <c r="Q3806" s="53" t="n">
        <v>0.781559</v>
      </c>
      <c r="R3806" s="53" t="n">
        <v>-1.30135</v>
      </c>
      <c r="S3806" s="53" t="n">
        <v>0.641888</v>
      </c>
    </row>
    <row r="3807" customFormat="false" ht="15" hidden="false" customHeight="false" outlineLevel="0" collapsed="false">
      <c r="A3807" s="43" t="n">
        <v>304</v>
      </c>
      <c r="B3807" s="44" t="str">
        <f aca="false">'Model Inputs &amp; Assumptions'!$B$35</f>
        <v>justETF — Sponsored Listing</v>
      </c>
      <c r="C3807" s="45" t="n">
        <f aca="false">ROUND(MAX(0,'Model Inputs &amp; Assumptions'!$S$35*EXP('Model Inputs &amp; Assumptions'!$T$35*P3807-'Model Inputs &amp; Assumptions'!$T$35^2/2)),0)</f>
        <v>91632</v>
      </c>
      <c r="D3807" s="46" t="n">
        <f aca="false">MIN(1,'Model Inputs &amp; Assumptions'!$U$35*EXP('Model Inputs &amp; Assumptions'!$V$35*Q3807-'Model Inputs &amp; Assumptions'!$V$35^2/2))</f>
        <v>0</v>
      </c>
      <c r="E3807" s="45" t="n">
        <f aca="false">ROUND(C3807*D3807,0)</f>
        <v>0</v>
      </c>
      <c r="F3807" s="47" t="n">
        <f aca="false">MIN(1,'Model Inputs &amp; Assumptions'!$W$35*EXP('Model Inputs &amp; Assumptions'!$X$35*R3807-'Model Inputs &amp; Assumptions'!$X$35^2/2))</f>
        <v>0.00743577734374807</v>
      </c>
      <c r="G3807" s="45" t="n">
        <f aca="false">ROUND(C3807*F3807,0)</f>
        <v>681</v>
      </c>
      <c r="H3807" s="48" t="n">
        <f aca="false">MAX(0,(C3807*'Model Inputs &amp; Assumptions'!$N$35+E3807*'Model Inputs &amp; Assumptions'!$O$35+G3807*'Model Inputs &amp; Assumptions'!$P$35)*EXP('Model Inputs &amp; Assumptions'!$Q$35*S3807-'Model Inputs &amp; Assumptions'!$Q$35^2/2))</f>
        <v>51.2868451370922</v>
      </c>
      <c r="I3807" s="49" t="n">
        <f aca="false">IF('Model Inputs &amp; Assumptions'!$H$35="Fixed",'Model Inputs &amp; Assumptions'!$I$35*'Model Inputs &amp; Assumptions'!$K$35,IF('Model Inputs &amp; Assumptions'!$H$35="CPM",'Model Inputs &amp; Assumptions'!$I$35*'Model Inputs &amp; Assumptions'!$K$35*C3807/1000,IF('Model Inputs &amp; Assumptions'!$H$35="CPC",'Model Inputs &amp; Assumptions'!$I$35*'Model Inputs &amp; Assumptions'!$K$35*G3807,0)))</f>
        <v>8672.8</v>
      </c>
      <c r="J3807" s="50" t="n">
        <f aca="false">H3807*INDEX('Model Inputs &amp; Assumptions'!$D$40:$D$42,MATCH('Model Inputs &amp; Assumptions'!$L$35,'Model Inputs &amp; Assumptions'!$A$40:$A$42,0))*INDEX('Model Inputs &amp; Assumptions'!$H$40:$H$42,MATCH('Model Inputs &amp; Assumptions'!$L$35,'Model Inputs &amp; Assumptions'!$A$40:$A$42,0))</f>
        <v>435938.183665284</v>
      </c>
      <c r="K3807" s="49" t="n">
        <f aca="false">H3807*INDEX('Model Inputs &amp; Assumptions'!$G$40:$G$42,MATCH('Model Inputs &amp; Assumptions'!$L$35,'Model Inputs &amp; Assumptions'!$A$40:$A$42,0))*INDEX('Model Inputs &amp; Assumptions'!$H$40:$H$42,MATCH('Model Inputs &amp; Assumptions'!$L$35,'Model Inputs &amp; Assumptions'!$A$40:$A$42,0))</f>
        <v>9808.60913246888</v>
      </c>
      <c r="L3807" s="51" t="n">
        <f aca="false">IFERROR(K3807/I3807,0)</f>
        <v>1.13096221894531</v>
      </c>
      <c r="M3807" s="49" t="n">
        <f aca="false">IFERROR(I3807/H3807,0)</f>
        <v>169.103792148205</v>
      </c>
      <c r="N3807" s="52" t="str">
        <f aca="false">'Model Inputs &amp; Assumptions'!$L$35</f>
        <v>PRD-EUAI</v>
      </c>
      <c r="P3807" s="53" t="n">
        <v>0.239401</v>
      </c>
      <c r="Q3807" s="53" t="n">
        <v>-1.118021</v>
      </c>
      <c r="R3807" s="53" t="n">
        <v>0.620978</v>
      </c>
      <c r="S3807" s="53" t="n">
        <v>0.411277</v>
      </c>
    </row>
    <row r="3808" customFormat="false" ht="15" hidden="false" customHeight="false" outlineLevel="0" collapsed="false">
      <c r="A3808" s="43" t="n">
        <v>305</v>
      </c>
      <c r="B3808" s="44" t="str">
        <f aca="false">'Model Inputs &amp; Assumptions'!$B$35</f>
        <v>justETF — Sponsored Listing</v>
      </c>
      <c r="C3808" s="45" t="n">
        <f aca="false">ROUND(MAX(0,'Model Inputs &amp; Assumptions'!$S$35*EXP('Model Inputs &amp; Assumptions'!$T$35*P3808-'Model Inputs &amp; Assumptions'!$T$35^2/2)),0)</f>
        <v>105916</v>
      </c>
      <c r="D3808" s="46" t="n">
        <f aca="false">MIN(1,'Model Inputs &amp; Assumptions'!$U$35*EXP('Model Inputs &amp; Assumptions'!$V$35*Q3808-'Model Inputs &amp; Assumptions'!$V$35^2/2))</f>
        <v>0</v>
      </c>
      <c r="E3808" s="45" t="n">
        <f aca="false">ROUND(C3808*D3808,0)</f>
        <v>0</v>
      </c>
      <c r="F3808" s="47" t="n">
        <f aca="false">MIN(1,'Model Inputs &amp; Assumptions'!$W$35*EXP('Model Inputs &amp; Assumptions'!$X$35*R3808-'Model Inputs &amp; Assumptions'!$X$35^2/2))</f>
        <v>0.00637193331322154</v>
      </c>
      <c r="G3808" s="45" t="n">
        <f aca="false">ROUND(C3808*F3808,0)</f>
        <v>675</v>
      </c>
      <c r="H3808" s="48" t="n">
        <f aca="false">MAX(0,(C3808*'Model Inputs &amp; Assumptions'!$N$35+E3808*'Model Inputs &amp; Assumptions'!$O$35+G3808*'Model Inputs &amp; Assumptions'!$P$35)*EXP('Model Inputs &amp; Assumptions'!$Q$35*S3808-'Model Inputs &amp; Assumptions'!$Q$35^2/2))</f>
        <v>70.4459630203416</v>
      </c>
      <c r="I3808" s="49" t="n">
        <f aca="false">IF('Model Inputs &amp; Assumptions'!$H$35="Fixed",'Model Inputs &amp; Assumptions'!$I$35*'Model Inputs &amp; Assumptions'!$K$35,IF('Model Inputs &amp; Assumptions'!$H$35="CPM",'Model Inputs &amp; Assumptions'!$I$35*'Model Inputs &amp; Assumptions'!$K$35*C3808/1000,IF('Model Inputs &amp; Assumptions'!$H$35="CPC",'Model Inputs &amp; Assumptions'!$I$35*'Model Inputs &amp; Assumptions'!$K$35*G3808,0)))</f>
        <v>8672.8</v>
      </c>
      <c r="J3808" s="50" t="n">
        <f aca="false">H3808*INDEX('Model Inputs &amp; Assumptions'!$D$40:$D$42,MATCH('Model Inputs &amp; Assumptions'!$L$35,'Model Inputs &amp; Assumptions'!$A$40:$A$42,0))*INDEX('Model Inputs &amp; Assumptions'!$H$40:$H$42,MATCH('Model Inputs &amp; Assumptions'!$L$35,'Model Inputs &amp; Assumptions'!$A$40:$A$42,0))</f>
        <v>598790.685672904</v>
      </c>
      <c r="K3808" s="49" t="n">
        <f aca="false">H3808*INDEX('Model Inputs &amp; Assumptions'!$G$40:$G$42,MATCH('Model Inputs &amp; Assumptions'!$L$35,'Model Inputs &amp; Assumptions'!$A$40:$A$42,0))*INDEX('Model Inputs &amp; Assumptions'!$H$40:$H$42,MATCH('Model Inputs &amp; Assumptions'!$L$35,'Model Inputs &amp; Assumptions'!$A$40:$A$42,0))</f>
        <v>13472.7904276403</v>
      </c>
      <c r="L3808" s="51" t="n">
        <f aca="false">IFERROR(K3808/I3808,0)</f>
        <v>1.55345337464721</v>
      </c>
      <c r="M3808" s="49" t="n">
        <f aca="false">IFERROR(I3808/H3808,0)</f>
        <v>123.112803461792</v>
      </c>
      <c r="N3808" s="52" t="str">
        <f aca="false">'Model Inputs &amp; Assumptions'!$L$35</f>
        <v>PRD-EUAI</v>
      </c>
      <c r="P3808" s="53" t="n">
        <v>1.205182</v>
      </c>
      <c r="Q3808" s="53" t="n">
        <v>0.048181</v>
      </c>
      <c r="R3808" s="53" t="n">
        <v>-0.151023</v>
      </c>
      <c r="S3808" s="53" t="n">
        <v>1.666128</v>
      </c>
    </row>
    <row r="3809" customFormat="false" ht="15" hidden="false" customHeight="false" outlineLevel="0" collapsed="false">
      <c r="A3809" s="43" t="n">
        <v>306</v>
      </c>
      <c r="B3809" s="44" t="str">
        <f aca="false">'Model Inputs &amp; Assumptions'!$B$35</f>
        <v>justETF — Sponsored Listing</v>
      </c>
      <c r="C3809" s="45" t="n">
        <f aca="false">ROUND(MAX(0,'Model Inputs &amp; Assumptions'!$S$35*EXP('Model Inputs &amp; Assumptions'!$T$35*P3809-'Model Inputs &amp; Assumptions'!$T$35^2/2)),0)</f>
        <v>127351</v>
      </c>
      <c r="D3809" s="46" t="n">
        <f aca="false">MIN(1,'Model Inputs &amp; Assumptions'!$U$35*EXP('Model Inputs &amp; Assumptions'!$V$35*Q3809-'Model Inputs &amp; Assumptions'!$V$35^2/2))</f>
        <v>0</v>
      </c>
      <c r="E3809" s="45" t="n">
        <f aca="false">ROUND(C3809*D3809,0)</f>
        <v>0</v>
      </c>
      <c r="F3809" s="47" t="n">
        <f aca="false">MIN(1,'Model Inputs &amp; Assumptions'!$W$35*EXP('Model Inputs &amp; Assumptions'!$X$35*R3809-'Model Inputs &amp; Assumptions'!$X$35^2/2))</f>
        <v>0.00594136393912232</v>
      </c>
      <c r="G3809" s="45" t="n">
        <f aca="false">ROUND(C3809*F3809,0)</f>
        <v>757</v>
      </c>
      <c r="H3809" s="48" t="n">
        <f aca="false">MAX(0,(C3809*'Model Inputs &amp; Assumptions'!$N$35+E3809*'Model Inputs &amp; Assumptions'!$O$35+G3809*'Model Inputs &amp; Assumptions'!$P$35)*EXP('Model Inputs &amp; Assumptions'!$Q$35*S3809-'Model Inputs &amp; Assumptions'!$Q$35^2/2))</f>
        <v>46.4666010021738</v>
      </c>
      <c r="I3809" s="49" t="n">
        <f aca="false">IF('Model Inputs &amp; Assumptions'!$H$35="Fixed",'Model Inputs &amp; Assumptions'!$I$35*'Model Inputs &amp; Assumptions'!$K$35,IF('Model Inputs &amp; Assumptions'!$H$35="CPM",'Model Inputs &amp; Assumptions'!$I$35*'Model Inputs &amp; Assumptions'!$K$35*C3809/1000,IF('Model Inputs &amp; Assumptions'!$H$35="CPC",'Model Inputs &amp; Assumptions'!$I$35*'Model Inputs &amp; Assumptions'!$K$35*G3809,0)))</f>
        <v>8672.8</v>
      </c>
      <c r="J3809" s="50" t="n">
        <f aca="false">H3809*INDEX('Model Inputs &amp; Assumptions'!$D$40:$D$42,MATCH('Model Inputs &amp; Assumptions'!$L$35,'Model Inputs &amp; Assumptions'!$A$40:$A$42,0))*INDEX('Model Inputs &amp; Assumptions'!$H$40:$H$42,MATCH('Model Inputs &amp; Assumptions'!$L$35,'Model Inputs &amp; Assumptions'!$A$40:$A$42,0))</f>
        <v>394966.108518477</v>
      </c>
      <c r="K3809" s="49" t="n">
        <f aca="false">H3809*INDEX('Model Inputs &amp; Assumptions'!$G$40:$G$42,MATCH('Model Inputs &amp; Assumptions'!$L$35,'Model Inputs &amp; Assumptions'!$A$40:$A$42,0))*INDEX('Model Inputs &amp; Assumptions'!$H$40:$H$42,MATCH('Model Inputs &amp; Assumptions'!$L$35,'Model Inputs &amp; Assumptions'!$A$40:$A$42,0))</f>
        <v>8886.73744166574</v>
      </c>
      <c r="L3809" s="51" t="n">
        <f aca="false">IFERROR(K3809/I3809,0)</f>
        <v>1.02466763232932</v>
      </c>
      <c r="M3809" s="49" t="n">
        <f aca="false">IFERROR(I3809/H3809,0)</f>
        <v>186.64588786243</v>
      </c>
      <c r="N3809" s="52" t="str">
        <f aca="false">'Model Inputs &amp; Assumptions'!$L$35</f>
        <v>PRD-EUAI</v>
      </c>
      <c r="P3809" s="53" t="n">
        <v>2.433818</v>
      </c>
      <c r="Q3809" s="53" t="n">
        <v>0.143072</v>
      </c>
      <c r="R3809" s="53" t="n">
        <v>-0.500844</v>
      </c>
      <c r="S3809" s="53" t="n">
        <v>-0.375267</v>
      </c>
    </row>
    <row r="3810" customFormat="false" ht="15" hidden="false" customHeight="false" outlineLevel="0" collapsed="false">
      <c r="A3810" s="43" t="n">
        <v>307</v>
      </c>
      <c r="B3810" s="44" t="str">
        <f aca="false">'Model Inputs &amp; Assumptions'!$B$35</f>
        <v>justETF — Sponsored Listing</v>
      </c>
      <c r="C3810" s="45" t="n">
        <f aca="false">ROUND(MAX(0,'Model Inputs &amp; Assumptions'!$S$35*EXP('Model Inputs &amp; Assumptions'!$T$35*P3810-'Model Inputs &amp; Assumptions'!$T$35^2/2)),0)</f>
        <v>86892</v>
      </c>
      <c r="D3810" s="46" t="n">
        <f aca="false">MIN(1,'Model Inputs &amp; Assumptions'!$U$35*EXP('Model Inputs &amp; Assumptions'!$V$35*Q3810-'Model Inputs &amp; Assumptions'!$V$35^2/2))</f>
        <v>0</v>
      </c>
      <c r="E3810" s="45" t="n">
        <f aca="false">ROUND(C3810*D3810,0)</f>
        <v>0</v>
      </c>
      <c r="F3810" s="47" t="n">
        <f aca="false">MIN(1,'Model Inputs &amp; Assumptions'!$W$35*EXP('Model Inputs &amp; Assumptions'!$X$35*R3810-'Model Inputs &amp; Assumptions'!$X$35^2/2))</f>
        <v>0.00548490145007879</v>
      </c>
      <c r="G3810" s="45" t="n">
        <f aca="false">ROUND(C3810*F3810,0)</f>
        <v>477</v>
      </c>
      <c r="H3810" s="48" t="n">
        <f aca="false">MAX(0,(C3810*'Model Inputs &amp; Assumptions'!$N$35+E3810*'Model Inputs &amp; Assumptions'!$O$35+G3810*'Model Inputs &amp; Assumptions'!$P$35)*EXP('Model Inputs &amp; Assumptions'!$Q$35*S3810-'Model Inputs &amp; Assumptions'!$Q$35^2/2))</f>
        <v>38.5687180214409</v>
      </c>
      <c r="I3810" s="49" t="n">
        <f aca="false">IF('Model Inputs &amp; Assumptions'!$H$35="Fixed",'Model Inputs &amp; Assumptions'!$I$35*'Model Inputs &amp; Assumptions'!$K$35,IF('Model Inputs &amp; Assumptions'!$H$35="CPM",'Model Inputs &amp; Assumptions'!$I$35*'Model Inputs &amp; Assumptions'!$K$35*C3810/1000,IF('Model Inputs &amp; Assumptions'!$H$35="CPC",'Model Inputs &amp; Assumptions'!$I$35*'Model Inputs &amp; Assumptions'!$K$35*G3810,0)))</f>
        <v>8672.8</v>
      </c>
      <c r="J3810" s="50" t="n">
        <f aca="false">H3810*INDEX('Model Inputs &amp; Assumptions'!$D$40:$D$42,MATCH('Model Inputs &amp; Assumptions'!$L$35,'Model Inputs &amp; Assumptions'!$A$40:$A$42,0))*INDEX('Model Inputs &amp; Assumptions'!$H$40:$H$42,MATCH('Model Inputs &amp; Assumptions'!$L$35,'Model Inputs &amp; Assumptions'!$A$40:$A$42,0))</f>
        <v>327834.103182248</v>
      </c>
      <c r="K3810" s="49" t="n">
        <f aca="false">H3810*INDEX('Model Inputs &amp; Assumptions'!$G$40:$G$42,MATCH('Model Inputs &amp; Assumptions'!$L$35,'Model Inputs &amp; Assumptions'!$A$40:$A$42,0))*INDEX('Model Inputs &amp; Assumptions'!$H$40:$H$42,MATCH('Model Inputs &amp; Assumptions'!$L$35,'Model Inputs &amp; Assumptions'!$A$40:$A$42,0))</f>
        <v>7376.26732160057</v>
      </c>
      <c r="L3810" s="51" t="n">
        <f aca="false">IFERROR(K3810/I3810,0)</f>
        <v>0.850505871414142</v>
      </c>
      <c r="M3810" s="49" t="n">
        <f aca="false">IFERROR(I3810/H3810,0)</f>
        <v>224.866172507436</v>
      </c>
      <c r="N3810" s="52" t="str">
        <f aca="false">'Model Inputs &amp; Assumptions'!$L$35</f>
        <v>PRD-EUAI</v>
      </c>
      <c r="P3810" s="53" t="n">
        <v>-0.114676</v>
      </c>
      <c r="Q3810" s="53" t="n">
        <v>-0.203344</v>
      </c>
      <c r="R3810" s="53" t="n">
        <v>-0.900542</v>
      </c>
      <c r="S3810" s="53" t="n">
        <v>0.684558</v>
      </c>
    </row>
    <row r="3811" customFormat="false" ht="15" hidden="false" customHeight="false" outlineLevel="0" collapsed="false">
      <c r="A3811" s="43" t="n">
        <v>308</v>
      </c>
      <c r="B3811" s="44" t="str">
        <f aca="false">'Model Inputs &amp; Assumptions'!$B$35</f>
        <v>justETF — Sponsored Listing</v>
      </c>
      <c r="C3811" s="45" t="n">
        <f aca="false">ROUND(MAX(0,'Model Inputs &amp; Assumptions'!$S$35*EXP('Model Inputs &amp; Assumptions'!$T$35*P3811-'Model Inputs &amp; Assumptions'!$T$35^2/2)),0)</f>
        <v>102276</v>
      </c>
      <c r="D3811" s="46" t="n">
        <f aca="false">MIN(1,'Model Inputs &amp; Assumptions'!$U$35*EXP('Model Inputs &amp; Assumptions'!$V$35*Q3811-'Model Inputs &amp; Assumptions'!$V$35^2/2))</f>
        <v>0</v>
      </c>
      <c r="E3811" s="45" t="n">
        <f aca="false">ROUND(C3811*D3811,0)</f>
        <v>0</v>
      </c>
      <c r="F3811" s="47" t="n">
        <f aca="false">MIN(1,'Model Inputs &amp; Assumptions'!$W$35*EXP('Model Inputs &amp; Assumptions'!$X$35*R3811-'Model Inputs &amp; Assumptions'!$X$35^2/2))</f>
        <v>0.00710124646008258</v>
      </c>
      <c r="G3811" s="45" t="n">
        <f aca="false">ROUND(C3811*F3811,0)</f>
        <v>726</v>
      </c>
      <c r="H3811" s="48" t="n">
        <f aca="false">MAX(0,(C3811*'Model Inputs &amp; Assumptions'!$N$35+E3811*'Model Inputs &amp; Assumptions'!$O$35+G3811*'Model Inputs &amp; Assumptions'!$P$35)*EXP('Model Inputs &amp; Assumptions'!$Q$35*S3811-'Model Inputs &amp; Assumptions'!$Q$35^2/2))</f>
        <v>37.5559656548929</v>
      </c>
      <c r="I3811" s="49" t="n">
        <f aca="false">IF('Model Inputs &amp; Assumptions'!$H$35="Fixed",'Model Inputs &amp; Assumptions'!$I$35*'Model Inputs &amp; Assumptions'!$K$35,IF('Model Inputs &amp; Assumptions'!$H$35="CPM",'Model Inputs &amp; Assumptions'!$I$35*'Model Inputs &amp; Assumptions'!$K$35*C3811/1000,IF('Model Inputs &amp; Assumptions'!$H$35="CPC",'Model Inputs &amp; Assumptions'!$I$35*'Model Inputs &amp; Assumptions'!$K$35*G3811,0)))</f>
        <v>8672.8</v>
      </c>
      <c r="J3811" s="50" t="n">
        <f aca="false">H3811*INDEX('Model Inputs &amp; Assumptions'!$D$40:$D$42,MATCH('Model Inputs &amp; Assumptions'!$L$35,'Model Inputs &amp; Assumptions'!$A$40:$A$42,0))*INDEX('Model Inputs &amp; Assumptions'!$H$40:$H$42,MATCH('Model Inputs &amp; Assumptions'!$L$35,'Model Inputs &amp; Assumptions'!$A$40:$A$42,0))</f>
        <v>319225.708066589</v>
      </c>
      <c r="K3811" s="49" t="n">
        <f aca="false">H3811*INDEX('Model Inputs &amp; Assumptions'!$G$40:$G$42,MATCH('Model Inputs &amp; Assumptions'!$L$35,'Model Inputs &amp; Assumptions'!$A$40:$A$42,0))*INDEX('Model Inputs &amp; Assumptions'!$H$40:$H$42,MATCH('Model Inputs &amp; Assumptions'!$L$35,'Model Inputs &amp; Assumptions'!$A$40:$A$42,0))</f>
        <v>7182.57843149826</v>
      </c>
      <c r="L3811" s="51" t="n">
        <f aca="false">IFERROR(K3811/I3811,0)</f>
        <v>0.828172958156335</v>
      </c>
      <c r="M3811" s="49" t="n">
        <f aca="false">IFERROR(I3811/H3811,0)</f>
        <v>230.930022667919</v>
      </c>
      <c r="N3811" s="52" t="str">
        <f aca="false">'Model Inputs &amp; Assumptions'!$L$35</f>
        <v>PRD-EUAI</v>
      </c>
      <c r="P3811" s="53" t="n">
        <v>0.972038</v>
      </c>
      <c r="Q3811" s="53" t="n">
        <v>-0.792899</v>
      </c>
      <c r="R3811" s="53" t="n">
        <v>0.390814</v>
      </c>
      <c r="S3811" s="53" t="n">
        <v>-1.033299</v>
      </c>
    </row>
    <row r="3812" customFormat="false" ht="15" hidden="false" customHeight="false" outlineLevel="0" collapsed="false">
      <c r="A3812" s="43" t="n">
        <v>309</v>
      </c>
      <c r="B3812" s="44" t="str">
        <f aca="false">'Model Inputs &amp; Assumptions'!$B$35</f>
        <v>justETF — Sponsored Listing</v>
      </c>
      <c r="C3812" s="45" t="n">
        <f aca="false">ROUND(MAX(0,'Model Inputs &amp; Assumptions'!$S$35*EXP('Model Inputs &amp; Assumptions'!$T$35*P3812-'Model Inputs &amp; Assumptions'!$T$35^2/2)),0)</f>
        <v>72173</v>
      </c>
      <c r="D3812" s="46" t="n">
        <f aca="false">MIN(1,'Model Inputs &amp; Assumptions'!$U$35*EXP('Model Inputs &amp; Assumptions'!$V$35*Q3812-'Model Inputs &amp; Assumptions'!$V$35^2/2))</f>
        <v>0</v>
      </c>
      <c r="E3812" s="45" t="n">
        <f aca="false">ROUND(C3812*D3812,0)</f>
        <v>0</v>
      </c>
      <c r="F3812" s="47" t="n">
        <f aca="false">MIN(1,'Model Inputs &amp; Assumptions'!$W$35*EXP('Model Inputs &amp; Assumptions'!$X$35*R3812-'Model Inputs &amp; Assumptions'!$X$35^2/2))</f>
        <v>0.00680435961358097</v>
      </c>
      <c r="G3812" s="45" t="n">
        <f aca="false">ROUND(C3812*F3812,0)</f>
        <v>491</v>
      </c>
      <c r="H3812" s="48" t="n">
        <f aca="false">MAX(0,(C3812*'Model Inputs &amp; Assumptions'!$N$35+E3812*'Model Inputs &amp; Assumptions'!$O$35+G3812*'Model Inputs &amp; Assumptions'!$P$35)*EXP('Model Inputs &amp; Assumptions'!$Q$35*S3812-'Model Inputs &amp; Assumptions'!$Q$35^2/2))</f>
        <v>31.0052483218967</v>
      </c>
      <c r="I3812" s="49" t="n">
        <f aca="false">IF('Model Inputs &amp; Assumptions'!$H$35="Fixed",'Model Inputs &amp; Assumptions'!$I$35*'Model Inputs &amp; Assumptions'!$K$35,IF('Model Inputs &amp; Assumptions'!$H$35="CPM",'Model Inputs &amp; Assumptions'!$I$35*'Model Inputs &amp; Assumptions'!$K$35*C3812/1000,IF('Model Inputs &amp; Assumptions'!$H$35="CPC",'Model Inputs &amp; Assumptions'!$I$35*'Model Inputs &amp; Assumptions'!$K$35*G3812,0)))</f>
        <v>8672.8</v>
      </c>
      <c r="J3812" s="50" t="n">
        <f aca="false">H3812*INDEX('Model Inputs &amp; Assumptions'!$D$40:$D$42,MATCH('Model Inputs &amp; Assumptions'!$L$35,'Model Inputs &amp; Assumptions'!$A$40:$A$42,0))*INDEX('Model Inputs &amp; Assumptions'!$H$40:$H$42,MATCH('Model Inputs &amp; Assumptions'!$L$35,'Model Inputs &amp; Assumptions'!$A$40:$A$42,0))</f>
        <v>263544.610736122</v>
      </c>
      <c r="K3812" s="49" t="n">
        <f aca="false">H3812*INDEX('Model Inputs &amp; Assumptions'!$G$40:$G$42,MATCH('Model Inputs &amp; Assumptions'!$L$35,'Model Inputs &amp; Assumptions'!$A$40:$A$42,0))*INDEX('Model Inputs &amp; Assumptions'!$H$40:$H$42,MATCH('Model Inputs &amp; Assumptions'!$L$35,'Model Inputs &amp; Assumptions'!$A$40:$A$42,0))</f>
        <v>5929.75374156274</v>
      </c>
      <c r="L3812" s="51" t="n">
        <f aca="false">IFERROR(K3812/I3812,0)</f>
        <v>0.683718492477947</v>
      </c>
      <c r="M3812" s="49" t="n">
        <f aca="false">IFERROR(I3812/H3812,0)</f>
        <v>279.720385076712</v>
      </c>
      <c r="N3812" s="52" t="str">
        <f aca="false">'Model Inputs &amp; Assumptions'!$L$35</f>
        <v>PRD-EUAI</v>
      </c>
      <c r="P3812" s="53" t="n">
        <v>-1.351991</v>
      </c>
      <c r="Q3812" s="53" t="n">
        <v>0.110541</v>
      </c>
      <c r="R3812" s="53" t="n">
        <v>0.17728</v>
      </c>
      <c r="S3812" s="53" t="n">
        <v>-0.26626</v>
      </c>
    </row>
    <row r="3813" customFormat="false" ht="15" hidden="false" customHeight="false" outlineLevel="0" collapsed="false">
      <c r="A3813" s="43" t="n">
        <v>310</v>
      </c>
      <c r="B3813" s="44" t="str">
        <f aca="false">'Model Inputs &amp; Assumptions'!$B$35</f>
        <v>justETF — Sponsored Listing</v>
      </c>
      <c r="C3813" s="45" t="n">
        <f aca="false">ROUND(MAX(0,'Model Inputs &amp; Assumptions'!$S$35*EXP('Model Inputs &amp; Assumptions'!$T$35*P3813-'Model Inputs &amp; Assumptions'!$T$35^2/2)),0)</f>
        <v>90431</v>
      </c>
      <c r="D3813" s="46" t="n">
        <f aca="false">MIN(1,'Model Inputs &amp; Assumptions'!$U$35*EXP('Model Inputs &amp; Assumptions'!$V$35*Q3813-'Model Inputs &amp; Assumptions'!$V$35^2/2))</f>
        <v>0</v>
      </c>
      <c r="E3813" s="45" t="n">
        <f aca="false">ROUND(C3813*D3813,0)</f>
        <v>0</v>
      </c>
      <c r="F3813" s="47" t="n">
        <f aca="false">MIN(1,'Model Inputs &amp; Assumptions'!$W$35*EXP('Model Inputs &amp; Assumptions'!$X$35*R3813-'Model Inputs &amp; Assumptions'!$X$35^2/2))</f>
        <v>0.00768953663670295</v>
      </c>
      <c r="G3813" s="45" t="n">
        <f aca="false">ROUND(C3813*F3813,0)</f>
        <v>695</v>
      </c>
      <c r="H3813" s="48" t="n">
        <f aca="false">MAX(0,(C3813*'Model Inputs &amp; Assumptions'!$N$35+E3813*'Model Inputs &amp; Assumptions'!$O$35+G3813*'Model Inputs &amp; Assumptions'!$P$35)*EXP('Model Inputs &amp; Assumptions'!$Q$35*S3813-'Model Inputs &amp; Assumptions'!$Q$35^2/2))</f>
        <v>21.7030418606384</v>
      </c>
      <c r="I3813" s="49" t="n">
        <f aca="false">IF('Model Inputs &amp; Assumptions'!$H$35="Fixed",'Model Inputs &amp; Assumptions'!$I$35*'Model Inputs &amp; Assumptions'!$K$35,IF('Model Inputs &amp; Assumptions'!$H$35="CPM",'Model Inputs &amp; Assumptions'!$I$35*'Model Inputs &amp; Assumptions'!$K$35*C3813/1000,IF('Model Inputs &amp; Assumptions'!$H$35="CPC",'Model Inputs &amp; Assumptions'!$I$35*'Model Inputs &amp; Assumptions'!$K$35*G3813,0)))</f>
        <v>8672.8</v>
      </c>
      <c r="J3813" s="50" t="n">
        <f aca="false">H3813*INDEX('Model Inputs &amp; Assumptions'!$D$40:$D$42,MATCH('Model Inputs &amp; Assumptions'!$L$35,'Model Inputs &amp; Assumptions'!$A$40:$A$42,0))*INDEX('Model Inputs &amp; Assumptions'!$H$40:$H$42,MATCH('Model Inputs &amp; Assumptions'!$L$35,'Model Inputs &amp; Assumptions'!$A$40:$A$42,0))</f>
        <v>184475.855815427</v>
      </c>
      <c r="K3813" s="49" t="n">
        <f aca="false">H3813*INDEX('Model Inputs &amp; Assumptions'!$G$40:$G$42,MATCH('Model Inputs &amp; Assumptions'!$L$35,'Model Inputs &amp; Assumptions'!$A$40:$A$42,0))*INDEX('Model Inputs &amp; Assumptions'!$H$40:$H$42,MATCH('Model Inputs &amp; Assumptions'!$L$35,'Model Inputs &amp; Assumptions'!$A$40:$A$42,0))</f>
        <v>4150.7067558471</v>
      </c>
      <c r="L3813" s="51" t="n">
        <f aca="false">IFERROR(K3813/I3813,0)</f>
        <v>0.478589008837642</v>
      </c>
      <c r="M3813" s="49" t="n">
        <f aca="false">IFERROR(I3813/H3813,0)</f>
        <v>399.612185964096</v>
      </c>
      <c r="N3813" s="52" t="str">
        <f aca="false">'Model Inputs &amp; Assumptions'!$L$35</f>
        <v>PRD-EUAI</v>
      </c>
      <c r="P3813" s="53" t="n">
        <v>0.151424</v>
      </c>
      <c r="Q3813" s="53" t="n">
        <v>0.245588</v>
      </c>
      <c r="R3813" s="53" t="n">
        <v>0.788765</v>
      </c>
      <c r="S3813" s="53" t="n">
        <v>-2.974613</v>
      </c>
    </row>
    <row r="3814" customFormat="false" ht="15" hidden="false" customHeight="false" outlineLevel="0" collapsed="false">
      <c r="A3814" s="43" t="n">
        <v>311</v>
      </c>
      <c r="B3814" s="44" t="str">
        <f aca="false">'Model Inputs &amp; Assumptions'!$B$35</f>
        <v>justETF — Sponsored Listing</v>
      </c>
      <c r="C3814" s="45" t="n">
        <f aca="false">ROUND(MAX(0,'Model Inputs &amp; Assumptions'!$S$35*EXP('Model Inputs &amp; Assumptions'!$T$35*P3814-'Model Inputs &amp; Assumptions'!$T$35^2/2)),0)</f>
        <v>76963</v>
      </c>
      <c r="D3814" s="46" t="n">
        <f aca="false">MIN(1,'Model Inputs &amp; Assumptions'!$U$35*EXP('Model Inputs &amp; Assumptions'!$V$35*Q3814-'Model Inputs &amp; Assumptions'!$V$35^2/2))</f>
        <v>0</v>
      </c>
      <c r="E3814" s="45" t="n">
        <f aca="false">ROUND(C3814*D3814,0)</f>
        <v>0</v>
      </c>
      <c r="F3814" s="47" t="n">
        <f aca="false">MIN(1,'Model Inputs &amp; Assumptions'!$W$35*EXP('Model Inputs &amp; Assumptions'!$X$35*R3814-'Model Inputs &amp; Assumptions'!$X$35^2/2))</f>
        <v>0.0092715087857853</v>
      </c>
      <c r="G3814" s="45" t="n">
        <f aca="false">ROUND(C3814*F3814,0)</f>
        <v>714</v>
      </c>
      <c r="H3814" s="48" t="n">
        <f aca="false">MAX(0,(C3814*'Model Inputs &amp; Assumptions'!$N$35+E3814*'Model Inputs &amp; Assumptions'!$O$35+G3814*'Model Inputs &amp; Assumptions'!$P$35)*EXP('Model Inputs &amp; Assumptions'!$Q$35*S3814-'Model Inputs &amp; Assumptions'!$Q$35^2/2))</f>
        <v>56.2620165264734</v>
      </c>
      <c r="I3814" s="49" t="n">
        <f aca="false">IF('Model Inputs &amp; Assumptions'!$H$35="Fixed",'Model Inputs &amp; Assumptions'!$I$35*'Model Inputs &amp; Assumptions'!$K$35,IF('Model Inputs &amp; Assumptions'!$H$35="CPM",'Model Inputs &amp; Assumptions'!$I$35*'Model Inputs &amp; Assumptions'!$K$35*C3814/1000,IF('Model Inputs &amp; Assumptions'!$H$35="CPC",'Model Inputs &amp; Assumptions'!$I$35*'Model Inputs &amp; Assumptions'!$K$35*G3814,0)))</f>
        <v>8672.8</v>
      </c>
      <c r="J3814" s="50" t="n">
        <f aca="false">H3814*INDEX('Model Inputs &amp; Assumptions'!$D$40:$D$42,MATCH('Model Inputs &amp; Assumptions'!$L$35,'Model Inputs &amp; Assumptions'!$A$40:$A$42,0))*INDEX('Model Inputs &amp; Assumptions'!$H$40:$H$42,MATCH('Model Inputs &amp; Assumptions'!$L$35,'Model Inputs &amp; Assumptions'!$A$40:$A$42,0))</f>
        <v>478227.140475024</v>
      </c>
      <c r="K3814" s="49" t="n">
        <f aca="false">H3814*INDEX('Model Inputs &amp; Assumptions'!$G$40:$G$42,MATCH('Model Inputs &amp; Assumptions'!$L$35,'Model Inputs &amp; Assumptions'!$A$40:$A$42,0))*INDEX('Model Inputs &amp; Assumptions'!$H$40:$H$42,MATCH('Model Inputs &amp; Assumptions'!$L$35,'Model Inputs &amp; Assumptions'!$A$40:$A$42,0))</f>
        <v>10760.110660688</v>
      </c>
      <c r="L3814" s="51" t="n">
        <f aca="false">IFERROR(K3814/I3814,0)</f>
        <v>1.24067321518864</v>
      </c>
      <c r="M3814" s="49" t="n">
        <f aca="false">IFERROR(I3814/H3814,0)</f>
        <v>154.150180449347</v>
      </c>
      <c r="N3814" s="52" t="str">
        <f aca="false">'Model Inputs &amp; Assumptions'!$L$35</f>
        <v>PRD-EUAI</v>
      </c>
      <c r="P3814" s="53" t="n">
        <v>-0.923669</v>
      </c>
      <c r="Q3814" s="53" t="n">
        <v>-1.140424</v>
      </c>
      <c r="R3814" s="53" t="n">
        <v>1.724193</v>
      </c>
      <c r="S3814" s="53" t="n">
        <v>0.585372</v>
      </c>
    </row>
    <row r="3815" customFormat="false" ht="15" hidden="false" customHeight="false" outlineLevel="0" collapsed="false">
      <c r="A3815" s="43" t="n">
        <v>312</v>
      </c>
      <c r="B3815" s="44" t="str">
        <f aca="false">'Model Inputs &amp; Assumptions'!$B$35</f>
        <v>justETF — Sponsored Listing</v>
      </c>
      <c r="C3815" s="45" t="n">
        <f aca="false">ROUND(MAX(0,'Model Inputs &amp; Assumptions'!$S$35*EXP('Model Inputs &amp; Assumptions'!$T$35*P3815-'Model Inputs &amp; Assumptions'!$T$35^2/2)),0)</f>
        <v>74827</v>
      </c>
      <c r="D3815" s="46" t="n">
        <f aca="false">MIN(1,'Model Inputs &amp; Assumptions'!$U$35*EXP('Model Inputs &amp; Assumptions'!$V$35*Q3815-'Model Inputs &amp; Assumptions'!$V$35^2/2))</f>
        <v>0</v>
      </c>
      <c r="E3815" s="45" t="n">
        <f aca="false">ROUND(C3815*D3815,0)</f>
        <v>0</v>
      </c>
      <c r="F3815" s="47" t="n">
        <f aca="false">MIN(1,'Model Inputs &amp; Assumptions'!$W$35*EXP('Model Inputs &amp; Assumptions'!$X$35*R3815-'Model Inputs &amp; Assumptions'!$X$35^2/2))</f>
        <v>0.00553103260746712</v>
      </c>
      <c r="G3815" s="45" t="n">
        <f aca="false">ROUND(C3815*F3815,0)</f>
        <v>414</v>
      </c>
      <c r="H3815" s="48" t="n">
        <f aca="false">MAX(0,(C3815*'Model Inputs &amp; Assumptions'!$N$35+E3815*'Model Inputs &amp; Assumptions'!$O$35+G3815*'Model Inputs &amp; Assumptions'!$P$35)*EXP('Model Inputs &amp; Assumptions'!$Q$35*S3815-'Model Inputs &amp; Assumptions'!$Q$35^2/2))</f>
        <v>43.2473516030986</v>
      </c>
      <c r="I3815" s="49" t="n">
        <f aca="false">IF('Model Inputs &amp; Assumptions'!$H$35="Fixed",'Model Inputs &amp; Assumptions'!$I$35*'Model Inputs &amp; Assumptions'!$K$35,IF('Model Inputs &amp; Assumptions'!$H$35="CPM",'Model Inputs &amp; Assumptions'!$I$35*'Model Inputs &amp; Assumptions'!$K$35*C3815/1000,IF('Model Inputs &amp; Assumptions'!$H$35="CPC",'Model Inputs &amp; Assumptions'!$I$35*'Model Inputs &amp; Assumptions'!$K$35*G3815,0)))</f>
        <v>8672.8</v>
      </c>
      <c r="J3815" s="50" t="n">
        <f aca="false">H3815*INDEX('Model Inputs &amp; Assumptions'!$D$40:$D$42,MATCH('Model Inputs &amp; Assumptions'!$L$35,'Model Inputs &amp; Assumptions'!$A$40:$A$42,0))*INDEX('Model Inputs &amp; Assumptions'!$H$40:$H$42,MATCH('Model Inputs &amp; Assumptions'!$L$35,'Model Inputs &amp; Assumptions'!$A$40:$A$42,0))</f>
        <v>367602.488626338</v>
      </c>
      <c r="K3815" s="49" t="n">
        <f aca="false">H3815*INDEX('Model Inputs &amp; Assumptions'!$G$40:$G$42,MATCH('Model Inputs &amp; Assumptions'!$L$35,'Model Inputs &amp; Assumptions'!$A$40:$A$42,0))*INDEX('Model Inputs &amp; Assumptions'!$H$40:$H$42,MATCH('Model Inputs &amp; Assumptions'!$L$35,'Model Inputs &amp; Assumptions'!$A$40:$A$42,0))</f>
        <v>8271.05599409261</v>
      </c>
      <c r="L3815" s="51" t="n">
        <f aca="false">IFERROR(K3815/I3815,0)</f>
        <v>0.953677704327623</v>
      </c>
      <c r="M3815" s="49" t="n">
        <f aca="false">IFERROR(I3815/H3815,0)</f>
        <v>200.539447585008</v>
      </c>
      <c r="N3815" s="52" t="str">
        <f aca="false">'Model Inputs &amp; Assumptions'!$L$35</f>
        <v>PRD-EUAI</v>
      </c>
      <c r="P3815" s="53" t="n">
        <v>-1.111304</v>
      </c>
      <c r="Q3815" s="53" t="n">
        <v>0.636082</v>
      </c>
      <c r="R3815" s="53" t="n">
        <v>-0.858665</v>
      </c>
      <c r="S3815" s="53" t="n">
        <v>1.669731</v>
      </c>
    </row>
    <row r="3816" customFormat="false" ht="15" hidden="false" customHeight="false" outlineLevel="0" collapsed="false">
      <c r="A3816" s="43" t="n">
        <v>313</v>
      </c>
      <c r="B3816" s="44" t="str">
        <f aca="false">'Model Inputs &amp; Assumptions'!$B$35</f>
        <v>justETF — Sponsored Listing</v>
      </c>
      <c r="C3816" s="45" t="n">
        <f aca="false">ROUND(MAX(0,'Model Inputs &amp; Assumptions'!$S$35*EXP('Model Inputs &amp; Assumptions'!$T$35*P3816-'Model Inputs &amp; Assumptions'!$T$35^2/2)),0)</f>
        <v>87644</v>
      </c>
      <c r="D3816" s="46" t="n">
        <f aca="false">MIN(1,'Model Inputs &amp; Assumptions'!$U$35*EXP('Model Inputs &amp; Assumptions'!$V$35*Q3816-'Model Inputs &amp; Assumptions'!$V$35^2/2))</f>
        <v>0</v>
      </c>
      <c r="E3816" s="45" t="n">
        <f aca="false">ROUND(C3816*D3816,0)</f>
        <v>0</v>
      </c>
      <c r="F3816" s="47" t="n">
        <f aca="false">MIN(1,'Model Inputs &amp; Assumptions'!$W$35*EXP('Model Inputs &amp; Assumptions'!$X$35*R3816-'Model Inputs &amp; Assumptions'!$X$35^2/2))</f>
        <v>0.0119406712669522</v>
      </c>
      <c r="G3816" s="45" t="n">
        <f aca="false">ROUND(C3816*F3816,0)</f>
        <v>1047</v>
      </c>
      <c r="H3816" s="48" t="n">
        <f aca="false">MAX(0,(C3816*'Model Inputs &amp; Assumptions'!$N$35+E3816*'Model Inputs &amp; Assumptions'!$O$35+G3816*'Model Inputs &amp; Assumptions'!$P$35)*EXP('Model Inputs &amp; Assumptions'!$Q$35*S3816-'Model Inputs &amp; Assumptions'!$Q$35^2/2))</f>
        <v>119.04452632647</v>
      </c>
      <c r="I3816" s="49" t="n">
        <f aca="false">IF('Model Inputs &amp; Assumptions'!$H$35="Fixed",'Model Inputs &amp; Assumptions'!$I$35*'Model Inputs &amp; Assumptions'!$K$35,IF('Model Inputs &amp; Assumptions'!$H$35="CPM",'Model Inputs &amp; Assumptions'!$I$35*'Model Inputs &amp; Assumptions'!$K$35*C3816/1000,IF('Model Inputs &amp; Assumptions'!$H$35="CPC",'Model Inputs &amp; Assumptions'!$I$35*'Model Inputs &amp; Assumptions'!$K$35*G3816,0)))</f>
        <v>8672.8</v>
      </c>
      <c r="J3816" s="50" t="n">
        <f aca="false">H3816*INDEX('Model Inputs &amp; Assumptions'!$D$40:$D$42,MATCH('Model Inputs &amp; Assumptions'!$L$35,'Model Inputs &amp; Assumptions'!$A$40:$A$42,0))*INDEX('Model Inputs &amp; Assumptions'!$H$40:$H$42,MATCH('Model Inputs &amp; Assumptions'!$L$35,'Model Inputs &amp; Assumptions'!$A$40:$A$42,0))</f>
        <v>1011878.47377499</v>
      </c>
      <c r="K3816" s="49" t="n">
        <f aca="false">H3816*INDEX('Model Inputs &amp; Assumptions'!$G$40:$G$42,MATCH('Model Inputs &amp; Assumptions'!$L$35,'Model Inputs &amp; Assumptions'!$A$40:$A$42,0))*INDEX('Model Inputs &amp; Assumptions'!$H$40:$H$42,MATCH('Model Inputs &amp; Assumptions'!$L$35,'Model Inputs &amp; Assumptions'!$A$40:$A$42,0))</f>
        <v>22767.2656599373</v>
      </c>
      <c r="L3816" s="51" t="n">
        <f aca="false">IFERROR(K3816/I3816,0)</f>
        <v>2.62513440410679</v>
      </c>
      <c r="M3816" s="49" t="n">
        <f aca="false">IFERROR(I3816/H3816,0)</f>
        <v>72.8534126484368</v>
      </c>
      <c r="N3816" s="52" t="str">
        <f aca="false">'Model Inputs &amp; Assumptions'!$L$35</f>
        <v>PRD-EUAI</v>
      </c>
      <c r="P3816" s="53" t="n">
        <v>-0.057239</v>
      </c>
      <c r="Q3816" s="53" t="n">
        <v>-0.136148</v>
      </c>
      <c r="R3816" s="53" t="n">
        <v>2.989214</v>
      </c>
      <c r="S3816" s="53" t="n">
        <v>1.995667</v>
      </c>
    </row>
    <row r="3817" customFormat="false" ht="15" hidden="false" customHeight="false" outlineLevel="0" collapsed="false">
      <c r="A3817" s="43" t="n">
        <v>314</v>
      </c>
      <c r="B3817" s="44" t="str">
        <f aca="false">'Model Inputs &amp; Assumptions'!$B$35</f>
        <v>justETF — Sponsored Listing</v>
      </c>
      <c r="C3817" s="45" t="n">
        <f aca="false">ROUND(MAX(0,'Model Inputs &amp; Assumptions'!$S$35*EXP('Model Inputs &amp; Assumptions'!$T$35*P3817-'Model Inputs &amp; Assumptions'!$T$35^2/2)),0)</f>
        <v>98660</v>
      </c>
      <c r="D3817" s="46" t="n">
        <f aca="false">MIN(1,'Model Inputs &amp; Assumptions'!$U$35*EXP('Model Inputs &amp; Assumptions'!$V$35*Q3817-'Model Inputs &amp; Assumptions'!$V$35^2/2))</f>
        <v>0</v>
      </c>
      <c r="E3817" s="45" t="n">
        <f aca="false">ROUND(C3817*D3817,0)</f>
        <v>0</v>
      </c>
      <c r="F3817" s="47" t="n">
        <f aca="false">MIN(1,'Model Inputs &amp; Assumptions'!$W$35*EXP('Model Inputs &amp; Assumptions'!$X$35*R3817-'Model Inputs &amp; Assumptions'!$X$35^2/2))</f>
        <v>0.0077464705474192</v>
      </c>
      <c r="G3817" s="45" t="n">
        <f aca="false">ROUND(C3817*F3817,0)</f>
        <v>764</v>
      </c>
      <c r="H3817" s="48" t="n">
        <f aca="false">MAX(0,(C3817*'Model Inputs &amp; Assumptions'!$N$35+E3817*'Model Inputs &amp; Assumptions'!$O$35+G3817*'Model Inputs &amp; Assumptions'!$P$35)*EXP('Model Inputs &amp; Assumptions'!$Q$35*S3817-'Model Inputs &amp; Assumptions'!$Q$35^2/2))</f>
        <v>50.1662270436912</v>
      </c>
      <c r="I3817" s="49" t="n">
        <f aca="false">IF('Model Inputs &amp; Assumptions'!$H$35="Fixed",'Model Inputs &amp; Assumptions'!$I$35*'Model Inputs &amp; Assumptions'!$K$35,IF('Model Inputs &amp; Assumptions'!$H$35="CPM",'Model Inputs &amp; Assumptions'!$I$35*'Model Inputs &amp; Assumptions'!$K$35*C3817/1000,IF('Model Inputs &amp; Assumptions'!$H$35="CPC",'Model Inputs &amp; Assumptions'!$I$35*'Model Inputs &amp; Assumptions'!$K$35*G3817,0)))</f>
        <v>8672.8</v>
      </c>
      <c r="J3817" s="50" t="n">
        <f aca="false">H3817*INDEX('Model Inputs &amp; Assumptions'!$D$40:$D$42,MATCH('Model Inputs &amp; Assumptions'!$L$35,'Model Inputs &amp; Assumptions'!$A$40:$A$42,0))*INDEX('Model Inputs &amp; Assumptions'!$H$40:$H$42,MATCH('Model Inputs &amp; Assumptions'!$L$35,'Model Inputs &amp; Assumptions'!$A$40:$A$42,0))</f>
        <v>426412.929871375</v>
      </c>
      <c r="K3817" s="49" t="n">
        <f aca="false">H3817*INDEX('Model Inputs &amp; Assumptions'!$G$40:$G$42,MATCH('Model Inputs &amp; Assumptions'!$L$35,'Model Inputs &amp; Assumptions'!$A$40:$A$42,0))*INDEX('Model Inputs &amp; Assumptions'!$H$40:$H$42,MATCH('Model Inputs &amp; Assumptions'!$L$35,'Model Inputs &amp; Assumptions'!$A$40:$A$42,0))</f>
        <v>9594.29092210594</v>
      </c>
      <c r="L3817" s="51" t="n">
        <f aca="false">IFERROR(K3817/I3817,0)</f>
        <v>1.10625068283668</v>
      </c>
      <c r="M3817" s="49" t="n">
        <f aca="false">IFERROR(I3817/H3817,0)</f>
        <v>172.881249220648</v>
      </c>
      <c r="N3817" s="52" t="str">
        <f aca="false">'Model Inputs &amp; Assumptions'!$L$35</f>
        <v>PRD-EUAI</v>
      </c>
      <c r="P3817" s="53" t="n">
        <v>0.732074</v>
      </c>
      <c r="Q3817" s="53" t="n">
        <v>-0.952877</v>
      </c>
      <c r="R3817" s="53" t="n">
        <v>0.825649</v>
      </c>
      <c r="S3817" s="53" t="n">
        <v>-0.116022</v>
      </c>
    </row>
    <row r="3818" customFormat="false" ht="15" hidden="false" customHeight="false" outlineLevel="0" collapsed="false">
      <c r="A3818" s="43" t="n">
        <v>315</v>
      </c>
      <c r="B3818" s="44" t="str">
        <f aca="false">'Model Inputs &amp; Assumptions'!$B$35</f>
        <v>justETF — Sponsored Listing</v>
      </c>
      <c r="C3818" s="45" t="n">
        <f aca="false">ROUND(MAX(0,'Model Inputs &amp; Assumptions'!$S$35*EXP('Model Inputs &amp; Assumptions'!$T$35*P3818-'Model Inputs &amp; Assumptions'!$T$35^2/2)),0)</f>
        <v>96284</v>
      </c>
      <c r="D3818" s="46" t="n">
        <f aca="false">MIN(1,'Model Inputs &amp; Assumptions'!$U$35*EXP('Model Inputs &amp; Assumptions'!$V$35*Q3818-'Model Inputs &amp; Assumptions'!$V$35^2/2))</f>
        <v>0</v>
      </c>
      <c r="E3818" s="45" t="n">
        <f aca="false">ROUND(C3818*D3818,0)</f>
        <v>0</v>
      </c>
      <c r="F3818" s="47" t="n">
        <f aca="false">MIN(1,'Model Inputs &amp; Assumptions'!$W$35*EXP('Model Inputs &amp; Assumptions'!$X$35*R3818-'Model Inputs &amp; Assumptions'!$X$35^2/2))</f>
        <v>0.003849256167539</v>
      </c>
      <c r="G3818" s="45" t="n">
        <f aca="false">ROUND(C3818*F3818,0)</f>
        <v>371</v>
      </c>
      <c r="H3818" s="48" t="n">
        <f aca="false">MAX(0,(C3818*'Model Inputs &amp; Assumptions'!$N$35+E3818*'Model Inputs &amp; Assumptions'!$O$35+G3818*'Model Inputs &amp; Assumptions'!$P$35)*EXP('Model Inputs &amp; Assumptions'!$Q$35*S3818-'Model Inputs &amp; Assumptions'!$Q$35^2/2))</f>
        <v>28.9555502949145</v>
      </c>
      <c r="I3818" s="49" t="n">
        <f aca="false">IF('Model Inputs &amp; Assumptions'!$H$35="Fixed",'Model Inputs &amp; Assumptions'!$I$35*'Model Inputs &amp; Assumptions'!$K$35,IF('Model Inputs &amp; Assumptions'!$H$35="CPM",'Model Inputs &amp; Assumptions'!$I$35*'Model Inputs &amp; Assumptions'!$K$35*C3818/1000,IF('Model Inputs &amp; Assumptions'!$H$35="CPC",'Model Inputs &amp; Assumptions'!$I$35*'Model Inputs &amp; Assumptions'!$K$35*G3818,0)))</f>
        <v>8672.8</v>
      </c>
      <c r="J3818" s="50" t="n">
        <f aca="false">H3818*INDEX('Model Inputs &amp; Assumptions'!$D$40:$D$42,MATCH('Model Inputs &amp; Assumptions'!$L$35,'Model Inputs &amp; Assumptions'!$A$40:$A$42,0))*INDEX('Model Inputs &amp; Assumptions'!$H$40:$H$42,MATCH('Model Inputs &amp; Assumptions'!$L$35,'Model Inputs &amp; Assumptions'!$A$40:$A$42,0))</f>
        <v>246122.177506773</v>
      </c>
      <c r="K3818" s="49" t="n">
        <f aca="false">H3818*INDEX('Model Inputs &amp; Assumptions'!$G$40:$G$42,MATCH('Model Inputs &amp; Assumptions'!$L$35,'Model Inputs &amp; Assumptions'!$A$40:$A$42,0))*INDEX('Model Inputs &amp; Assumptions'!$H$40:$H$42,MATCH('Model Inputs &amp; Assumptions'!$L$35,'Model Inputs &amp; Assumptions'!$A$40:$A$42,0))</f>
        <v>5537.7489939024</v>
      </c>
      <c r="L3818" s="51" t="n">
        <f aca="false">IFERROR(K3818/I3818,0)</f>
        <v>0.638519162658242</v>
      </c>
      <c r="M3818" s="49" t="n">
        <f aca="false">IFERROR(I3818/H3818,0)</f>
        <v>299.52115955894</v>
      </c>
      <c r="N3818" s="52" t="str">
        <f aca="false">'Model Inputs &amp; Assumptions'!$L$35</f>
        <v>PRD-EUAI</v>
      </c>
      <c r="P3818" s="53" t="n">
        <v>0.56957</v>
      </c>
      <c r="Q3818" s="53" t="n">
        <v>0.167103</v>
      </c>
      <c r="R3818" s="53" t="n">
        <v>-2.671138</v>
      </c>
      <c r="S3818" s="53" t="n">
        <v>0.548538</v>
      </c>
    </row>
    <row r="3819" customFormat="false" ht="15" hidden="false" customHeight="false" outlineLevel="0" collapsed="false">
      <c r="A3819" s="43" t="n">
        <v>316</v>
      </c>
      <c r="B3819" s="44" t="str">
        <f aca="false">'Model Inputs &amp; Assumptions'!$B$35</f>
        <v>justETF — Sponsored Listing</v>
      </c>
      <c r="C3819" s="45" t="n">
        <f aca="false">ROUND(MAX(0,'Model Inputs &amp; Assumptions'!$S$35*EXP('Model Inputs &amp; Assumptions'!$T$35*P3819-'Model Inputs &amp; Assumptions'!$T$35^2/2)),0)</f>
        <v>98336</v>
      </c>
      <c r="D3819" s="46" t="n">
        <f aca="false">MIN(1,'Model Inputs &amp; Assumptions'!$U$35*EXP('Model Inputs &amp; Assumptions'!$V$35*Q3819-'Model Inputs &amp; Assumptions'!$V$35^2/2))</f>
        <v>0</v>
      </c>
      <c r="E3819" s="45" t="n">
        <f aca="false">ROUND(C3819*D3819,0)</f>
        <v>0</v>
      </c>
      <c r="F3819" s="47" t="n">
        <f aca="false">MIN(1,'Model Inputs &amp; Assumptions'!$W$35*EXP('Model Inputs &amp; Assumptions'!$X$35*R3819-'Model Inputs &amp; Assumptions'!$X$35^2/2))</f>
        <v>0.00563955141724259</v>
      </c>
      <c r="G3819" s="45" t="n">
        <f aca="false">ROUND(C3819*F3819,0)</f>
        <v>555</v>
      </c>
      <c r="H3819" s="48" t="n">
        <f aca="false">MAX(0,(C3819*'Model Inputs &amp; Assumptions'!$N$35+E3819*'Model Inputs &amp; Assumptions'!$O$35+G3819*'Model Inputs &amp; Assumptions'!$P$35)*EXP('Model Inputs &amp; Assumptions'!$Q$35*S3819-'Model Inputs &amp; Assumptions'!$Q$35^2/2))</f>
        <v>43.2037335728754</v>
      </c>
      <c r="I3819" s="49" t="n">
        <f aca="false">IF('Model Inputs &amp; Assumptions'!$H$35="Fixed",'Model Inputs &amp; Assumptions'!$I$35*'Model Inputs &amp; Assumptions'!$K$35,IF('Model Inputs &amp; Assumptions'!$H$35="CPM",'Model Inputs &amp; Assumptions'!$I$35*'Model Inputs &amp; Assumptions'!$K$35*C3819/1000,IF('Model Inputs &amp; Assumptions'!$H$35="CPC",'Model Inputs &amp; Assumptions'!$I$35*'Model Inputs &amp; Assumptions'!$K$35*G3819,0)))</f>
        <v>8672.8</v>
      </c>
      <c r="J3819" s="50" t="n">
        <f aca="false">H3819*INDEX('Model Inputs &amp; Assumptions'!$D$40:$D$42,MATCH('Model Inputs &amp; Assumptions'!$L$35,'Model Inputs &amp; Assumptions'!$A$40:$A$42,0))*INDEX('Model Inputs &amp; Assumptions'!$H$40:$H$42,MATCH('Model Inputs &amp; Assumptions'!$L$35,'Model Inputs &amp; Assumptions'!$A$40:$A$42,0))</f>
        <v>367231.735369441</v>
      </c>
      <c r="K3819" s="49" t="n">
        <f aca="false">H3819*INDEX('Model Inputs &amp; Assumptions'!$G$40:$G$42,MATCH('Model Inputs &amp; Assumptions'!$L$35,'Model Inputs &amp; Assumptions'!$A$40:$A$42,0))*INDEX('Model Inputs &amp; Assumptions'!$H$40:$H$42,MATCH('Model Inputs &amp; Assumptions'!$L$35,'Model Inputs &amp; Assumptions'!$A$40:$A$42,0))</f>
        <v>8262.71404581243</v>
      </c>
      <c r="L3819" s="51" t="n">
        <f aca="false">IFERROR(K3819/I3819,0)</f>
        <v>0.952715852528875</v>
      </c>
      <c r="M3819" s="49" t="n">
        <f aca="false">IFERROR(I3819/H3819,0)</f>
        <v>200.741910079851</v>
      </c>
      <c r="N3819" s="52" t="str">
        <f aca="false">'Model Inputs &amp; Assumptions'!$L$35</f>
        <v>PRD-EUAI</v>
      </c>
      <c r="P3819" s="53" t="n">
        <v>0.710099</v>
      </c>
      <c r="Q3819" s="53" t="n">
        <v>0.280041</v>
      </c>
      <c r="R3819" s="53" t="n">
        <v>-0.761515</v>
      </c>
      <c r="S3819" s="53" t="n">
        <v>0.538534</v>
      </c>
    </row>
    <row r="3820" customFormat="false" ht="15" hidden="false" customHeight="false" outlineLevel="0" collapsed="false">
      <c r="A3820" s="43" t="n">
        <v>317</v>
      </c>
      <c r="B3820" s="44" t="str">
        <f aca="false">'Model Inputs &amp; Assumptions'!$B$35</f>
        <v>justETF — Sponsored Listing</v>
      </c>
      <c r="C3820" s="45" t="n">
        <f aca="false">ROUND(MAX(0,'Model Inputs &amp; Assumptions'!$S$35*EXP('Model Inputs &amp; Assumptions'!$T$35*P3820-'Model Inputs &amp; Assumptions'!$T$35^2/2)),0)</f>
        <v>71832</v>
      </c>
      <c r="D3820" s="46" t="n">
        <f aca="false">MIN(1,'Model Inputs &amp; Assumptions'!$U$35*EXP('Model Inputs &amp; Assumptions'!$V$35*Q3820-'Model Inputs &amp; Assumptions'!$V$35^2/2))</f>
        <v>0</v>
      </c>
      <c r="E3820" s="45" t="n">
        <f aca="false">ROUND(C3820*D3820,0)</f>
        <v>0</v>
      </c>
      <c r="F3820" s="47" t="n">
        <f aca="false">MIN(1,'Model Inputs &amp; Assumptions'!$W$35*EXP('Model Inputs &amp; Assumptions'!$X$35*R3820-'Model Inputs &amp; Assumptions'!$X$35^2/2))</f>
        <v>0.00661721195495001</v>
      </c>
      <c r="G3820" s="45" t="n">
        <f aca="false">ROUND(C3820*F3820,0)</f>
        <v>475</v>
      </c>
      <c r="H3820" s="48" t="n">
        <f aca="false">MAX(0,(C3820*'Model Inputs &amp; Assumptions'!$N$35+E3820*'Model Inputs &amp; Assumptions'!$O$35+G3820*'Model Inputs &amp; Assumptions'!$P$35)*EXP('Model Inputs &amp; Assumptions'!$Q$35*S3820-'Model Inputs &amp; Assumptions'!$Q$35^2/2))</f>
        <v>26.1084680247897</v>
      </c>
      <c r="I3820" s="49" t="n">
        <f aca="false">IF('Model Inputs &amp; Assumptions'!$H$35="Fixed",'Model Inputs &amp; Assumptions'!$I$35*'Model Inputs &amp; Assumptions'!$K$35,IF('Model Inputs &amp; Assumptions'!$H$35="CPM",'Model Inputs &amp; Assumptions'!$I$35*'Model Inputs &amp; Assumptions'!$K$35*C3820/1000,IF('Model Inputs &amp; Assumptions'!$H$35="CPC",'Model Inputs &amp; Assumptions'!$I$35*'Model Inputs &amp; Assumptions'!$K$35*G3820,0)))</f>
        <v>8672.8</v>
      </c>
      <c r="J3820" s="50" t="n">
        <f aca="false">H3820*INDEX('Model Inputs &amp; Assumptions'!$D$40:$D$42,MATCH('Model Inputs &amp; Assumptions'!$L$35,'Model Inputs &amp; Assumptions'!$A$40:$A$42,0))*INDEX('Model Inputs &amp; Assumptions'!$H$40:$H$42,MATCH('Model Inputs &amp; Assumptions'!$L$35,'Model Inputs &amp; Assumptions'!$A$40:$A$42,0))</f>
        <v>221921.978210712</v>
      </c>
      <c r="K3820" s="49" t="n">
        <f aca="false">H3820*INDEX('Model Inputs &amp; Assumptions'!$G$40:$G$42,MATCH('Model Inputs &amp; Assumptions'!$L$35,'Model Inputs &amp; Assumptions'!$A$40:$A$42,0))*INDEX('Model Inputs &amp; Assumptions'!$H$40:$H$42,MATCH('Model Inputs &amp; Assumptions'!$L$35,'Model Inputs &amp; Assumptions'!$A$40:$A$42,0))</f>
        <v>4993.24450974103</v>
      </c>
      <c r="L3820" s="51" t="n">
        <f aca="false">IFERROR(K3820/I3820,0)</f>
        <v>0.575736153230909</v>
      </c>
      <c r="M3820" s="49" t="n">
        <f aca="false">IFERROR(I3820/H3820,0)</f>
        <v>332.18341236128</v>
      </c>
      <c r="N3820" s="52" t="str">
        <f aca="false">'Model Inputs &amp; Assumptions'!$L$35</f>
        <v>PRD-EUAI</v>
      </c>
      <c r="P3820" s="53" t="n">
        <v>-1.383616</v>
      </c>
      <c r="Q3820" s="53" t="n">
        <v>-1.598792</v>
      </c>
      <c r="R3820" s="53" t="n">
        <v>0.037833</v>
      </c>
      <c r="S3820" s="53" t="n">
        <v>-0.799981</v>
      </c>
    </row>
    <row r="3821" customFormat="false" ht="15" hidden="false" customHeight="false" outlineLevel="0" collapsed="false">
      <c r="A3821" s="43" t="n">
        <v>318</v>
      </c>
      <c r="B3821" s="44" t="str">
        <f aca="false">'Model Inputs &amp; Assumptions'!$B$35</f>
        <v>justETF — Sponsored Listing</v>
      </c>
      <c r="C3821" s="45" t="n">
        <f aca="false">ROUND(MAX(0,'Model Inputs &amp; Assumptions'!$S$35*EXP('Model Inputs &amp; Assumptions'!$T$35*P3821-'Model Inputs &amp; Assumptions'!$T$35^2/2)),0)</f>
        <v>93467</v>
      </c>
      <c r="D3821" s="46" t="n">
        <f aca="false">MIN(1,'Model Inputs &amp; Assumptions'!$U$35*EXP('Model Inputs &amp; Assumptions'!$V$35*Q3821-'Model Inputs &amp; Assumptions'!$V$35^2/2))</f>
        <v>0</v>
      </c>
      <c r="E3821" s="45" t="n">
        <f aca="false">ROUND(C3821*D3821,0)</f>
        <v>0</v>
      </c>
      <c r="F3821" s="47" t="n">
        <f aca="false">MIN(1,'Model Inputs &amp; Assumptions'!$W$35*EXP('Model Inputs &amp; Assumptions'!$X$35*R3821-'Model Inputs &amp; Assumptions'!$X$35^2/2))</f>
        <v>0.00664136773455942</v>
      </c>
      <c r="G3821" s="45" t="n">
        <f aca="false">ROUND(C3821*F3821,0)</f>
        <v>621</v>
      </c>
      <c r="H3821" s="48" t="n">
        <f aca="false">MAX(0,(C3821*'Model Inputs &amp; Assumptions'!$N$35+E3821*'Model Inputs &amp; Assumptions'!$O$35+G3821*'Model Inputs &amp; Assumptions'!$P$35)*EXP('Model Inputs &amp; Assumptions'!$Q$35*S3821-'Model Inputs &amp; Assumptions'!$Q$35^2/2))</f>
        <v>55.3851199658014</v>
      </c>
      <c r="I3821" s="49" t="n">
        <f aca="false">IF('Model Inputs &amp; Assumptions'!$H$35="Fixed",'Model Inputs &amp; Assumptions'!$I$35*'Model Inputs &amp; Assumptions'!$K$35,IF('Model Inputs &amp; Assumptions'!$H$35="CPM",'Model Inputs &amp; Assumptions'!$I$35*'Model Inputs &amp; Assumptions'!$K$35*C3821/1000,IF('Model Inputs &amp; Assumptions'!$H$35="CPC",'Model Inputs &amp; Assumptions'!$I$35*'Model Inputs &amp; Assumptions'!$K$35*G3821,0)))</f>
        <v>8672.8</v>
      </c>
      <c r="J3821" s="50" t="n">
        <f aca="false">H3821*INDEX('Model Inputs &amp; Assumptions'!$D$40:$D$42,MATCH('Model Inputs &amp; Assumptions'!$L$35,'Model Inputs &amp; Assumptions'!$A$40:$A$42,0))*INDEX('Model Inputs &amp; Assumptions'!$H$40:$H$42,MATCH('Model Inputs &amp; Assumptions'!$L$35,'Model Inputs &amp; Assumptions'!$A$40:$A$42,0))</f>
        <v>470773.519709312</v>
      </c>
      <c r="K3821" s="49" t="n">
        <f aca="false">H3821*INDEX('Model Inputs &amp; Assumptions'!$G$40:$G$42,MATCH('Model Inputs &amp; Assumptions'!$L$35,'Model Inputs &amp; Assumptions'!$A$40:$A$42,0))*INDEX('Model Inputs &amp; Assumptions'!$H$40:$H$42,MATCH('Model Inputs &amp; Assumptions'!$L$35,'Model Inputs &amp; Assumptions'!$A$40:$A$42,0))</f>
        <v>10592.4041934595</v>
      </c>
      <c r="L3821" s="51" t="n">
        <f aca="false">IFERROR(K3821/I3821,0)</f>
        <v>1.22133615365966</v>
      </c>
      <c r="M3821" s="49" t="n">
        <f aca="false">IFERROR(I3821/H3821,0)</f>
        <v>156.590795602775</v>
      </c>
      <c r="N3821" s="52" t="str">
        <f aca="false">'Model Inputs &amp; Assumptions'!$L$35</f>
        <v>PRD-EUAI</v>
      </c>
      <c r="P3821" s="53" t="n">
        <v>0.37158</v>
      </c>
      <c r="Q3821" s="53" t="n">
        <v>-0.199084</v>
      </c>
      <c r="R3821" s="53" t="n">
        <v>0.056052</v>
      </c>
      <c r="S3821" s="53" t="n">
        <v>1.061692</v>
      </c>
    </row>
    <row r="3822" customFormat="false" ht="15" hidden="false" customHeight="false" outlineLevel="0" collapsed="false">
      <c r="A3822" s="43" t="n">
        <v>319</v>
      </c>
      <c r="B3822" s="44" t="str">
        <f aca="false">'Model Inputs &amp; Assumptions'!$B$35</f>
        <v>justETF — Sponsored Listing</v>
      </c>
      <c r="C3822" s="45" t="n">
        <f aca="false">ROUND(MAX(0,'Model Inputs &amp; Assumptions'!$S$35*EXP('Model Inputs &amp; Assumptions'!$T$35*P3822-'Model Inputs &amp; Assumptions'!$T$35^2/2)),0)</f>
        <v>99041</v>
      </c>
      <c r="D3822" s="46" t="n">
        <f aca="false">MIN(1,'Model Inputs &amp; Assumptions'!$U$35*EXP('Model Inputs &amp; Assumptions'!$V$35*Q3822-'Model Inputs &amp; Assumptions'!$V$35^2/2))</f>
        <v>0</v>
      </c>
      <c r="E3822" s="45" t="n">
        <f aca="false">ROUND(C3822*D3822,0)</f>
        <v>0</v>
      </c>
      <c r="F3822" s="47" t="n">
        <f aca="false">MIN(1,'Model Inputs &amp; Assumptions'!$W$35*EXP('Model Inputs &amp; Assumptions'!$X$35*R3822-'Model Inputs &amp; Assumptions'!$X$35^2/2))</f>
        <v>0.0055673575086066</v>
      </c>
      <c r="G3822" s="45" t="n">
        <f aca="false">ROUND(C3822*F3822,0)</f>
        <v>551</v>
      </c>
      <c r="H3822" s="48" t="n">
        <f aca="false">MAX(0,(C3822*'Model Inputs &amp; Assumptions'!$N$35+E3822*'Model Inputs &amp; Assumptions'!$O$35+G3822*'Model Inputs &amp; Assumptions'!$P$35)*EXP('Model Inputs &amp; Assumptions'!$Q$35*S3822-'Model Inputs &amp; Assumptions'!$Q$35^2/2))</f>
        <v>46.6366070717162</v>
      </c>
      <c r="I3822" s="49" t="n">
        <f aca="false">IF('Model Inputs &amp; Assumptions'!$H$35="Fixed",'Model Inputs &amp; Assumptions'!$I$35*'Model Inputs &amp; Assumptions'!$K$35,IF('Model Inputs &amp; Assumptions'!$H$35="CPM",'Model Inputs &amp; Assumptions'!$I$35*'Model Inputs &amp; Assumptions'!$K$35*C3822/1000,IF('Model Inputs &amp; Assumptions'!$H$35="CPC",'Model Inputs &amp; Assumptions'!$I$35*'Model Inputs &amp; Assumptions'!$K$35*G3822,0)))</f>
        <v>8672.8</v>
      </c>
      <c r="J3822" s="50" t="n">
        <f aca="false">H3822*INDEX('Model Inputs &amp; Assumptions'!$D$40:$D$42,MATCH('Model Inputs &amp; Assumptions'!$L$35,'Model Inputs &amp; Assumptions'!$A$40:$A$42,0))*INDEX('Model Inputs &amp; Assumptions'!$H$40:$H$42,MATCH('Model Inputs &amp; Assumptions'!$L$35,'Model Inputs &amp; Assumptions'!$A$40:$A$42,0))</f>
        <v>396411.160109588</v>
      </c>
      <c r="K3822" s="49" t="n">
        <f aca="false">H3822*INDEX('Model Inputs &amp; Assumptions'!$G$40:$G$42,MATCH('Model Inputs &amp; Assumptions'!$L$35,'Model Inputs &amp; Assumptions'!$A$40:$A$42,0))*INDEX('Model Inputs &amp; Assumptions'!$H$40:$H$42,MATCH('Model Inputs &amp; Assumptions'!$L$35,'Model Inputs &amp; Assumptions'!$A$40:$A$42,0))</f>
        <v>8919.25110246572</v>
      </c>
      <c r="L3822" s="51" t="n">
        <f aca="false">IFERROR(K3822/I3822,0)</f>
        <v>1.02841655549139</v>
      </c>
      <c r="M3822" s="49" t="n">
        <f aca="false">IFERROR(I3822/H3822,0)</f>
        <v>185.96550102076</v>
      </c>
      <c r="N3822" s="52" t="str">
        <f aca="false">'Model Inputs &amp; Assumptions'!$L$35</f>
        <v>PRD-EUAI</v>
      </c>
      <c r="P3822" s="53" t="n">
        <v>0.757742</v>
      </c>
      <c r="Q3822" s="53" t="n">
        <v>0.12333</v>
      </c>
      <c r="R3822" s="53" t="n">
        <v>-0.825935</v>
      </c>
      <c r="S3822" s="53" t="n">
        <v>0.860427</v>
      </c>
    </row>
    <row r="3823" customFormat="false" ht="15" hidden="false" customHeight="false" outlineLevel="0" collapsed="false">
      <c r="A3823" s="43" t="n">
        <v>320</v>
      </c>
      <c r="B3823" s="44" t="str">
        <f aca="false">'Model Inputs &amp; Assumptions'!$B$35</f>
        <v>justETF — Sponsored Listing</v>
      </c>
      <c r="C3823" s="45" t="n">
        <f aca="false">ROUND(MAX(0,'Model Inputs &amp; Assumptions'!$S$35*EXP('Model Inputs &amp; Assumptions'!$T$35*P3823-'Model Inputs &amp; Assumptions'!$T$35^2/2)),0)</f>
        <v>92371</v>
      </c>
      <c r="D3823" s="46" t="n">
        <f aca="false">MIN(1,'Model Inputs &amp; Assumptions'!$U$35*EXP('Model Inputs &amp; Assumptions'!$V$35*Q3823-'Model Inputs &amp; Assumptions'!$V$35^2/2))</f>
        <v>0</v>
      </c>
      <c r="E3823" s="45" t="n">
        <f aca="false">ROUND(C3823*D3823,0)</f>
        <v>0</v>
      </c>
      <c r="F3823" s="47" t="n">
        <f aca="false">MIN(1,'Model Inputs &amp; Assumptions'!$W$35*EXP('Model Inputs &amp; Assumptions'!$X$35*R3823-'Model Inputs &amp; Assumptions'!$X$35^2/2))</f>
        <v>0.00643898891102694</v>
      </c>
      <c r="G3823" s="45" t="n">
        <f aca="false">ROUND(C3823*F3823,0)</f>
        <v>595</v>
      </c>
      <c r="H3823" s="48" t="n">
        <f aca="false">MAX(0,(C3823*'Model Inputs &amp; Assumptions'!$N$35+E3823*'Model Inputs &amp; Assumptions'!$O$35+G3823*'Model Inputs &amp; Assumptions'!$P$35)*EXP('Model Inputs &amp; Assumptions'!$Q$35*S3823-'Model Inputs &amp; Assumptions'!$Q$35^2/2))</f>
        <v>40.7523337755595</v>
      </c>
      <c r="I3823" s="49" t="n">
        <f aca="false">IF('Model Inputs &amp; Assumptions'!$H$35="Fixed",'Model Inputs &amp; Assumptions'!$I$35*'Model Inputs &amp; Assumptions'!$K$35,IF('Model Inputs &amp; Assumptions'!$H$35="CPM",'Model Inputs &amp; Assumptions'!$I$35*'Model Inputs &amp; Assumptions'!$K$35*C3823/1000,IF('Model Inputs &amp; Assumptions'!$H$35="CPC",'Model Inputs &amp; Assumptions'!$I$35*'Model Inputs &amp; Assumptions'!$K$35*G3823,0)))</f>
        <v>8672.8</v>
      </c>
      <c r="J3823" s="50" t="n">
        <f aca="false">H3823*INDEX('Model Inputs &amp; Assumptions'!$D$40:$D$42,MATCH('Model Inputs &amp; Assumptions'!$L$35,'Model Inputs &amp; Assumptions'!$A$40:$A$42,0))*INDEX('Model Inputs &amp; Assumptions'!$H$40:$H$42,MATCH('Model Inputs &amp; Assumptions'!$L$35,'Model Inputs &amp; Assumptions'!$A$40:$A$42,0))</f>
        <v>346394.837092255</v>
      </c>
      <c r="K3823" s="49" t="n">
        <f aca="false">H3823*INDEX('Model Inputs &amp; Assumptions'!$G$40:$G$42,MATCH('Model Inputs &amp; Assumptions'!$L$35,'Model Inputs &amp; Assumptions'!$A$40:$A$42,0))*INDEX('Model Inputs &amp; Assumptions'!$H$40:$H$42,MATCH('Model Inputs &amp; Assumptions'!$L$35,'Model Inputs &amp; Assumptions'!$A$40:$A$42,0))</f>
        <v>7793.88383457575</v>
      </c>
      <c r="L3823" s="51" t="n">
        <f aca="false">IFERROR(K3823/I3823,0)</f>
        <v>0.898658315028105</v>
      </c>
      <c r="M3823" s="49" t="n">
        <f aca="false">IFERROR(I3823/H3823,0)</f>
        <v>212.81725968787</v>
      </c>
      <c r="N3823" s="52" t="str">
        <f aca="false">'Model Inputs &amp; Assumptions'!$L$35</f>
        <v>PRD-EUAI</v>
      </c>
      <c r="P3823" s="53" t="n">
        <v>0.292923</v>
      </c>
      <c r="Q3823" s="53" t="n">
        <v>0.446802</v>
      </c>
      <c r="R3823" s="53" t="n">
        <v>-0.09868</v>
      </c>
      <c r="S3823" s="53" t="n">
        <v>0.046199</v>
      </c>
    </row>
    <row r="3824" customFormat="false" ht="15" hidden="false" customHeight="false" outlineLevel="0" collapsed="false">
      <c r="A3824" s="43" t="n">
        <v>321</v>
      </c>
      <c r="B3824" s="44" t="str">
        <f aca="false">'Model Inputs &amp; Assumptions'!$B$35</f>
        <v>justETF — Sponsored Listing</v>
      </c>
      <c r="C3824" s="45" t="n">
        <f aca="false">ROUND(MAX(0,'Model Inputs &amp; Assumptions'!$S$35*EXP('Model Inputs &amp; Assumptions'!$T$35*P3824-'Model Inputs &amp; Assumptions'!$T$35^2/2)),0)</f>
        <v>59483</v>
      </c>
      <c r="D3824" s="46" t="n">
        <f aca="false">MIN(1,'Model Inputs &amp; Assumptions'!$U$35*EXP('Model Inputs &amp; Assumptions'!$V$35*Q3824-'Model Inputs &amp; Assumptions'!$V$35^2/2))</f>
        <v>0</v>
      </c>
      <c r="E3824" s="45" t="n">
        <f aca="false">ROUND(C3824*D3824,0)</f>
        <v>0</v>
      </c>
      <c r="F3824" s="47" t="n">
        <f aca="false">MIN(1,'Model Inputs &amp; Assumptions'!$W$35*EXP('Model Inputs &amp; Assumptions'!$X$35*R3824-'Model Inputs &amp; Assumptions'!$X$35^2/2))</f>
        <v>0.00633845549754948</v>
      </c>
      <c r="G3824" s="45" t="n">
        <f aca="false">ROUND(C3824*F3824,0)</f>
        <v>377</v>
      </c>
      <c r="H3824" s="48" t="n">
        <f aca="false">MAX(0,(C3824*'Model Inputs &amp; Assumptions'!$N$35+E3824*'Model Inputs &amp; Assumptions'!$O$35+G3824*'Model Inputs &amp; Assumptions'!$P$35)*EXP('Model Inputs &amp; Assumptions'!$Q$35*S3824-'Model Inputs &amp; Assumptions'!$Q$35^2/2))</f>
        <v>20.8692363686941</v>
      </c>
      <c r="I3824" s="49" t="n">
        <f aca="false">IF('Model Inputs &amp; Assumptions'!$H$35="Fixed",'Model Inputs &amp; Assumptions'!$I$35*'Model Inputs &amp; Assumptions'!$K$35,IF('Model Inputs &amp; Assumptions'!$H$35="CPM",'Model Inputs &amp; Assumptions'!$I$35*'Model Inputs &amp; Assumptions'!$K$35*C3824/1000,IF('Model Inputs &amp; Assumptions'!$H$35="CPC",'Model Inputs &amp; Assumptions'!$I$35*'Model Inputs &amp; Assumptions'!$K$35*G3824,0)))</f>
        <v>8672.8</v>
      </c>
      <c r="J3824" s="50" t="n">
        <f aca="false">H3824*INDEX('Model Inputs &amp; Assumptions'!$D$40:$D$42,MATCH('Model Inputs &amp; Assumptions'!$L$35,'Model Inputs &amp; Assumptions'!$A$40:$A$42,0))*INDEX('Model Inputs &amp; Assumptions'!$H$40:$H$42,MATCH('Model Inputs &amp; Assumptions'!$L$35,'Model Inputs &amp; Assumptions'!$A$40:$A$42,0))</f>
        <v>177388.5091339</v>
      </c>
      <c r="K3824" s="49" t="n">
        <f aca="false">H3824*INDEX('Model Inputs &amp; Assumptions'!$G$40:$G$42,MATCH('Model Inputs &amp; Assumptions'!$L$35,'Model Inputs &amp; Assumptions'!$A$40:$A$42,0))*INDEX('Model Inputs &amp; Assumptions'!$H$40:$H$42,MATCH('Model Inputs &amp; Assumptions'!$L$35,'Model Inputs &amp; Assumptions'!$A$40:$A$42,0))</f>
        <v>3991.24145551275</v>
      </c>
      <c r="L3824" s="51" t="n">
        <f aca="false">IFERROR(K3824/I3824,0)</f>
        <v>0.460202178709616</v>
      </c>
      <c r="M3824" s="49" t="n">
        <f aca="false">IFERROR(I3824/H3824,0)</f>
        <v>415.578215071158</v>
      </c>
      <c r="N3824" s="52" t="str">
        <f aca="false">'Model Inputs &amp; Assumptions'!$L$35</f>
        <v>PRD-EUAI</v>
      </c>
      <c r="P3824" s="53" t="n">
        <v>-2.641161</v>
      </c>
      <c r="Q3824" s="53" t="n">
        <v>-0.249706</v>
      </c>
      <c r="R3824" s="53" t="n">
        <v>-0.177362</v>
      </c>
      <c r="S3824" s="53" t="n">
        <v>-0.772727</v>
      </c>
    </row>
    <row r="3825" customFormat="false" ht="15" hidden="false" customHeight="false" outlineLevel="0" collapsed="false">
      <c r="A3825" s="43" t="n">
        <v>322</v>
      </c>
      <c r="B3825" s="44" t="str">
        <f aca="false">'Model Inputs &amp; Assumptions'!$B$35</f>
        <v>justETF — Sponsored Listing</v>
      </c>
      <c r="C3825" s="45" t="n">
        <f aca="false">ROUND(MAX(0,'Model Inputs &amp; Assumptions'!$S$35*EXP('Model Inputs &amp; Assumptions'!$T$35*P3825-'Model Inputs &amp; Assumptions'!$T$35^2/2)),0)</f>
        <v>92634</v>
      </c>
      <c r="D3825" s="46" t="n">
        <f aca="false">MIN(1,'Model Inputs &amp; Assumptions'!$U$35*EXP('Model Inputs &amp; Assumptions'!$V$35*Q3825-'Model Inputs &amp; Assumptions'!$V$35^2/2))</f>
        <v>0</v>
      </c>
      <c r="E3825" s="45" t="n">
        <f aca="false">ROUND(C3825*D3825,0)</f>
        <v>0</v>
      </c>
      <c r="F3825" s="47" t="n">
        <f aca="false">MIN(1,'Model Inputs &amp; Assumptions'!$W$35*EXP('Model Inputs &amp; Assumptions'!$X$35*R3825-'Model Inputs &amp; Assumptions'!$X$35^2/2))</f>
        <v>0.0100115930487786</v>
      </c>
      <c r="G3825" s="45" t="n">
        <f aca="false">ROUND(C3825*F3825,0)</f>
        <v>927</v>
      </c>
      <c r="H3825" s="48" t="n">
        <f aca="false">MAX(0,(C3825*'Model Inputs &amp; Assumptions'!$N$35+E3825*'Model Inputs &amp; Assumptions'!$O$35+G3825*'Model Inputs &amp; Assumptions'!$P$35)*EXP('Model Inputs &amp; Assumptions'!$Q$35*S3825-'Model Inputs &amp; Assumptions'!$Q$35^2/2))</f>
        <v>82.420590353695</v>
      </c>
      <c r="I3825" s="49" t="n">
        <f aca="false">IF('Model Inputs &amp; Assumptions'!$H$35="Fixed",'Model Inputs &amp; Assumptions'!$I$35*'Model Inputs &amp; Assumptions'!$K$35,IF('Model Inputs &amp; Assumptions'!$H$35="CPM",'Model Inputs &amp; Assumptions'!$I$35*'Model Inputs &amp; Assumptions'!$K$35*C3825/1000,IF('Model Inputs &amp; Assumptions'!$H$35="CPC",'Model Inputs &amp; Assumptions'!$I$35*'Model Inputs &amp; Assumptions'!$K$35*G3825,0)))</f>
        <v>8672.8</v>
      </c>
      <c r="J3825" s="50" t="n">
        <f aca="false">H3825*INDEX('Model Inputs &amp; Assumptions'!$D$40:$D$42,MATCH('Model Inputs &amp; Assumptions'!$L$35,'Model Inputs &amp; Assumptions'!$A$40:$A$42,0))*INDEX('Model Inputs &amp; Assumptions'!$H$40:$H$42,MATCH('Model Inputs &amp; Assumptions'!$L$35,'Model Inputs &amp; Assumptions'!$A$40:$A$42,0))</f>
        <v>700575.018006407</v>
      </c>
      <c r="K3825" s="49" t="n">
        <f aca="false">H3825*INDEX('Model Inputs &amp; Assumptions'!$G$40:$G$42,MATCH('Model Inputs &amp; Assumptions'!$L$35,'Model Inputs &amp; Assumptions'!$A$40:$A$42,0))*INDEX('Model Inputs &amp; Assumptions'!$H$40:$H$42,MATCH('Model Inputs &amp; Assumptions'!$L$35,'Model Inputs &amp; Assumptions'!$A$40:$A$42,0))</f>
        <v>15762.9379051442</v>
      </c>
      <c r="L3825" s="51" t="n">
        <f aca="false">IFERROR(K3825/I3825,0)</f>
        <v>1.81751428663686</v>
      </c>
      <c r="M3825" s="49" t="n">
        <f aca="false">IFERROR(I3825/H3825,0)</f>
        <v>105.226132969711</v>
      </c>
      <c r="N3825" s="52" t="str">
        <f aca="false">'Model Inputs &amp; Assumptions'!$L$35</f>
        <v>PRD-EUAI</v>
      </c>
      <c r="P3825" s="53" t="n">
        <v>0.311928</v>
      </c>
      <c r="Q3825" s="53" t="n">
        <v>-0.609603</v>
      </c>
      <c r="R3825" s="53" t="n">
        <v>2.108181</v>
      </c>
      <c r="S3825" s="53" t="n">
        <v>1.049776</v>
      </c>
    </row>
    <row r="3826" customFormat="false" ht="15" hidden="false" customHeight="false" outlineLevel="0" collapsed="false">
      <c r="A3826" s="43" t="n">
        <v>323</v>
      </c>
      <c r="B3826" s="44" t="str">
        <f aca="false">'Model Inputs &amp; Assumptions'!$B$35</f>
        <v>justETF — Sponsored Listing</v>
      </c>
      <c r="C3826" s="45" t="n">
        <f aca="false">ROUND(MAX(0,'Model Inputs &amp; Assumptions'!$S$35*EXP('Model Inputs &amp; Assumptions'!$T$35*P3826-'Model Inputs &amp; Assumptions'!$T$35^2/2)),0)</f>
        <v>104026</v>
      </c>
      <c r="D3826" s="46" t="n">
        <f aca="false">MIN(1,'Model Inputs &amp; Assumptions'!$U$35*EXP('Model Inputs &amp; Assumptions'!$V$35*Q3826-'Model Inputs &amp; Assumptions'!$V$35^2/2))</f>
        <v>0</v>
      </c>
      <c r="E3826" s="45" t="n">
        <f aca="false">ROUND(C3826*D3826,0)</f>
        <v>0</v>
      </c>
      <c r="F3826" s="47" t="n">
        <f aca="false">MIN(1,'Model Inputs &amp; Assumptions'!$W$35*EXP('Model Inputs &amp; Assumptions'!$X$35*R3826-'Model Inputs &amp; Assumptions'!$X$35^2/2))</f>
        <v>0.00482948736488403</v>
      </c>
      <c r="G3826" s="45" t="n">
        <f aca="false">ROUND(C3826*F3826,0)</f>
        <v>502</v>
      </c>
      <c r="H3826" s="48" t="n">
        <f aca="false">MAX(0,(C3826*'Model Inputs &amp; Assumptions'!$N$35+E3826*'Model Inputs &amp; Assumptions'!$O$35+G3826*'Model Inputs &amp; Assumptions'!$P$35)*EXP('Model Inputs &amp; Assumptions'!$Q$35*S3826-'Model Inputs &amp; Assumptions'!$Q$35^2/2))</f>
        <v>20.3396418592509</v>
      </c>
      <c r="I3826" s="49" t="n">
        <f aca="false">IF('Model Inputs &amp; Assumptions'!$H$35="Fixed",'Model Inputs &amp; Assumptions'!$I$35*'Model Inputs &amp; Assumptions'!$K$35,IF('Model Inputs &amp; Assumptions'!$H$35="CPM",'Model Inputs &amp; Assumptions'!$I$35*'Model Inputs &amp; Assumptions'!$K$35*C3826/1000,IF('Model Inputs &amp; Assumptions'!$H$35="CPC",'Model Inputs &amp; Assumptions'!$I$35*'Model Inputs &amp; Assumptions'!$K$35*G3826,0)))</f>
        <v>8672.8</v>
      </c>
      <c r="J3826" s="50" t="n">
        <f aca="false">H3826*INDEX('Model Inputs &amp; Assumptions'!$D$40:$D$42,MATCH('Model Inputs &amp; Assumptions'!$L$35,'Model Inputs &amp; Assumptions'!$A$40:$A$42,0))*INDEX('Model Inputs &amp; Assumptions'!$H$40:$H$42,MATCH('Model Inputs &amp; Assumptions'!$L$35,'Model Inputs &amp; Assumptions'!$A$40:$A$42,0))</f>
        <v>172886.955803633</v>
      </c>
      <c r="K3826" s="49" t="n">
        <f aca="false">H3826*INDEX('Model Inputs &amp; Assumptions'!$G$40:$G$42,MATCH('Model Inputs &amp; Assumptions'!$L$35,'Model Inputs &amp; Assumptions'!$A$40:$A$42,0))*INDEX('Model Inputs &amp; Assumptions'!$H$40:$H$42,MATCH('Model Inputs &amp; Assumptions'!$L$35,'Model Inputs &amp; Assumptions'!$A$40:$A$42,0))</f>
        <v>3889.95650558173</v>
      </c>
      <c r="L3826" s="51" t="n">
        <f aca="false">IFERROR(K3826/I3826,0)</f>
        <v>0.448523718474049</v>
      </c>
      <c r="M3826" s="49" t="n">
        <f aca="false">IFERROR(I3826/H3826,0)</f>
        <v>426.398855005179</v>
      </c>
      <c r="N3826" s="52" t="str">
        <f aca="false">'Model Inputs &amp; Assumptions'!$L$35</f>
        <v>PRD-EUAI</v>
      </c>
      <c r="P3826" s="53" t="n">
        <v>1.085129</v>
      </c>
      <c r="Q3826" s="53" t="n">
        <v>0.827057</v>
      </c>
      <c r="R3826" s="53" t="n">
        <v>-1.536836</v>
      </c>
      <c r="S3826" s="53" t="n">
        <v>-1.972955</v>
      </c>
    </row>
    <row r="3827" customFormat="false" ht="15" hidden="false" customHeight="false" outlineLevel="0" collapsed="false">
      <c r="A3827" s="43" t="n">
        <v>324</v>
      </c>
      <c r="B3827" s="44" t="str">
        <f aca="false">'Model Inputs &amp; Assumptions'!$B$35</f>
        <v>justETF — Sponsored Listing</v>
      </c>
      <c r="C3827" s="45" t="n">
        <f aca="false">ROUND(MAX(0,'Model Inputs &amp; Assumptions'!$S$35*EXP('Model Inputs &amp; Assumptions'!$T$35*P3827-'Model Inputs &amp; Assumptions'!$T$35^2/2)),0)</f>
        <v>104143</v>
      </c>
      <c r="D3827" s="46" t="n">
        <f aca="false">MIN(1,'Model Inputs &amp; Assumptions'!$U$35*EXP('Model Inputs &amp; Assumptions'!$V$35*Q3827-'Model Inputs &amp; Assumptions'!$V$35^2/2))</f>
        <v>0</v>
      </c>
      <c r="E3827" s="45" t="n">
        <f aca="false">ROUND(C3827*D3827,0)</f>
        <v>0</v>
      </c>
      <c r="F3827" s="47" t="n">
        <f aca="false">MIN(1,'Model Inputs &amp; Assumptions'!$W$35*EXP('Model Inputs &amp; Assumptions'!$X$35*R3827-'Model Inputs &amp; Assumptions'!$X$35^2/2))</f>
        <v>0.00448431039854549</v>
      </c>
      <c r="G3827" s="45" t="n">
        <f aca="false">ROUND(C3827*F3827,0)</f>
        <v>467</v>
      </c>
      <c r="H3827" s="48" t="n">
        <f aca="false">MAX(0,(C3827*'Model Inputs &amp; Assumptions'!$N$35+E3827*'Model Inputs &amp; Assumptions'!$O$35+G3827*'Model Inputs &amp; Assumptions'!$P$35)*EXP('Model Inputs &amp; Assumptions'!$Q$35*S3827-'Model Inputs &amp; Assumptions'!$Q$35^2/2))</f>
        <v>31.6285401010213</v>
      </c>
      <c r="I3827" s="49" t="n">
        <f aca="false">IF('Model Inputs &amp; Assumptions'!$H$35="Fixed",'Model Inputs &amp; Assumptions'!$I$35*'Model Inputs &amp; Assumptions'!$K$35,IF('Model Inputs &amp; Assumptions'!$H$35="CPM",'Model Inputs &amp; Assumptions'!$I$35*'Model Inputs &amp; Assumptions'!$K$35*C3827/1000,IF('Model Inputs &amp; Assumptions'!$H$35="CPC",'Model Inputs &amp; Assumptions'!$I$35*'Model Inputs &amp; Assumptions'!$K$35*G3827,0)))</f>
        <v>8672.8</v>
      </c>
      <c r="J3827" s="50" t="n">
        <f aca="false">H3827*INDEX('Model Inputs &amp; Assumptions'!$D$40:$D$42,MATCH('Model Inputs &amp; Assumptions'!$L$35,'Model Inputs &amp; Assumptions'!$A$40:$A$42,0))*INDEX('Model Inputs &amp; Assumptions'!$H$40:$H$42,MATCH('Model Inputs &amp; Assumptions'!$L$35,'Model Inputs &amp; Assumptions'!$A$40:$A$42,0))</f>
        <v>268842.590858681</v>
      </c>
      <c r="K3827" s="49" t="n">
        <f aca="false">H3827*INDEX('Model Inputs &amp; Assumptions'!$G$40:$G$42,MATCH('Model Inputs &amp; Assumptions'!$L$35,'Model Inputs &amp; Assumptions'!$A$40:$A$42,0))*INDEX('Model Inputs &amp; Assumptions'!$H$40:$H$42,MATCH('Model Inputs &amp; Assumptions'!$L$35,'Model Inputs &amp; Assumptions'!$A$40:$A$42,0))</f>
        <v>6048.95829432033</v>
      </c>
      <c r="L3827" s="51" t="n">
        <f aca="false">IFERROR(K3827/I3827,0)</f>
        <v>0.697463136970798</v>
      </c>
      <c r="M3827" s="49" t="n">
        <f aca="false">IFERROR(I3827/H3827,0)</f>
        <v>274.20804034265</v>
      </c>
      <c r="N3827" s="52" t="str">
        <f aca="false">'Model Inputs &amp; Assumptions'!$L$35</f>
        <v>PRD-EUAI</v>
      </c>
      <c r="P3827" s="53" t="n">
        <v>1.092645</v>
      </c>
      <c r="Q3827" s="53" t="n">
        <v>-0.419952</v>
      </c>
      <c r="R3827" s="53" t="n">
        <v>-1.907614</v>
      </c>
      <c r="S3827" s="53" t="n">
        <v>0.003041</v>
      </c>
    </row>
    <row r="3828" customFormat="false" ht="15" hidden="false" customHeight="false" outlineLevel="0" collapsed="false">
      <c r="A3828" s="43" t="n">
        <v>325</v>
      </c>
      <c r="B3828" s="44" t="str">
        <f aca="false">'Model Inputs &amp; Assumptions'!$B$35</f>
        <v>justETF — Sponsored Listing</v>
      </c>
      <c r="C3828" s="45" t="n">
        <f aca="false">ROUND(MAX(0,'Model Inputs &amp; Assumptions'!$S$35*EXP('Model Inputs &amp; Assumptions'!$T$35*P3828-'Model Inputs &amp; Assumptions'!$T$35^2/2)),0)</f>
        <v>93943</v>
      </c>
      <c r="D3828" s="46" t="n">
        <f aca="false">MIN(1,'Model Inputs &amp; Assumptions'!$U$35*EXP('Model Inputs &amp; Assumptions'!$V$35*Q3828-'Model Inputs &amp; Assumptions'!$V$35^2/2))</f>
        <v>0</v>
      </c>
      <c r="E3828" s="45" t="n">
        <f aca="false">ROUND(C3828*D3828,0)</f>
        <v>0</v>
      </c>
      <c r="F3828" s="47" t="n">
        <f aca="false">MIN(1,'Model Inputs &amp; Assumptions'!$W$35*EXP('Model Inputs &amp; Assumptions'!$X$35*R3828-'Model Inputs &amp; Assumptions'!$X$35^2/2))</f>
        <v>0.0082935651119681</v>
      </c>
      <c r="G3828" s="45" t="n">
        <f aca="false">ROUND(C3828*F3828,0)</f>
        <v>779</v>
      </c>
      <c r="H3828" s="48" t="n">
        <f aca="false">MAX(0,(C3828*'Model Inputs &amp; Assumptions'!$N$35+E3828*'Model Inputs &amp; Assumptions'!$O$35+G3828*'Model Inputs &amp; Assumptions'!$P$35)*EXP('Model Inputs &amp; Assumptions'!$Q$35*S3828-'Model Inputs &amp; Assumptions'!$Q$35^2/2))</f>
        <v>42.9446977421197</v>
      </c>
      <c r="I3828" s="49" t="n">
        <f aca="false">IF('Model Inputs &amp; Assumptions'!$H$35="Fixed",'Model Inputs &amp; Assumptions'!$I$35*'Model Inputs &amp; Assumptions'!$K$35,IF('Model Inputs &amp; Assumptions'!$H$35="CPM",'Model Inputs &amp; Assumptions'!$I$35*'Model Inputs &amp; Assumptions'!$K$35*C3828/1000,IF('Model Inputs &amp; Assumptions'!$H$35="CPC",'Model Inputs &amp; Assumptions'!$I$35*'Model Inputs &amp; Assumptions'!$K$35*G3828,0)))</f>
        <v>8672.8</v>
      </c>
      <c r="J3828" s="50" t="n">
        <f aca="false">H3828*INDEX('Model Inputs &amp; Assumptions'!$D$40:$D$42,MATCH('Model Inputs &amp; Assumptions'!$L$35,'Model Inputs &amp; Assumptions'!$A$40:$A$42,0))*INDEX('Model Inputs &amp; Assumptions'!$H$40:$H$42,MATCH('Model Inputs &amp; Assumptions'!$L$35,'Model Inputs &amp; Assumptions'!$A$40:$A$42,0))</f>
        <v>365029.930808018</v>
      </c>
      <c r="K3828" s="49" t="n">
        <f aca="false">H3828*INDEX('Model Inputs &amp; Assumptions'!$G$40:$G$42,MATCH('Model Inputs &amp; Assumptions'!$L$35,'Model Inputs &amp; Assumptions'!$A$40:$A$42,0))*INDEX('Model Inputs &amp; Assumptions'!$H$40:$H$42,MATCH('Model Inputs &amp; Assumptions'!$L$35,'Model Inputs &amp; Assumptions'!$A$40:$A$42,0))</f>
        <v>8213.1734431804</v>
      </c>
      <c r="L3828" s="51" t="n">
        <f aca="false">IFERROR(K3828/I3828,0)</f>
        <v>0.94700367161475</v>
      </c>
      <c r="M3828" s="49" t="n">
        <f aca="false">IFERROR(I3828/H3828,0)</f>
        <v>201.952754495552</v>
      </c>
      <c r="N3828" s="52" t="str">
        <f aca="false">'Model Inputs &amp; Assumptions'!$L$35</f>
        <v>PRD-EUAI</v>
      </c>
      <c r="P3828" s="53" t="n">
        <v>0.405472</v>
      </c>
      <c r="Q3828" s="53" t="n">
        <v>1.663589</v>
      </c>
      <c r="R3828" s="53" t="n">
        <v>1.166862</v>
      </c>
      <c r="S3828" s="53" t="n">
        <v>-0.788607</v>
      </c>
    </row>
    <row r="3829" customFormat="false" ht="15" hidden="false" customHeight="false" outlineLevel="0" collapsed="false">
      <c r="A3829" s="43" t="n">
        <v>326</v>
      </c>
      <c r="B3829" s="44" t="str">
        <f aca="false">'Model Inputs &amp; Assumptions'!$B$35</f>
        <v>justETF — Sponsored Listing</v>
      </c>
      <c r="C3829" s="45" t="n">
        <f aca="false">ROUND(MAX(0,'Model Inputs &amp; Assumptions'!$S$35*EXP('Model Inputs &amp; Assumptions'!$T$35*P3829-'Model Inputs &amp; Assumptions'!$T$35^2/2)),0)</f>
        <v>98702</v>
      </c>
      <c r="D3829" s="46" t="n">
        <f aca="false">MIN(1,'Model Inputs &amp; Assumptions'!$U$35*EXP('Model Inputs &amp; Assumptions'!$V$35*Q3829-'Model Inputs &amp; Assumptions'!$V$35^2/2))</f>
        <v>0</v>
      </c>
      <c r="E3829" s="45" t="n">
        <f aca="false">ROUND(C3829*D3829,0)</f>
        <v>0</v>
      </c>
      <c r="F3829" s="47" t="n">
        <f aca="false">MIN(1,'Model Inputs &amp; Assumptions'!$W$35*EXP('Model Inputs &amp; Assumptions'!$X$35*R3829-'Model Inputs &amp; Assumptions'!$X$35^2/2))</f>
        <v>0.00638057313501832</v>
      </c>
      <c r="G3829" s="45" t="n">
        <f aca="false">ROUND(C3829*F3829,0)</f>
        <v>630</v>
      </c>
      <c r="H3829" s="48" t="n">
        <f aca="false">MAX(0,(C3829*'Model Inputs &amp; Assumptions'!$N$35+E3829*'Model Inputs &amp; Assumptions'!$O$35+G3829*'Model Inputs &amp; Assumptions'!$P$35)*EXP('Model Inputs &amp; Assumptions'!$Q$35*S3829-'Model Inputs &amp; Assumptions'!$Q$35^2/2))</f>
        <v>23.7438080416441</v>
      </c>
      <c r="I3829" s="49" t="n">
        <f aca="false">IF('Model Inputs &amp; Assumptions'!$H$35="Fixed",'Model Inputs &amp; Assumptions'!$I$35*'Model Inputs &amp; Assumptions'!$K$35,IF('Model Inputs &amp; Assumptions'!$H$35="CPM",'Model Inputs &amp; Assumptions'!$I$35*'Model Inputs &amp; Assumptions'!$K$35*C3829/1000,IF('Model Inputs &amp; Assumptions'!$H$35="CPC",'Model Inputs &amp; Assumptions'!$I$35*'Model Inputs &amp; Assumptions'!$K$35*G3829,0)))</f>
        <v>8672.8</v>
      </c>
      <c r="J3829" s="50" t="n">
        <f aca="false">H3829*INDEX('Model Inputs &amp; Assumptions'!$D$40:$D$42,MATCH('Model Inputs &amp; Assumptions'!$L$35,'Model Inputs &amp; Assumptions'!$A$40:$A$42,0))*INDEX('Model Inputs &amp; Assumptions'!$H$40:$H$42,MATCH('Model Inputs &amp; Assumptions'!$L$35,'Model Inputs &amp; Assumptions'!$A$40:$A$42,0))</f>
        <v>201822.368353975</v>
      </c>
      <c r="K3829" s="49" t="n">
        <f aca="false">H3829*INDEX('Model Inputs &amp; Assumptions'!$G$40:$G$42,MATCH('Model Inputs &amp; Assumptions'!$L$35,'Model Inputs &amp; Assumptions'!$A$40:$A$42,0))*INDEX('Model Inputs &amp; Assumptions'!$H$40:$H$42,MATCH('Model Inputs &amp; Assumptions'!$L$35,'Model Inputs &amp; Assumptions'!$A$40:$A$42,0))</f>
        <v>4541.00328796444</v>
      </c>
      <c r="L3829" s="51" t="n">
        <f aca="false">IFERROR(K3829/I3829,0)</f>
        <v>0.523591376252702</v>
      </c>
      <c r="M3829" s="49" t="n">
        <f aca="false">IFERROR(I3829/H3829,0)</f>
        <v>365.265756225321</v>
      </c>
      <c r="N3829" s="52" t="str">
        <f aca="false">'Model Inputs &amp; Assumptions'!$L$35</f>
        <v>PRD-EUAI</v>
      </c>
      <c r="P3829" s="53" t="n">
        <v>0.734914</v>
      </c>
      <c r="Q3829" s="53" t="n">
        <v>-0.164199</v>
      </c>
      <c r="R3829" s="53" t="n">
        <v>-0.144248</v>
      </c>
      <c r="S3829" s="53" t="n">
        <v>-2.2513</v>
      </c>
    </row>
    <row r="3830" customFormat="false" ht="15" hidden="false" customHeight="false" outlineLevel="0" collapsed="false">
      <c r="A3830" s="43" t="n">
        <v>327</v>
      </c>
      <c r="B3830" s="44" t="str">
        <f aca="false">'Model Inputs &amp; Assumptions'!$B$35</f>
        <v>justETF — Sponsored Listing</v>
      </c>
      <c r="C3830" s="45" t="n">
        <f aca="false">ROUND(MAX(0,'Model Inputs &amp; Assumptions'!$S$35*EXP('Model Inputs &amp; Assumptions'!$T$35*P3830-'Model Inputs &amp; Assumptions'!$T$35^2/2)),0)</f>
        <v>91648</v>
      </c>
      <c r="D3830" s="46" t="n">
        <f aca="false">MIN(1,'Model Inputs &amp; Assumptions'!$U$35*EXP('Model Inputs &amp; Assumptions'!$V$35*Q3830-'Model Inputs &amp; Assumptions'!$V$35^2/2))</f>
        <v>0</v>
      </c>
      <c r="E3830" s="45" t="n">
        <f aca="false">ROUND(C3830*D3830,0)</f>
        <v>0</v>
      </c>
      <c r="F3830" s="47" t="n">
        <f aca="false">MIN(1,'Model Inputs &amp; Assumptions'!$W$35*EXP('Model Inputs &amp; Assumptions'!$X$35*R3830-'Model Inputs &amp; Assumptions'!$X$35^2/2))</f>
        <v>0.00949814129586334</v>
      </c>
      <c r="G3830" s="45" t="n">
        <f aca="false">ROUND(C3830*F3830,0)</f>
        <v>870</v>
      </c>
      <c r="H3830" s="48" t="n">
        <f aca="false">MAX(0,(C3830*'Model Inputs &amp; Assumptions'!$N$35+E3830*'Model Inputs &amp; Assumptions'!$O$35+G3830*'Model Inputs &amp; Assumptions'!$P$35)*EXP('Model Inputs &amp; Assumptions'!$Q$35*S3830-'Model Inputs &amp; Assumptions'!$Q$35^2/2))</f>
        <v>58.6542205833539</v>
      </c>
      <c r="I3830" s="49" t="n">
        <f aca="false">IF('Model Inputs &amp; Assumptions'!$H$35="Fixed",'Model Inputs &amp; Assumptions'!$I$35*'Model Inputs &amp; Assumptions'!$K$35,IF('Model Inputs &amp; Assumptions'!$H$35="CPM",'Model Inputs &amp; Assumptions'!$I$35*'Model Inputs &amp; Assumptions'!$K$35*C3830/1000,IF('Model Inputs &amp; Assumptions'!$H$35="CPC",'Model Inputs &amp; Assumptions'!$I$35*'Model Inputs &amp; Assumptions'!$K$35*G3830,0)))</f>
        <v>8672.8</v>
      </c>
      <c r="J3830" s="50" t="n">
        <f aca="false">H3830*INDEX('Model Inputs &amp; Assumptions'!$D$40:$D$42,MATCH('Model Inputs &amp; Assumptions'!$L$35,'Model Inputs &amp; Assumptions'!$A$40:$A$42,0))*INDEX('Model Inputs &amp; Assumptions'!$H$40:$H$42,MATCH('Model Inputs &amp; Assumptions'!$L$35,'Model Inputs &amp; Assumptions'!$A$40:$A$42,0))</f>
        <v>498560.874958508</v>
      </c>
      <c r="K3830" s="49" t="n">
        <f aca="false">H3830*INDEX('Model Inputs &amp; Assumptions'!$G$40:$G$42,MATCH('Model Inputs &amp; Assumptions'!$L$35,'Model Inputs &amp; Assumptions'!$A$40:$A$42,0))*INDEX('Model Inputs &amp; Assumptions'!$H$40:$H$42,MATCH('Model Inputs &amp; Assumptions'!$L$35,'Model Inputs &amp; Assumptions'!$A$40:$A$42,0))</f>
        <v>11217.6196865664</v>
      </c>
      <c r="L3830" s="51" t="n">
        <f aca="false">IFERROR(K3830/I3830,0)</f>
        <v>1.2934253858692</v>
      </c>
      <c r="M3830" s="49" t="n">
        <f aca="false">IFERROR(I3830/H3830,0)</f>
        <v>147.863187230918</v>
      </c>
      <c r="N3830" s="52" t="str">
        <f aca="false">'Model Inputs &amp; Assumptions'!$L$35</f>
        <v>PRD-EUAI</v>
      </c>
      <c r="P3830" s="53" t="n">
        <v>0.240575</v>
      </c>
      <c r="Q3830" s="53" t="n">
        <v>0.48454</v>
      </c>
      <c r="R3830" s="53" t="n">
        <v>1.844943</v>
      </c>
      <c r="S3830" s="53" t="n">
        <v>-0.014514</v>
      </c>
    </row>
    <row r="3831" customFormat="false" ht="15" hidden="false" customHeight="false" outlineLevel="0" collapsed="false">
      <c r="A3831" s="43" t="n">
        <v>328</v>
      </c>
      <c r="B3831" s="44" t="str">
        <f aca="false">'Model Inputs &amp; Assumptions'!$B$35</f>
        <v>justETF — Sponsored Listing</v>
      </c>
      <c r="C3831" s="45" t="n">
        <f aca="false">ROUND(MAX(0,'Model Inputs &amp; Assumptions'!$S$35*EXP('Model Inputs &amp; Assumptions'!$T$35*P3831-'Model Inputs &amp; Assumptions'!$T$35^2/2)),0)</f>
        <v>81850</v>
      </c>
      <c r="D3831" s="46" t="n">
        <f aca="false">MIN(1,'Model Inputs &amp; Assumptions'!$U$35*EXP('Model Inputs &amp; Assumptions'!$V$35*Q3831-'Model Inputs &amp; Assumptions'!$V$35^2/2))</f>
        <v>0</v>
      </c>
      <c r="E3831" s="45" t="n">
        <f aca="false">ROUND(C3831*D3831,0)</f>
        <v>0</v>
      </c>
      <c r="F3831" s="47" t="n">
        <f aca="false">MIN(1,'Model Inputs &amp; Assumptions'!$W$35*EXP('Model Inputs &amp; Assumptions'!$X$35*R3831-'Model Inputs &amp; Assumptions'!$X$35^2/2))</f>
        <v>0.00817248583527748</v>
      </c>
      <c r="G3831" s="45" t="n">
        <f aca="false">ROUND(C3831*F3831,0)</f>
        <v>669</v>
      </c>
      <c r="H3831" s="48" t="n">
        <f aca="false">MAX(0,(C3831*'Model Inputs &amp; Assumptions'!$N$35+E3831*'Model Inputs &amp; Assumptions'!$O$35+G3831*'Model Inputs &amp; Assumptions'!$P$35)*EXP('Model Inputs &amp; Assumptions'!$Q$35*S3831-'Model Inputs &amp; Assumptions'!$Q$35^2/2))</f>
        <v>45.0450393284484</v>
      </c>
      <c r="I3831" s="49" t="n">
        <f aca="false">IF('Model Inputs &amp; Assumptions'!$H$35="Fixed",'Model Inputs &amp; Assumptions'!$I$35*'Model Inputs &amp; Assumptions'!$K$35,IF('Model Inputs &amp; Assumptions'!$H$35="CPM",'Model Inputs &amp; Assumptions'!$I$35*'Model Inputs &amp; Assumptions'!$K$35*C3831/1000,IF('Model Inputs &amp; Assumptions'!$H$35="CPC",'Model Inputs &amp; Assumptions'!$I$35*'Model Inputs &amp; Assumptions'!$K$35*G3831,0)))</f>
        <v>8672.8</v>
      </c>
      <c r="J3831" s="50" t="n">
        <f aca="false">H3831*INDEX('Model Inputs &amp; Assumptions'!$D$40:$D$42,MATCH('Model Inputs &amp; Assumptions'!$L$35,'Model Inputs &amp; Assumptions'!$A$40:$A$42,0))*INDEX('Model Inputs &amp; Assumptions'!$H$40:$H$42,MATCH('Model Inputs &amp; Assumptions'!$L$35,'Model Inputs &amp; Assumptions'!$A$40:$A$42,0))</f>
        <v>382882.834291812</v>
      </c>
      <c r="K3831" s="49" t="n">
        <f aca="false">H3831*INDEX('Model Inputs &amp; Assumptions'!$G$40:$G$42,MATCH('Model Inputs &amp; Assumptions'!$L$35,'Model Inputs &amp; Assumptions'!$A$40:$A$42,0))*INDEX('Model Inputs &amp; Assumptions'!$H$40:$H$42,MATCH('Model Inputs &amp; Assumptions'!$L$35,'Model Inputs &amp; Assumptions'!$A$40:$A$42,0))</f>
        <v>8614.86377156576</v>
      </c>
      <c r="L3831" s="51" t="n">
        <f aca="false">IFERROR(K3831/I3831,0)</f>
        <v>0.993319778106928</v>
      </c>
      <c r="M3831" s="49" t="n">
        <f aca="false">IFERROR(I3831/H3831,0)</f>
        <v>192.536184434468</v>
      </c>
      <c r="N3831" s="52" t="str">
        <f aca="false">'Model Inputs &amp; Assumptions'!$L$35</f>
        <v>PRD-EUAI</v>
      </c>
      <c r="P3831" s="53" t="n">
        <v>-0.513211</v>
      </c>
      <c r="Q3831" s="53" t="n">
        <v>-0.835944</v>
      </c>
      <c r="R3831" s="53" t="n">
        <v>1.093328</v>
      </c>
      <c r="S3831" s="53" t="n">
        <v>-0.019466</v>
      </c>
    </row>
    <row r="3832" customFormat="false" ht="15" hidden="false" customHeight="false" outlineLevel="0" collapsed="false">
      <c r="A3832" s="43" t="n">
        <v>329</v>
      </c>
      <c r="B3832" s="44" t="str">
        <f aca="false">'Model Inputs &amp; Assumptions'!$B$35</f>
        <v>justETF — Sponsored Listing</v>
      </c>
      <c r="C3832" s="45" t="n">
        <f aca="false">ROUND(MAX(0,'Model Inputs &amp; Assumptions'!$S$35*EXP('Model Inputs &amp; Assumptions'!$T$35*P3832-'Model Inputs &amp; Assumptions'!$T$35^2/2)),0)</f>
        <v>81280</v>
      </c>
      <c r="D3832" s="46" t="n">
        <f aca="false">MIN(1,'Model Inputs &amp; Assumptions'!$U$35*EXP('Model Inputs &amp; Assumptions'!$V$35*Q3832-'Model Inputs &amp; Assumptions'!$V$35^2/2))</f>
        <v>0</v>
      </c>
      <c r="E3832" s="45" t="n">
        <f aca="false">ROUND(C3832*D3832,0)</f>
        <v>0</v>
      </c>
      <c r="F3832" s="47" t="n">
        <f aca="false">MIN(1,'Model Inputs &amp; Assumptions'!$W$35*EXP('Model Inputs &amp; Assumptions'!$X$35*R3832-'Model Inputs &amp; Assumptions'!$X$35^2/2))</f>
        <v>0.00489311701304117</v>
      </c>
      <c r="G3832" s="45" t="n">
        <f aca="false">ROUND(C3832*F3832,0)</f>
        <v>398</v>
      </c>
      <c r="H3832" s="48" t="n">
        <f aca="false">MAX(0,(C3832*'Model Inputs &amp; Assumptions'!$N$35+E3832*'Model Inputs &amp; Assumptions'!$O$35+G3832*'Model Inputs &amp; Assumptions'!$P$35)*EXP('Model Inputs &amp; Assumptions'!$Q$35*S3832-'Model Inputs &amp; Assumptions'!$Q$35^2/2))</f>
        <v>21.6510815290165</v>
      </c>
      <c r="I3832" s="49" t="n">
        <f aca="false">IF('Model Inputs &amp; Assumptions'!$H$35="Fixed",'Model Inputs &amp; Assumptions'!$I$35*'Model Inputs &amp; Assumptions'!$K$35,IF('Model Inputs &amp; Assumptions'!$H$35="CPM",'Model Inputs &amp; Assumptions'!$I$35*'Model Inputs &amp; Assumptions'!$K$35*C3832/1000,IF('Model Inputs &amp; Assumptions'!$H$35="CPC",'Model Inputs &amp; Assumptions'!$I$35*'Model Inputs &amp; Assumptions'!$K$35*G3832,0)))</f>
        <v>8672.8</v>
      </c>
      <c r="J3832" s="50" t="n">
        <f aca="false">H3832*INDEX('Model Inputs &amp; Assumptions'!$D$40:$D$42,MATCH('Model Inputs &amp; Assumptions'!$L$35,'Model Inputs &amp; Assumptions'!$A$40:$A$42,0))*INDEX('Model Inputs &amp; Assumptions'!$H$40:$H$42,MATCH('Model Inputs &amp; Assumptions'!$L$35,'Model Inputs &amp; Assumptions'!$A$40:$A$42,0))</f>
        <v>184034.19299664</v>
      </c>
      <c r="K3832" s="49" t="n">
        <f aca="false">H3832*INDEX('Model Inputs &amp; Assumptions'!$G$40:$G$42,MATCH('Model Inputs &amp; Assumptions'!$L$35,'Model Inputs &amp; Assumptions'!$A$40:$A$42,0))*INDEX('Model Inputs &amp; Assumptions'!$H$40:$H$42,MATCH('Model Inputs &amp; Assumptions'!$L$35,'Model Inputs &amp; Assumptions'!$A$40:$A$42,0))</f>
        <v>4140.76934242441</v>
      </c>
      <c r="L3832" s="51" t="n">
        <f aca="false">IFERROR(K3832/I3832,0)</f>
        <v>0.477443195095518</v>
      </c>
      <c r="M3832" s="49" t="n">
        <f aca="false">IFERROR(I3832/H3832,0)</f>
        <v>400.571213423072</v>
      </c>
      <c r="N3832" s="52" t="str">
        <f aca="false">'Model Inputs &amp; Assumptions'!$L$35</f>
        <v>PRD-EUAI</v>
      </c>
      <c r="P3832" s="53" t="n">
        <v>-0.559782</v>
      </c>
      <c r="Q3832" s="53" t="n">
        <v>-0.462348</v>
      </c>
      <c r="R3832" s="53" t="n">
        <v>-1.47139</v>
      </c>
      <c r="S3832" s="53" t="n">
        <v>-0.839756</v>
      </c>
    </row>
    <row r="3833" customFormat="false" ht="15" hidden="false" customHeight="false" outlineLevel="0" collapsed="false">
      <c r="A3833" s="43" t="n">
        <v>330</v>
      </c>
      <c r="B3833" s="44" t="str">
        <f aca="false">'Model Inputs &amp; Assumptions'!$B$35</f>
        <v>justETF — Sponsored Listing</v>
      </c>
      <c r="C3833" s="45" t="n">
        <f aca="false">ROUND(MAX(0,'Model Inputs &amp; Assumptions'!$S$35*EXP('Model Inputs &amp; Assumptions'!$T$35*P3833-'Model Inputs &amp; Assumptions'!$T$35^2/2)),0)</f>
        <v>101094</v>
      </c>
      <c r="D3833" s="46" t="n">
        <f aca="false">MIN(1,'Model Inputs &amp; Assumptions'!$U$35*EXP('Model Inputs &amp; Assumptions'!$V$35*Q3833-'Model Inputs &amp; Assumptions'!$V$35^2/2))</f>
        <v>0</v>
      </c>
      <c r="E3833" s="45" t="n">
        <f aca="false">ROUND(C3833*D3833,0)</f>
        <v>0</v>
      </c>
      <c r="F3833" s="47" t="n">
        <f aca="false">MIN(1,'Model Inputs &amp; Assumptions'!$W$35*EXP('Model Inputs &amp; Assumptions'!$X$35*R3833-'Model Inputs &amp; Assumptions'!$X$35^2/2))</f>
        <v>0.00743525537050002</v>
      </c>
      <c r="G3833" s="45" t="n">
        <f aca="false">ROUND(C3833*F3833,0)</f>
        <v>752</v>
      </c>
      <c r="H3833" s="48" t="n">
        <f aca="false">MAX(0,(C3833*'Model Inputs &amp; Assumptions'!$N$35+E3833*'Model Inputs &amp; Assumptions'!$O$35+G3833*'Model Inputs &amp; Assumptions'!$P$35)*EXP('Model Inputs &amp; Assumptions'!$Q$35*S3833-'Model Inputs &amp; Assumptions'!$Q$35^2/2))</f>
        <v>54.332083402771</v>
      </c>
      <c r="I3833" s="49" t="n">
        <f aca="false">IF('Model Inputs &amp; Assumptions'!$H$35="Fixed",'Model Inputs &amp; Assumptions'!$I$35*'Model Inputs &amp; Assumptions'!$K$35,IF('Model Inputs &amp; Assumptions'!$H$35="CPM",'Model Inputs &amp; Assumptions'!$I$35*'Model Inputs &amp; Assumptions'!$K$35*C3833/1000,IF('Model Inputs &amp; Assumptions'!$H$35="CPC",'Model Inputs &amp; Assumptions'!$I$35*'Model Inputs &amp; Assumptions'!$K$35*G3833,0)))</f>
        <v>8672.8</v>
      </c>
      <c r="J3833" s="50" t="n">
        <f aca="false">H3833*INDEX('Model Inputs &amp; Assumptions'!$D$40:$D$42,MATCH('Model Inputs &amp; Assumptions'!$L$35,'Model Inputs &amp; Assumptions'!$A$40:$A$42,0))*INDEX('Model Inputs &amp; Assumptions'!$H$40:$H$42,MATCH('Model Inputs &amp; Assumptions'!$L$35,'Model Inputs &amp; Assumptions'!$A$40:$A$42,0))</f>
        <v>461822.708923554</v>
      </c>
      <c r="K3833" s="49" t="n">
        <f aca="false">H3833*INDEX('Model Inputs &amp; Assumptions'!$G$40:$G$42,MATCH('Model Inputs &amp; Assumptions'!$L$35,'Model Inputs &amp; Assumptions'!$A$40:$A$42,0))*INDEX('Model Inputs &amp; Assumptions'!$H$40:$H$42,MATCH('Model Inputs &amp; Assumptions'!$L$35,'Model Inputs &amp; Assumptions'!$A$40:$A$42,0))</f>
        <v>10391.01095078</v>
      </c>
      <c r="L3833" s="51" t="n">
        <f aca="false">IFERROR(K3833/I3833,0)</f>
        <v>1.19811490531085</v>
      </c>
      <c r="M3833" s="49" t="n">
        <f aca="false">IFERROR(I3833/H3833,0)</f>
        <v>159.625758057304</v>
      </c>
      <c r="N3833" s="52" t="str">
        <f aca="false">'Model Inputs &amp; Assumptions'!$L$35</f>
        <v>PRD-EUAI</v>
      </c>
      <c r="P3833" s="53" t="n">
        <v>0.894518</v>
      </c>
      <c r="Q3833" s="53" t="n">
        <v>0.57626</v>
      </c>
      <c r="R3833" s="53" t="n">
        <v>0.620627</v>
      </c>
      <c r="S3833" s="53" t="n">
        <v>0.251687</v>
      </c>
    </row>
    <row r="3834" customFormat="false" ht="15" hidden="false" customHeight="false" outlineLevel="0" collapsed="false">
      <c r="A3834" s="43" t="n">
        <v>331</v>
      </c>
      <c r="B3834" s="44" t="str">
        <f aca="false">'Model Inputs &amp; Assumptions'!$B$35</f>
        <v>justETF — Sponsored Listing</v>
      </c>
      <c r="C3834" s="45" t="n">
        <f aca="false">ROUND(MAX(0,'Model Inputs &amp; Assumptions'!$S$35*EXP('Model Inputs &amp; Assumptions'!$T$35*P3834-'Model Inputs &amp; Assumptions'!$T$35^2/2)),0)</f>
        <v>106892</v>
      </c>
      <c r="D3834" s="46" t="n">
        <f aca="false">MIN(1,'Model Inputs &amp; Assumptions'!$U$35*EXP('Model Inputs &amp; Assumptions'!$V$35*Q3834-'Model Inputs &amp; Assumptions'!$V$35^2/2))</f>
        <v>0</v>
      </c>
      <c r="E3834" s="45" t="n">
        <f aca="false">ROUND(C3834*D3834,0)</f>
        <v>0</v>
      </c>
      <c r="F3834" s="47" t="n">
        <f aca="false">MIN(1,'Model Inputs &amp; Assumptions'!$W$35*EXP('Model Inputs &amp; Assumptions'!$X$35*R3834-'Model Inputs &amp; Assumptions'!$X$35^2/2))</f>
        <v>0.00579935164753908</v>
      </c>
      <c r="G3834" s="45" t="n">
        <f aca="false">ROUND(C3834*F3834,0)</f>
        <v>620</v>
      </c>
      <c r="H3834" s="48" t="n">
        <f aca="false">MAX(0,(C3834*'Model Inputs &amp; Assumptions'!$N$35+E3834*'Model Inputs &amp; Assumptions'!$O$35+G3834*'Model Inputs &amp; Assumptions'!$P$35)*EXP('Model Inputs &amp; Assumptions'!$Q$35*S3834-'Model Inputs &amp; Assumptions'!$Q$35^2/2))</f>
        <v>25.8833923520537</v>
      </c>
      <c r="I3834" s="49" t="n">
        <f aca="false">IF('Model Inputs &amp; Assumptions'!$H$35="Fixed",'Model Inputs &amp; Assumptions'!$I$35*'Model Inputs &amp; Assumptions'!$K$35,IF('Model Inputs &amp; Assumptions'!$H$35="CPM",'Model Inputs &amp; Assumptions'!$I$35*'Model Inputs &amp; Assumptions'!$K$35*C3834/1000,IF('Model Inputs &amp; Assumptions'!$H$35="CPC",'Model Inputs &amp; Assumptions'!$I$35*'Model Inputs &amp; Assumptions'!$K$35*G3834,0)))</f>
        <v>8672.8</v>
      </c>
      <c r="J3834" s="50" t="n">
        <f aca="false">H3834*INDEX('Model Inputs &amp; Assumptions'!$D$40:$D$42,MATCH('Model Inputs &amp; Assumptions'!$L$35,'Model Inputs &amp; Assumptions'!$A$40:$A$42,0))*INDEX('Model Inputs &amp; Assumptions'!$H$40:$H$42,MATCH('Model Inputs &amp; Assumptions'!$L$35,'Model Inputs &amp; Assumptions'!$A$40:$A$42,0))</f>
        <v>220008.834992457</v>
      </c>
      <c r="K3834" s="49" t="n">
        <f aca="false">H3834*INDEX('Model Inputs &amp; Assumptions'!$G$40:$G$42,MATCH('Model Inputs &amp; Assumptions'!$L$35,'Model Inputs &amp; Assumptions'!$A$40:$A$42,0))*INDEX('Model Inputs &amp; Assumptions'!$H$40:$H$42,MATCH('Model Inputs &amp; Assumptions'!$L$35,'Model Inputs &amp; Assumptions'!$A$40:$A$42,0))</f>
        <v>4950.19878733028</v>
      </c>
      <c r="L3834" s="51" t="n">
        <f aca="false">IFERROR(K3834/I3834,0)</f>
        <v>0.570772851596979</v>
      </c>
      <c r="M3834" s="49" t="n">
        <f aca="false">IFERROR(I3834/H3834,0)</f>
        <v>335.0719983701</v>
      </c>
      <c r="N3834" s="52" t="str">
        <f aca="false">'Model Inputs &amp; Assumptions'!$L$35</f>
        <v>PRD-EUAI</v>
      </c>
      <c r="P3834" s="53" t="n">
        <v>1.2663</v>
      </c>
      <c r="Q3834" s="53" t="n">
        <v>-0.636448</v>
      </c>
      <c r="R3834" s="53" t="n">
        <v>-0.621807</v>
      </c>
      <c r="S3834" s="53" t="n">
        <v>-1.857915</v>
      </c>
    </row>
    <row r="3835" customFormat="false" ht="15" hidden="false" customHeight="false" outlineLevel="0" collapsed="false">
      <c r="A3835" s="43" t="n">
        <v>332</v>
      </c>
      <c r="B3835" s="44" t="str">
        <f aca="false">'Model Inputs &amp; Assumptions'!$B$35</f>
        <v>justETF — Sponsored Listing</v>
      </c>
      <c r="C3835" s="45" t="n">
        <f aca="false">ROUND(MAX(0,'Model Inputs &amp; Assumptions'!$S$35*EXP('Model Inputs &amp; Assumptions'!$T$35*P3835-'Model Inputs &amp; Assumptions'!$T$35^2/2)),0)</f>
        <v>122875</v>
      </c>
      <c r="D3835" s="46" t="n">
        <f aca="false">MIN(1,'Model Inputs &amp; Assumptions'!$U$35*EXP('Model Inputs &amp; Assumptions'!$V$35*Q3835-'Model Inputs &amp; Assumptions'!$V$35^2/2))</f>
        <v>0</v>
      </c>
      <c r="E3835" s="45" t="n">
        <f aca="false">ROUND(C3835*D3835,0)</f>
        <v>0</v>
      </c>
      <c r="F3835" s="47" t="n">
        <f aca="false">MIN(1,'Model Inputs &amp; Assumptions'!$W$35*EXP('Model Inputs &amp; Assumptions'!$X$35*R3835-'Model Inputs &amp; Assumptions'!$X$35^2/2))</f>
        <v>0.00638246078772172</v>
      </c>
      <c r="G3835" s="45" t="n">
        <f aca="false">ROUND(C3835*F3835,0)</f>
        <v>784</v>
      </c>
      <c r="H3835" s="48" t="n">
        <f aca="false">MAX(0,(C3835*'Model Inputs &amp; Assumptions'!$N$35+E3835*'Model Inputs &amp; Assumptions'!$O$35+G3835*'Model Inputs &amp; Assumptions'!$P$35)*EXP('Model Inputs &amp; Assumptions'!$Q$35*S3835-'Model Inputs &amp; Assumptions'!$Q$35^2/2))</f>
        <v>48.7385814536939</v>
      </c>
      <c r="I3835" s="49" t="n">
        <f aca="false">IF('Model Inputs &amp; Assumptions'!$H$35="Fixed",'Model Inputs &amp; Assumptions'!$I$35*'Model Inputs &amp; Assumptions'!$K$35,IF('Model Inputs &amp; Assumptions'!$H$35="CPM",'Model Inputs &amp; Assumptions'!$I$35*'Model Inputs &amp; Assumptions'!$K$35*C3835/1000,IF('Model Inputs &amp; Assumptions'!$H$35="CPC",'Model Inputs &amp; Assumptions'!$I$35*'Model Inputs &amp; Assumptions'!$K$35*G3835,0)))</f>
        <v>8672.8</v>
      </c>
      <c r="J3835" s="50" t="n">
        <f aca="false">H3835*INDEX('Model Inputs &amp; Assumptions'!$D$40:$D$42,MATCH('Model Inputs &amp; Assumptions'!$L$35,'Model Inputs &amp; Assumptions'!$A$40:$A$42,0))*INDEX('Model Inputs &amp; Assumptions'!$H$40:$H$42,MATCH('Model Inputs &amp; Assumptions'!$L$35,'Model Inputs &amp; Assumptions'!$A$40:$A$42,0))</f>
        <v>414277.942356398</v>
      </c>
      <c r="K3835" s="49" t="n">
        <f aca="false">H3835*INDEX('Model Inputs &amp; Assumptions'!$G$40:$G$42,MATCH('Model Inputs &amp; Assumptions'!$L$35,'Model Inputs &amp; Assumptions'!$A$40:$A$42,0))*INDEX('Model Inputs &amp; Assumptions'!$H$40:$H$42,MATCH('Model Inputs &amp; Assumptions'!$L$35,'Model Inputs &amp; Assumptions'!$A$40:$A$42,0))</f>
        <v>9321.25370301896</v>
      </c>
      <c r="L3835" s="51" t="n">
        <f aca="false">IFERROR(K3835/I3835,0)</f>
        <v>1.07476866790644</v>
      </c>
      <c r="M3835" s="49" t="n">
        <f aca="false">IFERROR(I3835/H3835,0)</f>
        <v>177.945269257374</v>
      </c>
      <c r="N3835" s="52" t="str">
        <f aca="false">'Model Inputs &amp; Assumptions'!$L$35</f>
        <v>PRD-EUAI</v>
      </c>
      <c r="P3835" s="53" t="n">
        <v>2.195311</v>
      </c>
      <c r="Q3835" s="53" t="n">
        <v>-0.194182</v>
      </c>
      <c r="R3835" s="53" t="n">
        <v>-0.142769</v>
      </c>
      <c r="S3835" s="53" t="n">
        <v>-0.326454</v>
      </c>
    </row>
    <row r="3836" customFormat="false" ht="15" hidden="false" customHeight="false" outlineLevel="0" collapsed="false">
      <c r="A3836" s="43" t="n">
        <v>333</v>
      </c>
      <c r="B3836" s="44" t="str">
        <f aca="false">'Model Inputs &amp; Assumptions'!$B$35</f>
        <v>justETF — Sponsored Listing</v>
      </c>
      <c r="C3836" s="45" t="n">
        <f aca="false">ROUND(MAX(0,'Model Inputs &amp; Assumptions'!$S$35*EXP('Model Inputs &amp; Assumptions'!$T$35*P3836-'Model Inputs &amp; Assumptions'!$T$35^2/2)),0)</f>
        <v>91466</v>
      </c>
      <c r="D3836" s="46" t="n">
        <f aca="false">MIN(1,'Model Inputs &amp; Assumptions'!$U$35*EXP('Model Inputs &amp; Assumptions'!$V$35*Q3836-'Model Inputs &amp; Assumptions'!$V$35^2/2))</f>
        <v>0</v>
      </c>
      <c r="E3836" s="45" t="n">
        <f aca="false">ROUND(C3836*D3836,0)</f>
        <v>0</v>
      </c>
      <c r="F3836" s="47" t="n">
        <f aca="false">MIN(1,'Model Inputs &amp; Assumptions'!$W$35*EXP('Model Inputs &amp; Assumptions'!$X$35*R3836-'Model Inputs &amp; Assumptions'!$X$35^2/2))</f>
        <v>0.0064966335437921</v>
      </c>
      <c r="G3836" s="45" t="n">
        <f aca="false">ROUND(C3836*F3836,0)</f>
        <v>594</v>
      </c>
      <c r="H3836" s="48" t="n">
        <f aca="false">MAX(0,(C3836*'Model Inputs &amp; Assumptions'!$N$35+E3836*'Model Inputs &amp; Assumptions'!$O$35+G3836*'Model Inputs &amp; Assumptions'!$P$35)*EXP('Model Inputs &amp; Assumptions'!$Q$35*S3836-'Model Inputs &amp; Assumptions'!$Q$35^2/2))</f>
        <v>42.1293700111829</v>
      </c>
      <c r="I3836" s="49" t="n">
        <f aca="false">IF('Model Inputs &amp; Assumptions'!$H$35="Fixed",'Model Inputs &amp; Assumptions'!$I$35*'Model Inputs &amp; Assumptions'!$K$35,IF('Model Inputs &amp; Assumptions'!$H$35="CPM",'Model Inputs &amp; Assumptions'!$I$35*'Model Inputs &amp; Assumptions'!$K$35*C3836/1000,IF('Model Inputs &amp; Assumptions'!$H$35="CPC",'Model Inputs &amp; Assumptions'!$I$35*'Model Inputs &amp; Assumptions'!$K$35*G3836,0)))</f>
        <v>8672.8</v>
      </c>
      <c r="J3836" s="50" t="n">
        <f aca="false">H3836*INDEX('Model Inputs &amp; Assumptions'!$D$40:$D$42,MATCH('Model Inputs &amp; Assumptions'!$L$35,'Model Inputs &amp; Assumptions'!$A$40:$A$42,0))*INDEX('Model Inputs &amp; Assumptions'!$H$40:$H$42,MATCH('Model Inputs &amp; Assumptions'!$L$35,'Model Inputs &amp; Assumptions'!$A$40:$A$42,0))</f>
        <v>358099.645095055</v>
      </c>
      <c r="K3836" s="49" t="n">
        <f aca="false">H3836*INDEX('Model Inputs &amp; Assumptions'!$G$40:$G$42,MATCH('Model Inputs &amp; Assumptions'!$L$35,'Model Inputs &amp; Assumptions'!$A$40:$A$42,0))*INDEX('Model Inputs &amp; Assumptions'!$H$40:$H$42,MATCH('Model Inputs &amp; Assumptions'!$L$35,'Model Inputs &amp; Assumptions'!$A$40:$A$42,0))</f>
        <v>8057.24201463873</v>
      </c>
      <c r="L3836" s="51" t="n">
        <f aca="false">IFERROR(K3836/I3836,0)</f>
        <v>0.929024307563732</v>
      </c>
      <c r="M3836" s="49" t="n">
        <f aca="false">IFERROR(I3836/H3836,0)</f>
        <v>205.861136724757</v>
      </c>
      <c r="N3836" s="52" t="str">
        <f aca="false">'Model Inputs &amp; Assumptions'!$L$35</f>
        <v>PRD-EUAI</v>
      </c>
      <c r="P3836" s="53" t="n">
        <v>0.227341</v>
      </c>
      <c r="Q3836" s="53" t="n">
        <v>0.262471</v>
      </c>
      <c r="R3836" s="53" t="n">
        <v>-0.054117</v>
      </c>
      <c r="S3836" s="53" t="n">
        <v>0.180484</v>
      </c>
    </row>
    <row r="3837" customFormat="false" ht="15" hidden="false" customHeight="false" outlineLevel="0" collapsed="false">
      <c r="A3837" s="43" t="n">
        <v>334</v>
      </c>
      <c r="B3837" s="44" t="str">
        <f aca="false">'Model Inputs &amp; Assumptions'!$B$35</f>
        <v>justETF — Sponsored Listing</v>
      </c>
      <c r="C3837" s="45" t="n">
        <f aca="false">ROUND(MAX(0,'Model Inputs &amp; Assumptions'!$S$35*EXP('Model Inputs &amp; Assumptions'!$T$35*P3837-'Model Inputs &amp; Assumptions'!$T$35^2/2)),0)</f>
        <v>85665</v>
      </c>
      <c r="D3837" s="46" t="n">
        <f aca="false">MIN(1,'Model Inputs &amp; Assumptions'!$U$35*EXP('Model Inputs &amp; Assumptions'!$V$35*Q3837-'Model Inputs &amp; Assumptions'!$V$35^2/2))</f>
        <v>0</v>
      </c>
      <c r="E3837" s="45" t="n">
        <f aca="false">ROUND(C3837*D3837,0)</f>
        <v>0</v>
      </c>
      <c r="F3837" s="47" t="n">
        <f aca="false">MIN(1,'Model Inputs &amp; Assumptions'!$W$35*EXP('Model Inputs &amp; Assumptions'!$X$35*R3837-'Model Inputs &amp; Assumptions'!$X$35^2/2))</f>
        <v>0.011170343073006</v>
      </c>
      <c r="G3837" s="45" t="n">
        <f aca="false">ROUND(C3837*F3837,0)</f>
        <v>957</v>
      </c>
      <c r="H3837" s="48" t="n">
        <f aca="false">MAX(0,(C3837*'Model Inputs &amp; Assumptions'!$N$35+E3837*'Model Inputs &amp; Assumptions'!$O$35+G3837*'Model Inputs &amp; Assumptions'!$P$35)*EXP('Model Inputs &amp; Assumptions'!$Q$35*S3837-'Model Inputs &amp; Assumptions'!$Q$35^2/2))</f>
        <v>60.6364231450974</v>
      </c>
      <c r="I3837" s="49" t="n">
        <f aca="false">IF('Model Inputs &amp; Assumptions'!$H$35="Fixed",'Model Inputs &amp; Assumptions'!$I$35*'Model Inputs &amp; Assumptions'!$K$35,IF('Model Inputs &amp; Assumptions'!$H$35="CPM",'Model Inputs &amp; Assumptions'!$I$35*'Model Inputs &amp; Assumptions'!$K$35*C3837/1000,IF('Model Inputs &amp; Assumptions'!$H$35="CPC",'Model Inputs &amp; Assumptions'!$I$35*'Model Inputs &amp; Assumptions'!$K$35*G3837,0)))</f>
        <v>8672.8</v>
      </c>
      <c r="J3837" s="50" t="n">
        <f aca="false">H3837*INDEX('Model Inputs &amp; Assumptions'!$D$40:$D$42,MATCH('Model Inputs &amp; Assumptions'!$L$35,'Model Inputs &amp; Assumptions'!$A$40:$A$42,0))*INDEX('Model Inputs &amp; Assumptions'!$H$40:$H$42,MATCH('Model Inputs &amp; Assumptions'!$L$35,'Model Inputs &amp; Assumptions'!$A$40:$A$42,0))</f>
        <v>515409.596733328</v>
      </c>
      <c r="K3837" s="49" t="n">
        <f aca="false">H3837*INDEX('Model Inputs &amp; Assumptions'!$G$40:$G$42,MATCH('Model Inputs &amp; Assumptions'!$L$35,'Model Inputs &amp; Assumptions'!$A$40:$A$42,0))*INDEX('Model Inputs &amp; Assumptions'!$H$40:$H$42,MATCH('Model Inputs &amp; Assumptions'!$L$35,'Model Inputs &amp; Assumptions'!$A$40:$A$42,0))</f>
        <v>11596.7159264999</v>
      </c>
      <c r="L3837" s="51" t="n">
        <f aca="false">IFERROR(K3837/I3837,0)</f>
        <v>1.33713632581172</v>
      </c>
      <c r="M3837" s="49" t="n">
        <f aca="false">IFERROR(I3837/H3837,0)</f>
        <v>143.029544787739</v>
      </c>
      <c r="N3837" s="52" t="str">
        <f aca="false">'Model Inputs &amp; Assumptions'!$L$35</f>
        <v>PRD-EUAI</v>
      </c>
      <c r="P3837" s="53" t="n">
        <v>-0.209489</v>
      </c>
      <c r="Q3837" s="53" t="n">
        <v>0.474994</v>
      </c>
      <c r="R3837" s="53" t="n">
        <v>2.655774</v>
      </c>
      <c r="S3837" s="53" t="n">
        <v>-0.25326</v>
      </c>
    </row>
    <row r="3838" customFormat="false" ht="15" hidden="false" customHeight="false" outlineLevel="0" collapsed="false">
      <c r="A3838" s="43" t="n">
        <v>335</v>
      </c>
      <c r="B3838" s="44" t="str">
        <f aca="false">'Model Inputs &amp; Assumptions'!$B$35</f>
        <v>justETF — Sponsored Listing</v>
      </c>
      <c r="C3838" s="45" t="n">
        <f aca="false">ROUND(MAX(0,'Model Inputs &amp; Assumptions'!$S$35*EXP('Model Inputs &amp; Assumptions'!$T$35*P3838-'Model Inputs &amp; Assumptions'!$T$35^2/2)),0)</f>
        <v>107714</v>
      </c>
      <c r="D3838" s="46" t="n">
        <f aca="false">MIN(1,'Model Inputs &amp; Assumptions'!$U$35*EXP('Model Inputs &amp; Assumptions'!$V$35*Q3838-'Model Inputs &amp; Assumptions'!$V$35^2/2))</f>
        <v>0</v>
      </c>
      <c r="E3838" s="45" t="n">
        <f aca="false">ROUND(C3838*D3838,0)</f>
        <v>0</v>
      </c>
      <c r="F3838" s="47" t="n">
        <f aca="false">MIN(1,'Model Inputs &amp; Assumptions'!$W$35*EXP('Model Inputs &amp; Assumptions'!$X$35*R3838-'Model Inputs &amp; Assumptions'!$X$35^2/2))</f>
        <v>0.00642945339702193</v>
      </c>
      <c r="G3838" s="45" t="n">
        <f aca="false">ROUND(C3838*F3838,0)</f>
        <v>693</v>
      </c>
      <c r="H3838" s="48" t="n">
        <f aca="false">MAX(0,(C3838*'Model Inputs &amp; Assumptions'!$N$35+E3838*'Model Inputs &amp; Assumptions'!$O$35+G3838*'Model Inputs &amp; Assumptions'!$P$35)*EXP('Model Inputs &amp; Assumptions'!$Q$35*S3838-'Model Inputs &amp; Assumptions'!$Q$35^2/2))</f>
        <v>56.165347952441</v>
      </c>
      <c r="I3838" s="49" t="n">
        <f aca="false">IF('Model Inputs &amp; Assumptions'!$H$35="Fixed",'Model Inputs &amp; Assumptions'!$I$35*'Model Inputs &amp; Assumptions'!$K$35,IF('Model Inputs &amp; Assumptions'!$H$35="CPM",'Model Inputs &amp; Assumptions'!$I$35*'Model Inputs &amp; Assumptions'!$K$35*C3838/1000,IF('Model Inputs &amp; Assumptions'!$H$35="CPC",'Model Inputs &amp; Assumptions'!$I$35*'Model Inputs &amp; Assumptions'!$K$35*G3838,0)))</f>
        <v>8672.8</v>
      </c>
      <c r="J3838" s="50" t="n">
        <f aca="false">H3838*INDEX('Model Inputs &amp; Assumptions'!$D$40:$D$42,MATCH('Model Inputs &amp; Assumptions'!$L$35,'Model Inputs &amp; Assumptions'!$A$40:$A$42,0))*INDEX('Model Inputs &amp; Assumptions'!$H$40:$H$42,MATCH('Model Inputs &amp; Assumptions'!$L$35,'Model Inputs &amp; Assumptions'!$A$40:$A$42,0))</f>
        <v>477405.457595749</v>
      </c>
      <c r="K3838" s="49" t="n">
        <f aca="false">H3838*INDEX('Model Inputs &amp; Assumptions'!$G$40:$G$42,MATCH('Model Inputs &amp; Assumptions'!$L$35,'Model Inputs &amp; Assumptions'!$A$40:$A$42,0))*INDEX('Model Inputs &amp; Assumptions'!$H$40:$H$42,MATCH('Model Inputs &amp; Assumptions'!$L$35,'Model Inputs &amp; Assumptions'!$A$40:$A$42,0))</f>
        <v>10741.6227959043</v>
      </c>
      <c r="L3838" s="51" t="n">
        <f aca="false">IFERROR(K3838/I3838,0)</f>
        <v>1.23854150861364</v>
      </c>
      <c r="M3838" s="49" t="n">
        <f aca="false">IFERROR(I3838/H3838,0)</f>
        <v>154.415494894536</v>
      </c>
      <c r="N3838" s="52" t="str">
        <f aca="false">'Model Inputs &amp; Assumptions'!$L$35</f>
        <v>PRD-EUAI</v>
      </c>
      <c r="P3838" s="53" t="n">
        <v>1.317403</v>
      </c>
      <c r="Q3838" s="53" t="n">
        <v>0.399043</v>
      </c>
      <c r="R3838" s="53" t="n">
        <v>-0.10609</v>
      </c>
      <c r="S3838" s="53" t="n">
        <v>0.693577</v>
      </c>
    </row>
    <row r="3839" customFormat="false" ht="15" hidden="false" customHeight="false" outlineLevel="0" collapsed="false">
      <c r="A3839" s="43" t="n">
        <v>336</v>
      </c>
      <c r="B3839" s="44" t="str">
        <f aca="false">'Model Inputs &amp; Assumptions'!$B$35</f>
        <v>justETF — Sponsored Listing</v>
      </c>
      <c r="C3839" s="45" t="n">
        <f aca="false">ROUND(MAX(0,'Model Inputs &amp; Assumptions'!$S$35*EXP('Model Inputs &amp; Assumptions'!$T$35*P3839-'Model Inputs &amp; Assumptions'!$T$35^2/2)),0)</f>
        <v>74994</v>
      </c>
      <c r="D3839" s="46" t="n">
        <f aca="false">MIN(1,'Model Inputs &amp; Assumptions'!$U$35*EXP('Model Inputs &amp; Assumptions'!$V$35*Q3839-'Model Inputs &amp; Assumptions'!$V$35^2/2))</f>
        <v>0</v>
      </c>
      <c r="E3839" s="45" t="n">
        <f aca="false">ROUND(C3839*D3839,0)</f>
        <v>0</v>
      </c>
      <c r="F3839" s="47" t="n">
        <f aca="false">MIN(1,'Model Inputs &amp; Assumptions'!$W$35*EXP('Model Inputs &amp; Assumptions'!$X$35*R3839-'Model Inputs &amp; Assumptions'!$X$35^2/2))</f>
        <v>0.00633532634087715</v>
      </c>
      <c r="G3839" s="45" t="n">
        <f aca="false">ROUND(C3839*F3839,0)</f>
        <v>475</v>
      </c>
      <c r="H3839" s="48" t="n">
        <f aca="false">MAX(0,(C3839*'Model Inputs &amp; Assumptions'!$N$35+E3839*'Model Inputs &amp; Assumptions'!$O$35+G3839*'Model Inputs &amp; Assumptions'!$P$35)*EXP('Model Inputs &amp; Assumptions'!$Q$35*S3839-'Model Inputs &amp; Assumptions'!$Q$35^2/2))</f>
        <v>24.2261843728503</v>
      </c>
      <c r="I3839" s="49" t="n">
        <f aca="false">IF('Model Inputs &amp; Assumptions'!$H$35="Fixed",'Model Inputs &amp; Assumptions'!$I$35*'Model Inputs &amp; Assumptions'!$K$35,IF('Model Inputs &amp; Assumptions'!$H$35="CPM",'Model Inputs &amp; Assumptions'!$I$35*'Model Inputs &amp; Assumptions'!$K$35*C3839/1000,IF('Model Inputs &amp; Assumptions'!$H$35="CPC",'Model Inputs &amp; Assumptions'!$I$35*'Model Inputs &amp; Assumptions'!$K$35*G3839,0)))</f>
        <v>8672.8</v>
      </c>
      <c r="J3839" s="50" t="n">
        <f aca="false">H3839*INDEX('Model Inputs &amp; Assumptions'!$D$40:$D$42,MATCH('Model Inputs &amp; Assumptions'!$L$35,'Model Inputs &amp; Assumptions'!$A$40:$A$42,0))*INDEX('Model Inputs &amp; Assumptions'!$H$40:$H$42,MATCH('Model Inputs &amp; Assumptions'!$L$35,'Model Inputs &amp; Assumptions'!$A$40:$A$42,0))</f>
        <v>205922.567169227</v>
      </c>
      <c r="K3839" s="49" t="n">
        <f aca="false">H3839*INDEX('Model Inputs &amp; Assumptions'!$G$40:$G$42,MATCH('Model Inputs &amp; Assumptions'!$L$35,'Model Inputs &amp; Assumptions'!$A$40:$A$42,0))*INDEX('Model Inputs &amp; Assumptions'!$H$40:$H$42,MATCH('Model Inputs &amp; Assumptions'!$L$35,'Model Inputs &amp; Assumptions'!$A$40:$A$42,0))</f>
        <v>4633.25776130762</v>
      </c>
      <c r="L3839" s="51" t="n">
        <f aca="false">IFERROR(K3839/I3839,0)</f>
        <v>0.534228595298821</v>
      </c>
      <c r="M3839" s="49" t="n">
        <f aca="false">IFERROR(I3839/H3839,0)</f>
        <v>357.99281746239</v>
      </c>
      <c r="N3839" s="52" t="str">
        <f aca="false">'Model Inputs &amp; Assumptions'!$L$35</f>
        <v>PRD-EUAI</v>
      </c>
      <c r="P3839" s="53" t="n">
        <v>-1.096425</v>
      </c>
      <c r="Q3839" s="53" t="n">
        <v>-0.901194</v>
      </c>
      <c r="R3839" s="53" t="n">
        <v>-0.179831</v>
      </c>
      <c r="S3839" s="53" t="n">
        <v>-1.087772</v>
      </c>
    </row>
    <row r="3840" customFormat="false" ht="15" hidden="false" customHeight="false" outlineLevel="0" collapsed="false">
      <c r="A3840" s="43" t="n">
        <v>337</v>
      </c>
      <c r="B3840" s="44" t="str">
        <f aca="false">'Model Inputs &amp; Assumptions'!$B$35</f>
        <v>justETF — Sponsored Listing</v>
      </c>
      <c r="C3840" s="45" t="n">
        <f aca="false">ROUND(MAX(0,'Model Inputs &amp; Assumptions'!$S$35*EXP('Model Inputs &amp; Assumptions'!$T$35*P3840-'Model Inputs &amp; Assumptions'!$T$35^2/2)),0)</f>
        <v>91300</v>
      </c>
      <c r="D3840" s="46" t="n">
        <f aca="false">MIN(1,'Model Inputs &amp; Assumptions'!$U$35*EXP('Model Inputs &amp; Assumptions'!$V$35*Q3840-'Model Inputs &amp; Assumptions'!$V$35^2/2))</f>
        <v>0</v>
      </c>
      <c r="E3840" s="45" t="n">
        <f aca="false">ROUND(C3840*D3840,0)</f>
        <v>0</v>
      </c>
      <c r="F3840" s="47" t="n">
        <f aca="false">MIN(1,'Model Inputs &amp; Assumptions'!$W$35*EXP('Model Inputs &amp; Assumptions'!$X$35*R3840-'Model Inputs &amp; Assumptions'!$X$35^2/2))</f>
        <v>0.00617146547792946</v>
      </c>
      <c r="G3840" s="45" t="n">
        <f aca="false">ROUND(C3840*F3840,0)</f>
        <v>563</v>
      </c>
      <c r="H3840" s="48" t="n">
        <f aca="false">MAX(0,(C3840*'Model Inputs &amp; Assumptions'!$N$35+E3840*'Model Inputs &amp; Assumptions'!$O$35+G3840*'Model Inputs &amp; Assumptions'!$P$35)*EXP('Model Inputs &amp; Assumptions'!$Q$35*S3840-'Model Inputs &amp; Assumptions'!$Q$35^2/2))</f>
        <v>40.0446688064447</v>
      </c>
      <c r="I3840" s="49" t="n">
        <f aca="false">IF('Model Inputs &amp; Assumptions'!$H$35="Fixed",'Model Inputs &amp; Assumptions'!$I$35*'Model Inputs &amp; Assumptions'!$K$35,IF('Model Inputs &amp; Assumptions'!$H$35="CPM",'Model Inputs &amp; Assumptions'!$I$35*'Model Inputs &amp; Assumptions'!$K$35*C3840/1000,IF('Model Inputs &amp; Assumptions'!$H$35="CPC",'Model Inputs &amp; Assumptions'!$I$35*'Model Inputs &amp; Assumptions'!$K$35*G3840,0)))</f>
        <v>8672.8</v>
      </c>
      <c r="J3840" s="50" t="n">
        <f aca="false">H3840*INDEX('Model Inputs &amp; Assumptions'!$D$40:$D$42,MATCH('Model Inputs &amp; Assumptions'!$L$35,'Model Inputs &amp; Assumptions'!$A$40:$A$42,0))*INDEX('Model Inputs &amp; Assumptions'!$H$40:$H$42,MATCH('Model Inputs &amp; Assumptions'!$L$35,'Model Inputs &amp; Assumptions'!$A$40:$A$42,0))</f>
        <v>340379.68485478</v>
      </c>
      <c r="K3840" s="49" t="n">
        <f aca="false">H3840*INDEX('Model Inputs &amp; Assumptions'!$G$40:$G$42,MATCH('Model Inputs &amp; Assumptions'!$L$35,'Model Inputs &amp; Assumptions'!$A$40:$A$42,0))*INDEX('Model Inputs &amp; Assumptions'!$H$40:$H$42,MATCH('Model Inputs &amp; Assumptions'!$L$35,'Model Inputs &amp; Assumptions'!$A$40:$A$42,0))</f>
        <v>7658.54290923254</v>
      </c>
      <c r="L3840" s="51" t="n">
        <f aca="false">IFERROR(K3840/I3840,0)</f>
        <v>0.883053098103559</v>
      </c>
      <c r="M3840" s="49" t="n">
        <f aca="false">IFERROR(I3840/H3840,0)</f>
        <v>216.578142821454</v>
      </c>
      <c r="N3840" s="52" t="str">
        <f aca="false">'Model Inputs &amp; Assumptions'!$L$35</f>
        <v>PRD-EUAI</v>
      </c>
      <c r="P3840" s="53" t="n">
        <v>0.215214</v>
      </c>
      <c r="Q3840" s="53" t="n">
        <v>-1.112267</v>
      </c>
      <c r="R3840" s="53" t="n">
        <v>-0.310856</v>
      </c>
      <c r="S3840" s="53" t="n">
        <v>0.191446</v>
      </c>
    </row>
    <row r="3841" customFormat="false" ht="15" hidden="false" customHeight="false" outlineLevel="0" collapsed="false">
      <c r="A3841" s="43" t="n">
        <v>338</v>
      </c>
      <c r="B3841" s="44" t="str">
        <f aca="false">'Model Inputs &amp; Assumptions'!$B$35</f>
        <v>justETF — Sponsored Listing</v>
      </c>
      <c r="C3841" s="45" t="n">
        <f aca="false">ROUND(MAX(0,'Model Inputs &amp; Assumptions'!$S$35*EXP('Model Inputs &amp; Assumptions'!$T$35*P3841-'Model Inputs &amp; Assumptions'!$T$35^2/2)),0)</f>
        <v>92554</v>
      </c>
      <c r="D3841" s="46" t="n">
        <f aca="false">MIN(1,'Model Inputs &amp; Assumptions'!$U$35*EXP('Model Inputs &amp; Assumptions'!$V$35*Q3841-'Model Inputs &amp; Assumptions'!$V$35^2/2))</f>
        <v>0</v>
      </c>
      <c r="E3841" s="45" t="n">
        <f aca="false">ROUND(C3841*D3841,0)</f>
        <v>0</v>
      </c>
      <c r="F3841" s="47" t="n">
        <f aca="false">MIN(1,'Model Inputs &amp; Assumptions'!$W$35*EXP('Model Inputs &amp; Assumptions'!$X$35*R3841-'Model Inputs &amp; Assumptions'!$X$35^2/2))</f>
        <v>0.00647112599367888</v>
      </c>
      <c r="G3841" s="45" t="n">
        <f aca="false">ROUND(C3841*F3841,0)</f>
        <v>599</v>
      </c>
      <c r="H3841" s="48" t="n">
        <f aca="false">MAX(0,(C3841*'Model Inputs &amp; Assumptions'!$N$35+E3841*'Model Inputs &amp; Assumptions'!$O$35+G3841*'Model Inputs &amp; Assumptions'!$P$35)*EXP('Model Inputs &amp; Assumptions'!$Q$35*S3841-'Model Inputs &amp; Assumptions'!$Q$35^2/2))</f>
        <v>54.5724251438421</v>
      </c>
      <c r="I3841" s="49" t="n">
        <f aca="false">IF('Model Inputs &amp; Assumptions'!$H$35="Fixed",'Model Inputs &amp; Assumptions'!$I$35*'Model Inputs &amp; Assumptions'!$K$35,IF('Model Inputs &amp; Assumptions'!$H$35="CPM",'Model Inputs &amp; Assumptions'!$I$35*'Model Inputs &amp; Assumptions'!$K$35*C3841/1000,IF('Model Inputs &amp; Assumptions'!$H$35="CPC",'Model Inputs &amp; Assumptions'!$I$35*'Model Inputs &amp; Assumptions'!$K$35*G3841,0)))</f>
        <v>8672.8</v>
      </c>
      <c r="J3841" s="50" t="n">
        <f aca="false">H3841*INDEX('Model Inputs &amp; Assumptions'!$D$40:$D$42,MATCH('Model Inputs &amp; Assumptions'!$L$35,'Model Inputs &amp; Assumptions'!$A$40:$A$42,0))*INDEX('Model Inputs &amp; Assumptions'!$H$40:$H$42,MATCH('Model Inputs &amp; Assumptions'!$L$35,'Model Inputs &amp; Assumptions'!$A$40:$A$42,0))</f>
        <v>463865.613722658</v>
      </c>
      <c r="K3841" s="49" t="n">
        <f aca="false">H3841*INDEX('Model Inputs &amp; Assumptions'!$G$40:$G$42,MATCH('Model Inputs &amp; Assumptions'!$L$35,'Model Inputs &amp; Assumptions'!$A$40:$A$42,0))*INDEX('Model Inputs &amp; Assumptions'!$H$40:$H$42,MATCH('Model Inputs &amp; Assumptions'!$L$35,'Model Inputs &amp; Assumptions'!$A$40:$A$42,0))</f>
        <v>10436.9763087598</v>
      </c>
      <c r="L3841" s="51" t="n">
        <f aca="false">IFERROR(K3841/I3841,0)</f>
        <v>1.20341484973247</v>
      </c>
      <c r="M3841" s="49" t="n">
        <f aca="false">IFERROR(I3841/H3841,0)</f>
        <v>158.922752235038</v>
      </c>
      <c r="N3841" s="52" t="str">
        <f aca="false">'Model Inputs &amp; Assumptions'!$L$35</f>
        <v>PRD-EUAI</v>
      </c>
      <c r="P3841" s="53" t="n">
        <v>0.306133</v>
      </c>
      <c r="Q3841" s="53" t="n">
        <v>-0.164012</v>
      </c>
      <c r="R3841" s="53" t="n">
        <v>-0.073787</v>
      </c>
      <c r="S3841" s="53" t="n">
        <v>1.143566</v>
      </c>
    </row>
    <row r="3842" customFormat="false" ht="15" hidden="false" customHeight="false" outlineLevel="0" collapsed="false">
      <c r="A3842" s="43" t="n">
        <v>339</v>
      </c>
      <c r="B3842" s="44" t="str">
        <f aca="false">'Model Inputs &amp; Assumptions'!$B$35</f>
        <v>justETF — Sponsored Listing</v>
      </c>
      <c r="C3842" s="45" t="n">
        <f aca="false">ROUND(MAX(0,'Model Inputs &amp; Assumptions'!$S$35*EXP('Model Inputs &amp; Assumptions'!$T$35*P3842-'Model Inputs &amp; Assumptions'!$T$35^2/2)),0)</f>
        <v>83133</v>
      </c>
      <c r="D3842" s="46" t="n">
        <f aca="false">MIN(1,'Model Inputs &amp; Assumptions'!$U$35*EXP('Model Inputs &amp; Assumptions'!$V$35*Q3842-'Model Inputs &amp; Assumptions'!$V$35^2/2))</f>
        <v>0</v>
      </c>
      <c r="E3842" s="45" t="n">
        <f aca="false">ROUND(C3842*D3842,0)</f>
        <v>0</v>
      </c>
      <c r="F3842" s="47" t="n">
        <f aca="false">MIN(1,'Model Inputs &amp; Assumptions'!$W$35*EXP('Model Inputs &amp; Assumptions'!$X$35*R3842-'Model Inputs &amp; Assumptions'!$X$35^2/2))</f>
        <v>0.00490465192107805</v>
      </c>
      <c r="G3842" s="45" t="n">
        <f aca="false">ROUND(C3842*F3842,0)</f>
        <v>408</v>
      </c>
      <c r="H3842" s="48" t="n">
        <f aca="false">MAX(0,(C3842*'Model Inputs &amp; Assumptions'!$N$35+E3842*'Model Inputs &amp; Assumptions'!$O$35+G3842*'Model Inputs &amp; Assumptions'!$P$35)*EXP('Model Inputs &amp; Assumptions'!$Q$35*S3842-'Model Inputs &amp; Assumptions'!$Q$35^2/2))</f>
        <v>21.7297692982268</v>
      </c>
      <c r="I3842" s="49" t="n">
        <f aca="false">IF('Model Inputs &amp; Assumptions'!$H$35="Fixed",'Model Inputs &amp; Assumptions'!$I$35*'Model Inputs &amp; Assumptions'!$K$35,IF('Model Inputs &amp; Assumptions'!$H$35="CPM",'Model Inputs &amp; Assumptions'!$I$35*'Model Inputs &amp; Assumptions'!$K$35*C3842/1000,IF('Model Inputs &amp; Assumptions'!$H$35="CPC",'Model Inputs &amp; Assumptions'!$I$35*'Model Inputs &amp; Assumptions'!$K$35*G3842,0)))</f>
        <v>8672.8</v>
      </c>
      <c r="J3842" s="50" t="n">
        <f aca="false">H3842*INDEX('Model Inputs &amp; Assumptions'!$D$40:$D$42,MATCH('Model Inputs &amp; Assumptions'!$L$35,'Model Inputs &amp; Assumptions'!$A$40:$A$42,0))*INDEX('Model Inputs &amp; Assumptions'!$H$40:$H$42,MATCH('Model Inputs &amp; Assumptions'!$L$35,'Model Inputs &amp; Assumptions'!$A$40:$A$42,0))</f>
        <v>184703.039034928</v>
      </c>
      <c r="K3842" s="49" t="n">
        <f aca="false">H3842*INDEX('Model Inputs &amp; Assumptions'!$G$40:$G$42,MATCH('Model Inputs &amp; Assumptions'!$L$35,'Model Inputs &amp; Assumptions'!$A$40:$A$42,0))*INDEX('Model Inputs &amp; Assumptions'!$H$40:$H$42,MATCH('Model Inputs &amp; Assumptions'!$L$35,'Model Inputs &amp; Assumptions'!$A$40:$A$42,0))</f>
        <v>4155.81837828588</v>
      </c>
      <c r="L3842" s="51" t="n">
        <f aca="false">IFERROR(K3842/I3842,0)</f>
        <v>0.479178394323158</v>
      </c>
      <c r="M3842" s="49" t="n">
        <f aca="false">IFERROR(I3842/H3842,0)</f>
        <v>399.120666260718</v>
      </c>
      <c r="N3842" s="52" t="str">
        <f aca="false">'Model Inputs &amp; Assumptions'!$L$35</f>
        <v>PRD-EUAI</v>
      </c>
      <c r="P3842" s="53" t="n">
        <v>-0.409531</v>
      </c>
      <c r="Q3842" s="53" t="n">
        <v>0.075981</v>
      </c>
      <c r="R3842" s="53" t="n">
        <v>-1.459617</v>
      </c>
      <c r="S3842" s="53" t="n">
        <v>-0.921246</v>
      </c>
    </row>
    <row r="3843" customFormat="false" ht="15" hidden="false" customHeight="false" outlineLevel="0" collapsed="false">
      <c r="A3843" s="43" t="n">
        <v>340</v>
      </c>
      <c r="B3843" s="44" t="str">
        <f aca="false">'Model Inputs &amp; Assumptions'!$B$35</f>
        <v>justETF — Sponsored Listing</v>
      </c>
      <c r="C3843" s="45" t="n">
        <f aca="false">ROUND(MAX(0,'Model Inputs &amp; Assumptions'!$S$35*EXP('Model Inputs &amp; Assumptions'!$T$35*P3843-'Model Inputs &amp; Assumptions'!$T$35^2/2)),0)</f>
        <v>105347</v>
      </c>
      <c r="D3843" s="46" t="n">
        <f aca="false">MIN(1,'Model Inputs &amp; Assumptions'!$U$35*EXP('Model Inputs &amp; Assumptions'!$V$35*Q3843-'Model Inputs &amp; Assumptions'!$V$35^2/2))</f>
        <v>0</v>
      </c>
      <c r="E3843" s="45" t="n">
        <f aca="false">ROUND(C3843*D3843,0)</f>
        <v>0</v>
      </c>
      <c r="F3843" s="47" t="n">
        <f aca="false">MIN(1,'Model Inputs &amp; Assumptions'!$W$35*EXP('Model Inputs &amp; Assumptions'!$X$35*R3843-'Model Inputs &amp; Assumptions'!$X$35^2/2))</f>
        <v>0.00752568868762131</v>
      </c>
      <c r="G3843" s="45" t="n">
        <f aca="false">ROUND(C3843*F3843,0)</f>
        <v>793</v>
      </c>
      <c r="H3843" s="48" t="n">
        <f aca="false">MAX(0,(C3843*'Model Inputs &amp; Assumptions'!$N$35+E3843*'Model Inputs &amp; Assumptions'!$O$35+G3843*'Model Inputs &amp; Assumptions'!$P$35)*EXP('Model Inputs &amp; Assumptions'!$Q$35*S3843-'Model Inputs &amp; Assumptions'!$Q$35^2/2))</f>
        <v>50.7899664729691</v>
      </c>
      <c r="I3843" s="49" t="n">
        <f aca="false">IF('Model Inputs &amp; Assumptions'!$H$35="Fixed",'Model Inputs &amp; Assumptions'!$I$35*'Model Inputs &amp; Assumptions'!$K$35,IF('Model Inputs &amp; Assumptions'!$H$35="CPM",'Model Inputs &amp; Assumptions'!$I$35*'Model Inputs &amp; Assumptions'!$K$35*C3843/1000,IF('Model Inputs &amp; Assumptions'!$H$35="CPC",'Model Inputs &amp; Assumptions'!$I$35*'Model Inputs &amp; Assumptions'!$K$35*G3843,0)))</f>
        <v>8672.8</v>
      </c>
      <c r="J3843" s="50" t="n">
        <f aca="false">H3843*INDEX('Model Inputs &amp; Assumptions'!$D$40:$D$42,MATCH('Model Inputs &amp; Assumptions'!$L$35,'Model Inputs &amp; Assumptions'!$A$40:$A$42,0))*INDEX('Model Inputs &amp; Assumptions'!$H$40:$H$42,MATCH('Model Inputs &amp; Assumptions'!$L$35,'Model Inputs &amp; Assumptions'!$A$40:$A$42,0))</f>
        <v>431714.715020238</v>
      </c>
      <c r="K3843" s="49" t="n">
        <f aca="false">H3843*INDEX('Model Inputs &amp; Assumptions'!$G$40:$G$42,MATCH('Model Inputs &amp; Assumptions'!$L$35,'Model Inputs &amp; Assumptions'!$A$40:$A$42,0))*INDEX('Model Inputs &amp; Assumptions'!$H$40:$H$42,MATCH('Model Inputs &amp; Assumptions'!$L$35,'Model Inputs &amp; Assumptions'!$A$40:$A$42,0))</f>
        <v>9713.58108795535</v>
      </c>
      <c r="L3843" s="51" t="n">
        <f aca="false">IFERROR(K3843/I3843,0)</f>
        <v>1.12000519877725</v>
      </c>
      <c r="M3843" s="49" t="n">
        <f aca="false">IFERROR(I3843/H3843,0)</f>
        <v>170.758135952221</v>
      </c>
      <c r="N3843" s="52" t="str">
        <f aca="false">'Model Inputs &amp; Assumptions'!$L$35</f>
        <v>PRD-EUAI</v>
      </c>
      <c r="P3843" s="53" t="n">
        <v>1.169235</v>
      </c>
      <c r="Q3843" s="53" t="n">
        <v>-0.338477</v>
      </c>
      <c r="R3843" s="53" t="n">
        <v>0.681074</v>
      </c>
      <c r="S3843" s="53" t="n">
        <v>-0.211786</v>
      </c>
    </row>
    <row r="3844" customFormat="false" ht="15" hidden="false" customHeight="false" outlineLevel="0" collapsed="false">
      <c r="A3844" s="43" t="n">
        <v>341</v>
      </c>
      <c r="B3844" s="44" t="str">
        <f aca="false">'Model Inputs &amp; Assumptions'!$B$35</f>
        <v>justETF — Sponsored Listing</v>
      </c>
      <c r="C3844" s="45" t="n">
        <f aca="false">ROUND(MAX(0,'Model Inputs &amp; Assumptions'!$S$35*EXP('Model Inputs &amp; Assumptions'!$T$35*P3844-'Model Inputs &amp; Assumptions'!$T$35^2/2)),0)</f>
        <v>104966</v>
      </c>
      <c r="D3844" s="46" t="n">
        <f aca="false">MIN(1,'Model Inputs &amp; Assumptions'!$U$35*EXP('Model Inputs &amp; Assumptions'!$V$35*Q3844-'Model Inputs &amp; Assumptions'!$V$35^2/2))</f>
        <v>0</v>
      </c>
      <c r="E3844" s="45" t="n">
        <f aca="false">ROUND(C3844*D3844,0)</f>
        <v>0</v>
      </c>
      <c r="F3844" s="47" t="n">
        <f aca="false">MIN(1,'Model Inputs &amp; Assumptions'!$W$35*EXP('Model Inputs &amp; Assumptions'!$X$35*R3844-'Model Inputs &amp; Assumptions'!$X$35^2/2))</f>
        <v>0.00635793555505564</v>
      </c>
      <c r="G3844" s="45" t="n">
        <f aca="false">ROUND(C3844*F3844,0)</f>
        <v>667</v>
      </c>
      <c r="H3844" s="48" t="n">
        <f aca="false">MAX(0,(C3844*'Model Inputs &amp; Assumptions'!$N$35+E3844*'Model Inputs &amp; Assumptions'!$O$35+G3844*'Model Inputs &amp; Assumptions'!$P$35)*EXP('Model Inputs &amp; Assumptions'!$Q$35*S3844-'Model Inputs &amp; Assumptions'!$Q$35^2/2))</f>
        <v>33.6783901212984</v>
      </c>
      <c r="I3844" s="49" t="n">
        <f aca="false">IF('Model Inputs &amp; Assumptions'!$H$35="Fixed",'Model Inputs &amp; Assumptions'!$I$35*'Model Inputs &amp; Assumptions'!$K$35,IF('Model Inputs &amp; Assumptions'!$H$35="CPM",'Model Inputs &amp; Assumptions'!$I$35*'Model Inputs &amp; Assumptions'!$K$35*C3844/1000,IF('Model Inputs &amp; Assumptions'!$H$35="CPC",'Model Inputs &amp; Assumptions'!$I$35*'Model Inputs &amp; Assumptions'!$K$35*G3844,0)))</f>
        <v>8672.8</v>
      </c>
      <c r="J3844" s="50" t="n">
        <f aca="false">H3844*INDEX('Model Inputs &amp; Assumptions'!$D$40:$D$42,MATCH('Model Inputs &amp; Assumptions'!$L$35,'Model Inputs &amp; Assumptions'!$A$40:$A$42,0))*INDEX('Model Inputs &amp; Assumptions'!$H$40:$H$42,MATCH('Model Inputs &amp; Assumptions'!$L$35,'Model Inputs &amp; Assumptions'!$A$40:$A$42,0))</f>
        <v>286266.316031036</v>
      </c>
      <c r="K3844" s="49" t="n">
        <f aca="false">H3844*INDEX('Model Inputs &amp; Assumptions'!$G$40:$G$42,MATCH('Model Inputs &amp; Assumptions'!$L$35,'Model Inputs &amp; Assumptions'!$A$40:$A$42,0))*INDEX('Model Inputs &amp; Assumptions'!$H$40:$H$42,MATCH('Model Inputs &amp; Assumptions'!$L$35,'Model Inputs &amp; Assumptions'!$A$40:$A$42,0))</f>
        <v>6440.99211069832</v>
      </c>
      <c r="L3844" s="51" t="n">
        <f aca="false">IFERROR(K3844/I3844,0)</f>
        <v>0.742665818501328</v>
      </c>
      <c r="M3844" s="49" t="n">
        <f aca="false">IFERROR(I3844/H3844,0)</f>
        <v>257.518247421075</v>
      </c>
      <c r="N3844" s="52" t="str">
        <f aca="false">'Model Inputs &amp; Assumptions'!$L$35</f>
        <v>PRD-EUAI</v>
      </c>
      <c r="P3844" s="53" t="n">
        <v>1.145106</v>
      </c>
      <c r="Q3844" s="53" t="n">
        <v>-1.393326</v>
      </c>
      <c r="R3844" s="53" t="n">
        <v>-0.162019</v>
      </c>
      <c r="S3844" s="53" t="n">
        <v>-1.126437</v>
      </c>
    </row>
    <row r="3845" customFormat="false" ht="15" hidden="false" customHeight="false" outlineLevel="0" collapsed="false">
      <c r="A3845" s="43" t="n">
        <v>342</v>
      </c>
      <c r="B3845" s="44" t="str">
        <f aca="false">'Model Inputs &amp; Assumptions'!$B$35</f>
        <v>justETF — Sponsored Listing</v>
      </c>
      <c r="C3845" s="45" t="n">
        <f aca="false">ROUND(MAX(0,'Model Inputs &amp; Assumptions'!$S$35*EXP('Model Inputs &amp; Assumptions'!$T$35*P3845-'Model Inputs &amp; Assumptions'!$T$35^2/2)),0)</f>
        <v>92912</v>
      </c>
      <c r="D3845" s="46" t="n">
        <f aca="false">MIN(1,'Model Inputs &amp; Assumptions'!$U$35*EXP('Model Inputs &amp; Assumptions'!$V$35*Q3845-'Model Inputs &amp; Assumptions'!$V$35^2/2))</f>
        <v>0</v>
      </c>
      <c r="E3845" s="45" t="n">
        <f aca="false">ROUND(C3845*D3845,0)</f>
        <v>0</v>
      </c>
      <c r="F3845" s="47" t="n">
        <f aca="false">MIN(1,'Model Inputs &amp; Assumptions'!$W$35*EXP('Model Inputs &amp; Assumptions'!$X$35*R3845-'Model Inputs &amp; Assumptions'!$X$35^2/2))</f>
        <v>0.00787930991973199</v>
      </c>
      <c r="G3845" s="45" t="n">
        <f aca="false">ROUND(C3845*F3845,0)</f>
        <v>732</v>
      </c>
      <c r="H3845" s="48" t="n">
        <f aca="false">MAX(0,(C3845*'Model Inputs &amp; Assumptions'!$N$35+E3845*'Model Inputs &amp; Assumptions'!$O$35+G3845*'Model Inputs &amp; Assumptions'!$P$35)*EXP('Model Inputs &amp; Assumptions'!$Q$35*S3845-'Model Inputs &amp; Assumptions'!$Q$35^2/2))</f>
        <v>46.2738532534883</v>
      </c>
      <c r="I3845" s="49" t="n">
        <f aca="false">IF('Model Inputs &amp; Assumptions'!$H$35="Fixed",'Model Inputs &amp; Assumptions'!$I$35*'Model Inputs &amp; Assumptions'!$K$35,IF('Model Inputs &amp; Assumptions'!$H$35="CPM",'Model Inputs &amp; Assumptions'!$I$35*'Model Inputs &amp; Assumptions'!$K$35*C3845/1000,IF('Model Inputs &amp; Assumptions'!$H$35="CPC",'Model Inputs &amp; Assumptions'!$I$35*'Model Inputs &amp; Assumptions'!$K$35*G3845,0)))</f>
        <v>8672.8</v>
      </c>
      <c r="J3845" s="50" t="n">
        <f aca="false">H3845*INDEX('Model Inputs &amp; Assumptions'!$D$40:$D$42,MATCH('Model Inputs &amp; Assumptions'!$L$35,'Model Inputs &amp; Assumptions'!$A$40:$A$42,0))*INDEX('Model Inputs &amp; Assumptions'!$H$40:$H$42,MATCH('Model Inputs &amp; Assumptions'!$L$35,'Model Inputs &amp; Assumptions'!$A$40:$A$42,0))</f>
        <v>393327.75265465</v>
      </c>
      <c r="K3845" s="49" t="n">
        <f aca="false">H3845*INDEX('Model Inputs &amp; Assumptions'!$G$40:$G$42,MATCH('Model Inputs &amp; Assumptions'!$L$35,'Model Inputs &amp; Assumptions'!$A$40:$A$42,0))*INDEX('Model Inputs &amp; Assumptions'!$H$40:$H$42,MATCH('Model Inputs &amp; Assumptions'!$L$35,'Model Inputs &amp; Assumptions'!$A$40:$A$42,0))</f>
        <v>8849.87443472963</v>
      </c>
      <c r="L3845" s="51" t="n">
        <f aca="false">IFERROR(K3845/I3845,0)</f>
        <v>1.02041721643871</v>
      </c>
      <c r="M3845" s="49" t="n">
        <f aca="false">IFERROR(I3845/H3845,0)</f>
        <v>187.423337159548</v>
      </c>
      <c r="N3845" s="52" t="str">
        <f aca="false">'Model Inputs &amp; Assumptions'!$L$35</f>
        <v>PRD-EUAI</v>
      </c>
      <c r="P3845" s="53" t="n">
        <v>0.3319</v>
      </c>
      <c r="Q3845" s="53" t="n">
        <v>0.819416</v>
      </c>
      <c r="R3845" s="53" t="n">
        <v>0.910664</v>
      </c>
      <c r="S3845" s="53" t="n">
        <v>-0.26209</v>
      </c>
    </row>
    <row r="3846" customFormat="false" ht="15" hidden="false" customHeight="false" outlineLevel="0" collapsed="false">
      <c r="A3846" s="43" t="n">
        <v>343</v>
      </c>
      <c r="B3846" s="44" t="str">
        <f aca="false">'Model Inputs &amp; Assumptions'!$B$35</f>
        <v>justETF — Sponsored Listing</v>
      </c>
      <c r="C3846" s="45" t="n">
        <f aca="false">ROUND(MAX(0,'Model Inputs &amp; Assumptions'!$S$35*EXP('Model Inputs &amp; Assumptions'!$T$35*P3846-'Model Inputs &amp; Assumptions'!$T$35^2/2)),0)</f>
        <v>102734</v>
      </c>
      <c r="D3846" s="46" t="n">
        <f aca="false">MIN(1,'Model Inputs &amp; Assumptions'!$U$35*EXP('Model Inputs &amp; Assumptions'!$V$35*Q3846-'Model Inputs &amp; Assumptions'!$V$35^2/2))</f>
        <v>0</v>
      </c>
      <c r="E3846" s="45" t="n">
        <f aca="false">ROUND(C3846*D3846,0)</f>
        <v>0</v>
      </c>
      <c r="F3846" s="47" t="n">
        <f aca="false">MIN(1,'Model Inputs &amp; Assumptions'!$W$35*EXP('Model Inputs &amp; Assumptions'!$X$35*R3846-'Model Inputs &amp; Assumptions'!$X$35^2/2))</f>
        <v>0.0056638582318854</v>
      </c>
      <c r="G3846" s="45" t="n">
        <f aca="false">ROUND(C3846*F3846,0)</f>
        <v>582</v>
      </c>
      <c r="H3846" s="48" t="n">
        <f aca="false">MAX(0,(C3846*'Model Inputs &amp; Assumptions'!$N$35+E3846*'Model Inputs &amp; Assumptions'!$O$35+G3846*'Model Inputs &amp; Assumptions'!$P$35)*EXP('Model Inputs &amp; Assumptions'!$Q$35*S3846-'Model Inputs &amp; Assumptions'!$Q$35^2/2))</f>
        <v>41.9186615487118</v>
      </c>
      <c r="I3846" s="49" t="n">
        <f aca="false">IF('Model Inputs &amp; Assumptions'!$H$35="Fixed",'Model Inputs &amp; Assumptions'!$I$35*'Model Inputs &amp; Assumptions'!$K$35,IF('Model Inputs &amp; Assumptions'!$H$35="CPM",'Model Inputs &amp; Assumptions'!$I$35*'Model Inputs &amp; Assumptions'!$K$35*C3846/1000,IF('Model Inputs &amp; Assumptions'!$H$35="CPC",'Model Inputs &amp; Assumptions'!$I$35*'Model Inputs &amp; Assumptions'!$K$35*G3846,0)))</f>
        <v>8672.8</v>
      </c>
      <c r="J3846" s="50" t="n">
        <f aca="false">H3846*INDEX('Model Inputs &amp; Assumptions'!$D$40:$D$42,MATCH('Model Inputs &amp; Assumptions'!$L$35,'Model Inputs &amp; Assumptions'!$A$40:$A$42,0))*INDEX('Model Inputs &amp; Assumptions'!$H$40:$H$42,MATCH('Model Inputs &amp; Assumptions'!$L$35,'Model Inputs &amp; Assumptions'!$A$40:$A$42,0))</f>
        <v>356308.62316405</v>
      </c>
      <c r="K3846" s="49" t="n">
        <f aca="false">H3846*INDEX('Model Inputs &amp; Assumptions'!$G$40:$G$42,MATCH('Model Inputs &amp; Assumptions'!$L$35,'Model Inputs &amp; Assumptions'!$A$40:$A$42,0))*INDEX('Model Inputs &amp; Assumptions'!$H$40:$H$42,MATCH('Model Inputs &amp; Assumptions'!$L$35,'Model Inputs &amp; Assumptions'!$A$40:$A$42,0))</f>
        <v>8016.94402119113</v>
      </c>
      <c r="L3846" s="51" t="n">
        <f aca="false">IFERROR(K3846/I3846,0)</f>
        <v>0.924377827367301</v>
      </c>
      <c r="M3846" s="49" t="n">
        <f aca="false">IFERROR(I3846/H3846,0)</f>
        <v>206.895918895734</v>
      </c>
      <c r="N3846" s="52" t="str">
        <f aca="false">'Model Inputs &amp; Assumptions'!$L$35</f>
        <v>PRD-EUAI</v>
      </c>
      <c r="P3846" s="53" t="n">
        <v>1.001819</v>
      </c>
      <c r="Q3846" s="53" t="n">
        <v>0.501249</v>
      </c>
      <c r="R3846" s="53" t="n">
        <v>-0.740011</v>
      </c>
      <c r="S3846" s="53" t="n">
        <v>0.239695</v>
      </c>
    </row>
    <row r="3847" customFormat="false" ht="15" hidden="false" customHeight="false" outlineLevel="0" collapsed="false">
      <c r="A3847" s="43" t="n">
        <v>344</v>
      </c>
      <c r="B3847" s="44" t="str">
        <f aca="false">'Model Inputs &amp; Assumptions'!$B$35</f>
        <v>justETF — Sponsored Listing</v>
      </c>
      <c r="C3847" s="45" t="n">
        <f aca="false">ROUND(MAX(0,'Model Inputs &amp; Assumptions'!$S$35*EXP('Model Inputs &amp; Assumptions'!$T$35*P3847-'Model Inputs &amp; Assumptions'!$T$35^2/2)),0)</f>
        <v>91753</v>
      </c>
      <c r="D3847" s="46" t="n">
        <f aca="false">MIN(1,'Model Inputs &amp; Assumptions'!$U$35*EXP('Model Inputs &amp; Assumptions'!$V$35*Q3847-'Model Inputs &amp; Assumptions'!$V$35^2/2))</f>
        <v>0</v>
      </c>
      <c r="E3847" s="45" t="n">
        <f aca="false">ROUND(C3847*D3847,0)</f>
        <v>0</v>
      </c>
      <c r="F3847" s="47" t="n">
        <f aca="false">MIN(1,'Model Inputs &amp; Assumptions'!$W$35*EXP('Model Inputs &amp; Assumptions'!$X$35*R3847-'Model Inputs &amp; Assumptions'!$X$35^2/2))</f>
        <v>0.00582355049483441</v>
      </c>
      <c r="G3847" s="45" t="n">
        <f aca="false">ROUND(C3847*F3847,0)</f>
        <v>534</v>
      </c>
      <c r="H3847" s="48" t="n">
        <f aca="false">MAX(0,(C3847*'Model Inputs &amp; Assumptions'!$N$35+E3847*'Model Inputs &amp; Assumptions'!$O$35+G3847*'Model Inputs &amp; Assumptions'!$P$35)*EXP('Model Inputs &amp; Assumptions'!$Q$35*S3847-'Model Inputs &amp; Assumptions'!$Q$35^2/2))</f>
        <v>28.2146921931361</v>
      </c>
      <c r="I3847" s="49" t="n">
        <f aca="false">IF('Model Inputs &amp; Assumptions'!$H$35="Fixed",'Model Inputs &amp; Assumptions'!$I$35*'Model Inputs &amp; Assumptions'!$K$35,IF('Model Inputs &amp; Assumptions'!$H$35="CPM",'Model Inputs &amp; Assumptions'!$I$35*'Model Inputs &amp; Assumptions'!$K$35*C3847/1000,IF('Model Inputs &amp; Assumptions'!$H$35="CPC",'Model Inputs &amp; Assumptions'!$I$35*'Model Inputs &amp; Assumptions'!$K$35*G3847,0)))</f>
        <v>8672.8</v>
      </c>
      <c r="J3847" s="50" t="n">
        <f aca="false">H3847*INDEX('Model Inputs &amp; Assumptions'!$D$40:$D$42,MATCH('Model Inputs &amp; Assumptions'!$L$35,'Model Inputs &amp; Assumptions'!$A$40:$A$42,0))*INDEX('Model Inputs &amp; Assumptions'!$H$40:$H$42,MATCH('Model Inputs &amp; Assumptions'!$L$35,'Model Inputs &amp; Assumptions'!$A$40:$A$42,0))</f>
        <v>239824.883641657</v>
      </c>
      <c r="K3847" s="49" t="n">
        <f aca="false">H3847*INDEX('Model Inputs &amp; Assumptions'!$G$40:$G$42,MATCH('Model Inputs &amp; Assumptions'!$L$35,'Model Inputs &amp; Assumptions'!$A$40:$A$42,0))*INDEX('Model Inputs &amp; Assumptions'!$H$40:$H$42,MATCH('Model Inputs &amp; Assumptions'!$L$35,'Model Inputs &amp; Assumptions'!$A$40:$A$42,0))</f>
        <v>5396.05988193728</v>
      </c>
      <c r="L3847" s="51" t="n">
        <f aca="false">IFERROR(K3847/I3847,0)</f>
        <v>0.622181980667983</v>
      </c>
      <c r="M3847" s="49" t="n">
        <f aca="false">IFERROR(I3847/H3847,0)</f>
        <v>307.385951284978</v>
      </c>
      <c r="N3847" s="52" t="str">
        <f aca="false">'Model Inputs &amp; Assumptions'!$L$35</f>
        <v>PRD-EUAI</v>
      </c>
      <c r="P3847" s="53" t="n">
        <v>0.248193</v>
      </c>
      <c r="Q3847" s="53" t="n">
        <v>0.260672</v>
      </c>
      <c r="R3847" s="53" t="n">
        <v>-0.600987</v>
      </c>
      <c r="S3847" s="53" t="n">
        <v>-0.951896</v>
      </c>
    </row>
    <row r="3848" customFormat="false" ht="15" hidden="false" customHeight="false" outlineLevel="0" collapsed="false">
      <c r="A3848" s="43" t="n">
        <v>345</v>
      </c>
      <c r="B3848" s="44" t="str">
        <f aca="false">'Model Inputs &amp; Assumptions'!$B$35</f>
        <v>justETF — Sponsored Listing</v>
      </c>
      <c r="C3848" s="45" t="n">
        <f aca="false">ROUND(MAX(0,'Model Inputs &amp; Assumptions'!$S$35*EXP('Model Inputs &amp; Assumptions'!$T$35*P3848-'Model Inputs &amp; Assumptions'!$T$35^2/2)),0)</f>
        <v>90497</v>
      </c>
      <c r="D3848" s="46" t="n">
        <f aca="false">MIN(1,'Model Inputs &amp; Assumptions'!$U$35*EXP('Model Inputs &amp; Assumptions'!$V$35*Q3848-'Model Inputs &amp; Assumptions'!$V$35^2/2))</f>
        <v>0</v>
      </c>
      <c r="E3848" s="45" t="n">
        <f aca="false">ROUND(C3848*D3848,0)</f>
        <v>0</v>
      </c>
      <c r="F3848" s="47" t="n">
        <f aca="false">MIN(1,'Model Inputs &amp; Assumptions'!$W$35*EXP('Model Inputs &amp; Assumptions'!$X$35*R3848-'Model Inputs &amp; Assumptions'!$X$35^2/2))</f>
        <v>0.0064807064623993</v>
      </c>
      <c r="G3848" s="45" t="n">
        <f aca="false">ROUND(C3848*F3848,0)</f>
        <v>586</v>
      </c>
      <c r="H3848" s="48" t="n">
        <f aca="false">MAX(0,(C3848*'Model Inputs &amp; Assumptions'!$N$35+E3848*'Model Inputs &amp; Assumptions'!$O$35+G3848*'Model Inputs &amp; Assumptions'!$P$35)*EXP('Model Inputs &amp; Assumptions'!$Q$35*S3848-'Model Inputs &amp; Assumptions'!$Q$35^2/2))</f>
        <v>39.7662830080077</v>
      </c>
      <c r="I3848" s="49" t="n">
        <f aca="false">IF('Model Inputs &amp; Assumptions'!$H$35="Fixed",'Model Inputs &amp; Assumptions'!$I$35*'Model Inputs &amp; Assumptions'!$K$35,IF('Model Inputs &amp; Assumptions'!$H$35="CPM",'Model Inputs &amp; Assumptions'!$I$35*'Model Inputs &amp; Assumptions'!$K$35*C3848/1000,IF('Model Inputs &amp; Assumptions'!$H$35="CPC",'Model Inputs &amp; Assumptions'!$I$35*'Model Inputs &amp; Assumptions'!$K$35*G3848,0)))</f>
        <v>8672.8</v>
      </c>
      <c r="J3848" s="50" t="n">
        <f aca="false">H3848*INDEX('Model Inputs &amp; Assumptions'!$D$40:$D$42,MATCH('Model Inputs &amp; Assumptions'!$L$35,'Model Inputs &amp; Assumptions'!$A$40:$A$42,0))*INDEX('Model Inputs &amp; Assumptions'!$H$40:$H$42,MATCH('Model Inputs &amp; Assumptions'!$L$35,'Model Inputs &amp; Assumptions'!$A$40:$A$42,0))</f>
        <v>338013.405568066</v>
      </c>
      <c r="K3848" s="49" t="n">
        <f aca="false">H3848*INDEX('Model Inputs &amp; Assumptions'!$G$40:$G$42,MATCH('Model Inputs &amp; Assumptions'!$L$35,'Model Inputs &amp; Assumptions'!$A$40:$A$42,0))*INDEX('Model Inputs &amp; Assumptions'!$H$40:$H$42,MATCH('Model Inputs &amp; Assumptions'!$L$35,'Model Inputs &amp; Assumptions'!$A$40:$A$42,0))</f>
        <v>7605.30162528148</v>
      </c>
      <c r="L3848" s="51" t="n">
        <f aca="false">IFERROR(K3848/I3848,0)</f>
        <v>0.876914217470883</v>
      </c>
      <c r="M3848" s="49" t="n">
        <f aca="false">IFERROR(I3848/H3848,0)</f>
        <v>218.094308644677</v>
      </c>
      <c r="N3848" s="52" t="str">
        <f aca="false">'Model Inputs &amp; Assumptions'!$L$35</f>
        <v>PRD-EUAI</v>
      </c>
      <c r="P3848" s="53" t="n">
        <v>0.156319</v>
      </c>
      <c r="Q3848" s="53" t="n">
        <v>0.624548</v>
      </c>
      <c r="R3848" s="53" t="n">
        <v>-0.06639</v>
      </c>
      <c r="S3848" s="53" t="n">
        <v>0.010614</v>
      </c>
    </row>
    <row r="3849" customFormat="false" ht="15" hidden="false" customHeight="false" outlineLevel="0" collapsed="false">
      <c r="A3849" s="43" t="n">
        <v>346</v>
      </c>
      <c r="B3849" s="44" t="str">
        <f aca="false">'Model Inputs &amp; Assumptions'!$B$35</f>
        <v>justETF — Sponsored Listing</v>
      </c>
      <c r="C3849" s="45" t="n">
        <f aca="false">ROUND(MAX(0,'Model Inputs &amp; Assumptions'!$S$35*EXP('Model Inputs &amp; Assumptions'!$T$35*P3849-'Model Inputs &amp; Assumptions'!$T$35^2/2)),0)</f>
        <v>80375</v>
      </c>
      <c r="D3849" s="46" t="n">
        <f aca="false">MIN(1,'Model Inputs &amp; Assumptions'!$U$35*EXP('Model Inputs &amp; Assumptions'!$V$35*Q3849-'Model Inputs &amp; Assumptions'!$V$35^2/2))</f>
        <v>0</v>
      </c>
      <c r="E3849" s="45" t="n">
        <f aca="false">ROUND(C3849*D3849,0)</f>
        <v>0</v>
      </c>
      <c r="F3849" s="47" t="n">
        <f aca="false">MIN(1,'Model Inputs &amp; Assumptions'!$W$35*EXP('Model Inputs &amp; Assumptions'!$X$35*R3849-'Model Inputs &amp; Assumptions'!$X$35^2/2))</f>
        <v>0.00573063833274375</v>
      </c>
      <c r="G3849" s="45" t="n">
        <f aca="false">ROUND(C3849*F3849,0)</f>
        <v>461</v>
      </c>
      <c r="H3849" s="48" t="n">
        <f aca="false">MAX(0,(C3849*'Model Inputs &amp; Assumptions'!$N$35+E3849*'Model Inputs &amp; Assumptions'!$O$35+G3849*'Model Inputs &amp; Assumptions'!$P$35)*EXP('Model Inputs &amp; Assumptions'!$Q$35*S3849-'Model Inputs &amp; Assumptions'!$Q$35^2/2))</f>
        <v>37.255465767089</v>
      </c>
      <c r="I3849" s="49" t="n">
        <f aca="false">IF('Model Inputs &amp; Assumptions'!$H$35="Fixed",'Model Inputs &amp; Assumptions'!$I$35*'Model Inputs &amp; Assumptions'!$K$35,IF('Model Inputs &amp; Assumptions'!$H$35="CPM",'Model Inputs &amp; Assumptions'!$I$35*'Model Inputs &amp; Assumptions'!$K$35*C3849/1000,IF('Model Inputs &amp; Assumptions'!$H$35="CPC",'Model Inputs &amp; Assumptions'!$I$35*'Model Inputs &amp; Assumptions'!$K$35*G3849,0)))</f>
        <v>8672.8</v>
      </c>
      <c r="J3849" s="50" t="n">
        <f aca="false">H3849*INDEX('Model Inputs &amp; Assumptions'!$D$40:$D$42,MATCH('Model Inputs &amp; Assumptions'!$L$35,'Model Inputs &amp; Assumptions'!$A$40:$A$42,0))*INDEX('Model Inputs &amp; Assumptions'!$H$40:$H$42,MATCH('Model Inputs &amp; Assumptions'!$L$35,'Model Inputs &amp; Assumptions'!$A$40:$A$42,0))</f>
        <v>316671.459020257</v>
      </c>
      <c r="K3849" s="49" t="n">
        <f aca="false">H3849*INDEX('Model Inputs &amp; Assumptions'!$G$40:$G$42,MATCH('Model Inputs &amp; Assumptions'!$L$35,'Model Inputs &amp; Assumptions'!$A$40:$A$42,0))*INDEX('Model Inputs &amp; Assumptions'!$H$40:$H$42,MATCH('Model Inputs &amp; Assumptions'!$L$35,'Model Inputs &amp; Assumptions'!$A$40:$A$42,0))</f>
        <v>7125.10782795577</v>
      </c>
      <c r="L3849" s="51" t="n">
        <f aca="false">IFERROR(K3849/I3849,0)</f>
        <v>0.821546424217758</v>
      </c>
      <c r="M3849" s="49" t="n">
        <f aca="false">IFERROR(I3849/H3849,0)</f>
        <v>232.792687500405</v>
      </c>
      <c r="N3849" s="52" t="str">
        <f aca="false">'Model Inputs &amp; Assumptions'!$L$35</f>
        <v>PRD-EUAI</v>
      </c>
      <c r="P3849" s="53" t="n">
        <v>-0.634479</v>
      </c>
      <c r="Q3849" s="53" t="n">
        <v>-0.607799</v>
      </c>
      <c r="R3849" s="53" t="n">
        <v>-0.681403</v>
      </c>
      <c r="S3849" s="53" t="n">
        <v>0.682541</v>
      </c>
    </row>
    <row r="3850" customFormat="false" ht="15" hidden="false" customHeight="false" outlineLevel="0" collapsed="false">
      <c r="A3850" s="43" t="n">
        <v>347</v>
      </c>
      <c r="B3850" s="44" t="str">
        <f aca="false">'Model Inputs &amp; Assumptions'!$B$35</f>
        <v>justETF — Sponsored Listing</v>
      </c>
      <c r="C3850" s="45" t="n">
        <f aca="false">ROUND(MAX(0,'Model Inputs &amp; Assumptions'!$S$35*EXP('Model Inputs &amp; Assumptions'!$T$35*P3850-'Model Inputs &amp; Assumptions'!$T$35^2/2)),0)</f>
        <v>113009</v>
      </c>
      <c r="D3850" s="46" t="n">
        <f aca="false">MIN(1,'Model Inputs &amp; Assumptions'!$U$35*EXP('Model Inputs &amp; Assumptions'!$V$35*Q3850-'Model Inputs &amp; Assumptions'!$V$35^2/2))</f>
        <v>0</v>
      </c>
      <c r="E3850" s="45" t="n">
        <f aca="false">ROUND(C3850*D3850,0)</f>
        <v>0</v>
      </c>
      <c r="F3850" s="47" t="n">
        <f aca="false">MIN(1,'Model Inputs &amp; Assumptions'!$W$35*EXP('Model Inputs &amp; Assumptions'!$X$35*R3850-'Model Inputs &amp; Assumptions'!$X$35^2/2))</f>
        <v>0.00506155083968351</v>
      </c>
      <c r="G3850" s="45" t="n">
        <f aca="false">ROUND(C3850*F3850,0)</f>
        <v>572</v>
      </c>
      <c r="H3850" s="48" t="n">
        <f aca="false">MAX(0,(C3850*'Model Inputs &amp; Assumptions'!$N$35+E3850*'Model Inputs &amp; Assumptions'!$O$35+G3850*'Model Inputs &amp; Assumptions'!$P$35)*EXP('Model Inputs &amp; Assumptions'!$Q$35*S3850-'Model Inputs &amp; Assumptions'!$Q$35^2/2))</f>
        <v>31.2415435901494</v>
      </c>
      <c r="I3850" s="49" t="n">
        <f aca="false">IF('Model Inputs &amp; Assumptions'!$H$35="Fixed",'Model Inputs &amp; Assumptions'!$I$35*'Model Inputs &amp; Assumptions'!$K$35,IF('Model Inputs &amp; Assumptions'!$H$35="CPM",'Model Inputs &amp; Assumptions'!$I$35*'Model Inputs &amp; Assumptions'!$K$35*C3850/1000,IF('Model Inputs &amp; Assumptions'!$H$35="CPC",'Model Inputs &amp; Assumptions'!$I$35*'Model Inputs &amp; Assumptions'!$K$35*G3850,0)))</f>
        <v>8672.8</v>
      </c>
      <c r="J3850" s="50" t="n">
        <f aca="false">H3850*INDEX('Model Inputs &amp; Assumptions'!$D$40:$D$42,MATCH('Model Inputs &amp; Assumptions'!$L$35,'Model Inputs &amp; Assumptions'!$A$40:$A$42,0))*INDEX('Model Inputs &amp; Assumptions'!$H$40:$H$42,MATCH('Model Inputs &amp; Assumptions'!$L$35,'Model Inputs &amp; Assumptions'!$A$40:$A$42,0))</f>
        <v>265553.12051627</v>
      </c>
      <c r="K3850" s="49" t="n">
        <f aca="false">H3850*INDEX('Model Inputs &amp; Assumptions'!$G$40:$G$42,MATCH('Model Inputs &amp; Assumptions'!$L$35,'Model Inputs &amp; Assumptions'!$A$40:$A$42,0))*INDEX('Model Inputs &amp; Assumptions'!$H$40:$H$42,MATCH('Model Inputs &amp; Assumptions'!$L$35,'Model Inputs &amp; Assumptions'!$A$40:$A$42,0))</f>
        <v>5974.94521161607</v>
      </c>
      <c r="L3850" s="51" t="n">
        <f aca="false">IFERROR(K3850/I3850,0)</f>
        <v>0.688929205287343</v>
      </c>
      <c r="M3850" s="49" t="n">
        <f aca="false">IFERROR(I3850/H3850,0)</f>
        <v>277.604721257581</v>
      </c>
      <c r="N3850" s="52" t="str">
        <f aca="false">'Model Inputs &amp; Assumptions'!$L$35</f>
        <v>PRD-EUAI</v>
      </c>
      <c r="P3850" s="53" t="n">
        <v>1.637309</v>
      </c>
      <c r="Q3850" s="53" t="n">
        <v>-1.309072</v>
      </c>
      <c r="R3850" s="53" t="n">
        <v>-1.302173</v>
      </c>
      <c r="S3850" s="53" t="n">
        <v>-0.824347</v>
      </c>
    </row>
    <row r="3851" customFormat="false" ht="15" hidden="false" customHeight="false" outlineLevel="0" collapsed="false">
      <c r="A3851" s="43" t="n">
        <v>348</v>
      </c>
      <c r="B3851" s="44" t="str">
        <f aca="false">'Model Inputs &amp; Assumptions'!$B$35</f>
        <v>justETF — Sponsored Listing</v>
      </c>
      <c r="C3851" s="45" t="n">
        <f aca="false">ROUND(MAX(0,'Model Inputs &amp; Assumptions'!$S$35*EXP('Model Inputs &amp; Assumptions'!$T$35*P3851-'Model Inputs &amp; Assumptions'!$T$35^2/2)),0)</f>
        <v>74953</v>
      </c>
      <c r="D3851" s="46" t="n">
        <f aca="false">MIN(1,'Model Inputs &amp; Assumptions'!$U$35*EXP('Model Inputs &amp; Assumptions'!$V$35*Q3851-'Model Inputs &amp; Assumptions'!$V$35^2/2))</f>
        <v>0</v>
      </c>
      <c r="E3851" s="45" t="n">
        <f aca="false">ROUND(C3851*D3851,0)</f>
        <v>0</v>
      </c>
      <c r="F3851" s="47" t="n">
        <f aca="false">MIN(1,'Model Inputs &amp; Assumptions'!$W$35*EXP('Model Inputs &amp; Assumptions'!$X$35*R3851-'Model Inputs &amp; Assumptions'!$X$35^2/2))</f>
        <v>0.00894123145547746</v>
      </c>
      <c r="G3851" s="45" t="n">
        <f aca="false">ROUND(C3851*F3851,0)</f>
        <v>670</v>
      </c>
      <c r="H3851" s="48" t="n">
        <f aca="false">MAX(0,(C3851*'Model Inputs &amp; Assumptions'!$N$35+E3851*'Model Inputs &amp; Assumptions'!$O$35+G3851*'Model Inputs &amp; Assumptions'!$P$35)*EXP('Model Inputs &amp; Assumptions'!$Q$35*S3851-'Model Inputs &amp; Assumptions'!$Q$35^2/2))</f>
        <v>76.5087822924807</v>
      </c>
      <c r="I3851" s="49" t="n">
        <f aca="false">IF('Model Inputs &amp; Assumptions'!$H$35="Fixed",'Model Inputs &amp; Assumptions'!$I$35*'Model Inputs &amp; Assumptions'!$K$35,IF('Model Inputs &amp; Assumptions'!$H$35="CPM",'Model Inputs &amp; Assumptions'!$I$35*'Model Inputs &amp; Assumptions'!$K$35*C3851/1000,IF('Model Inputs &amp; Assumptions'!$H$35="CPC",'Model Inputs &amp; Assumptions'!$I$35*'Model Inputs &amp; Assumptions'!$K$35*G3851,0)))</f>
        <v>8672.8</v>
      </c>
      <c r="J3851" s="50" t="n">
        <f aca="false">H3851*INDEX('Model Inputs &amp; Assumptions'!$D$40:$D$42,MATCH('Model Inputs &amp; Assumptions'!$L$35,'Model Inputs &amp; Assumptions'!$A$40:$A$42,0))*INDEX('Model Inputs &amp; Assumptions'!$H$40:$H$42,MATCH('Model Inputs &amp; Assumptions'!$L$35,'Model Inputs &amp; Assumptions'!$A$40:$A$42,0))</f>
        <v>650324.649486086</v>
      </c>
      <c r="K3851" s="49" t="n">
        <f aca="false">H3851*INDEX('Model Inputs &amp; Assumptions'!$G$40:$G$42,MATCH('Model Inputs &amp; Assumptions'!$L$35,'Model Inputs &amp; Assumptions'!$A$40:$A$42,0))*INDEX('Model Inputs &amp; Assumptions'!$H$40:$H$42,MATCH('Model Inputs &amp; Assumptions'!$L$35,'Model Inputs &amp; Assumptions'!$A$40:$A$42,0))</f>
        <v>14632.3046134369</v>
      </c>
      <c r="L3851" s="51" t="n">
        <f aca="false">IFERROR(K3851/I3851,0)</f>
        <v>1.6871488577434</v>
      </c>
      <c r="M3851" s="49" t="n">
        <f aca="false">IFERROR(I3851/H3851,0)</f>
        <v>113.35692112894</v>
      </c>
      <c r="N3851" s="52" t="str">
        <f aca="false">'Model Inputs &amp; Assumptions'!$L$35</f>
        <v>PRD-EUAI</v>
      </c>
      <c r="P3851" s="53" t="n">
        <v>-1.100065</v>
      </c>
      <c r="Q3851" s="53" t="n">
        <v>-1.346158</v>
      </c>
      <c r="R3851" s="53" t="n">
        <v>1.542829</v>
      </c>
      <c r="S3851" s="53" t="n">
        <v>2.012261</v>
      </c>
    </row>
    <row r="3852" customFormat="false" ht="15" hidden="false" customHeight="false" outlineLevel="0" collapsed="false">
      <c r="A3852" s="43" t="n">
        <v>349</v>
      </c>
      <c r="B3852" s="44" t="str">
        <f aca="false">'Model Inputs &amp; Assumptions'!$B$35</f>
        <v>justETF — Sponsored Listing</v>
      </c>
      <c r="C3852" s="45" t="n">
        <f aca="false">ROUND(MAX(0,'Model Inputs &amp; Assumptions'!$S$35*EXP('Model Inputs &amp; Assumptions'!$T$35*P3852-'Model Inputs &amp; Assumptions'!$T$35^2/2)),0)</f>
        <v>76044</v>
      </c>
      <c r="D3852" s="46" t="n">
        <f aca="false">MIN(1,'Model Inputs &amp; Assumptions'!$U$35*EXP('Model Inputs &amp; Assumptions'!$V$35*Q3852-'Model Inputs &amp; Assumptions'!$V$35^2/2))</f>
        <v>0</v>
      </c>
      <c r="E3852" s="45" t="n">
        <f aca="false">ROUND(C3852*D3852,0)</f>
        <v>0</v>
      </c>
      <c r="F3852" s="47" t="n">
        <f aca="false">MIN(1,'Model Inputs &amp; Assumptions'!$W$35*EXP('Model Inputs &amp; Assumptions'!$X$35*R3852-'Model Inputs &amp; Assumptions'!$X$35^2/2))</f>
        <v>0.00746605633793577</v>
      </c>
      <c r="G3852" s="45" t="n">
        <f aca="false">ROUND(C3852*F3852,0)</f>
        <v>568</v>
      </c>
      <c r="H3852" s="48" t="n">
        <f aca="false">MAX(0,(C3852*'Model Inputs &amp; Assumptions'!$N$35+E3852*'Model Inputs &amp; Assumptions'!$O$35+G3852*'Model Inputs &amp; Assumptions'!$P$35)*EXP('Model Inputs &amp; Assumptions'!$Q$35*S3852-'Model Inputs &amp; Assumptions'!$Q$35^2/2))</f>
        <v>22.724516001851</v>
      </c>
      <c r="I3852" s="49" t="n">
        <f aca="false">IF('Model Inputs &amp; Assumptions'!$H$35="Fixed",'Model Inputs &amp; Assumptions'!$I$35*'Model Inputs &amp; Assumptions'!$K$35,IF('Model Inputs &amp; Assumptions'!$H$35="CPM",'Model Inputs &amp; Assumptions'!$I$35*'Model Inputs &amp; Assumptions'!$K$35*C3852/1000,IF('Model Inputs &amp; Assumptions'!$H$35="CPC",'Model Inputs &amp; Assumptions'!$I$35*'Model Inputs &amp; Assumptions'!$K$35*G3852,0)))</f>
        <v>8672.8</v>
      </c>
      <c r="J3852" s="50" t="n">
        <f aca="false">H3852*INDEX('Model Inputs &amp; Assumptions'!$D$40:$D$42,MATCH('Model Inputs &amp; Assumptions'!$L$35,'Model Inputs &amp; Assumptions'!$A$40:$A$42,0))*INDEX('Model Inputs &amp; Assumptions'!$H$40:$H$42,MATCH('Model Inputs &amp; Assumptions'!$L$35,'Model Inputs &amp; Assumptions'!$A$40:$A$42,0))</f>
        <v>193158.386015733</v>
      </c>
      <c r="K3852" s="49" t="n">
        <f aca="false">H3852*INDEX('Model Inputs &amp; Assumptions'!$G$40:$G$42,MATCH('Model Inputs &amp; Assumptions'!$L$35,'Model Inputs &amp; Assumptions'!$A$40:$A$42,0))*INDEX('Model Inputs &amp; Assumptions'!$H$40:$H$42,MATCH('Model Inputs &amp; Assumptions'!$L$35,'Model Inputs &amp; Assumptions'!$A$40:$A$42,0))</f>
        <v>4346.063685354</v>
      </c>
      <c r="L3852" s="51" t="n">
        <f aca="false">IFERROR(K3852/I3852,0)</f>
        <v>0.50111425207015</v>
      </c>
      <c r="M3852" s="49" t="n">
        <f aca="false">IFERROR(I3852/H3852,0)</f>
        <v>381.649492525763</v>
      </c>
      <c r="N3852" s="52" t="str">
        <f aca="false">'Model Inputs &amp; Assumptions'!$L$35</f>
        <v>PRD-EUAI</v>
      </c>
      <c r="P3852" s="53" t="n">
        <v>-1.003762</v>
      </c>
      <c r="Q3852" s="53" t="n">
        <v>0.219218</v>
      </c>
      <c r="R3852" s="53" t="n">
        <v>0.641297</v>
      </c>
      <c r="S3852" s="53" t="n">
        <v>-2.021604</v>
      </c>
    </row>
    <row r="3853" customFormat="false" ht="15" hidden="false" customHeight="false" outlineLevel="0" collapsed="false">
      <c r="A3853" s="43" t="n">
        <v>350</v>
      </c>
      <c r="B3853" s="44" t="str">
        <f aca="false">'Model Inputs &amp; Assumptions'!$B$35</f>
        <v>justETF — Sponsored Listing</v>
      </c>
      <c r="C3853" s="45" t="n">
        <f aca="false">ROUND(MAX(0,'Model Inputs &amp; Assumptions'!$S$35*EXP('Model Inputs &amp; Assumptions'!$T$35*P3853-'Model Inputs &amp; Assumptions'!$T$35^2/2)),0)</f>
        <v>97662</v>
      </c>
      <c r="D3853" s="46" t="n">
        <f aca="false">MIN(1,'Model Inputs &amp; Assumptions'!$U$35*EXP('Model Inputs &amp; Assumptions'!$V$35*Q3853-'Model Inputs &amp; Assumptions'!$V$35^2/2))</f>
        <v>0</v>
      </c>
      <c r="E3853" s="45" t="n">
        <f aca="false">ROUND(C3853*D3853,0)</f>
        <v>0</v>
      </c>
      <c r="F3853" s="47" t="n">
        <f aca="false">MIN(1,'Model Inputs &amp; Assumptions'!$W$35*EXP('Model Inputs &amp; Assumptions'!$X$35*R3853-'Model Inputs &amp; Assumptions'!$X$35^2/2))</f>
        <v>0.00633087163923122</v>
      </c>
      <c r="G3853" s="45" t="n">
        <f aca="false">ROUND(C3853*F3853,0)</f>
        <v>618</v>
      </c>
      <c r="H3853" s="48" t="n">
        <f aca="false">MAX(0,(C3853*'Model Inputs &amp; Assumptions'!$N$35+E3853*'Model Inputs &amp; Assumptions'!$O$35+G3853*'Model Inputs &amp; Assumptions'!$P$35)*EXP('Model Inputs &amp; Assumptions'!$Q$35*S3853-'Model Inputs &amp; Assumptions'!$Q$35^2/2))</f>
        <v>57.1780566924293</v>
      </c>
      <c r="I3853" s="49" t="n">
        <f aca="false">IF('Model Inputs &amp; Assumptions'!$H$35="Fixed",'Model Inputs &amp; Assumptions'!$I$35*'Model Inputs &amp; Assumptions'!$K$35,IF('Model Inputs &amp; Assumptions'!$H$35="CPM",'Model Inputs &amp; Assumptions'!$I$35*'Model Inputs &amp; Assumptions'!$K$35*C3853/1000,IF('Model Inputs &amp; Assumptions'!$H$35="CPC",'Model Inputs &amp; Assumptions'!$I$35*'Model Inputs &amp; Assumptions'!$K$35*G3853,0)))</f>
        <v>8672.8</v>
      </c>
      <c r="J3853" s="50" t="n">
        <f aca="false">H3853*INDEX('Model Inputs &amp; Assumptions'!$D$40:$D$42,MATCH('Model Inputs &amp; Assumptions'!$L$35,'Model Inputs &amp; Assumptions'!$A$40:$A$42,0))*INDEX('Model Inputs &amp; Assumptions'!$H$40:$H$42,MATCH('Model Inputs &amp; Assumptions'!$L$35,'Model Inputs &amp; Assumptions'!$A$40:$A$42,0))</f>
        <v>486013.481885649</v>
      </c>
      <c r="K3853" s="49" t="n">
        <f aca="false">H3853*INDEX('Model Inputs &amp; Assumptions'!$G$40:$G$42,MATCH('Model Inputs &amp; Assumptions'!$L$35,'Model Inputs &amp; Assumptions'!$A$40:$A$42,0))*INDEX('Model Inputs &amp; Assumptions'!$H$40:$H$42,MATCH('Model Inputs &amp; Assumptions'!$L$35,'Model Inputs &amp; Assumptions'!$A$40:$A$42,0))</f>
        <v>10935.3033424271</v>
      </c>
      <c r="L3853" s="51" t="n">
        <f aca="false">IFERROR(K3853/I3853,0)</f>
        <v>1.26087345983155</v>
      </c>
      <c r="M3853" s="49" t="n">
        <f aca="false">IFERROR(I3853/H3853,0)</f>
        <v>151.680565966985</v>
      </c>
      <c r="N3853" s="52" t="str">
        <f aca="false">'Model Inputs &amp; Assumptions'!$L$35</f>
        <v>PRD-EUAI</v>
      </c>
      <c r="P3853" s="53" t="n">
        <v>0.664295</v>
      </c>
      <c r="Q3853" s="53" t="n">
        <v>0.720923</v>
      </c>
      <c r="R3853" s="53" t="n">
        <v>-0.183348</v>
      </c>
      <c r="S3853" s="53" t="n">
        <v>1.202853</v>
      </c>
    </row>
    <row r="3854" customFormat="false" ht="15" hidden="false" customHeight="false" outlineLevel="0" collapsed="false">
      <c r="A3854" s="43" t="n">
        <v>351</v>
      </c>
      <c r="B3854" s="44" t="str">
        <f aca="false">'Model Inputs &amp; Assumptions'!$B$35</f>
        <v>justETF — Sponsored Listing</v>
      </c>
      <c r="C3854" s="45" t="n">
        <f aca="false">ROUND(MAX(0,'Model Inputs &amp; Assumptions'!$S$35*EXP('Model Inputs &amp; Assumptions'!$T$35*P3854-'Model Inputs &amp; Assumptions'!$T$35^2/2)),0)</f>
        <v>98595</v>
      </c>
      <c r="D3854" s="46" t="n">
        <f aca="false">MIN(1,'Model Inputs &amp; Assumptions'!$U$35*EXP('Model Inputs &amp; Assumptions'!$V$35*Q3854-'Model Inputs &amp; Assumptions'!$V$35^2/2))</f>
        <v>0</v>
      </c>
      <c r="E3854" s="45" t="n">
        <f aca="false">ROUND(C3854*D3854,0)</f>
        <v>0</v>
      </c>
      <c r="F3854" s="47" t="n">
        <f aca="false">MIN(1,'Model Inputs &amp; Assumptions'!$W$35*EXP('Model Inputs &amp; Assumptions'!$X$35*R3854-'Model Inputs &amp; Assumptions'!$X$35^2/2))</f>
        <v>0.00810971987140454</v>
      </c>
      <c r="G3854" s="45" t="n">
        <f aca="false">ROUND(C3854*F3854,0)</f>
        <v>800</v>
      </c>
      <c r="H3854" s="48" t="n">
        <f aca="false">MAX(0,(C3854*'Model Inputs &amp; Assumptions'!$N$35+E3854*'Model Inputs &amp; Assumptions'!$O$35+G3854*'Model Inputs &amp; Assumptions'!$P$35)*EXP('Model Inputs &amp; Assumptions'!$Q$35*S3854-'Model Inputs &amp; Assumptions'!$Q$35^2/2))</f>
        <v>37.0664864336547</v>
      </c>
      <c r="I3854" s="49" t="n">
        <f aca="false">IF('Model Inputs &amp; Assumptions'!$H$35="Fixed",'Model Inputs &amp; Assumptions'!$I$35*'Model Inputs &amp; Assumptions'!$K$35,IF('Model Inputs &amp; Assumptions'!$H$35="CPM",'Model Inputs &amp; Assumptions'!$I$35*'Model Inputs &amp; Assumptions'!$K$35*C3854/1000,IF('Model Inputs &amp; Assumptions'!$H$35="CPC",'Model Inputs &amp; Assumptions'!$I$35*'Model Inputs &amp; Assumptions'!$K$35*G3854,0)))</f>
        <v>8672.8</v>
      </c>
      <c r="J3854" s="50" t="n">
        <f aca="false">H3854*INDEX('Model Inputs &amp; Assumptions'!$D$40:$D$42,MATCH('Model Inputs &amp; Assumptions'!$L$35,'Model Inputs &amp; Assumptions'!$A$40:$A$42,0))*INDEX('Model Inputs &amp; Assumptions'!$H$40:$H$42,MATCH('Model Inputs &amp; Assumptions'!$L$35,'Model Inputs &amp; Assumptions'!$A$40:$A$42,0))</f>
        <v>315065.134686065</v>
      </c>
      <c r="K3854" s="49" t="n">
        <f aca="false">H3854*INDEX('Model Inputs &amp; Assumptions'!$G$40:$G$42,MATCH('Model Inputs &amp; Assumptions'!$L$35,'Model Inputs &amp; Assumptions'!$A$40:$A$42,0))*INDEX('Model Inputs &amp; Assumptions'!$H$40:$H$42,MATCH('Model Inputs &amp; Assumptions'!$L$35,'Model Inputs &amp; Assumptions'!$A$40:$A$42,0))</f>
        <v>7088.96553043646</v>
      </c>
      <c r="L3854" s="51" t="n">
        <f aca="false">IFERROR(K3854/I3854,0)</f>
        <v>0.817379108296797</v>
      </c>
      <c r="M3854" s="49" t="n">
        <f aca="false">IFERROR(I3854/H3854,0)</f>
        <v>233.979554968703</v>
      </c>
      <c r="N3854" s="52" t="str">
        <f aca="false">'Model Inputs &amp; Assumptions'!$L$35</f>
        <v>PRD-EUAI</v>
      </c>
      <c r="P3854" s="53" t="n">
        <v>0.727688</v>
      </c>
      <c r="Q3854" s="53" t="n">
        <v>-1.522066</v>
      </c>
      <c r="R3854" s="53" t="n">
        <v>1.054779</v>
      </c>
      <c r="S3854" s="53" t="n">
        <v>-1.457071</v>
      </c>
    </row>
    <row r="3855" customFormat="false" ht="15" hidden="false" customHeight="false" outlineLevel="0" collapsed="false">
      <c r="A3855" s="43" t="n">
        <v>352</v>
      </c>
      <c r="B3855" s="44" t="str">
        <f aca="false">'Model Inputs &amp; Assumptions'!$B$35</f>
        <v>justETF — Sponsored Listing</v>
      </c>
      <c r="C3855" s="45" t="n">
        <f aca="false">ROUND(MAX(0,'Model Inputs &amp; Assumptions'!$S$35*EXP('Model Inputs &amp; Assumptions'!$T$35*P3855-'Model Inputs &amp; Assumptions'!$T$35^2/2)),0)</f>
        <v>99268</v>
      </c>
      <c r="D3855" s="46" t="n">
        <f aca="false">MIN(1,'Model Inputs &amp; Assumptions'!$U$35*EXP('Model Inputs &amp; Assumptions'!$V$35*Q3855-'Model Inputs &amp; Assumptions'!$V$35^2/2))</f>
        <v>0</v>
      </c>
      <c r="E3855" s="45" t="n">
        <f aca="false">ROUND(C3855*D3855,0)</f>
        <v>0</v>
      </c>
      <c r="F3855" s="47" t="n">
        <f aca="false">MIN(1,'Model Inputs &amp; Assumptions'!$W$35*EXP('Model Inputs &amp; Assumptions'!$X$35*R3855-'Model Inputs &amp; Assumptions'!$X$35^2/2))</f>
        <v>0.00527632443934985</v>
      </c>
      <c r="G3855" s="45" t="n">
        <f aca="false">ROUND(C3855*F3855,0)</f>
        <v>524</v>
      </c>
      <c r="H3855" s="48" t="n">
        <f aca="false">MAX(0,(C3855*'Model Inputs &amp; Assumptions'!$N$35+E3855*'Model Inputs &amp; Assumptions'!$O$35+G3855*'Model Inputs &amp; Assumptions'!$P$35)*EXP('Model Inputs &amp; Assumptions'!$Q$35*S3855-'Model Inputs &amp; Assumptions'!$Q$35^2/2))</f>
        <v>34.6699662900749</v>
      </c>
      <c r="I3855" s="49" t="n">
        <f aca="false">IF('Model Inputs &amp; Assumptions'!$H$35="Fixed",'Model Inputs &amp; Assumptions'!$I$35*'Model Inputs &amp; Assumptions'!$K$35,IF('Model Inputs &amp; Assumptions'!$H$35="CPM",'Model Inputs &amp; Assumptions'!$I$35*'Model Inputs &amp; Assumptions'!$K$35*C3855/1000,IF('Model Inputs &amp; Assumptions'!$H$35="CPC",'Model Inputs &amp; Assumptions'!$I$35*'Model Inputs &amp; Assumptions'!$K$35*G3855,0)))</f>
        <v>8672.8</v>
      </c>
      <c r="J3855" s="50" t="n">
        <f aca="false">H3855*INDEX('Model Inputs &amp; Assumptions'!$D$40:$D$42,MATCH('Model Inputs &amp; Assumptions'!$L$35,'Model Inputs &amp; Assumptions'!$A$40:$A$42,0))*INDEX('Model Inputs &amp; Assumptions'!$H$40:$H$42,MATCH('Model Inputs &amp; Assumptions'!$L$35,'Model Inputs &amp; Assumptions'!$A$40:$A$42,0))</f>
        <v>294694.713465636</v>
      </c>
      <c r="K3855" s="49" t="n">
        <f aca="false">H3855*INDEX('Model Inputs &amp; Assumptions'!$G$40:$G$42,MATCH('Model Inputs &amp; Assumptions'!$L$35,'Model Inputs &amp; Assumptions'!$A$40:$A$42,0))*INDEX('Model Inputs &amp; Assumptions'!$H$40:$H$42,MATCH('Model Inputs &amp; Assumptions'!$L$35,'Model Inputs &amp; Assumptions'!$A$40:$A$42,0))</f>
        <v>6630.63105297682</v>
      </c>
      <c r="L3855" s="51" t="n">
        <f aca="false">IFERROR(K3855/I3855,0)</f>
        <v>0.764531760559084</v>
      </c>
      <c r="M3855" s="49" t="n">
        <f aca="false">IFERROR(I3855/H3855,0)</f>
        <v>250.153113142276</v>
      </c>
      <c r="N3855" s="52" t="str">
        <f aca="false">'Model Inputs &amp; Assumptions'!$L$35</f>
        <v>PRD-EUAI</v>
      </c>
      <c r="P3855" s="53" t="n">
        <v>0.772985</v>
      </c>
      <c r="Q3855" s="53" t="n">
        <v>-0.431275</v>
      </c>
      <c r="R3855" s="53" t="n">
        <v>-1.094389</v>
      </c>
      <c r="S3855" s="53" t="n">
        <v>-0.086761</v>
      </c>
    </row>
    <row r="3856" customFormat="false" ht="15" hidden="false" customHeight="false" outlineLevel="0" collapsed="false">
      <c r="A3856" s="43" t="n">
        <v>353</v>
      </c>
      <c r="B3856" s="44" t="str">
        <f aca="false">'Model Inputs &amp; Assumptions'!$B$35</f>
        <v>justETF — Sponsored Listing</v>
      </c>
      <c r="C3856" s="45" t="n">
        <f aca="false">ROUND(MAX(0,'Model Inputs &amp; Assumptions'!$S$35*EXP('Model Inputs &amp; Assumptions'!$T$35*P3856-'Model Inputs &amp; Assumptions'!$T$35^2/2)),0)</f>
        <v>86016</v>
      </c>
      <c r="D3856" s="46" t="n">
        <f aca="false">MIN(1,'Model Inputs &amp; Assumptions'!$U$35*EXP('Model Inputs &amp; Assumptions'!$V$35*Q3856-'Model Inputs &amp; Assumptions'!$V$35^2/2))</f>
        <v>0</v>
      </c>
      <c r="E3856" s="45" t="n">
        <f aca="false">ROUND(C3856*D3856,0)</f>
        <v>0</v>
      </c>
      <c r="F3856" s="47" t="n">
        <f aca="false">MIN(1,'Model Inputs &amp; Assumptions'!$W$35*EXP('Model Inputs &amp; Assumptions'!$X$35*R3856-'Model Inputs &amp; Assumptions'!$X$35^2/2))</f>
        <v>0.00693112492173445</v>
      </c>
      <c r="G3856" s="45" t="n">
        <f aca="false">ROUND(C3856*F3856,0)</f>
        <v>596</v>
      </c>
      <c r="H3856" s="48" t="n">
        <f aca="false">MAX(0,(C3856*'Model Inputs &amp; Assumptions'!$N$35+E3856*'Model Inputs &amp; Assumptions'!$O$35+G3856*'Model Inputs &amp; Assumptions'!$P$35)*EXP('Model Inputs &amp; Assumptions'!$Q$35*S3856-'Model Inputs &amp; Assumptions'!$Q$35^2/2))</f>
        <v>30.8077342396301</v>
      </c>
      <c r="I3856" s="49" t="n">
        <f aca="false">IF('Model Inputs &amp; Assumptions'!$H$35="Fixed",'Model Inputs &amp; Assumptions'!$I$35*'Model Inputs &amp; Assumptions'!$K$35,IF('Model Inputs &amp; Assumptions'!$H$35="CPM",'Model Inputs &amp; Assumptions'!$I$35*'Model Inputs &amp; Assumptions'!$K$35*C3856/1000,IF('Model Inputs &amp; Assumptions'!$H$35="CPC",'Model Inputs &amp; Assumptions'!$I$35*'Model Inputs &amp; Assumptions'!$K$35*G3856,0)))</f>
        <v>8672.8</v>
      </c>
      <c r="J3856" s="50" t="n">
        <f aca="false">H3856*INDEX('Model Inputs &amp; Assumptions'!$D$40:$D$42,MATCH('Model Inputs &amp; Assumptions'!$L$35,'Model Inputs &amp; Assumptions'!$A$40:$A$42,0))*INDEX('Model Inputs &amp; Assumptions'!$H$40:$H$42,MATCH('Model Inputs &amp; Assumptions'!$L$35,'Model Inputs &amp; Assumptions'!$A$40:$A$42,0))</f>
        <v>261865.741036856</v>
      </c>
      <c r="K3856" s="49" t="n">
        <f aca="false">H3856*INDEX('Model Inputs &amp; Assumptions'!$G$40:$G$42,MATCH('Model Inputs &amp; Assumptions'!$L$35,'Model Inputs &amp; Assumptions'!$A$40:$A$42,0))*INDEX('Model Inputs &amp; Assumptions'!$H$40:$H$42,MATCH('Model Inputs &amp; Assumptions'!$L$35,'Model Inputs &amp; Assumptions'!$A$40:$A$42,0))</f>
        <v>5891.97917332926</v>
      </c>
      <c r="L3856" s="51" t="n">
        <f aca="false">IFERROR(K3856/I3856,0)</f>
        <v>0.679362970820181</v>
      </c>
      <c r="M3856" s="49" t="n">
        <f aca="false">IFERROR(I3856/H3856,0)</f>
        <v>281.513724201229</v>
      </c>
      <c r="N3856" s="52" t="str">
        <f aca="false">'Model Inputs &amp; Assumptions'!$L$35</f>
        <v>PRD-EUAI</v>
      </c>
      <c r="P3856" s="53" t="n">
        <v>-0.182243</v>
      </c>
      <c r="Q3856" s="53" t="n">
        <v>0.31427</v>
      </c>
      <c r="R3856" s="53" t="n">
        <v>0.269573</v>
      </c>
      <c r="S3856" s="53" t="n">
        <v>-1.036211</v>
      </c>
    </row>
    <row r="3857" customFormat="false" ht="15" hidden="false" customHeight="false" outlineLevel="0" collapsed="false">
      <c r="A3857" s="43" t="n">
        <v>354</v>
      </c>
      <c r="B3857" s="44" t="str">
        <f aca="false">'Model Inputs &amp; Assumptions'!$B$35</f>
        <v>justETF — Sponsored Listing</v>
      </c>
      <c r="C3857" s="45" t="n">
        <f aca="false">ROUND(MAX(0,'Model Inputs &amp; Assumptions'!$S$35*EXP('Model Inputs &amp; Assumptions'!$T$35*P3857-'Model Inputs &amp; Assumptions'!$T$35^2/2)),0)</f>
        <v>66809</v>
      </c>
      <c r="D3857" s="46" t="n">
        <f aca="false">MIN(1,'Model Inputs &amp; Assumptions'!$U$35*EXP('Model Inputs &amp; Assumptions'!$V$35*Q3857-'Model Inputs &amp; Assumptions'!$V$35^2/2))</f>
        <v>0</v>
      </c>
      <c r="E3857" s="45" t="n">
        <f aca="false">ROUND(C3857*D3857,0)</f>
        <v>0</v>
      </c>
      <c r="F3857" s="47" t="n">
        <f aca="false">MIN(1,'Model Inputs &amp; Assumptions'!$W$35*EXP('Model Inputs &amp; Assumptions'!$X$35*R3857-'Model Inputs &amp; Assumptions'!$X$35^2/2))</f>
        <v>0.00508434863743985</v>
      </c>
      <c r="G3857" s="45" t="n">
        <f aca="false">ROUND(C3857*F3857,0)</f>
        <v>340</v>
      </c>
      <c r="H3857" s="48" t="n">
        <f aca="false">MAX(0,(C3857*'Model Inputs &amp; Assumptions'!$N$35+E3857*'Model Inputs &amp; Assumptions'!$O$35+G3857*'Model Inputs &amp; Assumptions'!$P$35)*EXP('Model Inputs &amp; Assumptions'!$Q$35*S3857-'Model Inputs &amp; Assumptions'!$Q$35^2/2))</f>
        <v>29.0893928448108</v>
      </c>
      <c r="I3857" s="49" t="n">
        <f aca="false">IF('Model Inputs &amp; Assumptions'!$H$35="Fixed",'Model Inputs &amp; Assumptions'!$I$35*'Model Inputs &amp; Assumptions'!$K$35,IF('Model Inputs &amp; Assumptions'!$H$35="CPM",'Model Inputs &amp; Assumptions'!$I$35*'Model Inputs &amp; Assumptions'!$K$35*C3857/1000,IF('Model Inputs &amp; Assumptions'!$H$35="CPC",'Model Inputs &amp; Assumptions'!$I$35*'Model Inputs &amp; Assumptions'!$K$35*G3857,0)))</f>
        <v>8672.8</v>
      </c>
      <c r="J3857" s="50" t="n">
        <f aca="false">H3857*INDEX('Model Inputs &amp; Assumptions'!$D$40:$D$42,MATCH('Model Inputs &amp; Assumptions'!$L$35,'Model Inputs &amp; Assumptions'!$A$40:$A$42,0))*INDEX('Model Inputs &amp; Assumptions'!$H$40:$H$42,MATCH('Model Inputs &amp; Assumptions'!$L$35,'Model Inputs &amp; Assumptions'!$A$40:$A$42,0))</f>
        <v>247259.839180892</v>
      </c>
      <c r="K3857" s="49" t="n">
        <f aca="false">H3857*INDEX('Model Inputs &amp; Assumptions'!$G$40:$G$42,MATCH('Model Inputs &amp; Assumptions'!$L$35,'Model Inputs &amp; Assumptions'!$A$40:$A$42,0))*INDEX('Model Inputs &amp; Assumptions'!$H$40:$H$42,MATCH('Model Inputs &amp; Assumptions'!$L$35,'Model Inputs &amp; Assumptions'!$A$40:$A$42,0))</f>
        <v>5563.34638157007</v>
      </c>
      <c r="L3857" s="51" t="n">
        <f aca="false">IFERROR(K3857/I3857,0)</f>
        <v>0.641470618666413</v>
      </c>
      <c r="M3857" s="49" t="n">
        <f aca="false">IFERROR(I3857/H3857,0)</f>
        <v>298.143039501325</v>
      </c>
      <c r="N3857" s="52" t="str">
        <f aca="false">'Model Inputs &amp; Assumptions'!$L$35</f>
        <v>PRD-EUAI</v>
      </c>
      <c r="P3857" s="53" t="n">
        <v>-1.866846</v>
      </c>
      <c r="Q3857" s="53" t="n">
        <v>0.298231</v>
      </c>
      <c r="R3857" s="53" t="n">
        <v>-1.279703</v>
      </c>
      <c r="S3857" s="53" t="n">
        <v>0.901877</v>
      </c>
    </row>
    <row r="3858" customFormat="false" ht="15" hidden="false" customHeight="false" outlineLevel="0" collapsed="false">
      <c r="A3858" s="43" t="n">
        <v>355</v>
      </c>
      <c r="B3858" s="44" t="str">
        <f aca="false">'Model Inputs &amp; Assumptions'!$B$35</f>
        <v>justETF — Sponsored Listing</v>
      </c>
      <c r="C3858" s="45" t="n">
        <f aca="false">ROUND(MAX(0,'Model Inputs &amp; Assumptions'!$S$35*EXP('Model Inputs &amp; Assumptions'!$T$35*P3858-'Model Inputs &amp; Assumptions'!$T$35^2/2)),0)</f>
        <v>82339</v>
      </c>
      <c r="D3858" s="46" t="n">
        <f aca="false">MIN(1,'Model Inputs &amp; Assumptions'!$U$35*EXP('Model Inputs &amp; Assumptions'!$V$35*Q3858-'Model Inputs &amp; Assumptions'!$V$35^2/2))</f>
        <v>0</v>
      </c>
      <c r="E3858" s="45" t="n">
        <f aca="false">ROUND(C3858*D3858,0)</f>
        <v>0</v>
      </c>
      <c r="F3858" s="47" t="n">
        <f aca="false">MIN(1,'Model Inputs &amp; Assumptions'!$W$35*EXP('Model Inputs &amp; Assumptions'!$X$35*R3858-'Model Inputs &amp; Assumptions'!$X$35^2/2))</f>
        <v>0.00587065919431971</v>
      </c>
      <c r="G3858" s="45" t="n">
        <f aca="false">ROUND(C3858*F3858,0)</f>
        <v>483</v>
      </c>
      <c r="H3858" s="48" t="n">
        <f aca="false">MAX(0,(C3858*'Model Inputs &amp; Assumptions'!$N$35+E3858*'Model Inputs &amp; Assumptions'!$O$35+G3858*'Model Inputs &amp; Assumptions'!$P$35)*EXP('Model Inputs &amp; Assumptions'!$Q$35*S3858-'Model Inputs &amp; Assumptions'!$Q$35^2/2))</f>
        <v>26.4167536471326</v>
      </c>
      <c r="I3858" s="49" t="n">
        <f aca="false">IF('Model Inputs &amp; Assumptions'!$H$35="Fixed",'Model Inputs &amp; Assumptions'!$I$35*'Model Inputs &amp; Assumptions'!$K$35,IF('Model Inputs &amp; Assumptions'!$H$35="CPM",'Model Inputs &amp; Assumptions'!$I$35*'Model Inputs &amp; Assumptions'!$K$35*C3858/1000,IF('Model Inputs &amp; Assumptions'!$H$35="CPC",'Model Inputs &amp; Assumptions'!$I$35*'Model Inputs &amp; Assumptions'!$K$35*G3858,0)))</f>
        <v>8672.8</v>
      </c>
      <c r="J3858" s="50" t="n">
        <f aca="false">H3858*INDEX('Model Inputs &amp; Assumptions'!$D$40:$D$42,MATCH('Model Inputs &amp; Assumptions'!$L$35,'Model Inputs &amp; Assumptions'!$A$40:$A$42,0))*INDEX('Model Inputs &amp; Assumptions'!$H$40:$H$42,MATCH('Model Inputs &amp; Assumptions'!$L$35,'Model Inputs &amp; Assumptions'!$A$40:$A$42,0))</f>
        <v>224542.406000627</v>
      </c>
      <c r="K3858" s="49" t="n">
        <f aca="false">H3858*INDEX('Model Inputs &amp; Assumptions'!$G$40:$G$42,MATCH('Model Inputs &amp; Assumptions'!$L$35,'Model Inputs &amp; Assumptions'!$A$40:$A$42,0))*INDEX('Model Inputs &amp; Assumptions'!$H$40:$H$42,MATCH('Model Inputs &amp; Assumptions'!$L$35,'Model Inputs &amp; Assumptions'!$A$40:$A$42,0))</f>
        <v>5052.20413501411</v>
      </c>
      <c r="L3858" s="51" t="n">
        <f aca="false">IFERROR(K3858/I3858,0)</f>
        <v>0.5825343758664</v>
      </c>
      <c r="M3858" s="49" t="n">
        <f aca="false">IFERROR(I3858/H3858,0)</f>
        <v>328.306805440546</v>
      </c>
      <c r="N3858" s="52" t="str">
        <f aca="false">'Model Inputs &amp; Assumptions'!$L$35</f>
        <v>PRD-EUAI</v>
      </c>
      <c r="P3858" s="53" t="n">
        <v>-0.473487</v>
      </c>
      <c r="Q3858" s="53" t="n">
        <v>0.406329</v>
      </c>
      <c r="R3858" s="53" t="n">
        <v>-0.560703</v>
      </c>
      <c r="S3858" s="53" t="n">
        <v>-0.81907</v>
      </c>
    </row>
    <row r="3859" customFormat="false" ht="15" hidden="false" customHeight="false" outlineLevel="0" collapsed="false">
      <c r="A3859" s="43" t="n">
        <v>356</v>
      </c>
      <c r="B3859" s="44" t="str">
        <f aca="false">'Model Inputs &amp; Assumptions'!$B$35</f>
        <v>justETF — Sponsored Listing</v>
      </c>
      <c r="C3859" s="45" t="n">
        <f aca="false">ROUND(MAX(0,'Model Inputs &amp; Assumptions'!$S$35*EXP('Model Inputs &amp; Assumptions'!$T$35*P3859-'Model Inputs &amp; Assumptions'!$T$35^2/2)),0)</f>
        <v>83198</v>
      </c>
      <c r="D3859" s="46" t="n">
        <f aca="false">MIN(1,'Model Inputs &amp; Assumptions'!$U$35*EXP('Model Inputs &amp; Assumptions'!$V$35*Q3859-'Model Inputs &amp; Assumptions'!$V$35^2/2))</f>
        <v>0</v>
      </c>
      <c r="E3859" s="45" t="n">
        <f aca="false">ROUND(C3859*D3859,0)</f>
        <v>0</v>
      </c>
      <c r="F3859" s="47" t="n">
        <f aca="false">MIN(1,'Model Inputs &amp; Assumptions'!$W$35*EXP('Model Inputs &amp; Assumptions'!$X$35*R3859-'Model Inputs &amp; Assumptions'!$X$35^2/2))</f>
        <v>0.00545793616420991</v>
      </c>
      <c r="G3859" s="45" t="n">
        <f aca="false">ROUND(C3859*F3859,0)</f>
        <v>454</v>
      </c>
      <c r="H3859" s="48" t="n">
        <f aca="false">MAX(0,(C3859*'Model Inputs &amp; Assumptions'!$N$35+E3859*'Model Inputs &amp; Assumptions'!$O$35+G3859*'Model Inputs &amp; Assumptions'!$P$35)*EXP('Model Inputs &amp; Assumptions'!$Q$35*S3859-'Model Inputs &amp; Assumptions'!$Q$35^2/2))</f>
        <v>23.6886635174988</v>
      </c>
      <c r="I3859" s="49" t="n">
        <f aca="false">IF('Model Inputs &amp; Assumptions'!$H$35="Fixed",'Model Inputs &amp; Assumptions'!$I$35*'Model Inputs &amp; Assumptions'!$K$35,IF('Model Inputs &amp; Assumptions'!$H$35="CPM",'Model Inputs &amp; Assumptions'!$I$35*'Model Inputs &amp; Assumptions'!$K$35*C3859/1000,IF('Model Inputs &amp; Assumptions'!$H$35="CPC",'Model Inputs &amp; Assumptions'!$I$35*'Model Inputs &amp; Assumptions'!$K$35*G3859,0)))</f>
        <v>8672.8</v>
      </c>
      <c r="J3859" s="50" t="n">
        <f aca="false">H3859*INDEX('Model Inputs &amp; Assumptions'!$D$40:$D$42,MATCH('Model Inputs &amp; Assumptions'!$L$35,'Model Inputs &amp; Assumptions'!$A$40:$A$42,0))*INDEX('Model Inputs &amp; Assumptions'!$H$40:$H$42,MATCH('Model Inputs &amp; Assumptions'!$L$35,'Model Inputs &amp; Assumptions'!$A$40:$A$42,0))</f>
        <v>201353.63989874</v>
      </c>
      <c r="K3859" s="49" t="n">
        <f aca="false">H3859*INDEX('Model Inputs &amp; Assumptions'!$G$40:$G$42,MATCH('Model Inputs &amp; Assumptions'!$L$35,'Model Inputs &amp; Assumptions'!$A$40:$A$42,0))*INDEX('Model Inputs &amp; Assumptions'!$H$40:$H$42,MATCH('Model Inputs &amp; Assumptions'!$L$35,'Model Inputs &amp; Assumptions'!$A$40:$A$42,0))</f>
        <v>4530.45689772165</v>
      </c>
      <c r="L3859" s="51" t="n">
        <f aca="false">IFERROR(K3859/I3859,0)</f>
        <v>0.522375345646349</v>
      </c>
      <c r="M3859" s="49" t="n">
        <f aca="false">IFERROR(I3859/H3859,0)</f>
        <v>366.116053511984</v>
      </c>
      <c r="N3859" s="52" t="str">
        <f aca="false">'Model Inputs &amp; Assumptions'!$L$35</f>
        <v>PRD-EUAI</v>
      </c>
      <c r="P3859" s="53" t="n">
        <v>-0.404317</v>
      </c>
      <c r="Q3859" s="53" t="n">
        <v>-0.679808</v>
      </c>
      <c r="R3859" s="53" t="n">
        <v>-0.925184</v>
      </c>
      <c r="S3859" s="53" t="n">
        <v>-1.000156</v>
      </c>
    </row>
    <row r="3860" customFormat="false" ht="15" hidden="false" customHeight="false" outlineLevel="0" collapsed="false">
      <c r="A3860" s="43" t="n">
        <v>357</v>
      </c>
      <c r="B3860" s="44" t="str">
        <f aca="false">'Model Inputs &amp; Assumptions'!$B$35</f>
        <v>justETF — Sponsored Listing</v>
      </c>
      <c r="C3860" s="45" t="n">
        <f aca="false">ROUND(MAX(0,'Model Inputs &amp; Assumptions'!$S$35*EXP('Model Inputs &amp; Assumptions'!$T$35*P3860-'Model Inputs &amp; Assumptions'!$T$35^2/2)),0)</f>
        <v>91260</v>
      </c>
      <c r="D3860" s="46" t="n">
        <f aca="false">MIN(1,'Model Inputs &amp; Assumptions'!$U$35*EXP('Model Inputs &amp; Assumptions'!$V$35*Q3860-'Model Inputs &amp; Assumptions'!$V$35^2/2))</f>
        <v>0</v>
      </c>
      <c r="E3860" s="45" t="n">
        <f aca="false">ROUND(C3860*D3860,0)</f>
        <v>0</v>
      </c>
      <c r="F3860" s="47" t="n">
        <f aca="false">MIN(1,'Model Inputs &amp; Assumptions'!$W$35*EXP('Model Inputs &amp; Assumptions'!$X$35*R3860-'Model Inputs &amp; Assumptions'!$X$35^2/2))</f>
        <v>0.00547810110046888</v>
      </c>
      <c r="G3860" s="45" t="n">
        <f aca="false">ROUND(C3860*F3860,0)</f>
        <v>500</v>
      </c>
      <c r="H3860" s="48" t="n">
        <f aca="false">MAX(0,(C3860*'Model Inputs &amp; Assumptions'!$N$35+E3860*'Model Inputs &amp; Assumptions'!$O$35+G3860*'Model Inputs &amp; Assumptions'!$P$35)*EXP('Model Inputs &amp; Assumptions'!$Q$35*S3860-'Model Inputs &amp; Assumptions'!$Q$35^2/2))</f>
        <v>33.2848740643354</v>
      </c>
      <c r="I3860" s="49" t="n">
        <f aca="false">IF('Model Inputs &amp; Assumptions'!$H$35="Fixed",'Model Inputs &amp; Assumptions'!$I$35*'Model Inputs &amp; Assumptions'!$K$35,IF('Model Inputs &amp; Assumptions'!$H$35="CPM",'Model Inputs &amp; Assumptions'!$I$35*'Model Inputs &amp; Assumptions'!$K$35*C3860/1000,IF('Model Inputs &amp; Assumptions'!$H$35="CPC",'Model Inputs &amp; Assumptions'!$I$35*'Model Inputs &amp; Assumptions'!$K$35*G3860,0)))</f>
        <v>8672.8</v>
      </c>
      <c r="J3860" s="50" t="n">
        <f aca="false">H3860*INDEX('Model Inputs &amp; Assumptions'!$D$40:$D$42,MATCH('Model Inputs &amp; Assumptions'!$L$35,'Model Inputs &amp; Assumptions'!$A$40:$A$42,0))*INDEX('Model Inputs &amp; Assumptions'!$H$40:$H$42,MATCH('Model Inputs &amp; Assumptions'!$L$35,'Model Inputs &amp; Assumptions'!$A$40:$A$42,0))</f>
        <v>282921.429546851</v>
      </c>
      <c r="K3860" s="49" t="n">
        <f aca="false">H3860*INDEX('Model Inputs &amp; Assumptions'!$G$40:$G$42,MATCH('Model Inputs &amp; Assumptions'!$L$35,'Model Inputs &amp; Assumptions'!$A$40:$A$42,0))*INDEX('Model Inputs &amp; Assumptions'!$H$40:$H$42,MATCH('Model Inputs &amp; Assumptions'!$L$35,'Model Inputs &amp; Assumptions'!$A$40:$A$42,0))</f>
        <v>6365.73216480414</v>
      </c>
      <c r="L3860" s="51" t="n">
        <f aca="false">IFERROR(K3860/I3860,0)</f>
        <v>0.733988119731129</v>
      </c>
      <c r="M3860" s="49" t="n">
        <f aca="false">IFERROR(I3860/H3860,0)</f>
        <v>260.562800485187</v>
      </c>
      <c r="N3860" s="52" t="str">
        <f aca="false">'Model Inputs &amp; Assumptions'!$L$35</f>
        <v>PRD-EUAI</v>
      </c>
      <c r="P3860" s="53" t="n">
        <v>0.212291</v>
      </c>
      <c r="Q3860" s="53" t="n">
        <v>-1.420026</v>
      </c>
      <c r="R3860" s="53" t="n">
        <v>-0.906745</v>
      </c>
      <c r="S3860" s="53" t="n">
        <v>-0.06325</v>
      </c>
    </row>
    <row r="3861" customFormat="false" ht="15" hidden="false" customHeight="false" outlineLevel="0" collapsed="false">
      <c r="A3861" s="43" t="n">
        <v>358</v>
      </c>
      <c r="B3861" s="44" t="str">
        <f aca="false">'Model Inputs &amp; Assumptions'!$B$35</f>
        <v>justETF — Sponsored Listing</v>
      </c>
      <c r="C3861" s="45" t="n">
        <f aca="false">ROUND(MAX(0,'Model Inputs &amp; Assumptions'!$S$35*EXP('Model Inputs &amp; Assumptions'!$T$35*P3861-'Model Inputs &amp; Assumptions'!$T$35^2/2)),0)</f>
        <v>83838</v>
      </c>
      <c r="D3861" s="46" t="n">
        <f aca="false">MIN(1,'Model Inputs &amp; Assumptions'!$U$35*EXP('Model Inputs &amp; Assumptions'!$V$35*Q3861-'Model Inputs &amp; Assumptions'!$V$35^2/2))</f>
        <v>0</v>
      </c>
      <c r="E3861" s="45" t="n">
        <f aca="false">ROUND(C3861*D3861,0)</f>
        <v>0</v>
      </c>
      <c r="F3861" s="47" t="n">
        <f aca="false">MIN(1,'Model Inputs &amp; Assumptions'!$W$35*EXP('Model Inputs &amp; Assumptions'!$X$35*R3861-'Model Inputs &amp; Assumptions'!$X$35^2/2))</f>
        <v>0.00756696699799785</v>
      </c>
      <c r="G3861" s="45" t="n">
        <f aca="false">ROUND(C3861*F3861,0)</f>
        <v>634</v>
      </c>
      <c r="H3861" s="48" t="n">
        <f aca="false">MAX(0,(C3861*'Model Inputs &amp; Assumptions'!$N$35+E3861*'Model Inputs &amp; Assumptions'!$O$35+G3861*'Model Inputs &amp; Assumptions'!$P$35)*EXP('Model Inputs &amp; Assumptions'!$Q$35*S3861-'Model Inputs &amp; Assumptions'!$Q$35^2/2))</f>
        <v>33.6802899230771</v>
      </c>
      <c r="I3861" s="49" t="n">
        <f aca="false">IF('Model Inputs &amp; Assumptions'!$H$35="Fixed",'Model Inputs &amp; Assumptions'!$I$35*'Model Inputs &amp; Assumptions'!$K$35,IF('Model Inputs &amp; Assumptions'!$H$35="CPM",'Model Inputs &amp; Assumptions'!$I$35*'Model Inputs &amp; Assumptions'!$K$35*C3861/1000,IF('Model Inputs &amp; Assumptions'!$H$35="CPC",'Model Inputs &amp; Assumptions'!$I$35*'Model Inputs &amp; Assumptions'!$K$35*G3861,0)))</f>
        <v>8672.8</v>
      </c>
      <c r="J3861" s="50" t="n">
        <f aca="false">H3861*INDEX('Model Inputs &amp; Assumptions'!$D$40:$D$42,MATCH('Model Inputs &amp; Assumptions'!$L$35,'Model Inputs &amp; Assumptions'!$A$40:$A$42,0))*INDEX('Model Inputs &amp; Assumptions'!$H$40:$H$42,MATCH('Model Inputs &amp; Assumptions'!$L$35,'Model Inputs &amp; Assumptions'!$A$40:$A$42,0))</f>
        <v>286282.464346155</v>
      </c>
      <c r="K3861" s="49" t="n">
        <f aca="false">H3861*INDEX('Model Inputs &amp; Assumptions'!$G$40:$G$42,MATCH('Model Inputs &amp; Assumptions'!$L$35,'Model Inputs &amp; Assumptions'!$A$40:$A$42,0))*INDEX('Model Inputs &amp; Assumptions'!$H$40:$H$42,MATCH('Model Inputs &amp; Assumptions'!$L$35,'Model Inputs &amp; Assumptions'!$A$40:$A$42,0))</f>
        <v>6441.35544778849</v>
      </c>
      <c r="L3861" s="51" t="n">
        <f aca="false">IFERROR(K3861/I3861,0)</f>
        <v>0.742707712363769</v>
      </c>
      <c r="M3861" s="49" t="n">
        <f aca="false">IFERROR(I3861/H3861,0)</f>
        <v>257.503721607146</v>
      </c>
      <c r="N3861" s="52" t="str">
        <f aca="false">'Model Inputs &amp; Assumptions'!$L$35</f>
        <v>PRD-EUAI</v>
      </c>
      <c r="P3861" s="53" t="n">
        <v>-0.353225</v>
      </c>
      <c r="Q3861" s="53" t="n">
        <v>-0.377374</v>
      </c>
      <c r="R3861" s="53" t="n">
        <v>0.708424</v>
      </c>
      <c r="S3861" s="53" t="n">
        <v>-0.931062</v>
      </c>
    </row>
    <row r="3862" customFormat="false" ht="15" hidden="false" customHeight="false" outlineLevel="0" collapsed="false">
      <c r="A3862" s="43" t="n">
        <v>359</v>
      </c>
      <c r="B3862" s="44" t="str">
        <f aca="false">'Model Inputs &amp; Assumptions'!$B$35</f>
        <v>justETF — Sponsored Listing</v>
      </c>
      <c r="C3862" s="45" t="n">
        <f aca="false">ROUND(MAX(0,'Model Inputs &amp; Assumptions'!$S$35*EXP('Model Inputs &amp; Assumptions'!$T$35*P3862-'Model Inputs &amp; Assumptions'!$T$35^2/2)),0)</f>
        <v>68893</v>
      </c>
      <c r="D3862" s="46" t="n">
        <f aca="false">MIN(1,'Model Inputs &amp; Assumptions'!$U$35*EXP('Model Inputs &amp; Assumptions'!$V$35*Q3862-'Model Inputs &amp; Assumptions'!$V$35^2/2))</f>
        <v>0</v>
      </c>
      <c r="E3862" s="45" t="n">
        <f aca="false">ROUND(C3862*D3862,0)</f>
        <v>0</v>
      </c>
      <c r="F3862" s="47" t="n">
        <f aca="false">MIN(1,'Model Inputs &amp; Assumptions'!$W$35*EXP('Model Inputs &amp; Assumptions'!$X$35*R3862-'Model Inputs &amp; Assumptions'!$X$35^2/2))</f>
        <v>0.00584874042676583</v>
      </c>
      <c r="G3862" s="45" t="n">
        <f aca="false">ROUND(C3862*F3862,0)</f>
        <v>403</v>
      </c>
      <c r="H3862" s="48" t="n">
        <f aca="false">MAX(0,(C3862*'Model Inputs &amp; Assumptions'!$N$35+E3862*'Model Inputs &amp; Assumptions'!$O$35+G3862*'Model Inputs &amp; Assumptions'!$P$35)*EXP('Model Inputs &amp; Assumptions'!$Q$35*S3862-'Model Inputs &amp; Assumptions'!$Q$35^2/2))</f>
        <v>27.2204390019998</v>
      </c>
      <c r="I3862" s="49" t="n">
        <f aca="false">IF('Model Inputs &amp; Assumptions'!$H$35="Fixed",'Model Inputs &amp; Assumptions'!$I$35*'Model Inputs &amp; Assumptions'!$K$35,IF('Model Inputs &amp; Assumptions'!$H$35="CPM",'Model Inputs &amp; Assumptions'!$I$35*'Model Inputs &amp; Assumptions'!$K$35*C3862/1000,IF('Model Inputs &amp; Assumptions'!$H$35="CPC",'Model Inputs &amp; Assumptions'!$I$35*'Model Inputs &amp; Assumptions'!$K$35*G3862,0)))</f>
        <v>8672.8</v>
      </c>
      <c r="J3862" s="50" t="n">
        <f aca="false">H3862*INDEX('Model Inputs &amp; Assumptions'!$D$40:$D$42,MATCH('Model Inputs &amp; Assumptions'!$L$35,'Model Inputs &amp; Assumptions'!$A$40:$A$42,0))*INDEX('Model Inputs &amp; Assumptions'!$H$40:$H$42,MATCH('Model Inputs &amp; Assumptions'!$L$35,'Model Inputs &amp; Assumptions'!$A$40:$A$42,0))</f>
        <v>231373.731516998</v>
      </c>
      <c r="K3862" s="49" t="n">
        <f aca="false">H3862*INDEX('Model Inputs &amp; Assumptions'!$G$40:$G$42,MATCH('Model Inputs &amp; Assumptions'!$L$35,'Model Inputs &amp; Assumptions'!$A$40:$A$42,0))*INDEX('Model Inputs &amp; Assumptions'!$H$40:$H$42,MATCH('Model Inputs &amp; Assumptions'!$L$35,'Model Inputs &amp; Assumptions'!$A$40:$A$42,0))</f>
        <v>5205.90895913246</v>
      </c>
      <c r="L3862" s="51" t="n">
        <f aca="false">IFERROR(K3862/I3862,0)</f>
        <v>0.600257005711242</v>
      </c>
      <c r="M3862" s="49" t="n">
        <f aca="false">IFERROR(I3862/H3862,0)</f>
        <v>318.613524174347</v>
      </c>
      <c r="N3862" s="52" t="str">
        <f aca="false">'Model Inputs &amp; Assumptions'!$L$35</f>
        <v>PRD-EUAI</v>
      </c>
      <c r="P3862" s="53" t="n">
        <v>-1.662097</v>
      </c>
      <c r="Q3862" s="53" t="n">
        <v>-0.428904</v>
      </c>
      <c r="R3862" s="53" t="n">
        <v>-0.579406</v>
      </c>
      <c r="S3862" s="53" t="n">
        <v>-0.00734</v>
      </c>
    </row>
    <row r="3863" customFormat="false" ht="15" hidden="false" customHeight="false" outlineLevel="0" collapsed="false">
      <c r="A3863" s="43" t="n">
        <v>360</v>
      </c>
      <c r="B3863" s="44" t="str">
        <f aca="false">'Model Inputs &amp; Assumptions'!$B$35</f>
        <v>justETF — Sponsored Listing</v>
      </c>
      <c r="C3863" s="45" t="n">
        <f aca="false">ROUND(MAX(0,'Model Inputs &amp; Assumptions'!$S$35*EXP('Model Inputs &amp; Assumptions'!$T$35*P3863-'Model Inputs &amp; Assumptions'!$T$35^2/2)),0)</f>
        <v>88162</v>
      </c>
      <c r="D3863" s="46" t="n">
        <f aca="false">MIN(1,'Model Inputs &amp; Assumptions'!$U$35*EXP('Model Inputs &amp; Assumptions'!$V$35*Q3863-'Model Inputs &amp; Assumptions'!$V$35^2/2))</f>
        <v>0</v>
      </c>
      <c r="E3863" s="45" t="n">
        <f aca="false">ROUND(C3863*D3863,0)</f>
        <v>0</v>
      </c>
      <c r="F3863" s="47" t="n">
        <f aca="false">MIN(1,'Model Inputs &amp; Assumptions'!$W$35*EXP('Model Inputs &amp; Assumptions'!$X$35*R3863-'Model Inputs &amp; Assumptions'!$X$35^2/2))</f>
        <v>0.0100226679871512</v>
      </c>
      <c r="G3863" s="45" t="n">
        <f aca="false">ROUND(C3863*F3863,0)</f>
        <v>884</v>
      </c>
      <c r="H3863" s="48" t="n">
        <f aca="false">MAX(0,(C3863*'Model Inputs &amp; Assumptions'!$N$35+E3863*'Model Inputs &amp; Assumptions'!$O$35+G3863*'Model Inputs &amp; Assumptions'!$P$35)*EXP('Model Inputs &amp; Assumptions'!$Q$35*S3863-'Model Inputs &amp; Assumptions'!$Q$35^2/2))</f>
        <v>80.3787843970367</v>
      </c>
      <c r="I3863" s="49" t="n">
        <f aca="false">IF('Model Inputs &amp; Assumptions'!$H$35="Fixed",'Model Inputs &amp; Assumptions'!$I$35*'Model Inputs &amp; Assumptions'!$K$35,IF('Model Inputs &amp; Assumptions'!$H$35="CPM",'Model Inputs &amp; Assumptions'!$I$35*'Model Inputs &amp; Assumptions'!$K$35*C3863/1000,IF('Model Inputs &amp; Assumptions'!$H$35="CPC",'Model Inputs &amp; Assumptions'!$I$35*'Model Inputs &amp; Assumptions'!$K$35*G3863,0)))</f>
        <v>8672.8</v>
      </c>
      <c r="J3863" s="50" t="n">
        <f aca="false">H3863*INDEX('Model Inputs &amp; Assumptions'!$D$40:$D$42,MATCH('Model Inputs &amp; Assumptions'!$L$35,'Model Inputs &amp; Assumptions'!$A$40:$A$42,0))*INDEX('Model Inputs &amp; Assumptions'!$H$40:$H$42,MATCH('Model Inputs &amp; Assumptions'!$L$35,'Model Inputs &amp; Assumptions'!$A$40:$A$42,0))</f>
        <v>683219.667374812</v>
      </c>
      <c r="K3863" s="49" t="n">
        <f aca="false">H3863*INDEX('Model Inputs &amp; Assumptions'!$G$40:$G$42,MATCH('Model Inputs &amp; Assumptions'!$L$35,'Model Inputs &amp; Assumptions'!$A$40:$A$42,0))*INDEX('Model Inputs &amp; Assumptions'!$H$40:$H$42,MATCH('Model Inputs &amp; Assumptions'!$L$35,'Model Inputs &amp; Assumptions'!$A$40:$A$42,0))</f>
        <v>15372.4425159333</v>
      </c>
      <c r="L3863" s="51" t="n">
        <f aca="false">IFERROR(K3863/I3863,0)</f>
        <v>1.77248899039909</v>
      </c>
      <c r="M3863" s="49" t="n">
        <f aca="false">IFERROR(I3863/H3863,0)</f>
        <v>107.899118717199</v>
      </c>
      <c r="N3863" s="52" t="str">
        <f aca="false">'Model Inputs &amp; Assumptions'!$L$35</f>
        <v>PRD-EUAI</v>
      </c>
      <c r="P3863" s="53" t="n">
        <v>-0.01797</v>
      </c>
      <c r="Q3863" s="53" t="n">
        <v>1.918083</v>
      </c>
      <c r="R3863" s="53" t="n">
        <v>2.113709</v>
      </c>
      <c r="S3863" s="53" t="n">
        <v>1.135974</v>
      </c>
    </row>
    <row r="3864" customFormat="false" ht="15" hidden="false" customHeight="false" outlineLevel="0" collapsed="false">
      <c r="A3864" s="43" t="n">
        <v>361</v>
      </c>
      <c r="B3864" s="44" t="str">
        <f aca="false">'Model Inputs &amp; Assumptions'!$B$35</f>
        <v>justETF — Sponsored Listing</v>
      </c>
      <c r="C3864" s="45" t="n">
        <f aca="false">ROUND(MAX(0,'Model Inputs &amp; Assumptions'!$S$35*EXP('Model Inputs &amp; Assumptions'!$T$35*P3864-'Model Inputs &amp; Assumptions'!$T$35^2/2)),0)</f>
        <v>85693</v>
      </c>
      <c r="D3864" s="46" t="n">
        <f aca="false">MIN(1,'Model Inputs &amp; Assumptions'!$U$35*EXP('Model Inputs &amp; Assumptions'!$V$35*Q3864-'Model Inputs &amp; Assumptions'!$V$35^2/2))</f>
        <v>0</v>
      </c>
      <c r="E3864" s="45" t="n">
        <f aca="false">ROUND(C3864*D3864,0)</f>
        <v>0</v>
      </c>
      <c r="F3864" s="47" t="n">
        <f aca="false">MIN(1,'Model Inputs &amp; Assumptions'!$W$35*EXP('Model Inputs &amp; Assumptions'!$X$35*R3864-'Model Inputs &amp; Assumptions'!$X$35^2/2))</f>
        <v>0.00685715427117071</v>
      </c>
      <c r="G3864" s="45" t="n">
        <f aca="false">ROUND(C3864*F3864,0)</f>
        <v>588</v>
      </c>
      <c r="H3864" s="48" t="n">
        <f aca="false">MAX(0,(C3864*'Model Inputs &amp; Assumptions'!$N$35+E3864*'Model Inputs &amp; Assumptions'!$O$35+G3864*'Model Inputs &amp; Assumptions'!$P$35)*EXP('Model Inputs &amp; Assumptions'!$Q$35*S3864-'Model Inputs &amp; Assumptions'!$Q$35^2/2))</f>
        <v>28.7954247295901</v>
      </c>
      <c r="I3864" s="49" t="n">
        <f aca="false">IF('Model Inputs &amp; Assumptions'!$H$35="Fixed",'Model Inputs &amp; Assumptions'!$I$35*'Model Inputs &amp; Assumptions'!$K$35,IF('Model Inputs &amp; Assumptions'!$H$35="CPM",'Model Inputs &amp; Assumptions'!$I$35*'Model Inputs &amp; Assumptions'!$K$35*C3864/1000,IF('Model Inputs &amp; Assumptions'!$H$35="CPC",'Model Inputs &amp; Assumptions'!$I$35*'Model Inputs &amp; Assumptions'!$K$35*G3864,0)))</f>
        <v>8672.8</v>
      </c>
      <c r="J3864" s="50" t="n">
        <f aca="false">H3864*INDEX('Model Inputs &amp; Assumptions'!$D$40:$D$42,MATCH('Model Inputs &amp; Assumptions'!$L$35,'Model Inputs &amp; Assumptions'!$A$40:$A$42,0))*INDEX('Model Inputs &amp; Assumptions'!$H$40:$H$42,MATCH('Model Inputs &amp; Assumptions'!$L$35,'Model Inputs &amp; Assumptions'!$A$40:$A$42,0))</f>
        <v>244761.110201516</v>
      </c>
      <c r="K3864" s="49" t="n">
        <f aca="false">H3864*INDEX('Model Inputs &amp; Assumptions'!$G$40:$G$42,MATCH('Model Inputs &amp; Assumptions'!$L$35,'Model Inputs &amp; Assumptions'!$A$40:$A$42,0))*INDEX('Model Inputs &amp; Assumptions'!$H$40:$H$42,MATCH('Model Inputs &amp; Assumptions'!$L$35,'Model Inputs &amp; Assumptions'!$A$40:$A$42,0))</f>
        <v>5507.1249795341</v>
      </c>
      <c r="L3864" s="51" t="n">
        <f aca="false">IFERROR(K3864/I3864,0)</f>
        <v>0.634988121429539</v>
      </c>
      <c r="M3864" s="49" t="n">
        <f aca="false">IFERROR(I3864/H3864,0)</f>
        <v>301.186736484837</v>
      </c>
      <c r="N3864" s="52" t="str">
        <f aca="false">'Model Inputs &amp; Assumptions'!$L$35</f>
        <v>PRD-EUAI</v>
      </c>
      <c r="P3864" s="53" t="n">
        <v>-0.207344</v>
      </c>
      <c r="Q3864" s="53" t="n">
        <v>0.304428</v>
      </c>
      <c r="R3864" s="53" t="n">
        <v>0.215925</v>
      </c>
      <c r="S3864" s="53" t="n">
        <v>-1.24404</v>
      </c>
    </row>
    <row r="3865" customFormat="false" ht="15" hidden="false" customHeight="false" outlineLevel="0" collapsed="false">
      <c r="A3865" s="43" t="n">
        <v>362</v>
      </c>
      <c r="B3865" s="44" t="str">
        <f aca="false">'Model Inputs &amp; Assumptions'!$B$35</f>
        <v>justETF — Sponsored Listing</v>
      </c>
      <c r="C3865" s="45" t="n">
        <f aca="false">ROUND(MAX(0,'Model Inputs &amp; Assumptions'!$S$35*EXP('Model Inputs &amp; Assumptions'!$T$35*P3865-'Model Inputs &amp; Assumptions'!$T$35^2/2)),0)</f>
        <v>92538</v>
      </c>
      <c r="D3865" s="46" t="n">
        <f aca="false">MIN(1,'Model Inputs &amp; Assumptions'!$U$35*EXP('Model Inputs &amp; Assumptions'!$V$35*Q3865-'Model Inputs &amp; Assumptions'!$V$35^2/2))</f>
        <v>0</v>
      </c>
      <c r="E3865" s="45" t="n">
        <f aca="false">ROUND(C3865*D3865,0)</f>
        <v>0</v>
      </c>
      <c r="F3865" s="47" t="n">
        <f aca="false">MIN(1,'Model Inputs &amp; Assumptions'!$W$35*EXP('Model Inputs &amp; Assumptions'!$X$35*R3865-'Model Inputs &amp; Assumptions'!$X$35^2/2))</f>
        <v>0.00482538790509076</v>
      </c>
      <c r="G3865" s="45" t="n">
        <f aca="false">ROUND(C3865*F3865,0)</f>
        <v>447</v>
      </c>
      <c r="H3865" s="48" t="n">
        <f aca="false">MAX(0,(C3865*'Model Inputs &amp; Assumptions'!$N$35+E3865*'Model Inputs &amp; Assumptions'!$O$35+G3865*'Model Inputs &amp; Assumptions'!$P$35)*EXP('Model Inputs &amp; Assumptions'!$Q$35*S3865-'Model Inputs &amp; Assumptions'!$Q$35^2/2))</f>
        <v>44.8920382716486</v>
      </c>
      <c r="I3865" s="49" t="n">
        <f aca="false">IF('Model Inputs &amp; Assumptions'!$H$35="Fixed",'Model Inputs &amp; Assumptions'!$I$35*'Model Inputs &amp; Assumptions'!$K$35,IF('Model Inputs &amp; Assumptions'!$H$35="CPM",'Model Inputs &amp; Assumptions'!$I$35*'Model Inputs &amp; Assumptions'!$K$35*C3865/1000,IF('Model Inputs &amp; Assumptions'!$H$35="CPC",'Model Inputs &amp; Assumptions'!$I$35*'Model Inputs &amp; Assumptions'!$K$35*G3865,0)))</f>
        <v>8672.8</v>
      </c>
      <c r="J3865" s="50" t="n">
        <f aca="false">H3865*INDEX('Model Inputs &amp; Assumptions'!$D$40:$D$42,MATCH('Model Inputs &amp; Assumptions'!$L$35,'Model Inputs &amp; Assumptions'!$A$40:$A$42,0))*INDEX('Model Inputs &amp; Assumptions'!$H$40:$H$42,MATCH('Model Inputs &amp; Assumptions'!$L$35,'Model Inputs &amp; Assumptions'!$A$40:$A$42,0))</f>
        <v>381582.325309013</v>
      </c>
      <c r="K3865" s="49" t="n">
        <f aca="false">H3865*INDEX('Model Inputs &amp; Assumptions'!$G$40:$G$42,MATCH('Model Inputs &amp; Assumptions'!$L$35,'Model Inputs &amp; Assumptions'!$A$40:$A$42,0))*INDEX('Model Inputs &amp; Assumptions'!$H$40:$H$42,MATCH('Model Inputs &amp; Assumptions'!$L$35,'Model Inputs &amp; Assumptions'!$A$40:$A$42,0))</f>
        <v>8585.60231945279</v>
      </c>
      <c r="L3865" s="51" t="n">
        <f aca="false">IFERROR(K3865/I3865,0)</f>
        <v>0.989945844416197</v>
      </c>
      <c r="M3865" s="49" t="n">
        <f aca="false">IFERROR(I3865/H3865,0)</f>
        <v>193.192386309563</v>
      </c>
      <c r="N3865" s="52" t="str">
        <f aca="false">'Model Inputs &amp; Assumptions'!$L$35</f>
        <v>PRD-EUAI</v>
      </c>
      <c r="P3865" s="53" t="n">
        <v>0.304991</v>
      </c>
      <c r="Q3865" s="53" t="n">
        <v>0.709188</v>
      </c>
      <c r="R3865" s="53" t="n">
        <v>-1.541082</v>
      </c>
      <c r="S3865" s="53" t="n">
        <v>1.518315</v>
      </c>
    </row>
    <row r="3866" customFormat="false" ht="15" hidden="false" customHeight="false" outlineLevel="0" collapsed="false">
      <c r="A3866" s="43" t="n">
        <v>363</v>
      </c>
      <c r="B3866" s="44" t="str">
        <f aca="false">'Model Inputs &amp; Assumptions'!$B$35</f>
        <v>justETF — Sponsored Listing</v>
      </c>
      <c r="C3866" s="45" t="n">
        <f aca="false">ROUND(MAX(0,'Model Inputs &amp; Assumptions'!$S$35*EXP('Model Inputs &amp; Assumptions'!$T$35*P3866-'Model Inputs &amp; Assumptions'!$T$35^2/2)),0)</f>
        <v>90525</v>
      </c>
      <c r="D3866" s="46" t="n">
        <f aca="false">MIN(1,'Model Inputs &amp; Assumptions'!$U$35*EXP('Model Inputs &amp; Assumptions'!$V$35*Q3866-'Model Inputs &amp; Assumptions'!$V$35^2/2))</f>
        <v>0</v>
      </c>
      <c r="E3866" s="45" t="n">
        <f aca="false">ROUND(C3866*D3866,0)</f>
        <v>0</v>
      </c>
      <c r="F3866" s="47" t="n">
        <f aca="false">MIN(1,'Model Inputs &amp; Assumptions'!$W$35*EXP('Model Inputs &amp; Assumptions'!$X$35*R3866-'Model Inputs &amp; Assumptions'!$X$35^2/2))</f>
        <v>0.00746998003460057</v>
      </c>
      <c r="G3866" s="45" t="n">
        <f aca="false">ROUND(C3866*F3866,0)</f>
        <v>676</v>
      </c>
      <c r="H3866" s="48" t="n">
        <f aca="false">MAX(0,(C3866*'Model Inputs &amp; Assumptions'!$N$35+E3866*'Model Inputs &amp; Assumptions'!$O$35+G3866*'Model Inputs &amp; Assumptions'!$P$35)*EXP('Model Inputs &amp; Assumptions'!$Q$35*S3866-'Model Inputs &amp; Assumptions'!$Q$35^2/2))</f>
        <v>32.7675140441084</v>
      </c>
      <c r="I3866" s="49" t="n">
        <f aca="false">IF('Model Inputs &amp; Assumptions'!$H$35="Fixed",'Model Inputs &amp; Assumptions'!$I$35*'Model Inputs &amp; Assumptions'!$K$35,IF('Model Inputs &amp; Assumptions'!$H$35="CPM",'Model Inputs &amp; Assumptions'!$I$35*'Model Inputs &amp; Assumptions'!$K$35*C3866/1000,IF('Model Inputs &amp; Assumptions'!$H$35="CPC",'Model Inputs &amp; Assumptions'!$I$35*'Model Inputs &amp; Assumptions'!$K$35*G3866,0)))</f>
        <v>8672.8</v>
      </c>
      <c r="J3866" s="50" t="n">
        <f aca="false">H3866*INDEX('Model Inputs &amp; Assumptions'!$D$40:$D$42,MATCH('Model Inputs &amp; Assumptions'!$L$35,'Model Inputs &amp; Assumptions'!$A$40:$A$42,0))*INDEX('Model Inputs &amp; Assumptions'!$H$40:$H$42,MATCH('Model Inputs &amp; Assumptions'!$L$35,'Model Inputs &amp; Assumptions'!$A$40:$A$42,0))</f>
        <v>278523.869374921</v>
      </c>
      <c r="K3866" s="49" t="n">
        <f aca="false">H3866*INDEX('Model Inputs &amp; Assumptions'!$G$40:$G$42,MATCH('Model Inputs &amp; Assumptions'!$L$35,'Model Inputs &amp; Assumptions'!$A$40:$A$42,0))*INDEX('Model Inputs &amp; Assumptions'!$H$40:$H$42,MATCH('Model Inputs &amp; Assumptions'!$L$35,'Model Inputs &amp; Assumptions'!$A$40:$A$42,0))</f>
        <v>6266.78706093573</v>
      </c>
      <c r="L3866" s="51" t="n">
        <f aca="false">IFERROR(K3866/I3866,0)</f>
        <v>0.722579450804322</v>
      </c>
      <c r="M3866" s="49" t="n">
        <f aca="false">IFERROR(I3866/H3866,0)</f>
        <v>264.676776771211</v>
      </c>
      <c r="N3866" s="52" t="str">
        <f aca="false">'Model Inputs &amp; Assumptions'!$L$35</f>
        <v>PRD-EUAI</v>
      </c>
      <c r="P3866" s="53" t="n">
        <v>0.158361</v>
      </c>
      <c r="Q3866" s="53" t="n">
        <v>0.222034</v>
      </c>
      <c r="R3866" s="53" t="n">
        <v>0.643924</v>
      </c>
      <c r="S3866" s="53" t="n">
        <v>-1.283444</v>
      </c>
    </row>
    <row r="3867" customFormat="false" ht="15" hidden="false" customHeight="false" outlineLevel="0" collapsed="false">
      <c r="A3867" s="43" t="n">
        <v>364</v>
      </c>
      <c r="B3867" s="44" t="str">
        <f aca="false">'Model Inputs &amp; Assumptions'!$B$35</f>
        <v>justETF — Sponsored Listing</v>
      </c>
      <c r="C3867" s="45" t="n">
        <f aca="false">ROUND(MAX(0,'Model Inputs &amp; Assumptions'!$S$35*EXP('Model Inputs &amp; Assumptions'!$T$35*P3867-'Model Inputs &amp; Assumptions'!$T$35^2/2)),0)</f>
        <v>63731</v>
      </c>
      <c r="D3867" s="46" t="n">
        <f aca="false">MIN(1,'Model Inputs &amp; Assumptions'!$U$35*EXP('Model Inputs &amp; Assumptions'!$V$35*Q3867-'Model Inputs &amp; Assumptions'!$V$35^2/2))</f>
        <v>0</v>
      </c>
      <c r="E3867" s="45" t="n">
        <f aca="false">ROUND(C3867*D3867,0)</f>
        <v>0</v>
      </c>
      <c r="F3867" s="47" t="n">
        <f aca="false">MIN(1,'Model Inputs &amp; Assumptions'!$W$35*EXP('Model Inputs &amp; Assumptions'!$X$35*R3867-'Model Inputs &amp; Assumptions'!$X$35^2/2))</f>
        <v>0.00593438574940847</v>
      </c>
      <c r="G3867" s="45" t="n">
        <f aca="false">ROUND(C3867*F3867,0)</f>
        <v>378</v>
      </c>
      <c r="H3867" s="48" t="n">
        <f aca="false">MAX(0,(C3867*'Model Inputs &amp; Assumptions'!$N$35+E3867*'Model Inputs &amp; Assumptions'!$O$35+G3867*'Model Inputs &amp; Assumptions'!$P$35)*EXP('Model Inputs &amp; Assumptions'!$Q$35*S3867-'Model Inputs &amp; Assumptions'!$Q$35^2/2))</f>
        <v>37.7046541348354</v>
      </c>
      <c r="I3867" s="49" t="n">
        <f aca="false">IF('Model Inputs &amp; Assumptions'!$H$35="Fixed",'Model Inputs &amp; Assumptions'!$I$35*'Model Inputs &amp; Assumptions'!$K$35,IF('Model Inputs &amp; Assumptions'!$H$35="CPM",'Model Inputs &amp; Assumptions'!$I$35*'Model Inputs &amp; Assumptions'!$K$35*C3867/1000,IF('Model Inputs &amp; Assumptions'!$H$35="CPC",'Model Inputs &amp; Assumptions'!$I$35*'Model Inputs &amp; Assumptions'!$K$35*G3867,0)))</f>
        <v>8672.8</v>
      </c>
      <c r="J3867" s="50" t="n">
        <f aca="false">H3867*INDEX('Model Inputs &amp; Assumptions'!$D$40:$D$42,MATCH('Model Inputs &amp; Assumptions'!$L$35,'Model Inputs &amp; Assumptions'!$A$40:$A$42,0))*INDEX('Model Inputs &amp; Assumptions'!$H$40:$H$42,MATCH('Model Inputs &amp; Assumptions'!$L$35,'Model Inputs &amp; Assumptions'!$A$40:$A$42,0))</f>
        <v>320489.560146101</v>
      </c>
      <c r="K3867" s="49" t="n">
        <f aca="false">H3867*INDEX('Model Inputs &amp; Assumptions'!$G$40:$G$42,MATCH('Model Inputs &amp; Assumptions'!$L$35,'Model Inputs &amp; Assumptions'!$A$40:$A$42,0))*INDEX('Model Inputs &amp; Assumptions'!$H$40:$H$42,MATCH('Model Inputs &amp; Assumptions'!$L$35,'Model Inputs &amp; Assumptions'!$A$40:$A$42,0))</f>
        <v>7211.01510328727</v>
      </c>
      <c r="L3867" s="51" t="n">
        <f aca="false">IFERROR(K3867/I3867,0)</f>
        <v>0.831451792187906</v>
      </c>
      <c r="M3867" s="49" t="n">
        <f aca="false">IFERROR(I3867/H3867,0)</f>
        <v>230.019349043364</v>
      </c>
      <c r="N3867" s="52" t="str">
        <f aca="false">'Model Inputs &amp; Assumptions'!$L$35</f>
        <v>PRD-EUAI</v>
      </c>
      <c r="P3867" s="53" t="n">
        <v>-2.18136</v>
      </c>
      <c r="Q3867" s="53" t="n">
        <v>-0.47543</v>
      </c>
      <c r="R3867" s="53" t="n">
        <v>-0.50672</v>
      </c>
      <c r="S3867" s="53" t="n">
        <v>1.492113</v>
      </c>
    </row>
    <row r="3868" customFormat="false" ht="15" hidden="false" customHeight="false" outlineLevel="0" collapsed="false">
      <c r="A3868" s="43" t="n">
        <v>365</v>
      </c>
      <c r="B3868" s="44" t="str">
        <f aca="false">'Model Inputs &amp; Assumptions'!$B$35</f>
        <v>justETF — Sponsored Listing</v>
      </c>
      <c r="C3868" s="45" t="n">
        <f aca="false">ROUND(MAX(0,'Model Inputs &amp; Assumptions'!$S$35*EXP('Model Inputs &amp; Assumptions'!$T$35*P3868-'Model Inputs &amp; Assumptions'!$T$35^2/2)),0)</f>
        <v>81089</v>
      </c>
      <c r="D3868" s="46" t="n">
        <f aca="false">MIN(1,'Model Inputs &amp; Assumptions'!$U$35*EXP('Model Inputs &amp; Assumptions'!$V$35*Q3868-'Model Inputs &amp; Assumptions'!$V$35^2/2))</f>
        <v>0</v>
      </c>
      <c r="E3868" s="45" t="n">
        <f aca="false">ROUND(C3868*D3868,0)</f>
        <v>0</v>
      </c>
      <c r="F3868" s="47" t="n">
        <f aca="false">MIN(1,'Model Inputs &amp; Assumptions'!$W$35*EXP('Model Inputs &amp; Assumptions'!$X$35*R3868-'Model Inputs &amp; Assumptions'!$X$35^2/2))</f>
        <v>0.00496126290562603</v>
      </c>
      <c r="G3868" s="45" t="n">
        <f aca="false">ROUND(C3868*F3868,0)</f>
        <v>402</v>
      </c>
      <c r="H3868" s="48" t="n">
        <f aca="false">MAX(0,(C3868*'Model Inputs &amp; Assumptions'!$N$35+E3868*'Model Inputs &amp; Assumptions'!$O$35+G3868*'Model Inputs &amp; Assumptions'!$P$35)*EXP('Model Inputs &amp; Assumptions'!$Q$35*S3868-'Model Inputs &amp; Assumptions'!$Q$35^2/2))</f>
        <v>28.4974033240323</v>
      </c>
      <c r="I3868" s="49" t="n">
        <f aca="false">IF('Model Inputs &amp; Assumptions'!$H$35="Fixed",'Model Inputs &amp; Assumptions'!$I$35*'Model Inputs &amp; Assumptions'!$K$35,IF('Model Inputs &amp; Assumptions'!$H$35="CPM",'Model Inputs &amp; Assumptions'!$I$35*'Model Inputs &amp; Assumptions'!$K$35*C3868/1000,IF('Model Inputs &amp; Assumptions'!$H$35="CPC",'Model Inputs &amp; Assumptions'!$I$35*'Model Inputs &amp; Assumptions'!$K$35*G3868,0)))</f>
        <v>8672.8</v>
      </c>
      <c r="J3868" s="50" t="n">
        <f aca="false">H3868*INDEX('Model Inputs &amp; Assumptions'!$D$40:$D$42,MATCH('Model Inputs &amp; Assumptions'!$L$35,'Model Inputs &amp; Assumptions'!$A$40:$A$42,0))*INDEX('Model Inputs &amp; Assumptions'!$H$40:$H$42,MATCH('Model Inputs &amp; Assumptions'!$L$35,'Model Inputs &amp; Assumptions'!$A$40:$A$42,0))</f>
        <v>242227.928254275</v>
      </c>
      <c r="K3868" s="49" t="n">
        <f aca="false">H3868*INDEX('Model Inputs &amp; Assumptions'!$G$40:$G$42,MATCH('Model Inputs &amp; Assumptions'!$L$35,'Model Inputs &amp; Assumptions'!$A$40:$A$42,0))*INDEX('Model Inputs &amp; Assumptions'!$H$40:$H$42,MATCH('Model Inputs &amp; Assumptions'!$L$35,'Model Inputs &amp; Assumptions'!$A$40:$A$42,0))</f>
        <v>5450.12838572118</v>
      </c>
      <c r="L3868" s="51" t="n">
        <f aca="false">IFERROR(K3868/I3868,0)</f>
        <v>0.628416242242549</v>
      </c>
      <c r="M3868" s="49" t="n">
        <f aca="false">IFERROR(I3868/H3868,0)</f>
        <v>304.336500465854</v>
      </c>
      <c r="N3868" s="52" t="str">
        <f aca="false">'Model Inputs &amp; Assumptions'!$L$35</f>
        <v>PRD-EUAI</v>
      </c>
      <c r="P3868" s="53" t="n">
        <v>-0.575491</v>
      </c>
      <c r="Q3868" s="53" t="n">
        <v>-0.753067</v>
      </c>
      <c r="R3868" s="53" t="n">
        <v>-1.402236</v>
      </c>
      <c r="S3868" s="53" t="n">
        <v>0.178542</v>
      </c>
    </row>
    <row r="3869" customFormat="false" ht="15" hidden="false" customHeight="false" outlineLevel="0" collapsed="false">
      <c r="A3869" s="43" t="n">
        <v>366</v>
      </c>
      <c r="B3869" s="44" t="str">
        <f aca="false">'Model Inputs &amp; Assumptions'!$B$35</f>
        <v>justETF — Sponsored Listing</v>
      </c>
      <c r="C3869" s="45" t="n">
        <f aca="false">ROUND(MAX(0,'Model Inputs &amp; Assumptions'!$S$35*EXP('Model Inputs &amp; Assumptions'!$T$35*P3869-'Model Inputs &amp; Assumptions'!$T$35^2/2)),0)</f>
        <v>62865</v>
      </c>
      <c r="D3869" s="46" t="n">
        <f aca="false">MIN(1,'Model Inputs &amp; Assumptions'!$U$35*EXP('Model Inputs &amp; Assumptions'!$V$35*Q3869-'Model Inputs &amp; Assumptions'!$V$35^2/2))</f>
        <v>0</v>
      </c>
      <c r="E3869" s="45" t="n">
        <f aca="false">ROUND(C3869*D3869,0)</f>
        <v>0</v>
      </c>
      <c r="F3869" s="47" t="n">
        <f aca="false">MIN(1,'Model Inputs &amp; Assumptions'!$W$35*EXP('Model Inputs &amp; Assumptions'!$X$35*R3869-'Model Inputs &amp; Assumptions'!$X$35^2/2))</f>
        <v>0.0101250558233726</v>
      </c>
      <c r="G3869" s="45" t="n">
        <f aca="false">ROUND(C3869*F3869,0)</f>
        <v>637</v>
      </c>
      <c r="H3869" s="48" t="n">
        <f aca="false">MAX(0,(C3869*'Model Inputs &amp; Assumptions'!$N$35+E3869*'Model Inputs &amp; Assumptions'!$O$35+G3869*'Model Inputs &amp; Assumptions'!$P$35)*EXP('Model Inputs &amp; Assumptions'!$Q$35*S3869-'Model Inputs &amp; Assumptions'!$Q$35^2/2))</f>
        <v>32.107664741896</v>
      </c>
      <c r="I3869" s="49" t="n">
        <f aca="false">IF('Model Inputs &amp; Assumptions'!$H$35="Fixed",'Model Inputs &amp; Assumptions'!$I$35*'Model Inputs &amp; Assumptions'!$K$35,IF('Model Inputs &amp; Assumptions'!$H$35="CPM",'Model Inputs &amp; Assumptions'!$I$35*'Model Inputs &amp; Assumptions'!$K$35*C3869/1000,IF('Model Inputs &amp; Assumptions'!$H$35="CPC",'Model Inputs &amp; Assumptions'!$I$35*'Model Inputs &amp; Assumptions'!$K$35*G3869,0)))</f>
        <v>8672.8</v>
      </c>
      <c r="J3869" s="50" t="n">
        <f aca="false">H3869*INDEX('Model Inputs &amp; Assumptions'!$D$40:$D$42,MATCH('Model Inputs &amp; Assumptions'!$L$35,'Model Inputs &amp; Assumptions'!$A$40:$A$42,0))*INDEX('Model Inputs &amp; Assumptions'!$H$40:$H$42,MATCH('Model Inputs &amp; Assumptions'!$L$35,'Model Inputs &amp; Assumptions'!$A$40:$A$42,0))</f>
        <v>272915.150306116</v>
      </c>
      <c r="K3869" s="49" t="n">
        <f aca="false">H3869*INDEX('Model Inputs &amp; Assumptions'!$G$40:$G$42,MATCH('Model Inputs &amp; Assumptions'!$L$35,'Model Inputs &amp; Assumptions'!$A$40:$A$42,0))*INDEX('Model Inputs &amp; Assumptions'!$H$40:$H$42,MATCH('Model Inputs &amp; Assumptions'!$L$35,'Model Inputs &amp; Assumptions'!$A$40:$A$42,0))</f>
        <v>6140.59088188762</v>
      </c>
      <c r="L3869" s="51" t="n">
        <f aca="false">IFERROR(K3869/I3869,0)</f>
        <v>0.708028650711145</v>
      </c>
      <c r="M3869" s="49" t="n">
        <f aca="false">IFERROR(I3869/H3869,0)</f>
        <v>270.116187823626</v>
      </c>
      <c r="N3869" s="52" t="str">
        <f aca="false">'Model Inputs &amp; Assumptions'!$L$35</f>
        <v>PRD-EUAI</v>
      </c>
      <c r="P3869" s="53" t="n">
        <v>-2.272564</v>
      </c>
      <c r="Q3869" s="53" t="n">
        <v>-0.535341</v>
      </c>
      <c r="R3869" s="53" t="n">
        <v>2.164528</v>
      </c>
      <c r="S3869" s="53" t="n">
        <v>-1.133134</v>
      </c>
    </row>
    <row r="3870" customFormat="false" ht="15" hidden="false" customHeight="false" outlineLevel="0" collapsed="false">
      <c r="A3870" s="43" t="n">
        <v>367</v>
      </c>
      <c r="B3870" s="44" t="str">
        <f aca="false">'Model Inputs &amp; Assumptions'!$B$35</f>
        <v>justETF — Sponsored Listing</v>
      </c>
      <c r="C3870" s="45" t="n">
        <f aca="false">ROUND(MAX(0,'Model Inputs &amp; Assumptions'!$S$35*EXP('Model Inputs &amp; Assumptions'!$T$35*P3870-'Model Inputs &amp; Assumptions'!$T$35^2/2)),0)</f>
        <v>124234</v>
      </c>
      <c r="D3870" s="46" t="n">
        <f aca="false">MIN(1,'Model Inputs &amp; Assumptions'!$U$35*EXP('Model Inputs &amp; Assumptions'!$V$35*Q3870-'Model Inputs &amp; Assumptions'!$V$35^2/2))</f>
        <v>0</v>
      </c>
      <c r="E3870" s="45" t="n">
        <f aca="false">ROUND(C3870*D3870,0)</f>
        <v>0</v>
      </c>
      <c r="F3870" s="47" t="n">
        <f aca="false">MIN(1,'Model Inputs &amp; Assumptions'!$W$35*EXP('Model Inputs &amp; Assumptions'!$X$35*R3870-'Model Inputs &amp; Assumptions'!$X$35^2/2))</f>
        <v>0.0075486091398045</v>
      </c>
      <c r="G3870" s="45" t="n">
        <f aca="false">ROUND(C3870*F3870,0)</f>
        <v>938</v>
      </c>
      <c r="H3870" s="48" t="n">
        <f aca="false">MAX(0,(C3870*'Model Inputs &amp; Assumptions'!$N$35+E3870*'Model Inputs &amp; Assumptions'!$O$35+G3870*'Model Inputs &amp; Assumptions'!$P$35)*EXP('Model Inputs &amp; Assumptions'!$Q$35*S3870-'Model Inputs &amp; Assumptions'!$Q$35^2/2))</f>
        <v>63.6976985284294</v>
      </c>
      <c r="I3870" s="49" t="n">
        <f aca="false">IF('Model Inputs &amp; Assumptions'!$H$35="Fixed",'Model Inputs &amp; Assumptions'!$I$35*'Model Inputs &amp; Assumptions'!$K$35,IF('Model Inputs &amp; Assumptions'!$H$35="CPM",'Model Inputs &amp; Assumptions'!$I$35*'Model Inputs &amp; Assumptions'!$K$35*C3870/1000,IF('Model Inputs &amp; Assumptions'!$H$35="CPC",'Model Inputs &amp; Assumptions'!$I$35*'Model Inputs &amp; Assumptions'!$K$35*G3870,0)))</f>
        <v>8672.8</v>
      </c>
      <c r="J3870" s="50" t="n">
        <f aca="false">H3870*INDEX('Model Inputs &amp; Assumptions'!$D$40:$D$42,MATCH('Model Inputs &amp; Assumptions'!$L$35,'Model Inputs &amp; Assumptions'!$A$40:$A$42,0))*INDEX('Model Inputs &amp; Assumptions'!$H$40:$H$42,MATCH('Model Inputs &amp; Assumptions'!$L$35,'Model Inputs &amp; Assumptions'!$A$40:$A$42,0))</f>
        <v>541430.43749165</v>
      </c>
      <c r="K3870" s="49" t="n">
        <f aca="false">H3870*INDEX('Model Inputs &amp; Assumptions'!$G$40:$G$42,MATCH('Model Inputs &amp; Assumptions'!$L$35,'Model Inputs &amp; Assumptions'!$A$40:$A$42,0))*INDEX('Model Inputs &amp; Assumptions'!$H$40:$H$42,MATCH('Model Inputs &amp; Assumptions'!$L$35,'Model Inputs &amp; Assumptions'!$A$40:$A$42,0))</f>
        <v>12182.1848435621</v>
      </c>
      <c r="L3870" s="51" t="n">
        <f aca="false">IFERROR(K3870/I3870,0)</f>
        <v>1.40464265791464</v>
      </c>
      <c r="M3870" s="49" t="n">
        <f aca="false">IFERROR(I3870/H3870,0)</f>
        <v>136.155625719023</v>
      </c>
      <c r="N3870" s="52" t="str">
        <f aca="false">'Model Inputs &amp; Assumptions'!$L$35</f>
        <v>PRD-EUAI</v>
      </c>
      <c r="P3870" s="53" t="n">
        <v>2.268617</v>
      </c>
      <c r="Q3870" s="53" t="n">
        <v>0.88248</v>
      </c>
      <c r="R3870" s="53" t="n">
        <v>0.696279</v>
      </c>
      <c r="S3870" s="53" t="n">
        <v>0.013302</v>
      </c>
    </row>
    <row r="3871" customFormat="false" ht="15" hidden="false" customHeight="false" outlineLevel="0" collapsed="false">
      <c r="A3871" s="43" t="n">
        <v>368</v>
      </c>
      <c r="B3871" s="44" t="str">
        <f aca="false">'Model Inputs &amp; Assumptions'!$B$35</f>
        <v>justETF — Sponsored Listing</v>
      </c>
      <c r="C3871" s="45" t="n">
        <f aca="false">ROUND(MAX(0,'Model Inputs &amp; Assumptions'!$S$35*EXP('Model Inputs &amp; Assumptions'!$T$35*P3871-'Model Inputs &amp; Assumptions'!$T$35^2/2)),0)</f>
        <v>110017</v>
      </c>
      <c r="D3871" s="46" t="n">
        <f aca="false">MIN(1,'Model Inputs &amp; Assumptions'!$U$35*EXP('Model Inputs &amp; Assumptions'!$V$35*Q3871-'Model Inputs &amp; Assumptions'!$V$35^2/2))</f>
        <v>0</v>
      </c>
      <c r="E3871" s="45" t="n">
        <f aca="false">ROUND(C3871*D3871,0)</f>
        <v>0</v>
      </c>
      <c r="F3871" s="47" t="n">
        <f aca="false">MIN(1,'Model Inputs &amp; Assumptions'!$W$35*EXP('Model Inputs &amp; Assumptions'!$X$35*R3871-'Model Inputs &amp; Assumptions'!$X$35^2/2))</f>
        <v>0.00899540891294916</v>
      </c>
      <c r="G3871" s="45" t="n">
        <f aca="false">ROUND(C3871*F3871,0)</f>
        <v>990</v>
      </c>
      <c r="H3871" s="48" t="n">
        <f aca="false">MAX(0,(C3871*'Model Inputs &amp; Assumptions'!$N$35+E3871*'Model Inputs &amp; Assumptions'!$O$35+G3871*'Model Inputs &amp; Assumptions'!$P$35)*EXP('Model Inputs &amp; Assumptions'!$Q$35*S3871-'Model Inputs &amp; Assumptions'!$Q$35^2/2))</f>
        <v>50.4146922854586</v>
      </c>
      <c r="I3871" s="49" t="n">
        <f aca="false">IF('Model Inputs &amp; Assumptions'!$H$35="Fixed",'Model Inputs &amp; Assumptions'!$I$35*'Model Inputs &amp; Assumptions'!$K$35,IF('Model Inputs &amp; Assumptions'!$H$35="CPM",'Model Inputs &amp; Assumptions'!$I$35*'Model Inputs &amp; Assumptions'!$K$35*C3871/1000,IF('Model Inputs &amp; Assumptions'!$H$35="CPC",'Model Inputs &amp; Assumptions'!$I$35*'Model Inputs &amp; Assumptions'!$K$35*G3871,0)))</f>
        <v>8672.8</v>
      </c>
      <c r="J3871" s="50" t="n">
        <f aca="false">H3871*INDEX('Model Inputs &amp; Assumptions'!$D$40:$D$42,MATCH('Model Inputs &amp; Assumptions'!$L$35,'Model Inputs &amp; Assumptions'!$A$40:$A$42,0))*INDEX('Model Inputs &amp; Assumptions'!$H$40:$H$42,MATCH('Model Inputs &amp; Assumptions'!$L$35,'Model Inputs &amp; Assumptions'!$A$40:$A$42,0))</f>
        <v>428524.884426398</v>
      </c>
      <c r="K3871" s="49" t="n">
        <f aca="false">H3871*INDEX('Model Inputs &amp; Assumptions'!$G$40:$G$42,MATCH('Model Inputs &amp; Assumptions'!$L$35,'Model Inputs &amp; Assumptions'!$A$40:$A$42,0))*INDEX('Model Inputs &amp; Assumptions'!$H$40:$H$42,MATCH('Model Inputs &amp; Assumptions'!$L$35,'Model Inputs &amp; Assumptions'!$A$40:$A$42,0))</f>
        <v>9641.80989959395</v>
      </c>
      <c r="L3871" s="51" t="n">
        <f aca="false">IFERROR(K3871/I3871,0)</f>
        <v>1.11172976427382</v>
      </c>
      <c r="M3871" s="49" t="n">
        <f aca="false">IFERROR(I3871/H3871,0)</f>
        <v>172.029216223175</v>
      </c>
      <c r="N3871" s="52" t="str">
        <f aca="false">'Model Inputs &amp; Assumptions'!$L$35</f>
        <v>PRD-EUAI</v>
      </c>
      <c r="P3871" s="53" t="n">
        <v>1.458419</v>
      </c>
      <c r="Q3871" s="53" t="n">
        <v>-1.884723</v>
      </c>
      <c r="R3871" s="53" t="n">
        <v>1.573034</v>
      </c>
      <c r="S3871" s="53" t="n">
        <v>-1.093701</v>
      </c>
    </row>
    <row r="3872" customFormat="false" ht="15" hidden="false" customHeight="false" outlineLevel="0" collapsed="false">
      <c r="A3872" s="43" t="n">
        <v>369</v>
      </c>
      <c r="B3872" s="44" t="str">
        <f aca="false">'Model Inputs &amp; Assumptions'!$B$35</f>
        <v>justETF — Sponsored Listing</v>
      </c>
      <c r="C3872" s="45" t="n">
        <f aca="false">ROUND(MAX(0,'Model Inputs &amp; Assumptions'!$S$35*EXP('Model Inputs &amp; Assumptions'!$T$35*P3872-'Model Inputs &amp; Assumptions'!$T$35^2/2)),0)</f>
        <v>95147</v>
      </c>
      <c r="D3872" s="46" t="n">
        <f aca="false">MIN(1,'Model Inputs &amp; Assumptions'!$U$35*EXP('Model Inputs &amp; Assumptions'!$V$35*Q3872-'Model Inputs &amp; Assumptions'!$V$35^2/2))</f>
        <v>0</v>
      </c>
      <c r="E3872" s="45" t="n">
        <f aca="false">ROUND(C3872*D3872,0)</f>
        <v>0</v>
      </c>
      <c r="F3872" s="47" t="n">
        <f aca="false">MIN(1,'Model Inputs &amp; Assumptions'!$W$35*EXP('Model Inputs &amp; Assumptions'!$X$35*R3872-'Model Inputs &amp; Assumptions'!$X$35^2/2))</f>
        <v>0.00488013813783059</v>
      </c>
      <c r="G3872" s="45" t="n">
        <f aca="false">ROUND(C3872*F3872,0)</f>
        <v>464</v>
      </c>
      <c r="H3872" s="48" t="n">
        <f aca="false">MAX(0,(C3872*'Model Inputs &amp; Assumptions'!$N$35+E3872*'Model Inputs &amp; Assumptions'!$O$35+G3872*'Model Inputs &amp; Assumptions'!$P$35)*EXP('Model Inputs &amp; Assumptions'!$Q$35*S3872-'Model Inputs &amp; Assumptions'!$Q$35^2/2))</f>
        <v>32.6225306958039</v>
      </c>
      <c r="I3872" s="49" t="n">
        <f aca="false">IF('Model Inputs &amp; Assumptions'!$H$35="Fixed",'Model Inputs &amp; Assumptions'!$I$35*'Model Inputs &amp; Assumptions'!$K$35,IF('Model Inputs &amp; Assumptions'!$H$35="CPM",'Model Inputs &amp; Assumptions'!$I$35*'Model Inputs &amp; Assumptions'!$K$35*C3872/1000,IF('Model Inputs &amp; Assumptions'!$H$35="CPC",'Model Inputs &amp; Assumptions'!$I$35*'Model Inputs &amp; Assumptions'!$K$35*G3872,0)))</f>
        <v>8672.8</v>
      </c>
      <c r="J3872" s="50" t="n">
        <f aca="false">H3872*INDEX('Model Inputs &amp; Assumptions'!$D$40:$D$42,MATCH('Model Inputs &amp; Assumptions'!$L$35,'Model Inputs &amp; Assumptions'!$A$40:$A$42,0))*INDEX('Model Inputs &amp; Assumptions'!$H$40:$H$42,MATCH('Model Inputs &amp; Assumptions'!$L$35,'Model Inputs &amp; Assumptions'!$A$40:$A$42,0))</f>
        <v>277291.510914333</v>
      </c>
      <c r="K3872" s="49" t="n">
        <f aca="false">H3872*INDEX('Model Inputs &amp; Assumptions'!$G$40:$G$42,MATCH('Model Inputs &amp; Assumptions'!$L$35,'Model Inputs &amp; Assumptions'!$A$40:$A$42,0))*INDEX('Model Inputs &amp; Assumptions'!$H$40:$H$42,MATCH('Model Inputs &amp; Assumptions'!$L$35,'Model Inputs &amp; Assumptions'!$A$40:$A$42,0))</f>
        <v>6239.0589955725</v>
      </c>
      <c r="L3872" s="51" t="n">
        <f aca="false">IFERROR(K3872/I3872,0)</f>
        <v>0.719382321231032</v>
      </c>
      <c r="M3872" s="49" t="n">
        <f aca="false">IFERROR(I3872/H3872,0)</f>
        <v>265.853071941949</v>
      </c>
      <c r="N3872" s="52" t="str">
        <f aca="false">'Model Inputs &amp; Assumptions'!$L$35</f>
        <v>PRD-EUAI</v>
      </c>
      <c r="P3872" s="53" t="n">
        <v>0.490331</v>
      </c>
      <c r="Q3872" s="53" t="n">
        <v>-0.938573</v>
      </c>
      <c r="R3872" s="53" t="n">
        <v>-1.48467</v>
      </c>
      <c r="S3872" s="53" t="n">
        <v>0.146841</v>
      </c>
    </row>
    <row r="3873" customFormat="false" ht="15" hidden="false" customHeight="false" outlineLevel="0" collapsed="false">
      <c r="A3873" s="43" t="n">
        <v>370</v>
      </c>
      <c r="B3873" s="44" t="str">
        <f aca="false">'Model Inputs &amp; Assumptions'!$B$35</f>
        <v>justETF — Sponsored Listing</v>
      </c>
      <c r="C3873" s="45" t="n">
        <f aca="false">ROUND(MAX(0,'Model Inputs &amp; Assumptions'!$S$35*EXP('Model Inputs &amp; Assumptions'!$T$35*P3873-'Model Inputs &amp; Assumptions'!$T$35^2/2)),0)</f>
        <v>85080</v>
      </c>
      <c r="D3873" s="46" t="n">
        <f aca="false">MIN(1,'Model Inputs &amp; Assumptions'!$U$35*EXP('Model Inputs &amp; Assumptions'!$V$35*Q3873-'Model Inputs &amp; Assumptions'!$V$35^2/2))</f>
        <v>0</v>
      </c>
      <c r="E3873" s="45" t="n">
        <f aca="false">ROUND(C3873*D3873,0)</f>
        <v>0</v>
      </c>
      <c r="F3873" s="47" t="n">
        <f aca="false">MIN(1,'Model Inputs &amp; Assumptions'!$W$35*EXP('Model Inputs &amp; Assumptions'!$X$35*R3873-'Model Inputs &amp; Assumptions'!$X$35^2/2))</f>
        <v>0.00675550904210123</v>
      </c>
      <c r="G3873" s="45" t="n">
        <f aca="false">ROUND(C3873*F3873,0)</f>
        <v>575</v>
      </c>
      <c r="H3873" s="48" t="n">
        <f aca="false">MAX(0,(C3873*'Model Inputs &amp; Assumptions'!$N$35+E3873*'Model Inputs &amp; Assumptions'!$O$35+G3873*'Model Inputs &amp; Assumptions'!$P$35)*EXP('Model Inputs &amp; Assumptions'!$Q$35*S3873-'Model Inputs &amp; Assumptions'!$Q$35^2/2))</f>
        <v>26.5900930281932</v>
      </c>
      <c r="I3873" s="49" t="n">
        <f aca="false">IF('Model Inputs &amp; Assumptions'!$H$35="Fixed",'Model Inputs &amp; Assumptions'!$I$35*'Model Inputs &amp; Assumptions'!$K$35,IF('Model Inputs &amp; Assumptions'!$H$35="CPM",'Model Inputs &amp; Assumptions'!$I$35*'Model Inputs &amp; Assumptions'!$K$35*C3873/1000,IF('Model Inputs &amp; Assumptions'!$H$35="CPC",'Model Inputs &amp; Assumptions'!$I$35*'Model Inputs &amp; Assumptions'!$K$35*G3873,0)))</f>
        <v>8672.8</v>
      </c>
      <c r="J3873" s="50" t="n">
        <f aca="false">H3873*INDEX('Model Inputs &amp; Assumptions'!$D$40:$D$42,MATCH('Model Inputs &amp; Assumptions'!$L$35,'Model Inputs &amp; Assumptions'!$A$40:$A$42,0))*INDEX('Model Inputs &amp; Assumptions'!$H$40:$H$42,MATCH('Model Inputs &amp; Assumptions'!$L$35,'Model Inputs &amp; Assumptions'!$A$40:$A$42,0))</f>
        <v>226015.790739642</v>
      </c>
      <c r="K3873" s="49" t="n">
        <f aca="false">H3873*INDEX('Model Inputs &amp; Assumptions'!$G$40:$G$42,MATCH('Model Inputs &amp; Assumptions'!$L$35,'Model Inputs &amp; Assumptions'!$A$40:$A$42,0))*INDEX('Model Inputs &amp; Assumptions'!$H$40:$H$42,MATCH('Model Inputs &amp; Assumptions'!$L$35,'Model Inputs &amp; Assumptions'!$A$40:$A$42,0))</f>
        <v>5085.35529164194</v>
      </c>
      <c r="L3873" s="51" t="n">
        <f aca="false">IFERROR(K3873/I3873,0)</f>
        <v>0.586356804220315</v>
      </c>
      <c r="M3873" s="49" t="n">
        <f aca="false">IFERROR(I3873/H3873,0)</f>
        <v>326.166591098584</v>
      </c>
      <c r="N3873" s="52" t="str">
        <f aca="false">'Model Inputs &amp; Assumptions'!$L$35</f>
        <v>PRD-EUAI</v>
      </c>
      <c r="P3873" s="53" t="n">
        <v>-0.255194</v>
      </c>
      <c r="Q3873" s="53" t="n">
        <v>-2.134751</v>
      </c>
      <c r="R3873" s="53" t="n">
        <v>0.141254</v>
      </c>
      <c r="S3873" s="53" t="n">
        <v>-1.464505</v>
      </c>
    </row>
    <row r="3874" customFormat="false" ht="15" hidden="false" customHeight="false" outlineLevel="0" collapsed="false">
      <c r="A3874" s="43" t="n">
        <v>371</v>
      </c>
      <c r="B3874" s="44" t="str">
        <f aca="false">'Model Inputs &amp; Assumptions'!$B$35</f>
        <v>justETF — Sponsored Listing</v>
      </c>
      <c r="C3874" s="45" t="n">
        <f aca="false">ROUND(MAX(0,'Model Inputs &amp; Assumptions'!$S$35*EXP('Model Inputs &amp; Assumptions'!$T$35*P3874-'Model Inputs &amp; Assumptions'!$T$35^2/2)),0)</f>
        <v>94085</v>
      </c>
      <c r="D3874" s="46" t="n">
        <f aca="false">MIN(1,'Model Inputs &amp; Assumptions'!$U$35*EXP('Model Inputs &amp; Assumptions'!$V$35*Q3874-'Model Inputs &amp; Assumptions'!$V$35^2/2))</f>
        <v>0</v>
      </c>
      <c r="E3874" s="45" t="n">
        <f aca="false">ROUND(C3874*D3874,0)</f>
        <v>0</v>
      </c>
      <c r="F3874" s="47" t="n">
        <f aca="false">MIN(1,'Model Inputs &amp; Assumptions'!$W$35*EXP('Model Inputs &amp; Assumptions'!$X$35*R3874-'Model Inputs &amp; Assumptions'!$X$35^2/2))</f>
        <v>0.00516001211003601</v>
      </c>
      <c r="G3874" s="45" t="n">
        <f aca="false">ROUND(C3874*F3874,0)</f>
        <v>485</v>
      </c>
      <c r="H3874" s="48" t="n">
        <f aca="false">MAX(0,(C3874*'Model Inputs &amp; Assumptions'!$N$35+E3874*'Model Inputs &amp; Assumptions'!$O$35+G3874*'Model Inputs &amp; Assumptions'!$P$35)*EXP('Model Inputs &amp; Assumptions'!$Q$35*S3874-'Model Inputs &amp; Assumptions'!$Q$35^2/2))</f>
        <v>37.6339012817162</v>
      </c>
      <c r="I3874" s="49" t="n">
        <f aca="false">IF('Model Inputs &amp; Assumptions'!$H$35="Fixed",'Model Inputs &amp; Assumptions'!$I$35*'Model Inputs &amp; Assumptions'!$K$35,IF('Model Inputs &amp; Assumptions'!$H$35="CPM",'Model Inputs &amp; Assumptions'!$I$35*'Model Inputs &amp; Assumptions'!$K$35*C3874/1000,IF('Model Inputs &amp; Assumptions'!$H$35="CPC",'Model Inputs &amp; Assumptions'!$I$35*'Model Inputs &amp; Assumptions'!$K$35*G3874,0)))</f>
        <v>8672.8</v>
      </c>
      <c r="J3874" s="50" t="n">
        <f aca="false">H3874*INDEX('Model Inputs &amp; Assumptions'!$D$40:$D$42,MATCH('Model Inputs &amp; Assumptions'!$L$35,'Model Inputs &amp; Assumptions'!$A$40:$A$42,0))*INDEX('Model Inputs &amp; Assumptions'!$H$40:$H$42,MATCH('Model Inputs &amp; Assumptions'!$L$35,'Model Inputs &amp; Assumptions'!$A$40:$A$42,0))</f>
        <v>319888.160894587</v>
      </c>
      <c r="K3874" s="49" t="n">
        <f aca="false">H3874*INDEX('Model Inputs &amp; Assumptions'!$G$40:$G$42,MATCH('Model Inputs &amp; Assumptions'!$L$35,'Model Inputs &amp; Assumptions'!$A$40:$A$42,0))*INDEX('Model Inputs &amp; Assumptions'!$H$40:$H$42,MATCH('Model Inputs &amp; Assumptions'!$L$35,'Model Inputs &amp; Assumptions'!$A$40:$A$42,0))</f>
        <v>7197.48362012822</v>
      </c>
      <c r="L3874" s="51" t="n">
        <f aca="false">IFERROR(K3874/I3874,0)</f>
        <v>0.82989157136429</v>
      </c>
      <c r="M3874" s="49" t="n">
        <f aca="false">IFERROR(I3874/H3874,0)</f>
        <v>230.451792257146</v>
      </c>
      <c r="N3874" s="52" t="str">
        <f aca="false">'Model Inputs &amp; Assumptions'!$L$35</f>
        <v>PRD-EUAI</v>
      </c>
      <c r="P3874" s="53" t="n">
        <v>0.415504</v>
      </c>
      <c r="Q3874" s="53" t="n">
        <v>2.341336</v>
      </c>
      <c r="R3874" s="53" t="n">
        <v>-1.205843</v>
      </c>
      <c r="S3874" s="53" t="n">
        <v>0.526217</v>
      </c>
    </row>
    <row r="3875" customFormat="false" ht="15" hidden="false" customHeight="false" outlineLevel="0" collapsed="false">
      <c r="A3875" s="43" t="n">
        <v>372</v>
      </c>
      <c r="B3875" s="44" t="str">
        <f aca="false">'Model Inputs &amp; Assumptions'!$B$35</f>
        <v>justETF — Sponsored Listing</v>
      </c>
      <c r="C3875" s="45" t="n">
        <f aca="false">ROUND(MAX(0,'Model Inputs &amp; Assumptions'!$S$35*EXP('Model Inputs &amp; Assumptions'!$T$35*P3875-'Model Inputs &amp; Assumptions'!$T$35^2/2)),0)</f>
        <v>71124</v>
      </c>
      <c r="D3875" s="46" t="n">
        <f aca="false">MIN(1,'Model Inputs &amp; Assumptions'!$U$35*EXP('Model Inputs &amp; Assumptions'!$V$35*Q3875-'Model Inputs &amp; Assumptions'!$V$35^2/2))</f>
        <v>0</v>
      </c>
      <c r="E3875" s="45" t="n">
        <f aca="false">ROUND(C3875*D3875,0)</f>
        <v>0</v>
      </c>
      <c r="F3875" s="47" t="n">
        <f aca="false">MIN(1,'Model Inputs &amp; Assumptions'!$W$35*EXP('Model Inputs &amp; Assumptions'!$X$35*R3875-'Model Inputs &amp; Assumptions'!$X$35^2/2))</f>
        <v>0.00797547115878231</v>
      </c>
      <c r="G3875" s="45" t="n">
        <f aca="false">ROUND(C3875*F3875,0)</f>
        <v>567</v>
      </c>
      <c r="H3875" s="48" t="n">
        <f aca="false">MAX(0,(C3875*'Model Inputs &amp; Assumptions'!$N$35+E3875*'Model Inputs &amp; Assumptions'!$O$35+G3875*'Model Inputs &amp; Assumptions'!$P$35)*EXP('Model Inputs &amp; Assumptions'!$Q$35*S3875-'Model Inputs &amp; Assumptions'!$Q$35^2/2))</f>
        <v>28.389314568918</v>
      </c>
      <c r="I3875" s="49" t="n">
        <f aca="false">IF('Model Inputs &amp; Assumptions'!$H$35="Fixed",'Model Inputs &amp; Assumptions'!$I$35*'Model Inputs &amp; Assumptions'!$K$35,IF('Model Inputs &amp; Assumptions'!$H$35="CPM",'Model Inputs &amp; Assumptions'!$I$35*'Model Inputs &amp; Assumptions'!$K$35*C3875/1000,IF('Model Inputs &amp; Assumptions'!$H$35="CPC",'Model Inputs &amp; Assumptions'!$I$35*'Model Inputs &amp; Assumptions'!$K$35*G3875,0)))</f>
        <v>8672.8</v>
      </c>
      <c r="J3875" s="50" t="n">
        <f aca="false">H3875*INDEX('Model Inputs &amp; Assumptions'!$D$40:$D$42,MATCH('Model Inputs &amp; Assumptions'!$L$35,'Model Inputs &amp; Assumptions'!$A$40:$A$42,0))*INDEX('Model Inputs &amp; Assumptions'!$H$40:$H$42,MATCH('Model Inputs &amp; Assumptions'!$L$35,'Model Inputs &amp; Assumptions'!$A$40:$A$42,0))</f>
        <v>241309.173835803</v>
      </c>
      <c r="K3875" s="49" t="n">
        <f aca="false">H3875*INDEX('Model Inputs &amp; Assumptions'!$G$40:$G$42,MATCH('Model Inputs &amp; Assumptions'!$L$35,'Model Inputs &amp; Assumptions'!$A$40:$A$42,0))*INDEX('Model Inputs &amp; Assumptions'!$H$40:$H$42,MATCH('Model Inputs &amp; Assumptions'!$L$35,'Model Inputs &amp; Assumptions'!$A$40:$A$42,0))</f>
        <v>5429.45641130557</v>
      </c>
      <c r="L3875" s="51" t="n">
        <f aca="false">IFERROR(K3875/I3875,0)</f>
        <v>0.626032701238997</v>
      </c>
      <c r="M3875" s="49" t="n">
        <f aca="false">IFERROR(I3875/H3875,0)</f>
        <v>305.49522352665</v>
      </c>
      <c r="N3875" s="52" t="str">
        <f aca="false">'Model Inputs &amp; Assumptions'!$L$35</f>
        <v>PRD-EUAI</v>
      </c>
      <c r="P3875" s="53" t="n">
        <v>-1.449675</v>
      </c>
      <c r="Q3875" s="53" t="n">
        <v>-0.199808</v>
      </c>
      <c r="R3875" s="53" t="n">
        <v>0.971316</v>
      </c>
      <c r="S3875" s="53" t="n">
        <v>-1.158794</v>
      </c>
    </row>
    <row r="3876" customFormat="false" ht="15" hidden="false" customHeight="false" outlineLevel="0" collapsed="false">
      <c r="A3876" s="43" t="n">
        <v>373</v>
      </c>
      <c r="B3876" s="44" t="str">
        <f aca="false">'Model Inputs &amp; Assumptions'!$B$35</f>
        <v>justETF — Sponsored Listing</v>
      </c>
      <c r="C3876" s="45" t="n">
        <f aca="false">ROUND(MAX(0,'Model Inputs &amp; Assumptions'!$S$35*EXP('Model Inputs &amp; Assumptions'!$T$35*P3876-'Model Inputs &amp; Assumptions'!$T$35^2/2)),0)</f>
        <v>89574</v>
      </c>
      <c r="D3876" s="46" t="n">
        <f aca="false">MIN(1,'Model Inputs &amp; Assumptions'!$U$35*EXP('Model Inputs &amp; Assumptions'!$V$35*Q3876-'Model Inputs &amp; Assumptions'!$V$35^2/2))</f>
        <v>0</v>
      </c>
      <c r="E3876" s="45" t="n">
        <f aca="false">ROUND(C3876*D3876,0)</f>
        <v>0</v>
      </c>
      <c r="F3876" s="47" t="n">
        <f aca="false">MIN(1,'Model Inputs &amp; Assumptions'!$W$35*EXP('Model Inputs &amp; Assumptions'!$X$35*R3876-'Model Inputs &amp; Assumptions'!$X$35^2/2))</f>
        <v>0.00589494336351479</v>
      </c>
      <c r="G3876" s="45" t="n">
        <f aca="false">ROUND(C3876*F3876,0)</f>
        <v>528</v>
      </c>
      <c r="H3876" s="48" t="n">
        <f aca="false">MAX(0,(C3876*'Model Inputs &amp; Assumptions'!$N$35+E3876*'Model Inputs &amp; Assumptions'!$O$35+G3876*'Model Inputs &amp; Assumptions'!$P$35)*EXP('Model Inputs &amp; Assumptions'!$Q$35*S3876-'Model Inputs &amp; Assumptions'!$Q$35^2/2))</f>
        <v>37.6377345939751</v>
      </c>
      <c r="I3876" s="49" t="n">
        <f aca="false">IF('Model Inputs &amp; Assumptions'!$H$35="Fixed",'Model Inputs &amp; Assumptions'!$I$35*'Model Inputs &amp; Assumptions'!$K$35,IF('Model Inputs &amp; Assumptions'!$H$35="CPM",'Model Inputs &amp; Assumptions'!$I$35*'Model Inputs &amp; Assumptions'!$K$35*C3876/1000,IF('Model Inputs &amp; Assumptions'!$H$35="CPC",'Model Inputs &amp; Assumptions'!$I$35*'Model Inputs &amp; Assumptions'!$K$35*G3876,0)))</f>
        <v>8672.8</v>
      </c>
      <c r="J3876" s="50" t="n">
        <f aca="false">H3876*INDEX('Model Inputs &amp; Assumptions'!$D$40:$D$42,MATCH('Model Inputs &amp; Assumptions'!$L$35,'Model Inputs &amp; Assumptions'!$A$40:$A$42,0))*INDEX('Model Inputs &amp; Assumptions'!$H$40:$H$42,MATCH('Model Inputs &amp; Assumptions'!$L$35,'Model Inputs &amp; Assumptions'!$A$40:$A$42,0))</f>
        <v>319920.744048788</v>
      </c>
      <c r="K3876" s="49" t="n">
        <f aca="false">H3876*INDEX('Model Inputs &amp; Assumptions'!$G$40:$G$42,MATCH('Model Inputs &amp; Assumptions'!$L$35,'Model Inputs &amp; Assumptions'!$A$40:$A$42,0))*INDEX('Model Inputs &amp; Assumptions'!$H$40:$H$42,MATCH('Model Inputs &amp; Assumptions'!$L$35,'Model Inputs &amp; Assumptions'!$A$40:$A$42,0))</f>
        <v>7198.21674109773</v>
      </c>
      <c r="L3876" s="51" t="n">
        <f aca="false">IFERROR(K3876/I3876,0)</f>
        <v>0.829976102423408</v>
      </c>
      <c r="M3876" s="49" t="n">
        <f aca="false">IFERROR(I3876/H3876,0)</f>
        <v>230.428321299346</v>
      </c>
      <c r="N3876" s="52" t="str">
        <f aca="false">'Model Inputs &amp; Assumptions'!$L$35</f>
        <v>PRD-EUAI</v>
      </c>
      <c r="P3876" s="53" t="n">
        <v>0.087945</v>
      </c>
      <c r="Q3876" s="53" t="n">
        <v>-0.008199</v>
      </c>
      <c r="R3876" s="53" t="n">
        <v>-0.540063</v>
      </c>
      <c r="S3876" s="53" t="n">
        <v>0.199888</v>
      </c>
    </row>
    <row r="3877" customFormat="false" ht="15" hidden="false" customHeight="false" outlineLevel="0" collapsed="false">
      <c r="A3877" s="43" t="n">
        <v>374</v>
      </c>
      <c r="B3877" s="44" t="str">
        <f aca="false">'Model Inputs &amp; Assumptions'!$B$35</f>
        <v>justETF — Sponsored Listing</v>
      </c>
      <c r="C3877" s="45" t="n">
        <f aca="false">ROUND(MAX(0,'Model Inputs &amp; Assumptions'!$S$35*EXP('Model Inputs &amp; Assumptions'!$T$35*P3877-'Model Inputs &amp; Assumptions'!$T$35^2/2)),0)</f>
        <v>86470</v>
      </c>
      <c r="D3877" s="46" t="n">
        <f aca="false">MIN(1,'Model Inputs &amp; Assumptions'!$U$35*EXP('Model Inputs &amp; Assumptions'!$V$35*Q3877-'Model Inputs &amp; Assumptions'!$V$35^2/2))</f>
        <v>0</v>
      </c>
      <c r="E3877" s="45" t="n">
        <f aca="false">ROUND(C3877*D3877,0)</f>
        <v>0</v>
      </c>
      <c r="F3877" s="47" t="n">
        <f aca="false">MIN(1,'Model Inputs &amp; Assumptions'!$W$35*EXP('Model Inputs &amp; Assumptions'!$X$35*R3877-'Model Inputs &amp; Assumptions'!$X$35^2/2))</f>
        <v>0.00653702341404842</v>
      </c>
      <c r="G3877" s="45" t="n">
        <f aca="false">ROUND(C3877*F3877,0)</f>
        <v>565</v>
      </c>
      <c r="H3877" s="48" t="n">
        <f aca="false">MAX(0,(C3877*'Model Inputs &amp; Assumptions'!$N$35+E3877*'Model Inputs &amp; Assumptions'!$O$35+G3877*'Model Inputs &amp; Assumptions'!$P$35)*EXP('Model Inputs &amp; Assumptions'!$Q$35*S3877-'Model Inputs &amp; Assumptions'!$Q$35^2/2))</f>
        <v>49.0810785139761</v>
      </c>
      <c r="I3877" s="49" t="n">
        <f aca="false">IF('Model Inputs &amp; Assumptions'!$H$35="Fixed",'Model Inputs &amp; Assumptions'!$I$35*'Model Inputs &amp; Assumptions'!$K$35,IF('Model Inputs &amp; Assumptions'!$H$35="CPM",'Model Inputs &amp; Assumptions'!$I$35*'Model Inputs &amp; Assumptions'!$K$35*C3877/1000,IF('Model Inputs &amp; Assumptions'!$H$35="CPC",'Model Inputs &amp; Assumptions'!$I$35*'Model Inputs &amp; Assumptions'!$K$35*G3877,0)))</f>
        <v>8672.8</v>
      </c>
      <c r="J3877" s="50" t="n">
        <f aca="false">H3877*INDEX('Model Inputs &amp; Assumptions'!$D$40:$D$42,MATCH('Model Inputs &amp; Assumptions'!$L$35,'Model Inputs &amp; Assumptions'!$A$40:$A$42,0))*INDEX('Model Inputs &amp; Assumptions'!$H$40:$H$42,MATCH('Model Inputs &amp; Assumptions'!$L$35,'Model Inputs &amp; Assumptions'!$A$40:$A$42,0))</f>
        <v>417189.167368797</v>
      </c>
      <c r="K3877" s="49" t="n">
        <f aca="false">H3877*INDEX('Model Inputs &amp; Assumptions'!$G$40:$G$42,MATCH('Model Inputs &amp; Assumptions'!$L$35,'Model Inputs &amp; Assumptions'!$A$40:$A$42,0))*INDEX('Model Inputs &amp; Assumptions'!$H$40:$H$42,MATCH('Model Inputs &amp; Assumptions'!$L$35,'Model Inputs &amp; Assumptions'!$A$40:$A$42,0))</f>
        <v>9386.75626579793</v>
      </c>
      <c r="L3877" s="51" t="n">
        <f aca="false">IFERROR(K3877/I3877,0)</f>
        <v>1.082321310972</v>
      </c>
      <c r="M3877" s="49" t="n">
        <f aca="false">IFERROR(I3877/H3877,0)</f>
        <v>176.703533471262</v>
      </c>
      <c r="N3877" s="52" t="str">
        <f aca="false">'Model Inputs &amp; Assumptions'!$L$35</f>
        <v>PRD-EUAI</v>
      </c>
      <c r="P3877" s="53" t="n">
        <v>-0.14716</v>
      </c>
      <c r="Q3877" s="53" t="n">
        <v>-0.536089</v>
      </c>
      <c r="R3877" s="53" t="n">
        <v>-0.023128</v>
      </c>
      <c r="S3877" s="53" t="n">
        <v>0.960415</v>
      </c>
    </row>
    <row r="3878" customFormat="false" ht="15" hidden="false" customHeight="false" outlineLevel="0" collapsed="false">
      <c r="A3878" s="43" t="n">
        <v>375</v>
      </c>
      <c r="B3878" s="44" t="str">
        <f aca="false">'Model Inputs &amp; Assumptions'!$B$35</f>
        <v>justETF — Sponsored Listing</v>
      </c>
      <c r="C3878" s="45" t="n">
        <f aca="false">ROUND(MAX(0,'Model Inputs &amp; Assumptions'!$S$35*EXP('Model Inputs &amp; Assumptions'!$T$35*P3878-'Model Inputs &amp; Assumptions'!$T$35^2/2)),0)</f>
        <v>89769</v>
      </c>
      <c r="D3878" s="46" t="n">
        <f aca="false">MIN(1,'Model Inputs &amp; Assumptions'!$U$35*EXP('Model Inputs &amp; Assumptions'!$V$35*Q3878-'Model Inputs &amp; Assumptions'!$V$35^2/2))</f>
        <v>0</v>
      </c>
      <c r="E3878" s="45" t="n">
        <f aca="false">ROUND(C3878*D3878,0)</f>
        <v>0</v>
      </c>
      <c r="F3878" s="47" t="n">
        <f aca="false">MIN(1,'Model Inputs &amp; Assumptions'!$W$35*EXP('Model Inputs &amp; Assumptions'!$X$35*R3878-'Model Inputs &amp; Assumptions'!$X$35^2/2))</f>
        <v>0.00739611251525746</v>
      </c>
      <c r="G3878" s="45" t="n">
        <f aca="false">ROUND(C3878*F3878,0)</f>
        <v>664</v>
      </c>
      <c r="H3878" s="48" t="n">
        <f aca="false">MAX(0,(C3878*'Model Inputs &amp; Assumptions'!$N$35+E3878*'Model Inputs &amp; Assumptions'!$O$35+G3878*'Model Inputs &amp; Assumptions'!$P$35)*EXP('Model Inputs &amp; Assumptions'!$Q$35*S3878-'Model Inputs &amp; Assumptions'!$Q$35^2/2))</f>
        <v>34.5719725724275</v>
      </c>
      <c r="I3878" s="49" t="n">
        <f aca="false">IF('Model Inputs &amp; Assumptions'!$H$35="Fixed",'Model Inputs &amp; Assumptions'!$I$35*'Model Inputs &amp; Assumptions'!$K$35,IF('Model Inputs &amp; Assumptions'!$H$35="CPM",'Model Inputs &amp; Assumptions'!$I$35*'Model Inputs &amp; Assumptions'!$K$35*C3878/1000,IF('Model Inputs &amp; Assumptions'!$H$35="CPC",'Model Inputs &amp; Assumptions'!$I$35*'Model Inputs &amp; Assumptions'!$K$35*G3878,0)))</f>
        <v>8672.8</v>
      </c>
      <c r="J3878" s="50" t="n">
        <f aca="false">H3878*INDEX('Model Inputs &amp; Assumptions'!$D$40:$D$42,MATCH('Model Inputs &amp; Assumptions'!$L$35,'Model Inputs &amp; Assumptions'!$A$40:$A$42,0))*INDEX('Model Inputs &amp; Assumptions'!$H$40:$H$42,MATCH('Model Inputs &amp; Assumptions'!$L$35,'Model Inputs &amp; Assumptions'!$A$40:$A$42,0))</f>
        <v>293861.766865634</v>
      </c>
      <c r="K3878" s="49" t="n">
        <f aca="false">H3878*INDEX('Model Inputs &amp; Assumptions'!$G$40:$G$42,MATCH('Model Inputs &amp; Assumptions'!$L$35,'Model Inputs &amp; Assumptions'!$A$40:$A$42,0))*INDEX('Model Inputs &amp; Assumptions'!$H$40:$H$42,MATCH('Model Inputs &amp; Assumptions'!$L$35,'Model Inputs &amp; Assumptions'!$A$40:$A$42,0))</f>
        <v>6611.88975447676</v>
      </c>
      <c r="L3878" s="51" t="n">
        <f aca="false">IFERROR(K3878/I3878,0)</f>
        <v>0.762370832312144</v>
      </c>
      <c r="M3878" s="49" t="n">
        <f aca="false">IFERROR(I3878/H3878,0)</f>
        <v>250.862168244253</v>
      </c>
      <c r="N3878" s="52" t="str">
        <f aca="false">'Model Inputs &amp; Assumptions'!$L$35</f>
        <v>PRD-EUAI</v>
      </c>
      <c r="P3878" s="53" t="n">
        <v>0.102441</v>
      </c>
      <c r="Q3878" s="53" t="n">
        <v>-0.016638</v>
      </c>
      <c r="R3878" s="53" t="n">
        <v>0.594235</v>
      </c>
      <c r="S3878" s="53" t="n">
        <v>-1.00838</v>
      </c>
    </row>
    <row r="3879" customFormat="false" ht="15" hidden="false" customHeight="false" outlineLevel="0" collapsed="false">
      <c r="A3879" s="43" t="n">
        <v>376</v>
      </c>
      <c r="B3879" s="44" t="str">
        <f aca="false">'Model Inputs &amp; Assumptions'!$B$35</f>
        <v>justETF — Sponsored Listing</v>
      </c>
      <c r="C3879" s="45" t="n">
        <f aca="false">ROUND(MAX(0,'Model Inputs &amp; Assumptions'!$S$35*EXP('Model Inputs &amp; Assumptions'!$T$35*P3879-'Model Inputs &amp; Assumptions'!$T$35^2/2)),0)</f>
        <v>83271</v>
      </c>
      <c r="D3879" s="46" t="n">
        <f aca="false">MIN(1,'Model Inputs &amp; Assumptions'!$U$35*EXP('Model Inputs &amp; Assumptions'!$V$35*Q3879-'Model Inputs &amp; Assumptions'!$V$35^2/2))</f>
        <v>0</v>
      </c>
      <c r="E3879" s="45" t="n">
        <f aca="false">ROUND(C3879*D3879,0)</f>
        <v>0</v>
      </c>
      <c r="F3879" s="47" t="n">
        <f aca="false">MIN(1,'Model Inputs &amp; Assumptions'!$W$35*EXP('Model Inputs &amp; Assumptions'!$X$35*R3879-'Model Inputs &amp; Assumptions'!$X$35^2/2))</f>
        <v>0.00596369542328228</v>
      </c>
      <c r="G3879" s="45" t="n">
        <f aca="false">ROUND(C3879*F3879,0)</f>
        <v>497</v>
      </c>
      <c r="H3879" s="48" t="n">
        <f aca="false">MAX(0,(C3879*'Model Inputs &amp; Assumptions'!$N$35+E3879*'Model Inputs &amp; Assumptions'!$O$35+G3879*'Model Inputs &amp; Assumptions'!$P$35)*EXP('Model Inputs &amp; Assumptions'!$Q$35*S3879-'Model Inputs &amp; Assumptions'!$Q$35^2/2))</f>
        <v>37.6020589860501</v>
      </c>
      <c r="I3879" s="49" t="n">
        <f aca="false">IF('Model Inputs &amp; Assumptions'!$H$35="Fixed",'Model Inputs &amp; Assumptions'!$I$35*'Model Inputs &amp; Assumptions'!$K$35,IF('Model Inputs &amp; Assumptions'!$H$35="CPM",'Model Inputs &amp; Assumptions'!$I$35*'Model Inputs &amp; Assumptions'!$K$35*C3879/1000,IF('Model Inputs &amp; Assumptions'!$H$35="CPC",'Model Inputs &amp; Assumptions'!$I$35*'Model Inputs &amp; Assumptions'!$K$35*G3879,0)))</f>
        <v>8672.8</v>
      </c>
      <c r="J3879" s="50" t="n">
        <f aca="false">H3879*INDEX('Model Inputs &amp; Assumptions'!$D$40:$D$42,MATCH('Model Inputs &amp; Assumptions'!$L$35,'Model Inputs &amp; Assumptions'!$A$40:$A$42,0))*INDEX('Model Inputs &amp; Assumptions'!$H$40:$H$42,MATCH('Model Inputs &amp; Assumptions'!$L$35,'Model Inputs &amp; Assumptions'!$A$40:$A$42,0))</f>
        <v>319617.501381426</v>
      </c>
      <c r="K3879" s="49" t="n">
        <f aca="false">H3879*INDEX('Model Inputs &amp; Assumptions'!$G$40:$G$42,MATCH('Model Inputs &amp; Assumptions'!$L$35,'Model Inputs &amp; Assumptions'!$A$40:$A$42,0))*INDEX('Model Inputs &amp; Assumptions'!$H$40:$H$42,MATCH('Model Inputs &amp; Assumptions'!$L$35,'Model Inputs &amp; Assumptions'!$A$40:$A$42,0))</f>
        <v>7191.39378108209</v>
      </c>
      <c r="L3879" s="51" t="n">
        <f aca="false">IFERROR(K3879/I3879,0)</f>
        <v>0.829189394553326</v>
      </c>
      <c r="M3879" s="49" t="n">
        <f aca="false">IFERROR(I3879/H3879,0)</f>
        <v>230.646944179772</v>
      </c>
      <c r="N3879" s="52" t="str">
        <f aca="false">'Model Inputs &amp; Assumptions'!$L$35</f>
        <v>PRD-EUAI</v>
      </c>
      <c r="P3879" s="53" t="n">
        <v>-0.398452</v>
      </c>
      <c r="Q3879" s="53" t="n">
        <v>-0.403812</v>
      </c>
      <c r="R3879" s="53" t="n">
        <v>-0.482086</v>
      </c>
      <c r="S3879" s="53" t="n">
        <v>0.428957</v>
      </c>
    </row>
    <row r="3880" customFormat="false" ht="15" hidden="false" customHeight="false" outlineLevel="0" collapsed="false">
      <c r="A3880" s="43" t="n">
        <v>377</v>
      </c>
      <c r="B3880" s="44" t="str">
        <f aca="false">'Model Inputs &amp; Assumptions'!$B$35</f>
        <v>justETF — Sponsored Listing</v>
      </c>
      <c r="C3880" s="45" t="n">
        <f aca="false">ROUND(MAX(0,'Model Inputs &amp; Assumptions'!$S$35*EXP('Model Inputs &amp; Assumptions'!$T$35*P3880-'Model Inputs &amp; Assumptions'!$T$35^2/2)),0)</f>
        <v>118012</v>
      </c>
      <c r="D3880" s="46" t="n">
        <f aca="false">MIN(1,'Model Inputs &amp; Assumptions'!$U$35*EXP('Model Inputs &amp; Assumptions'!$V$35*Q3880-'Model Inputs &amp; Assumptions'!$V$35^2/2))</f>
        <v>0</v>
      </c>
      <c r="E3880" s="45" t="n">
        <f aca="false">ROUND(C3880*D3880,0)</f>
        <v>0</v>
      </c>
      <c r="F3880" s="47" t="n">
        <f aca="false">MIN(1,'Model Inputs &amp; Assumptions'!$W$35*EXP('Model Inputs &amp; Assumptions'!$X$35*R3880-'Model Inputs &amp; Assumptions'!$X$35^2/2))</f>
        <v>0.00614002200725996</v>
      </c>
      <c r="G3880" s="45" t="n">
        <f aca="false">ROUND(C3880*F3880,0)</f>
        <v>725</v>
      </c>
      <c r="H3880" s="48" t="n">
        <f aca="false">MAX(0,(C3880*'Model Inputs &amp; Assumptions'!$N$35+E3880*'Model Inputs &amp; Assumptions'!$O$35+G3880*'Model Inputs &amp; Assumptions'!$P$35)*EXP('Model Inputs &amp; Assumptions'!$Q$35*S3880-'Model Inputs &amp; Assumptions'!$Q$35^2/2))</f>
        <v>60.5309750262006</v>
      </c>
      <c r="I3880" s="49" t="n">
        <f aca="false">IF('Model Inputs &amp; Assumptions'!$H$35="Fixed",'Model Inputs &amp; Assumptions'!$I$35*'Model Inputs &amp; Assumptions'!$K$35,IF('Model Inputs &amp; Assumptions'!$H$35="CPM",'Model Inputs &amp; Assumptions'!$I$35*'Model Inputs &amp; Assumptions'!$K$35*C3880/1000,IF('Model Inputs &amp; Assumptions'!$H$35="CPC",'Model Inputs &amp; Assumptions'!$I$35*'Model Inputs &amp; Assumptions'!$K$35*G3880,0)))</f>
        <v>8672.8</v>
      </c>
      <c r="J3880" s="50" t="n">
        <f aca="false">H3880*INDEX('Model Inputs &amp; Assumptions'!$D$40:$D$42,MATCH('Model Inputs &amp; Assumptions'!$L$35,'Model Inputs &amp; Assumptions'!$A$40:$A$42,0))*INDEX('Model Inputs &amp; Assumptions'!$H$40:$H$42,MATCH('Model Inputs &amp; Assumptions'!$L$35,'Model Inputs &amp; Assumptions'!$A$40:$A$42,0))</f>
        <v>514513.287722705</v>
      </c>
      <c r="K3880" s="49" t="n">
        <f aca="false">H3880*INDEX('Model Inputs &amp; Assumptions'!$G$40:$G$42,MATCH('Model Inputs &amp; Assumptions'!$L$35,'Model Inputs &amp; Assumptions'!$A$40:$A$42,0))*INDEX('Model Inputs &amp; Assumptions'!$H$40:$H$42,MATCH('Model Inputs &amp; Assumptions'!$L$35,'Model Inputs &amp; Assumptions'!$A$40:$A$42,0))</f>
        <v>11576.5489737609</v>
      </c>
      <c r="L3880" s="51" t="n">
        <f aca="false">IFERROR(K3880/I3880,0)</f>
        <v>1.33481101533079</v>
      </c>
      <c r="M3880" s="49" t="n">
        <f aca="false">IFERROR(I3880/H3880,0)</f>
        <v>143.278709722518</v>
      </c>
      <c r="N3880" s="52" t="str">
        <f aca="false">'Model Inputs &amp; Assumptions'!$L$35</f>
        <v>PRD-EUAI</v>
      </c>
      <c r="P3880" s="53" t="n">
        <v>1.926095</v>
      </c>
      <c r="Q3880" s="53" t="n">
        <v>0.633497</v>
      </c>
      <c r="R3880" s="53" t="n">
        <v>-0.336396</v>
      </c>
      <c r="S3880" s="53" t="n">
        <v>0.80786</v>
      </c>
    </row>
    <row r="3881" customFormat="false" ht="15" hidden="false" customHeight="false" outlineLevel="0" collapsed="false">
      <c r="A3881" s="43" t="n">
        <v>378</v>
      </c>
      <c r="B3881" s="44" t="str">
        <f aca="false">'Model Inputs &amp; Assumptions'!$B$35</f>
        <v>justETF — Sponsored Listing</v>
      </c>
      <c r="C3881" s="45" t="n">
        <f aca="false">ROUND(MAX(0,'Model Inputs &amp; Assumptions'!$S$35*EXP('Model Inputs &amp; Assumptions'!$T$35*P3881-'Model Inputs &amp; Assumptions'!$T$35^2/2)),0)</f>
        <v>113423</v>
      </c>
      <c r="D3881" s="46" t="n">
        <f aca="false">MIN(1,'Model Inputs &amp; Assumptions'!$U$35*EXP('Model Inputs &amp; Assumptions'!$V$35*Q3881-'Model Inputs &amp; Assumptions'!$V$35^2/2))</f>
        <v>0</v>
      </c>
      <c r="E3881" s="45" t="n">
        <f aca="false">ROUND(C3881*D3881,0)</f>
        <v>0</v>
      </c>
      <c r="F3881" s="47" t="n">
        <f aca="false">MIN(1,'Model Inputs &amp; Assumptions'!$W$35*EXP('Model Inputs &amp; Assumptions'!$X$35*R3881-'Model Inputs &amp; Assumptions'!$X$35^2/2))</f>
        <v>0.006763854544183</v>
      </c>
      <c r="G3881" s="45" t="n">
        <f aca="false">ROUND(C3881*F3881,0)</f>
        <v>767</v>
      </c>
      <c r="H3881" s="48" t="n">
        <f aca="false">MAX(0,(C3881*'Model Inputs &amp; Assumptions'!$N$35+E3881*'Model Inputs &amp; Assumptions'!$O$35+G3881*'Model Inputs &amp; Assumptions'!$P$35)*EXP('Model Inputs &amp; Assumptions'!$Q$35*S3881-'Model Inputs &amp; Assumptions'!$Q$35^2/2))</f>
        <v>60.9341628904095</v>
      </c>
      <c r="I3881" s="49" t="n">
        <f aca="false">IF('Model Inputs &amp; Assumptions'!$H$35="Fixed",'Model Inputs &amp; Assumptions'!$I$35*'Model Inputs &amp; Assumptions'!$K$35,IF('Model Inputs &amp; Assumptions'!$H$35="CPM",'Model Inputs &amp; Assumptions'!$I$35*'Model Inputs &amp; Assumptions'!$K$35*C3881/1000,IF('Model Inputs &amp; Assumptions'!$H$35="CPC",'Model Inputs &amp; Assumptions'!$I$35*'Model Inputs &amp; Assumptions'!$K$35*G3881,0)))</f>
        <v>8672.8</v>
      </c>
      <c r="J3881" s="50" t="n">
        <f aca="false">H3881*INDEX('Model Inputs &amp; Assumptions'!$D$40:$D$42,MATCH('Model Inputs &amp; Assumptions'!$L$35,'Model Inputs &amp; Assumptions'!$A$40:$A$42,0))*INDEX('Model Inputs &amp; Assumptions'!$H$40:$H$42,MATCH('Model Inputs &amp; Assumptions'!$L$35,'Model Inputs &amp; Assumptions'!$A$40:$A$42,0))</f>
        <v>517940.384568481</v>
      </c>
      <c r="K3881" s="49" t="n">
        <f aca="false">H3881*INDEX('Model Inputs &amp; Assumptions'!$G$40:$G$42,MATCH('Model Inputs &amp; Assumptions'!$L$35,'Model Inputs &amp; Assumptions'!$A$40:$A$42,0))*INDEX('Model Inputs &amp; Assumptions'!$H$40:$H$42,MATCH('Model Inputs &amp; Assumptions'!$L$35,'Model Inputs &amp; Assumptions'!$A$40:$A$42,0))</f>
        <v>11653.6586527908</v>
      </c>
      <c r="L3881" s="51" t="n">
        <f aca="false">IFERROR(K3881/I3881,0)</f>
        <v>1.34370199391094</v>
      </c>
      <c r="M3881" s="49" t="n">
        <f aca="false">IFERROR(I3881/H3881,0)</f>
        <v>142.330666224103</v>
      </c>
      <c r="N3881" s="52" t="str">
        <f aca="false">'Model Inputs &amp; Assumptions'!$L$35</f>
        <v>PRD-EUAI</v>
      </c>
      <c r="P3881" s="53" t="n">
        <v>1.661691</v>
      </c>
      <c r="Q3881" s="53" t="n">
        <v>-0.652363</v>
      </c>
      <c r="R3881" s="53" t="n">
        <v>0.147427</v>
      </c>
      <c r="S3881" s="53" t="n">
        <v>0.616797</v>
      </c>
    </row>
    <row r="3882" customFormat="false" ht="15" hidden="false" customHeight="false" outlineLevel="0" collapsed="false">
      <c r="A3882" s="43" t="n">
        <v>379</v>
      </c>
      <c r="B3882" s="44" t="str">
        <f aca="false">'Model Inputs &amp; Assumptions'!$B$35</f>
        <v>justETF — Sponsored Listing</v>
      </c>
      <c r="C3882" s="45" t="n">
        <f aca="false">ROUND(MAX(0,'Model Inputs &amp; Assumptions'!$S$35*EXP('Model Inputs &amp; Assumptions'!$T$35*P3882-'Model Inputs &amp; Assumptions'!$T$35^2/2)),0)</f>
        <v>62031</v>
      </c>
      <c r="D3882" s="46" t="n">
        <f aca="false">MIN(1,'Model Inputs &amp; Assumptions'!$U$35*EXP('Model Inputs &amp; Assumptions'!$V$35*Q3882-'Model Inputs &amp; Assumptions'!$V$35^2/2))</f>
        <v>0</v>
      </c>
      <c r="E3882" s="45" t="n">
        <f aca="false">ROUND(C3882*D3882,0)</f>
        <v>0</v>
      </c>
      <c r="F3882" s="47" t="n">
        <f aca="false">MIN(1,'Model Inputs &amp; Assumptions'!$W$35*EXP('Model Inputs &amp; Assumptions'!$X$35*R3882-'Model Inputs &amp; Assumptions'!$X$35^2/2))</f>
        <v>0.00749954930745205</v>
      </c>
      <c r="G3882" s="45" t="n">
        <f aca="false">ROUND(C3882*F3882,0)</f>
        <v>465</v>
      </c>
      <c r="H3882" s="48" t="n">
        <f aca="false">MAX(0,(C3882*'Model Inputs &amp; Assumptions'!$N$35+E3882*'Model Inputs &amp; Assumptions'!$O$35+G3882*'Model Inputs &amp; Assumptions'!$P$35)*EXP('Model Inputs &amp; Assumptions'!$Q$35*S3882-'Model Inputs &amp; Assumptions'!$Q$35^2/2))</f>
        <v>21.927924779504</v>
      </c>
      <c r="I3882" s="49" t="n">
        <f aca="false">IF('Model Inputs &amp; Assumptions'!$H$35="Fixed",'Model Inputs &amp; Assumptions'!$I$35*'Model Inputs &amp; Assumptions'!$K$35,IF('Model Inputs &amp; Assumptions'!$H$35="CPM",'Model Inputs &amp; Assumptions'!$I$35*'Model Inputs &amp; Assumptions'!$K$35*C3882/1000,IF('Model Inputs &amp; Assumptions'!$H$35="CPC",'Model Inputs &amp; Assumptions'!$I$35*'Model Inputs &amp; Assumptions'!$K$35*G3882,0)))</f>
        <v>8672.8</v>
      </c>
      <c r="J3882" s="50" t="n">
        <f aca="false">H3882*INDEX('Model Inputs &amp; Assumptions'!$D$40:$D$42,MATCH('Model Inputs &amp; Assumptions'!$L$35,'Model Inputs &amp; Assumptions'!$A$40:$A$42,0))*INDEX('Model Inputs &amp; Assumptions'!$H$40:$H$42,MATCH('Model Inputs &amp; Assumptions'!$L$35,'Model Inputs &amp; Assumptions'!$A$40:$A$42,0))</f>
        <v>186387.360625784</v>
      </c>
      <c r="K3882" s="49" t="n">
        <f aca="false">H3882*INDEX('Model Inputs &amp; Assumptions'!$G$40:$G$42,MATCH('Model Inputs &amp; Assumptions'!$L$35,'Model Inputs &amp; Assumptions'!$A$40:$A$42,0))*INDEX('Model Inputs &amp; Assumptions'!$H$40:$H$42,MATCH('Model Inputs &amp; Assumptions'!$L$35,'Model Inputs &amp; Assumptions'!$A$40:$A$42,0))</f>
        <v>4193.71561408014</v>
      </c>
      <c r="L3882" s="51" t="n">
        <f aca="false">IFERROR(K3882/I3882,0)</f>
        <v>0.483548059920687</v>
      </c>
      <c r="M3882" s="49" t="n">
        <f aca="false">IFERROR(I3882/H3882,0)</f>
        <v>395.513943394519</v>
      </c>
      <c r="N3882" s="52" t="str">
        <f aca="false">'Model Inputs &amp; Assumptions'!$L$35</f>
        <v>PRD-EUAI</v>
      </c>
      <c r="P3882" s="53" t="n">
        <v>-2.361576</v>
      </c>
      <c r="Q3882" s="53" t="n">
        <v>-0.52872</v>
      </c>
      <c r="R3882" s="53" t="n">
        <v>0.663677</v>
      </c>
      <c r="S3882" s="53" t="n">
        <v>-1.389294</v>
      </c>
    </row>
    <row r="3883" customFormat="false" ht="15" hidden="false" customHeight="false" outlineLevel="0" collapsed="false">
      <c r="A3883" s="43" t="n">
        <v>380</v>
      </c>
      <c r="B3883" s="44" t="str">
        <f aca="false">'Model Inputs &amp; Assumptions'!$B$35</f>
        <v>justETF — Sponsored Listing</v>
      </c>
      <c r="C3883" s="45" t="n">
        <f aca="false">ROUND(MAX(0,'Model Inputs &amp; Assumptions'!$S$35*EXP('Model Inputs &amp; Assumptions'!$T$35*P3883-'Model Inputs &amp; Assumptions'!$T$35^2/2)),0)</f>
        <v>97799</v>
      </c>
      <c r="D3883" s="46" t="n">
        <f aca="false">MIN(1,'Model Inputs &amp; Assumptions'!$U$35*EXP('Model Inputs &amp; Assumptions'!$V$35*Q3883-'Model Inputs &amp; Assumptions'!$V$35^2/2))</f>
        <v>0</v>
      </c>
      <c r="E3883" s="45" t="n">
        <f aca="false">ROUND(C3883*D3883,0)</f>
        <v>0</v>
      </c>
      <c r="F3883" s="47" t="n">
        <f aca="false">MIN(1,'Model Inputs &amp; Assumptions'!$W$35*EXP('Model Inputs &amp; Assumptions'!$X$35*R3883-'Model Inputs &amp; Assumptions'!$X$35^2/2))</f>
        <v>0.00632908025604999</v>
      </c>
      <c r="G3883" s="45" t="n">
        <f aca="false">ROUND(C3883*F3883,0)</f>
        <v>619</v>
      </c>
      <c r="H3883" s="48" t="n">
        <f aca="false">MAX(0,(C3883*'Model Inputs &amp; Assumptions'!$N$35+E3883*'Model Inputs &amp; Assumptions'!$O$35+G3883*'Model Inputs &amp; Assumptions'!$P$35)*EXP('Model Inputs &amp; Assumptions'!$Q$35*S3883-'Model Inputs &amp; Assumptions'!$Q$35^2/2))</f>
        <v>47.0173506217713</v>
      </c>
      <c r="I3883" s="49" t="n">
        <f aca="false">IF('Model Inputs &amp; Assumptions'!$H$35="Fixed",'Model Inputs &amp; Assumptions'!$I$35*'Model Inputs &amp; Assumptions'!$K$35,IF('Model Inputs &amp; Assumptions'!$H$35="CPM",'Model Inputs &amp; Assumptions'!$I$35*'Model Inputs &amp; Assumptions'!$K$35*C3883/1000,IF('Model Inputs &amp; Assumptions'!$H$35="CPC",'Model Inputs &amp; Assumptions'!$I$35*'Model Inputs &amp; Assumptions'!$K$35*G3883,0)))</f>
        <v>8672.8</v>
      </c>
      <c r="J3883" s="50" t="n">
        <f aca="false">H3883*INDEX('Model Inputs &amp; Assumptions'!$D$40:$D$42,MATCH('Model Inputs &amp; Assumptions'!$L$35,'Model Inputs &amp; Assumptions'!$A$40:$A$42,0))*INDEX('Model Inputs &amp; Assumptions'!$H$40:$H$42,MATCH('Model Inputs &amp; Assumptions'!$L$35,'Model Inputs &amp; Assumptions'!$A$40:$A$42,0))</f>
        <v>399647.480285056</v>
      </c>
      <c r="K3883" s="49" t="n">
        <f aca="false">H3883*INDEX('Model Inputs &amp; Assumptions'!$G$40:$G$42,MATCH('Model Inputs &amp; Assumptions'!$L$35,'Model Inputs &amp; Assumptions'!$A$40:$A$42,0))*INDEX('Model Inputs &amp; Assumptions'!$H$40:$H$42,MATCH('Model Inputs &amp; Assumptions'!$L$35,'Model Inputs &amp; Assumptions'!$A$40:$A$42,0))</f>
        <v>8992.06830641376</v>
      </c>
      <c r="L3883" s="51" t="n">
        <f aca="false">IFERROR(K3883/I3883,0)</f>
        <v>1.03681259874709</v>
      </c>
      <c r="M3883" s="49" t="n">
        <f aca="false">IFERROR(I3883/H3883,0)</f>
        <v>184.459564082373</v>
      </c>
      <c r="N3883" s="52" t="str">
        <f aca="false">'Model Inputs &amp; Assumptions'!$L$35</f>
        <v>PRD-EUAI</v>
      </c>
      <c r="P3883" s="53" t="n">
        <v>0.673609</v>
      </c>
      <c r="Q3883" s="53" t="n">
        <v>-0.263134</v>
      </c>
      <c r="R3883" s="53" t="n">
        <v>-0.184763</v>
      </c>
      <c r="S3883" s="53" t="n">
        <v>0.444121</v>
      </c>
    </row>
    <row r="3884" customFormat="false" ht="15" hidden="false" customHeight="false" outlineLevel="0" collapsed="false">
      <c r="A3884" s="43" t="n">
        <v>381</v>
      </c>
      <c r="B3884" s="44" t="str">
        <f aca="false">'Model Inputs &amp; Assumptions'!$B$35</f>
        <v>justETF — Sponsored Listing</v>
      </c>
      <c r="C3884" s="45" t="n">
        <f aca="false">ROUND(MAX(0,'Model Inputs &amp; Assumptions'!$S$35*EXP('Model Inputs &amp; Assumptions'!$T$35*P3884-'Model Inputs &amp; Assumptions'!$T$35^2/2)),0)</f>
        <v>70612</v>
      </c>
      <c r="D3884" s="46" t="n">
        <f aca="false">MIN(1,'Model Inputs &amp; Assumptions'!$U$35*EXP('Model Inputs &amp; Assumptions'!$V$35*Q3884-'Model Inputs &amp; Assumptions'!$V$35^2/2))</f>
        <v>0</v>
      </c>
      <c r="E3884" s="45" t="n">
        <f aca="false">ROUND(C3884*D3884,0)</f>
        <v>0</v>
      </c>
      <c r="F3884" s="47" t="n">
        <f aca="false">MIN(1,'Model Inputs &amp; Assumptions'!$W$35*EXP('Model Inputs &amp; Assumptions'!$X$35*R3884-'Model Inputs &amp; Assumptions'!$X$35^2/2))</f>
        <v>0.00578164200584871</v>
      </c>
      <c r="G3884" s="45" t="n">
        <f aca="false">ROUND(C3884*F3884,0)</f>
        <v>408</v>
      </c>
      <c r="H3884" s="48" t="n">
        <f aca="false">MAX(0,(C3884*'Model Inputs &amp; Assumptions'!$N$35+E3884*'Model Inputs &amp; Assumptions'!$O$35+G3884*'Model Inputs &amp; Assumptions'!$P$35)*EXP('Model Inputs &amp; Assumptions'!$Q$35*S3884-'Model Inputs &amp; Assumptions'!$Q$35^2/2))</f>
        <v>23.807549052674</v>
      </c>
      <c r="I3884" s="49" t="n">
        <f aca="false">IF('Model Inputs &amp; Assumptions'!$H$35="Fixed",'Model Inputs &amp; Assumptions'!$I$35*'Model Inputs &amp; Assumptions'!$K$35,IF('Model Inputs &amp; Assumptions'!$H$35="CPM",'Model Inputs &amp; Assumptions'!$I$35*'Model Inputs &amp; Assumptions'!$K$35*C3884/1000,IF('Model Inputs &amp; Assumptions'!$H$35="CPC",'Model Inputs &amp; Assumptions'!$I$35*'Model Inputs &amp; Assumptions'!$K$35*G3884,0)))</f>
        <v>8672.8</v>
      </c>
      <c r="J3884" s="50" t="n">
        <f aca="false">H3884*INDEX('Model Inputs &amp; Assumptions'!$D$40:$D$42,MATCH('Model Inputs &amp; Assumptions'!$L$35,'Model Inputs &amp; Assumptions'!$A$40:$A$42,0))*INDEX('Model Inputs &amp; Assumptions'!$H$40:$H$42,MATCH('Model Inputs &amp; Assumptions'!$L$35,'Model Inputs &amp; Assumptions'!$A$40:$A$42,0))</f>
        <v>202364.166947729</v>
      </c>
      <c r="K3884" s="49" t="n">
        <f aca="false">H3884*INDEX('Model Inputs &amp; Assumptions'!$G$40:$G$42,MATCH('Model Inputs &amp; Assumptions'!$L$35,'Model Inputs &amp; Assumptions'!$A$40:$A$42,0))*INDEX('Model Inputs &amp; Assumptions'!$H$40:$H$42,MATCH('Model Inputs &amp; Assumptions'!$L$35,'Model Inputs &amp; Assumptions'!$A$40:$A$42,0))</f>
        <v>4553.19375632391</v>
      </c>
      <c r="L3884" s="51" t="n">
        <f aca="false">IFERROR(K3884/I3884,0)</f>
        <v>0.524996974024987</v>
      </c>
      <c r="M3884" s="49" t="n">
        <f aca="false">IFERROR(I3884/H3884,0)</f>
        <v>364.287813953948</v>
      </c>
      <c r="N3884" s="52" t="str">
        <f aca="false">'Model Inputs &amp; Assumptions'!$L$35</f>
        <v>PRD-EUAI</v>
      </c>
      <c r="P3884" s="53" t="n">
        <v>-1.497839</v>
      </c>
      <c r="Q3884" s="53" t="n">
        <v>0.847832</v>
      </c>
      <c r="R3884" s="53" t="n">
        <v>-0.637099</v>
      </c>
      <c r="S3884" s="53" t="n">
        <v>-0.570017</v>
      </c>
    </row>
    <row r="3885" customFormat="false" ht="15" hidden="false" customHeight="false" outlineLevel="0" collapsed="false">
      <c r="A3885" s="43" t="n">
        <v>382</v>
      </c>
      <c r="B3885" s="44" t="str">
        <f aca="false">'Model Inputs &amp; Assumptions'!$B$35</f>
        <v>justETF — Sponsored Listing</v>
      </c>
      <c r="C3885" s="45" t="n">
        <f aca="false">ROUND(MAX(0,'Model Inputs &amp; Assumptions'!$S$35*EXP('Model Inputs &amp; Assumptions'!$T$35*P3885-'Model Inputs &amp; Assumptions'!$T$35^2/2)),0)</f>
        <v>73239</v>
      </c>
      <c r="D3885" s="46" t="n">
        <f aca="false">MIN(1,'Model Inputs &amp; Assumptions'!$U$35*EXP('Model Inputs &amp; Assumptions'!$V$35*Q3885-'Model Inputs &amp; Assumptions'!$V$35^2/2))</f>
        <v>0</v>
      </c>
      <c r="E3885" s="45" t="n">
        <f aca="false">ROUND(C3885*D3885,0)</f>
        <v>0</v>
      </c>
      <c r="F3885" s="47" t="n">
        <f aca="false">MIN(1,'Model Inputs &amp; Assumptions'!$W$35*EXP('Model Inputs &amp; Assumptions'!$X$35*R3885-'Model Inputs &amp; Assumptions'!$X$35^2/2))</f>
        <v>0.00635261364841514</v>
      </c>
      <c r="G3885" s="45" t="n">
        <f aca="false">ROUND(C3885*F3885,0)</f>
        <v>465</v>
      </c>
      <c r="H3885" s="48" t="n">
        <f aca="false">MAX(0,(C3885*'Model Inputs &amp; Assumptions'!$N$35+E3885*'Model Inputs &amp; Assumptions'!$O$35+G3885*'Model Inputs &amp; Assumptions'!$P$35)*EXP('Model Inputs &amp; Assumptions'!$Q$35*S3885-'Model Inputs &amp; Assumptions'!$Q$35^2/2))</f>
        <v>31.2606253207049</v>
      </c>
      <c r="I3885" s="49" t="n">
        <f aca="false">IF('Model Inputs &amp; Assumptions'!$H$35="Fixed",'Model Inputs &amp; Assumptions'!$I$35*'Model Inputs &amp; Assumptions'!$K$35,IF('Model Inputs &amp; Assumptions'!$H$35="CPM",'Model Inputs &amp; Assumptions'!$I$35*'Model Inputs &amp; Assumptions'!$K$35*C3885/1000,IF('Model Inputs &amp; Assumptions'!$H$35="CPC",'Model Inputs &amp; Assumptions'!$I$35*'Model Inputs &amp; Assumptions'!$K$35*G3885,0)))</f>
        <v>8672.8</v>
      </c>
      <c r="J3885" s="50" t="n">
        <f aca="false">H3885*INDEX('Model Inputs &amp; Assumptions'!$D$40:$D$42,MATCH('Model Inputs &amp; Assumptions'!$L$35,'Model Inputs &amp; Assumptions'!$A$40:$A$42,0))*INDEX('Model Inputs &amp; Assumptions'!$H$40:$H$42,MATCH('Model Inputs &amp; Assumptions'!$L$35,'Model Inputs &amp; Assumptions'!$A$40:$A$42,0))</f>
        <v>265715.315225992</v>
      </c>
      <c r="K3885" s="49" t="n">
        <f aca="false">H3885*INDEX('Model Inputs &amp; Assumptions'!$G$40:$G$42,MATCH('Model Inputs &amp; Assumptions'!$L$35,'Model Inputs &amp; Assumptions'!$A$40:$A$42,0))*INDEX('Model Inputs &amp; Assumptions'!$H$40:$H$42,MATCH('Model Inputs &amp; Assumptions'!$L$35,'Model Inputs &amp; Assumptions'!$A$40:$A$42,0))</f>
        <v>5978.59459258482</v>
      </c>
      <c r="L3885" s="51" t="n">
        <f aca="false">IFERROR(K3885/I3885,0)</f>
        <v>0.689349989920766</v>
      </c>
      <c r="M3885" s="49" t="n">
        <f aca="false">IFERROR(I3885/H3885,0)</f>
        <v>277.43526916129</v>
      </c>
      <c r="N3885" s="52" t="str">
        <f aca="false">'Model Inputs &amp; Assumptions'!$L$35</f>
        <v>PRD-EUAI</v>
      </c>
      <c r="P3885" s="53" t="n">
        <v>-1.254322</v>
      </c>
      <c r="Q3885" s="53" t="n">
        <v>-0.297003</v>
      </c>
      <c r="R3885" s="53" t="n">
        <v>-0.166206</v>
      </c>
      <c r="S3885" s="53" t="n">
        <v>-0.025454</v>
      </c>
    </row>
    <row r="3886" customFormat="false" ht="15" hidden="false" customHeight="false" outlineLevel="0" collapsed="false">
      <c r="A3886" s="43" t="n">
        <v>383</v>
      </c>
      <c r="B3886" s="44" t="str">
        <f aca="false">'Model Inputs &amp; Assumptions'!$B$35</f>
        <v>justETF — Sponsored Listing</v>
      </c>
      <c r="C3886" s="45" t="n">
        <f aca="false">ROUND(MAX(0,'Model Inputs &amp; Assumptions'!$S$35*EXP('Model Inputs &amp; Assumptions'!$T$35*P3886-'Model Inputs &amp; Assumptions'!$T$35^2/2)),0)</f>
        <v>99509</v>
      </c>
      <c r="D3886" s="46" t="n">
        <f aca="false">MIN(1,'Model Inputs &amp; Assumptions'!$U$35*EXP('Model Inputs &amp; Assumptions'!$V$35*Q3886-'Model Inputs &amp; Assumptions'!$V$35^2/2))</f>
        <v>0</v>
      </c>
      <c r="E3886" s="45" t="n">
        <f aca="false">ROUND(C3886*D3886,0)</f>
        <v>0</v>
      </c>
      <c r="F3886" s="47" t="n">
        <f aca="false">MIN(1,'Model Inputs &amp; Assumptions'!$W$35*EXP('Model Inputs &amp; Assumptions'!$X$35*R3886-'Model Inputs &amp; Assumptions'!$X$35^2/2))</f>
        <v>0.00515792994935669</v>
      </c>
      <c r="G3886" s="45" t="n">
        <f aca="false">ROUND(C3886*F3886,0)</f>
        <v>513</v>
      </c>
      <c r="H3886" s="48" t="n">
        <f aca="false">MAX(0,(C3886*'Model Inputs &amp; Assumptions'!$N$35+E3886*'Model Inputs &amp; Assumptions'!$O$35+G3886*'Model Inputs &amp; Assumptions'!$P$35)*EXP('Model Inputs &amp; Assumptions'!$Q$35*S3886-'Model Inputs &amp; Assumptions'!$Q$35^2/2))</f>
        <v>35.0319565161679</v>
      </c>
      <c r="I3886" s="49" t="n">
        <f aca="false">IF('Model Inputs &amp; Assumptions'!$H$35="Fixed",'Model Inputs &amp; Assumptions'!$I$35*'Model Inputs &amp; Assumptions'!$K$35,IF('Model Inputs &amp; Assumptions'!$H$35="CPM",'Model Inputs &amp; Assumptions'!$I$35*'Model Inputs &amp; Assumptions'!$K$35*C3886/1000,IF('Model Inputs &amp; Assumptions'!$H$35="CPC",'Model Inputs &amp; Assumptions'!$I$35*'Model Inputs &amp; Assumptions'!$K$35*G3886,0)))</f>
        <v>8672.8</v>
      </c>
      <c r="J3886" s="50" t="n">
        <f aca="false">H3886*INDEX('Model Inputs &amp; Assumptions'!$D$40:$D$42,MATCH('Model Inputs &amp; Assumptions'!$L$35,'Model Inputs &amp; Assumptions'!$A$40:$A$42,0))*INDEX('Model Inputs &amp; Assumptions'!$H$40:$H$42,MATCH('Model Inputs &amp; Assumptions'!$L$35,'Model Inputs &amp; Assumptions'!$A$40:$A$42,0))</f>
        <v>297771.630387427</v>
      </c>
      <c r="K3886" s="49" t="n">
        <f aca="false">H3886*INDEX('Model Inputs &amp; Assumptions'!$G$40:$G$42,MATCH('Model Inputs &amp; Assumptions'!$L$35,'Model Inputs &amp; Assumptions'!$A$40:$A$42,0))*INDEX('Model Inputs &amp; Assumptions'!$H$40:$H$42,MATCH('Model Inputs &amp; Assumptions'!$L$35,'Model Inputs &amp; Assumptions'!$A$40:$A$42,0))</f>
        <v>6699.86168371712</v>
      </c>
      <c r="L3886" s="51" t="n">
        <f aca="false">IFERROR(K3886/I3886,0)</f>
        <v>0.772514261105654</v>
      </c>
      <c r="M3886" s="49" t="n">
        <f aca="false">IFERROR(I3886/H3886,0)</f>
        <v>247.568245182005</v>
      </c>
      <c r="N3886" s="52" t="str">
        <f aca="false">'Model Inputs &amp; Assumptions'!$L$35</f>
        <v>PRD-EUAI</v>
      </c>
      <c r="P3886" s="53" t="n">
        <v>0.789178</v>
      </c>
      <c r="Q3886" s="53" t="n">
        <v>1.265476</v>
      </c>
      <c r="R3886" s="53" t="n">
        <v>-1.207861</v>
      </c>
      <c r="S3886" s="53" t="n">
        <v>0.034788</v>
      </c>
    </row>
    <row r="3887" customFormat="false" ht="15" hidden="false" customHeight="false" outlineLevel="0" collapsed="false">
      <c r="A3887" s="43" t="n">
        <v>384</v>
      </c>
      <c r="B3887" s="44" t="str">
        <f aca="false">'Model Inputs &amp; Assumptions'!$B$35</f>
        <v>justETF — Sponsored Listing</v>
      </c>
      <c r="C3887" s="45" t="n">
        <f aca="false">ROUND(MAX(0,'Model Inputs &amp; Assumptions'!$S$35*EXP('Model Inputs &amp; Assumptions'!$T$35*P3887-'Model Inputs &amp; Assumptions'!$T$35^2/2)),0)</f>
        <v>110895</v>
      </c>
      <c r="D3887" s="46" t="n">
        <f aca="false">MIN(1,'Model Inputs &amp; Assumptions'!$U$35*EXP('Model Inputs &amp; Assumptions'!$V$35*Q3887-'Model Inputs &amp; Assumptions'!$V$35^2/2))</f>
        <v>0</v>
      </c>
      <c r="E3887" s="45" t="n">
        <f aca="false">ROUND(C3887*D3887,0)</f>
        <v>0</v>
      </c>
      <c r="F3887" s="47" t="n">
        <f aca="false">MIN(1,'Model Inputs &amp; Assumptions'!$W$35*EXP('Model Inputs &amp; Assumptions'!$X$35*R3887-'Model Inputs &amp; Assumptions'!$X$35^2/2))</f>
        <v>0.00480549534402884</v>
      </c>
      <c r="G3887" s="45" t="n">
        <f aca="false">ROUND(C3887*F3887,0)</f>
        <v>533</v>
      </c>
      <c r="H3887" s="48" t="n">
        <f aca="false">MAX(0,(C3887*'Model Inputs &amp; Assumptions'!$N$35+E3887*'Model Inputs &amp; Assumptions'!$O$35+G3887*'Model Inputs &amp; Assumptions'!$P$35)*EXP('Model Inputs &amp; Assumptions'!$Q$35*S3887-'Model Inputs &amp; Assumptions'!$Q$35^2/2))</f>
        <v>56.1619256198833</v>
      </c>
      <c r="I3887" s="49" t="n">
        <f aca="false">IF('Model Inputs &amp; Assumptions'!$H$35="Fixed",'Model Inputs &amp; Assumptions'!$I$35*'Model Inputs &amp; Assumptions'!$K$35,IF('Model Inputs &amp; Assumptions'!$H$35="CPM",'Model Inputs &amp; Assumptions'!$I$35*'Model Inputs &amp; Assumptions'!$K$35*C3887/1000,IF('Model Inputs &amp; Assumptions'!$H$35="CPC",'Model Inputs &amp; Assumptions'!$I$35*'Model Inputs &amp; Assumptions'!$K$35*G3887,0)))</f>
        <v>8672.8</v>
      </c>
      <c r="J3887" s="50" t="n">
        <f aca="false">H3887*INDEX('Model Inputs &amp; Assumptions'!$D$40:$D$42,MATCH('Model Inputs &amp; Assumptions'!$L$35,'Model Inputs &amp; Assumptions'!$A$40:$A$42,0))*INDEX('Model Inputs &amp; Assumptions'!$H$40:$H$42,MATCH('Model Inputs &amp; Assumptions'!$L$35,'Model Inputs &amp; Assumptions'!$A$40:$A$42,0))</f>
        <v>477376.367769008</v>
      </c>
      <c r="K3887" s="49" t="n">
        <f aca="false">H3887*INDEX('Model Inputs &amp; Assumptions'!$G$40:$G$42,MATCH('Model Inputs &amp; Assumptions'!$L$35,'Model Inputs &amp; Assumptions'!$A$40:$A$42,0))*INDEX('Model Inputs &amp; Assumptions'!$H$40:$H$42,MATCH('Model Inputs &amp; Assumptions'!$L$35,'Model Inputs &amp; Assumptions'!$A$40:$A$42,0))</f>
        <v>10740.9682748027</v>
      </c>
      <c r="L3887" s="51" t="n">
        <f aca="false">IFERROR(K3887/I3887,0)</f>
        <v>1.23846604035636</v>
      </c>
      <c r="M3887" s="49" t="n">
        <f aca="false">IFERROR(I3887/H3887,0)</f>
        <v>154.424904493117</v>
      </c>
      <c r="N3887" s="52" t="str">
        <f aca="false">'Model Inputs &amp; Assumptions'!$L$35</f>
        <v>PRD-EUAI</v>
      </c>
      <c r="P3887" s="53" t="n">
        <v>1.5114</v>
      </c>
      <c r="Q3887" s="53" t="n">
        <v>1.661827</v>
      </c>
      <c r="R3887" s="53" t="n">
        <v>-1.561737</v>
      </c>
      <c r="S3887" s="53" t="n">
        <v>1.702991</v>
      </c>
    </row>
    <row r="3888" customFormat="false" ht="15" hidden="false" customHeight="false" outlineLevel="0" collapsed="false">
      <c r="A3888" s="43" t="n">
        <v>385</v>
      </c>
      <c r="B3888" s="44" t="str">
        <f aca="false">'Model Inputs &amp; Assumptions'!$B$35</f>
        <v>justETF — Sponsored Listing</v>
      </c>
      <c r="C3888" s="45" t="n">
        <f aca="false">ROUND(MAX(0,'Model Inputs &amp; Assumptions'!$S$35*EXP('Model Inputs &amp; Assumptions'!$T$35*P3888-'Model Inputs &amp; Assumptions'!$T$35^2/2)),0)</f>
        <v>94599</v>
      </c>
      <c r="D3888" s="46" t="n">
        <f aca="false">MIN(1,'Model Inputs &amp; Assumptions'!$U$35*EXP('Model Inputs &amp; Assumptions'!$V$35*Q3888-'Model Inputs &amp; Assumptions'!$V$35^2/2))</f>
        <v>0</v>
      </c>
      <c r="E3888" s="45" t="n">
        <f aca="false">ROUND(C3888*D3888,0)</f>
        <v>0</v>
      </c>
      <c r="F3888" s="47" t="n">
        <f aca="false">MIN(1,'Model Inputs &amp; Assumptions'!$W$35*EXP('Model Inputs &amp; Assumptions'!$X$35*R3888-'Model Inputs &amp; Assumptions'!$X$35^2/2))</f>
        <v>0.00900504095275298</v>
      </c>
      <c r="G3888" s="45" t="n">
        <f aca="false">ROUND(C3888*F3888,0)</f>
        <v>852</v>
      </c>
      <c r="H3888" s="48" t="n">
        <f aca="false">MAX(0,(C3888*'Model Inputs &amp; Assumptions'!$N$35+E3888*'Model Inputs &amp; Assumptions'!$O$35+G3888*'Model Inputs &amp; Assumptions'!$P$35)*EXP('Model Inputs &amp; Assumptions'!$Q$35*S3888-'Model Inputs &amp; Assumptions'!$Q$35^2/2))</f>
        <v>83.2176354489528</v>
      </c>
      <c r="I3888" s="49" t="n">
        <f aca="false">IF('Model Inputs &amp; Assumptions'!$H$35="Fixed",'Model Inputs &amp; Assumptions'!$I$35*'Model Inputs &amp; Assumptions'!$K$35,IF('Model Inputs &amp; Assumptions'!$H$35="CPM",'Model Inputs &amp; Assumptions'!$I$35*'Model Inputs &amp; Assumptions'!$K$35*C3888/1000,IF('Model Inputs &amp; Assumptions'!$H$35="CPC",'Model Inputs &amp; Assumptions'!$I$35*'Model Inputs &amp; Assumptions'!$K$35*G3888,0)))</f>
        <v>8672.8</v>
      </c>
      <c r="J3888" s="50" t="n">
        <f aca="false">H3888*INDEX('Model Inputs &amp; Assumptions'!$D$40:$D$42,MATCH('Model Inputs &amp; Assumptions'!$L$35,'Model Inputs &amp; Assumptions'!$A$40:$A$42,0))*INDEX('Model Inputs &amp; Assumptions'!$H$40:$H$42,MATCH('Model Inputs &amp; Assumptions'!$L$35,'Model Inputs &amp; Assumptions'!$A$40:$A$42,0))</f>
        <v>707349.901316098</v>
      </c>
      <c r="K3888" s="49" t="n">
        <f aca="false">H3888*INDEX('Model Inputs &amp; Assumptions'!$G$40:$G$42,MATCH('Model Inputs &amp; Assumptions'!$L$35,'Model Inputs &amp; Assumptions'!$A$40:$A$42,0))*INDEX('Model Inputs &amp; Assumptions'!$H$40:$H$42,MATCH('Model Inputs &amp; Assumptions'!$L$35,'Model Inputs &amp; Assumptions'!$A$40:$A$42,0))</f>
        <v>15915.3727796122</v>
      </c>
      <c r="L3888" s="51" t="n">
        <f aca="false">IFERROR(K3888/I3888,0)</f>
        <v>1.83509048745644</v>
      </c>
      <c r="M3888" s="49" t="n">
        <f aca="false">IFERROR(I3888/H3888,0)</f>
        <v>104.218294033601</v>
      </c>
      <c r="N3888" s="52" t="str">
        <f aca="false">'Model Inputs &amp; Assumptions'!$L$35</f>
        <v>PRD-EUAI</v>
      </c>
      <c r="P3888" s="53" t="n">
        <v>0.451852</v>
      </c>
      <c r="Q3888" s="53" t="n">
        <v>-0.611266</v>
      </c>
      <c r="R3888" s="53" t="n">
        <v>1.578385</v>
      </c>
      <c r="S3888" s="53" t="n">
        <v>1.41128</v>
      </c>
    </row>
    <row r="3889" customFormat="false" ht="15" hidden="false" customHeight="false" outlineLevel="0" collapsed="false">
      <c r="A3889" s="43" t="n">
        <v>386</v>
      </c>
      <c r="B3889" s="44" t="str">
        <f aca="false">'Model Inputs &amp; Assumptions'!$B$35</f>
        <v>justETF — Sponsored Listing</v>
      </c>
      <c r="C3889" s="45" t="n">
        <f aca="false">ROUND(MAX(0,'Model Inputs &amp; Assumptions'!$S$35*EXP('Model Inputs &amp; Assumptions'!$T$35*P3889-'Model Inputs &amp; Assumptions'!$T$35^2/2)),0)</f>
        <v>107389</v>
      </c>
      <c r="D3889" s="46" t="n">
        <f aca="false">MIN(1,'Model Inputs &amp; Assumptions'!$U$35*EXP('Model Inputs &amp; Assumptions'!$V$35*Q3889-'Model Inputs &amp; Assumptions'!$V$35^2/2))</f>
        <v>0</v>
      </c>
      <c r="E3889" s="45" t="n">
        <f aca="false">ROUND(C3889*D3889,0)</f>
        <v>0</v>
      </c>
      <c r="F3889" s="47" t="n">
        <f aca="false">MIN(1,'Model Inputs &amp; Assumptions'!$W$35*EXP('Model Inputs &amp; Assumptions'!$X$35*R3889-'Model Inputs &amp; Assumptions'!$X$35^2/2))</f>
        <v>0.00910026311095809</v>
      </c>
      <c r="G3889" s="45" t="n">
        <f aca="false">ROUND(C3889*F3889,0)</f>
        <v>977</v>
      </c>
      <c r="H3889" s="48" t="n">
        <f aca="false">MAX(0,(C3889*'Model Inputs &amp; Assumptions'!$N$35+E3889*'Model Inputs &amp; Assumptions'!$O$35+G3889*'Model Inputs &amp; Assumptions'!$P$35)*EXP('Model Inputs &amp; Assumptions'!$Q$35*S3889-'Model Inputs &amp; Assumptions'!$Q$35^2/2))</f>
        <v>104.558781443325</v>
      </c>
      <c r="I3889" s="49" t="n">
        <f aca="false">IF('Model Inputs &amp; Assumptions'!$H$35="Fixed",'Model Inputs &amp; Assumptions'!$I$35*'Model Inputs &amp; Assumptions'!$K$35,IF('Model Inputs &amp; Assumptions'!$H$35="CPM",'Model Inputs &amp; Assumptions'!$I$35*'Model Inputs &amp; Assumptions'!$K$35*C3889/1000,IF('Model Inputs &amp; Assumptions'!$H$35="CPC",'Model Inputs &amp; Assumptions'!$I$35*'Model Inputs &amp; Assumptions'!$K$35*G3889,0)))</f>
        <v>8672.8</v>
      </c>
      <c r="J3889" s="50" t="n">
        <f aca="false">H3889*INDEX('Model Inputs &amp; Assumptions'!$D$40:$D$42,MATCH('Model Inputs &amp; Assumptions'!$L$35,'Model Inputs &amp; Assumptions'!$A$40:$A$42,0))*INDEX('Model Inputs &amp; Assumptions'!$H$40:$H$42,MATCH('Model Inputs &amp; Assumptions'!$L$35,'Model Inputs &amp; Assumptions'!$A$40:$A$42,0))</f>
        <v>888749.642268265</v>
      </c>
      <c r="K3889" s="49" t="n">
        <f aca="false">H3889*INDEX('Model Inputs &amp; Assumptions'!$G$40:$G$42,MATCH('Model Inputs &amp; Assumptions'!$L$35,'Model Inputs &amp; Assumptions'!$A$40:$A$42,0))*INDEX('Model Inputs &amp; Assumptions'!$H$40:$H$42,MATCH('Model Inputs &amp; Assumptions'!$L$35,'Model Inputs &amp; Assumptions'!$A$40:$A$42,0))</f>
        <v>19996.866951036</v>
      </c>
      <c r="L3889" s="51" t="n">
        <f aca="false">IFERROR(K3889/I3889,0)</f>
        <v>2.30569907654229</v>
      </c>
      <c r="M3889" s="49" t="n">
        <f aca="false">IFERROR(I3889/H3889,0)</f>
        <v>82.9466437948206</v>
      </c>
      <c r="N3889" s="52" t="str">
        <f aca="false">'Model Inputs &amp; Assumptions'!$L$35</f>
        <v>PRD-EUAI</v>
      </c>
      <c r="P3889" s="53" t="n">
        <v>1.297245</v>
      </c>
      <c r="Q3889" s="53" t="n">
        <v>0.046147</v>
      </c>
      <c r="R3889" s="53" t="n">
        <v>1.630979</v>
      </c>
      <c r="S3889" s="53" t="n">
        <v>1.76278</v>
      </c>
    </row>
    <row r="3890" customFormat="false" ht="15" hidden="false" customHeight="false" outlineLevel="0" collapsed="false">
      <c r="A3890" s="43" t="n">
        <v>387</v>
      </c>
      <c r="B3890" s="44" t="str">
        <f aca="false">'Model Inputs &amp; Assumptions'!$B$35</f>
        <v>justETF — Sponsored Listing</v>
      </c>
      <c r="C3890" s="45" t="n">
        <f aca="false">ROUND(MAX(0,'Model Inputs &amp; Assumptions'!$S$35*EXP('Model Inputs &amp; Assumptions'!$T$35*P3890-'Model Inputs &amp; Assumptions'!$T$35^2/2)),0)</f>
        <v>91399</v>
      </c>
      <c r="D3890" s="46" t="n">
        <f aca="false">MIN(1,'Model Inputs &amp; Assumptions'!$U$35*EXP('Model Inputs &amp; Assumptions'!$V$35*Q3890-'Model Inputs &amp; Assumptions'!$V$35^2/2))</f>
        <v>0</v>
      </c>
      <c r="E3890" s="45" t="n">
        <f aca="false">ROUND(C3890*D3890,0)</f>
        <v>0</v>
      </c>
      <c r="F3890" s="47" t="n">
        <f aca="false">MIN(1,'Model Inputs &amp; Assumptions'!$W$35*EXP('Model Inputs &amp; Assumptions'!$X$35*R3890-'Model Inputs &amp; Assumptions'!$X$35^2/2))</f>
        <v>0.00586366553760757</v>
      </c>
      <c r="G3890" s="45" t="n">
        <f aca="false">ROUND(C3890*F3890,0)</f>
        <v>536</v>
      </c>
      <c r="H3890" s="48" t="n">
        <f aca="false">MAX(0,(C3890*'Model Inputs &amp; Assumptions'!$N$35+E3890*'Model Inputs &amp; Assumptions'!$O$35+G3890*'Model Inputs &amp; Assumptions'!$P$35)*EXP('Model Inputs &amp; Assumptions'!$Q$35*S3890-'Model Inputs &amp; Assumptions'!$Q$35^2/2))</f>
        <v>30.5508174837361</v>
      </c>
      <c r="I3890" s="49" t="n">
        <f aca="false">IF('Model Inputs &amp; Assumptions'!$H$35="Fixed",'Model Inputs &amp; Assumptions'!$I$35*'Model Inputs &amp; Assumptions'!$K$35,IF('Model Inputs &amp; Assumptions'!$H$35="CPM",'Model Inputs &amp; Assumptions'!$I$35*'Model Inputs &amp; Assumptions'!$K$35*C3890/1000,IF('Model Inputs &amp; Assumptions'!$H$35="CPC",'Model Inputs &amp; Assumptions'!$I$35*'Model Inputs &amp; Assumptions'!$K$35*G3890,0)))</f>
        <v>8672.8</v>
      </c>
      <c r="J3890" s="50" t="n">
        <f aca="false">H3890*INDEX('Model Inputs &amp; Assumptions'!$D$40:$D$42,MATCH('Model Inputs &amp; Assumptions'!$L$35,'Model Inputs &amp; Assumptions'!$A$40:$A$42,0))*INDEX('Model Inputs &amp; Assumptions'!$H$40:$H$42,MATCH('Model Inputs &amp; Assumptions'!$L$35,'Model Inputs &amp; Assumptions'!$A$40:$A$42,0))</f>
        <v>259681.948611757</v>
      </c>
      <c r="K3890" s="49" t="n">
        <f aca="false">H3890*INDEX('Model Inputs &amp; Assumptions'!$G$40:$G$42,MATCH('Model Inputs &amp; Assumptions'!$L$35,'Model Inputs &amp; Assumptions'!$A$40:$A$42,0))*INDEX('Model Inputs &amp; Assumptions'!$H$40:$H$42,MATCH('Model Inputs &amp; Assumptions'!$L$35,'Model Inputs &amp; Assumptions'!$A$40:$A$42,0))</f>
        <v>5842.84384376453</v>
      </c>
      <c r="L3890" s="51" t="n">
        <f aca="false">IFERROR(K3890/I3890,0)</f>
        <v>0.67369751911315</v>
      </c>
      <c r="M3890" s="49" t="n">
        <f aca="false">IFERROR(I3890/H3890,0)</f>
        <v>283.881110697513</v>
      </c>
      <c r="N3890" s="52" t="str">
        <f aca="false">'Model Inputs &amp; Assumptions'!$L$35</f>
        <v>PRD-EUAI</v>
      </c>
      <c r="P3890" s="53" t="n">
        <v>0.222441</v>
      </c>
      <c r="Q3890" s="53" t="n">
        <v>1.634527</v>
      </c>
      <c r="R3890" s="53" t="n">
        <v>-0.566663</v>
      </c>
      <c r="S3890" s="53" t="n">
        <v>-0.660318</v>
      </c>
    </row>
    <row r="3891" customFormat="false" ht="15" hidden="false" customHeight="false" outlineLevel="0" collapsed="false">
      <c r="A3891" s="43" t="n">
        <v>388</v>
      </c>
      <c r="B3891" s="44" t="str">
        <f aca="false">'Model Inputs &amp; Assumptions'!$B$35</f>
        <v>justETF — Sponsored Listing</v>
      </c>
      <c r="C3891" s="45" t="n">
        <f aca="false">ROUND(MAX(0,'Model Inputs &amp; Assumptions'!$S$35*EXP('Model Inputs &amp; Assumptions'!$T$35*P3891-'Model Inputs &amp; Assumptions'!$T$35^2/2)),0)</f>
        <v>95198</v>
      </c>
      <c r="D3891" s="46" t="n">
        <f aca="false">MIN(1,'Model Inputs &amp; Assumptions'!$U$35*EXP('Model Inputs &amp; Assumptions'!$V$35*Q3891-'Model Inputs &amp; Assumptions'!$V$35^2/2))</f>
        <v>0</v>
      </c>
      <c r="E3891" s="45" t="n">
        <f aca="false">ROUND(C3891*D3891,0)</f>
        <v>0</v>
      </c>
      <c r="F3891" s="47" t="n">
        <f aca="false">MIN(1,'Model Inputs &amp; Assumptions'!$W$35*EXP('Model Inputs &amp; Assumptions'!$X$35*R3891-'Model Inputs &amp; Assumptions'!$X$35^2/2))</f>
        <v>0.00772757210851964</v>
      </c>
      <c r="G3891" s="45" t="n">
        <f aca="false">ROUND(C3891*F3891,0)</f>
        <v>736</v>
      </c>
      <c r="H3891" s="48" t="n">
        <f aca="false">MAX(0,(C3891*'Model Inputs &amp; Assumptions'!$N$35+E3891*'Model Inputs &amp; Assumptions'!$O$35+G3891*'Model Inputs &amp; Assumptions'!$P$35)*EXP('Model Inputs &amp; Assumptions'!$Q$35*S3891-'Model Inputs &amp; Assumptions'!$Q$35^2/2))</f>
        <v>26.0293743189338</v>
      </c>
      <c r="I3891" s="49" t="n">
        <f aca="false">IF('Model Inputs &amp; Assumptions'!$H$35="Fixed",'Model Inputs &amp; Assumptions'!$I$35*'Model Inputs &amp; Assumptions'!$K$35,IF('Model Inputs &amp; Assumptions'!$H$35="CPM",'Model Inputs &amp; Assumptions'!$I$35*'Model Inputs &amp; Assumptions'!$K$35*C3891/1000,IF('Model Inputs &amp; Assumptions'!$H$35="CPC",'Model Inputs &amp; Assumptions'!$I$35*'Model Inputs &amp; Assumptions'!$K$35*G3891,0)))</f>
        <v>8672.8</v>
      </c>
      <c r="J3891" s="50" t="n">
        <f aca="false">H3891*INDEX('Model Inputs &amp; Assumptions'!$D$40:$D$42,MATCH('Model Inputs &amp; Assumptions'!$L$35,'Model Inputs &amp; Assumptions'!$A$40:$A$42,0))*INDEX('Model Inputs &amp; Assumptions'!$H$40:$H$42,MATCH('Model Inputs &amp; Assumptions'!$L$35,'Model Inputs &amp; Assumptions'!$A$40:$A$42,0))</f>
        <v>221249.681710937</v>
      </c>
      <c r="K3891" s="49" t="n">
        <f aca="false">H3891*INDEX('Model Inputs &amp; Assumptions'!$G$40:$G$42,MATCH('Model Inputs &amp; Assumptions'!$L$35,'Model Inputs &amp; Assumptions'!$A$40:$A$42,0))*INDEX('Model Inputs &amp; Assumptions'!$H$40:$H$42,MATCH('Model Inputs &amp; Assumptions'!$L$35,'Model Inputs &amp; Assumptions'!$A$40:$A$42,0))</f>
        <v>4978.11783849608</v>
      </c>
      <c r="L3891" s="51" t="n">
        <f aca="false">IFERROR(K3891/I3891,0)</f>
        <v>0.573992002409381</v>
      </c>
      <c r="M3891" s="49" t="n">
        <f aca="false">IFERROR(I3891/H3891,0)</f>
        <v>333.192795713549</v>
      </c>
      <c r="N3891" s="52" t="str">
        <f aca="false">'Model Inputs &amp; Assumptions'!$L$35</f>
        <v>PRD-EUAI</v>
      </c>
      <c r="P3891" s="53" t="n">
        <v>0.493896</v>
      </c>
      <c r="Q3891" s="53" t="n">
        <v>-1.925881</v>
      </c>
      <c r="R3891" s="53" t="n">
        <v>0.813436</v>
      </c>
      <c r="S3891" s="53" t="n">
        <v>-2.49594</v>
      </c>
    </row>
    <row r="3892" customFormat="false" ht="15" hidden="false" customHeight="false" outlineLevel="0" collapsed="false">
      <c r="A3892" s="43" t="n">
        <v>389</v>
      </c>
      <c r="B3892" s="44" t="str">
        <f aca="false">'Model Inputs &amp; Assumptions'!$B$35</f>
        <v>justETF — Sponsored Listing</v>
      </c>
      <c r="C3892" s="45" t="n">
        <f aca="false">ROUND(MAX(0,'Model Inputs &amp; Assumptions'!$S$35*EXP('Model Inputs &amp; Assumptions'!$T$35*P3892-'Model Inputs &amp; Assumptions'!$T$35^2/2)),0)</f>
        <v>77585</v>
      </c>
      <c r="D3892" s="46" t="n">
        <f aca="false">MIN(1,'Model Inputs &amp; Assumptions'!$U$35*EXP('Model Inputs &amp; Assumptions'!$V$35*Q3892-'Model Inputs &amp; Assumptions'!$V$35^2/2))</f>
        <v>0</v>
      </c>
      <c r="E3892" s="45" t="n">
        <f aca="false">ROUND(C3892*D3892,0)</f>
        <v>0</v>
      </c>
      <c r="F3892" s="47" t="n">
        <f aca="false">MIN(1,'Model Inputs &amp; Assumptions'!$W$35*EXP('Model Inputs &amp; Assumptions'!$X$35*R3892-'Model Inputs &amp; Assumptions'!$X$35^2/2))</f>
        <v>0.00602564137743247</v>
      </c>
      <c r="G3892" s="45" t="n">
        <f aca="false">ROUND(C3892*F3892,0)</f>
        <v>467</v>
      </c>
      <c r="H3892" s="48" t="n">
        <f aca="false">MAX(0,(C3892*'Model Inputs &amp; Assumptions'!$N$35+E3892*'Model Inputs &amp; Assumptions'!$O$35+G3892*'Model Inputs &amp; Assumptions'!$P$35)*EXP('Model Inputs &amp; Assumptions'!$Q$35*S3892-'Model Inputs &amp; Assumptions'!$Q$35^2/2))</f>
        <v>33.5542523064906</v>
      </c>
      <c r="I3892" s="49" t="n">
        <f aca="false">IF('Model Inputs &amp; Assumptions'!$H$35="Fixed",'Model Inputs &amp; Assumptions'!$I$35*'Model Inputs &amp; Assumptions'!$K$35,IF('Model Inputs &amp; Assumptions'!$H$35="CPM",'Model Inputs &amp; Assumptions'!$I$35*'Model Inputs &amp; Assumptions'!$K$35*C3892/1000,IF('Model Inputs &amp; Assumptions'!$H$35="CPC",'Model Inputs &amp; Assumptions'!$I$35*'Model Inputs &amp; Assumptions'!$K$35*G3892,0)))</f>
        <v>8672.8</v>
      </c>
      <c r="J3892" s="50" t="n">
        <f aca="false">H3892*INDEX('Model Inputs &amp; Assumptions'!$D$40:$D$42,MATCH('Model Inputs &amp; Assumptions'!$L$35,'Model Inputs &amp; Assumptions'!$A$40:$A$42,0))*INDEX('Model Inputs &amp; Assumptions'!$H$40:$H$42,MATCH('Model Inputs &amp; Assumptions'!$L$35,'Model Inputs &amp; Assumptions'!$A$40:$A$42,0))</f>
        <v>285211.14460517</v>
      </c>
      <c r="K3892" s="49" t="n">
        <f aca="false">H3892*INDEX('Model Inputs &amp; Assumptions'!$G$40:$G$42,MATCH('Model Inputs &amp; Assumptions'!$L$35,'Model Inputs &amp; Assumptions'!$A$40:$A$42,0))*INDEX('Model Inputs &amp; Assumptions'!$H$40:$H$42,MATCH('Model Inputs &amp; Assumptions'!$L$35,'Model Inputs &amp; Assumptions'!$A$40:$A$42,0))</f>
        <v>6417.25075361632</v>
      </c>
      <c r="L3892" s="51" t="n">
        <f aca="false">IFERROR(K3892/I3892,0)</f>
        <v>0.739928368418079</v>
      </c>
      <c r="M3892" s="49" t="n">
        <f aca="false">IFERROR(I3892/H3892,0)</f>
        <v>258.470965789405</v>
      </c>
      <c r="N3892" s="52" t="str">
        <f aca="false">'Model Inputs &amp; Assumptions'!$L$35</f>
        <v>PRD-EUAI</v>
      </c>
      <c r="P3892" s="53" t="n">
        <v>-0.869936</v>
      </c>
      <c r="Q3892" s="53" t="n">
        <v>1.015745</v>
      </c>
      <c r="R3892" s="53" t="n">
        <v>-0.430418</v>
      </c>
      <c r="S3892" s="53" t="n">
        <v>0.230363</v>
      </c>
    </row>
    <row r="3893" customFormat="false" ht="15" hidden="false" customHeight="false" outlineLevel="0" collapsed="false">
      <c r="A3893" s="43" t="n">
        <v>390</v>
      </c>
      <c r="B3893" s="44" t="str">
        <f aca="false">'Model Inputs &amp; Assumptions'!$B$35</f>
        <v>justETF — Sponsored Listing</v>
      </c>
      <c r="C3893" s="45" t="n">
        <f aca="false">ROUND(MAX(0,'Model Inputs &amp; Assumptions'!$S$35*EXP('Model Inputs &amp; Assumptions'!$T$35*P3893-'Model Inputs &amp; Assumptions'!$T$35^2/2)),0)</f>
        <v>117205</v>
      </c>
      <c r="D3893" s="46" t="n">
        <f aca="false">MIN(1,'Model Inputs &amp; Assumptions'!$U$35*EXP('Model Inputs &amp; Assumptions'!$V$35*Q3893-'Model Inputs &amp; Assumptions'!$V$35^2/2))</f>
        <v>0</v>
      </c>
      <c r="E3893" s="45" t="n">
        <f aca="false">ROUND(C3893*D3893,0)</f>
        <v>0</v>
      </c>
      <c r="F3893" s="47" t="n">
        <f aca="false">MIN(1,'Model Inputs &amp; Assumptions'!$W$35*EXP('Model Inputs &amp; Assumptions'!$X$35*R3893-'Model Inputs &amp; Assumptions'!$X$35^2/2))</f>
        <v>0.00666092874743681</v>
      </c>
      <c r="G3893" s="45" t="n">
        <f aca="false">ROUND(C3893*F3893,0)</f>
        <v>781</v>
      </c>
      <c r="H3893" s="48" t="n">
        <f aca="false">MAX(0,(C3893*'Model Inputs &amp; Assumptions'!$N$35+E3893*'Model Inputs &amp; Assumptions'!$O$35+G3893*'Model Inputs &amp; Assumptions'!$P$35)*EXP('Model Inputs &amp; Assumptions'!$Q$35*S3893-'Model Inputs &amp; Assumptions'!$Q$35^2/2))</f>
        <v>36.6793172271786</v>
      </c>
      <c r="I3893" s="49" t="n">
        <f aca="false">IF('Model Inputs &amp; Assumptions'!$H$35="Fixed",'Model Inputs &amp; Assumptions'!$I$35*'Model Inputs &amp; Assumptions'!$K$35,IF('Model Inputs &amp; Assumptions'!$H$35="CPM",'Model Inputs &amp; Assumptions'!$I$35*'Model Inputs &amp; Assumptions'!$K$35*C3893/1000,IF('Model Inputs &amp; Assumptions'!$H$35="CPC",'Model Inputs &amp; Assumptions'!$I$35*'Model Inputs &amp; Assumptions'!$K$35*G3893,0)))</f>
        <v>8672.8</v>
      </c>
      <c r="J3893" s="50" t="n">
        <f aca="false">H3893*INDEX('Model Inputs &amp; Assumptions'!$D$40:$D$42,MATCH('Model Inputs &amp; Assumptions'!$L$35,'Model Inputs &amp; Assumptions'!$A$40:$A$42,0))*INDEX('Model Inputs &amp; Assumptions'!$H$40:$H$42,MATCH('Model Inputs &amp; Assumptions'!$L$35,'Model Inputs &amp; Assumptions'!$A$40:$A$42,0))</f>
        <v>311774.196431018</v>
      </c>
      <c r="K3893" s="49" t="n">
        <f aca="false">H3893*INDEX('Model Inputs &amp; Assumptions'!$G$40:$G$42,MATCH('Model Inputs &amp; Assumptions'!$L$35,'Model Inputs &amp; Assumptions'!$A$40:$A$42,0))*INDEX('Model Inputs &amp; Assumptions'!$H$40:$H$42,MATCH('Model Inputs &amp; Assumptions'!$L$35,'Model Inputs &amp; Assumptions'!$A$40:$A$42,0))</f>
        <v>7014.91941969791</v>
      </c>
      <c r="L3893" s="51" t="n">
        <f aca="false">IFERROR(K3893/I3893,0)</f>
        <v>0.808841368381366</v>
      </c>
      <c r="M3893" s="49" t="n">
        <f aca="false">IFERROR(I3893/H3893,0)</f>
        <v>236.449330457374</v>
      </c>
      <c r="N3893" s="52" t="str">
        <f aca="false">'Model Inputs &amp; Assumptions'!$L$35</f>
        <v>PRD-EUAI</v>
      </c>
      <c r="P3893" s="53" t="n">
        <v>1.880375</v>
      </c>
      <c r="Q3893" s="53" t="n">
        <v>-1.072509</v>
      </c>
      <c r="R3893" s="53" t="n">
        <v>0.070757</v>
      </c>
      <c r="S3893" s="53" t="n">
        <v>-1.405008</v>
      </c>
    </row>
    <row r="3894" customFormat="false" ht="15" hidden="false" customHeight="false" outlineLevel="0" collapsed="false">
      <c r="A3894" s="43" t="n">
        <v>391</v>
      </c>
      <c r="B3894" s="44" t="str">
        <f aca="false">'Model Inputs &amp; Assumptions'!$B$35</f>
        <v>justETF — Sponsored Listing</v>
      </c>
      <c r="C3894" s="45" t="n">
        <f aca="false">ROUND(MAX(0,'Model Inputs &amp; Assumptions'!$S$35*EXP('Model Inputs &amp; Assumptions'!$T$35*P3894-'Model Inputs &amp; Assumptions'!$T$35^2/2)),0)</f>
        <v>95306</v>
      </c>
      <c r="D3894" s="46" t="n">
        <f aca="false">MIN(1,'Model Inputs &amp; Assumptions'!$U$35*EXP('Model Inputs &amp; Assumptions'!$V$35*Q3894-'Model Inputs &amp; Assumptions'!$V$35^2/2))</f>
        <v>0</v>
      </c>
      <c r="E3894" s="45" t="n">
        <f aca="false">ROUND(C3894*D3894,0)</f>
        <v>0</v>
      </c>
      <c r="F3894" s="47" t="n">
        <f aca="false">MIN(1,'Model Inputs &amp; Assumptions'!$W$35*EXP('Model Inputs &amp; Assumptions'!$X$35*R3894-'Model Inputs &amp; Assumptions'!$X$35^2/2))</f>
        <v>0.00804076096738623</v>
      </c>
      <c r="G3894" s="45" t="n">
        <f aca="false">ROUND(C3894*F3894,0)</f>
        <v>766</v>
      </c>
      <c r="H3894" s="48" t="n">
        <f aca="false">MAX(0,(C3894*'Model Inputs &amp; Assumptions'!$N$35+E3894*'Model Inputs &amp; Assumptions'!$O$35+G3894*'Model Inputs &amp; Assumptions'!$P$35)*EXP('Model Inputs &amp; Assumptions'!$Q$35*S3894-'Model Inputs &amp; Assumptions'!$Q$35^2/2))</f>
        <v>94.771922838904</v>
      </c>
      <c r="I3894" s="49" t="n">
        <f aca="false">IF('Model Inputs &amp; Assumptions'!$H$35="Fixed",'Model Inputs &amp; Assumptions'!$I$35*'Model Inputs &amp; Assumptions'!$K$35,IF('Model Inputs &amp; Assumptions'!$H$35="CPM",'Model Inputs &amp; Assumptions'!$I$35*'Model Inputs &amp; Assumptions'!$K$35*C3894/1000,IF('Model Inputs &amp; Assumptions'!$H$35="CPC",'Model Inputs &amp; Assumptions'!$I$35*'Model Inputs &amp; Assumptions'!$K$35*G3894,0)))</f>
        <v>8672.8</v>
      </c>
      <c r="J3894" s="50" t="n">
        <f aca="false">H3894*INDEX('Model Inputs &amp; Assumptions'!$D$40:$D$42,MATCH('Model Inputs &amp; Assumptions'!$L$35,'Model Inputs &amp; Assumptions'!$A$40:$A$42,0))*INDEX('Model Inputs &amp; Assumptions'!$H$40:$H$42,MATCH('Model Inputs &amp; Assumptions'!$L$35,'Model Inputs &amp; Assumptions'!$A$40:$A$42,0))</f>
        <v>805561.344130684</v>
      </c>
      <c r="K3894" s="49" t="n">
        <f aca="false">H3894*INDEX('Model Inputs &amp; Assumptions'!$G$40:$G$42,MATCH('Model Inputs &amp; Assumptions'!$L$35,'Model Inputs &amp; Assumptions'!$A$40:$A$42,0))*INDEX('Model Inputs &amp; Assumptions'!$H$40:$H$42,MATCH('Model Inputs &amp; Assumptions'!$L$35,'Model Inputs &amp; Assumptions'!$A$40:$A$42,0))</f>
        <v>18125.1302429404</v>
      </c>
      <c r="L3894" s="51" t="n">
        <f aca="false">IFERROR(K3894/I3894,0)</f>
        <v>2.08988218832907</v>
      </c>
      <c r="M3894" s="49" t="n">
        <f aca="false">IFERROR(I3894/H3894,0)</f>
        <v>91.5123355125154</v>
      </c>
      <c r="N3894" s="52" t="str">
        <f aca="false">'Model Inputs &amp; Assumptions'!$L$35</f>
        <v>PRD-EUAI</v>
      </c>
      <c r="P3894" s="53" t="n">
        <v>0.50151</v>
      </c>
      <c r="Q3894" s="53" t="n">
        <v>-0.271863</v>
      </c>
      <c r="R3894" s="53" t="n">
        <v>1.012081</v>
      </c>
      <c r="S3894" s="53" t="n">
        <v>2.320581</v>
      </c>
    </row>
    <row r="3895" customFormat="false" ht="15" hidden="false" customHeight="false" outlineLevel="0" collapsed="false">
      <c r="A3895" s="43" t="n">
        <v>392</v>
      </c>
      <c r="B3895" s="44" t="str">
        <f aca="false">'Model Inputs &amp; Assumptions'!$B$35</f>
        <v>justETF — Sponsored Listing</v>
      </c>
      <c r="C3895" s="45" t="n">
        <f aca="false">ROUND(MAX(0,'Model Inputs &amp; Assumptions'!$S$35*EXP('Model Inputs &amp; Assumptions'!$T$35*P3895-'Model Inputs &amp; Assumptions'!$T$35^2/2)),0)</f>
        <v>86169</v>
      </c>
      <c r="D3895" s="46" t="n">
        <f aca="false">MIN(1,'Model Inputs &amp; Assumptions'!$U$35*EXP('Model Inputs &amp; Assumptions'!$V$35*Q3895-'Model Inputs &amp; Assumptions'!$V$35^2/2))</f>
        <v>0</v>
      </c>
      <c r="E3895" s="45" t="n">
        <f aca="false">ROUND(C3895*D3895,0)</f>
        <v>0</v>
      </c>
      <c r="F3895" s="47" t="n">
        <f aca="false">MIN(1,'Model Inputs &amp; Assumptions'!$W$35*EXP('Model Inputs &amp; Assumptions'!$X$35*R3895-'Model Inputs &amp; Assumptions'!$X$35^2/2))</f>
        <v>0.00769981980314561</v>
      </c>
      <c r="G3895" s="45" t="n">
        <f aca="false">ROUND(C3895*F3895,0)</f>
        <v>663</v>
      </c>
      <c r="H3895" s="48" t="n">
        <f aca="false">MAX(0,(C3895*'Model Inputs &amp; Assumptions'!$N$35+E3895*'Model Inputs &amp; Assumptions'!$O$35+G3895*'Model Inputs &amp; Assumptions'!$P$35)*EXP('Model Inputs &amp; Assumptions'!$Q$35*S3895-'Model Inputs &amp; Assumptions'!$Q$35^2/2))</f>
        <v>35.8295543469464</v>
      </c>
      <c r="I3895" s="49" t="n">
        <f aca="false">IF('Model Inputs &amp; Assumptions'!$H$35="Fixed",'Model Inputs &amp; Assumptions'!$I$35*'Model Inputs &amp; Assumptions'!$K$35,IF('Model Inputs &amp; Assumptions'!$H$35="CPM",'Model Inputs &amp; Assumptions'!$I$35*'Model Inputs &amp; Assumptions'!$K$35*C3895/1000,IF('Model Inputs &amp; Assumptions'!$H$35="CPC",'Model Inputs &amp; Assumptions'!$I$35*'Model Inputs &amp; Assumptions'!$K$35*G3895,0)))</f>
        <v>8672.8</v>
      </c>
      <c r="J3895" s="50" t="n">
        <f aca="false">H3895*INDEX('Model Inputs &amp; Assumptions'!$D$40:$D$42,MATCH('Model Inputs &amp; Assumptions'!$L$35,'Model Inputs &amp; Assumptions'!$A$40:$A$42,0))*INDEX('Model Inputs &amp; Assumptions'!$H$40:$H$42,MATCH('Model Inputs &amp; Assumptions'!$L$35,'Model Inputs &amp; Assumptions'!$A$40:$A$42,0))</f>
        <v>304551.211949044</v>
      </c>
      <c r="K3895" s="49" t="n">
        <f aca="false">H3895*INDEX('Model Inputs &amp; Assumptions'!$G$40:$G$42,MATCH('Model Inputs &amp; Assumptions'!$L$35,'Model Inputs &amp; Assumptions'!$A$40:$A$42,0))*INDEX('Model Inputs &amp; Assumptions'!$H$40:$H$42,MATCH('Model Inputs &amp; Assumptions'!$L$35,'Model Inputs &amp; Assumptions'!$A$40:$A$42,0))</f>
        <v>6852.40226885349</v>
      </c>
      <c r="L3895" s="51" t="n">
        <f aca="false">IFERROR(K3895/I3895,0)</f>
        <v>0.79010265068415</v>
      </c>
      <c r="M3895" s="49" t="n">
        <f aca="false">IFERROR(I3895/H3895,0)</f>
        <v>242.0571552752</v>
      </c>
      <c r="N3895" s="52" t="str">
        <f aca="false">'Model Inputs &amp; Assumptions'!$L$35</f>
        <v>PRD-EUAI</v>
      </c>
      <c r="P3895" s="53" t="n">
        <v>-0.1704</v>
      </c>
      <c r="Q3895" s="53" t="n">
        <v>-0.049823</v>
      </c>
      <c r="R3895" s="53" t="n">
        <v>0.795447</v>
      </c>
      <c r="S3895" s="53" t="n">
        <v>-0.865161</v>
      </c>
    </row>
    <row r="3896" customFormat="false" ht="15" hidden="false" customHeight="false" outlineLevel="0" collapsed="false">
      <c r="A3896" s="43" t="n">
        <v>393</v>
      </c>
      <c r="B3896" s="44" t="str">
        <f aca="false">'Model Inputs &amp; Assumptions'!$B$35</f>
        <v>justETF — Sponsored Listing</v>
      </c>
      <c r="C3896" s="45" t="n">
        <f aca="false">ROUND(MAX(0,'Model Inputs &amp; Assumptions'!$S$35*EXP('Model Inputs &amp; Assumptions'!$T$35*P3896-'Model Inputs &amp; Assumptions'!$T$35^2/2)),0)</f>
        <v>93317</v>
      </c>
      <c r="D3896" s="46" t="n">
        <f aca="false">MIN(1,'Model Inputs &amp; Assumptions'!$U$35*EXP('Model Inputs &amp; Assumptions'!$V$35*Q3896-'Model Inputs &amp; Assumptions'!$V$35^2/2))</f>
        <v>0</v>
      </c>
      <c r="E3896" s="45" t="n">
        <f aca="false">ROUND(C3896*D3896,0)</f>
        <v>0</v>
      </c>
      <c r="F3896" s="47" t="n">
        <f aca="false">MIN(1,'Model Inputs &amp; Assumptions'!$W$35*EXP('Model Inputs &amp; Assumptions'!$X$35*R3896-'Model Inputs &amp; Assumptions'!$X$35^2/2))</f>
        <v>0.0055486004589346</v>
      </c>
      <c r="G3896" s="45" t="n">
        <f aca="false">ROUND(C3896*F3896,0)</f>
        <v>518</v>
      </c>
      <c r="H3896" s="48" t="n">
        <f aca="false">MAX(0,(C3896*'Model Inputs &amp; Assumptions'!$N$35+E3896*'Model Inputs &amp; Assumptions'!$O$35+G3896*'Model Inputs &amp; Assumptions'!$P$35)*EXP('Model Inputs &amp; Assumptions'!$Q$35*S3896-'Model Inputs &amp; Assumptions'!$Q$35^2/2))</f>
        <v>33.7093526420975</v>
      </c>
      <c r="I3896" s="49" t="n">
        <f aca="false">IF('Model Inputs &amp; Assumptions'!$H$35="Fixed",'Model Inputs &amp; Assumptions'!$I$35*'Model Inputs &amp; Assumptions'!$K$35,IF('Model Inputs &amp; Assumptions'!$H$35="CPM",'Model Inputs &amp; Assumptions'!$I$35*'Model Inputs &amp; Assumptions'!$K$35*C3896/1000,IF('Model Inputs &amp; Assumptions'!$H$35="CPC",'Model Inputs &amp; Assumptions'!$I$35*'Model Inputs &amp; Assumptions'!$K$35*G3896,0)))</f>
        <v>8672.8</v>
      </c>
      <c r="J3896" s="50" t="n">
        <f aca="false">H3896*INDEX('Model Inputs &amp; Assumptions'!$D$40:$D$42,MATCH('Model Inputs &amp; Assumptions'!$L$35,'Model Inputs &amp; Assumptions'!$A$40:$A$42,0))*INDEX('Model Inputs &amp; Assumptions'!$H$40:$H$42,MATCH('Model Inputs &amp; Assumptions'!$L$35,'Model Inputs &amp; Assumptions'!$A$40:$A$42,0))</f>
        <v>286529.497457829</v>
      </c>
      <c r="K3896" s="49" t="n">
        <f aca="false">H3896*INDEX('Model Inputs &amp; Assumptions'!$G$40:$G$42,MATCH('Model Inputs &amp; Assumptions'!$L$35,'Model Inputs &amp; Assumptions'!$A$40:$A$42,0))*INDEX('Model Inputs &amp; Assumptions'!$H$40:$H$42,MATCH('Model Inputs &amp; Assumptions'!$L$35,'Model Inputs &amp; Assumptions'!$A$40:$A$42,0))</f>
        <v>6446.91369280115</v>
      </c>
      <c r="L3896" s="51" t="n">
        <f aca="false">IFERROR(K3896/I3896,0)</f>
        <v>0.743348594779212</v>
      </c>
      <c r="M3896" s="49" t="n">
        <f aca="false">IFERROR(I3896/H3896,0)</f>
        <v>257.281713240885</v>
      </c>
      <c r="N3896" s="52" t="str">
        <f aca="false">'Model Inputs &amp; Assumptions'!$L$35</f>
        <v>PRD-EUAI</v>
      </c>
      <c r="P3896" s="53" t="n">
        <v>0.360863</v>
      </c>
      <c r="Q3896" s="53" t="n">
        <v>1.022654</v>
      </c>
      <c r="R3896" s="53" t="n">
        <v>-0.842809</v>
      </c>
      <c r="S3896" s="53" t="n">
        <v>-0.150538</v>
      </c>
    </row>
    <row r="3897" customFormat="false" ht="15" hidden="false" customHeight="false" outlineLevel="0" collapsed="false">
      <c r="A3897" s="43" t="n">
        <v>394</v>
      </c>
      <c r="B3897" s="44" t="str">
        <f aca="false">'Model Inputs &amp; Assumptions'!$B$35</f>
        <v>justETF — Sponsored Listing</v>
      </c>
      <c r="C3897" s="45" t="n">
        <f aca="false">ROUND(MAX(0,'Model Inputs &amp; Assumptions'!$S$35*EXP('Model Inputs &amp; Assumptions'!$T$35*P3897-'Model Inputs &amp; Assumptions'!$T$35^2/2)),0)</f>
        <v>89124</v>
      </c>
      <c r="D3897" s="46" t="n">
        <f aca="false">MIN(1,'Model Inputs &amp; Assumptions'!$U$35*EXP('Model Inputs &amp; Assumptions'!$V$35*Q3897-'Model Inputs &amp; Assumptions'!$V$35^2/2))</f>
        <v>0</v>
      </c>
      <c r="E3897" s="45" t="n">
        <f aca="false">ROUND(C3897*D3897,0)</f>
        <v>0</v>
      </c>
      <c r="F3897" s="47" t="n">
        <f aca="false">MIN(1,'Model Inputs &amp; Assumptions'!$W$35*EXP('Model Inputs &amp; Assumptions'!$X$35*R3897-'Model Inputs &amp; Assumptions'!$X$35^2/2))</f>
        <v>0.00769152694631948</v>
      </c>
      <c r="G3897" s="45" t="n">
        <f aca="false">ROUND(C3897*F3897,0)</f>
        <v>685</v>
      </c>
      <c r="H3897" s="48" t="n">
        <f aca="false">MAX(0,(C3897*'Model Inputs &amp; Assumptions'!$N$35+E3897*'Model Inputs &amp; Assumptions'!$O$35+G3897*'Model Inputs &amp; Assumptions'!$P$35)*EXP('Model Inputs &amp; Assumptions'!$Q$35*S3897-'Model Inputs &amp; Assumptions'!$Q$35^2/2))</f>
        <v>63.5008429954514</v>
      </c>
      <c r="I3897" s="49" t="n">
        <f aca="false">IF('Model Inputs &amp; Assumptions'!$H$35="Fixed",'Model Inputs &amp; Assumptions'!$I$35*'Model Inputs &amp; Assumptions'!$K$35,IF('Model Inputs &amp; Assumptions'!$H$35="CPM",'Model Inputs &amp; Assumptions'!$I$35*'Model Inputs &amp; Assumptions'!$K$35*C3897/1000,IF('Model Inputs &amp; Assumptions'!$H$35="CPC",'Model Inputs &amp; Assumptions'!$I$35*'Model Inputs &amp; Assumptions'!$K$35*G3897,0)))</f>
        <v>8672.8</v>
      </c>
      <c r="J3897" s="50" t="n">
        <f aca="false">H3897*INDEX('Model Inputs &amp; Assumptions'!$D$40:$D$42,MATCH('Model Inputs &amp; Assumptions'!$L$35,'Model Inputs &amp; Assumptions'!$A$40:$A$42,0))*INDEX('Model Inputs &amp; Assumptions'!$H$40:$H$42,MATCH('Model Inputs &amp; Assumptions'!$L$35,'Model Inputs &amp; Assumptions'!$A$40:$A$42,0))</f>
        <v>539757.165461337</v>
      </c>
      <c r="K3897" s="49" t="n">
        <f aca="false">H3897*INDEX('Model Inputs &amp; Assumptions'!$G$40:$G$42,MATCH('Model Inputs &amp; Assumptions'!$L$35,'Model Inputs &amp; Assumptions'!$A$40:$A$42,0))*INDEX('Model Inputs &amp; Assumptions'!$H$40:$H$42,MATCH('Model Inputs &amp; Assumptions'!$L$35,'Model Inputs &amp; Assumptions'!$A$40:$A$42,0))</f>
        <v>12144.5362228801</v>
      </c>
      <c r="L3897" s="51" t="n">
        <f aca="false">IFERROR(K3897/I3897,0)</f>
        <v>1.40030165838946</v>
      </c>
      <c r="M3897" s="49" t="n">
        <f aca="false">IFERROR(I3897/H3897,0)</f>
        <v>136.577714419023</v>
      </c>
      <c r="N3897" s="52" t="str">
        <f aca="false">'Model Inputs &amp; Assumptions'!$L$35</f>
        <v>PRD-EUAI</v>
      </c>
      <c r="P3897" s="53" t="n">
        <v>0.05437</v>
      </c>
      <c r="Q3897" s="53" t="n">
        <v>0.738121</v>
      </c>
      <c r="R3897" s="53" t="n">
        <v>0.790059</v>
      </c>
      <c r="S3897" s="53" t="n">
        <v>1.210363</v>
      </c>
    </row>
    <row r="3898" customFormat="false" ht="15" hidden="false" customHeight="false" outlineLevel="0" collapsed="false">
      <c r="A3898" s="43" t="n">
        <v>395</v>
      </c>
      <c r="B3898" s="44" t="str">
        <f aca="false">'Model Inputs &amp; Assumptions'!$B$35</f>
        <v>justETF — Sponsored Listing</v>
      </c>
      <c r="C3898" s="45" t="n">
        <f aca="false">ROUND(MAX(0,'Model Inputs &amp; Assumptions'!$S$35*EXP('Model Inputs &amp; Assumptions'!$T$35*P3898-'Model Inputs &amp; Assumptions'!$T$35^2/2)),0)</f>
        <v>80878</v>
      </c>
      <c r="D3898" s="46" t="n">
        <f aca="false">MIN(1,'Model Inputs &amp; Assumptions'!$U$35*EXP('Model Inputs &amp; Assumptions'!$V$35*Q3898-'Model Inputs &amp; Assumptions'!$V$35^2/2))</f>
        <v>0</v>
      </c>
      <c r="E3898" s="45" t="n">
        <f aca="false">ROUND(C3898*D3898,0)</f>
        <v>0</v>
      </c>
      <c r="F3898" s="47" t="n">
        <f aca="false">MIN(1,'Model Inputs &amp; Assumptions'!$W$35*EXP('Model Inputs &amp; Assumptions'!$X$35*R3898-'Model Inputs &amp; Assumptions'!$X$35^2/2))</f>
        <v>0.00849510509461442</v>
      </c>
      <c r="G3898" s="45" t="n">
        <f aca="false">ROUND(C3898*F3898,0)</f>
        <v>687</v>
      </c>
      <c r="H3898" s="48" t="n">
        <f aca="false">MAX(0,(C3898*'Model Inputs &amp; Assumptions'!$N$35+E3898*'Model Inputs &amp; Assumptions'!$O$35+G3898*'Model Inputs &amp; Assumptions'!$P$35)*EXP('Model Inputs &amp; Assumptions'!$Q$35*S3898-'Model Inputs &amp; Assumptions'!$Q$35^2/2))</f>
        <v>74.3784519297473</v>
      </c>
      <c r="I3898" s="49" t="n">
        <f aca="false">IF('Model Inputs &amp; Assumptions'!$H$35="Fixed",'Model Inputs &amp; Assumptions'!$I$35*'Model Inputs &amp; Assumptions'!$K$35,IF('Model Inputs &amp; Assumptions'!$H$35="CPM",'Model Inputs &amp; Assumptions'!$I$35*'Model Inputs &amp; Assumptions'!$K$35*C3898/1000,IF('Model Inputs &amp; Assumptions'!$H$35="CPC",'Model Inputs &amp; Assumptions'!$I$35*'Model Inputs &amp; Assumptions'!$K$35*G3898,0)))</f>
        <v>8672.8</v>
      </c>
      <c r="J3898" s="50" t="n">
        <f aca="false">H3898*INDEX('Model Inputs &amp; Assumptions'!$D$40:$D$42,MATCH('Model Inputs &amp; Assumptions'!$L$35,'Model Inputs &amp; Assumptions'!$A$40:$A$42,0))*INDEX('Model Inputs &amp; Assumptions'!$H$40:$H$42,MATCH('Model Inputs &amp; Assumptions'!$L$35,'Model Inputs &amp; Assumptions'!$A$40:$A$42,0))</f>
        <v>632216.841402852</v>
      </c>
      <c r="K3898" s="49" t="n">
        <f aca="false">H3898*INDEX('Model Inputs &amp; Assumptions'!$G$40:$G$42,MATCH('Model Inputs &amp; Assumptions'!$L$35,'Model Inputs &amp; Assumptions'!$A$40:$A$42,0))*INDEX('Model Inputs &amp; Assumptions'!$H$40:$H$42,MATCH('Model Inputs &amp; Assumptions'!$L$35,'Model Inputs &amp; Assumptions'!$A$40:$A$42,0))</f>
        <v>14224.8789315642</v>
      </c>
      <c r="L3898" s="51" t="n">
        <f aca="false">IFERROR(K3898/I3898,0)</f>
        <v>1.64017144769442</v>
      </c>
      <c r="M3898" s="49" t="n">
        <f aca="false">IFERROR(I3898/H3898,0)</f>
        <v>116.603663762614</v>
      </c>
      <c r="N3898" s="52" t="str">
        <f aca="false">'Model Inputs &amp; Assumptions'!$L$35</f>
        <v>PRD-EUAI</v>
      </c>
      <c r="P3898" s="53" t="n">
        <v>-0.592866</v>
      </c>
      <c r="Q3898" s="53" t="n">
        <v>-0.33334</v>
      </c>
      <c r="R3898" s="53" t="n">
        <v>1.286913</v>
      </c>
      <c r="S3898" s="53" t="n">
        <v>1.807277</v>
      </c>
    </row>
    <row r="3899" customFormat="false" ht="15" hidden="false" customHeight="false" outlineLevel="0" collapsed="false">
      <c r="A3899" s="43" t="n">
        <v>396</v>
      </c>
      <c r="B3899" s="44" t="str">
        <f aca="false">'Model Inputs &amp; Assumptions'!$B$35</f>
        <v>justETF — Sponsored Listing</v>
      </c>
      <c r="C3899" s="45" t="n">
        <f aca="false">ROUND(MAX(0,'Model Inputs &amp; Assumptions'!$S$35*EXP('Model Inputs &amp; Assumptions'!$T$35*P3899-'Model Inputs &amp; Assumptions'!$T$35^2/2)),0)</f>
        <v>92867</v>
      </c>
      <c r="D3899" s="46" t="n">
        <f aca="false">MIN(1,'Model Inputs &amp; Assumptions'!$U$35*EXP('Model Inputs &amp; Assumptions'!$V$35*Q3899-'Model Inputs &amp; Assumptions'!$V$35^2/2))</f>
        <v>0</v>
      </c>
      <c r="E3899" s="45" t="n">
        <f aca="false">ROUND(C3899*D3899,0)</f>
        <v>0</v>
      </c>
      <c r="F3899" s="47" t="n">
        <f aca="false">MIN(1,'Model Inputs &amp; Assumptions'!$W$35*EXP('Model Inputs &amp; Assumptions'!$X$35*R3899-'Model Inputs &amp; Assumptions'!$X$35^2/2))</f>
        <v>0.00575953721232169</v>
      </c>
      <c r="G3899" s="45" t="n">
        <f aca="false">ROUND(C3899*F3899,0)</f>
        <v>535</v>
      </c>
      <c r="H3899" s="48" t="n">
        <f aca="false">MAX(0,(C3899*'Model Inputs &amp; Assumptions'!$N$35+E3899*'Model Inputs &amp; Assumptions'!$O$35+G3899*'Model Inputs &amp; Assumptions'!$P$35)*EXP('Model Inputs &amp; Assumptions'!$Q$35*S3899-'Model Inputs &amp; Assumptions'!$Q$35^2/2))</f>
        <v>38.8990095928887</v>
      </c>
      <c r="I3899" s="49" t="n">
        <f aca="false">IF('Model Inputs &amp; Assumptions'!$H$35="Fixed",'Model Inputs &amp; Assumptions'!$I$35*'Model Inputs &amp; Assumptions'!$K$35,IF('Model Inputs &amp; Assumptions'!$H$35="CPM",'Model Inputs &amp; Assumptions'!$I$35*'Model Inputs &amp; Assumptions'!$K$35*C3899/1000,IF('Model Inputs &amp; Assumptions'!$H$35="CPC",'Model Inputs &amp; Assumptions'!$I$35*'Model Inputs &amp; Assumptions'!$K$35*G3899,0)))</f>
        <v>8672.8</v>
      </c>
      <c r="J3899" s="50" t="n">
        <f aca="false">H3899*INDEX('Model Inputs &amp; Assumptions'!$D$40:$D$42,MATCH('Model Inputs &amp; Assumptions'!$L$35,'Model Inputs &amp; Assumptions'!$A$40:$A$42,0))*INDEX('Model Inputs &amp; Assumptions'!$H$40:$H$42,MATCH('Model Inputs &amp; Assumptions'!$L$35,'Model Inputs &amp; Assumptions'!$A$40:$A$42,0))</f>
        <v>330641.581539554</v>
      </c>
      <c r="K3899" s="49" t="n">
        <f aca="false">H3899*INDEX('Model Inputs &amp; Assumptions'!$G$40:$G$42,MATCH('Model Inputs &amp; Assumptions'!$L$35,'Model Inputs &amp; Assumptions'!$A$40:$A$42,0))*INDEX('Model Inputs &amp; Assumptions'!$H$40:$H$42,MATCH('Model Inputs &amp; Assumptions'!$L$35,'Model Inputs &amp; Assumptions'!$A$40:$A$42,0))</f>
        <v>7439.43558463996</v>
      </c>
      <c r="L3899" s="51" t="n">
        <f aca="false">IFERROR(K3899/I3899,0)</f>
        <v>0.857789362678715</v>
      </c>
      <c r="M3899" s="49" t="n">
        <f aca="false">IFERROR(I3899/H3899,0)</f>
        <v>222.956833368465</v>
      </c>
      <c r="N3899" s="52" t="str">
        <f aca="false">'Model Inputs &amp; Assumptions'!$L$35</f>
        <v>PRD-EUAI</v>
      </c>
      <c r="P3899" s="53" t="n">
        <v>0.328644</v>
      </c>
      <c r="Q3899" s="53" t="n">
        <v>-0.3403</v>
      </c>
      <c r="R3899" s="53" t="n">
        <v>-0.656252</v>
      </c>
      <c r="S3899" s="53" t="n">
        <v>0.276008</v>
      </c>
    </row>
    <row r="3900" customFormat="false" ht="15" hidden="false" customHeight="false" outlineLevel="0" collapsed="false">
      <c r="A3900" s="43" t="n">
        <v>397</v>
      </c>
      <c r="B3900" s="44" t="str">
        <f aca="false">'Model Inputs &amp; Assumptions'!$B$35</f>
        <v>justETF — Sponsored Listing</v>
      </c>
      <c r="C3900" s="45" t="n">
        <f aca="false">ROUND(MAX(0,'Model Inputs &amp; Assumptions'!$S$35*EXP('Model Inputs &amp; Assumptions'!$T$35*P3900-'Model Inputs &amp; Assumptions'!$T$35^2/2)),0)</f>
        <v>97853</v>
      </c>
      <c r="D3900" s="46" t="n">
        <f aca="false">MIN(1,'Model Inputs &amp; Assumptions'!$U$35*EXP('Model Inputs &amp; Assumptions'!$V$35*Q3900-'Model Inputs &amp; Assumptions'!$V$35^2/2))</f>
        <v>0</v>
      </c>
      <c r="E3900" s="45" t="n">
        <f aca="false">ROUND(C3900*D3900,0)</f>
        <v>0</v>
      </c>
      <c r="F3900" s="47" t="n">
        <f aca="false">MIN(1,'Model Inputs &amp; Assumptions'!$W$35*EXP('Model Inputs &amp; Assumptions'!$X$35*R3900-'Model Inputs &amp; Assumptions'!$X$35^2/2))</f>
        <v>0.00560536809172316</v>
      </c>
      <c r="G3900" s="45" t="n">
        <f aca="false">ROUND(C3900*F3900,0)</f>
        <v>549</v>
      </c>
      <c r="H3900" s="48" t="n">
        <f aca="false">MAX(0,(C3900*'Model Inputs &amp; Assumptions'!$N$35+E3900*'Model Inputs &amp; Assumptions'!$O$35+G3900*'Model Inputs &amp; Assumptions'!$P$35)*EXP('Model Inputs &amp; Assumptions'!$Q$35*S3900-'Model Inputs &amp; Assumptions'!$Q$35^2/2))</f>
        <v>38.6755301650828</v>
      </c>
      <c r="I3900" s="49" t="n">
        <f aca="false">IF('Model Inputs &amp; Assumptions'!$H$35="Fixed",'Model Inputs &amp; Assumptions'!$I$35*'Model Inputs &amp; Assumptions'!$K$35,IF('Model Inputs &amp; Assumptions'!$H$35="CPM",'Model Inputs &amp; Assumptions'!$I$35*'Model Inputs &amp; Assumptions'!$K$35*C3900/1000,IF('Model Inputs &amp; Assumptions'!$H$35="CPC",'Model Inputs &amp; Assumptions'!$I$35*'Model Inputs &amp; Assumptions'!$K$35*G3900,0)))</f>
        <v>8672.8</v>
      </c>
      <c r="J3900" s="50" t="n">
        <f aca="false">H3900*INDEX('Model Inputs &amp; Assumptions'!$D$40:$D$42,MATCH('Model Inputs &amp; Assumptions'!$L$35,'Model Inputs &amp; Assumptions'!$A$40:$A$42,0))*INDEX('Model Inputs &amp; Assumptions'!$H$40:$H$42,MATCH('Model Inputs &amp; Assumptions'!$L$35,'Model Inputs &amp; Assumptions'!$A$40:$A$42,0))</f>
        <v>328742.006403204</v>
      </c>
      <c r="K3900" s="49" t="n">
        <f aca="false">H3900*INDEX('Model Inputs &amp; Assumptions'!$G$40:$G$42,MATCH('Model Inputs &amp; Assumptions'!$L$35,'Model Inputs &amp; Assumptions'!$A$40:$A$42,0))*INDEX('Model Inputs &amp; Assumptions'!$H$40:$H$42,MATCH('Model Inputs &amp; Assumptions'!$L$35,'Model Inputs &amp; Assumptions'!$A$40:$A$42,0))</f>
        <v>7396.69514407209</v>
      </c>
      <c r="L3900" s="51" t="n">
        <f aca="false">IFERROR(K3900/I3900,0)</f>
        <v>0.852861260962099</v>
      </c>
      <c r="M3900" s="49" t="n">
        <f aca="false">IFERROR(I3900/H3900,0)</f>
        <v>224.24514836593</v>
      </c>
      <c r="N3900" s="52" t="str">
        <f aca="false">'Model Inputs &amp; Assumptions'!$L$35</f>
        <v>PRD-EUAI</v>
      </c>
      <c r="P3900" s="53" t="n">
        <v>0.677277</v>
      </c>
      <c r="Q3900" s="53" t="n">
        <v>-0.007372</v>
      </c>
      <c r="R3900" s="53" t="n">
        <v>-0.791914</v>
      </c>
      <c r="S3900" s="53" t="n">
        <v>0.154495</v>
      </c>
    </row>
    <row r="3901" customFormat="false" ht="15" hidden="false" customHeight="false" outlineLevel="0" collapsed="false">
      <c r="A3901" s="43" t="n">
        <v>398</v>
      </c>
      <c r="B3901" s="44" t="str">
        <f aca="false">'Model Inputs &amp; Assumptions'!$B$35</f>
        <v>justETF — Sponsored Listing</v>
      </c>
      <c r="C3901" s="45" t="n">
        <f aca="false">ROUND(MAX(0,'Model Inputs &amp; Assumptions'!$S$35*EXP('Model Inputs &amp; Assumptions'!$T$35*P3901-'Model Inputs &amp; Assumptions'!$T$35^2/2)),0)</f>
        <v>77572</v>
      </c>
      <c r="D3901" s="46" t="n">
        <f aca="false">MIN(1,'Model Inputs &amp; Assumptions'!$U$35*EXP('Model Inputs &amp; Assumptions'!$V$35*Q3901-'Model Inputs &amp; Assumptions'!$V$35^2/2))</f>
        <v>0</v>
      </c>
      <c r="E3901" s="45" t="n">
        <f aca="false">ROUND(C3901*D3901,0)</f>
        <v>0</v>
      </c>
      <c r="F3901" s="47" t="n">
        <f aca="false">MIN(1,'Model Inputs &amp; Assumptions'!$W$35*EXP('Model Inputs &amp; Assumptions'!$X$35*R3901-'Model Inputs &amp; Assumptions'!$X$35^2/2))</f>
        <v>0.00675831045684323</v>
      </c>
      <c r="G3901" s="45" t="n">
        <f aca="false">ROUND(C3901*F3901,0)</f>
        <v>524</v>
      </c>
      <c r="H3901" s="48" t="n">
        <f aca="false">MAX(0,(C3901*'Model Inputs &amp; Assumptions'!$N$35+E3901*'Model Inputs &amp; Assumptions'!$O$35+G3901*'Model Inputs &amp; Assumptions'!$P$35)*EXP('Model Inputs &amp; Assumptions'!$Q$35*S3901-'Model Inputs &amp; Assumptions'!$Q$35^2/2))</f>
        <v>38.4325104376399</v>
      </c>
      <c r="I3901" s="49" t="n">
        <f aca="false">IF('Model Inputs &amp; Assumptions'!$H$35="Fixed",'Model Inputs &amp; Assumptions'!$I$35*'Model Inputs &amp; Assumptions'!$K$35,IF('Model Inputs &amp; Assumptions'!$H$35="CPM",'Model Inputs &amp; Assumptions'!$I$35*'Model Inputs &amp; Assumptions'!$K$35*C3901/1000,IF('Model Inputs &amp; Assumptions'!$H$35="CPC",'Model Inputs &amp; Assumptions'!$I$35*'Model Inputs &amp; Assumptions'!$K$35*G3901,0)))</f>
        <v>8672.8</v>
      </c>
      <c r="J3901" s="50" t="n">
        <f aca="false">H3901*INDEX('Model Inputs &amp; Assumptions'!$D$40:$D$42,MATCH('Model Inputs &amp; Assumptions'!$L$35,'Model Inputs &amp; Assumptions'!$A$40:$A$42,0))*INDEX('Model Inputs &amp; Assumptions'!$H$40:$H$42,MATCH('Model Inputs &amp; Assumptions'!$L$35,'Model Inputs &amp; Assumptions'!$A$40:$A$42,0))</f>
        <v>326676.338719939</v>
      </c>
      <c r="K3901" s="49" t="n">
        <f aca="false">H3901*INDEX('Model Inputs &amp; Assumptions'!$G$40:$G$42,MATCH('Model Inputs &amp; Assumptions'!$L$35,'Model Inputs &amp; Assumptions'!$A$40:$A$42,0))*INDEX('Model Inputs &amp; Assumptions'!$H$40:$H$42,MATCH('Model Inputs &amp; Assumptions'!$L$35,'Model Inputs &amp; Assumptions'!$A$40:$A$42,0))</f>
        <v>7350.21762119864</v>
      </c>
      <c r="L3901" s="51" t="n">
        <f aca="false">IFERROR(K3901/I3901,0)</f>
        <v>0.847502262383387</v>
      </c>
      <c r="M3901" s="49" t="n">
        <f aca="false">IFERROR(I3901/H3901,0)</f>
        <v>225.663114411232</v>
      </c>
      <c r="N3901" s="52" t="str">
        <f aca="false">'Model Inputs &amp; Assumptions'!$L$35</f>
        <v>PRD-EUAI</v>
      </c>
      <c r="P3901" s="53" t="n">
        <v>-0.871083</v>
      </c>
      <c r="Q3901" s="53" t="n">
        <v>0.789103</v>
      </c>
      <c r="R3901" s="53" t="n">
        <v>0.143327</v>
      </c>
      <c r="S3901" s="53" t="n">
        <v>0.309508</v>
      </c>
    </row>
    <row r="3902" customFormat="false" ht="15" hidden="false" customHeight="false" outlineLevel="0" collapsed="false">
      <c r="A3902" s="43" t="n">
        <v>399</v>
      </c>
      <c r="B3902" s="44" t="str">
        <f aca="false">'Model Inputs &amp; Assumptions'!$B$35</f>
        <v>justETF — Sponsored Listing</v>
      </c>
      <c r="C3902" s="45" t="n">
        <f aca="false">ROUND(MAX(0,'Model Inputs &amp; Assumptions'!$S$35*EXP('Model Inputs &amp; Assumptions'!$T$35*P3902-'Model Inputs &amp; Assumptions'!$T$35^2/2)),0)</f>
        <v>92730</v>
      </c>
      <c r="D3902" s="46" t="n">
        <f aca="false">MIN(1,'Model Inputs &amp; Assumptions'!$U$35*EXP('Model Inputs &amp; Assumptions'!$V$35*Q3902-'Model Inputs &amp; Assumptions'!$V$35^2/2))</f>
        <v>0</v>
      </c>
      <c r="E3902" s="45" t="n">
        <f aca="false">ROUND(C3902*D3902,0)</f>
        <v>0</v>
      </c>
      <c r="F3902" s="47" t="n">
        <f aca="false">MIN(1,'Model Inputs &amp; Assumptions'!$W$35*EXP('Model Inputs &amp; Assumptions'!$X$35*R3902-'Model Inputs &amp; Assumptions'!$X$35^2/2))</f>
        <v>0.00818543312543118</v>
      </c>
      <c r="G3902" s="45" t="n">
        <f aca="false">ROUND(C3902*F3902,0)</f>
        <v>759</v>
      </c>
      <c r="H3902" s="48" t="n">
        <f aca="false">MAX(0,(C3902*'Model Inputs &amp; Assumptions'!$N$35+E3902*'Model Inputs &amp; Assumptions'!$O$35+G3902*'Model Inputs &amp; Assumptions'!$P$35)*EXP('Model Inputs &amp; Assumptions'!$Q$35*S3902-'Model Inputs &amp; Assumptions'!$Q$35^2/2))</f>
        <v>63.0094251314474</v>
      </c>
      <c r="I3902" s="49" t="n">
        <f aca="false">IF('Model Inputs &amp; Assumptions'!$H$35="Fixed",'Model Inputs &amp; Assumptions'!$I$35*'Model Inputs &amp; Assumptions'!$K$35,IF('Model Inputs &amp; Assumptions'!$H$35="CPM",'Model Inputs &amp; Assumptions'!$I$35*'Model Inputs &amp; Assumptions'!$K$35*C3902/1000,IF('Model Inputs &amp; Assumptions'!$H$35="CPC",'Model Inputs &amp; Assumptions'!$I$35*'Model Inputs &amp; Assumptions'!$K$35*G3902,0)))</f>
        <v>8672.8</v>
      </c>
      <c r="J3902" s="50" t="n">
        <f aca="false">H3902*INDEX('Model Inputs &amp; Assumptions'!$D$40:$D$42,MATCH('Model Inputs &amp; Assumptions'!$L$35,'Model Inputs &amp; Assumptions'!$A$40:$A$42,0))*INDEX('Model Inputs &amp; Assumptions'!$H$40:$H$42,MATCH('Model Inputs &amp; Assumptions'!$L$35,'Model Inputs &amp; Assumptions'!$A$40:$A$42,0))</f>
        <v>535580.113617303</v>
      </c>
      <c r="K3902" s="49" t="n">
        <f aca="false">H3902*INDEX('Model Inputs &amp; Assumptions'!$G$40:$G$42,MATCH('Model Inputs &amp; Assumptions'!$L$35,'Model Inputs &amp; Assumptions'!$A$40:$A$42,0))*INDEX('Model Inputs &amp; Assumptions'!$H$40:$H$42,MATCH('Model Inputs &amp; Assumptions'!$L$35,'Model Inputs &amp; Assumptions'!$A$40:$A$42,0))</f>
        <v>12050.5525563893</v>
      </c>
      <c r="L3902" s="51" t="n">
        <f aca="false">IFERROR(K3902/I3902,0)</f>
        <v>1.38946505815761</v>
      </c>
      <c r="M3902" s="49" t="n">
        <f aca="false">IFERROR(I3902/H3902,0)</f>
        <v>137.642899961509</v>
      </c>
      <c r="N3902" s="52" t="str">
        <f aca="false">'Model Inputs &amp; Assumptions'!$L$35</f>
        <v>PRD-EUAI</v>
      </c>
      <c r="P3902" s="53" t="n">
        <v>0.318816</v>
      </c>
      <c r="Q3902" s="53" t="n">
        <v>0.202285</v>
      </c>
      <c r="R3902" s="53" t="n">
        <v>1.101243</v>
      </c>
      <c r="S3902" s="53" t="n">
        <v>0.785933</v>
      </c>
    </row>
    <row r="3903" customFormat="false" ht="15" hidden="false" customHeight="false" outlineLevel="0" collapsed="false">
      <c r="A3903" s="43" t="n">
        <v>400</v>
      </c>
      <c r="B3903" s="44" t="str">
        <f aca="false">'Model Inputs &amp; Assumptions'!$B$35</f>
        <v>justETF — Sponsored Listing</v>
      </c>
      <c r="C3903" s="45" t="n">
        <f aca="false">ROUND(MAX(0,'Model Inputs &amp; Assumptions'!$S$35*EXP('Model Inputs &amp; Assumptions'!$T$35*P3903-'Model Inputs &amp; Assumptions'!$T$35^2/2)),0)</f>
        <v>93229</v>
      </c>
      <c r="D3903" s="46" t="n">
        <f aca="false">MIN(1,'Model Inputs &amp; Assumptions'!$U$35*EXP('Model Inputs &amp; Assumptions'!$V$35*Q3903-'Model Inputs &amp; Assumptions'!$V$35^2/2))</f>
        <v>0</v>
      </c>
      <c r="E3903" s="45" t="n">
        <f aca="false">ROUND(C3903*D3903,0)</f>
        <v>0</v>
      </c>
      <c r="F3903" s="47" t="n">
        <f aca="false">MIN(1,'Model Inputs &amp; Assumptions'!$W$35*EXP('Model Inputs &amp; Assumptions'!$X$35*R3903-'Model Inputs &amp; Assumptions'!$X$35^2/2))</f>
        <v>0.00718153484118333</v>
      </c>
      <c r="G3903" s="45" t="n">
        <f aca="false">ROUND(C3903*F3903,0)</f>
        <v>670</v>
      </c>
      <c r="H3903" s="48" t="n">
        <f aca="false">MAX(0,(C3903*'Model Inputs &amp; Assumptions'!$N$35+E3903*'Model Inputs &amp; Assumptions'!$O$35+G3903*'Model Inputs &amp; Assumptions'!$P$35)*EXP('Model Inputs &amp; Assumptions'!$Q$35*S3903-'Model Inputs &amp; Assumptions'!$Q$35^2/2))</f>
        <v>55.7321430754236</v>
      </c>
      <c r="I3903" s="49" t="n">
        <f aca="false">IF('Model Inputs &amp; Assumptions'!$H$35="Fixed",'Model Inputs &amp; Assumptions'!$I$35*'Model Inputs &amp; Assumptions'!$K$35,IF('Model Inputs &amp; Assumptions'!$H$35="CPM",'Model Inputs &amp; Assumptions'!$I$35*'Model Inputs &amp; Assumptions'!$K$35*C3903/1000,IF('Model Inputs &amp; Assumptions'!$H$35="CPC",'Model Inputs &amp; Assumptions'!$I$35*'Model Inputs &amp; Assumptions'!$K$35*G3903,0)))</f>
        <v>8672.8</v>
      </c>
      <c r="J3903" s="50" t="n">
        <f aca="false">H3903*INDEX('Model Inputs &amp; Assumptions'!$D$40:$D$42,MATCH('Model Inputs &amp; Assumptions'!$L$35,'Model Inputs &amp; Assumptions'!$A$40:$A$42,0))*INDEX('Model Inputs &amp; Assumptions'!$H$40:$H$42,MATCH('Model Inputs &amp; Assumptions'!$L$35,'Model Inputs &amp; Assumptions'!$A$40:$A$42,0))</f>
        <v>473723.2161411</v>
      </c>
      <c r="K3903" s="49" t="n">
        <f aca="false">H3903*INDEX('Model Inputs &amp; Assumptions'!$G$40:$G$42,MATCH('Model Inputs &amp; Assumptions'!$L$35,'Model Inputs &amp; Assumptions'!$A$40:$A$42,0))*INDEX('Model Inputs &amp; Assumptions'!$H$40:$H$42,MATCH('Model Inputs &amp; Assumptions'!$L$35,'Model Inputs &amp; Assumptions'!$A$40:$A$42,0))</f>
        <v>10658.7723631748</v>
      </c>
      <c r="L3903" s="51" t="n">
        <f aca="false">IFERROR(K3903/I3903,0)</f>
        <v>1.22898860381593</v>
      </c>
      <c r="M3903" s="49" t="n">
        <f aca="false">IFERROR(I3903/H3903,0)</f>
        <v>155.615763568663</v>
      </c>
      <c r="N3903" s="52" t="str">
        <f aca="false">'Model Inputs &amp; Assumptions'!$L$35</f>
        <v>PRD-EUAI</v>
      </c>
      <c r="P3903" s="53" t="n">
        <v>0.354592</v>
      </c>
      <c r="Q3903" s="53" t="n">
        <v>0.962589</v>
      </c>
      <c r="R3903" s="53" t="n">
        <v>0.447028</v>
      </c>
      <c r="S3903" s="53" t="n">
        <v>0.793613</v>
      </c>
    </row>
    <row r="3904" customFormat="false" ht="15" hidden="false" customHeight="false" outlineLevel="0" collapsed="false">
      <c r="A3904" s="43" t="n">
        <v>401</v>
      </c>
      <c r="B3904" s="44" t="str">
        <f aca="false">'Model Inputs &amp; Assumptions'!$B$35</f>
        <v>justETF — Sponsored Listing</v>
      </c>
      <c r="C3904" s="45" t="n">
        <f aca="false">ROUND(MAX(0,'Model Inputs &amp; Assumptions'!$S$35*EXP('Model Inputs &amp; Assumptions'!$T$35*P3904-'Model Inputs &amp; Assumptions'!$T$35^2/2)),0)</f>
        <v>89877</v>
      </c>
      <c r="D3904" s="46" t="n">
        <f aca="false">MIN(1,'Model Inputs &amp; Assumptions'!$U$35*EXP('Model Inputs &amp; Assumptions'!$V$35*Q3904-'Model Inputs &amp; Assumptions'!$V$35^2/2))</f>
        <v>0</v>
      </c>
      <c r="E3904" s="45" t="n">
        <f aca="false">ROUND(C3904*D3904,0)</f>
        <v>0</v>
      </c>
      <c r="F3904" s="47" t="n">
        <f aca="false">MIN(1,'Model Inputs &amp; Assumptions'!$W$35*EXP('Model Inputs &amp; Assumptions'!$X$35*R3904-'Model Inputs &amp; Assumptions'!$X$35^2/2))</f>
        <v>0.00817846864925637</v>
      </c>
      <c r="G3904" s="45" t="n">
        <f aca="false">ROUND(C3904*F3904,0)</f>
        <v>735</v>
      </c>
      <c r="H3904" s="48" t="n">
        <f aca="false">MAX(0,(C3904*'Model Inputs &amp; Assumptions'!$N$35+E3904*'Model Inputs &amp; Assumptions'!$O$35+G3904*'Model Inputs &amp; Assumptions'!$P$35)*EXP('Model Inputs &amp; Assumptions'!$Q$35*S3904-'Model Inputs &amp; Assumptions'!$Q$35^2/2))</f>
        <v>46.9172955385206</v>
      </c>
      <c r="I3904" s="49" t="n">
        <f aca="false">IF('Model Inputs &amp; Assumptions'!$H$35="Fixed",'Model Inputs &amp; Assumptions'!$I$35*'Model Inputs &amp; Assumptions'!$K$35,IF('Model Inputs &amp; Assumptions'!$H$35="CPM",'Model Inputs &amp; Assumptions'!$I$35*'Model Inputs &amp; Assumptions'!$K$35*C3904/1000,IF('Model Inputs &amp; Assumptions'!$H$35="CPC",'Model Inputs &amp; Assumptions'!$I$35*'Model Inputs &amp; Assumptions'!$K$35*G3904,0)))</f>
        <v>8672.8</v>
      </c>
      <c r="J3904" s="50" t="n">
        <f aca="false">H3904*INDEX('Model Inputs &amp; Assumptions'!$D$40:$D$42,MATCH('Model Inputs &amp; Assumptions'!$L$35,'Model Inputs &amp; Assumptions'!$A$40:$A$42,0))*INDEX('Model Inputs &amp; Assumptions'!$H$40:$H$42,MATCH('Model Inputs &amp; Assumptions'!$L$35,'Model Inputs &amp; Assumptions'!$A$40:$A$42,0))</f>
        <v>398797.012077425</v>
      </c>
      <c r="K3904" s="49" t="n">
        <f aca="false">H3904*INDEX('Model Inputs &amp; Assumptions'!$G$40:$G$42,MATCH('Model Inputs &amp; Assumptions'!$L$35,'Model Inputs &amp; Assumptions'!$A$40:$A$42,0))*INDEX('Model Inputs &amp; Assumptions'!$H$40:$H$42,MATCH('Model Inputs &amp; Assumptions'!$L$35,'Model Inputs &amp; Assumptions'!$A$40:$A$42,0))</f>
        <v>8972.93277174207</v>
      </c>
      <c r="L3904" s="51" t="n">
        <f aca="false">IFERROR(K3904/I3904,0)</f>
        <v>1.03460621388042</v>
      </c>
      <c r="M3904" s="49" t="n">
        <f aca="false">IFERROR(I3904/H3904,0)</f>
        <v>184.852939634582</v>
      </c>
      <c r="N3904" s="52" t="str">
        <f aca="false">'Model Inputs &amp; Assumptions'!$L$35</f>
        <v>PRD-EUAI</v>
      </c>
      <c r="P3904" s="53" t="n">
        <v>0.110497</v>
      </c>
      <c r="Q3904" s="53" t="n">
        <v>1.552408</v>
      </c>
      <c r="R3904" s="53" t="n">
        <v>1.096987</v>
      </c>
      <c r="S3904" s="53" t="n">
        <v>-0.224708</v>
      </c>
    </row>
    <row r="3905" customFormat="false" ht="15" hidden="false" customHeight="false" outlineLevel="0" collapsed="false">
      <c r="A3905" s="43" t="n">
        <v>402</v>
      </c>
      <c r="B3905" s="44" t="str">
        <f aca="false">'Model Inputs &amp; Assumptions'!$B$35</f>
        <v>justETF — Sponsored Listing</v>
      </c>
      <c r="C3905" s="45" t="n">
        <f aca="false">ROUND(MAX(0,'Model Inputs &amp; Assumptions'!$S$35*EXP('Model Inputs &amp; Assumptions'!$T$35*P3905-'Model Inputs &amp; Assumptions'!$T$35^2/2)),0)</f>
        <v>91390</v>
      </c>
      <c r="D3905" s="46" t="n">
        <f aca="false">MIN(1,'Model Inputs &amp; Assumptions'!$U$35*EXP('Model Inputs &amp; Assumptions'!$V$35*Q3905-'Model Inputs &amp; Assumptions'!$V$35^2/2))</f>
        <v>0</v>
      </c>
      <c r="E3905" s="45" t="n">
        <f aca="false">ROUND(C3905*D3905,0)</f>
        <v>0</v>
      </c>
      <c r="F3905" s="47" t="n">
        <f aca="false">MIN(1,'Model Inputs &amp; Assumptions'!$W$35*EXP('Model Inputs &amp; Assumptions'!$X$35*R3905-'Model Inputs &amp; Assumptions'!$X$35^2/2))</f>
        <v>0.00557947745748909</v>
      </c>
      <c r="G3905" s="45" t="n">
        <f aca="false">ROUND(C3905*F3905,0)</f>
        <v>510</v>
      </c>
      <c r="H3905" s="48" t="n">
        <f aca="false">MAX(0,(C3905*'Model Inputs &amp; Assumptions'!$N$35+E3905*'Model Inputs &amp; Assumptions'!$O$35+G3905*'Model Inputs &amp; Assumptions'!$P$35)*EXP('Model Inputs &amp; Assumptions'!$Q$35*S3905-'Model Inputs &amp; Assumptions'!$Q$35^2/2))</f>
        <v>34.4375379457538</v>
      </c>
      <c r="I3905" s="49" t="n">
        <f aca="false">IF('Model Inputs &amp; Assumptions'!$H$35="Fixed",'Model Inputs &amp; Assumptions'!$I$35*'Model Inputs &amp; Assumptions'!$K$35,IF('Model Inputs &amp; Assumptions'!$H$35="CPM",'Model Inputs &amp; Assumptions'!$I$35*'Model Inputs &amp; Assumptions'!$K$35*C3905/1000,IF('Model Inputs &amp; Assumptions'!$H$35="CPC",'Model Inputs &amp; Assumptions'!$I$35*'Model Inputs &amp; Assumptions'!$K$35*G3905,0)))</f>
        <v>8672.8</v>
      </c>
      <c r="J3905" s="50" t="n">
        <f aca="false">H3905*INDEX('Model Inputs &amp; Assumptions'!$D$40:$D$42,MATCH('Model Inputs &amp; Assumptions'!$L$35,'Model Inputs &amp; Assumptions'!$A$40:$A$42,0))*INDEX('Model Inputs &amp; Assumptions'!$H$40:$H$42,MATCH('Model Inputs &amp; Assumptions'!$L$35,'Model Inputs &amp; Assumptions'!$A$40:$A$42,0))</f>
        <v>292719.072538907</v>
      </c>
      <c r="K3905" s="49" t="n">
        <f aca="false">H3905*INDEX('Model Inputs &amp; Assumptions'!$G$40:$G$42,MATCH('Model Inputs &amp; Assumptions'!$L$35,'Model Inputs &amp; Assumptions'!$A$40:$A$42,0))*INDEX('Model Inputs &amp; Assumptions'!$H$40:$H$42,MATCH('Model Inputs &amp; Assumptions'!$L$35,'Model Inputs &amp; Assumptions'!$A$40:$A$42,0))</f>
        <v>6586.17913212541</v>
      </c>
      <c r="L3905" s="51" t="n">
        <f aca="false">IFERROR(K3905/I3905,0)</f>
        <v>0.759406320003391</v>
      </c>
      <c r="M3905" s="49" t="n">
        <f aca="false">IFERROR(I3905/H3905,0)</f>
        <v>251.841464789424</v>
      </c>
      <c r="N3905" s="52" t="str">
        <f aca="false">'Model Inputs &amp; Assumptions'!$L$35</f>
        <v>PRD-EUAI</v>
      </c>
      <c r="P3905" s="53" t="n">
        <v>0.221766</v>
      </c>
      <c r="Q3905" s="53" t="n">
        <v>-0.051753</v>
      </c>
      <c r="R3905" s="53" t="n">
        <v>-0.815062</v>
      </c>
      <c r="S3905" s="53" t="n">
        <v>-0.008475</v>
      </c>
    </row>
    <row r="3906" customFormat="false" ht="15" hidden="false" customHeight="false" outlineLevel="0" collapsed="false">
      <c r="A3906" s="43" t="n">
        <v>403</v>
      </c>
      <c r="B3906" s="44" t="str">
        <f aca="false">'Model Inputs &amp; Assumptions'!$B$35</f>
        <v>justETF — Sponsored Listing</v>
      </c>
      <c r="C3906" s="45" t="n">
        <f aca="false">ROUND(MAX(0,'Model Inputs &amp; Assumptions'!$S$35*EXP('Model Inputs &amp; Assumptions'!$T$35*P3906-'Model Inputs &amp; Assumptions'!$T$35^2/2)),0)</f>
        <v>78090</v>
      </c>
      <c r="D3906" s="46" t="n">
        <f aca="false">MIN(1,'Model Inputs &amp; Assumptions'!$U$35*EXP('Model Inputs &amp; Assumptions'!$V$35*Q3906-'Model Inputs &amp; Assumptions'!$V$35^2/2))</f>
        <v>0</v>
      </c>
      <c r="E3906" s="45" t="n">
        <f aca="false">ROUND(C3906*D3906,0)</f>
        <v>0</v>
      </c>
      <c r="F3906" s="47" t="n">
        <f aca="false">MIN(1,'Model Inputs &amp; Assumptions'!$W$35*EXP('Model Inputs &amp; Assumptions'!$X$35*R3906-'Model Inputs &amp; Assumptions'!$X$35^2/2))</f>
        <v>0.00696070892637431</v>
      </c>
      <c r="G3906" s="45" t="n">
        <f aca="false">ROUND(C3906*F3906,0)</f>
        <v>544</v>
      </c>
      <c r="H3906" s="48" t="n">
        <f aca="false">MAX(0,(C3906*'Model Inputs &amp; Assumptions'!$N$35+E3906*'Model Inputs &amp; Assumptions'!$O$35+G3906*'Model Inputs &amp; Assumptions'!$P$35)*EXP('Model Inputs &amp; Assumptions'!$Q$35*S3906-'Model Inputs &amp; Assumptions'!$Q$35^2/2))</f>
        <v>38.1118146522772</v>
      </c>
      <c r="I3906" s="49" t="n">
        <f aca="false">IF('Model Inputs &amp; Assumptions'!$H$35="Fixed",'Model Inputs &amp; Assumptions'!$I$35*'Model Inputs &amp; Assumptions'!$K$35,IF('Model Inputs &amp; Assumptions'!$H$35="CPM",'Model Inputs &amp; Assumptions'!$I$35*'Model Inputs &amp; Assumptions'!$K$35*C3906/1000,IF('Model Inputs &amp; Assumptions'!$H$35="CPC",'Model Inputs &amp; Assumptions'!$I$35*'Model Inputs &amp; Assumptions'!$K$35*G3906,0)))</f>
        <v>8672.8</v>
      </c>
      <c r="J3906" s="50" t="n">
        <f aca="false">H3906*INDEX('Model Inputs &amp; Assumptions'!$D$40:$D$42,MATCH('Model Inputs &amp; Assumptions'!$L$35,'Model Inputs &amp; Assumptions'!$A$40:$A$42,0))*INDEX('Model Inputs &amp; Assumptions'!$H$40:$H$42,MATCH('Model Inputs &amp; Assumptions'!$L$35,'Model Inputs &amp; Assumptions'!$A$40:$A$42,0))</f>
        <v>323950.424544356</v>
      </c>
      <c r="K3906" s="49" t="n">
        <f aca="false">H3906*INDEX('Model Inputs &amp; Assumptions'!$G$40:$G$42,MATCH('Model Inputs &amp; Assumptions'!$L$35,'Model Inputs &amp; Assumptions'!$A$40:$A$42,0))*INDEX('Model Inputs &amp; Assumptions'!$H$40:$H$42,MATCH('Model Inputs &amp; Assumptions'!$L$35,'Model Inputs &amp; Assumptions'!$A$40:$A$42,0))</f>
        <v>7288.88455224801</v>
      </c>
      <c r="L3906" s="51" t="n">
        <f aca="false">IFERROR(K3906/I3906,0)</f>
        <v>0.840430374532794</v>
      </c>
      <c r="M3906" s="49" t="n">
        <f aca="false">IFERROR(I3906/H3906,0)</f>
        <v>227.56197990383</v>
      </c>
      <c r="N3906" s="52" t="str">
        <f aca="false">'Model Inputs &amp; Assumptions'!$L$35</f>
        <v>PRD-EUAI</v>
      </c>
      <c r="P3906" s="53" t="n">
        <v>-0.826754</v>
      </c>
      <c r="Q3906" s="53" t="n">
        <v>-0.022132</v>
      </c>
      <c r="R3906" s="53" t="n">
        <v>0.290869</v>
      </c>
      <c r="S3906" s="53" t="n">
        <v>0.133212</v>
      </c>
    </row>
    <row r="3907" customFormat="false" ht="15" hidden="false" customHeight="false" outlineLevel="0" collapsed="false">
      <c r="A3907" s="43" t="n">
        <v>404</v>
      </c>
      <c r="B3907" s="44" t="str">
        <f aca="false">'Model Inputs &amp; Assumptions'!$B$35</f>
        <v>justETF — Sponsored Listing</v>
      </c>
      <c r="C3907" s="45" t="n">
        <f aca="false">ROUND(MAX(0,'Model Inputs &amp; Assumptions'!$S$35*EXP('Model Inputs &amp; Assumptions'!$T$35*P3907-'Model Inputs &amp; Assumptions'!$T$35^2/2)),0)</f>
        <v>91663</v>
      </c>
      <c r="D3907" s="46" t="n">
        <f aca="false">MIN(1,'Model Inputs &amp; Assumptions'!$U$35*EXP('Model Inputs &amp; Assumptions'!$V$35*Q3907-'Model Inputs &amp; Assumptions'!$V$35^2/2))</f>
        <v>0</v>
      </c>
      <c r="E3907" s="45" t="n">
        <f aca="false">ROUND(C3907*D3907,0)</f>
        <v>0</v>
      </c>
      <c r="F3907" s="47" t="n">
        <f aca="false">MIN(1,'Model Inputs &amp; Assumptions'!$W$35*EXP('Model Inputs &amp; Assumptions'!$X$35*R3907-'Model Inputs &amp; Assumptions'!$X$35^2/2))</f>
        <v>0.00680587715497437</v>
      </c>
      <c r="G3907" s="45" t="n">
        <f aca="false">ROUND(C3907*F3907,0)</f>
        <v>624</v>
      </c>
      <c r="H3907" s="48" t="n">
        <f aca="false">MAX(0,(C3907*'Model Inputs &amp; Assumptions'!$N$35+E3907*'Model Inputs &amp; Assumptions'!$O$35+G3907*'Model Inputs &amp; Assumptions'!$P$35)*EXP('Model Inputs &amp; Assumptions'!$Q$35*S3907-'Model Inputs &amp; Assumptions'!$Q$35^2/2))</f>
        <v>52.9102134669161</v>
      </c>
      <c r="I3907" s="49" t="n">
        <f aca="false">IF('Model Inputs &amp; Assumptions'!$H$35="Fixed",'Model Inputs &amp; Assumptions'!$I$35*'Model Inputs &amp; Assumptions'!$K$35,IF('Model Inputs &amp; Assumptions'!$H$35="CPM",'Model Inputs &amp; Assumptions'!$I$35*'Model Inputs &amp; Assumptions'!$K$35*C3907/1000,IF('Model Inputs &amp; Assumptions'!$H$35="CPC",'Model Inputs &amp; Assumptions'!$I$35*'Model Inputs &amp; Assumptions'!$K$35*G3907,0)))</f>
        <v>8672.8</v>
      </c>
      <c r="J3907" s="50" t="n">
        <f aca="false">H3907*INDEX('Model Inputs &amp; Assumptions'!$D$40:$D$42,MATCH('Model Inputs &amp; Assumptions'!$L$35,'Model Inputs &amp; Assumptions'!$A$40:$A$42,0))*INDEX('Model Inputs &amp; Assumptions'!$H$40:$H$42,MATCH('Model Inputs &amp; Assumptions'!$L$35,'Model Inputs &amp; Assumptions'!$A$40:$A$42,0))</f>
        <v>449736.814468787</v>
      </c>
      <c r="K3907" s="49" t="n">
        <f aca="false">H3907*INDEX('Model Inputs &amp; Assumptions'!$G$40:$G$42,MATCH('Model Inputs &amp; Assumptions'!$L$35,'Model Inputs &amp; Assumptions'!$A$40:$A$42,0))*INDEX('Model Inputs &amp; Assumptions'!$H$40:$H$42,MATCH('Model Inputs &amp; Assumptions'!$L$35,'Model Inputs &amp; Assumptions'!$A$40:$A$42,0))</f>
        <v>10119.0783255477</v>
      </c>
      <c r="L3907" s="51" t="n">
        <f aca="false">IFERROR(K3907/I3907,0)</f>
        <v>1.16676025338388</v>
      </c>
      <c r="M3907" s="49" t="n">
        <f aca="false">IFERROR(I3907/H3907,0)</f>
        <v>163.915422594599</v>
      </c>
      <c r="N3907" s="52" t="str">
        <f aca="false">'Model Inputs &amp; Assumptions'!$L$35</f>
        <v>PRD-EUAI</v>
      </c>
      <c r="P3907" s="53" t="n">
        <v>0.241676</v>
      </c>
      <c r="Q3907" s="53" t="n">
        <v>2.072771</v>
      </c>
      <c r="R3907" s="53" t="n">
        <v>0.178395</v>
      </c>
      <c r="S3907" s="53" t="n">
        <v>0.867331</v>
      </c>
    </row>
    <row r="3908" customFormat="false" ht="15" hidden="false" customHeight="false" outlineLevel="0" collapsed="false">
      <c r="A3908" s="43" t="n">
        <v>405</v>
      </c>
      <c r="B3908" s="44" t="str">
        <f aca="false">'Model Inputs &amp; Assumptions'!$B$35</f>
        <v>justETF — Sponsored Listing</v>
      </c>
      <c r="C3908" s="45" t="n">
        <f aca="false">ROUND(MAX(0,'Model Inputs &amp; Assumptions'!$S$35*EXP('Model Inputs &amp; Assumptions'!$T$35*P3908-'Model Inputs &amp; Assumptions'!$T$35^2/2)),0)</f>
        <v>116796</v>
      </c>
      <c r="D3908" s="46" t="n">
        <f aca="false">MIN(1,'Model Inputs &amp; Assumptions'!$U$35*EXP('Model Inputs &amp; Assumptions'!$V$35*Q3908-'Model Inputs &amp; Assumptions'!$V$35^2/2))</f>
        <v>0</v>
      </c>
      <c r="E3908" s="45" t="n">
        <f aca="false">ROUND(C3908*D3908,0)</f>
        <v>0</v>
      </c>
      <c r="F3908" s="47" t="n">
        <f aca="false">MIN(1,'Model Inputs &amp; Assumptions'!$W$35*EXP('Model Inputs &amp; Assumptions'!$X$35*R3908-'Model Inputs &amp; Assumptions'!$X$35^2/2))</f>
        <v>0.0055305226697692</v>
      </c>
      <c r="G3908" s="45" t="n">
        <f aca="false">ROUND(C3908*F3908,0)</f>
        <v>646</v>
      </c>
      <c r="H3908" s="48" t="n">
        <f aca="false">MAX(0,(C3908*'Model Inputs &amp; Assumptions'!$N$35+E3908*'Model Inputs &amp; Assumptions'!$O$35+G3908*'Model Inputs &amp; Assumptions'!$P$35)*EXP('Model Inputs &amp; Assumptions'!$Q$35*S3908-'Model Inputs &amp; Assumptions'!$Q$35^2/2))</f>
        <v>43.6227981415939</v>
      </c>
      <c r="I3908" s="49" t="n">
        <f aca="false">IF('Model Inputs &amp; Assumptions'!$H$35="Fixed",'Model Inputs &amp; Assumptions'!$I$35*'Model Inputs &amp; Assumptions'!$K$35,IF('Model Inputs &amp; Assumptions'!$H$35="CPM",'Model Inputs &amp; Assumptions'!$I$35*'Model Inputs &amp; Assumptions'!$K$35*C3908/1000,IF('Model Inputs &amp; Assumptions'!$H$35="CPC",'Model Inputs &amp; Assumptions'!$I$35*'Model Inputs &amp; Assumptions'!$K$35*G3908,0)))</f>
        <v>8672.8</v>
      </c>
      <c r="J3908" s="50" t="n">
        <f aca="false">H3908*INDEX('Model Inputs &amp; Assumptions'!$D$40:$D$42,MATCH('Model Inputs &amp; Assumptions'!$L$35,'Model Inputs &amp; Assumptions'!$A$40:$A$42,0))*INDEX('Model Inputs &amp; Assumptions'!$H$40:$H$42,MATCH('Model Inputs &amp; Assumptions'!$L$35,'Model Inputs &amp; Assumptions'!$A$40:$A$42,0))</f>
        <v>370793.784203548</v>
      </c>
      <c r="K3908" s="49" t="n">
        <f aca="false">H3908*INDEX('Model Inputs &amp; Assumptions'!$G$40:$G$42,MATCH('Model Inputs &amp; Assumptions'!$L$35,'Model Inputs &amp; Assumptions'!$A$40:$A$42,0))*INDEX('Model Inputs &amp; Assumptions'!$H$40:$H$42,MATCH('Model Inputs &amp; Assumptions'!$L$35,'Model Inputs &amp; Assumptions'!$A$40:$A$42,0))</f>
        <v>8342.86014457984</v>
      </c>
      <c r="L3908" s="51" t="n">
        <f aca="false">IFERROR(K3908/I3908,0)</f>
        <v>0.961956939463592</v>
      </c>
      <c r="M3908" s="49" t="n">
        <f aca="false">IFERROR(I3908/H3908,0)</f>
        <v>198.813472988349</v>
      </c>
      <c r="N3908" s="52" t="str">
        <f aca="false">'Model Inputs &amp; Assumptions'!$L$35</f>
        <v>PRD-EUAI</v>
      </c>
      <c r="P3908" s="53" t="n">
        <v>1.857037</v>
      </c>
      <c r="Q3908" s="53" t="n">
        <v>-0.708694</v>
      </c>
      <c r="R3908" s="53" t="n">
        <v>-0.859126</v>
      </c>
      <c r="S3908" s="53" t="n">
        <v>-0.008306</v>
      </c>
    </row>
    <row r="3909" customFormat="false" ht="15" hidden="false" customHeight="false" outlineLevel="0" collapsed="false">
      <c r="A3909" s="43" t="n">
        <v>406</v>
      </c>
      <c r="B3909" s="44" t="str">
        <f aca="false">'Model Inputs &amp; Assumptions'!$B$35</f>
        <v>justETF — Sponsored Listing</v>
      </c>
      <c r="C3909" s="45" t="n">
        <f aca="false">ROUND(MAX(0,'Model Inputs &amp; Assumptions'!$S$35*EXP('Model Inputs &amp; Assumptions'!$T$35*P3909-'Model Inputs &amp; Assumptions'!$T$35^2/2)),0)</f>
        <v>75814</v>
      </c>
      <c r="D3909" s="46" t="n">
        <f aca="false">MIN(1,'Model Inputs &amp; Assumptions'!$U$35*EXP('Model Inputs &amp; Assumptions'!$V$35*Q3909-'Model Inputs &amp; Assumptions'!$V$35^2/2))</f>
        <v>0</v>
      </c>
      <c r="E3909" s="45" t="n">
        <f aca="false">ROUND(C3909*D3909,0)</f>
        <v>0</v>
      </c>
      <c r="F3909" s="47" t="n">
        <f aca="false">MIN(1,'Model Inputs &amp; Assumptions'!$W$35*EXP('Model Inputs &amp; Assumptions'!$X$35*R3909-'Model Inputs &amp; Assumptions'!$X$35^2/2))</f>
        <v>0.0084049273772167</v>
      </c>
      <c r="G3909" s="45" t="n">
        <f aca="false">ROUND(C3909*F3909,0)</f>
        <v>637</v>
      </c>
      <c r="H3909" s="48" t="n">
        <f aca="false">MAX(0,(C3909*'Model Inputs &amp; Assumptions'!$N$35+E3909*'Model Inputs &amp; Assumptions'!$O$35+G3909*'Model Inputs &amp; Assumptions'!$P$35)*EXP('Model Inputs &amp; Assumptions'!$Q$35*S3909-'Model Inputs &amp; Assumptions'!$Q$35^2/2))</f>
        <v>47.6074527157094</v>
      </c>
      <c r="I3909" s="49" t="n">
        <f aca="false">IF('Model Inputs &amp; Assumptions'!$H$35="Fixed",'Model Inputs &amp; Assumptions'!$I$35*'Model Inputs &amp; Assumptions'!$K$35,IF('Model Inputs &amp; Assumptions'!$H$35="CPM",'Model Inputs &amp; Assumptions'!$I$35*'Model Inputs &amp; Assumptions'!$K$35*C3909/1000,IF('Model Inputs &amp; Assumptions'!$H$35="CPC",'Model Inputs &amp; Assumptions'!$I$35*'Model Inputs &amp; Assumptions'!$K$35*G3909,0)))</f>
        <v>8672.8</v>
      </c>
      <c r="J3909" s="50" t="n">
        <f aca="false">H3909*INDEX('Model Inputs &amp; Assumptions'!$D$40:$D$42,MATCH('Model Inputs &amp; Assumptions'!$L$35,'Model Inputs &amp; Assumptions'!$A$40:$A$42,0))*INDEX('Model Inputs &amp; Assumptions'!$H$40:$H$42,MATCH('Model Inputs &amp; Assumptions'!$L$35,'Model Inputs &amp; Assumptions'!$A$40:$A$42,0))</f>
        <v>404663.34808353</v>
      </c>
      <c r="K3909" s="49" t="n">
        <f aca="false">H3909*INDEX('Model Inputs &amp; Assumptions'!$G$40:$G$42,MATCH('Model Inputs &amp; Assumptions'!$L$35,'Model Inputs &amp; Assumptions'!$A$40:$A$42,0))*INDEX('Model Inputs &amp; Assumptions'!$H$40:$H$42,MATCH('Model Inputs &amp; Assumptions'!$L$35,'Model Inputs &amp; Assumptions'!$A$40:$A$42,0))</f>
        <v>9104.92533187942</v>
      </c>
      <c r="L3909" s="51" t="n">
        <f aca="false">IFERROR(K3909/I3909,0)</f>
        <v>1.04982535419696</v>
      </c>
      <c r="M3909" s="49" t="n">
        <f aca="false">IFERROR(I3909/H3909,0)</f>
        <v>182.173157883286</v>
      </c>
      <c r="N3909" s="52" t="str">
        <f aca="false">'Model Inputs &amp; Assumptions'!$L$35</f>
        <v>PRD-EUAI</v>
      </c>
      <c r="P3909" s="53" t="n">
        <v>-1.023954</v>
      </c>
      <c r="Q3909" s="53" t="n">
        <v>0.282821</v>
      </c>
      <c r="R3909" s="53" t="n">
        <v>1.233553</v>
      </c>
      <c r="S3909" s="53" t="n">
        <v>0.381845</v>
      </c>
    </row>
    <row r="3910" customFormat="false" ht="15" hidden="false" customHeight="false" outlineLevel="0" collapsed="false">
      <c r="A3910" s="43" t="n">
        <v>407</v>
      </c>
      <c r="B3910" s="44" t="str">
        <f aca="false">'Model Inputs &amp; Assumptions'!$B$35</f>
        <v>justETF — Sponsored Listing</v>
      </c>
      <c r="C3910" s="45" t="n">
        <f aca="false">ROUND(MAX(0,'Model Inputs &amp; Assumptions'!$S$35*EXP('Model Inputs &amp; Assumptions'!$T$35*P3910-'Model Inputs &amp; Assumptions'!$T$35^2/2)),0)</f>
        <v>105584</v>
      </c>
      <c r="D3910" s="46" t="n">
        <f aca="false">MIN(1,'Model Inputs &amp; Assumptions'!$U$35*EXP('Model Inputs &amp; Assumptions'!$V$35*Q3910-'Model Inputs &amp; Assumptions'!$V$35^2/2))</f>
        <v>0</v>
      </c>
      <c r="E3910" s="45" t="n">
        <f aca="false">ROUND(C3910*D3910,0)</f>
        <v>0</v>
      </c>
      <c r="F3910" s="47" t="n">
        <f aca="false">MIN(1,'Model Inputs &amp; Assumptions'!$W$35*EXP('Model Inputs &amp; Assumptions'!$X$35*R3910-'Model Inputs &amp; Assumptions'!$X$35^2/2))</f>
        <v>0.00474907340505267</v>
      </c>
      <c r="G3910" s="45" t="n">
        <f aca="false">ROUND(C3910*F3910,0)</f>
        <v>501</v>
      </c>
      <c r="H3910" s="48" t="n">
        <f aca="false">MAX(0,(C3910*'Model Inputs &amp; Assumptions'!$N$35+E3910*'Model Inputs &amp; Assumptions'!$O$35+G3910*'Model Inputs &amp; Assumptions'!$P$35)*EXP('Model Inputs &amp; Assumptions'!$Q$35*S3910-'Model Inputs &amp; Assumptions'!$Q$35^2/2))</f>
        <v>46.1253248037717</v>
      </c>
      <c r="I3910" s="49" t="n">
        <f aca="false">IF('Model Inputs &amp; Assumptions'!$H$35="Fixed",'Model Inputs &amp; Assumptions'!$I$35*'Model Inputs &amp; Assumptions'!$K$35,IF('Model Inputs &amp; Assumptions'!$H$35="CPM",'Model Inputs &amp; Assumptions'!$I$35*'Model Inputs &amp; Assumptions'!$K$35*C3910/1000,IF('Model Inputs &amp; Assumptions'!$H$35="CPC",'Model Inputs &amp; Assumptions'!$I$35*'Model Inputs &amp; Assumptions'!$K$35*G3910,0)))</f>
        <v>8672.8</v>
      </c>
      <c r="J3910" s="50" t="n">
        <f aca="false">H3910*INDEX('Model Inputs &amp; Assumptions'!$D$40:$D$42,MATCH('Model Inputs &amp; Assumptions'!$L$35,'Model Inputs &amp; Assumptions'!$A$40:$A$42,0))*INDEX('Model Inputs &amp; Assumptions'!$H$40:$H$42,MATCH('Model Inputs &amp; Assumptions'!$L$35,'Model Inputs &amp; Assumptions'!$A$40:$A$42,0))</f>
        <v>392065.26083206</v>
      </c>
      <c r="K3910" s="49" t="n">
        <f aca="false">H3910*INDEX('Model Inputs &amp; Assumptions'!$G$40:$G$42,MATCH('Model Inputs &amp; Assumptions'!$L$35,'Model Inputs &amp; Assumptions'!$A$40:$A$42,0))*INDEX('Model Inputs &amp; Assumptions'!$H$40:$H$42,MATCH('Model Inputs &amp; Assumptions'!$L$35,'Model Inputs &amp; Assumptions'!$A$40:$A$42,0))</f>
        <v>8821.46836872134</v>
      </c>
      <c r="L3910" s="51" t="n">
        <f aca="false">IFERROR(K3910/I3910,0)</f>
        <v>1.01714191134597</v>
      </c>
      <c r="M3910" s="49" t="n">
        <f aca="false">IFERROR(I3910/H3910,0)</f>
        <v>188.026860231254</v>
      </c>
      <c r="N3910" s="52" t="str">
        <f aca="false">'Model Inputs &amp; Assumptions'!$L$35</f>
        <v>PRD-EUAI</v>
      </c>
      <c r="P3910" s="53" t="n">
        <v>1.184236</v>
      </c>
      <c r="Q3910" s="53" t="n">
        <v>-0.05274</v>
      </c>
      <c r="R3910" s="53" t="n">
        <v>-1.62079</v>
      </c>
      <c r="S3910" s="53" t="n">
        <v>1.183908</v>
      </c>
    </row>
    <row r="3911" customFormat="false" ht="15" hidden="false" customHeight="false" outlineLevel="0" collapsed="false">
      <c r="A3911" s="43" t="n">
        <v>408</v>
      </c>
      <c r="B3911" s="44" t="str">
        <f aca="false">'Model Inputs &amp; Assumptions'!$B$35</f>
        <v>justETF — Sponsored Listing</v>
      </c>
      <c r="C3911" s="45" t="n">
        <f aca="false">ROUND(MAX(0,'Model Inputs &amp; Assumptions'!$S$35*EXP('Model Inputs &amp; Assumptions'!$T$35*P3911-'Model Inputs &amp; Assumptions'!$T$35^2/2)),0)</f>
        <v>91865</v>
      </c>
      <c r="D3911" s="46" t="n">
        <f aca="false">MIN(1,'Model Inputs &amp; Assumptions'!$U$35*EXP('Model Inputs &amp; Assumptions'!$V$35*Q3911-'Model Inputs &amp; Assumptions'!$V$35^2/2))</f>
        <v>0</v>
      </c>
      <c r="E3911" s="45" t="n">
        <f aca="false">ROUND(C3911*D3911,0)</f>
        <v>0</v>
      </c>
      <c r="F3911" s="47" t="n">
        <f aca="false">MIN(1,'Model Inputs &amp; Assumptions'!$W$35*EXP('Model Inputs &amp; Assumptions'!$X$35*R3911-'Model Inputs &amp; Assumptions'!$X$35^2/2))</f>
        <v>0.00760409506405892</v>
      </c>
      <c r="G3911" s="45" t="n">
        <f aca="false">ROUND(C3911*F3911,0)</f>
        <v>699</v>
      </c>
      <c r="H3911" s="48" t="n">
        <f aca="false">MAX(0,(C3911*'Model Inputs &amp; Assumptions'!$N$35+E3911*'Model Inputs &amp; Assumptions'!$O$35+G3911*'Model Inputs &amp; Assumptions'!$P$35)*EXP('Model Inputs &amp; Assumptions'!$Q$35*S3911-'Model Inputs &amp; Assumptions'!$Q$35^2/2))</f>
        <v>48.8859896547444</v>
      </c>
      <c r="I3911" s="49" t="n">
        <f aca="false">IF('Model Inputs &amp; Assumptions'!$H$35="Fixed",'Model Inputs &amp; Assumptions'!$I$35*'Model Inputs &amp; Assumptions'!$K$35,IF('Model Inputs &amp; Assumptions'!$H$35="CPM",'Model Inputs &amp; Assumptions'!$I$35*'Model Inputs &amp; Assumptions'!$K$35*C3911/1000,IF('Model Inputs &amp; Assumptions'!$H$35="CPC",'Model Inputs &amp; Assumptions'!$I$35*'Model Inputs &amp; Assumptions'!$K$35*G3911,0)))</f>
        <v>8672.8</v>
      </c>
      <c r="J3911" s="50" t="n">
        <f aca="false">H3911*INDEX('Model Inputs &amp; Assumptions'!$D$40:$D$42,MATCH('Model Inputs &amp; Assumptions'!$L$35,'Model Inputs &amp; Assumptions'!$A$40:$A$42,0))*INDEX('Model Inputs &amp; Assumptions'!$H$40:$H$42,MATCH('Model Inputs &amp; Assumptions'!$L$35,'Model Inputs &amp; Assumptions'!$A$40:$A$42,0))</f>
        <v>415530.912065328</v>
      </c>
      <c r="K3911" s="49" t="n">
        <f aca="false">H3911*INDEX('Model Inputs &amp; Assumptions'!$G$40:$G$42,MATCH('Model Inputs &amp; Assumptions'!$L$35,'Model Inputs &amp; Assumptions'!$A$40:$A$42,0))*INDEX('Model Inputs &amp; Assumptions'!$H$40:$H$42,MATCH('Model Inputs &amp; Assumptions'!$L$35,'Model Inputs &amp; Assumptions'!$A$40:$A$42,0))</f>
        <v>9349.44552146987</v>
      </c>
      <c r="L3911" s="51" t="n">
        <f aca="false">IFERROR(K3911/I3911,0)</f>
        <v>1.07801926960957</v>
      </c>
      <c r="M3911" s="49" t="n">
        <f aca="false">IFERROR(I3911/H3911,0)</f>
        <v>177.408702600711</v>
      </c>
      <c r="N3911" s="52" t="str">
        <f aca="false">'Model Inputs &amp; Assumptions'!$L$35</f>
        <v>PRD-EUAI</v>
      </c>
      <c r="P3911" s="53" t="n">
        <v>0.256343</v>
      </c>
      <c r="Q3911" s="53" t="n">
        <v>0.394439</v>
      </c>
      <c r="R3911" s="53" t="n">
        <v>0.732897</v>
      </c>
      <c r="S3911" s="53" t="n">
        <v>0.126539</v>
      </c>
    </row>
    <row r="3912" customFormat="false" ht="15" hidden="false" customHeight="false" outlineLevel="0" collapsed="false">
      <c r="A3912" s="43" t="n">
        <v>409</v>
      </c>
      <c r="B3912" s="44" t="str">
        <f aca="false">'Model Inputs &amp; Assumptions'!$B$35</f>
        <v>justETF — Sponsored Listing</v>
      </c>
      <c r="C3912" s="45" t="n">
        <f aca="false">ROUND(MAX(0,'Model Inputs &amp; Assumptions'!$S$35*EXP('Model Inputs &amp; Assumptions'!$T$35*P3912-'Model Inputs &amp; Assumptions'!$T$35^2/2)),0)</f>
        <v>86297</v>
      </c>
      <c r="D3912" s="46" t="n">
        <f aca="false">MIN(1,'Model Inputs &amp; Assumptions'!$U$35*EXP('Model Inputs &amp; Assumptions'!$V$35*Q3912-'Model Inputs &amp; Assumptions'!$V$35^2/2))</f>
        <v>0</v>
      </c>
      <c r="E3912" s="45" t="n">
        <f aca="false">ROUND(C3912*D3912,0)</f>
        <v>0</v>
      </c>
      <c r="F3912" s="47" t="n">
        <f aca="false">MIN(1,'Model Inputs &amp; Assumptions'!$W$35*EXP('Model Inputs &amp; Assumptions'!$X$35*R3912-'Model Inputs &amp; Assumptions'!$X$35^2/2))</f>
        <v>0.00637050743410787</v>
      </c>
      <c r="G3912" s="45" t="n">
        <f aca="false">ROUND(C3912*F3912,0)</f>
        <v>550</v>
      </c>
      <c r="H3912" s="48" t="n">
        <f aca="false">MAX(0,(C3912*'Model Inputs &amp; Assumptions'!$N$35+E3912*'Model Inputs &amp; Assumptions'!$O$35+G3912*'Model Inputs &amp; Assumptions'!$P$35)*EXP('Model Inputs &amp; Assumptions'!$Q$35*S3912-'Model Inputs &amp; Assumptions'!$Q$35^2/2))</f>
        <v>32.7484136026321</v>
      </c>
      <c r="I3912" s="49" t="n">
        <f aca="false">IF('Model Inputs &amp; Assumptions'!$H$35="Fixed",'Model Inputs &amp; Assumptions'!$I$35*'Model Inputs &amp; Assumptions'!$K$35,IF('Model Inputs &amp; Assumptions'!$H$35="CPM",'Model Inputs &amp; Assumptions'!$I$35*'Model Inputs &amp; Assumptions'!$K$35*C3912/1000,IF('Model Inputs &amp; Assumptions'!$H$35="CPC",'Model Inputs &amp; Assumptions'!$I$35*'Model Inputs &amp; Assumptions'!$K$35*G3912,0)))</f>
        <v>8672.8</v>
      </c>
      <c r="J3912" s="50" t="n">
        <f aca="false">H3912*INDEX('Model Inputs &amp; Assumptions'!$D$40:$D$42,MATCH('Model Inputs &amp; Assumptions'!$L$35,'Model Inputs &amp; Assumptions'!$A$40:$A$42,0))*INDEX('Model Inputs &amp; Assumptions'!$H$40:$H$42,MATCH('Model Inputs &amp; Assumptions'!$L$35,'Model Inputs &amp; Assumptions'!$A$40:$A$42,0))</f>
        <v>278361.515622373</v>
      </c>
      <c r="K3912" s="49" t="n">
        <f aca="false">H3912*INDEX('Model Inputs &amp; Assumptions'!$G$40:$G$42,MATCH('Model Inputs &amp; Assumptions'!$L$35,'Model Inputs &amp; Assumptions'!$A$40:$A$42,0))*INDEX('Model Inputs &amp; Assumptions'!$H$40:$H$42,MATCH('Model Inputs &amp; Assumptions'!$L$35,'Model Inputs &amp; Assumptions'!$A$40:$A$42,0))</f>
        <v>6263.13410150339</v>
      </c>
      <c r="L3912" s="51" t="n">
        <f aca="false">IFERROR(K3912/I3912,0)</f>
        <v>0.722158253563255</v>
      </c>
      <c r="M3912" s="49" t="n">
        <f aca="false">IFERROR(I3912/H3912,0)</f>
        <v>264.831148929392</v>
      </c>
      <c r="N3912" s="52" t="str">
        <f aca="false">'Model Inputs &amp; Assumptions'!$L$35</f>
        <v>PRD-EUAI</v>
      </c>
      <c r="P3912" s="53" t="n">
        <v>-0.160536</v>
      </c>
      <c r="Q3912" s="53" t="n">
        <v>-1.617937</v>
      </c>
      <c r="R3912" s="53" t="n">
        <v>-0.152142</v>
      </c>
      <c r="S3912" s="53" t="n">
        <v>-0.492322</v>
      </c>
    </row>
    <row r="3913" customFormat="false" ht="15" hidden="false" customHeight="false" outlineLevel="0" collapsed="false">
      <c r="A3913" s="43" t="n">
        <v>410</v>
      </c>
      <c r="B3913" s="44" t="str">
        <f aca="false">'Model Inputs &amp; Assumptions'!$B$35</f>
        <v>justETF — Sponsored Listing</v>
      </c>
      <c r="C3913" s="45" t="n">
        <f aca="false">ROUND(MAX(0,'Model Inputs &amp; Assumptions'!$S$35*EXP('Model Inputs &amp; Assumptions'!$T$35*P3913-'Model Inputs &amp; Assumptions'!$T$35^2/2)),0)</f>
        <v>105490</v>
      </c>
      <c r="D3913" s="46" t="n">
        <f aca="false">MIN(1,'Model Inputs &amp; Assumptions'!$U$35*EXP('Model Inputs &amp; Assumptions'!$V$35*Q3913-'Model Inputs &amp; Assumptions'!$V$35^2/2))</f>
        <v>0</v>
      </c>
      <c r="E3913" s="45" t="n">
        <f aca="false">ROUND(C3913*D3913,0)</f>
        <v>0</v>
      </c>
      <c r="F3913" s="47" t="n">
        <f aca="false">MIN(1,'Model Inputs &amp; Assumptions'!$W$35*EXP('Model Inputs &amp; Assumptions'!$X$35*R3913-'Model Inputs &amp; Assumptions'!$X$35^2/2))</f>
        <v>0.00449144073374507</v>
      </c>
      <c r="G3913" s="45" t="n">
        <f aca="false">ROUND(C3913*F3913,0)</f>
        <v>474</v>
      </c>
      <c r="H3913" s="48" t="n">
        <f aca="false">MAX(0,(C3913*'Model Inputs &amp; Assumptions'!$N$35+E3913*'Model Inputs &amp; Assumptions'!$O$35+G3913*'Model Inputs &amp; Assumptions'!$P$35)*EXP('Model Inputs &amp; Assumptions'!$Q$35*S3913-'Model Inputs &amp; Assumptions'!$Q$35^2/2))</f>
        <v>35.6962265658055</v>
      </c>
      <c r="I3913" s="49" t="n">
        <f aca="false">IF('Model Inputs &amp; Assumptions'!$H$35="Fixed",'Model Inputs &amp; Assumptions'!$I$35*'Model Inputs &amp; Assumptions'!$K$35,IF('Model Inputs &amp; Assumptions'!$H$35="CPM",'Model Inputs &amp; Assumptions'!$I$35*'Model Inputs &amp; Assumptions'!$K$35*C3913/1000,IF('Model Inputs &amp; Assumptions'!$H$35="CPC",'Model Inputs &amp; Assumptions'!$I$35*'Model Inputs &amp; Assumptions'!$K$35*G3913,0)))</f>
        <v>8672.8</v>
      </c>
      <c r="J3913" s="50" t="n">
        <f aca="false">H3913*INDEX('Model Inputs &amp; Assumptions'!$D$40:$D$42,MATCH('Model Inputs &amp; Assumptions'!$L$35,'Model Inputs &amp; Assumptions'!$A$40:$A$42,0))*INDEX('Model Inputs &amp; Assumptions'!$H$40:$H$42,MATCH('Model Inputs &amp; Assumptions'!$L$35,'Model Inputs &amp; Assumptions'!$A$40:$A$42,0))</f>
        <v>303417.925809347</v>
      </c>
      <c r="K3913" s="49" t="n">
        <f aca="false">H3913*INDEX('Model Inputs &amp; Assumptions'!$G$40:$G$42,MATCH('Model Inputs &amp; Assumptions'!$L$35,'Model Inputs &amp; Assumptions'!$A$40:$A$42,0))*INDEX('Model Inputs &amp; Assumptions'!$H$40:$H$42,MATCH('Model Inputs &amp; Assumptions'!$L$35,'Model Inputs &amp; Assumptions'!$A$40:$A$42,0))</f>
        <v>6826.9033307103</v>
      </c>
      <c r="L3913" s="51" t="n">
        <f aca="false">IFERROR(K3913/I3913,0)</f>
        <v>0.787162546203106</v>
      </c>
      <c r="M3913" s="49" t="n">
        <f aca="false">IFERROR(I3913/H3913,0)</f>
        <v>242.961254854538</v>
      </c>
      <c r="N3913" s="52" t="str">
        <f aca="false">'Model Inputs &amp; Assumptions'!$L$35</f>
        <v>PRD-EUAI</v>
      </c>
      <c r="P3913" s="53" t="n">
        <v>1.178291</v>
      </c>
      <c r="Q3913" s="53" t="n">
        <v>0.85275</v>
      </c>
      <c r="R3913" s="53" t="n">
        <v>-1.89967</v>
      </c>
      <c r="S3913" s="53" t="n">
        <v>0.411145</v>
      </c>
    </row>
    <row r="3914" customFormat="false" ht="15" hidden="false" customHeight="false" outlineLevel="0" collapsed="false">
      <c r="A3914" s="43" t="n">
        <v>411</v>
      </c>
      <c r="B3914" s="44" t="str">
        <f aca="false">'Model Inputs &amp; Assumptions'!$B$35</f>
        <v>justETF — Sponsored Listing</v>
      </c>
      <c r="C3914" s="45" t="n">
        <f aca="false">ROUND(MAX(0,'Model Inputs &amp; Assumptions'!$S$35*EXP('Model Inputs &amp; Assumptions'!$T$35*P3914-'Model Inputs &amp; Assumptions'!$T$35^2/2)),0)</f>
        <v>93529</v>
      </c>
      <c r="D3914" s="46" t="n">
        <f aca="false">MIN(1,'Model Inputs &amp; Assumptions'!$U$35*EXP('Model Inputs &amp; Assumptions'!$V$35*Q3914-'Model Inputs &amp; Assumptions'!$V$35^2/2))</f>
        <v>0</v>
      </c>
      <c r="E3914" s="45" t="n">
        <f aca="false">ROUND(C3914*D3914,0)</f>
        <v>0</v>
      </c>
      <c r="F3914" s="47" t="n">
        <f aca="false">MIN(1,'Model Inputs &amp; Assumptions'!$W$35*EXP('Model Inputs &amp; Assumptions'!$X$35*R3914-'Model Inputs &amp; Assumptions'!$X$35^2/2))</f>
        <v>0.00666146830451712</v>
      </c>
      <c r="G3914" s="45" t="n">
        <f aca="false">ROUND(C3914*F3914,0)</f>
        <v>623</v>
      </c>
      <c r="H3914" s="48" t="n">
        <f aca="false">MAX(0,(C3914*'Model Inputs &amp; Assumptions'!$N$35+E3914*'Model Inputs &amp; Assumptions'!$O$35+G3914*'Model Inputs &amp; Assumptions'!$P$35)*EXP('Model Inputs &amp; Assumptions'!$Q$35*S3914-'Model Inputs &amp; Assumptions'!$Q$35^2/2))</f>
        <v>44.9466217270757</v>
      </c>
      <c r="I3914" s="49" t="n">
        <f aca="false">IF('Model Inputs &amp; Assumptions'!$H$35="Fixed",'Model Inputs &amp; Assumptions'!$I$35*'Model Inputs &amp; Assumptions'!$K$35,IF('Model Inputs &amp; Assumptions'!$H$35="CPM",'Model Inputs &amp; Assumptions'!$I$35*'Model Inputs &amp; Assumptions'!$K$35*C3914/1000,IF('Model Inputs &amp; Assumptions'!$H$35="CPC",'Model Inputs &amp; Assumptions'!$I$35*'Model Inputs &amp; Assumptions'!$K$35*G3914,0)))</f>
        <v>8672.8</v>
      </c>
      <c r="J3914" s="50" t="n">
        <f aca="false">H3914*INDEX('Model Inputs &amp; Assumptions'!$D$40:$D$42,MATCH('Model Inputs &amp; Assumptions'!$L$35,'Model Inputs &amp; Assumptions'!$A$40:$A$42,0))*INDEX('Model Inputs &amp; Assumptions'!$H$40:$H$42,MATCH('Model Inputs &amp; Assumptions'!$L$35,'Model Inputs &amp; Assumptions'!$A$40:$A$42,0))</f>
        <v>382046.284680144</v>
      </c>
      <c r="K3914" s="49" t="n">
        <f aca="false">H3914*INDEX('Model Inputs &amp; Assumptions'!$G$40:$G$42,MATCH('Model Inputs &amp; Assumptions'!$L$35,'Model Inputs &amp; Assumptions'!$A$40:$A$42,0))*INDEX('Model Inputs &amp; Assumptions'!$H$40:$H$42,MATCH('Model Inputs &amp; Assumptions'!$L$35,'Model Inputs &amp; Assumptions'!$A$40:$A$42,0))</f>
        <v>8596.04140530323</v>
      </c>
      <c r="L3914" s="51" t="n">
        <f aca="false">IFERROR(K3914/I3914,0)</f>
        <v>0.991149502502448</v>
      </c>
      <c r="M3914" s="49" t="n">
        <f aca="false">IFERROR(I3914/H3914,0)</f>
        <v>192.957772280704</v>
      </c>
      <c r="N3914" s="52" t="str">
        <f aca="false">'Model Inputs &amp; Assumptions'!$L$35</f>
        <v>PRD-EUAI</v>
      </c>
      <c r="P3914" s="53" t="n">
        <v>0.376029</v>
      </c>
      <c r="Q3914" s="53" t="n">
        <v>1.678953</v>
      </c>
      <c r="R3914" s="53" t="n">
        <v>0.071162</v>
      </c>
      <c r="S3914" s="53" t="n">
        <v>0.246112</v>
      </c>
    </row>
    <row r="3915" customFormat="false" ht="15" hidden="false" customHeight="false" outlineLevel="0" collapsed="false">
      <c r="A3915" s="43" t="n">
        <v>412</v>
      </c>
      <c r="B3915" s="44" t="str">
        <f aca="false">'Model Inputs &amp; Assumptions'!$B$35</f>
        <v>justETF — Sponsored Listing</v>
      </c>
      <c r="C3915" s="45" t="n">
        <f aca="false">ROUND(MAX(0,'Model Inputs &amp; Assumptions'!$S$35*EXP('Model Inputs &amp; Assumptions'!$T$35*P3915-'Model Inputs &amp; Assumptions'!$T$35^2/2)),0)</f>
        <v>107719</v>
      </c>
      <c r="D3915" s="46" t="n">
        <f aca="false">MIN(1,'Model Inputs &amp; Assumptions'!$U$35*EXP('Model Inputs &amp; Assumptions'!$V$35*Q3915-'Model Inputs &amp; Assumptions'!$V$35^2/2))</f>
        <v>0</v>
      </c>
      <c r="E3915" s="45" t="n">
        <f aca="false">ROUND(C3915*D3915,0)</f>
        <v>0</v>
      </c>
      <c r="F3915" s="47" t="n">
        <f aca="false">MIN(1,'Model Inputs &amp; Assumptions'!$W$35*EXP('Model Inputs &amp; Assumptions'!$X$35*R3915-'Model Inputs &amp; Assumptions'!$X$35^2/2))</f>
        <v>0.00497241842507089</v>
      </c>
      <c r="G3915" s="45" t="n">
        <f aca="false">ROUND(C3915*F3915,0)</f>
        <v>536</v>
      </c>
      <c r="H3915" s="48" t="n">
        <f aca="false">MAX(0,(C3915*'Model Inputs &amp; Assumptions'!$N$35+E3915*'Model Inputs &amp; Assumptions'!$O$35+G3915*'Model Inputs &amp; Assumptions'!$P$35)*EXP('Model Inputs &amp; Assumptions'!$Q$35*S3915-'Model Inputs &amp; Assumptions'!$Q$35^2/2))</f>
        <v>36.431567001573</v>
      </c>
      <c r="I3915" s="49" t="n">
        <f aca="false">IF('Model Inputs &amp; Assumptions'!$H$35="Fixed",'Model Inputs &amp; Assumptions'!$I$35*'Model Inputs &amp; Assumptions'!$K$35,IF('Model Inputs &amp; Assumptions'!$H$35="CPM",'Model Inputs &amp; Assumptions'!$I$35*'Model Inputs &amp; Assumptions'!$K$35*C3915/1000,IF('Model Inputs &amp; Assumptions'!$H$35="CPC",'Model Inputs &amp; Assumptions'!$I$35*'Model Inputs &amp; Assumptions'!$K$35*G3915,0)))</f>
        <v>8672.8</v>
      </c>
      <c r="J3915" s="50" t="n">
        <f aca="false">H3915*INDEX('Model Inputs &amp; Assumptions'!$D$40:$D$42,MATCH('Model Inputs &amp; Assumptions'!$L$35,'Model Inputs &amp; Assumptions'!$A$40:$A$42,0))*INDEX('Model Inputs &amp; Assumptions'!$H$40:$H$42,MATCH('Model Inputs &amp; Assumptions'!$L$35,'Model Inputs &amp; Assumptions'!$A$40:$A$42,0))</f>
        <v>309668.31951337</v>
      </c>
      <c r="K3915" s="49" t="n">
        <f aca="false">H3915*INDEX('Model Inputs &amp; Assumptions'!$G$40:$G$42,MATCH('Model Inputs &amp; Assumptions'!$L$35,'Model Inputs &amp; Assumptions'!$A$40:$A$42,0))*INDEX('Model Inputs &amp; Assumptions'!$H$40:$H$42,MATCH('Model Inputs &amp; Assumptions'!$L$35,'Model Inputs &amp; Assumptions'!$A$40:$A$42,0))</f>
        <v>6967.53718905083</v>
      </c>
      <c r="L3915" s="51" t="n">
        <f aca="false">IFERROR(K3915/I3915,0)</f>
        <v>0.803378054267461</v>
      </c>
      <c r="M3915" s="49" t="n">
        <f aca="false">IFERROR(I3915/H3915,0)</f>
        <v>238.057286957367</v>
      </c>
      <c r="N3915" s="52" t="str">
        <f aca="false">'Model Inputs &amp; Assumptions'!$L$35</f>
        <v>PRD-EUAI</v>
      </c>
      <c r="P3915" s="53" t="n">
        <v>1.317694</v>
      </c>
      <c r="Q3915" s="53" t="n">
        <v>0.879297</v>
      </c>
      <c r="R3915" s="53" t="n">
        <v>-1.391006</v>
      </c>
      <c r="S3915" s="53" t="n">
        <v>0.016775</v>
      </c>
    </row>
    <row r="3916" customFormat="false" ht="15" hidden="false" customHeight="false" outlineLevel="0" collapsed="false">
      <c r="A3916" s="43" t="n">
        <v>413</v>
      </c>
      <c r="B3916" s="44" t="str">
        <f aca="false">'Model Inputs &amp; Assumptions'!$B$35</f>
        <v>justETF — Sponsored Listing</v>
      </c>
      <c r="C3916" s="45" t="n">
        <f aca="false">ROUND(MAX(0,'Model Inputs &amp; Assumptions'!$S$35*EXP('Model Inputs &amp; Assumptions'!$T$35*P3916-'Model Inputs &amp; Assumptions'!$T$35^2/2)),0)</f>
        <v>83726</v>
      </c>
      <c r="D3916" s="46" t="n">
        <f aca="false">MIN(1,'Model Inputs &amp; Assumptions'!$U$35*EXP('Model Inputs &amp; Assumptions'!$V$35*Q3916-'Model Inputs &amp; Assumptions'!$V$35^2/2))</f>
        <v>0</v>
      </c>
      <c r="E3916" s="45" t="n">
        <f aca="false">ROUND(C3916*D3916,0)</f>
        <v>0</v>
      </c>
      <c r="F3916" s="47" t="n">
        <f aca="false">MIN(1,'Model Inputs &amp; Assumptions'!$W$35*EXP('Model Inputs &amp; Assumptions'!$X$35*R3916-'Model Inputs &amp; Assumptions'!$X$35^2/2))</f>
        <v>0.00616448949613524</v>
      </c>
      <c r="G3916" s="45" t="n">
        <f aca="false">ROUND(C3916*F3916,0)</f>
        <v>516</v>
      </c>
      <c r="H3916" s="48" t="n">
        <f aca="false">MAX(0,(C3916*'Model Inputs &amp; Assumptions'!$N$35+E3916*'Model Inputs &amp; Assumptions'!$O$35+G3916*'Model Inputs &amp; Assumptions'!$P$35)*EXP('Model Inputs &amp; Assumptions'!$Q$35*S3916-'Model Inputs &amp; Assumptions'!$Q$35^2/2))</f>
        <v>62.2572844981299</v>
      </c>
      <c r="I3916" s="49" t="n">
        <f aca="false">IF('Model Inputs &amp; Assumptions'!$H$35="Fixed",'Model Inputs &amp; Assumptions'!$I$35*'Model Inputs &amp; Assumptions'!$K$35,IF('Model Inputs &amp; Assumptions'!$H$35="CPM",'Model Inputs &amp; Assumptions'!$I$35*'Model Inputs &amp; Assumptions'!$K$35*C3916/1000,IF('Model Inputs &amp; Assumptions'!$H$35="CPC",'Model Inputs &amp; Assumptions'!$I$35*'Model Inputs &amp; Assumptions'!$K$35*G3916,0)))</f>
        <v>8672.8</v>
      </c>
      <c r="J3916" s="50" t="n">
        <f aca="false">H3916*INDEX('Model Inputs &amp; Assumptions'!$D$40:$D$42,MATCH('Model Inputs &amp; Assumptions'!$L$35,'Model Inputs &amp; Assumptions'!$A$40:$A$42,0))*INDEX('Model Inputs &amp; Assumptions'!$H$40:$H$42,MATCH('Model Inputs &amp; Assumptions'!$L$35,'Model Inputs &amp; Assumptions'!$A$40:$A$42,0))</f>
        <v>529186.918234104</v>
      </c>
      <c r="K3916" s="49" t="n">
        <f aca="false">H3916*INDEX('Model Inputs &amp; Assumptions'!$G$40:$G$42,MATCH('Model Inputs &amp; Assumptions'!$L$35,'Model Inputs &amp; Assumptions'!$A$40:$A$42,0))*INDEX('Model Inputs &amp; Assumptions'!$H$40:$H$42,MATCH('Model Inputs &amp; Assumptions'!$L$35,'Model Inputs &amp; Assumptions'!$A$40:$A$42,0))</f>
        <v>11906.7056602673</v>
      </c>
      <c r="L3916" s="51" t="n">
        <f aca="false">IFERROR(K3916/I3916,0)</f>
        <v>1.37287907714548</v>
      </c>
      <c r="M3916" s="49" t="n">
        <f aca="false">IFERROR(I3916/H3916,0)</f>
        <v>139.30578678324</v>
      </c>
      <c r="N3916" s="52" t="str">
        <f aca="false">'Model Inputs &amp; Assumptions'!$L$35</f>
        <v>PRD-EUAI</v>
      </c>
      <c r="P3916" s="53" t="n">
        <v>-0.362132</v>
      </c>
      <c r="Q3916" s="53" t="n">
        <v>-0.041705</v>
      </c>
      <c r="R3916" s="53" t="n">
        <v>-0.316511</v>
      </c>
      <c r="S3916" s="53" t="n">
        <v>2.223957</v>
      </c>
    </row>
    <row r="3917" customFormat="false" ht="15" hidden="false" customHeight="false" outlineLevel="0" collapsed="false">
      <c r="A3917" s="43" t="n">
        <v>414</v>
      </c>
      <c r="B3917" s="44" t="str">
        <f aca="false">'Model Inputs &amp; Assumptions'!$B$35</f>
        <v>justETF — Sponsored Listing</v>
      </c>
      <c r="C3917" s="45" t="n">
        <f aca="false">ROUND(MAX(0,'Model Inputs &amp; Assumptions'!$S$35*EXP('Model Inputs &amp; Assumptions'!$T$35*P3917-'Model Inputs &amp; Assumptions'!$T$35^2/2)),0)</f>
        <v>104273</v>
      </c>
      <c r="D3917" s="46" t="n">
        <f aca="false">MIN(1,'Model Inputs &amp; Assumptions'!$U$35*EXP('Model Inputs &amp; Assumptions'!$V$35*Q3917-'Model Inputs &amp; Assumptions'!$V$35^2/2))</f>
        <v>0</v>
      </c>
      <c r="E3917" s="45" t="n">
        <f aca="false">ROUND(C3917*D3917,0)</f>
        <v>0</v>
      </c>
      <c r="F3917" s="47" t="n">
        <f aca="false">MIN(1,'Model Inputs &amp; Assumptions'!$W$35*EXP('Model Inputs &amp; Assumptions'!$X$35*R3917-'Model Inputs &amp; Assumptions'!$X$35^2/2))</f>
        <v>0.00492154214943113</v>
      </c>
      <c r="G3917" s="45" t="n">
        <f aca="false">ROUND(C3917*F3917,0)</f>
        <v>513</v>
      </c>
      <c r="H3917" s="48" t="n">
        <f aca="false">MAX(0,(C3917*'Model Inputs &amp; Assumptions'!$N$35+E3917*'Model Inputs &amp; Assumptions'!$O$35+G3917*'Model Inputs &amp; Assumptions'!$P$35)*EXP('Model Inputs &amp; Assumptions'!$Q$35*S3917-'Model Inputs &amp; Assumptions'!$Q$35^2/2))</f>
        <v>29.1931206762302</v>
      </c>
      <c r="I3917" s="49" t="n">
        <f aca="false">IF('Model Inputs &amp; Assumptions'!$H$35="Fixed",'Model Inputs &amp; Assumptions'!$I$35*'Model Inputs &amp; Assumptions'!$K$35,IF('Model Inputs &amp; Assumptions'!$H$35="CPM",'Model Inputs &amp; Assumptions'!$I$35*'Model Inputs &amp; Assumptions'!$K$35*C3917/1000,IF('Model Inputs &amp; Assumptions'!$H$35="CPC",'Model Inputs &amp; Assumptions'!$I$35*'Model Inputs &amp; Assumptions'!$K$35*G3917,0)))</f>
        <v>8672.8</v>
      </c>
      <c r="J3917" s="50" t="n">
        <f aca="false">H3917*INDEX('Model Inputs &amp; Assumptions'!$D$40:$D$42,MATCH('Model Inputs &amp; Assumptions'!$L$35,'Model Inputs &amp; Assumptions'!$A$40:$A$42,0))*INDEX('Model Inputs &amp; Assumptions'!$H$40:$H$42,MATCH('Model Inputs &amp; Assumptions'!$L$35,'Model Inputs &amp; Assumptions'!$A$40:$A$42,0))</f>
        <v>248141.525747957</v>
      </c>
      <c r="K3917" s="49" t="n">
        <f aca="false">H3917*INDEX('Model Inputs &amp; Assumptions'!$G$40:$G$42,MATCH('Model Inputs &amp; Assumptions'!$L$35,'Model Inputs &amp; Assumptions'!$A$40:$A$42,0))*INDEX('Model Inputs &amp; Assumptions'!$H$40:$H$42,MATCH('Model Inputs &amp; Assumptions'!$L$35,'Model Inputs &amp; Assumptions'!$A$40:$A$42,0))</f>
        <v>5583.18432932902</v>
      </c>
      <c r="L3917" s="51" t="n">
        <f aca="false">IFERROR(K3917/I3917,0)</f>
        <v>0.643757993880756</v>
      </c>
      <c r="M3917" s="49" t="n">
        <f aca="false">IFERROR(I3917/H3917,0)</f>
        <v>297.08368955093</v>
      </c>
      <c r="N3917" s="52" t="str">
        <f aca="false">'Model Inputs &amp; Assumptions'!$L$35</f>
        <v>PRD-EUAI</v>
      </c>
      <c r="P3917" s="53" t="n">
        <v>1.100924</v>
      </c>
      <c r="Q3917" s="53" t="n">
        <v>-1.140816</v>
      </c>
      <c r="R3917" s="53" t="n">
        <v>-1.442428</v>
      </c>
      <c r="S3917" s="53" t="n">
        <v>-0.666472</v>
      </c>
    </row>
    <row r="3918" customFormat="false" ht="15" hidden="false" customHeight="false" outlineLevel="0" collapsed="false">
      <c r="A3918" s="43" t="n">
        <v>415</v>
      </c>
      <c r="B3918" s="44" t="str">
        <f aca="false">'Model Inputs &amp; Assumptions'!$B$35</f>
        <v>justETF — Sponsored Listing</v>
      </c>
      <c r="C3918" s="45" t="n">
        <f aca="false">ROUND(MAX(0,'Model Inputs &amp; Assumptions'!$S$35*EXP('Model Inputs &amp; Assumptions'!$T$35*P3918-'Model Inputs &amp; Assumptions'!$T$35^2/2)),0)</f>
        <v>102309</v>
      </c>
      <c r="D3918" s="46" t="n">
        <f aca="false">MIN(1,'Model Inputs &amp; Assumptions'!$U$35*EXP('Model Inputs &amp; Assumptions'!$V$35*Q3918-'Model Inputs &amp; Assumptions'!$V$35^2/2))</f>
        <v>0</v>
      </c>
      <c r="E3918" s="45" t="n">
        <f aca="false">ROUND(C3918*D3918,0)</f>
        <v>0</v>
      </c>
      <c r="F3918" s="47" t="n">
        <f aca="false">MIN(1,'Model Inputs &amp; Assumptions'!$W$35*EXP('Model Inputs &amp; Assumptions'!$X$35*R3918-'Model Inputs &amp; Assumptions'!$X$35^2/2))</f>
        <v>0.00459357655438174</v>
      </c>
      <c r="G3918" s="45" t="n">
        <f aca="false">ROUND(C3918*F3918,0)</f>
        <v>470</v>
      </c>
      <c r="H3918" s="48" t="n">
        <f aca="false">MAX(0,(C3918*'Model Inputs &amp; Assumptions'!$N$35+E3918*'Model Inputs &amp; Assumptions'!$O$35+G3918*'Model Inputs &amp; Assumptions'!$P$35)*EXP('Model Inputs &amp; Assumptions'!$Q$35*S3918-'Model Inputs &amp; Assumptions'!$Q$35^2/2))</f>
        <v>26.82702668531</v>
      </c>
      <c r="I3918" s="49" t="n">
        <f aca="false">IF('Model Inputs &amp; Assumptions'!$H$35="Fixed",'Model Inputs &amp; Assumptions'!$I$35*'Model Inputs &amp; Assumptions'!$K$35,IF('Model Inputs &amp; Assumptions'!$H$35="CPM",'Model Inputs &amp; Assumptions'!$I$35*'Model Inputs &amp; Assumptions'!$K$35*C3918/1000,IF('Model Inputs &amp; Assumptions'!$H$35="CPC",'Model Inputs &amp; Assumptions'!$I$35*'Model Inputs &amp; Assumptions'!$K$35*G3918,0)))</f>
        <v>8672.8</v>
      </c>
      <c r="J3918" s="50" t="n">
        <f aca="false">H3918*INDEX('Model Inputs &amp; Assumptions'!$D$40:$D$42,MATCH('Model Inputs &amp; Assumptions'!$L$35,'Model Inputs &amp; Assumptions'!$A$40:$A$42,0))*INDEX('Model Inputs &amp; Assumptions'!$H$40:$H$42,MATCH('Model Inputs &amp; Assumptions'!$L$35,'Model Inputs &amp; Assumptions'!$A$40:$A$42,0))</f>
        <v>228029.726825135</v>
      </c>
      <c r="K3918" s="49" t="n">
        <f aca="false">H3918*INDEX('Model Inputs &amp; Assumptions'!$G$40:$G$42,MATCH('Model Inputs &amp; Assumptions'!$L$35,'Model Inputs &amp; Assumptions'!$A$40:$A$42,0))*INDEX('Model Inputs &amp; Assumptions'!$H$40:$H$42,MATCH('Model Inputs &amp; Assumptions'!$L$35,'Model Inputs &amp; Assumptions'!$A$40:$A$42,0))</f>
        <v>5130.66885356554</v>
      </c>
      <c r="L3918" s="51" t="n">
        <f aca="false">IFERROR(K3918/I3918,0)</f>
        <v>0.591581594590621</v>
      </c>
      <c r="M3918" s="49" t="n">
        <f aca="false">IFERROR(I3918/H3918,0)</f>
        <v>323.285919894696</v>
      </c>
      <c r="N3918" s="52" t="str">
        <f aca="false">'Model Inputs &amp; Assumptions'!$L$35</f>
        <v>PRD-EUAI</v>
      </c>
      <c r="P3918" s="53" t="n">
        <v>0.974209</v>
      </c>
      <c r="Q3918" s="53" t="n">
        <v>-0.483905</v>
      </c>
      <c r="R3918" s="53" t="n">
        <v>-1.787243</v>
      </c>
      <c r="S3918" s="53" t="n">
        <v>-0.654857</v>
      </c>
    </row>
    <row r="3919" customFormat="false" ht="15" hidden="false" customHeight="false" outlineLevel="0" collapsed="false">
      <c r="A3919" s="43" t="n">
        <v>416</v>
      </c>
      <c r="B3919" s="44" t="str">
        <f aca="false">'Model Inputs &amp; Assumptions'!$B$35</f>
        <v>justETF — Sponsored Listing</v>
      </c>
      <c r="C3919" s="45" t="n">
        <f aca="false">ROUND(MAX(0,'Model Inputs &amp; Assumptions'!$S$35*EXP('Model Inputs &amp; Assumptions'!$T$35*P3919-'Model Inputs &amp; Assumptions'!$T$35^2/2)),0)</f>
        <v>70018</v>
      </c>
      <c r="D3919" s="46" t="n">
        <f aca="false">MIN(1,'Model Inputs &amp; Assumptions'!$U$35*EXP('Model Inputs &amp; Assumptions'!$V$35*Q3919-'Model Inputs &amp; Assumptions'!$V$35^2/2))</f>
        <v>0</v>
      </c>
      <c r="E3919" s="45" t="n">
        <f aca="false">ROUND(C3919*D3919,0)</f>
        <v>0</v>
      </c>
      <c r="F3919" s="47" t="n">
        <f aca="false">MIN(1,'Model Inputs &amp; Assumptions'!$W$35*EXP('Model Inputs &amp; Assumptions'!$X$35*R3919-'Model Inputs &amp; Assumptions'!$X$35^2/2))</f>
        <v>0.00816835323716416</v>
      </c>
      <c r="G3919" s="45" t="n">
        <f aca="false">ROUND(C3919*F3919,0)</f>
        <v>572</v>
      </c>
      <c r="H3919" s="48" t="n">
        <f aca="false">MAX(0,(C3919*'Model Inputs &amp; Assumptions'!$N$35+E3919*'Model Inputs &amp; Assumptions'!$O$35+G3919*'Model Inputs &amp; Assumptions'!$P$35)*EXP('Model Inputs &amp; Assumptions'!$Q$35*S3919-'Model Inputs &amp; Assumptions'!$Q$35^2/2))</f>
        <v>32.0850405312267</v>
      </c>
      <c r="I3919" s="49" t="n">
        <f aca="false">IF('Model Inputs &amp; Assumptions'!$H$35="Fixed",'Model Inputs &amp; Assumptions'!$I$35*'Model Inputs &amp; Assumptions'!$K$35,IF('Model Inputs &amp; Assumptions'!$H$35="CPM",'Model Inputs &amp; Assumptions'!$I$35*'Model Inputs &amp; Assumptions'!$K$35*C3919/1000,IF('Model Inputs &amp; Assumptions'!$H$35="CPC",'Model Inputs &amp; Assumptions'!$I$35*'Model Inputs &amp; Assumptions'!$K$35*G3919,0)))</f>
        <v>8672.8</v>
      </c>
      <c r="J3919" s="50" t="n">
        <f aca="false">H3919*INDEX('Model Inputs &amp; Assumptions'!$D$40:$D$42,MATCH('Model Inputs &amp; Assumptions'!$L$35,'Model Inputs &amp; Assumptions'!$A$40:$A$42,0))*INDEX('Model Inputs &amp; Assumptions'!$H$40:$H$42,MATCH('Model Inputs &amp; Assumptions'!$L$35,'Model Inputs &amp; Assumptions'!$A$40:$A$42,0))</f>
        <v>272722.844515427</v>
      </c>
      <c r="K3919" s="49" t="n">
        <f aca="false">H3919*INDEX('Model Inputs &amp; Assumptions'!$G$40:$G$42,MATCH('Model Inputs &amp; Assumptions'!$L$35,'Model Inputs &amp; Assumptions'!$A$40:$A$42,0))*INDEX('Model Inputs &amp; Assumptions'!$H$40:$H$42,MATCH('Model Inputs &amp; Assumptions'!$L$35,'Model Inputs &amp; Assumptions'!$A$40:$A$42,0))</f>
        <v>6136.26400159711</v>
      </c>
      <c r="L3919" s="51" t="n">
        <f aca="false">IFERROR(K3919/I3919,0)</f>
        <v>0.707529748362364</v>
      </c>
      <c r="M3919" s="49" t="n">
        <f aca="false">IFERROR(I3919/H3919,0)</f>
        <v>270.306655575492</v>
      </c>
      <c r="N3919" s="52" t="str">
        <f aca="false">'Model Inputs &amp; Assumptions'!$L$35</f>
        <v>PRD-EUAI</v>
      </c>
      <c r="P3919" s="53" t="n">
        <v>-1.554081</v>
      </c>
      <c r="Q3919" s="53" t="n">
        <v>0.318024</v>
      </c>
      <c r="R3919" s="53" t="n">
        <v>1.090799</v>
      </c>
      <c r="S3919" s="53" t="n">
        <v>-0.721881</v>
      </c>
    </row>
    <row r="3920" customFormat="false" ht="15" hidden="false" customHeight="false" outlineLevel="0" collapsed="false">
      <c r="A3920" s="43" t="n">
        <v>417</v>
      </c>
      <c r="B3920" s="44" t="str">
        <f aca="false">'Model Inputs &amp; Assumptions'!$B$35</f>
        <v>justETF — Sponsored Listing</v>
      </c>
      <c r="C3920" s="45" t="n">
        <f aca="false">ROUND(MAX(0,'Model Inputs &amp; Assumptions'!$S$35*EXP('Model Inputs &amp; Assumptions'!$T$35*P3920-'Model Inputs &amp; Assumptions'!$T$35^2/2)),0)</f>
        <v>122166</v>
      </c>
      <c r="D3920" s="46" t="n">
        <f aca="false">MIN(1,'Model Inputs &amp; Assumptions'!$U$35*EXP('Model Inputs &amp; Assumptions'!$V$35*Q3920-'Model Inputs &amp; Assumptions'!$V$35^2/2))</f>
        <v>0</v>
      </c>
      <c r="E3920" s="45" t="n">
        <f aca="false">ROUND(C3920*D3920,0)</f>
        <v>0</v>
      </c>
      <c r="F3920" s="47" t="n">
        <f aca="false">MIN(1,'Model Inputs &amp; Assumptions'!$W$35*EXP('Model Inputs &amp; Assumptions'!$X$35*R3920-'Model Inputs &amp; Assumptions'!$X$35^2/2))</f>
        <v>0.00663091713960928</v>
      </c>
      <c r="G3920" s="45" t="n">
        <f aca="false">ROUND(C3920*F3920,0)</f>
        <v>810</v>
      </c>
      <c r="H3920" s="48" t="n">
        <f aca="false">MAX(0,(C3920*'Model Inputs &amp; Assumptions'!$N$35+E3920*'Model Inputs &amp; Assumptions'!$O$35+G3920*'Model Inputs &amp; Assumptions'!$P$35)*EXP('Model Inputs &amp; Assumptions'!$Q$35*S3920-'Model Inputs &amp; Assumptions'!$Q$35^2/2))</f>
        <v>52.256939254945</v>
      </c>
      <c r="I3920" s="49" t="n">
        <f aca="false">IF('Model Inputs &amp; Assumptions'!$H$35="Fixed",'Model Inputs &amp; Assumptions'!$I$35*'Model Inputs &amp; Assumptions'!$K$35,IF('Model Inputs &amp; Assumptions'!$H$35="CPM",'Model Inputs &amp; Assumptions'!$I$35*'Model Inputs &amp; Assumptions'!$K$35*C3920/1000,IF('Model Inputs &amp; Assumptions'!$H$35="CPC",'Model Inputs &amp; Assumptions'!$I$35*'Model Inputs &amp; Assumptions'!$K$35*G3920,0)))</f>
        <v>8672.8</v>
      </c>
      <c r="J3920" s="50" t="n">
        <f aca="false">H3920*INDEX('Model Inputs &amp; Assumptions'!$D$40:$D$42,MATCH('Model Inputs &amp; Assumptions'!$L$35,'Model Inputs &amp; Assumptions'!$A$40:$A$42,0))*INDEX('Model Inputs &amp; Assumptions'!$H$40:$H$42,MATCH('Model Inputs &amp; Assumptions'!$L$35,'Model Inputs &amp; Assumptions'!$A$40:$A$42,0))</f>
        <v>444183.983667033</v>
      </c>
      <c r="K3920" s="49" t="n">
        <f aca="false">H3920*INDEX('Model Inputs &amp; Assumptions'!$G$40:$G$42,MATCH('Model Inputs &amp; Assumptions'!$L$35,'Model Inputs &amp; Assumptions'!$A$40:$A$42,0))*INDEX('Model Inputs &amp; Assumptions'!$H$40:$H$42,MATCH('Model Inputs &amp; Assumptions'!$L$35,'Model Inputs &amp; Assumptions'!$A$40:$A$42,0))</f>
        <v>9994.13963250824</v>
      </c>
      <c r="L3920" s="51" t="n">
        <f aca="false">IFERROR(K3920/I3920,0)</f>
        <v>1.15235444522049</v>
      </c>
      <c r="M3920" s="49" t="n">
        <f aca="false">IFERROR(I3920/H3920,0)</f>
        <v>165.964561332002</v>
      </c>
      <c r="N3920" s="52" t="str">
        <f aca="false">'Model Inputs &amp; Assumptions'!$L$35</f>
        <v>PRD-EUAI</v>
      </c>
      <c r="P3920" s="53" t="n">
        <v>2.156744</v>
      </c>
      <c r="Q3920" s="53" t="n">
        <v>0.214488</v>
      </c>
      <c r="R3920" s="53" t="n">
        <v>0.048178</v>
      </c>
      <c r="S3920" s="53" t="n">
        <v>-0.183852</v>
      </c>
    </row>
    <row r="3921" customFormat="false" ht="15" hidden="false" customHeight="false" outlineLevel="0" collapsed="false">
      <c r="A3921" s="43" t="n">
        <v>418</v>
      </c>
      <c r="B3921" s="44" t="str">
        <f aca="false">'Model Inputs &amp; Assumptions'!$B$35</f>
        <v>justETF — Sponsored Listing</v>
      </c>
      <c r="C3921" s="45" t="n">
        <f aca="false">ROUND(MAX(0,'Model Inputs &amp; Assumptions'!$S$35*EXP('Model Inputs &amp; Assumptions'!$T$35*P3921-'Model Inputs &amp; Assumptions'!$T$35^2/2)),0)</f>
        <v>85802</v>
      </c>
      <c r="D3921" s="46" t="n">
        <f aca="false">MIN(1,'Model Inputs &amp; Assumptions'!$U$35*EXP('Model Inputs &amp; Assumptions'!$V$35*Q3921-'Model Inputs &amp; Assumptions'!$V$35^2/2))</f>
        <v>0</v>
      </c>
      <c r="E3921" s="45" t="n">
        <f aca="false">ROUND(C3921*D3921,0)</f>
        <v>0</v>
      </c>
      <c r="F3921" s="47" t="n">
        <f aca="false">MIN(1,'Model Inputs &amp; Assumptions'!$W$35*EXP('Model Inputs &amp; Assumptions'!$X$35*R3921-'Model Inputs &amp; Assumptions'!$X$35^2/2))</f>
        <v>0.00682533569810489</v>
      </c>
      <c r="G3921" s="45" t="n">
        <f aca="false">ROUND(C3921*F3921,0)</f>
        <v>586</v>
      </c>
      <c r="H3921" s="48" t="n">
        <f aca="false">MAX(0,(C3921*'Model Inputs &amp; Assumptions'!$N$35+E3921*'Model Inputs &amp; Assumptions'!$O$35+G3921*'Model Inputs &amp; Assumptions'!$P$35)*EXP('Model Inputs &amp; Assumptions'!$Q$35*S3921-'Model Inputs &amp; Assumptions'!$Q$35^2/2))</f>
        <v>38.5945900554433</v>
      </c>
      <c r="I3921" s="49" t="n">
        <f aca="false">IF('Model Inputs &amp; Assumptions'!$H$35="Fixed",'Model Inputs &amp; Assumptions'!$I$35*'Model Inputs &amp; Assumptions'!$K$35,IF('Model Inputs &amp; Assumptions'!$H$35="CPM",'Model Inputs &amp; Assumptions'!$I$35*'Model Inputs &amp; Assumptions'!$K$35*C3921/1000,IF('Model Inputs &amp; Assumptions'!$H$35="CPC",'Model Inputs &amp; Assumptions'!$I$35*'Model Inputs &amp; Assumptions'!$K$35*G3921,0)))</f>
        <v>8672.8</v>
      </c>
      <c r="J3921" s="50" t="n">
        <f aca="false">H3921*INDEX('Model Inputs &amp; Assumptions'!$D$40:$D$42,MATCH('Model Inputs &amp; Assumptions'!$L$35,'Model Inputs &amp; Assumptions'!$A$40:$A$42,0))*INDEX('Model Inputs &amp; Assumptions'!$H$40:$H$42,MATCH('Model Inputs &amp; Assumptions'!$L$35,'Model Inputs &amp; Assumptions'!$A$40:$A$42,0))</f>
        <v>328054.015471268</v>
      </c>
      <c r="K3921" s="49" t="n">
        <f aca="false">H3921*INDEX('Model Inputs &amp; Assumptions'!$G$40:$G$42,MATCH('Model Inputs &amp; Assumptions'!$L$35,'Model Inputs &amp; Assumptions'!$A$40:$A$42,0))*INDEX('Model Inputs &amp; Assumptions'!$H$40:$H$42,MATCH('Model Inputs &amp; Assumptions'!$L$35,'Model Inputs &amp; Assumptions'!$A$40:$A$42,0))</f>
        <v>7381.21534810353</v>
      </c>
      <c r="L3921" s="51" t="n">
        <f aca="false">IFERROR(K3921/I3921,0)</f>
        <v>0.851076393794798</v>
      </c>
      <c r="M3921" s="49" t="n">
        <f aca="false">IFERROR(I3921/H3921,0)</f>
        <v>224.715432591486</v>
      </c>
      <c r="N3921" s="52" t="str">
        <f aca="false">'Model Inputs &amp; Assumptions'!$L$35</f>
        <v>PRD-EUAI</v>
      </c>
      <c r="P3921" s="53" t="n">
        <v>-0.198892</v>
      </c>
      <c r="Q3921" s="53" t="n">
        <v>0.37638</v>
      </c>
      <c r="R3921" s="53" t="n">
        <v>0.19267</v>
      </c>
      <c r="S3921" s="53" t="n">
        <v>-0.104414</v>
      </c>
    </row>
    <row r="3922" customFormat="false" ht="15" hidden="false" customHeight="false" outlineLevel="0" collapsed="false">
      <c r="A3922" s="43" t="n">
        <v>419</v>
      </c>
      <c r="B3922" s="44" t="str">
        <f aca="false">'Model Inputs &amp; Assumptions'!$B$35</f>
        <v>justETF — Sponsored Listing</v>
      </c>
      <c r="C3922" s="45" t="n">
        <f aca="false">ROUND(MAX(0,'Model Inputs &amp; Assumptions'!$S$35*EXP('Model Inputs &amp; Assumptions'!$T$35*P3922-'Model Inputs &amp; Assumptions'!$T$35^2/2)),0)</f>
        <v>84556</v>
      </c>
      <c r="D3922" s="46" t="n">
        <f aca="false">MIN(1,'Model Inputs &amp; Assumptions'!$U$35*EXP('Model Inputs &amp; Assumptions'!$V$35*Q3922-'Model Inputs &amp; Assumptions'!$V$35^2/2))</f>
        <v>0</v>
      </c>
      <c r="E3922" s="45" t="n">
        <f aca="false">ROUND(C3922*D3922,0)</f>
        <v>0</v>
      </c>
      <c r="F3922" s="47" t="n">
        <f aca="false">MIN(1,'Model Inputs &amp; Assumptions'!$W$35*EXP('Model Inputs &amp; Assumptions'!$X$35*R3922-'Model Inputs &amp; Assumptions'!$X$35^2/2))</f>
        <v>0.00484982841705571</v>
      </c>
      <c r="G3922" s="45" t="n">
        <f aca="false">ROUND(C3922*F3922,0)</f>
        <v>410</v>
      </c>
      <c r="H3922" s="48" t="n">
        <f aca="false">MAX(0,(C3922*'Model Inputs &amp; Assumptions'!$N$35+E3922*'Model Inputs &amp; Assumptions'!$O$35+G3922*'Model Inputs &amp; Assumptions'!$P$35)*EXP('Model Inputs &amp; Assumptions'!$Q$35*S3922-'Model Inputs &amp; Assumptions'!$Q$35^2/2))</f>
        <v>29.1170071838124</v>
      </c>
      <c r="I3922" s="49" t="n">
        <f aca="false">IF('Model Inputs &amp; Assumptions'!$H$35="Fixed",'Model Inputs &amp; Assumptions'!$I$35*'Model Inputs &amp; Assumptions'!$K$35,IF('Model Inputs &amp; Assumptions'!$H$35="CPM",'Model Inputs &amp; Assumptions'!$I$35*'Model Inputs &amp; Assumptions'!$K$35*C3922/1000,IF('Model Inputs &amp; Assumptions'!$H$35="CPC",'Model Inputs &amp; Assumptions'!$I$35*'Model Inputs &amp; Assumptions'!$K$35*G3922,0)))</f>
        <v>8672.8</v>
      </c>
      <c r="J3922" s="50" t="n">
        <f aca="false">H3922*INDEX('Model Inputs &amp; Assumptions'!$D$40:$D$42,MATCH('Model Inputs &amp; Assumptions'!$L$35,'Model Inputs &amp; Assumptions'!$A$40:$A$42,0))*INDEX('Model Inputs &amp; Assumptions'!$H$40:$H$42,MATCH('Model Inputs &amp; Assumptions'!$L$35,'Model Inputs &amp; Assumptions'!$A$40:$A$42,0))</f>
        <v>247494.561062405</v>
      </c>
      <c r="K3922" s="49" t="n">
        <f aca="false">H3922*INDEX('Model Inputs &amp; Assumptions'!$G$40:$G$42,MATCH('Model Inputs &amp; Assumptions'!$L$35,'Model Inputs &amp; Assumptions'!$A$40:$A$42,0))*INDEX('Model Inputs &amp; Assumptions'!$H$40:$H$42,MATCH('Model Inputs &amp; Assumptions'!$L$35,'Model Inputs &amp; Assumptions'!$A$40:$A$42,0))</f>
        <v>5568.62762390412</v>
      </c>
      <c r="L3922" s="51" t="n">
        <f aca="false">IFERROR(K3922/I3922,0)</f>
        <v>0.642079561837482</v>
      </c>
      <c r="M3922" s="49" t="n">
        <f aca="false">IFERROR(I3922/H3922,0)</f>
        <v>297.860283004005</v>
      </c>
      <c r="N3922" s="52" t="str">
        <f aca="false">'Model Inputs &amp; Assumptions'!$L$35</f>
        <v>PRD-EUAI</v>
      </c>
      <c r="P3922" s="53" t="n">
        <v>-0.2964</v>
      </c>
      <c r="Q3922" s="53" t="n">
        <v>-0.659219</v>
      </c>
      <c r="R3922" s="53" t="n">
        <v>-1.515821</v>
      </c>
      <c r="S3922" s="53" t="n">
        <v>0.185482</v>
      </c>
    </row>
    <row r="3923" customFormat="false" ht="15" hidden="false" customHeight="false" outlineLevel="0" collapsed="false">
      <c r="A3923" s="43" t="n">
        <v>420</v>
      </c>
      <c r="B3923" s="44" t="str">
        <f aca="false">'Model Inputs &amp; Assumptions'!$B$35</f>
        <v>justETF — Sponsored Listing</v>
      </c>
      <c r="C3923" s="45" t="n">
        <f aca="false">ROUND(MAX(0,'Model Inputs &amp; Assumptions'!$S$35*EXP('Model Inputs &amp; Assumptions'!$T$35*P3923-'Model Inputs &amp; Assumptions'!$T$35^2/2)),0)</f>
        <v>90630</v>
      </c>
      <c r="D3923" s="46" t="n">
        <f aca="false">MIN(1,'Model Inputs &amp; Assumptions'!$U$35*EXP('Model Inputs &amp; Assumptions'!$V$35*Q3923-'Model Inputs &amp; Assumptions'!$V$35^2/2))</f>
        <v>0</v>
      </c>
      <c r="E3923" s="45" t="n">
        <f aca="false">ROUND(C3923*D3923,0)</f>
        <v>0</v>
      </c>
      <c r="F3923" s="47" t="n">
        <f aca="false">MIN(1,'Model Inputs &amp; Assumptions'!$W$35*EXP('Model Inputs &amp; Assumptions'!$X$35*R3923-'Model Inputs &amp; Assumptions'!$X$35^2/2))</f>
        <v>0.00851096495094091</v>
      </c>
      <c r="G3923" s="45" t="n">
        <f aca="false">ROUND(C3923*F3923,0)</f>
        <v>771</v>
      </c>
      <c r="H3923" s="48" t="n">
        <f aca="false">MAX(0,(C3923*'Model Inputs &amp; Assumptions'!$N$35+E3923*'Model Inputs &amp; Assumptions'!$O$35+G3923*'Model Inputs &amp; Assumptions'!$P$35)*EXP('Model Inputs &amp; Assumptions'!$Q$35*S3923-'Model Inputs &amp; Assumptions'!$Q$35^2/2))</f>
        <v>48.5534259007833</v>
      </c>
      <c r="I3923" s="49" t="n">
        <f aca="false">IF('Model Inputs &amp; Assumptions'!$H$35="Fixed",'Model Inputs &amp; Assumptions'!$I$35*'Model Inputs &amp; Assumptions'!$K$35,IF('Model Inputs &amp; Assumptions'!$H$35="CPM",'Model Inputs &amp; Assumptions'!$I$35*'Model Inputs &amp; Assumptions'!$K$35*C3923/1000,IF('Model Inputs &amp; Assumptions'!$H$35="CPC",'Model Inputs &amp; Assumptions'!$I$35*'Model Inputs &amp; Assumptions'!$K$35*G3923,0)))</f>
        <v>8672.8</v>
      </c>
      <c r="J3923" s="50" t="n">
        <f aca="false">H3923*INDEX('Model Inputs &amp; Assumptions'!$D$40:$D$42,MATCH('Model Inputs &amp; Assumptions'!$L$35,'Model Inputs &amp; Assumptions'!$A$40:$A$42,0))*INDEX('Model Inputs &amp; Assumptions'!$H$40:$H$42,MATCH('Model Inputs &amp; Assumptions'!$L$35,'Model Inputs &amp; Assumptions'!$A$40:$A$42,0))</f>
        <v>412704.120156658</v>
      </c>
      <c r="K3923" s="49" t="n">
        <f aca="false">H3923*INDEX('Model Inputs &amp; Assumptions'!$G$40:$G$42,MATCH('Model Inputs &amp; Assumptions'!$L$35,'Model Inputs &amp; Assumptions'!$A$40:$A$42,0))*INDEX('Model Inputs &amp; Assumptions'!$H$40:$H$42,MATCH('Model Inputs &amp; Assumptions'!$L$35,'Model Inputs &amp; Assumptions'!$A$40:$A$42,0))</f>
        <v>9285.84270352481</v>
      </c>
      <c r="L3923" s="51" t="n">
        <f aca="false">IFERROR(K3923/I3923,0)</f>
        <v>1.07068567285361</v>
      </c>
      <c r="M3923" s="49" t="n">
        <f aca="false">IFERROR(I3923/H3923,0)</f>
        <v>178.623852778637</v>
      </c>
      <c r="N3923" s="52" t="str">
        <f aca="false">'Model Inputs &amp; Assumptions'!$L$35</f>
        <v>PRD-EUAI</v>
      </c>
      <c r="P3923" s="53" t="n">
        <v>0.166133</v>
      </c>
      <c r="Q3923" s="53" t="n">
        <v>-0.512229</v>
      </c>
      <c r="R3923" s="53" t="n">
        <v>1.296239</v>
      </c>
      <c r="S3923" s="53" t="n">
        <v>-0.276783</v>
      </c>
    </row>
    <row r="3924" customFormat="false" ht="15" hidden="false" customHeight="false" outlineLevel="0" collapsed="false">
      <c r="A3924" s="43" t="n">
        <v>421</v>
      </c>
      <c r="B3924" s="44" t="str">
        <f aca="false">'Model Inputs &amp; Assumptions'!$B$35</f>
        <v>justETF — Sponsored Listing</v>
      </c>
      <c r="C3924" s="45" t="n">
        <f aca="false">ROUND(MAX(0,'Model Inputs &amp; Assumptions'!$S$35*EXP('Model Inputs &amp; Assumptions'!$T$35*P3924-'Model Inputs &amp; Assumptions'!$T$35^2/2)),0)</f>
        <v>88054</v>
      </c>
      <c r="D3924" s="46" t="n">
        <f aca="false">MIN(1,'Model Inputs &amp; Assumptions'!$U$35*EXP('Model Inputs &amp; Assumptions'!$V$35*Q3924-'Model Inputs &amp; Assumptions'!$V$35^2/2))</f>
        <v>0</v>
      </c>
      <c r="E3924" s="45" t="n">
        <f aca="false">ROUND(C3924*D3924,0)</f>
        <v>0</v>
      </c>
      <c r="F3924" s="47" t="n">
        <f aca="false">MIN(1,'Model Inputs &amp; Assumptions'!$W$35*EXP('Model Inputs &amp; Assumptions'!$X$35*R3924-'Model Inputs &amp; Assumptions'!$X$35^2/2))</f>
        <v>0.00618374408114699</v>
      </c>
      <c r="G3924" s="45" t="n">
        <f aca="false">ROUND(C3924*F3924,0)</f>
        <v>545</v>
      </c>
      <c r="H3924" s="48" t="n">
        <f aca="false">MAX(0,(C3924*'Model Inputs &amp; Assumptions'!$N$35+E3924*'Model Inputs &amp; Assumptions'!$O$35+G3924*'Model Inputs &amp; Assumptions'!$P$35)*EXP('Model Inputs &amp; Assumptions'!$Q$35*S3924-'Model Inputs &amp; Assumptions'!$Q$35^2/2))</f>
        <v>53.4626146332092</v>
      </c>
      <c r="I3924" s="49" t="n">
        <f aca="false">IF('Model Inputs &amp; Assumptions'!$H$35="Fixed",'Model Inputs &amp; Assumptions'!$I$35*'Model Inputs &amp; Assumptions'!$K$35,IF('Model Inputs &amp; Assumptions'!$H$35="CPM",'Model Inputs &amp; Assumptions'!$I$35*'Model Inputs &amp; Assumptions'!$K$35*C3924/1000,IF('Model Inputs &amp; Assumptions'!$H$35="CPC",'Model Inputs &amp; Assumptions'!$I$35*'Model Inputs &amp; Assumptions'!$K$35*G3924,0)))</f>
        <v>8672.8</v>
      </c>
      <c r="J3924" s="50" t="n">
        <f aca="false">H3924*INDEX('Model Inputs &amp; Assumptions'!$D$40:$D$42,MATCH('Model Inputs &amp; Assumptions'!$L$35,'Model Inputs &amp; Assumptions'!$A$40:$A$42,0))*INDEX('Model Inputs &amp; Assumptions'!$H$40:$H$42,MATCH('Model Inputs &amp; Assumptions'!$L$35,'Model Inputs &amp; Assumptions'!$A$40:$A$42,0))</f>
        <v>454432.224382279</v>
      </c>
      <c r="K3924" s="49" t="n">
        <f aca="false">H3924*INDEX('Model Inputs &amp; Assumptions'!$G$40:$G$42,MATCH('Model Inputs &amp; Assumptions'!$L$35,'Model Inputs &amp; Assumptions'!$A$40:$A$42,0))*INDEX('Model Inputs &amp; Assumptions'!$H$40:$H$42,MATCH('Model Inputs &amp; Assumptions'!$L$35,'Model Inputs &amp; Assumptions'!$A$40:$A$42,0))</f>
        <v>10224.7250486013</v>
      </c>
      <c r="L3924" s="51" t="n">
        <f aca="false">IFERROR(K3924/I3924,0)</f>
        <v>1.17894163921701</v>
      </c>
      <c r="M3924" s="49" t="n">
        <f aca="false">IFERROR(I3924/H3924,0)</f>
        <v>162.221770474591</v>
      </c>
      <c r="N3924" s="52" t="str">
        <f aca="false">'Model Inputs &amp; Assumptions'!$L$35</f>
        <v>PRD-EUAI</v>
      </c>
      <c r="P3924" s="53" t="n">
        <v>-0.02614</v>
      </c>
      <c r="Q3924" s="53" t="n">
        <v>-0.05925</v>
      </c>
      <c r="R3924" s="53" t="n">
        <v>-0.300918</v>
      </c>
      <c r="S3924" s="53" t="n">
        <v>1.427911</v>
      </c>
    </row>
    <row r="3925" customFormat="false" ht="15" hidden="false" customHeight="false" outlineLevel="0" collapsed="false">
      <c r="A3925" s="43" t="n">
        <v>422</v>
      </c>
      <c r="B3925" s="44" t="str">
        <f aca="false">'Model Inputs &amp; Assumptions'!$B$35</f>
        <v>justETF — Sponsored Listing</v>
      </c>
      <c r="C3925" s="45" t="n">
        <f aca="false">ROUND(MAX(0,'Model Inputs &amp; Assumptions'!$S$35*EXP('Model Inputs &amp; Assumptions'!$T$35*P3925-'Model Inputs &amp; Assumptions'!$T$35^2/2)),0)</f>
        <v>82478</v>
      </c>
      <c r="D3925" s="46" t="n">
        <f aca="false">MIN(1,'Model Inputs &amp; Assumptions'!$U$35*EXP('Model Inputs &amp; Assumptions'!$V$35*Q3925-'Model Inputs &amp; Assumptions'!$V$35^2/2))</f>
        <v>0</v>
      </c>
      <c r="E3925" s="45" t="n">
        <f aca="false">ROUND(C3925*D3925,0)</f>
        <v>0</v>
      </c>
      <c r="F3925" s="47" t="n">
        <f aca="false">MIN(1,'Model Inputs &amp; Assumptions'!$W$35*EXP('Model Inputs &amp; Assumptions'!$X$35*R3925-'Model Inputs &amp; Assumptions'!$X$35^2/2))</f>
        <v>0.00731226244880587</v>
      </c>
      <c r="G3925" s="45" t="n">
        <f aca="false">ROUND(C3925*F3925,0)</f>
        <v>603</v>
      </c>
      <c r="H3925" s="48" t="n">
        <f aca="false">MAX(0,(C3925*'Model Inputs &amp; Assumptions'!$N$35+E3925*'Model Inputs &amp; Assumptions'!$O$35+G3925*'Model Inputs &amp; Assumptions'!$P$35)*EXP('Model Inputs &amp; Assumptions'!$Q$35*S3925-'Model Inputs &amp; Assumptions'!$Q$35^2/2))</f>
        <v>23.9995648706597</v>
      </c>
      <c r="I3925" s="49" t="n">
        <f aca="false">IF('Model Inputs &amp; Assumptions'!$H$35="Fixed",'Model Inputs &amp; Assumptions'!$I$35*'Model Inputs &amp; Assumptions'!$K$35,IF('Model Inputs &amp; Assumptions'!$H$35="CPM",'Model Inputs &amp; Assumptions'!$I$35*'Model Inputs &amp; Assumptions'!$K$35*C3925/1000,IF('Model Inputs &amp; Assumptions'!$H$35="CPC",'Model Inputs &amp; Assumptions'!$I$35*'Model Inputs &amp; Assumptions'!$K$35*G3925,0)))</f>
        <v>8672.8</v>
      </c>
      <c r="J3925" s="50" t="n">
        <f aca="false">H3925*INDEX('Model Inputs &amp; Assumptions'!$D$40:$D$42,MATCH('Model Inputs &amp; Assumptions'!$L$35,'Model Inputs &amp; Assumptions'!$A$40:$A$42,0))*INDEX('Model Inputs &amp; Assumptions'!$H$40:$H$42,MATCH('Model Inputs &amp; Assumptions'!$L$35,'Model Inputs &amp; Assumptions'!$A$40:$A$42,0))</f>
        <v>203996.301400607</v>
      </c>
      <c r="K3925" s="49" t="n">
        <f aca="false">H3925*INDEX('Model Inputs &amp; Assumptions'!$G$40:$G$42,MATCH('Model Inputs &amp; Assumptions'!$L$35,'Model Inputs &amp; Assumptions'!$A$40:$A$42,0))*INDEX('Model Inputs &amp; Assumptions'!$H$40:$H$42,MATCH('Model Inputs &amp; Assumptions'!$L$35,'Model Inputs &amp; Assumptions'!$A$40:$A$42,0))</f>
        <v>4589.91678151366</v>
      </c>
      <c r="L3925" s="51" t="n">
        <f aca="false">IFERROR(K3925/I3925,0)</f>
        <v>0.529231249598015</v>
      </c>
      <c r="M3925" s="49" t="n">
        <f aca="false">IFERROR(I3925/H3925,0)</f>
        <v>361.373218503758</v>
      </c>
      <c r="N3925" s="52" t="str">
        <f aca="false">'Model Inputs &amp; Assumptions'!$L$35</f>
        <v>PRD-EUAI</v>
      </c>
      <c r="P3925" s="53" t="n">
        <v>-0.46227</v>
      </c>
      <c r="Q3925" s="53" t="n">
        <v>0.144907</v>
      </c>
      <c r="R3925" s="53" t="n">
        <v>0.537226</v>
      </c>
      <c r="S3925" s="53" t="n">
        <v>-2.041621</v>
      </c>
    </row>
    <row r="3926" customFormat="false" ht="15" hidden="false" customHeight="false" outlineLevel="0" collapsed="false">
      <c r="A3926" s="43" t="n">
        <v>423</v>
      </c>
      <c r="B3926" s="44" t="str">
        <f aca="false">'Model Inputs &amp; Assumptions'!$B$35</f>
        <v>justETF — Sponsored Listing</v>
      </c>
      <c r="C3926" s="45" t="n">
        <f aca="false">ROUND(MAX(0,'Model Inputs &amp; Assumptions'!$S$35*EXP('Model Inputs &amp; Assumptions'!$T$35*P3926-'Model Inputs &amp; Assumptions'!$T$35^2/2)),0)</f>
        <v>91080</v>
      </c>
      <c r="D3926" s="46" t="n">
        <f aca="false">MIN(1,'Model Inputs &amp; Assumptions'!$U$35*EXP('Model Inputs &amp; Assumptions'!$V$35*Q3926-'Model Inputs &amp; Assumptions'!$V$35^2/2))</f>
        <v>0</v>
      </c>
      <c r="E3926" s="45" t="n">
        <f aca="false">ROUND(C3926*D3926,0)</f>
        <v>0</v>
      </c>
      <c r="F3926" s="47" t="n">
        <f aca="false">MIN(1,'Model Inputs &amp; Assumptions'!$W$35*EXP('Model Inputs &amp; Assumptions'!$X$35*R3926-'Model Inputs &amp; Assumptions'!$X$35^2/2))</f>
        <v>0.00809199358378633</v>
      </c>
      <c r="G3926" s="45" t="n">
        <f aca="false">ROUND(C3926*F3926,0)</f>
        <v>737</v>
      </c>
      <c r="H3926" s="48" t="n">
        <f aca="false">MAX(0,(C3926*'Model Inputs &amp; Assumptions'!$N$35+E3926*'Model Inputs &amp; Assumptions'!$O$35+G3926*'Model Inputs &amp; Assumptions'!$P$35)*EXP('Model Inputs &amp; Assumptions'!$Q$35*S3926-'Model Inputs &amp; Assumptions'!$Q$35^2/2))</f>
        <v>56.6440638319186</v>
      </c>
      <c r="I3926" s="49" t="n">
        <f aca="false">IF('Model Inputs &amp; Assumptions'!$H$35="Fixed",'Model Inputs &amp; Assumptions'!$I$35*'Model Inputs &amp; Assumptions'!$K$35,IF('Model Inputs &amp; Assumptions'!$H$35="CPM",'Model Inputs &amp; Assumptions'!$I$35*'Model Inputs &amp; Assumptions'!$K$35*C3926/1000,IF('Model Inputs &amp; Assumptions'!$H$35="CPC",'Model Inputs &amp; Assumptions'!$I$35*'Model Inputs &amp; Assumptions'!$K$35*G3926,0)))</f>
        <v>8672.8</v>
      </c>
      <c r="J3926" s="50" t="n">
        <f aca="false">H3926*INDEX('Model Inputs &amp; Assumptions'!$D$40:$D$42,MATCH('Model Inputs &amp; Assumptions'!$L$35,'Model Inputs &amp; Assumptions'!$A$40:$A$42,0))*INDEX('Model Inputs &amp; Assumptions'!$H$40:$H$42,MATCH('Model Inputs &amp; Assumptions'!$L$35,'Model Inputs &amp; Assumptions'!$A$40:$A$42,0))</f>
        <v>481474.542571308</v>
      </c>
      <c r="K3926" s="49" t="n">
        <f aca="false">H3926*INDEX('Model Inputs &amp; Assumptions'!$G$40:$G$42,MATCH('Model Inputs &amp; Assumptions'!$L$35,'Model Inputs &amp; Assumptions'!$A$40:$A$42,0))*INDEX('Model Inputs &amp; Assumptions'!$H$40:$H$42,MATCH('Model Inputs &amp; Assumptions'!$L$35,'Model Inputs &amp; Assumptions'!$A$40:$A$42,0))</f>
        <v>10833.1772078544</v>
      </c>
      <c r="L3926" s="51" t="n">
        <f aca="false">IFERROR(K3926/I3926,0)</f>
        <v>1.24909800846952</v>
      </c>
      <c r="M3926" s="49" t="n">
        <f aca="false">IFERROR(I3926/H3926,0)</f>
        <v>153.110483487467</v>
      </c>
      <c r="N3926" s="52" t="str">
        <f aca="false">'Model Inputs &amp; Assumptions'!$L$35</f>
        <v>PRD-EUAI</v>
      </c>
      <c r="P3926" s="53" t="n">
        <v>0.199098</v>
      </c>
      <c r="Q3926" s="53" t="n">
        <v>0.793345</v>
      </c>
      <c r="R3926" s="53" t="n">
        <v>1.043838</v>
      </c>
      <c r="S3926" s="53" t="n">
        <v>0.489459</v>
      </c>
    </row>
    <row r="3927" customFormat="false" ht="15" hidden="false" customHeight="false" outlineLevel="0" collapsed="false">
      <c r="A3927" s="43" t="n">
        <v>424</v>
      </c>
      <c r="B3927" s="44" t="str">
        <f aca="false">'Model Inputs &amp; Assumptions'!$B$35</f>
        <v>justETF — Sponsored Listing</v>
      </c>
      <c r="C3927" s="45" t="n">
        <f aca="false">ROUND(MAX(0,'Model Inputs &amp; Assumptions'!$S$35*EXP('Model Inputs &amp; Assumptions'!$T$35*P3927-'Model Inputs &amp; Assumptions'!$T$35^2/2)),0)</f>
        <v>88699</v>
      </c>
      <c r="D3927" s="46" t="n">
        <f aca="false">MIN(1,'Model Inputs &amp; Assumptions'!$U$35*EXP('Model Inputs &amp; Assumptions'!$V$35*Q3927-'Model Inputs &amp; Assumptions'!$V$35^2/2))</f>
        <v>0</v>
      </c>
      <c r="E3927" s="45" t="n">
        <f aca="false">ROUND(C3927*D3927,0)</f>
        <v>0</v>
      </c>
      <c r="F3927" s="47" t="n">
        <f aca="false">MIN(1,'Model Inputs &amp; Assumptions'!$W$35*EXP('Model Inputs &amp; Assumptions'!$X$35*R3927-'Model Inputs &amp; Assumptions'!$X$35^2/2))</f>
        <v>0.0069088854282448</v>
      </c>
      <c r="G3927" s="45" t="n">
        <f aca="false">ROUND(C3927*F3927,0)</f>
        <v>613</v>
      </c>
      <c r="H3927" s="48" t="n">
        <f aca="false">MAX(0,(C3927*'Model Inputs &amp; Assumptions'!$N$35+E3927*'Model Inputs &amp; Assumptions'!$O$35+G3927*'Model Inputs &amp; Assumptions'!$P$35)*EXP('Model Inputs &amp; Assumptions'!$Q$35*S3927-'Model Inputs &amp; Assumptions'!$Q$35^2/2))</f>
        <v>63.6815332715766</v>
      </c>
      <c r="I3927" s="49" t="n">
        <f aca="false">IF('Model Inputs &amp; Assumptions'!$H$35="Fixed",'Model Inputs &amp; Assumptions'!$I$35*'Model Inputs &amp; Assumptions'!$K$35,IF('Model Inputs &amp; Assumptions'!$H$35="CPM",'Model Inputs &amp; Assumptions'!$I$35*'Model Inputs &amp; Assumptions'!$K$35*C3927/1000,IF('Model Inputs &amp; Assumptions'!$H$35="CPC",'Model Inputs &amp; Assumptions'!$I$35*'Model Inputs &amp; Assumptions'!$K$35*G3927,0)))</f>
        <v>8672.8</v>
      </c>
      <c r="J3927" s="50" t="n">
        <f aca="false">H3927*INDEX('Model Inputs &amp; Assumptions'!$D$40:$D$42,MATCH('Model Inputs &amp; Assumptions'!$L$35,'Model Inputs &amp; Assumptions'!$A$40:$A$42,0))*INDEX('Model Inputs &amp; Assumptions'!$H$40:$H$42,MATCH('Model Inputs &amp; Assumptions'!$L$35,'Model Inputs &amp; Assumptions'!$A$40:$A$42,0))</f>
        <v>541293.032808401</v>
      </c>
      <c r="K3927" s="49" t="n">
        <f aca="false">H3927*INDEX('Model Inputs &amp; Assumptions'!$G$40:$G$42,MATCH('Model Inputs &amp; Assumptions'!$L$35,'Model Inputs &amp; Assumptions'!$A$40:$A$42,0))*INDEX('Model Inputs &amp; Assumptions'!$H$40:$H$42,MATCH('Model Inputs &amp; Assumptions'!$L$35,'Model Inputs &amp; Assumptions'!$A$40:$A$42,0))</f>
        <v>12179.093238189</v>
      </c>
      <c r="L3927" s="51" t="n">
        <f aca="false">IFERROR(K3927/I3927,0)</f>
        <v>1.40428618648983</v>
      </c>
      <c r="M3927" s="49" t="n">
        <f aca="false">IFERROR(I3927/H3927,0)</f>
        <v>136.190188182403</v>
      </c>
      <c r="N3927" s="52" t="str">
        <f aca="false">'Model Inputs &amp; Assumptions'!$L$35</f>
        <v>PRD-EUAI</v>
      </c>
      <c r="P3927" s="53" t="n">
        <v>0.022546</v>
      </c>
      <c r="Q3927" s="53" t="n">
        <v>0.060965</v>
      </c>
      <c r="R3927" s="53" t="n">
        <v>0.253504</v>
      </c>
      <c r="S3927" s="53" t="n">
        <v>1.648422</v>
      </c>
    </row>
    <row r="3928" customFormat="false" ht="15" hidden="false" customHeight="false" outlineLevel="0" collapsed="false">
      <c r="A3928" s="43" t="n">
        <v>425</v>
      </c>
      <c r="B3928" s="44" t="str">
        <f aca="false">'Model Inputs &amp; Assumptions'!$B$35</f>
        <v>justETF — Sponsored Listing</v>
      </c>
      <c r="C3928" s="45" t="n">
        <f aca="false">ROUND(MAX(0,'Model Inputs &amp; Assumptions'!$S$35*EXP('Model Inputs &amp; Assumptions'!$T$35*P3928-'Model Inputs &amp; Assumptions'!$T$35^2/2)),0)</f>
        <v>78680</v>
      </c>
      <c r="D3928" s="46" t="n">
        <f aca="false">MIN(1,'Model Inputs &amp; Assumptions'!$U$35*EXP('Model Inputs &amp; Assumptions'!$V$35*Q3928-'Model Inputs &amp; Assumptions'!$V$35^2/2))</f>
        <v>0</v>
      </c>
      <c r="E3928" s="45" t="n">
        <f aca="false">ROUND(C3928*D3928,0)</f>
        <v>0</v>
      </c>
      <c r="F3928" s="47" t="n">
        <f aca="false">MIN(1,'Model Inputs &amp; Assumptions'!$W$35*EXP('Model Inputs &amp; Assumptions'!$X$35*R3928-'Model Inputs &amp; Assumptions'!$X$35^2/2))</f>
        <v>0.00581268109406855</v>
      </c>
      <c r="G3928" s="45" t="n">
        <f aca="false">ROUND(C3928*F3928,0)</f>
        <v>457</v>
      </c>
      <c r="H3928" s="48" t="n">
        <f aca="false">MAX(0,(C3928*'Model Inputs &amp; Assumptions'!$N$35+E3928*'Model Inputs &amp; Assumptions'!$O$35+G3928*'Model Inputs &amp; Assumptions'!$P$35)*EXP('Model Inputs &amp; Assumptions'!$Q$35*S3928-'Model Inputs &amp; Assumptions'!$Q$35^2/2))</f>
        <v>20.0193437566444</v>
      </c>
      <c r="I3928" s="49" t="n">
        <f aca="false">IF('Model Inputs &amp; Assumptions'!$H$35="Fixed",'Model Inputs &amp; Assumptions'!$I$35*'Model Inputs &amp; Assumptions'!$K$35,IF('Model Inputs &amp; Assumptions'!$H$35="CPM",'Model Inputs &amp; Assumptions'!$I$35*'Model Inputs &amp; Assumptions'!$K$35*C3928/1000,IF('Model Inputs &amp; Assumptions'!$H$35="CPC",'Model Inputs &amp; Assumptions'!$I$35*'Model Inputs &amp; Assumptions'!$K$35*G3928,0)))</f>
        <v>8672.8</v>
      </c>
      <c r="J3928" s="50" t="n">
        <f aca="false">H3928*INDEX('Model Inputs &amp; Assumptions'!$D$40:$D$42,MATCH('Model Inputs &amp; Assumptions'!$L$35,'Model Inputs &amp; Assumptions'!$A$40:$A$42,0))*INDEX('Model Inputs &amp; Assumptions'!$H$40:$H$42,MATCH('Model Inputs &amp; Assumptions'!$L$35,'Model Inputs &amp; Assumptions'!$A$40:$A$42,0))</f>
        <v>170164.421931477</v>
      </c>
      <c r="K3928" s="49" t="n">
        <f aca="false">H3928*INDEX('Model Inputs &amp; Assumptions'!$G$40:$G$42,MATCH('Model Inputs &amp; Assumptions'!$L$35,'Model Inputs &amp; Assumptions'!$A$40:$A$42,0))*INDEX('Model Inputs &amp; Assumptions'!$H$40:$H$42,MATCH('Model Inputs &amp; Assumptions'!$L$35,'Model Inputs &amp; Assumptions'!$A$40:$A$42,0))</f>
        <v>3828.69949345824</v>
      </c>
      <c r="L3928" s="51" t="n">
        <f aca="false">IFERROR(K3928/I3928,0)</f>
        <v>0.441460600205036</v>
      </c>
      <c r="M3928" s="49" t="n">
        <f aca="false">IFERROR(I3928/H3928,0)</f>
        <v>433.220993926013</v>
      </c>
      <c r="N3928" s="52" t="str">
        <f aca="false">'Model Inputs &amp; Assumptions'!$L$35</f>
        <v>PRD-EUAI</v>
      </c>
      <c r="P3928" s="53" t="n">
        <v>-0.776508</v>
      </c>
      <c r="Q3928" s="53" t="n">
        <v>0.235674</v>
      </c>
      <c r="R3928" s="53" t="n">
        <v>-0.610328</v>
      </c>
      <c r="S3928" s="53" t="n">
        <v>-1.672786</v>
      </c>
    </row>
    <row r="3929" customFormat="false" ht="15" hidden="false" customHeight="false" outlineLevel="0" collapsed="false">
      <c r="A3929" s="43" t="n">
        <v>426</v>
      </c>
      <c r="B3929" s="44" t="str">
        <f aca="false">'Model Inputs &amp; Assumptions'!$B$35</f>
        <v>justETF — Sponsored Listing</v>
      </c>
      <c r="C3929" s="45" t="n">
        <f aca="false">ROUND(MAX(0,'Model Inputs &amp; Assumptions'!$S$35*EXP('Model Inputs &amp; Assumptions'!$T$35*P3929-'Model Inputs &amp; Assumptions'!$T$35^2/2)),0)</f>
        <v>102614</v>
      </c>
      <c r="D3929" s="46" t="n">
        <f aca="false">MIN(1,'Model Inputs &amp; Assumptions'!$U$35*EXP('Model Inputs &amp; Assumptions'!$V$35*Q3929-'Model Inputs &amp; Assumptions'!$V$35^2/2))</f>
        <v>0</v>
      </c>
      <c r="E3929" s="45" t="n">
        <f aca="false">ROUND(C3929*D3929,0)</f>
        <v>0</v>
      </c>
      <c r="F3929" s="47" t="n">
        <f aca="false">MIN(1,'Model Inputs &amp; Assumptions'!$W$35*EXP('Model Inputs &amp; Assumptions'!$X$35*R3929-'Model Inputs &amp; Assumptions'!$X$35^2/2))</f>
        <v>0.00705962635862349</v>
      </c>
      <c r="G3929" s="45" t="n">
        <f aca="false">ROUND(C3929*F3929,0)</f>
        <v>724</v>
      </c>
      <c r="H3929" s="48" t="n">
        <f aca="false">MAX(0,(C3929*'Model Inputs &amp; Assumptions'!$N$35+E3929*'Model Inputs &amp; Assumptions'!$O$35+G3929*'Model Inputs &amp; Assumptions'!$P$35)*EXP('Model Inputs &amp; Assumptions'!$Q$35*S3929-'Model Inputs &amp; Assumptions'!$Q$35^2/2))</f>
        <v>51.7681945288742</v>
      </c>
      <c r="I3929" s="49" t="n">
        <f aca="false">IF('Model Inputs &amp; Assumptions'!$H$35="Fixed",'Model Inputs &amp; Assumptions'!$I$35*'Model Inputs &amp; Assumptions'!$K$35,IF('Model Inputs &amp; Assumptions'!$H$35="CPM",'Model Inputs &amp; Assumptions'!$I$35*'Model Inputs &amp; Assumptions'!$K$35*C3929/1000,IF('Model Inputs &amp; Assumptions'!$H$35="CPC",'Model Inputs &amp; Assumptions'!$I$35*'Model Inputs &amp; Assumptions'!$K$35*G3929,0)))</f>
        <v>8672.8</v>
      </c>
      <c r="J3929" s="50" t="n">
        <f aca="false">H3929*INDEX('Model Inputs &amp; Assumptions'!$D$40:$D$42,MATCH('Model Inputs &amp; Assumptions'!$L$35,'Model Inputs &amp; Assumptions'!$A$40:$A$42,0))*INDEX('Model Inputs &amp; Assumptions'!$H$40:$H$42,MATCH('Model Inputs &amp; Assumptions'!$L$35,'Model Inputs &amp; Assumptions'!$A$40:$A$42,0))</f>
        <v>440029.653495431</v>
      </c>
      <c r="K3929" s="49" t="n">
        <f aca="false">H3929*INDEX('Model Inputs &amp; Assumptions'!$G$40:$G$42,MATCH('Model Inputs &amp; Assumptions'!$L$35,'Model Inputs &amp; Assumptions'!$A$40:$A$42,0))*INDEX('Model Inputs &amp; Assumptions'!$H$40:$H$42,MATCH('Model Inputs &amp; Assumptions'!$L$35,'Model Inputs &amp; Assumptions'!$A$40:$A$42,0))</f>
        <v>9900.66720364719</v>
      </c>
      <c r="L3929" s="51" t="n">
        <f aca="false">IFERROR(K3929/I3929,0)</f>
        <v>1.14157679222941</v>
      </c>
      <c r="M3929" s="49" t="n">
        <f aca="false">IFERROR(I3929/H3929,0)</f>
        <v>167.531436607523</v>
      </c>
      <c r="N3929" s="52" t="str">
        <f aca="false">'Model Inputs &amp; Assumptions'!$L$35</f>
        <v>PRD-EUAI</v>
      </c>
      <c r="P3929" s="53" t="n">
        <v>0.994037</v>
      </c>
      <c r="Q3929" s="53" t="n">
        <v>-1.661695</v>
      </c>
      <c r="R3929" s="53" t="n">
        <v>0.361423</v>
      </c>
      <c r="S3929" s="53" t="n">
        <v>0.21171</v>
      </c>
    </row>
    <row r="3930" customFormat="false" ht="15" hidden="false" customHeight="false" outlineLevel="0" collapsed="false">
      <c r="A3930" s="43" t="n">
        <v>427</v>
      </c>
      <c r="B3930" s="44" t="str">
        <f aca="false">'Model Inputs &amp; Assumptions'!$B$35</f>
        <v>justETF — Sponsored Listing</v>
      </c>
      <c r="C3930" s="45" t="n">
        <f aca="false">ROUND(MAX(0,'Model Inputs &amp; Assumptions'!$S$35*EXP('Model Inputs &amp; Assumptions'!$T$35*P3930-'Model Inputs &amp; Assumptions'!$T$35^2/2)),0)</f>
        <v>90984</v>
      </c>
      <c r="D3930" s="46" t="n">
        <f aca="false">MIN(1,'Model Inputs &amp; Assumptions'!$U$35*EXP('Model Inputs &amp; Assumptions'!$V$35*Q3930-'Model Inputs &amp; Assumptions'!$V$35^2/2))</f>
        <v>0</v>
      </c>
      <c r="E3930" s="45" t="n">
        <f aca="false">ROUND(C3930*D3930,0)</f>
        <v>0</v>
      </c>
      <c r="F3930" s="47" t="n">
        <f aca="false">MIN(1,'Model Inputs &amp; Assumptions'!$W$35*EXP('Model Inputs &amp; Assumptions'!$X$35*R3930-'Model Inputs &amp; Assumptions'!$X$35^2/2))</f>
        <v>0.00853919829044701</v>
      </c>
      <c r="G3930" s="45" t="n">
        <f aca="false">ROUND(C3930*F3930,0)</f>
        <v>777</v>
      </c>
      <c r="H3930" s="48" t="n">
        <f aca="false">MAX(0,(C3930*'Model Inputs &amp; Assumptions'!$N$35+E3930*'Model Inputs &amp; Assumptions'!$O$35+G3930*'Model Inputs &amp; Assumptions'!$P$35)*EXP('Model Inputs &amp; Assumptions'!$Q$35*S3930-'Model Inputs &amp; Assumptions'!$Q$35^2/2))</f>
        <v>72.7608498261157</v>
      </c>
      <c r="I3930" s="49" t="n">
        <f aca="false">IF('Model Inputs &amp; Assumptions'!$H$35="Fixed",'Model Inputs &amp; Assumptions'!$I$35*'Model Inputs &amp; Assumptions'!$K$35,IF('Model Inputs &amp; Assumptions'!$H$35="CPM",'Model Inputs &amp; Assumptions'!$I$35*'Model Inputs &amp; Assumptions'!$K$35*C3930/1000,IF('Model Inputs &amp; Assumptions'!$H$35="CPC",'Model Inputs &amp; Assumptions'!$I$35*'Model Inputs &amp; Assumptions'!$K$35*G3930,0)))</f>
        <v>8672.8</v>
      </c>
      <c r="J3930" s="50" t="n">
        <f aca="false">H3930*INDEX('Model Inputs &amp; Assumptions'!$D$40:$D$42,MATCH('Model Inputs &amp; Assumptions'!$L$35,'Model Inputs &amp; Assumptions'!$A$40:$A$42,0))*INDEX('Model Inputs &amp; Assumptions'!$H$40:$H$42,MATCH('Model Inputs &amp; Assumptions'!$L$35,'Model Inputs &amp; Assumptions'!$A$40:$A$42,0))</f>
        <v>618467.223521984</v>
      </c>
      <c r="K3930" s="49" t="n">
        <f aca="false">H3930*INDEX('Model Inputs &amp; Assumptions'!$G$40:$G$42,MATCH('Model Inputs &amp; Assumptions'!$L$35,'Model Inputs &amp; Assumptions'!$A$40:$A$42,0))*INDEX('Model Inputs &amp; Assumptions'!$H$40:$H$42,MATCH('Model Inputs &amp; Assumptions'!$L$35,'Model Inputs &amp; Assumptions'!$A$40:$A$42,0))</f>
        <v>13915.5125292446</v>
      </c>
      <c r="L3930" s="51" t="n">
        <f aca="false">IFERROR(K3930/I3930,0)</f>
        <v>1.60450056835677</v>
      </c>
      <c r="M3930" s="49" t="n">
        <f aca="false">IFERROR(I3930/H3930,0)</f>
        <v>119.195968996051</v>
      </c>
      <c r="N3930" s="52" t="str">
        <f aca="false">'Model Inputs &amp; Assumptions'!$L$35</f>
        <v>PRD-EUAI</v>
      </c>
      <c r="P3930" s="53" t="n">
        <v>0.192083</v>
      </c>
      <c r="Q3930" s="53" t="n">
        <v>-0.072741</v>
      </c>
      <c r="R3930" s="53" t="n">
        <v>1.312798</v>
      </c>
      <c r="S3930" s="53" t="n">
        <v>1.249222</v>
      </c>
    </row>
    <row r="3931" customFormat="false" ht="15" hidden="false" customHeight="false" outlineLevel="0" collapsed="false">
      <c r="A3931" s="43" t="n">
        <v>428</v>
      </c>
      <c r="B3931" s="44" t="str">
        <f aca="false">'Model Inputs &amp; Assumptions'!$B$35</f>
        <v>justETF — Sponsored Listing</v>
      </c>
      <c r="C3931" s="45" t="n">
        <f aca="false">ROUND(MAX(0,'Model Inputs &amp; Assumptions'!$S$35*EXP('Model Inputs &amp; Assumptions'!$T$35*P3931-'Model Inputs &amp; Assumptions'!$T$35^2/2)),0)</f>
        <v>103529</v>
      </c>
      <c r="D3931" s="46" t="n">
        <f aca="false">MIN(1,'Model Inputs &amp; Assumptions'!$U$35*EXP('Model Inputs &amp; Assumptions'!$V$35*Q3931-'Model Inputs &amp; Assumptions'!$V$35^2/2))</f>
        <v>0</v>
      </c>
      <c r="E3931" s="45" t="n">
        <f aca="false">ROUND(C3931*D3931,0)</f>
        <v>0</v>
      </c>
      <c r="F3931" s="47" t="n">
        <f aca="false">MIN(1,'Model Inputs &amp; Assumptions'!$W$35*EXP('Model Inputs &amp; Assumptions'!$X$35*R3931-'Model Inputs &amp; Assumptions'!$X$35^2/2))</f>
        <v>0.00510271589488883</v>
      </c>
      <c r="G3931" s="45" t="n">
        <f aca="false">ROUND(C3931*F3931,0)</f>
        <v>528</v>
      </c>
      <c r="H3931" s="48" t="n">
        <f aca="false">MAX(0,(C3931*'Model Inputs &amp; Assumptions'!$N$35+E3931*'Model Inputs &amp; Assumptions'!$O$35+G3931*'Model Inputs &amp; Assumptions'!$P$35)*EXP('Model Inputs &amp; Assumptions'!$Q$35*S3931-'Model Inputs &amp; Assumptions'!$Q$35^2/2))</f>
        <v>30.0774537663445</v>
      </c>
      <c r="I3931" s="49" t="n">
        <f aca="false">IF('Model Inputs &amp; Assumptions'!$H$35="Fixed",'Model Inputs &amp; Assumptions'!$I$35*'Model Inputs &amp; Assumptions'!$K$35,IF('Model Inputs &amp; Assumptions'!$H$35="CPM",'Model Inputs &amp; Assumptions'!$I$35*'Model Inputs &amp; Assumptions'!$K$35*C3931/1000,IF('Model Inputs &amp; Assumptions'!$H$35="CPC",'Model Inputs &amp; Assumptions'!$I$35*'Model Inputs &amp; Assumptions'!$K$35*G3931,0)))</f>
        <v>8672.8</v>
      </c>
      <c r="J3931" s="50" t="n">
        <f aca="false">H3931*INDEX('Model Inputs &amp; Assumptions'!$D$40:$D$42,MATCH('Model Inputs &amp; Assumptions'!$L$35,'Model Inputs &amp; Assumptions'!$A$40:$A$42,0))*INDEX('Model Inputs &amp; Assumptions'!$H$40:$H$42,MATCH('Model Inputs &amp; Assumptions'!$L$35,'Model Inputs &amp; Assumptions'!$A$40:$A$42,0))</f>
        <v>255658.357013928</v>
      </c>
      <c r="K3931" s="49" t="n">
        <f aca="false">H3931*INDEX('Model Inputs &amp; Assumptions'!$G$40:$G$42,MATCH('Model Inputs &amp; Assumptions'!$L$35,'Model Inputs &amp; Assumptions'!$A$40:$A$42,0))*INDEX('Model Inputs &amp; Assumptions'!$H$40:$H$42,MATCH('Model Inputs &amp; Assumptions'!$L$35,'Model Inputs &amp; Assumptions'!$A$40:$A$42,0))</f>
        <v>5752.31303281338</v>
      </c>
      <c r="L3931" s="51" t="n">
        <f aca="false">IFERROR(K3931/I3931,0)</f>
        <v>0.663259043539962</v>
      </c>
      <c r="M3931" s="49" t="n">
        <f aca="false">IFERROR(I3931/H3931,0)</f>
        <v>288.348876449925</v>
      </c>
      <c r="N3931" s="52" t="str">
        <f aca="false">'Model Inputs &amp; Assumptions'!$L$35</f>
        <v>PRD-EUAI</v>
      </c>
      <c r="P3931" s="53" t="n">
        <v>1.053186</v>
      </c>
      <c r="Q3931" s="53" t="n">
        <v>-0.140233</v>
      </c>
      <c r="R3931" s="53" t="n">
        <v>-1.261673</v>
      </c>
      <c r="S3931" s="53" t="n">
        <v>-0.66254</v>
      </c>
    </row>
    <row r="3932" customFormat="false" ht="15" hidden="false" customHeight="false" outlineLevel="0" collapsed="false">
      <c r="A3932" s="43" t="n">
        <v>429</v>
      </c>
      <c r="B3932" s="44" t="str">
        <f aca="false">'Model Inputs &amp; Assumptions'!$B$35</f>
        <v>justETF — Sponsored Listing</v>
      </c>
      <c r="C3932" s="45" t="n">
        <f aca="false">ROUND(MAX(0,'Model Inputs &amp; Assumptions'!$S$35*EXP('Model Inputs &amp; Assumptions'!$T$35*P3932-'Model Inputs &amp; Assumptions'!$T$35^2/2)),0)</f>
        <v>95446</v>
      </c>
      <c r="D3932" s="46" t="n">
        <f aca="false">MIN(1,'Model Inputs &amp; Assumptions'!$U$35*EXP('Model Inputs &amp; Assumptions'!$V$35*Q3932-'Model Inputs &amp; Assumptions'!$V$35^2/2))</f>
        <v>0</v>
      </c>
      <c r="E3932" s="45" t="n">
        <f aca="false">ROUND(C3932*D3932,0)</f>
        <v>0</v>
      </c>
      <c r="F3932" s="47" t="n">
        <f aca="false">MIN(1,'Model Inputs &amp; Assumptions'!$W$35*EXP('Model Inputs &amp; Assumptions'!$X$35*R3932-'Model Inputs &amp; Assumptions'!$X$35^2/2))</f>
        <v>0.00742735737882845</v>
      </c>
      <c r="G3932" s="45" t="n">
        <f aca="false">ROUND(C3932*F3932,0)</f>
        <v>709</v>
      </c>
      <c r="H3932" s="48" t="n">
        <f aca="false">MAX(0,(C3932*'Model Inputs &amp; Assumptions'!$N$35+E3932*'Model Inputs &amp; Assumptions'!$O$35+G3932*'Model Inputs &amp; Assumptions'!$P$35)*EXP('Model Inputs &amp; Assumptions'!$Q$35*S3932-'Model Inputs &amp; Assumptions'!$Q$35^2/2))</f>
        <v>45.4961437491544</v>
      </c>
      <c r="I3932" s="49" t="n">
        <f aca="false">IF('Model Inputs &amp; Assumptions'!$H$35="Fixed",'Model Inputs &amp; Assumptions'!$I$35*'Model Inputs &amp; Assumptions'!$K$35,IF('Model Inputs &amp; Assumptions'!$H$35="CPM",'Model Inputs &amp; Assumptions'!$I$35*'Model Inputs &amp; Assumptions'!$K$35*C3932/1000,IF('Model Inputs &amp; Assumptions'!$H$35="CPC",'Model Inputs &amp; Assumptions'!$I$35*'Model Inputs &amp; Assumptions'!$K$35*G3932,0)))</f>
        <v>8672.8</v>
      </c>
      <c r="J3932" s="50" t="n">
        <f aca="false">H3932*INDEX('Model Inputs &amp; Assumptions'!$D$40:$D$42,MATCH('Model Inputs &amp; Assumptions'!$L$35,'Model Inputs &amp; Assumptions'!$A$40:$A$42,0))*INDEX('Model Inputs &amp; Assumptions'!$H$40:$H$42,MATCH('Model Inputs &amp; Assumptions'!$L$35,'Model Inputs &amp; Assumptions'!$A$40:$A$42,0))</f>
        <v>386717.221867813</v>
      </c>
      <c r="K3932" s="49" t="n">
        <f aca="false">H3932*INDEX('Model Inputs &amp; Assumptions'!$G$40:$G$42,MATCH('Model Inputs &amp; Assumptions'!$L$35,'Model Inputs &amp; Assumptions'!$A$40:$A$42,0))*INDEX('Model Inputs &amp; Assumptions'!$H$40:$H$42,MATCH('Model Inputs &amp; Assumptions'!$L$35,'Model Inputs &amp; Assumptions'!$A$40:$A$42,0))</f>
        <v>8701.13749202579</v>
      </c>
      <c r="L3932" s="51" t="n">
        <f aca="false">IFERROR(K3932/I3932,0)</f>
        <v>1.00326739830571</v>
      </c>
      <c r="M3932" s="49" t="n">
        <f aca="false">IFERROR(I3932/H3932,0)</f>
        <v>190.627145188787</v>
      </c>
      <c r="N3932" s="52" t="str">
        <f aca="false">'Model Inputs &amp; Assumptions'!$L$35</f>
        <v>PRD-EUAI</v>
      </c>
      <c r="P3932" s="53" t="n">
        <v>0.511279</v>
      </c>
      <c r="Q3932" s="53" t="n">
        <v>0.285368</v>
      </c>
      <c r="R3932" s="53" t="n">
        <v>0.615313</v>
      </c>
      <c r="S3932" s="53" t="n">
        <v>-0.204492</v>
      </c>
    </row>
    <row r="3933" customFormat="false" ht="15" hidden="false" customHeight="false" outlineLevel="0" collapsed="false">
      <c r="A3933" s="43" t="n">
        <v>430</v>
      </c>
      <c r="B3933" s="44" t="str">
        <f aca="false">'Model Inputs &amp; Assumptions'!$B$35</f>
        <v>justETF — Sponsored Listing</v>
      </c>
      <c r="C3933" s="45" t="n">
        <f aca="false">ROUND(MAX(0,'Model Inputs &amp; Assumptions'!$S$35*EXP('Model Inputs &amp; Assumptions'!$T$35*P3933-'Model Inputs &amp; Assumptions'!$T$35^2/2)),0)</f>
        <v>87215</v>
      </c>
      <c r="D3933" s="46" t="n">
        <f aca="false">MIN(1,'Model Inputs &amp; Assumptions'!$U$35*EXP('Model Inputs &amp; Assumptions'!$V$35*Q3933-'Model Inputs &amp; Assumptions'!$V$35^2/2))</f>
        <v>0</v>
      </c>
      <c r="E3933" s="45" t="n">
        <f aca="false">ROUND(C3933*D3933,0)</f>
        <v>0</v>
      </c>
      <c r="F3933" s="47" t="n">
        <f aca="false">MIN(1,'Model Inputs &amp; Assumptions'!$W$35*EXP('Model Inputs &amp; Assumptions'!$X$35*R3933-'Model Inputs &amp; Assumptions'!$X$35^2/2))</f>
        <v>0.0078793934408598</v>
      </c>
      <c r="G3933" s="45" t="n">
        <f aca="false">ROUND(C3933*F3933,0)</f>
        <v>687</v>
      </c>
      <c r="H3933" s="48" t="n">
        <f aca="false">MAX(0,(C3933*'Model Inputs &amp; Assumptions'!$N$35+E3933*'Model Inputs &amp; Assumptions'!$O$35+G3933*'Model Inputs &amp; Assumptions'!$P$35)*EXP('Model Inputs &amp; Assumptions'!$Q$35*S3933-'Model Inputs &amp; Assumptions'!$Q$35^2/2))</f>
        <v>51.2131633299301</v>
      </c>
      <c r="I3933" s="49" t="n">
        <f aca="false">IF('Model Inputs &amp; Assumptions'!$H$35="Fixed",'Model Inputs &amp; Assumptions'!$I$35*'Model Inputs &amp; Assumptions'!$K$35,IF('Model Inputs &amp; Assumptions'!$H$35="CPM",'Model Inputs &amp; Assumptions'!$I$35*'Model Inputs &amp; Assumptions'!$K$35*C3933/1000,IF('Model Inputs &amp; Assumptions'!$H$35="CPC",'Model Inputs &amp; Assumptions'!$I$35*'Model Inputs &amp; Assumptions'!$K$35*G3933,0)))</f>
        <v>8672.8</v>
      </c>
      <c r="J3933" s="50" t="n">
        <f aca="false">H3933*INDEX('Model Inputs &amp; Assumptions'!$D$40:$D$42,MATCH('Model Inputs &amp; Assumptions'!$L$35,'Model Inputs &amp; Assumptions'!$A$40:$A$42,0))*INDEX('Model Inputs &amp; Assumptions'!$H$40:$H$42,MATCH('Model Inputs &amp; Assumptions'!$L$35,'Model Inputs &amp; Assumptions'!$A$40:$A$42,0))</f>
        <v>435311.888304405</v>
      </c>
      <c r="K3933" s="49" t="n">
        <f aca="false">H3933*INDEX('Model Inputs &amp; Assumptions'!$G$40:$G$42,MATCH('Model Inputs &amp; Assumptions'!$L$35,'Model Inputs &amp; Assumptions'!$A$40:$A$42,0))*INDEX('Model Inputs &amp; Assumptions'!$H$40:$H$42,MATCH('Model Inputs &amp; Assumptions'!$L$35,'Model Inputs &amp; Assumptions'!$A$40:$A$42,0))</f>
        <v>9794.51748684912</v>
      </c>
      <c r="L3933" s="51" t="n">
        <f aca="false">IFERROR(K3933/I3933,0)</f>
        <v>1.12933740970034</v>
      </c>
      <c r="M3933" s="49" t="n">
        <f aca="false">IFERROR(I3933/H3933,0)</f>
        <v>169.347086492731</v>
      </c>
      <c r="N3933" s="52" t="str">
        <f aca="false">'Model Inputs &amp; Assumptions'!$L$35</f>
        <v>PRD-EUAI</v>
      </c>
      <c r="P3933" s="53" t="n">
        <v>-0.089971</v>
      </c>
      <c r="Q3933" s="53" t="n">
        <v>1.894682</v>
      </c>
      <c r="R3933" s="53" t="n">
        <v>0.910717</v>
      </c>
      <c r="S3933" s="53" t="n">
        <v>0.372009</v>
      </c>
    </row>
    <row r="3934" customFormat="false" ht="15" hidden="false" customHeight="false" outlineLevel="0" collapsed="false">
      <c r="A3934" s="43" t="n">
        <v>431</v>
      </c>
      <c r="B3934" s="44" t="str">
        <f aca="false">'Model Inputs &amp; Assumptions'!$B$35</f>
        <v>justETF — Sponsored Listing</v>
      </c>
      <c r="C3934" s="45" t="n">
        <f aca="false">ROUND(MAX(0,'Model Inputs &amp; Assumptions'!$S$35*EXP('Model Inputs &amp; Assumptions'!$T$35*P3934-'Model Inputs &amp; Assumptions'!$T$35^2/2)),0)</f>
        <v>102494</v>
      </c>
      <c r="D3934" s="46" t="n">
        <f aca="false">MIN(1,'Model Inputs &amp; Assumptions'!$U$35*EXP('Model Inputs &amp; Assumptions'!$V$35*Q3934-'Model Inputs &amp; Assumptions'!$V$35^2/2))</f>
        <v>0</v>
      </c>
      <c r="E3934" s="45" t="n">
        <f aca="false">ROUND(C3934*D3934,0)</f>
        <v>0</v>
      </c>
      <c r="F3934" s="47" t="n">
        <f aca="false">MIN(1,'Model Inputs &amp; Assumptions'!$W$35*EXP('Model Inputs &amp; Assumptions'!$X$35*R3934-'Model Inputs &amp; Assumptions'!$X$35^2/2))</f>
        <v>0.00539832287375811</v>
      </c>
      <c r="G3934" s="45" t="n">
        <f aca="false">ROUND(C3934*F3934,0)</f>
        <v>553</v>
      </c>
      <c r="H3934" s="48" t="n">
        <f aca="false">MAX(0,(C3934*'Model Inputs &amp; Assumptions'!$N$35+E3934*'Model Inputs &amp; Assumptions'!$O$35+G3934*'Model Inputs &amp; Assumptions'!$P$35)*EXP('Model Inputs &amp; Assumptions'!$Q$35*S3934-'Model Inputs &amp; Assumptions'!$Q$35^2/2))</f>
        <v>44.1214970260088</v>
      </c>
      <c r="I3934" s="49" t="n">
        <f aca="false">IF('Model Inputs &amp; Assumptions'!$H$35="Fixed",'Model Inputs &amp; Assumptions'!$I$35*'Model Inputs &amp; Assumptions'!$K$35,IF('Model Inputs &amp; Assumptions'!$H$35="CPM",'Model Inputs &amp; Assumptions'!$I$35*'Model Inputs &amp; Assumptions'!$K$35*C3934/1000,IF('Model Inputs &amp; Assumptions'!$H$35="CPC",'Model Inputs &amp; Assumptions'!$I$35*'Model Inputs &amp; Assumptions'!$K$35*G3934,0)))</f>
        <v>8672.8</v>
      </c>
      <c r="J3934" s="50" t="n">
        <f aca="false">H3934*INDEX('Model Inputs &amp; Assumptions'!$D$40:$D$42,MATCH('Model Inputs &amp; Assumptions'!$L$35,'Model Inputs &amp; Assumptions'!$A$40:$A$42,0))*INDEX('Model Inputs &amp; Assumptions'!$H$40:$H$42,MATCH('Model Inputs &amp; Assumptions'!$L$35,'Model Inputs &amp; Assumptions'!$A$40:$A$42,0))</f>
        <v>375032.724721075</v>
      </c>
      <c r="K3934" s="49" t="n">
        <f aca="false">H3934*INDEX('Model Inputs &amp; Assumptions'!$G$40:$G$42,MATCH('Model Inputs &amp; Assumptions'!$L$35,'Model Inputs &amp; Assumptions'!$A$40:$A$42,0))*INDEX('Model Inputs &amp; Assumptions'!$H$40:$H$42,MATCH('Model Inputs &amp; Assumptions'!$L$35,'Model Inputs &amp; Assumptions'!$A$40:$A$42,0))</f>
        <v>8438.23630622418</v>
      </c>
      <c r="L3934" s="51" t="n">
        <f aca="false">IFERROR(K3934/I3934,0)</f>
        <v>0.972954098586867</v>
      </c>
      <c r="M3934" s="49" t="n">
        <f aca="false">IFERROR(I3934/H3934,0)</f>
        <v>196.566313125947</v>
      </c>
      <c r="N3934" s="52" t="str">
        <f aca="false">'Model Inputs &amp; Assumptions'!$L$35</f>
        <v>PRD-EUAI</v>
      </c>
      <c r="P3934" s="53" t="n">
        <v>0.986208</v>
      </c>
      <c r="Q3934" s="53" t="n">
        <v>-0.277781</v>
      </c>
      <c r="R3934" s="53" t="n">
        <v>-0.980096</v>
      </c>
      <c r="S3934" s="53" t="n">
        <v>0.633266</v>
      </c>
    </row>
    <row r="3935" customFormat="false" ht="15" hidden="false" customHeight="false" outlineLevel="0" collapsed="false">
      <c r="A3935" s="43" t="n">
        <v>432</v>
      </c>
      <c r="B3935" s="44" t="str">
        <f aca="false">'Model Inputs &amp; Assumptions'!$B$35</f>
        <v>justETF — Sponsored Listing</v>
      </c>
      <c r="C3935" s="45" t="n">
        <f aca="false">ROUND(MAX(0,'Model Inputs &amp; Assumptions'!$S$35*EXP('Model Inputs &amp; Assumptions'!$T$35*P3935-'Model Inputs &amp; Assumptions'!$T$35^2/2)),0)</f>
        <v>89701</v>
      </c>
      <c r="D3935" s="46" t="n">
        <f aca="false">MIN(1,'Model Inputs &amp; Assumptions'!$U$35*EXP('Model Inputs &amp; Assumptions'!$V$35*Q3935-'Model Inputs &amp; Assumptions'!$V$35^2/2))</f>
        <v>0</v>
      </c>
      <c r="E3935" s="45" t="n">
        <f aca="false">ROUND(C3935*D3935,0)</f>
        <v>0</v>
      </c>
      <c r="F3935" s="47" t="n">
        <f aca="false">MIN(1,'Model Inputs &amp; Assumptions'!$W$35*EXP('Model Inputs &amp; Assumptions'!$X$35*R3935-'Model Inputs &amp; Assumptions'!$X$35^2/2))</f>
        <v>0.00728518130222795</v>
      </c>
      <c r="G3935" s="45" t="n">
        <f aca="false">ROUND(C3935*F3935,0)</f>
        <v>653</v>
      </c>
      <c r="H3935" s="48" t="n">
        <f aca="false">MAX(0,(C3935*'Model Inputs &amp; Assumptions'!$N$35+E3935*'Model Inputs &amp; Assumptions'!$O$35+G3935*'Model Inputs &amp; Assumptions'!$P$35)*EXP('Model Inputs &amp; Assumptions'!$Q$35*S3935-'Model Inputs &amp; Assumptions'!$Q$35^2/2))</f>
        <v>32.7977617044515</v>
      </c>
      <c r="I3935" s="49" t="n">
        <f aca="false">IF('Model Inputs &amp; Assumptions'!$H$35="Fixed",'Model Inputs &amp; Assumptions'!$I$35*'Model Inputs &amp; Assumptions'!$K$35,IF('Model Inputs &amp; Assumptions'!$H$35="CPM",'Model Inputs &amp; Assumptions'!$I$35*'Model Inputs &amp; Assumptions'!$K$35*C3935/1000,IF('Model Inputs &amp; Assumptions'!$H$35="CPC",'Model Inputs &amp; Assumptions'!$I$35*'Model Inputs &amp; Assumptions'!$K$35*G3935,0)))</f>
        <v>8672.8</v>
      </c>
      <c r="J3935" s="50" t="n">
        <f aca="false">H3935*INDEX('Model Inputs &amp; Assumptions'!$D$40:$D$42,MATCH('Model Inputs &amp; Assumptions'!$L$35,'Model Inputs &amp; Assumptions'!$A$40:$A$42,0))*INDEX('Model Inputs &amp; Assumptions'!$H$40:$H$42,MATCH('Model Inputs &amp; Assumptions'!$L$35,'Model Inputs &amp; Assumptions'!$A$40:$A$42,0))</f>
        <v>278780.974487838</v>
      </c>
      <c r="K3935" s="49" t="n">
        <f aca="false">H3935*INDEX('Model Inputs &amp; Assumptions'!$G$40:$G$42,MATCH('Model Inputs &amp; Assumptions'!$L$35,'Model Inputs &amp; Assumptions'!$A$40:$A$42,0))*INDEX('Model Inputs &amp; Assumptions'!$H$40:$H$42,MATCH('Model Inputs &amp; Assumptions'!$L$35,'Model Inputs &amp; Assumptions'!$A$40:$A$42,0))</f>
        <v>6272.57192597635</v>
      </c>
      <c r="L3935" s="51" t="n">
        <f aca="false">IFERROR(K3935/I3935,0)</f>
        <v>0.723246463192551</v>
      </c>
      <c r="M3935" s="49" t="n">
        <f aca="false">IFERROR(I3935/H3935,0)</f>
        <v>264.432679222219</v>
      </c>
      <c r="N3935" s="52" t="str">
        <f aca="false">'Model Inputs &amp; Assumptions'!$L$35</f>
        <v>PRD-EUAI</v>
      </c>
      <c r="P3935" s="53" t="n">
        <v>0.09738</v>
      </c>
      <c r="Q3935" s="53" t="n">
        <v>0.037339</v>
      </c>
      <c r="R3935" s="53" t="n">
        <v>0.518674</v>
      </c>
      <c r="S3935" s="53" t="n">
        <v>-1.146757</v>
      </c>
    </row>
    <row r="3936" customFormat="false" ht="15" hidden="false" customHeight="false" outlineLevel="0" collapsed="false">
      <c r="A3936" s="43" t="n">
        <v>433</v>
      </c>
      <c r="B3936" s="44" t="str">
        <f aca="false">'Model Inputs &amp; Assumptions'!$B$35</f>
        <v>justETF — Sponsored Listing</v>
      </c>
      <c r="C3936" s="45" t="n">
        <f aca="false">ROUND(MAX(0,'Model Inputs &amp; Assumptions'!$S$35*EXP('Model Inputs &amp; Assumptions'!$T$35*P3936-'Model Inputs &amp; Assumptions'!$T$35^2/2)),0)</f>
        <v>89556</v>
      </c>
      <c r="D3936" s="46" t="n">
        <f aca="false">MIN(1,'Model Inputs &amp; Assumptions'!$U$35*EXP('Model Inputs &amp; Assumptions'!$V$35*Q3936-'Model Inputs &amp; Assumptions'!$V$35^2/2))</f>
        <v>0</v>
      </c>
      <c r="E3936" s="45" t="n">
        <f aca="false">ROUND(C3936*D3936,0)</f>
        <v>0</v>
      </c>
      <c r="F3936" s="47" t="n">
        <f aca="false">MIN(1,'Model Inputs &amp; Assumptions'!$W$35*EXP('Model Inputs &amp; Assumptions'!$X$35*R3936-'Model Inputs &amp; Assumptions'!$X$35^2/2))</f>
        <v>0.00723515603396051</v>
      </c>
      <c r="G3936" s="45" t="n">
        <f aca="false">ROUND(C3936*F3936,0)</f>
        <v>648</v>
      </c>
      <c r="H3936" s="48" t="n">
        <f aca="false">MAX(0,(C3936*'Model Inputs &amp; Assumptions'!$N$35+E3936*'Model Inputs &amp; Assumptions'!$O$35+G3936*'Model Inputs &amp; Assumptions'!$P$35)*EXP('Model Inputs &amp; Assumptions'!$Q$35*S3936-'Model Inputs &amp; Assumptions'!$Q$35^2/2))</f>
        <v>35.2371611218614</v>
      </c>
      <c r="I3936" s="49" t="n">
        <f aca="false">IF('Model Inputs &amp; Assumptions'!$H$35="Fixed",'Model Inputs &amp; Assumptions'!$I$35*'Model Inputs &amp; Assumptions'!$K$35,IF('Model Inputs &amp; Assumptions'!$H$35="CPM",'Model Inputs &amp; Assumptions'!$I$35*'Model Inputs &amp; Assumptions'!$K$35*C3936/1000,IF('Model Inputs &amp; Assumptions'!$H$35="CPC",'Model Inputs &amp; Assumptions'!$I$35*'Model Inputs &amp; Assumptions'!$K$35*G3936,0)))</f>
        <v>8672.8</v>
      </c>
      <c r="J3936" s="50" t="n">
        <f aca="false">H3936*INDEX('Model Inputs &amp; Assumptions'!$D$40:$D$42,MATCH('Model Inputs &amp; Assumptions'!$L$35,'Model Inputs &amp; Assumptions'!$A$40:$A$42,0))*INDEX('Model Inputs &amp; Assumptions'!$H$40:$H$42,MATCH('Model Inputs &amp; Assumptions'!$L$35,'Model Inputs &amp; Assumptions'!$A$40:$A$42,0))</f>
        <v>299515.869535822</v>
      </c>
      <c r="K3936" s="49" t="n">
        <f aca="false">H3936*INDEX('Model Inputs &amp; Assumptions'!$G$40:$G$42,MATCH('Model Inputs &amp; Assumptions'!$L$35,'Model Inputs &amp; Assumptions'!$A$40:$A$42,0))*INDEX('Model Inputs &amp; Assumptions'!$H$40:$H$42,MATCH('Model Inputs &amp; Assumptions'!$L$35,'Model Inputs &amp; Assumptions'!$A$40:$A$42,0))</f>
        <v>6739.10706455599</v>
      </c>
      <c r="L3936" s="51" t="n">
        <f aca="false">IFERROR(K3936/I3936,0)</f>
        <v>0.777039371893274</v>
      </c>
      <c r="M3936" s="49" t="n">
        <f aca="false">IFERROR(I3936/H3936,0)</f>
        <v>246.126524495168</v>
      </c>
      <c r="N3936" s="52" t="str">
        <f aca="false">'Model Inputs &amp; Assumptions'!$L$35</f>
        <v>PRD-EUAI</v>
      </c>
      <c r="P3936" s="53" t="n">
        <v>0.086643</v>
      </c>
      <c r="Q3936" s="53" t="n">
        <v>0.615357</v>
      </c>
      <c r="R3936" s="53" t="n">
        <v>0.484222</v>
      </c>
      <c r="S3936" s="53" t="n">
        <v>-0.841267</v>
      </c>
    </row>
    <row r="3937" customFormat="false" ht="15" hidden="false" customHeight="false" outlineLevel="0" collapsed="false">
      <c r="A3937" s="43" t="n">
        <v>434</v>
      </c>
      <c r="B3937" s="44" t="str">
        <f aca="false">'Model Inputs &amp; Assumptions'!$B$35</f>
        <v>justETF — Sponsored Listing</v>
      </c>
      <c r="C3937" s="45" t="n">
        <f aca="false">ROUND(MAX(0,'Model Inputs &amp; Assumptions'!$S$35*EXP('Model Inputs &amp; Assumptions'!$T$35*P3937-'Model Inputs &amp; Assumptions'!$T$35^2/2)),0)</f>
        <v>109450</v>
      </c>
      <c r="D3937" s="46" t="n">
        <f aca="false">MIN(1,'Model Inputs &amp; Assumptions'!$U$35*EXP('Model Inputs &amp; Assumptions'!$V$35*Q3937-'Model Inputs &amp; Assumptions'!$V$35^2/2))</f>
        <v>0</v>
      </c>
      <c r="E3937" s="45" t="n">
        <f aca="false">ROUND(C3937*D3937,0)</f>
        <v>0</v>
      </c>
      <c r="F3937" s="47" t="n">
        <f aca="false">MIN(1,'Model Inputs &amp; Assumptions'!$W$35*EXP('Model Inputs &amp; Assumptions'!$X$35*R3937-'Model Inputs &amp; Assumptions'!$X$35^2/2))</f>
        <v>0.00571570544112819</v>
      </c>
      <c r="G3937" s="45" t="n">
        <f aca="false">ROUND(C3937*F3937,0)</f>
        <v>626</v>
      </c>
      <c r="H3937" s="48" t="n">
        <f aca="false">MAX(0,(C3937*'Model Inputs &amp; Assumptions'!$N$35+E3937*'Model Inputs &amp; Assumptions'!$O$35+G3937*'Model Inputs &amp; Assumptions'!$P$35)*EXP('Model Inputs &amp; Assumptions'!$Q$35*S3937-'Model Inputs &amp; Assumptions'!$Q$35^2/2))</f>
        <v>42.4861505821063</v>
      </c>
      <c r="I3937" s="49" t="n">
        <f aca="false">IF('Model Inputs &amp; Assumptions'!$H$35="Fixed",'Model Inputs &amp; Assumptions'!$I$35*'Model Inputs &amp; Assumptions'!$K$35,IF('Model Inputs &amp; Assumptions'!$H$35="CPM",'Model Inputs &amp; Assumptions'!$I$35*'Model Inputs &amp; Assumptions'!$K$35*C3937/1000,IF('Model Inputs &amp; Assumptions'!$H$35="CPC",'Model Inputs &amp; Assumptions'!$I$35*'Model Inputs &amp; Assumptions'!$K$35*G3937,0)))</f>
        <v>8672.8</v>
      </c>
      <c r="J3937" s="50" t="n">
        <f aca="false">H3937*INDEX('Model Inputs &amp; Assumptions'!$D$40:$D$42,MATCH('Model Inputs &amp; Assumptions'!$L$35,'Model Inputs &amp; Assumptions'!$A$40:$A$42,0))*INDEX('Model Inputs &amp; Assumptions'!$H$40:$H$42,MATCH('Model Inputs &amp; Assumptions'!$L$35,'Model Inputs &amp; Assumptions'!$A$40:$A$42,0))</f>
        <v>361132.279947904</v>
      </c>
      <c r="K3937" s="49" t="n">
        <f aca="false">H3937*INDEX('Model Inputs &amp; Assumptions'!$G$40:$G$42,MATCH('Model Inputs &amp; Assumptions'!$L$35,'Model Inputs &amp; Assumptions'!$A$40:$A$42,0))*INDEX('Model Inputs &amp; Assumptions'!$H$40:$H$42,MATCH('Model Inputs &amp; Assumptions'!$L$35,'Model Inputs &amp; Assumptions'!$A$40:$A$42,0))</f>
        <v>8125.47629882783</v>
      </c>
      <c r="L3937" s="51" t="n">
        <f aca="false">IFERROR(K3937/I3937,0)</f>
        <v>0.936891926347642</v>
      </c>
      <c r="M3937" s="49" t="n">
        <f aca="false">IFERROR(I3937/H3937,0)</f>
        <v>204.132402704722</v>
      </c>
      <c r="N3937" s="52" t="str">
        <f aca="false">'Model Inputs &amp; Assumptions'!$L$35</f>
        <v>PRD-EUAI</v>
      </c>
      <c r="P3937" s="53" t="n">
        <v>1.42397</v>
      </c>
      <c r="Q3937" s="53" t="n">
        <v>-1.066384</v>
      </c>
      <c r="R3937" s="53" t="n">
        <v>-0.694449</v>
      </c>
      <c r="S3937" s="53" t="n">
        <v>0.011107</v>
      </c>
    </row>
    <row r="3938" customFormat="false" ht="15" hidden="false" customHeight="false" outlineLevel="0" collapsed="false">
      <c r="A3938" s="43" t="n">
        <v>435</v>
      </c>
      <c r="B3938" s="44" t="str">
        <f aca="false">'Model Inputs &amp; Assumptions'!$B$35</f>
        <v>justETF — Sponsored Listing</v>
      </c>
      <c r="C3938" s="45" t="n">
        <f aca="false">ROUND(MAX(0,'Model Inputs &amp; Assumptions'!$S$35*EXP('Model Inputs &amp; Assumptions'!$T$35*P3938-'Model Inputs &amp; Assumptions'!$T$35^2/2)),0)</f>
        <v>102150</v>
      </c>
      <c r="D3938" s="46" t="n">
        <f aca="false">MIN(1,'Model Inputs &amp; Assumptions'!$U$35*EXP('Model Inputs &amp; Assumptions'!$V$35*Q3938-'Model Inputs &amp; Assumptions'!$V$35^2/2))</f>
        <v>0</v>
      </c>
      <c r="E3938" s="45" t="n">
        <f aca="false">ROUND(C3938*D3938,0)</f>
        <v>0</v>
      </c>
      <c r="F3938" s="47" t="n">
        <f aca="false">MIN(1,'Model Inputs &amp; Assumptions'!$W$35*EXP('Model Inputs &amp; Assumptions'!$X$35*R3938-'Model Inputs &amp; Assumptions'!$X$35^2/2))</f>
        <v>0.00599868408733647</v>
      </c>
      <c r="G3938" s="45" t="n">
        <f aca="false">ROUND(C3938*F3938,0)</f>
        <v>613</v>
      </c>
      <c r="H3938" s="48" t="n">
        <f aca="false">MAX(0,(C3938*'Model Inputs &amp; Assumptions'!$N$35+E3938*'Model Inputs &amp; Assumptions'!$O$35+G3938*'Model Inputs &amp; Assumptions'!$P$35)*EXP('Model Inputs &amp; Assumptions'!$Q$35*S3938-'Model Inputs &amp; Assumptions'!$Q$35^2/2))</f>
        <v>30.7785296927614</v>
      </c>
      <c r="I3938" s="49" t="n">
        <f aca="false">IF('Model Inputs &amp; Assumptions'!$H$35="Fixed",'Model Inputs &amp; Assumptions'!$I$35*'Model Inputs &amp; Assumptions'!$K$35,IF('Model Inputs &amp; Assumptions'!$H$35="CPM",'Model Inputs &amp; Assumptions'!$I$35*'Model Inputs &amp; Assumptions'!$K$35*C3938/1000,IF('Model Inputs &amp; Assumptions'!$H$35="CPC",'Model Inputs &amp; Assumptions'!$I$35*'Model Inputs &amp; Assumptions'!$K$35*G3938,0)))</f>
        <v>8672.8</v>
      </c>
      <c r="J3938" s="50" t="n">
        <f aca="false">H3938*INDEX('Model Inputs &amp; Assumptions'!$D$40:$D$42,MATCH('Model Inputs &amp; Assumptions'!$L$35,'Model Inputs &amp; Assumptions'!$A$40:$A$42,0))*INDEX('Model Inputs &amp; Assumptions'!$H$40:$H$42,MATCH('Model Inputs &amp; Assumptions'!$L$35,'Model Inputs &amp; Assumptions'!$A$40:$A$42,0))</f>
        <v>261617.502388472</v>
      </c>
      <c r="K3938" s="49" t="n">
        <f aca="false">H3938*INDEX('Model Inputs &amp; Assumptions'!$G$40:$G$42,MATCH('Model Inputs &amp; Assumptions'!$L$35,'Model Inputs &amp; Assumptions'!$A$40:$A$42,0))*INDEX('Model Inputs &amp; Assumptions'!$H$40:$H$42,MATCH('Model Inputs &amp; Assumptions'!$L$35,'Model Inputs &amp; Assumptions'!$A$40:$A$42,0))</f>
        <v>5886.39380374063</v>
      </c>
      <c r="L3938" s="51" t="n">
        <f aca="false">IFERROR(K3938/I3938,0)</f>
        <v>0.67871896085931</v>
      </c>
      <c r="M3938" s="49" t="n">
        <f aca="false">IFERROR(I3938/H3938,0)</f>
        <v>281.780841598801</v>
      </c>
      <c r="N3938" s="52" t="str">
        <f aca="false">'Model Inputs &amp; Assumptions'!$L$35</f>
        <v>PRD-EUAI</v>
      </c>
      <c r="P3938" s="53" t="n">
        <v>0.963809</v>
      </c>
      <c r="Q3938" s="53" t="n">
        <v>1.091546</v>
      </c>
      <c r="R3938" s="53" t="n">
        <v>-0.452837</v>
      </c>
      <c r="S3938" s="53" t="n">
        <v>-1.148029</v>
      </c>
    </row>
    <row r="3939" customFormat="false" ht="15" hidden="false" customHeight="false" outlineLevel="0" collapsed="false">
      <c r="A3939" s="43" t="n">
        <v>436</v>
      </c>
      <c r="B3939" s="44" t="str">
        <f aca="false">'Model Inputs &amp; Assumptions'!$B$35</f>
        <v>justETF — Sponsored Listing</v>
      </c>
      <c r="C3939" s="45" t="n">
        <f aca="false">ROUND(MAX(0,'Model Inputs &amp; Assumptions'!$S$35*EXP('Model Inputs &amp; Assumptions'!$T$35*P3939-'Model Inputs &amp; Assumptions'!$T$35^2/2)),0)</f>
        <v>71140</v>
      </c>
      <c r="D3939" s="46" t="n">
        <f aca="false">MIN(1,'Model Inputs &amp; Assumptions'!$U$35*EXP('Model Inputs &amp; Assumptions'!$V$35*Q3939-'Model Inputs &amp; Assumptions'!$V$35^2/2))</f>
        <v>0</v>
      </c>
      <c r="E3939" s="45" t="n">
        <f aca="false">ROUND(C3939*D3939,0)</f>
        <v>0</v>
      </c>
      <c r="F3939" s="47" t="n">
        <f aca="false">MIN(1,'Model Inputs &amp; Assumptions'!$W$35*EXP('Model Inputs &amp; Assumptions'!$X$35*R3939-'Model Inputs &amp; Assumptions'!$X$35^2/2))</f>
        <v>0.00671360004442479</v>
      </c>
      <c r="G3939" s="45" t="n">
        <f aca="false">ROUND(C3939*F3939,0)</f>
        <v>478</v>
      </c>
      <c r="H3939" s="48" t="n">
        <f aca="false">MAX(0,(C3939*'Model Inputs &amp; Assumptions'!$N$35+E3939*'Model Inputs &amp; Assumptions'!$O$35+G3939*'Model Inputs &amp; Assumptions'!$P$35)*EXP('Model Inputs &amp; Assumptions'!$Q$35*S3939-'Model Inputs &amp; Assumptions'!$Q$35^2/2))</f>
        <v>55.6665381775734</v>
      </c>
      <c r="I3939" s="49" t="n">
        <f aca="false">IF('Model Inputs &amp; Assumptions'!$H$35="Fixed",'Model Inputs &amp; Assumptions'!$I$35*'Model Inputs &amp; Assumptions'!$K$35,IF('Model Inputs &amp; Assumptions'!$H$35="CPM",'Model Inputs &amp; Assumptions'!$I$35*'Model Inputs &amp; Assumptions'!$K$35*C3939/1000,IF('Model Inputs &amp; Assumptions'!$H$35="CPC",'Model Inputs &amp; Assumptions'!$I$35*'Model Inputs &amp; Assumptions'!$K$35*G3939,0)))</f>
        <v>8672.8</v>
      </c>
      <c r="J3939" s="50" t="n">
        <f aca="false">H3939*INDEX('Model Inputs &amp; Assumptions'!$D$40:$D$42,MATCH('Model Inputs &amp; Assumptions'!$L$35,'Model Inputs &amp; Assumptions'!$A$40:$A$42,0))*INDEX('Model Inputs &amp; Assumptions'!$H$40:$H$42,MATCH('Model Inputs &amp; Assumptions'!$L$35,'Model Inputs &amp; Assumptions'!$A$40:$A$42,0))</f>
        <v>473165.574509374</v>
      </c>
      <c r="K3939" s="49" t="n">
        <f aca="false">H3939*INDEX('Model Inputs &amp; Assumptions'!$G$40:$G$42,MATCH('Model Inputs &amp; Assumptions'!$L$35,'Model Inputs &amp; Assumptions'!$A$40:$A$42,0))*INDEX('Model Inputs &amp; Assumptions'!$H$40:$H$42,MATCH('Model Inputs &amp; Assumptions'!$L$35,'Model Inputs &amp; Assumptions'!$A$40:$A$42,0))</f>
        <v>10646.2254264609</v>
      </c>
      <c r="L3939" s="51" t="n">
        <f aca="false">IFERROR(K3939/I3939,0)</f>
        <v>1.22754190416716</v>
      </c>
      <c r="M3939" s="49" t="n">
        <f aca="false">IFERROR(I3939/H3939,0)</f>
        <v>155.799162008857</v>
      </c>
      <c r="N3939" s="52" t="str">
        <f aca="false">'Model Inputs &amp; Assumptions'!$L$35</f>
        <v>PRD-EUAI</v>
      </c>
      <c r="P3939" s="53" t="n">
        <v>-1.448119</v>
      </c>
      <c r="Q3939" s="53" t="n">
        <v>1.249481</v>
      </c>
      <c r="R3939" s="53" t="n">
        <v>0.110139</v>
      </c>
      <c r="S3939" s="53" t="n">
        <v>2.087802</v>
      </c>
    </row>
    <row r="3940" customFormat="false" ht="15" hidden="false" customHeight="false" outlineLevel="0" collapsed="false">
      <c r="A3940" s="43" t="n">
        <v>437</v>
      </c>
      <c r="B3940" s="44" t="str">
        <f aca="false">'Model Inputs &amp; Assumptions'!$B$35</f>
        <v>justETF — Sponsored Listing</v>
      </c>
      <c r="C3940" s="45" t="n">
        <f aca="false">ROUND(MAX(0,'Model Inputs &amp; Assumptions'!$S$35*EXP('Model Inputs &amp; Assumptions'!$T$35*P3940-'Model Inputs &amp; Assumptions'!$T$35^2/2)),0)</f>
        <v>87515</v>
      </c>
      <c r="D3940" s="46" t="n">
        <f aca="false">MIN(1,'Model Inputs &amp; Assumptions'!$U$35*EXP('Model Inputs &amp; Assumptions'!$V$35*Q3940-'Model Inputs &amp; Assumptions'!$V$35^2/2))</f>
        <v>0</v>
      </c>
      <c r="E3940" s="45" t="n">
        <f aca="false">ROUND(C3940*D3940,0)</f>
        <v>0</v>
      </c>
      <c r="F3940" s="47" t="n">
        <f aca="false">MIN(1,'Model Inputs &amp; Assumptions'!$W$35*EXP('Model Inputs &amp; Assumptions'!$X$35*R3940-'Model Inputs &amp; Assumptions'!$X$35^2/2))</f>
        <v>0.00805711801659253</v>
      </c>
      <c r="G3940" s="45" t="n">
        <f aca="false">ROUND(C3940*F3940,0)</f>
        <v>705</v>
      </c>
      <c r="H3940" s="48" t="n">
        <f aca="false">MAX(0,(C3940*'Model Inputs &amp; Assumptions'!$N$35+E3940*'Model Inputs &amp; Assumptions'!$O$35+G3940*'Model Inputs &amp; Assumptions'!$P$35)*EXP('Model Inputs &amp; Assumptions'!$Q$35*S3940-'Model Inputs &amp; Assumptions'!$Q$35^2/2))</f>
        <v>35.9873787202132</v>
      </c>
      <c r="I3940" s="49" t="n">
        <f aca="false">IF('Model Inputs &amp; Assumptions'!$H$35="Fixed",'Model Inputs &amp; Assumptions'!$I$35*'Model Inputs &amp; Assumptions'!$K$35,IF('Model Inputs &amp; Assumptions'!$H$35="CPM",'Model Inputs &amp; Assumptions'!$I$35*'Model Inputs &amp; Assumptions'!$K$35*C3940/1000,IF('Model Inputs &amp; Assumptions'!$H$35="CPC",'Model Inputs &amp; Assumptions'!$I$35*'Model Inputs &amp; Assumptions'!$K$35*G3940,0)))</f>
        <v>8672.8</v>
      </c>
      <c r="J3940" s="50" t="n">
        <f aca="false">H3940*INDEX('Model Inputs &amp; Assumptions'!$D$40:$D$42,MATCH('Model Inputs &amp; Assumptions'!$L$35,'Model Inputs &amp; Assumptions'!$A$40:$A$42,0))*INDEX('Model Inputs &amp; Assumptions'!$H$40:$H$42,MATCH('Model Inputs &amp; Assumptions'!$L$35,'Model Inputs &amp; Assumptions'!$A$40:$A$42,0))</f>
        <v>305892.719121812</v>
      </c>
      <c r="K3940" s="49" t="n">
        <f aca="false">H3940*INDEX('Model Inputs &amp; Assumptions'!$G$40:$G$42,MATCH('Model Inputs &amp; Assumptions'!$L$35,'Model Inputs &amp; Assumptions'!$A$40:$A$42,0))*INDEX('Model Inputs &amp; Assumptions'!$H$40:$H$42,MATCH('Model Inputs &amp; Assumptions'!$L$35,'Model Inputs &amp; Assumptions'!$A$40:$A$42,0))</f>
        <v>6882.58618024077</v>
      </c>
      <c r="L3940" s="51" t="n">
        <f aca="false">IFERROR(K3940/I3940,0)</f>
        <v>0.793582946711647</v>
      </c>
      <c r="M3940" s="49" t="n">
        <f aca="false">IFERROR(I3940/H3940,0)</f>
        <v>240.995602025571</v>
      </c>
      <c r="N3940" s="52" t="str">
        <f aca="false">'Model Inputs &amp; Assumptions'!$L$35</f>
        <v>PRD-EUAI</v>
      </c>
      <c r="P3940" s="53" t="n">
        <v>-0.067104</v>
      </c>
      <c r="Q3940" s="53" t="n">
        <v>0.807564</v>
      </c>
      <c r="R3940" s="53" t="n">
        <v>1.022242</v>
      </c>
      <c r="S3940" s="53" t="n">
        <v>-1.084498</v>
      </c>
    </row>
    <row r="3941" customFormat="false" ht="15" hidden="false" customHeight="false" outlineLevel="0" collapsed="false">
      <c r="A3941" s="43" t="n">
        <v>438</v>
      </c>
      <c r="B3941" s="44" t="str">
        <f aca="false">'Model Inputs &amp; Assumptions'!$B$35</f>
        <v>justETF — Sponsored Listing</v>
      </c>
      <c r="C3941" s="45" t="n">
        <f aca="false">ROUND(MAX(0,'Model Inputs &amp; Assumptions'!$S$35*EXP('Model Inputs &amp; Assumptions'!$T$35*P3941-'Model Inputs &amp; Assumptions'!$T$35^2/2)),0)</f>
        <v>101985</v>
      </c>
      <c r="D3941" s="46" t="n">
        <f aca="false">MIN(1,'Model Inputs &amp; Assumptions'!$U$35*EXP('Model Inputs &amp; Assumptions'!$V$35*Q3941-'Model Inputs &amp; Assumptions'!$V$35^2/2))</f>
        <v>0</v>
      </c>
      <c r="E3941" s="45" t="n">
        <f aca="false">ROUND(C3941*D3941,0)</f>
        <v>0</v>
      </c>
      <c r="F3941" s="47" t="n">
        <f aca="false">MIN(1,'Model Inputs &amp; Assumptions'!$W$35*EXP('Model Inputs &amp; Assumptions'!$X$35*R3941-'Model Inputs &amp; Assumptions'!$X$35^2/2))</f>
        <v>0.00944534026644245</v>
      </c>
      <c r="G3941" s="45" t="n">
        <f aca="false">ROUND(C3941*F3941,0)</f>
        <v>963</v>
      </c>
      <c r="H3941" s="48" t="n">
        <f aca="false">MAX(0,(C3941*'Model Inputs &amp; Assumptions'!$N$35+E3941*'Model Inputs &amp; Assumptions'!$O$35+G3941*'Model Inputs &amp; Assumptions'!$P$35)*EXP('Model Inputs &amp; Assumptions'!$Q$35*S3941-'Model Inputs &amp; Assumptions'!$Q$35^2/2))</f>
        <v>75.4496008442607</v>
      </c>
      <c r="I3941" s="49" t="n">
        <f aca="false">IF('Model Inputs &amp; Assumptions'!$H$35="Fixed",'Model Inputs &amp; Assumptions'!$I$35*'Model Inputs &amp; Assumptions'!$K$35,IF('Model Inputs &amp; Assumptions'!$H$35="CPM",'Model Inputs &amp; Assumptions'!$I$35*'Model Inputs &amp; Assumptions'!$K$35*C3941/1000,IF('Model Inputs &amp; Assumptions'!$H$35="CPC",'Model Inputs &amp; Assumptions'!$I$35*'Model Inputs &amp; Assumptions'!$K$35*G3941,0)))</f>
        <v>8672.8</v>
      </c>
      <c r="J3941" s="50" t="n">
        <f aca="false">H3941*INDEX('Model Inputs &amp; Assumptions'!$D$40:$D$42,MATCH('Model Inputs &amp; Assumptions'!$L$35,'Model Inputs &amp; Assumptions'!$A$40:$A$42,0))*INDEX('Model Inputs &amp; Assumptions'!$H$40:$H$42,MATCH('Model Inputs &amp; Assumptions'!$L$35,'Model Inputs &amp; Assumptions'!$A$40:$A$42,0))</f>
        <v>641321.607176216</v>
      </c>
      <c r="K3941" s="49" t="n">
        <f aca="false">H3941*INDEX('Model Inputs &amp; Assumptions'!$G$40:$G$42,MATCH('Model Inputs &amp; Assumptions'!$L$35,'Model Inputs &amp; Assumptions'!$A$40:$A$42,0))*INDEX('Model Inputs &amp; Assumptions'!$H$40:$H$42,MATCH('Model Inputs &amp; Assumptions'!$L$35,'Model Inputs &amp; Assumptions'!$A$40:$A$42,0))</f>
        <v>14429.7361614649</v>
      </c>
      <c r="L3941" s="51" t="n">
        <f aca="false">IFERROR(K3941/I3941,0)</f>
        <v>1.66379210421835</v>
      </c>
      <c r="M3941" s="49" t="n">
        <f aca="false">IFERROR(I3941/H3941,0)</f>
        <v>114.948255563365</v>
      </c>
      <c r="N3941" s="52" t="str">
        <f aca="false">'Model Inputs &amp; Assumptions'!$L$35</f>
        <v>PRD-EUAI</v>
      </c>
      <c r="P3941" s="53" t="n">
        <v>0.953032</v>
      </c>
      <c r="Q3941" s="53" t="n">
        <v>0.056518</v>
      </c>
      <c r="R3941" s="53" t="n">
        <v>1.81707</v>
      </c>
      <c r="S3941" s="53" t="n">
        <v>0.563352</v>
      </c>
    </row>
    <row r="3942" customFormat="false" ht="15" hidden="false" customHeight="false" outlineLevel="0" collapsed="false">
      <c r="A3942" s="43" t="n">
        <v>439</v>
      </c>
      <c r="B3942" s="44" t="str">
        <f aca="false">'Model Inputs &amp; Assumptions'!$B$35</f>
        <v>justETF — Sponsored Listing</v>
      </c>
      <c r="C3942" s="45" t="n">
        <f aca="false">ROUND(MAX(0,'Model Inputs &amp; Assumptions'!$S$35*EXP('Model Inputs &amp; Assumptions'!$T$35*P3942-'Model Inputs &amp; Assumptions'!$T$35^2/2)),0)</f>
        <v>96041</v>
      </c>
      <c r="D3942" s="46" t="n">
        <f aca="false">MIN(1,'Model Inputs &amp; Assumptions'!$U$35*EXP('Model Inputs &amp; Assumptions'!$V$35*Q3942-'Model Inputs &amp; Assumptions'!$V$35^2/2))</f>
        <v>0</v>
      </c>
      <c r="E3942" s="45" t="n">
        <f aca="false">ROUND(C3942*D3942,0)</f>
        <v>0</v>
      </c>
      <c r="F3942" s="47" t="n">
        <f aca="false">MIN(1,'Model Inputs &amp; Assumptions'!$W$35*EXP('Model Inputs &amp; Assumptions'!$X$35*R3942-'Model Inputs &amp; Assumptions'!$X$35^2/2))</f>
        <v>0.00676718047252313</v>
      </c>
      <c r="G3942" s="45" t="n">
        <f aca="false">ROUND(C3942*F3942,0)</f>
        <v>650</v>
      </c>
      <c r="H3942" s="48" t="n">
        <f aca="false">MAX(0,(C3942*'Model Inputs &amp; Assumptions'!$N$35+E3942*'Model Inputs &amp; Assumptions'!$O$35+G3942*'Model Inputs &amp; Assumptions'!$P$35)*EXP('Model Inputs &amp; Assumptions'!$Q$35*S3942-'Model Inputs &amp; Assumptions'!$Q$35^2/2))</f>
        <v>41.9764583624776</v>
      </c>
      <c r="I3942" s="49" t="n">
        <f aca="false">IF('Model Inputs &amp; Assumptions'!$H$35="Fixed",'Model Inputs &amp; Assumptions'!$I$35*'Model Inputs &amp; Assumptions'!$K$35,IF('Model Inputs &amp; Assumptions'!$H$35="CPM",'Model Inputs &amp; Assumptions'!$I$35*'Model Inputs &amp; Assumptions'!$K$35*C3942/1000,IF('Model Inputs &amp; Assumptions'!$H$35="CPC",'Model Inputs &amp; Assumptions'!$I$35*'Model Inputs &amp; Assumptions'!$K$35*G3942,0)))</f>
        <v>8672.8</v>
      </c>
      <c r="J3942" s="50" t="n">
        <f aca="false">H3942*INDEX('Model Inputs &amp; Assumptions'!$D$40:$D$42,MATCH('Model Inputs &amp; Assumptions'!$L$35,'Model Inputs &amp; Assumptions'!$A$40:$A$42,0))*INDEX('Model Inputs &amp; Assumptions'!$H$40:$H$42,MATCH('Model Inputs &amp; Assumptions'!$L$35,'Model Inputs &amp; Assumptions'!$A$40:$A$42,0))</f>
        <v>356799.896081059</v>
      </c>
      <c r="K3942" s="49" t="n">
        <f aca="false">H3942*INDEX('Model Inputs &amp; Assumptions'!$G$40:$G$42,MATCH('Model Inputs &amp; Assumptions'!$L$35,'Model Inputs &amp; Assumptions'!$A$40:$A$42,0))*INDEX('Model Inputs &amp; Assumptions'!$H$40:$H$42,MATCH('Model Inputs &amp; Assumptions'!$L$35,'Model Inputs &amp; Assumptions'!$A$40:$A$42,0))</f>
        <v>8027.99766182384</v>
      </c>
      <c r="L3942" s="51" t="n">
        <f aca="false">IFERROR(K3942/I3942,0)</f>
        <v>0.925652345473646</v>
      </c>
      <c r="M3942" s="49" t="n">
        <f aca="false">IFERROR(I3942/H3942,0)</f>
        <v>206.611046723097</v>
      </c>
      <c r="N3942" s="52" t="str">
        <f aca="false">'Model Inputs &amp; Assumptions'!$L$35</f>
        <v>PRD-EUAI</v>
      </c>
      <c r="P3942" s="53" t="n">
        <v>0.552694</v>
      </c>
      <c r="Q3942" s="53" t="n">
        <v>0.70256</v>
      </c>
      <c r="R3942" s="53" t="n">
        <v>0.149885</v>
      </c>
      <c r="S3942" s="53" t="n">
        <v>-0.180013</v>
      </c>
    </row>
    <row r="3943" customFormat="false" ht="15" hidden="false" customHeight="false" outlineLevel="0" collapsed="false">
      <c r="A3943" s="43" t="n">
        <v>440</v>
      </c>
      <c r="B3943" s="44" t="str">
        <f aca="false">'Model Inputs &amp; Assumptions'!$B$35</f>
        <v>justETF — Sponsored Listing</v>
      </c>
      <c r="C3943" s="45" t="n">
        <f aca="false">ROUND(MAX(0,'Model Inputs &amp; Assumptions'!$S$35*EXP('Model Inputs &amp; Assumptions'!$T$35*P3943-'Model Inputs &amp; Assumptions'!$T$35^2/2)),0)</f>
        <v>90826</v>
      </c>
      <c r="D3943" s="46" t="n">
        <f aca="false">MIN(1,'Model Inputs &amp; Assumptions'!$U$35*EXP('Model Inputs &amp; Assumptions'!$V$35*Q3943-'Model Inputs &amp; Assumptions'!$V$35^2/2))</f>
        <v>0</v>
      </c>
      <c r="E3943" s="45" t="n">
        <f aca="false">ROUND(C3943*D3943,0)</f>
        <v>0</v>
      </c>
      <c r="F3943" s="47" t="n">
        <f aca="false">MIN(1,'Model Inputs &amp; Assumptions'!$W$35*EXP('Model Inputs &amp; Assumptions'!$X$35*R3943-'Model Inputs &amp; Assumptions'!$X$35^2/2))</f>
        <v>0.00505752142532055</v>
      </c>
      <c r="G3943" s="45" t="n">
        <f aca="false">ROUND(C3943*F3943,0)</f>
        <v>459</v>
      </c>
      <c r="H3943" s="48" t="n">
        <f aca="false">MAX(0,(C3943*'Model Inputs &amp; Assumptions'!$N$35+E3943*'Model Inputs &amp; Assumptions'!$O$35+G3943*'Model Inputs &amp; Assumptions'!$P$35)*EXP('Model Inputs &amp; Assumptions'!$Q$35*S3943-'Model Inputs &amp; Assumptions'!$Q$35^2/2))</f>
        <v>34.5023636445853</v>
      </c>
      <c r="I3943" s="49" t="n">
        <f aca="false">IF('Model Inputs &amp; Assumptions'!$H$35="Fixed",'Model Inputs &amp; Assumptions'!$I$35*'Model Inputs &amp; Assumptions'!$K$35,IF('Model Inputs &amp; Assumptions'!$H$35="CPM",'Model Inputs &amp; Assumptions'!$I$35*'Model Inputs &amp; Assumptions'!$K$35*C3943/1000,IF('Model Inputs &amp; Assumptions'!$H$35="CPC",'Model Inputs &amp; Assumptions'!$I$35*'Model Inputs &amp; Assumptions'!$K$35*G3943,0)))</f>
        <v>8672.8</v>
      </c>
      <c r="J3943" s="50" t="n">
        <f aca="false">H3943*INDEX('Model Inputs &amp; Assumptions'!$D$40:$D$42,MATCH('Model Inputs &amp; Assumptions'!$L$35,'Model Inputs &amp; Assumptions'!$A$40:$A$42,0))*INDEX('Model Inputs &amp; Assumptions'!$H$40:$H$42,MATCH('Model Inputs &amp; Assumptions'!$L$35,'Model Inputs &amp; Assumptions'!$A$40:$A$42,0))</f>
        <v>293270.090978975</v>
      </c>
      <c r="K3943" s="49" t="n">
        <f aca="false">H3943*INDEX('Model Inputs &amp; Assumptions'!$G$40:$G$42,MATCH('Model Inputs &amp; Assumptions'!$L$35,'Model Inputs &amp; Assumptions'!$A$40:$A$42,0))*INDEX('Model Inputs &amp; Assumptions'!$H$40:$H$42,MATCH('Model Inputs &amp; Assumptions'!$L$35,'Model Inputs &amp; Assumptions'!$A$40:$A$42,0))</f>
        <v>6598.57704702693</v>
      </c>
      <c r="L3943" s="51" t="n">
        <f aca="false">IFERROR(K3943/I3943,0)</f>
        <v>0.760835836987701</v>
      </c>
      <c r="M3943" s="49" t="n">
        <f aca="false">IFERROR(I3943/H3943,0)</f>
        <v>251.368285643847</v>
      </c>
      <c r="N3943" s="52" t="str">
        <f aca="false">'Model Inputs &amp; Assumptions'!$L$35</f>
        <v>PRD-EUAI</v>
      </c>
      <c r="P3943" s="53" t="n">
        <v>0.180524</v>
      </c>
      <c r="Q3943" s="53" t="n">
        <v>1.416832</v>
      </c>
      <c r="R3943" s="53" t="n">
        <v>-1.306155</v>
      </c>
      <c r="S3943" s="53" t="n">
        <v>0.403991</v>
      </c>
    </row>
    <row r="3944" customFormat="false" ht="15" hidden="false" customHeight="false" outlineLevel="0" collapsed="false">
      <c r="A3944" s="43" t="n">
        <v>441</v>
      </c>
      <c r="B3944" s="44" t="str">
        <f aca="false">'Model Inputs &amp; Assumptions'!$B$35</f>
        <v>justETF — Sponsored Listing</v>
      </c>
      <c r="C3944" s="45" t="n">
        <f aca="false">ROUND(MAX(0,'Model Inputs &amp; Assumptions'!$S$35*EXP('Model Inputs &amp; Assumptions'!$T$35*P3944-'Model Inputs &amp; Assumptions'!$T$35^2/2)),0)</f>
        <v>93761</v>
      </c>
      <c r="D3944" s="46" t="n">
        <f aca="false">MIN(1,'Model Inputs &amp; Assumptions'!$U$35*EXP('Model Inputs &amp; Assumptions'!$V$35*Q3944-'Model Inputs &amp; Assumptions'!$V$35^2/2))</f>
        <v>0</v>
      </c>
      <c r="E3944" s="45" t="n">
        <f aca="false">ROUND(C3944*D3944,0)</f>
        <v>0</v>
      </c>
      <c r="F3944" s="47" t="n">
        <f aca="false">MIN(1,'Model Inputs &amp; Assumptions'!$W$35*EXP('Model Inputs &amp; Assumptions'!$X$35*R3944-'Model Inputs &amp; Assumptions'!$X$35^2/2))</f>
        <v>0.00510427246060098</v>
      </c>
      <c r="G3944" s="45" t="n">
        <f aca="false">ROUND(C3944*F3944,0)</f>
        <v>479</v>
      </c>
      <c r="H3944" s="48" t="n">
        <f aca="false">MAX(0,(C3944*'Model Inputs &amp; Assumptions'!$N$35+E3944*'Model Inputs &amp; Assumptions'!$O$35+G3944*'Model Inputs &amp; Assumptions'!$P$35)*EXP('Model Inputs &amp; Assumptions'!$Q$35*S3944-'Model Inputs &amp; Assumptions'!$Q$35^2/2))</f>
        <v>31.3758955502275</v>
      </c>
      <c r="I3944" s="49" t="n">
        <f aca="false">IF('Model Inputs &amp; Assumptions'!$H$35="Fixed",'Model Inputs &amp; Assumptions'!$I$35*'Model Inputs &amp; Assumptions'!$K$35,IF('Model Inputs &amp; Assumptions'!$H$35="CPM",'Model Inputs &amp; Assumptions'!$I$35*'Model Inputs &amp; Assumptions'!$K$35*C3944/1000,IF('Model Inputs &amp; Assumptions'!$H$35="CPC",'Model Inputs &amp; Assumptions'!$I$35*'Model Inputs &amp; Assumptions'!$K$35*G3944,0)))</f>
        <v>8672.8</v>
      </c>
      <c r="J3944" s="50" t="n">
        <f aca="false">H3944*INDEX('Model Inputs &amp; Assumptions'!$D$40:$D$42,MATCH('Model Inputs &amp; Assumptions'!$L$35,'Model Inputs &amp; Assumptions'!$A$40:$A$42,0))*INDEX('Model Inputs &amp; Assumptions'!$H$40:$H$42,MATCH('Model Inputs &amp; Assumptions'!$L$35,'Model Inputs &amp; Assumptions'!$A$40:$A$42,0))</f>
        <v>266695.112176934</v>
      </c>
      <c r="K3944" s="49" t="n">
        <f aca="false">H3944*INDEX('Model Inputs &amp; Assumptions'!$G$40:$G$42,MATCH('Model Inputs &amp; Assumptions'!$L$35,'Model Inputs &amp; Assumptions'!$A$40:$A$42,0))*INDEX('Model Inputs &amp; Assumptions'!$H$40:$H$42,MATCH('Model Inputs &amp; Assumptions'!$L$35,'Model Inputs &amp; Assumptions'!$A$40:$A$42,0))</f>
        <v>6000.64002398101</v>
      </c>
      <c r="L3944" s="51" t="n">
        <f aca="false">IFERROR(K3944/I3944,0)</f>
        <v>0.691891894656974</v>
      </c>
      <c r="M3944" s="49" t="n">
        <f aca="false">IFERROR(I3944/H3944,0)</f>
        <v>276.416014520329</v>
      </c>
      <c r="N3944" s="52" t="str">
        <f aca="false">'Model Inputs &amp; Assumptions'!$L$35</f>
        <v>PRD-EUAI</v>
      </c>
      <c r="P3944" s="53" t="n">
        <v>0.392532</v>
      </c>
      <c r="Q3944" s="53" t="n">
        <v>-0.399531</v>
      </c>
      <c r="R3944" s="53" t="n">
        <v>-1.260148</v>
      </c>
      <c r="S3944" s="53" t="n">
        <v>-0.125387</v>
      </c>
    </row>
    <row r="3945" customFormat="false" ht="15" hidden="false" customHeight="false" outlineLevel="0" collapsed="false">
      <c r="A3945" s="43" t="n">
        <v>442</v>
      </c>
      <c r="B3945" s="44" t="str">
        <f aca="false">'Model Inputs &amp; Assumptions'!$B$35</f>
        <v>justETF — Sponsored Listing</v>
      </c>
      <c r="C3945" s="45" t="n">
        <f aca="false">ROUND(MAX(0,'Model Inputs &amp; Assumptions'!$S$35*EXP('Model Inputs &amp; Assumptions'!$T$35*P3945-'Model Inputs &amp; Assumptions'!$T$35^2/2)),0)</f>
        <v>115745</v>
      </c>
      <c r="D3945" s="46" t="n">
        <f aca="false">MIN(1,'Model Inputs &amp; Assumptions'!$U$35*EXP('Model Inputs &amp; Assumptions'!$V$35*Q3945-'Model Inputs &amp; Assumptions'!$V$35^2/2))</f>
        <v>0</v>
      </c>
      <c r="E3945" s="45" t="n">
        <f aca="false">ROUND(C3945*D3945,0)</f>
        <v>0</v>
      </c>
      <c r="F3945" s="47" t="n">
        <f aca="false">MIN(1,'Model Inputs &amp; Assumptions'!$W$35*EXP('Model Inputs &amp; Assumptions'!$X$35*R3945-'Model Inputs &amp; Assumptions'!$X$35^2/2))</f>
        <v>0.00513421893869706</v>
      </c>
      <c r="G3945" s="45" t="n">
        <f aca="false">ROUND(C3945*F3945,0)</f>
        <v>594</v>
      </c>
      <c r="H3945" s="48" t="n">
        <f aca="false">MAX(0,(C3945*'Model Inputs &amp; Assumptions'!$N$35+E3945*'Model Inputs &amp; Assumptions'!$O$35+G3945*'Model Inputs &amp; Assumptions'!$P$35)*EXP('Model Inputs &amp; Assumptions'!$Q$35*S3945-'Model Inputs &amp; Assumptions'!$Q$35^2/2))</f>
        <v>39.7990619306062</v>
      </c>
      <c r="I3945" s="49" t="n">
        <f aca="false">IF('Model Inputs &amp; Assumptions'!$H$35="Fixed",'Model Inputs &amp; Assumptions'!$I$35*'Model Inputs &amp; Assumptions'!$K$35,IF('Model Inputs &amp; Assumptions'!$H$35="CPM",'Model Inputs &amp; Assumptions'!$I$35*'Model Inputs &amp; Assumptions'!$K$35*C3945/1000,IF('Model Inputs &amp; Assumptions'!$H$35="CPC",'Model Inputs &amp; Assumptions'!$I$35*'Model Inputs &amp; Assumptions'!$K$35*G3945,0)))</f>
        <v>8672.8</v>
      </c>
      <c r="J3945" s="50" t="n">
        <f aca="false">H3945*INDEX('Model Inputs &amp; Assumptions'!$D$40:$D$42,MATCH('Model Inputs &amp; Assumptions'!$L$35,'Model Inputs &amp; Assumptions'!$A$40:$A$42,0))*INDEX('Model Inputs &amp; Assumptions'!$H$40:$H$42,MATCH('Model Inputs &amp; Assumptions'!$L$35,'Model Inputs &amp; Assumptions'!$A$40:$A$42,0))</f>
        <v>338292.026410153</v>
      </c>
      <c r="K3945" s="49" t="n">
        <f aca="false">H3945*INDEX('Model Inputs &amp; Assumptions'!$G$40:$G$42,MATCH('Model Inputs &amp; Assumptions'!$L$35,'Model Inputs &amp; Assumptions'!$A$40:$A$42,0))*INDEX('Model Inputs &amp; Assumptions'!$H$40:$H$42,MATCH('Model Inputs &amp; Assumptions'!$L$35,'Model Inputs &amp; Assumptions'!$A$40:$A$42,0))</f>
        <v>7611.57059422844</v>
      </c>
      <c r="L3945" s="51" t="n">
        <f aca="false">IFERROR(K3945/I3945,0)</f>
        <v>0.877637048499728</v>
      </c>
      <c r="M3945" s="49" t="n">
        <f aca="false">IFERROR(I3945/H3945,0)</f>
        <v>217.91468389687</v>
      </c>
      <c r="N3945" s="52" t="str">
        <f aca="false">'Model Inputs &amp; Assumptions'!$L$35</f>
        <v>PRD-EUAI</v>
      </c>
      <c r="P3945" s="53" t="n">
        <v>1.796794</v>
      </c>
      <c r="Q3945" s="53" t="n">
        <v>1.787984</v>
      </c>
      <c r="R3945" s="53" t="n">
        <v>-1.230899</v>
      </c>
      <c r="S3945" s="53" t="n">
        <v>-0.038369</v>
      </c>
    </row>
    <row r="3946" customFormat="false" ht="15" hidden="false" customHeight="false" outlineLevel="0" collapsed="false">
      <c r="A3946" s="43" t="n">
        <v>443</v>
      </c>
      <c r="B3946" s="44" t="str">
        <f aca="false">'Model Inputs &amp; Assumptions'!$B$35</f>
        <v>justETF — Sponsored Listing</v>
      </c>
      <c r="C3946" s="45" t="n">
        <f aca="false">ROUND(MAX(0,'Model Inputs &amp; Assumptions'!$S$35*EXP('Model Inputs &amp; Assumptions'!$T$35*P3946-'Model Inputs &amp; Assumptions'!$T$35^2/2)),0)</f>
        <v>87042</v>
      </c>
      <c r="D3946" s="46" t="n">
        <f aca="false">MIN(1,'Model Inputs &amp; Assumptions'!$U$35*EXP('Model Inputs &amp; Assumptions'!$V$35*Q3946-'Model Inputs &amp; Assumptions'!$V$35^2/2))</f>
        <v>0</v>
      </c>
      <c r="E3946" s="45" t="n">
        <f aca="false">ROUND(C3946*D3946,0)</f>
        <v>0</v>
      </c>
      <c r="F3946" s="47" t="n">
        <f aca="false">MIN(1,'Model Inputs &amp; Assumptions'!$W$35*EXP('Model Inputs &amp; Assumptions'!$X$35*R3946-'Model Inputs &amp; Assumptions'!$X$35^2/2))</f>
        <v>0.00611058141379523</v>
      </c>
      <c r="G3946" s="45" t="n">
        <f aca="false">ROUND(C3946*F3946,0)</f>
        <v>532</v>
      </c>
      <c r="H3946" s="48" t="n">
        <f aca="false">MAX(0,(C3946*'Model Inputs &amp; Assumptions'!$N$35+E3946*'Model Inputs &amp; Assumptions'!$O$35+G3946*'Model Inputs &amp; Assumptions'!$P$35)*EXP('Model Inputs &amp; Assumptions'!$Q$35*S3946-'Model Inputs &amp; Assumptions'!$Q$35^2/2))</f>
        <v>37.3725161661262</v>
      </c>
      <c r="I3946" s="49" t="n">
        <f aca="false">IF('Model Inputs &amp; Assumptions'!$H$35="Fixed",'Model Inputs &amp; Assumptions'!$I$35*'Model Inputs &amp; Assumptions'!$K$35,IF('Model Inputs &amp; Assumptions'!$H$35="CPM",'Model Inputs &amp; Assumptions'!$I$35*'Model Inputs &amp; Assumptions'!$K$35*C3946/1000,IF('Model Inputs &amp; Assumptions'!$H$35="CPC",'Model Inputs &amp; Assumptions'!$I$35*'Model Inputs &amp; Assumptions'!$K$35*G3946,0)))</f>
        <v>8672.8</v>
      </c>
      <c r="J3946" s="50" t="n">
        <f aca="false">H3946*INDEX('Model Inputs &amp; Assumptions'!$D$40:$D$42,MATCH('Model Inputs &amp; Assumptions'!$L$35,'Model Inputs &amp; Assumptions'!$A$40:$A$42,0))*INDEX('Model Inputs &amp; Assumptions'!$H$40:$H$42,MATCH('Model Inputs &amp; Assumptions'!$L$35,'Model Inputs &amp; Assumptions'!$A$40:$A$42,0))</f>
        <v>317666.387412073</v>
      </c>
      <c r="K3946" s="49" t="n">
        <f aca="false">H3946*INDEX('Model Inputs &amp; Assumptions'!$G$40:$G$42,MATCH('Model Inputs &amp; Assumptions'!$L$35,'Model Inputs &amp; Assumptions'!$A$40:$A$42,0))*INDEX('Model Inputs &amp; Assumptions'!$H$40:$H$42,MATCH('Model Inputs &amp; Assumptions'!$L$35,'Model Inputs &amp; Assumptions'!$A$40:$A$42,0))</f>
        <v>7147.49371677163</v>
      </c>
      <c r="L3946" s="51" t="n">
        <f aca="false">IFERROR(K3946/I3946,0)</f>
        <v>0.824127584721386</v>
      </c>
      <c r="M3946" s="49" t="n">
        <f aca="false">IFERROR(I3946/H3946,0)</f>
        <v>232.063582806364</v>
      </c>
      <c r="N3946" s="52" t="str">
        <f aca="false">'Model Inputs &amp; Assumptions'!$L$35</f>
        <v>PRD-EUAI</v>
      </c>
      <c r="P3946" s="53" t="n">
        <v>-0.103226</v>
      </c>
      <c r="Q3946" s="53" t="n">
        <v>0.248056</v>
      </c>
      <c r="R3946" s="53" t="n">
        <v>-0.360428</v>
      </c>
      <c r="S3946" s="53" t="n">
        <v>0.143662</v>
      </c>
    </row>
    <row r="3947" customFormat="false" ht="15" hidden="false" customHeight="false" outlineLevel="0" collapsed="false">
      <c r="A3947" s="43" t="n">
        <v>444</v>
      </c>
      <c r="B3947" s="44" t="str">
        <f aca="false">'Model Inputs &amp; Assumptions'!$B$35</f>
        <v>justETF — Sponsored Listing</v>
      </c>
      <c r="C3947" s="45" t="n">
        <f aca="false">ROUND(MAX(0,'Model Inputs &amp; Assumptions'!$S$35*EXP('Model Inputs &amp; Assumptions'!$T$35*P3947-'Model Inputs &amp; Assumptions'!$T$35^2/2)),0)</f>
        <v>125791</v>
      </c>
      <c r="D3947" s="46" t="n">
        <f aca="false">MIN(1,'Model Inputs &amp; Assumptions'!$U$35*EXP('Model Inputs &amp; Assumptions'!$V$35*Q3947-'Model Inputs &amp; Assumptions'!$V$35^2/2))</f>
        <v>0</v>
      </c>
      <c r="E3947" s="45" t="n">
        <f aca="false">ROUND(C3947*D3947,0)</f>
        <v>0</v>
      </c>
      <c r="F3947" s="47" t="n">
        <f aca="false">MIN(1,'Model Inputs &amp; Assumptions'!$W$35*EXP('Model Inputs &amp; Assumptions'!$X$35*R3947-'Model Inputs &amp; Assumptions'!$X$35^2/2))</f>
        <v>0.00561539833215789</v>
      </c>
      <c r="G3947" s="45" t="n">
        <f aca="false">ROUND(C3947*F3947,0)</f>
        <v>706</v>
      </c>
      <c r="H3947" s="48" t="n">
        <f aca="false">MAX(0,(C3947*'Model Inputs &amp; Assumptions'!$N$35+E3947*'Model Inputs &amp; Assumptions'!$O$35+G3947*'Model Inputs &amp; Assumptions'!$P$35)*EXP('Model Inputs &amp; Assumptions'!$Q$35*S3947-'Model Inputs &amp; Assumptions'!$Q$35^2/2))</f>
        <v>85.5458013280503</v>
      </c>
      <c r="I3947" s="49" t="n">
        <f aca="false">IF('Model Inputs &amp; Assumptions'!$H$35="Fixed",'Model Inputs &amp; Assumptions'!$I$35*'Model Inputs &amp; Assumptions'!$K$35,IF('Model Inputs &amp; Assumptions'!$H$35="CPM",'Model Inputs &amp; Assumptions'!$I$35*'Model Inputs &amp; Assumptions'!$K$35*C3947/1000,IF('Model Inputs &amp; Assumptions'!$H$35="CPC",'Model Inputs &amp; Assumptions'!$I$35*'Model Inputs &amp; Assumptions'!$K$35*G3947,0)))</f>
        <v>8672.8</v>
      </c>
      <c r="J3947" s="50" t="n">
        <f aca="false">H3947*INDEX('Model Inputs &amp; Assumptions'!$D$40:$D$42,MATCH('Model Inputs &amp; Assumptions'!$L$35,'Model Inputs &amp; Assumptions'!$A$40:$A$42,0))*INDEX('Model Inputs &amp; Assumptions'!$H$40:$H$42,MATCH('Model Inputs &amp; Assumptions'!$L$35,'Model Inputs &amp; Assumptions'!$A$40:$A$42,0))</f>
        <v>727139.311288427</v>
      </c>
      <c r="K3947" s="49" t="n">
        <f aca="false">H3947*INDEX('Model Inputs &amp; Assumptions'!$G$40:$G$42,MATCH('Model Inputs &amp; Assumptions'!$L$35,'Model Inputs &amp; Assumptions'!$A$40:$A$42,0))*INDEX('Model Inputs &amp; Assumptions'!$H$40:$H$42,MATCH('Model Inputs &amp; Assumptions'!$L$35,'Model Inputs &amp; Assumptions'!$A$40:$A$42,0))</f>
        <v>16360.6345039896</v>
      </c>
      <c r="L3947" s="51" t="n">
        <f aca="false">IFERROR(K3947/I3947,0)</f>
        <v>1.88643050733207</v>
      </c>
      <c r="M3947" s="49" t="n">
        <f aca="false">IFERROR(I3947/H3947,0)</f>
        <v>101.381948212065</v>
      </c>
      <c r="N3947" s="52" t="str">
        <f aca="false">'Model Inputs &amp; Assumptions'!$L$35</f>
        <v>PRD-EUAI</v>
      </c>
      <c r="P3947" s="53" t="n">
        <v>2.351685</v>
      </c>
      <c r="Q3947" s="53" t="n">
        <v>-0.09821</v>
      </c>
      <c r="R3947" s="53" t="n">
        <v>-0.782975</v>
      </c>
      <c r="S3947" s="53" t="n">
        <v>2.240372</v>
      </c>
    </row>
    <row r="3948" customFormat="false" ht="15" hidden="false" customHeight="false" outlineLevel="0" collapsed="false">
      <c r="A3948" s="43" t="n">
        <v>445</v>
      </c>
      <c r="B3948" s="44" t="str">
        <f aca="false">'Model Inputs &amp; Assumptions'!$B$35</f>
        <v>justETF — Sponsored Listing</v>
      </c>
      <c r="C3948" s="45" t="n">
        <f aca="false">ROUND(MAX(0,'Model Inputs &amp; Assumptions'!$S$35*EXP('Model Inputs &amp; Assumptions'!$T$35*P3948-'Model Inputs &amp; Assumptions'!$T$35^2/2)),0)</f>
        <v>89757</v>
      </c>
      <c r="D3948" s="46" t="n">
        <f aca="false">MIN(1,'Model Inputs &amp; Assumptions'!$U$35*EXP('Model Inputs &amp; Assumptions'!$V$35*Q3948-'Model Inputs &amp; Assumptions'!$V$35^2/2))</f>
        <v>0</v>
      </c>
      <c r="E3948" s="45" t="n">
        <f aca="false">ROUND(C3948*D3948,0)</f>
        <v>0</v>
      </c>
      <c r="F3948" s="47" t="n">
        <f aca="false">MIN(1,'Model Inputs &amp; Assumptions'!$W$35*EXP('Model Inputs &amp; Assumptions'!$X$35*R3948-'Model Inputs &amp; Assumptions'!$X$35^2/2))</f>
        <v>0.00802679023513641</v>
      </c>
      <c r="G3948" s="45" t="n">
        <f aca="false">ROUND(C3948*F3948,0)</f>
        <v>720</v>
      </c>
      <c r="H3948" s="48" t="n">
        <f aca="false">MAX(0,(C3948*'Model Inputs &amp; Assumptions'!$N$35+E3948*'Model Inputs &amp; Assumptions'!$O$35+G3948*'Model Inputs &amp; Assumptions'!$P$35)*EXP('Model Inputs &amp; Assumptions'!$Q$35*S3948-'Model Inputs &amp; Assumptions'!$Q$35^2/2))</f>
        <v>41.0003053844309</v>
      </c>
      <c r="I3948" s="49" t="n">
        <f aca="false">IF('Model Inputs &amp; Assumptions'!$H$35="Fixed",'Model Inputs &amp; Assumptions'!$I$35*'Model Inputs &amp; Assumptions'!$K$35,IF('Model Inputs &amp; Assumptions'!$H$35="CPM",'Model Inputs &amp; Assumptions'!$I$35*'Model Inputs &amp; Assumptions'!$K$35*C3948/1000,IF('Model Inputs &amp; Assumptions'!$H$35="CPC",'Model Inputs &amp; Assumptions'!$I$35*'Model Inputs &amp; Assumptions'!$K$35*G3948,0)))</f>
        <v>8672.8</v>
      </c>
      <c r="J3948" s="50" t="n">
        <f aca="false">H3948*INDEX('Model Inputs &amp; Assumptions'!$D$40:$D$42,MATCH('Model Inputs &amp; Assumptions'!$L$35,'Model Inputs &amp; Assumptions'!$A$40:$A$42,0))*INDEX('Model Inputs &amp; Assumptions'!$H$40:$H$42,MATCH('Model Inputs &amp; Assumptions'!$L$35,'Model Inputs &amp; Assumptions'!$A$40:$A$42,0))</f>
        <v>348502.595767663</v>
      </c>
      <c r="K3948" s="49" t="n">
        <f aca="false">H3948*INDEX('Model Inputs &amp; Assumptions'!$G$40:$G$42,MATCH('Model Inputs &amp; Assumptions'!$L$35,'Model Inputs &amp; Assumptions'!$A$40:$A$42,0))*INDEX('Model Inputs &amp; Assumptions'!$H$40:$H$42,MATCH('Model Inputs &amp; Assumptions'!$L$35,'Model Inputs &amp; Assumptions'!$A$40:$A$42,0))</f>
        <v>7841.30840477242</v>
      </c>
      <c r="L3948" s="51" t="n">
        <f aca="false">IFERROR(K3948/I3948,0)</f>
        <v>0.904126511019788</v>
      </c>
      <c r="M3948" s="49" t="n">
        <f aca="false">IFERROR(I3948/H3948,0)</f>
        <v>211.53013175588</v>
      </c>
      <c r="N3948" s="52" t="str">
        <f aca="false">'Model Inputs &amp; Assumptions'!$L$35</f>
        <v>PRD-EUAI</v>
      </c>
      <c r="P3948" s="53" t="n">
        <v>0.101558</v>
      </c>
      <c r="Q3948" s="53" t="n">
        <v>1.151473</v>
      </c>
      <c r="R3948" s="53" t="n">
        <v>1.003386</v>
      </c>
      <c r="S3948" s="53" t="n">
        <v>-0.663891</v>
      </c>
    </row>
    <row r="3949" customFormat="false" ht="15" hidden="false" customHeight="false" outlineLevel="0" collapsed="false">
      <c r="A3949" s="43" t="n">
        <v>446</v>
      </c>
      <c r="B3949" s="44" t="str">
        <f aca="false">'Model Inputs &amp; Assumptions'!$B$35</f>
        <v>justETF — Sponsored Listing</v>
      </c>
      <c r="C3949" s="45" t="n">
        <f aca="false">ROUND(MAX(0,'Model Inputs &amp; Assumptions'!$S$35*EXP('Model Inputs &amp; Assumptions'!$T$35*P3949-'Model Inputs &amp; Assumptions'!$T$35^2/2)),0)</f>
        <v>86349</v>
      </c>
      <c r="D3949" s="46" t="n">
        <f aca="false">MIN(1,'Model Inputs &amp; Assumptions'!$U$35*EXP('Model Inputs &amp; Assumptions'!$V$35*Q3949-'Model Inputs &amp; Assumptions'!$V$35^2/2))</f>
        <v>0</v>
      </c>
      <c r="E3949" s="45" t="n">
        <f aca="false">ROUND(C3949*D3949,0)</f>
        <v>0</v>
      </c>
      <c r="F3949" s="47" t="n">
        <f aca="false">MIN(1,'Model Inputs &amp; Assumptions'!$W$35*EXP('Model Inputs &amp; Assumptions'!$X$35*R3949-'Model Inputs &amp; Assumptions'!$X$35^2/2))</f>
        <v>0.00683670524595385</v>
      </c>
      <c r="G3949" s="45" t="n">
        <f aca="false">ROUND(C3949*F3949,0)</f>
        <v>590</v>
      </c>
      <c r="H3949" s="48" t="n">
        <f aca="false">MAX(0,(C3949*'Model Inputs &amp; Assumptions'!$N$35+E3949*'Model Inputs &amp; Assumptions'!$O$35+G3949*'Model Inputs &amp; Assumptions'!$P$35)*EXP('Model Inputs &amp; Assumptions'!$Q$35*S3949-'Model Inputs &amp; Assumptions'!$Q$35^2/2))</f>
        <v>26.8825656655447</v>
      </c>
      <c r="I3949" s="49" t="n">
        <f aca="false">IF('Model Inputs &amp; Assumptions'!$H$35="Fixed",'Model Inputs &amp; Assumptions'!$I$35*'Model Inputs &amp; Assumptions'!$K$35,IF('Model Inputs &amp; Assumptions'!$H$35="CPM",'Model Inputs &amp; Assumptions'!$I$35*'Model Inputs &amp; Assumptions'!$K$35*C3949/1000,IF('Model Inputs &amp; Assumptions'!$H$35="CPC",'Model Inputs &amp; Assumptions'!$I$35*'Model Inputs &amp; Assumptions'!$K$35*G3949,0)))</f>
        <v>8672.8</v>
      </c>
      <c r="J3949" s="50" t="n">
        <f aca="false">H3949*INDEX('Model Inputs &amp; Assumptions'!$D$40:$D$42,MATCH('Model Inputs &amp; Assumptions'!$L$35,'Model Inputs &amp; Assumptions'!$A$40:$A$42,0))*INDEX('Model Inputs &amp; Assumptions'!$H$40:$H$42,MATCH('Model Inputs &amp; Assumptions'!$L$35,'Model Inputs &amp; Assumptions'!$A$40:$A$42,0))</f>
        <v>228501.80815713</v>
      </c>
      <c r="K3949" s="49" t="n">
        <f aca="false">H3949*INDEX('Model Inputs &amp; Assumptions'!$G$40:$G$42,MATCH('Model Inputs &amp; Assumptions'!$L$35,'Model Inputs &amp; Assumptions'!$A$40:$A$42,0))*INDEX('Model Inputs &amp; Assumptions'!$H$40:$H$42,MATCH('Model Inputs &amp; Assumptions'!$L$35,'Model Inputs &amp; Assumptions'!$A$40:$A$42,0))</f>
        <v>5141.29068353543</v>
      </c>
      <c r="L3949" s="51" t="n">
        <f aca="false">IFERROR(K3949/I3949,0)</f>
        <v>0.592806323625061</v>
      </c>
      <c r="M3949" s="49" t="n">
        <f aca="false">IFERROR(I3949/H3949,0)</f>
        <v>322.618015999711</v>
      </c>
      <c r="N3949" s="52" t="str">
        <f aca="false">'Model Inputs &amp; Assumptions'!$L$35</f>
        <v>PRD-EUAI</v>
      </c>
      <c r="P3949" s="53" t="n">
        <v>-0.156524</v>
      </c>
      <c r="Q3949" s="53" t="n">
        <v>-0.364888</v>
      </c>
      <c r="R3949" s="53" t="n">
        <v>0.200992</v>
      </c>
      <c r="S3949" s="53" t="n">
        <v>-1.521479</v>
      </c>
    </row>
    <row r="3950" customFormat="false" ht="15" hidden="false" customHeight="false" outlineLevel="0" collapsed="false">
      <c r="A3950" s="43" t="n">
        <v>447</v>
      </c>
      <c r="B3950" s="44" t="str">
        <f aca="false">'Model Inputs &amp; Assumptions'!$B$35</f>
        <v>justETF — Sponsored Listing</v>
      </c>
      <c r="C3950" s="45" t="n">
        <f aca="false">ROUND(MAX(0,'Model Inputs &amp; Assumptions'!$S$35*EXP('Model Inputs &amp; Assumptions'!$T$35*P3950-'Model Inputs &amp; Assumptions'!$T$35^2/2)),0)</f>
        <v>78733</v>
      </c>
      <c r="D3950" s="46" t="n">
        <f aca="false">MIN(1,'Model Inputs &amp; Assumptions'!$U$35*EXP('Model Inputs &amp; Assumptions'!$V$35*Q3950-'Model Inputs &amp; Assumptions'!$V$35^2/2))</f>
        <v>0</v>
      </c>
      <c r="E3950" s="45" t="n">
        <f aca="false">ROUND(C3950*D3950,0)</f>
        <v>0</v>
      </c>
      <c r="F3950" s="47" t="n">
        <f aca="false">MIN(1,'Model Inputs &amp; Assumptions'!$W$35*EXP('Model Inputs &amp; Assumptions'!$X$35*R3950-'Model Inputs &amp; Assumptions'!$X$35^2/2))</f>
        <v>0.00985344092231987</v>
      </c>
      <c r="G3950" s="45" t="n">
        <f aca="false">ROUND(C3950*F3950,0)</f>
        <v>776</v>
      </c>
      <c r="H3950" s="48" t="n">
        <f aca="false">MAX(0,(C3950*'Model Inputs &amp; Assumptions'!$N$35+E3950*'Model Inputs &amp; Assumptions'!$O$35+G3950*'Model Inputs &amp; Assumptions'!$P$35)*EXP('Model Inputs &amp; Assumptions'!$Q$35*S3950-'Model Inputs &amp; Assumptions'!$Q$35^2/2))</f>
        <v>65.847733156795</v>
      </c>
      <c r="I3950" s="49" t="n">
        <f aca="false">IF('Model Inputs &amp; Assumptions'!$H$35="Fixed",'Model Inputs &amp; Assumptions'!$I$35*'Model Inputs &amp; Assumptions'!$K$35,IF('Model Inputs &amp; Assumptions'!$H$35="CPM",'Model Inputs &amp; Assumptions'!$I$35*'Model Inputs &amp; Assumptions'!$K$35*C3950/1000,IF('Model Inputs &amp; Assumptions'!$H$35="CPC",'Model Inputs &amp; Assumptions'!$I$35*'Model Inputs &amp; Assumptions'!$K$35*G3950,0)))</f>
        <v>8672.8</v>
      </c>
      <c r="J3950" s="50" t="n">
        <f aca="false">H3950*INDEX('Model Inputs &amp; Assumptions'!$D$40:$D$42,MATCH('Model Inputs &amp; Assumptions'!$L$35,'Model Inputs &amp; Assumptions'!$A$40:$A$42,0))*INDEX('Model Inputs &amp; Assumptions'!$H$40:$H$42,MATCH('Model Inputs &amp; Assumptions'!$L$35,'Model Inputs &amp; Assumptions'!$A$40:$A$42,0))</f>
        <v>559705.731832757</v>
      </c>
      <c r="K3950" s="49" t="n">
        <f aca="false">H3950*INDEX('Model Inputs &amp; Assumptions'!$G$40:$G$42,MATCH('Model Inputs &amp; Assumptions'!$L$35,'Model Inputs &amp; Assumptions'!$A$40:$A$42,0))*INDEX('Model Inputs &amp; Assumptions'!$H$40:$H$42,MATCH('Model Inputs &amp; Assumptions'!$L$35,'Model Inputs &amp; Assumptions'!$A$40:$A$42,0))</f>
        <v>12593.378966237</v>
      </c>
      <c r="L3950" s="51" t="n">
        <f aca="false">IFERROR(K3950/I3950,0)</f>
        <v>1.45205458055496</v>
      </c>
      <c r="M3950" s="49" t="n">
        <f aca="false">IFERROR(I3950/H3950,0)</f>
        <v>131.709925068317</v>
      </c>
      <c r="N3950" s="52" t="str">
        <f aca="false">'Model Inputs &amp; Assumptions'!$L$35</f>
        <v>PRD-EUAI</v>
      </c>
      <c r="P3950" s="53" t="n">
        <v>-0.772075</v>
      </c>
      <c r="Q3950" s="53" t="n">
        <v>0.430044</v>
      </c>
      <c r="R3950" s="53" t="n">
        <v>2.028566</v>
      </c>
      <c r="S3950" s="53" t="n">
        <v>0.870202</v>
      </c>
    </row>
    <row r="3951" customFormat="false" ht="15" hidden="false" customHeight="false" outlineLevel="0" collapsed="false">
      <c r="A3951" s="43" t="n">
        <v>448</v>
      </c>
      <c r="B3951" s="44" t="str">
        <f aca="false">'Model Inputs &amp; Assumptions'!$B$35</f>
        <v>justETF — Sponsored Listing</v>
      </c>
      <c r="C3951" s="45" t="n">
        <f aca="false">ROUND(MAX(0,'Model Inputs &amp; Assumptions'!$S$35*EXP('Model Inputs &amp; Assumptions'!$T$35*P3951-'Model Inputs &amp; Assumptions'!$T$35^2/2)),0)</f>
        <v>81466</v>
      </c>
      <c r="D3951" s="46" t="n">
        <f aca="false">MIN(1,'Model Inputs &amp; Assumptions'!$U$35*EXP('Model Inputs &amp; Assumptions'!$V$35*Q3951-'Model Inputs &amp; Assumptions'!$V$35^2/2))</f>
        <v>0</v>
      </c>
      <c r="E3951" s="45" t="n">
        <f aca="false">ROUND(C3951*D3951,0)</f>
        <v>0</v>
      </c>
      <c r="F3951" s="47" t="n">
        <f aca="false">MIN(1,'Model Inputs &amp; Assumptions'!$W$35*EXP('Model Inputs &amp; Assumptions'!$X$35*R3951-'Model Inputs &amp; Assumptions'!$X$35^2/2))</f>
        <v>0.00660205475038802</v>
      </c>
      <c r="G3951" s="45" t="n">
        <f aca="false">ROUND(C3951*F3951,0)</f>
        <v>538</v>
      </c>
      <c r="H3951" s="48" t="n">
        <f aca="false">MAX(0,(C3951*'Model Inputs &amp; Assumptions'!$N$35+E3951*'Model Inputs &amp; Assumptions'!$O$35+G3951*'Model Inputs &amp; Assumptions'!$P$35)*EXP('Model Inputs &amp; Assumptions'!$Q$35*S3951-'Model Inputs &amp; Assumptions'!$Q$35^2/2))</f>
        <v>31.4172122396964</v>
      </c>
      <c r="I3951" s="49" t="n">
        <f aca="false">IF('Model Inputs &amp; Assumptions'!$H$35="Fixed",'Model Inputs &amp; Assumptions'!$I$35*'Model Inputs &amp; Assumptions'!$K$35,IF('Model Inputs &amp; Assumptions'!$H$35="CPM",'Model Inputs &amp; Assumptions'!$I$35*'Model Inputs &amp; Assumptions'!$K$35*C3951/1000,IF('Model Inputs &amp; Assumptions'!$H$35="CPC",'Model Inputs &amp; Assumptions'!$I$35*'Model Inputs &amp; Assumptions'!$K$35*G3951,0)))</f>
        <v>8672.8</v>
      </c>
      <c r="J3951" s="50" t="n">
        <f aca="false">H3951*INDEX('Model Inputs &amp; Assumptions'!$D$40:$D$42,MATCH('Model Inputs &amp; Assumptions'!$L$35,'Model Inputs &amp; Assumptions'!$A$40:$A$42,0))*INDEX('Model Inputs &amp; Assumptions'!$H$40:$H$42,MATCH('Model Inputs &amp; Assumptions'!$L$35,'Model Inputs &amp; Assumptions'!$A$40:$A$42,0))</f>
        <v>267046.304037419</v>
      </c>
      <c r="K3951" s="49" t="n">
        <f aca="false">H3951*INDEX('Model Inputs &amp; Assumptions'!$G$40:$G$42,MATCH('Model Inputs &amp; Assumptions'!$L$35,'Model Inputs &amp; Assumptions'!$A$40:$A$42,0))*INDEX('Model Inputs &amp; Assumptions'!$H$40:$H$42,MATCH('Model Inputs &amp; Assumptions'!$L$35,'Model Inputs &amp; Assumptions'!$A$40:$A$42,0))</f>
        <v>6008.54184084193</v>
      </c>
      <c r="L3951" s="51" t="n">
        <f aca="false">IFERROR(K3951/I3951,0)</f>
        <v>0.692802997975502</v>
      </c>
      <c r="M3951" s="49" t="n">
        <f aca="false">IFERROR(I3951/H3951,0)</f>
        <v>276.052500579339</v>
      </c>
      <c r="N3951" s="52" t="str">
        <f aca="false">'Model Inputs &amp; Assumptions'!$L$35</f>
        <v>PRD-EUAI</v>
      </c>
      <c r="P3951" s="53" t="n">
        <v>-0.544542</v>
      </c>
      <c r="Q3951" s="53" t="n">
        <v>0.488855</v>
      </c>
      <c r="R3951" s="53" t="n">
        <v>0.026367</v>
      </c>
      <c r="S3951" s="53" t="n">
        <v>-0.567087</v>
      </c>
    </row>
    <row r="3952" customFormat="false" ht="15" hidden="false" customHeight="false" outlineLevel="0" collapsed="false">
      <c r="A3952" s="43" t="n">
        <v>449</v>
      </c>
      <c r="B3952" s="44" t="str">
        <f aca="false">'Model Inputs &amp; Assumptions'!$B$35</f>
        <v>justETF — Sponsored Listing</v>
      </c>
      <c r="C3952" s="45" t="n">
        <f aca="false">ROUND(MAX(0,'Model Inputs &amp; Assumptions'!$S$35*EXP('Model Inputs &amp; Assumptions'!$T$35*P3952-'Model Inputs &amp; Assumptions'!$T$35^2/2)),0)</f>
        <v>91069</v>
      </c>
      <c r="D3952" s="46" t="n">
        <f aca="false">MIN(1,'Model Inputs &amp; Assumptions'!$U$35*EXP('Model Inputs &amp; Assumptions'!$V$35*Q3952-'Model Inputs &amp; Assumptions'!$V$35^2/2))</f>
        <v>0</v>
      </c>
      <c r="E3952" s="45" t="n">
        <f aca="false">ROUND(C3952*D3952,0)</f>
        <v>0</v>
      </c>
      <c r="F3952" s="47" t="n">
        <f aca="false">MIN(1,'Model Inputs &amp; Assumptions'!$W$35*EXP('Model Inputs &amp; Assumptions'!$X$35*R3952-'Model Inputs &amp; Assumptions'!$X$35^2/2))</f>
        <v>0.00649652570057037</v>
      </c>
      <c r="G3952" s="45" t="n">
        <f aca="false">ROUND(C3952*F3952,0)</f>
        <v>592</v>
      </c>
      <c r="H3952" s="48" t="n">
        <f aca="false">MAX(0,(C3952*'Model Inputs &amp; Assumptions'!$N$35+E3952*'Model Inputs &amp; Assumptions'!$O$35+G3952*'Model Inputs &amp; Assumptions'!$P$35)*EXP('Model Inputs &amp; Assumptions'!$Q$35*S3952-'Model Inputs &amp; Assumptions'!$Q$35^2/2))</f>
        <v>27.7797783338477</v>
      </c>
      <c r="I3952" s="49" t="n">
        <f aca="false">IF('Model Inputs &amp; Assumptions'!$H$35="Fixed",'Model Inputs &amp; Assumptions'!$I$35*'Model Inputs &amp; Assumptions'!$K$35,IF('Model Inputs &amp; Assumptions'!$H$35="CPM",'Model Inputs &amp; Assumptions'!$I$35*'Model Inputs &amp; Assumptions'!$K$35*C3952/1000,IF('Model Inputs &amp; Assumptions'!$H$35="CPC",'Model Inputs &amp; Assumptions'!$I$35*'Model Inputs &amp; Assumptions'!$K$35*G3952,0)))</f>
        <v>8672.8</v>
      </c>
      <c r="J3952" s="50" t="n">
        <f aca="false">H3952*INDEX('Model Inputs &amp; Assumptions'!$D$40:$D$42,MATCH('Model Inputs &amp; Assumptions'!$L$35,'Model Inputs &amp; Assumptions'!$A$40:$A$42,0))*INDEX('Model Inputs &amp; Assumptions'!$H$40:$H$42,MATCH('Model Inputs &amp; Assumptions'!$L$35,'Model Inputs &amp; Assumptions'!$A$40:$A$42,0))</f>
        <v>236128.115837706</v>
      </c>
      <c r="K3952" s="49" t="n">
        <f aca="false">H3952*INDEX('Model Inputs &amp; Assumptions'!$G$40:$G$42,MATCH('Model Inputs &amp; Assumptions'!$L$35,'Model Inputs &amp; Assumptions'!$A$40:$A$42,0))*INDEX('Model Inputs &amp; Assumptions'!$H$40:$H$42,MATCH('Model Inputs &amp; Assumptions'!$L$35,'Model Inputs &amp; Assumptions'!$A$40:$A$42,0))</f>
        <v>5312.88260634838</v>
      </c>
      <c r="L3952" s="51" t="n">
        <f aca="false">IFERROR(K3952/I3952,0)</f>
        <v>0.612591389902728</v>
      </c>
      <c r="M3952" s="49" t="n">
        <f aca="false">IFERROR(I3952/H3952,0)</f>
        <v>312.198315471539</v>
      </c>
      <c r="N3952" s="52" t="str">
        <f aca="false">'Model Inputs &amp; Assumptions'!$L$35</f>
        <v>PRD-EUAI</v>
      </c>
      <c r="P3952" s="53" t="n">
        <v>0.198346</v>
      </c>
      <c r="Q3952" s="53" t="n">
        <v>0.529786</v>
      </c>
      <c r="R3952" s="53" t="n">
        <v>-0.0542</v>
      </c>
      <c r="S3952" s="53" t="n">
        <v>-1.408224</v>
      </c>
    </row>
    <row r="3953" customFormat="false" ht="15" hidden="false" customHeight="false" outlineLevel="0" collapsed="false">
      <c r="A3953" s="43" t="n">
        <v>450</v>
      </c>
      <c r="B3953" s="44" t="str">
        <f aca="false">'Model Inputs &amp; Assumptions'!$B$35</f>
        <v>justETF — Sponsored Listing</v>
      </c>
      <c r="C3953" s="45" t="n">
        <f aca="false">ROUND(MAX(0,'Model Inputs &amp; Assumptions'!$S$35*EXP('Model Inputs &amp; Assumptions'!$T$35*P3953-'Model Inputs &amp; Assumptions'!$T$35^2/2)),0)</f>
        <v>97905</v>
      </c>
      <c r="D3953" s="46" t="n">
        <f aca="false">MIN(1,'Model Inputs &amp; Assumptions'!$U$35*EXP('Model Inputs &amp; Assumptions'!$V$35*Q3953-'Model Inputs &amp; Assumptions'!$V$35^2/2))</f>
        <v>0</v>
      </c>
      <c r="E3953" s="45" t="n">
        <f aca="false">ROUND(C3953*D3953,0)</f>
        <v>0</v>
      </c>
      <c r="F3953" s="47" t="n">
        <f aca="false">MIN(1,'Model Inputs &amp; Assumptions'!$W$35*EXP('Model Inputs &amp; Assumptions'!$X$35*R3953-'Model Inputs &amp; Assumptions'!$X$35^2/2))</f>
        <v>0.00640234369963054</v>
      </c>
      <c r="G3953" s="45" t="n">
        <f aca="false">ROUND(C3953*F3953,0)</f>
        <v>627</v>
      </c>
      <c r="H3953" s="48" t="n">
        <f aca="false">MAX(0,(C3953*'Model Inputs &amp; Assumptions'!$N$35+E3953*'Model Inputs &amp; Assumptions'!$O$35+G3953*'Model Inputs &amp; Assumptions'!$P$35)*EXP('Model Inputs &amp; Assumptions'!$Q$35*S3953-'Model Inputs &amp; Assumptions'!$Q$35^2/2))</f>
        <v>42.5310902464774</v>
      </c>
      <c r="I3953" s="49" t="n">
        <f aca="false">IF('Model Inputs &amp; Assumptions'!$H$35="Fixed",'Model Inputs &amp; Assumptions'!$I$35*'Model Inputs &amp; Assumptions'!$K$35,IF('Model Inputs &amp; Assumptions'!$H$35="CPM",'Model Inputs &amp; Assumptions'!$I$35*'Model Inputs &amp; Assumptions'!$K$35*C3953/1000,IF('Model Inputs &amp; Assumptions'!$H$35="CPC",'Model Inputs &amp; Assumptions'!$I$35*'Model Inputs &amp; Assumptions'!$K$35*G3953,0)))</f>
        <v>8672.8</v>
      </c>
      <c r="J3953" s="50" t="n">
        <f aca="false">H3953*INDEX('Model Inputs &amp; Assumptions'!$D$40:$D$42,MATCH('Model Inputs &amp; Assumptions'!$L$35,'Model Inputs &amp; Assumptions'!$A$40:$A$42,0))*INDEX('Model Inputs &amp; Assumptions'!$H$40:$H$42,MATCH('Model Inputs &amp; Assumptions'!$L$35,'Model Inputs &amp; Assumptions'!$A$40:$A$42,0))</f>
        <v>361514.267095058</v>
      </c>
      <c r="K3953" s="49" t="n">
        <f aca="false">H3953*INDEX('Model Inputs &amp; Assumptions'!$G$40:$G$42,MATCH('Model Inputs &amp; Assumptions'!$L$35,'Model Inputs &amp; Assumptions'!$A$40:$A$42,0))*INDEX('Model Inputs &amp; Assumptions'!$H$40:$H$42,MATCH('Model Inputs &amp; Assumptions'!$L$35,'Model Inputs &amp; Assumptions'!$A$40:$A$42,0))</f>
        <v>8134.07100963881</v>
      </c>
      <c r="L3953" s="51" t="n">
        <f aca="false">IFERROR(K3953/I3953,0)</f>
        <v>0.937882922428606</v>
      </c>
      <c r="M3953" s="49" t="n">
        <f aca="false">IFERROR(I3953/H3953,0)</f>
        <v>203.916710099345</v>
      </c>
      <c r="N3953" s="52" t="str">
        <f aca="false">'Model Inputs &amp; Assumptions'!$L$35</f>
        <v>PRD-EUAI</v>
      </c>
      <c r="P3953" s="53" t="n">
        <v>0.680876</v>
      </c>
      <c r="Q3953" s="53" t="n">
        <v>0.556635</v>
      </c>
      <c r="R3953" s="53" t="n">
        <v>-0.127217</v>
      </c>
      <c r="S3953" s="53" t="n">
        <v>0.009034</v>
      </c>
    </row>
    <row r="3954" customFormat="false" ht="15" hidden="false" customHeight="false" outlineLevel="0" collapsed="false">
      <c r="A3954" s="43" t="n">
        <v>451</v>
      </c>
      <c r="B3954" s="44" t="str">
        <f aca="false">'Model Inputs &amp; Assumptions'!$B$35</f>
        <v>justETF — Sponsored Listing</v>
      </c>
      <c r="C3954" s="45" t="n">
        <f aca="false">ROUND(MAX(0,'Model Inputs &amp; Assumptions'!$S$35*EXP('Model Inputs &amp; Assumptions'!$T$35*P3954-'Model Inputs &amp; Assumptions'!$T$35^2/2)),0)</f>
        <v>104353</v>
      </c>
      <c r="D3954" s="46" t="n">
        <f aca="false">MIN(1,'Model Inputs &amp; Assumptions'!$U$35*EXP('Model Inputs &amp; Assumptions'!$V$35*Q3954-'Model Inputs &amp; Assumptions'!$V$35^2/2))</f>
        <v>0</v>
      </c>
      <c r="E3954" s="45" t="n">
        <f aca="false">ROUND(C3954*D3954,0)</f>
        <v>0</v>
      </c>
      <c r="F3954" s="47" t="n">
        <f aca="false">MIN(1,'Model Inputs &amp; Assumptions'!$W$35*EXP('Model Inputs &amp; Assumptions'!$X$35*R3954-'Model Inputs &amp; Assumptions'!$X$35^2/2))</f>
        <v>0.00450456229445657</v>
      </c>
      <c r="G3954" s="45" t="n">
        <f aca="false">ROUND(C3954*F3954,0)</f>
        <v>470</v>
      </c>
      <c r="H3954" s="48" t="n">
        <f aca="false">MAX(0,(C3954*'Model Inputs &amp; Assumptions'!$N$35+E3954*'Model Inputs &amp; Assumptions'!$O$35+G3954*'Model Inputs &amp; Assumptions'!$P$35)*EXP('Model Inputs &amp; Assumptions'!$Q$35*S3954-'Model Inputs &amp; Assumptions'!$Q$35^2/2))</f>
        <v>28.7612052107075</v>
      </c>
      <c r="I3954" s="49" t="n">
        <f aca="false">IF('Model Inputs &amp; Assumptions'!$H$35="Fixed",'Model Inputs &amp; Assumptions'!$I$35*'Model Inputs &amp; Assumptions'!$K$35,IF('Model Inputs &amp; Assumptions'!$H$35="CPM",'Model Inputs &amp; Assumptions'!$I$35*'Model Inputs &amp; Assumptions'!$K$35*C3954/1000,IF('Model Inputs &amp; Assumptions'!$H$35="CPC",'Model Inputs &amp; Assumptions'!$I$35*'Model Inputs &amp; Assumptions'!$K$35*G3954,0)))</f>
        <v>8672.8</v>
      </c>
      <c r="J3954" s="50" t="n">
        <f aca="false">H3954*INDEX('Model Inputs &amp; Assumptions'!$D$40:$D$42,MATCH('Model Inputs &amp; Assumptions'!$L$35,'Model Inputs &amp; Assumptions'!$A$40:$A$42,0))*INDEX('Model Inputs &amp; Assumptions'!$H$40:$H$42,MATCH('Model Inputs &amp; Assumptions'!$L$35,'Model Inputs &amp; Assumptions'!$A$40:$A$42,0))</f>
        <v>244470.244291013</v>
      </c>
      <c r="K3954" s="49" t="n">
        <f aca="false">H3954*INDEX('Model Inputs &amp; Assumptions'!$G$40:$G$42,MATCH('Model Inputs &amp; Assumptions'!$L$35,'Model Inputs &amp; Assumptions'!$A$40:$A$42,0))*INDEX('Model Inputs &amp; Assumptions'!$H$40:$H$42,MATCH('Model Inputs &amp; Assumptions'!$L$35,'Model Inputs &amp; Assumptions'!$A$40:$A$42,0))</f>
        <v>5500.5804965478</v>
      </c>
      <c r="L3954" s="51" t="n">
        <f aca="false">IFERROR(K3954/I3954,0)</f>
        <v>0.634233522800918</v>
      </c>
      <c r="M3954" s="49" t="n">
        <f aca="false">IFERROR(I3954/H3954,0)</f>
        <v>301.545082567375</v>
      </c>
      <c r="N3954" s="52" t="str">
        <f aca="false">'Model Inputs &amp; Assumptions'!$L$35</f>
        <v>PRD-EUAI</v>
      </c>
      <c r="P3954" s="53" t="n">
        <v>1.106036</v>
      </c>
      <c r="Q3954" s="53" t="n">
        <v>-1.022165</v>
      </c>
      <c r="R3954" s="53" t="n">
        <v>-1.885084</v>
      </c>
      <c r="S3954" s="53" t="n">
        <v>-0.387097</v>
      </c>
    </row>
    <row r="3955" customFormat="false" ht="15" hidden="false" customHeight="false" outlineLevel="0" collapsed="false">
      <c r="A3955" s="43" t="n">
        <v>452</v>
      </c>
      <c r="B3955" s="44" t="str">
        <f aca="false">'Model Inputs &amp; Assumptions'!$B$35</f>
        <v>justETF — Sponsored Listing</v>
      </c>
      <c r="C3955" s="45" t="n">
        <f aca="false">ROUND(MAX(0,'Model Inputs &amp; Assumptions'!$S$35*EXP('Model Inputs &amp; Assumptions'!$T$35*P3955-'Model Inputs &amp; Assumptions'!$T$35^2/2)),0)</f>
        <v>79155</v>
      </c>
      <c r="D3955" s="46" t="n">
        <f aca="false">MIN(1,'Model Inputs &amp; Assumptions'!$U$35*EXP('Model Inputs &amp; Assumptions'!$V$35*Q3955-'Model Inputs &amp; Assumptions'!$V$35^2/2))</f>
        <v>0</v>
      </c>
      <c r="E3955" s="45" t="n">
        <f aca="false">ROUND(C3955*D3955,0)</f>
        <v>0</v>
      </c>
      <c r="F3955" s="47" t="n">
        <f aca="false">MIN(1,'Model Inputs &amp; Assumptions'!$W$35*EXP('Model Inputs &amp; Assumptions'!$X$35*R3955-'Model Inputs &amp; Assumptions'!$X$35^2/2))</f>
        <v>0.00698986977856991</v>
      </c>
      <c r="G3955" s="45" t="n">
        <f aca="false">ROUND(C3955*F3955,0)</f>
        <v>553</v>
      </c>
      <c r="H3955" s="48" t="n">
        <f aca="false">MAX(0,(C3955*'Model Inputs &amp; Assumptions'!$N$35+E3955*'Model Inputs &amp; Assumptions'!$O$35+G3955*'Model Inputs &amp; Assumptions'!$P$35)*EXP('Model Inputs &amp; Assumptions'!$Q$35*S3955-'Model Inputs &amp; Assumptions'!$Q$35^2/2))</f>
        <v>45.0516696080493</v>
      </c>
      <c r="I3955" s="49" t="n">
        <f aca="false">IF('Model Inputs &amp; Assumptions'!$H$35="Fixed",'Model Inputs &amp; Assumptions'!$I$35*'Model Inputs &amp; Assumptions'!$K$35,IF('Model Inputs &amp; Assumptions'!$H$35="CPM",'Model Inputs &amp; Assumptions'!$I$35*'Model Inputs &amp; Assumptions'!$K$35*C3955/1000,IF('Model Inputs &amp; Assumptions'!$H$35="CPC",'Model Inputs &amp; Assumptions'!$I$35*'Model Inputs &amp; Assumptions'!$K$35*G3955,0)))</f>
        <v>8672.8</v>
      </c>
      <c r="J3955" s="50" t="n">
        <f aca="false">H3955*INDEX('Model Inputs &amp; Assumptions'!$D$40:$D$42,MATCH('Model Inputs &amp; Assumptions'!$L$35,'Model Inputs &amp; Assumptions'!$A$40:$A$42,0))*INDEX('Model Inputs &amp; Assumptions'!$H$40:$H$42,MATCH('Model Inputs &amp; Assumptions'!$L$35,'Model Inputs &amp; Assumptions'!$A$40:$A$42,0))</f>
        <v>382939.191668419</v>
      </c>
      <c r="K3955" s="49" t="n">
        <f aca="false">H3955*INDEX('Model Inputs &amp; Assumptions'!$G$40:$G$42,MATCH('Model Inputs &amp; Assumptions'!$L$35,'Model Inputs &amp; Assumptions'!$A$40:$A$42,0))*INDEX('Model Inputs &amp; Assumptions'!$H$40:$H$42,MATCH('Model Inputs &amp; Assumptions'!$L$35,'Model Inputs &amp; Assumptions'!$A$40:$A$42,0))</f>
        <v>8616.13181253943</v>
      </c>
      <c r="L3955" s="51" t="n">
        <f aca="false">IFERROR(K3955/I3955,0)</f>
        <v>0.993465987056018</v>
      </c>
      <c r="M3955" s="49" t="n">
        <f aca="false">IFERROR(I3955/H3955,0)</f>
        <v>192.507848775719</v>
      </c>
      <c r="N3955" s="52" t="str">
        <f aca="false">'Model Inputs &amp; Assumptions'!$L$35</f>
        <v>PRD-EUAI</v>
      </c>
      <c r="P3955" s="53" t="n">
        <v>-0.736417</v>
      </c>
      <c r="Q3955" s="53" t="n">
        <v>-0.292596</v>
      </c>
      <c r="R3955" s="53" t="n">
        <v>0.311772</v>
      </c>
      <c r="S3955" s="53" t="n">
        <v>0.713508</v>
      </c>
    </row>
    <row r="3956" customFormat="false" ht="15" hidden="false" customHeight="false" outlineLevel="0" collapsed="false">
      <c r="A3956" s="43" t="n">
        <v>453</v>
      </c>
      <c r="B3956" s="44" t="str">
        <f aca="false">'Model Inputs &amp; Assumptions'!$B$35</f>
        <v>justETF — Sponsored Listing</v>
      </c>
      <c r="C3956" s="45" t="n">
        <f aca="false">ROUND(MAX(0,'Model Inputs &amp; Assumptions'!$S$35*EXP('Model Inputs &amp; Assumptions'!$T$35*P3956-'Model Inputs &amp; Assumptions'!$T$35^2/2)),0)</f>
        <v>88268</v>
      </c>
      <c r="D3956" s="46" t="n">
        <f aca="false">MIN(1,'Model Inputs &amp; Assumptions'!$U$35*EXP('Model Inputs &amp; Assumptions'!$V$35*Q3956-'Model Inputs &amp; Assumptions'!$V$35^2/2))</f>
        <v>0</v>
      </c>
      <c r="E3956" s="45" t="n">
        <f aca="false">ROUND(C3956*D3956,0)</f>
        <v>0</v>
      </c>
      <c r="F3956" s="47" t="n">
        <f aca="false">MIN(1,'Model Inputs &amp; Assumptions'!$W$35*EXP('Model Inputs &amp; Assumptions'!$X$35*R3956-'Model Inputs &amp; Assumptions'!$X$35^2/2))</f>
        <v>0.00670858149098257</v>
      </c>
      <c r="G3956" s="45" t="n">
        <f aca="false">ROUND(C3956*F3956,0)</f>
        <v>592</v>
      </c>
      <c r="H3956" s="48" t="n">
        <f aca="false">MAX(0,(C3956*'Model Inputs &amp; Assumptions'!$N$35+E3956*'Model Inputs &amp; Assumptions'!$O$35+G3956*'Model Inputs &amp; Assumptions'!$P$35)*EXP('Model Inputs &amp; Assumptions'!$Q$35*S3956-'Model Inputs &amp; Assumptions'!$Q$35^2/2))</f>
        <v>67.7392718369566</v>
      </c>
      <c r="I3956" s="49" t="n">
        <f aca="false">IF('Model Inputs &amp; Assumptions'!$H$35="Fixed",'Model Inputs &amp; Assumptions'!$I$35*'Model Inputs &amp; Assumptions'!$K$35,IF('Model Inputs &amp; Assumptions'!$H$35="CPM",'Model Inputs &amp; Assumptions'!$I$35*'Model Inputs &amp; Assumptions'!$K$35*C3956/1000,IF('Model Inputs &amp; Assumptions'!$H$35="CPC",'Model Inputs &amp; Assumptions'!$I$35*'Model Inputs &amp; Assumptions'!$K$35*G3956,0)))</f>
        <v>8672.8</v>
      </c>
      <c r="J3956" s="50" t="n">
        <f aca="false">H3956*INDEX('Model Inputs &amp; Assumptions'!$D$40:$D$42,MATCH('Model Inputs &amp; Assumptions'!$L$35,'Model Inputs &amp; Assumptions'!$A$40:$A$42,0))*INDEX('Model Inputs &amp; Assumptions'!$H$40:$H$42,MATCH('Model Inputs &amp; Assumptions'!$L$35,'Model Inputs &amp; Assumptions'!$A$40:$A$42,0))</f>
        <v>575783.810614131</v>
      </c>
      <c r="K3956" s="49" t="n">
        <f aca="false">H3956*INDEX('Model Inputs &amp; Assumptions'!$G$40:$G$42,MATCH('Model Inputs &amp; Assumptions'!$L$35,'Model Inputs &amp; Assumptions'!$A$40:$A$42,0))*INDEX('Model Inputs &amp; Assumptions'!$H$40:$H$42,MATCH('Model Inputs &amp; Assumptions'!$L$35,'Model Inputs &amp; Assumptions'!$A$40:$A$42,0))</f>
        <v>12955.135738818</v>
      </c>
      <c r="L3956" s="51" t="n">
        <f aca="false">IFERROR(K3956/I3956,0)</f>
        <v>1.49376622761022</v>
      </c>
      <c r="M3956" s="49" t="n">
        <f aca="false">IFERROR(I3956/H3956,0)</f>
        <v>128.032081904789</v>
      </c>
      <c r="N3956" s="52" t="str">
        <f aca="false">'Model Inputs &amp; Assumptions'!$L$35</f>
        <v>PRD-EUAI</v>
      </c>
      <c r="P3956" s="53" t="n">
        <v>-0.009982</v>
      </c>
      <c r="Q3956" s="53" t="n">
        <v>-0.032244</v>
      </c>
      <c r="R3956" s="53" t="n">
        <v>0.1064</v>
      </c>
      <c r="S3956" s="53" t="n">
        <v>2.020075</v>
      </c>
    </row>
    <row r="3957" customFormat="false" ht="15" hidden="false" customHeight="false" outlineLevel="0" collapsed="false">
      <c r="A3957" s="43" t="n">
        <v>454</v>
      </c>
      <c r="B3957" s="44" t="str">
        <f aca="false">'Model Inputs &amp; Assumptions'!$B$35</f>
        <v>justETF — Sponsored Listing</v>
      </c>
      <c r="C3957" s="45" t="n">
        <f aca="false">ROUND(MAX(0,'Model Inputs &amp; Assumptions'!$S$35*EXP('Model Inputs &amp; Assumptions'!$T$35*P3957-'Model Inputs &amp; Assumptions'!$T$35^2/2)),0)</f>
        <v>78972</v>
      </c>
      <c r="D3957" s="46" t="n">
        <f aca="false">MIN(1,'Model Inputs &amp; Assumptions'!$U$35*EXP('Model Inputs &amp; Assumptions'!$V$35*Q3957-'Model Inputs &amp; Assumptions'!$V$35^2/2))</f>
        <v>0</v>
      </c>
      <c r="E3957" s="45" t="n">
        <f aca="false">ROUND(C3957*D3957,0)</f>
        <v>0</v>
      </c>
      <c r="F3957" s="47" t="n">
        <f aca="false">MIN(1,'Model Inputs &amp; Assumptions'!$W$35*EXP('Model Inputs &amp; Assumptions'!$X$35*R3957-'Model Inputs &amp; Assumptions'!$X$35^2/2))</f>
        <v>0.00425335007937077</v>
      </c>
      <c r="G3957" s="45" t="n">
        <f aca="false">ROUND(C3957*F3957,0)</f>
        <v>336</v>
      </c>
      <c r="H3957" s="48" t="n">
        <f aca="false">MAX(0,(C3957*'Model Inputs &amp; Assumptions'!$N$35+E3957*'Model Inputs &amp; Assumptions'!$O$35+G3957*'Model Inputs &amp; Assumptions'!$P$35)*EXP('Model Inputs &amp; Assumptions'!$Q$35*S3957-'Model Inputs &amp; Assumptions'!$Q$35^2/2))</f>
        <v>31.2245237292938</v>
      </c>
      <c r="I3957" s="49" t="n">
        <f aca="false">IF('Model Inputs &amp; Assumptions'!$H$35="Fixed",'Model Inputs &amp; Assumptions'!$I$35*'Model Inputs &amp; Assumptions'!$K$35,IF('Model Inputs &amp; Assumptions'!$H$35="CPM",'Model Inputs &amp; Assumptions'!$I$35*'Model Inputs &amp; Assumptions'!$K$35*C3957/1000,IF('Model Inputs &amp; Assumptions'!$H$35="CPC",'Model Inputs &amp; Assumptions'!$I$35*'Model Inputs &amp; Assumptions'!$K$35*G3957,0)))</f>
        <v>8672.8</v>
      </c>
      <c r="J3957" s="50" t="n">
        <f aca="false">H3957*INDEX('Model Inputs &amp; Assumptions'!$D$40:$D$42,MATCH('Model Inputs &amp; Assumptions'!$L$35,'Model Inputs &amp; Assumptions'!$A$40:$A$42,0))*INDEX('Model Inputs &amp; Assumptions'!$H$40:$H$42,MATCH('Model Inputs &amp; Assumptions'!$L$35,'Model Inputs &amp; Assumptions'!$A$40:$A$42,0))</f>
        <v>265408.451698998</v>
      </c>
      <c r="K3957" s="49" t="n">
        <f aca="false">H3957*INDEX('Model Inputs &amp; Assumptions'!$G$40:$G$42,MATCH('Model Inputs &amp; Assumptions'!$L$35,'Model Inputs &amp; Assumptions'!$A$40:$A$42,0))*INDEX('Model Inputs &amp; Assumptions'!$H$40:$H$42,MATCH('Model Inputs &amp; Assumptions'!$L$35,'Model Inputs &amp; Assumptions'!$A$40:$A$42,0))</f>
        <v>5971.69016322745</v>
      </c>
      <c r="L3957" s="51" t="n">
        <f aca="false">IFERROR(K3957/I3957,0)</f>
        <v>0.688553888389845</v>
      </c>
      <c r="M3957" s="49" t="n">
        <f aca="false">IFERROR(I3957/H3957,0)</f>
        <v>277.756038016473</v>
      </c>
      <c r="N3957" s="52" t="str">
        <f aca="false">'Model Inputs &amp; Assumptions'!$L$35</f>
        <v>PRD-EUAI</v>
      </c>
      <c r="P3957" s="53" t="n">
        <v>-0.751808</v>
      </c>
      <c r="Q3957" s="53" t="n">
        <v>-1.900981</v>
      </c>
      <c r="R3957" s="53" t="n">
        <v>-2.172003</v>
      </c>
      <c r="S3957" s="53" t="n">
        <v>1.219818</v>
      </c>
    </row>
    <row r="3958" customFormat="false" ht="15" hidden="false" customHeight="false" outlineLevel="0" collapsed="false">
      <c r="A3958" s="43" t="n">
        <v>455</v>
      </c>
      <c r="B3958" s="44" t="str">
        <f aca="false">'Model Inputs &amp; Assumptions'!$B$35</f>
        <v>justETF — Sponsored Listing</v>
      </c>
      <c r="C3958" s="45" t="n">
        <f aca="false">ROUND(MAX(0,'Model Inputs &amp; Assumptions'!$S$35*EXP('Model Inputs &amp; Assumptions'!$T$35*P3958-'Model Inputs &amp; Assumptions'!$T$35^2/2)),0)</f>
        <v>97402</v>
      </c>
      <c r="D3958" s="46" t="n">
        <f aca="false">MIN(1,'Model Inputs &amp; Assumptions'!$U$35*EXP('Model Inputs &amp; Assumptions'!$V$35*Q3958-'Model Inputs &amp; Assumptions'!$V$35^2/2))</f>
        <v>0</v>
      </c>
      <c r="E3958" s="45" t="n">
        <f aca="false">ROUND(C3958*D3958,0)</f>
        <v>0</v>
      </c>
      <c r="F3958" s="47" t="n">
        <f aca="false">MIN(1,'Model Inputs &amp; Assumptions'!$W$35*EXP('Model Inputs &amp; Assumptions'!$X$35*R3958-'Model Inputs &amp; Assumptions'!$X$35^2/2))</f>
        <v>0.00634534914469376</v>
      </c>
      <c r="G3958" s="45" t="n">
        <f aca="false">ROUND(C3958*F3958,0)</f>
        <v>618</v>
      </c>
      <c r="H3958" s="48" t="n">
        <f aca="false">MAX(0,(C3958*'Model Inputs &amp; Assumptions'!$N$35+E3958*'Model Inputs &amp; Assumptions'!$O$35+G3958*'Model Inputs &amp; Assumptions'!$P$35)*EXP('Model Inputs &amp; Assumptions'!$Q$35*S3958-'Model Inputs &amp; Assumptions'!$Q$35^2/2))</f>
        <v>41.8896969506547</v>
      </c>
      <c r="I3958" s="49" t="n">
        <f aca="false">IF('Model Inputs &amp; Assumptions'!$H$35="Fixed",'Model Inputs &amp; Assumptions'!$I$35*'Model Inputs &amp; Assumptions'!$K$35,IF('Model Inputs &amp; Assumptions'!$H$35="CPM",'Model Inputs &amp; Assumptions'!$I$35*'Model Inputs &amp; Assumptions'!$K$35*C3958/1000,IF('Model Inputs &amp; Assumptions'!$H$35="CPC",'Model Inputs &amp; Assumptions'!$I$35*'Model Inputs &amp; Assumptions'!$K$35*G3958,0)))</f>
        <v>8672.8</v>
      </c>
      <c r="J3958" s="50" t="n">
        <f aca="false">H3958*INDEX('Model Inputs &amp; Assumptions'!$D$40:$D$42,MATCH('Model Inputs &amp; Assumptions'!$L$35,'Model Inputs &amp; Assumptions'!$A$40:$A$42,0))*INDEX('Model Inputs &amp; Assumptions'!$H$40:$H$42,MATCH('Model Inputs &amp; Assumptions'!$L$35,'Model Inputs &amp; Assumptions'!$A$40:$A$42,0))</f>
        <v>356062.424080565</v>
      </c>
      <c r="K3958" s="49" t="n">
        <f aca="false">H3958*INDEX('Model Inputs &amp; Assumptions'!$G$40:$G$42,MATCH('Model Inputs &amp; Assumptions'!$L$35,'Model Inputs &amp; Assumptions'!$A$40:$A$42,0))*INDEX('Model Inputs &amp; Assumptions'!$H$40:$H$42,MATCH('Model Inputs &amp; Assumptions'!$L$35,'Model Inputs &amp; Assumptions'!$A$40:$A$42,0))</f>
        <v>8011.4045418127</v>
      </c>
      <c r="L3958" s="51" t="n">
        <f aca="false">IFERROR(K3958/I3958,0)</f>
        <v>0.923739108686088</v>
      </c>
      <c r="M3958" s="49" t="n">
        <f aca="false">IFERROR(I3958/H3958,0)</f>
        <v>207.038976916362</v>
      </c>
      <c r="N3958" s="52" t="str">
        <f aca="false">'Model Inputs &amp; Assumptions'!$L$35</f>
        <v>PRD-EUAI</v>
      </c>
      <c r="P3958" s="53" t="n">
        <v>0.646541</v>
      </c>
      <c r="Q3958" s="53" t="n">
        <v>-0.899171</v>
      </c>
      <c r="R3958" s="53" t="n">
        <v>-0.171927</v>
      </c>
      <c r="S3958" s="53" t="n">
        <v>0.006198</v>
      </c>
    </row>
    <row r="3959" customFormat="false" ht="15" hidden="false" customHeight="false" outlineLevel="0" collapsed="false">
      <c r="A3959" s="43" t="n">
        <v>456</v>
      </c>
      <c r="B3959" s="44" t="str">
        <f aca="false">'Model Inputs &amp; Assumptions'!$B$35</f>
        <v>justETF — Sponsored Listing</v>
      </c>
      <c r="C3959" s="45" t="n">
        <f aca="false">ROUND(MAX(0,'Model Inputs &amp; Assumptions'!$S$35*EXP('Model Inputs &amp; Assumptions'!$T$35*P3959-'Model Inputs &amp; Assumptions'!$T$35^2/2)),0)</f>
        <v>107276</v>
      </c>
      <c r="D3959" s="46" t="n">
        <f aca="false">MIN(1,'Model Inputs &amp; Assumptions'!$U$35*EXP('Model Inputs &amp; Assumptions'!$V$35*Q3959-'Model Inputs &amp; Assumptions'!$V$35^2/2))</f>
        <v>0</v>
      </c>
      <c r="E3959" s="45" t="n">
        <f aca="false">ROUND(C3959*D3959,0)</f>
        <v>0</v>
      </c>
      <c r="F3959" s="47" t="n">
        <f aca="false">MIN(1,'Model Inputs &amp; Assumptions'!$W$35*EXP('Model Inputs &amp; Assumptions'!$X$35*R3959-'Model Inputs &amp; Assumptions'!$X$35^2/2))</f>
        <v>0.00463894479913854</v>
      </c>
      <c r="G3959" s="45" t="n">
        <f aca="false">ROUND(C3959*F3959,0)</f>
        <v>498</v>
      </c>
      <c r="H3959" s="48" t="n">
        <f aca="false">MAX(0,(C3959*'Model Inputs &amp; Assumptions'!$N$35+E3959*'Model Inputs &amp; Assumptions'!$O$35+G3959*'Model Inputs &amp; Assumptions'!$P$35)*EXP('Model Inputs &amp; Assumptions'!$Q$35*S3959-'Model Inputs &amp; Assumptions'!$Q$35^2/2))</f>
        <v>59.4291068162037</v>
      </c>
      <c r="I3959" s="49" t="n">
        <f aca="false">IF('Model Inputs &amp; Assumptions'!$H$35="Fixed",'Model Inputs &amp; Assumptions'!$I$35*'Model Inputs &amp; Assumptions'!$K$35,IF('Model Inputs &amp; Assumptions'!$H$35="CPM",'Model Inputs &amp; Assumptions'!$I$35*'Model Inputs &amp; Assumptions'!$K$35*C3959/1000,IF('Model Inputs &amp; Assumptions'!$H$35="CPC",'Model Inputs &amp; Assumptions'!$I$35*'Model Inputs &amp; Assumptions'!$K$35*G3959,0)))</f>
        <v>8672.8</v>
      </c>
      <c r="J3959" s="50" t="n">
        <f aca="false">H3959*INDEX('Model Inputs &amp; Assumptions'!$D$40:$D$42,MATCH('Model Inputs &amp; Assumptions'!$L$35,'Model Inputs &amp; Assumptions'!$A$40:$A$42,0))*INDEX('Model Inputs &amp; Assumptions'!$H$40:$H$42,MATCH('Model Inputs &amp; Assumptions'!$L$35,'Model Inputs &amp; Assumptions'!$A$40:$A$42,0))</f>
        <v>505147.407937732</v>
      </c>
      <c r="K3959" s="49" t="n">
        <f aca="false">H3959*INDEX('Model Inputs &amp; Assumptions'!$G$40:$G$42,MATCH('Model Inputs &amp; Assumptions'!$L$35,'Model Inputs &amp; Assumptions'!$A$40:$A$42,0))*INDEX('Model Inputs &amp; Assumptions'!$H$40:$H$42,MATCH('Model Inputs &amp; Assumptions'!$L$35,'Model Inputs &amp; Assumptions'!$A$40:$A$42,0))</f>
        <v>11365.816678599</v>
      </c>
      <c r="L3959" s="51" t="n">
        <f aca="false">IFERROR(K3959/I3959,0)</f>
        <v>1.31051294606113</v>
      </c>
      <c r="M3959" s="49" t="n">
        <f aca="false">IFERROR(I3959/H3959,0)</f>
        <v>145.935223741833</v>
      </c>
      <c r="N3959" s="52" t="str">
        <f aca="false">'Model Inputs &amp; Assumptions'!$L$35</f>
        <v>PRD-EUAI</v>
      </c>
      <c r="P3959" s="53" t="n">
        <v>1.290229</v>
      </c>
      <c r="Q3959" s="53" t="n">
        <v>0.060379</v>
      </c>
      <c r="R3959" s="53" t="n">
        <v>-1.738103</v>
      </c>
      <c r="S3959" s="53" t="n">
        <v>2.181708</v>
      </c>
    </row>
    <row r="3960" customFormat="false" ht="15" hidden="false" customHeight="false" outlineLevel="0" collapsed="false">
      <c r="A3960" s="43" t="n">
        <v>457</v>
      </c>
      <c r="B3960" s="44" t="str">
        <f aca="false">'Model Inputs &amp; Assumptions'!$B$35</f>
        <v>justETF — Sponsored Listing</v>
      </c>
      <c r="C3960" s="45" t="n">
        <f aca="false">ROUND(MAX(0,'Model Inputs &amp; Assumptions'!$S$35*EXP('Model Inputs &amp; Assumptions'!$T$35*P3960-'Model Inputs &amp; Assumptions'!$T$35^2/2)),0)</f>
        <v>74089</v>
      </c>
      <c r="D3960" s="46" t="n">
        <f aca="false">MIN(1,'Model Inputs &amp; Assumptions'!$U$35*EXP('Model Inputs &amp; Assumptions'!$V$35*Q3960-'Model Inputs &amp; Assumptions'!$V$35^2/2))</f>
        <v>0</v>
      </c>
      <c r="E3960" s="45" t="n">
        <f aca="false">ROUND(C3960*D3960,0)</f>
        <v>0</v>
      </c>
      <c r="F3960" s="47" t="n">
        <f aca="false">MIN(1,'Model Inputs &amp; Assumptions'!$W$35*EXP('Model Inputs &amp; Assumptions'!$X$35*R3960-'Model Inputs &amp; Assumptions'!$X$35^2/2))</f>
        <v>0.00533551133966992</v>
      </c>
      <c r="G3960" s="45" t="n">
        <f aca="false">ROUND(C3960*F3960,0)</f>
        <v>395</v>
      </c>
      <c r="H3960" s="48" t="n">
        <f aca="false">MAX(0,(C3960*'Model Inputs &amp; Assumptions'!$N$35+E3960*'Model Inputs &amp; Assumptions'!$O$35+G3960*'Model Inputs &amp; Assumptions'!$P$35)*EXP('Model Inputs &amp; Assumptions'!$Q$35*S3960-'Model Inputs &amp; Assumptions'!$Q$35^2/2))</f>
        <v>28.373930060405</v>
      </c>
      <c r="I3960" s="49" t="n">
        <f aca="false">IF('Model Inputs &amp; Assumptions'!$H$35="Fixed",'Model Inputs &amp; Assumptions'!$I$35*'Model Inputs &amp; Assumptions'!$K$35,IF('Model Inputs &amp; Assumptions'!$H$35="CPM",'Model Inputs &amp; Assumptions'!$I$35*'Model Inputs &amp; Assumptions'!$K$35*C3960/1000,IF('Model Inputs &amp; Assumptions'!$H$35="CPC",'Model Inputs &amp; Assumptions'!$I$35*'Model Inputs &amp; Assumptions'!$K$35*G3960,0)))</f>
        <v>8672.8</v>
      </c>
      <c r="J3960" s="50" t="n">
        <f aca="false">H3960*INDEX('Model Inputs &amp; Assumptions'!$D$40:$D$42,MATCH('Model Inputs &amp; Assumptions'!$L$35,'Model Inputs &amp; Assumptions'!$A$40:$A$42,0))*INDEX('Model Inputs &amp; Assumptions'!$H$40:$H$42,MATCH('Model Inputs &amp; Assumptions'!$L$35,'Model Inputs &amp; Assumptions'!$A$40:$A$42,0))</f>
        <v>241178.405513442</v>
      </c>
      <c r="K3960" s="49" t="n">
        <f aca="false">H3960*INDEX('Model Inputs &amp; Assumptions'!$G$40:$G$42,MATCH('Model Inputs &amp; Assumptions'!$L$35,'Model Inputs &amp; Assumptions'!$A$40:$A$42,0))*INDEX('Model Inputs &amp; Assumptions'!$H$40:$H$42,MATCH('Model Inputs &amp; Assumptions'!$L$35,'Model Inputs &amp; Assumptions'!$A$40:$A$42,0))</f>
        <v>5426.51412405245</v>
      </c>
      <c r="L3960" s="51" t="n">
        <f aca="false">IFERROR(K3960/I3960,0)</f>
        <v>0.625693446643812</v>
      </c>
      <c r="M3960" s="49" t="n">
        <f aca="false">IFERROR(I3960/H3960,0)</f>
        <v>305.660864798657</v>
      </c>
      <c r="N3960" s="52" t="str">
        <f aca="false">'Model Inputs &amp; Assumptions'!$L$35</f>
        <v>PRD-EUAI</v>
      </c>
      <c r="P3960" s="53" t="n">
        <v>-1.177388</v>
      </c>
      <c r="Q3960" s="53" t="n">
        <v>1.379315</v>
      </c>
      <c r="R3960" s="53" t="n">
        <v>-1.038614</v>
      </c>
      <c r="S3960" s="53" t="n">
        <v>0.229404</v>
      </c>
    </row>
    <row r="3961" customFormat="false" ht="15" hidden="false" customHeight="false" outlineLevel="0" collapsed="false">
      <c r="A3961" s="43" t="n">
        <v>458</v>
      </c>
      <c r="B3961" s="44" t="str">
        <f aca="false">'Model Inputs &amp; Assumptions'!$B$35</f>
        <v>justETF — Sponsored Listing</v>
      </c>
      <c r="C3961" s="45" t="n">
        <f aca="false">ROUND(MAX(0,'Model Inputs &amp; Assumptions'!$S$35*EXP('Model Inputs &amp; Assumptions'!$T$35*P3961-'Model Inputs &amp; Assumptions'!$T$35^2/2)),0)</f>
        <v>72671</v>
      </c>
      <c r="D3961" s="46" t="n">
        <f aca="false">MIN(1,'Model Inputs &amp; Assumptions'!$U$35*EXP('Model Inputs &amp; Assumptions'!$V$35*Q3961-'Model Inputs &amp; Assumptions'!$V$35^2/2))</f>
        <v>0</v>
      </c>
      <c r="E3961" s="45" t="n">
        <f aca="false">ROUND(C3961*D3961,0)</f>
        <v>0</v>
      </c>
      <c r="F3961" s="47" t="n">
        <f aca="false">MIN(1,'Model Inputs &amp; Assumptions'!$W$35*EXP('Model Inputs &amp; Assumptions'!$X$35*R3961-'Model Inputs &amp; Assumptions'!$X$35^2/2))</f>
        <v>0.00774898855950191</v>
      </c>
      <c r="G3961" s="45" t="n">
        <f aca="false">ROUND(C3961*F3961,0)</f>
        <v>563</v>
      </c>
      <c r="H3961" s="48" t="n">
        <f aca="false">MAX(0,(C3961*'Model Inputs &amp; Assumptions'!$N$35+E3961*'Model Inputs &amp; Assumptions'!$O$35+G3961*'Model Inputs &amp; Assumptions'!$P$35)*EXP('Model Inputs &amp; Assumptions'!$Q$35*S3961-'Model Inputs &amp; Assumptions'!$Q$35^2/2))</f>
        <v>36.7628105461631</v>
      </c>
      <c r="I3961" s="49" t="n">
        <f aca="false">IF('Model Inputs &amp; Assumptions'!$H$35="Fixed",'Model Inputs &amp; Assumptions'!$I$35*'Model Inputs &amp; Assumptions'!$K$35,IF('Model Inputs &amp; Assumptions'!$H$35="CPM",'Model Inputs &amp; Assumptions'!$I$35*'Model Inputs &amp; Assumptions'!$K$35*C3961/1000,IF('Model Inputs &amp; Assumptions'!$H$35="CPC",'Model Inputs &amp; Assumptions'!$I$35*'Model Inputs &amp; Assumptions'!$K$35*G3961,0)))</f>
        <v>8672.8</v>
      </c>
      <c r="J3961" s="50" t="n">
        <f aca="false">H3961*INDEX('Model Inputs &amp; Assumptions'!$D$40:$D$42,MATCH('Model Inputs &amp; Assumptions'!$L$35,'Model Inputs &amp; Assumptions'!$A$40:$A$42,0))*INDEX('Model Inputs &amp; Assumptions'!$H$40:$H$42,MATCH('Model Inputs &amp; Assumptions'!$L$35,'Model Inputs &amp; Assumptions'!$A$40:$A$42,0))</f>
        <v>312483.889642386</v>
      </c>
      <c r="K3961" s="49" t="n">
        <f aca="false">H3961*INDEX('Model Inputs &amp; Assumptions'!$G$40:$G$42,MATCH('Model Inputs &amp; Assumptions'!$L$35,'Model Inputs &amp; Assumptions'!$A$40:$A$42,0))*INDEX('Model Inputs &amp; Assumptions'!$H$40:$H$42,MATCH('Model Inputs &amp; Assumptions'!$L$35,'Model Inputs &amp; Assumptions'!$A$40:$A$42,0))</f>
        <v>7030.88751695369</v>
      </c>
      <c r="L3961" s="51" t="n">
        <f aca="false">IFERROR(K3961/I3961,0)</f>
        <v>0.810682538159959</v>
      </c>
      <c r="M3961" s="49" t="n">
        <f aca="false">IFERROR(I3961/H3961,0)</f>
        <v>235.912322021994</v>
      </c>
      <c r="N3961" s="52" t="str">
        <f aca="false">'Model Inputs &amp; Assumptions'!$L$35</f>
        <v>PRD-EUAI</v>
      </c>
      <c r="P3961" s="53" t="n">
        <v>-1.306209</v>
      </c>
      <c r="Q3961" s="53" t="n">
        <v>-0.747879</v>
      </c>
      <c r="R3961" s="53" t="n">
        <v>0.827274</v>
      </c>
      <c r="S3961" s="53" t="n">
        <v>-0.137434</v>
      </c>
    </row>
    <row r="3962" customFormat="false" ht="15" hidden="false" customHeight="false" outlineLevel="0" collapsed="false">
      <c r="A3962" s="43" t="n">
        <v>459</v>
      </c>
      <c r="B3962" s="44" t="str">
        <f aca="false">'Model Inputs &amp; Assumptions'!$B$35</f>
        <v>justETF — Sponsored Listing</v>
      </c>
      <c r="C3962" s="45" t="n">
        <f aca="false">ROUND(MAX(0,'Model Inputs &amp; Assumptions'!$S$35*EXP('Model Inputs &amp; Assumptions'!$T$35*P3962-'Model Inputs &amp; Assumptions'!$T$35^2/2)),0)</f>
        <v>97562</v>
      </c>
      <c r="D3962" s="46" t="n">
        <f aca="false">MIN(1,'Model Inputs &amp; Assumptions'!$U$35*EXP('Model Inputs &amp; Assumptions'!$V$35*Q3962-'Model Inputs &amp; Assumptions'!$V$35^2/2))</f>
        <v>0</v>
      </c>
      <c r="E3962" s="45" t="n">
        <f aca="false">ROUND(C3962*D3962,0)</f>
        <v>0</v>
      </c>
      <c r="F3962" s="47" t="n">
        <f aca="false">MIN(1,'Model Inputs &amp; Assumptions'!$W$35*EXP('Model Inputs &amp; Assumptions'!$X$35*R3962-'Model Inputs &amp; Assumptions'!$X$35^2/2))</f>
        <v>0.00744204090486068</v>
      </c>
      <c r="G3962" s="45" t="n">
        <f aca="false">ROUND(C3962*F3962,0)</f>
        <v>726</v>
      </c>
      <c r="H3962" s="48" t="n">
        <f aca="false">MAX(0,(C3962*'Model Inputs &amp; Assumptions'!$N$35+E3962*'Model Inputs &amp; Assumptions'!$O$35+G3962*'Model Inputs &amp; Assumptions'!$P$35)*EXP('Model Inputs &amp; Assumptions'!$Q$35*S3962-'Model Inputs &amp; Assumptions'!$Q$35^2/2))</f>
        <v>73.3692857587144</v>
      </c>
      <c r="I3962" s="49" t="n">
        <f aca="false">IF('Model Inputs &amp; Assumptions'!$H$35="Fixed",'Model Inputs &amp; Assumptions'!$I$35*'Model Inputs &amp; Assumptions'!$K$35,IF('Model Inputs &amp; Assumptions'!$H$35="CPM",'Model Inputs &amp; Assumptions'!$I$35*'Model Inputs &amp; Assumptions'!$K$35*C3962/1000,IF('Model Inputs &amp; Assumptions'!$H$35="CPC",'Model Inputs &amp; Assumptions'!$I$35*'Model Inputs &amp; Assumptions'!$K$35*G3962,0)))</f>
        <v>8672.8</v>
      </c>
      <c r="J3962" s="50" t="n">
        <f aca="false">H3962*INDEX('Model Inputs &amp; Assumptions'!$D$40:$D$42,MATCH('Model Inputs &amp; Assumptions'!$L$35,'Model Inputs &amp; Assumptions'!$A$40:$A$42,0))*INDEX('Model Inputs &amp; Assumptions'!$H$40:$H$42,MATCH('Model Inputs &amp; Assumptions'!$L$35,'Model Inputs &amp; Assumptions'!$A$40:$A$42,0))</f>
        <v>623638.928949072</v>
      </c>
      <c r="K3962" s="49" t="n">
        <f aca="false">H3962*INDEX('Model Inputs &amp; Assumptions'!$G$40:$G$42,MATCH('Model Inputs &amp; Assumptions'!$L$35,'Model Inputs &amp; Assumptions'!$A$40:$A$42,0))*INDEX('Model Inputs &amp; Assumptions'!$H$40:$H$42,MATCH('Model Inputs &amp; Assumptions'!$L$35,'Model Inputs &amp; Assumptions'!$A$40:$A$42,0))</f>
        <v>14031.8759013541</v>
      </c>
      <c r="L3962" s="51" t="n">
        <f aca="false">IFERROR(K3962/I3962,0)</f>
        <v>1.61791761615097</v>
      </c>
      <c r="M3962" s="49" t="n">
        <f aca="false">IFERROR(I3962/H3962,0)</f>
        <v>118.207502094565</v>
      </c>
      <c r="N3962" s="52" t="str">
        <f aca="false">'Model Inputs &amp; Assumptions'!$L$35</f>
        <v>PRD-EUAI</v>
      </c>
      <c r="P3962" s="53" t="n">
        <v>0.657483</v>
      </c>
      <c r="Q3962" s="53" t="n">
        <v>0.762402</v>
      </c>
      <c r="R3962" s="53" t="n">
        <v>0.625188</v>
      </c>
      <c r="S3962" s="53" t="n">
        <v>1.542367</v>
      </c>
    </row>
    <row r="3963" customFormat="false" ht="15" hidden="false" customHeight="false" outlineLevel="0" collapsed="false">
      <c r="A3963" s="43" t="n">
        <v>460</v>
      </c>
      <c r="B3963" s="44" t="str">
        <f aca="false">'Model Inputs &amp; Assumptions'!$B$35</f>
        <v>justETF — Sponsored Listing</v>
      </c>
      <c r="C3963" s="45" t="n">
        <f aca="false">ROUND(MAX(0,'Model Inputs &amp; Assumptions'!$S$35*EXP('Model Inputs &amp; Assumptions'!$T$35*P3963-'Model Inputs &amp; Assumptions'!$T$35^2/2)),0)</f>
        <v>123256</v>
      </c>
      <c r="D3963" s="46" t="n">
        <f aca="false">MIN(1,'Model Inputs &amp; Assumptions'!$U$35*EXP('Model Inputs &amp; Assumptions'!$V$35*Q3963-'Model Inputs &amp; Assumptions'!$V$35^2/2))</f>
        <v>0</v>
      </c>
      <c r="E3963" s="45" t="n">
        <f aca="false">ROUND(C3963*D3963,0)</f>
        <v>0</v>
      </c>
      <c r="F3963" s="47" t="n">
        <f aca="false">MIN(1,'Model Inputs &amp; Assumptions'!$W$35*EXP('Model Inputs &amp; Assumptions'!$X$35*R3963-'Model Inputs &amp; Assumptions'!$X$35^2/2))</f>
        <v>0.00680443446194838</v>
      </c>
      <c r="G3963" s="45" t="n">
        <f aca="false">ROUND(C3963*F3963,0)</f>
        <v>839</v>
      </c>
      <c r="H3963" s="48" t="n">
        <f aca="false">MAX(0,(C3963*'Model Inputs &amp; Assumptions'!$N$35+E3963*'Model Inputs &amp; Assumptions'!$O$35+G3963*'Model Inputs &amp; Assumptions'!$P$35)*EXP('Model Inputs &amp; Assumptions'!$Q$35*S3963-'Model Inputs &amp; Assumptions'!$Q$35^2/2))</f>
        <v>41.2678014310894</v>
      </c>
      <c r="I3963" s="49" t="n">
        <f aca="false">IF('Model Inputs &amp; Assumptions'!$H$35="Fixed",'Model Inputs &amp; Assumptions'!$I$35*'Model Inputs &amp; Assumptions'!$K$35,IF('Model Inputs &amp; Assumptions'!$H$35="CPM",'Model Inputs &amp; Assumptions'!$I$35*'Model Inputs &amp; Assumptions'!$K$35*C3963/1000,IF('Model Inputs &amp; Assumptions'!$H$35="CPC",'Model Inputs &amp; Assumptions'!$I$35*'Model Inputs &amp; Assumptions'!$K$35*G3963,0)))</f>
        <v>8672.8</v>
      </c>
      <c r="J3963" s="50" t="n">
        <f aca="false">H3963*INDEX('Model Inputs &amp; Assumptions'!$D$40:$D$42,MATCH('Model Inputs &amp; Assumptions'!$L$35,'Model Inputs &amp; Assumptions'!$A$40:$A$42,0))*INDEX('Model Inputs &amp; Assumptions'!$H$40:$H$42,MATCH('Model Inputs &amp; Assumptions'!$L$35,'Model Inputs &amp; Assumptions'!$A$40:$A$42,0))</f>
        <v>350776.31216426</v>
      </c>
      <c r="K3963" s="49" t="n">
        <f aca="false">H3963*INDEX('Model Inputs &amp; Assumptions'!$G$40:$G$42,MATCH('Model Inputs &amp; Assumptions'!$L$35,'Model Inputs &amp; Assumptions'!$A$40:$A$42,0))*INDEX('Model Inputs &amp; Assumptions'!$H$40:$H$42,MATCH('Model Inputs &amp; Assumptions'!$L$35,'Model Inputs &amp; Assumptions'!$A$40:$A$42,0))</f>
        <v>7892.46702369585</v>
      </c>
      <c r="L3963" s="51" t="n">
        <f aca="false">IFERROR(K3963/I3963,0)</f>
        <v>0.910025254092778</v>
      </c>
      <c r="M3963" s="49" t="n">
        <f aca="false">IFERROR(I3963/H3963,0)</f>
        <v>210.159002884663</v>
      </c>
      <c r="N3963" s="52" t="str">
        <f aca="false">'Model Inputs &amp; Assumptions'!$L$35</f>
        <v>PRD-EUAI</v>
      </c>
      <c r="P3963" s="53" t="n">
        <v>2.215947</v>
      </c>
      <c r="Q3963" s="53" t="n">
        <v>-0.572772</v>
      </c>
      <c r="R3963" s="53" t="n">
        <v>0.177335</v>
      </c>
      <c r="S3963" s="53" t="n">
        <v>-1.227185</v>
      </c>
    </row>
    <row r="3964" customFormat="false" ht="15" hidden="false" customHeight="false" outlineLevel="0" collapsed="false">
      <c r="A3964" s="43" t="n">
        <v>461</v>
      </c>
      <c r="B3964" s="44" t="str">
        <f aca="false">'Model Inputs &amp; Assumptions'!$B$35</f>
        <v>justETF — Sponsored Listing</v>
      </c>
      <c r="C3964" s="45" t="n">
        <f aca="false">ROUND(MAX(0,'Model Inputs &amp; Assumptions'!$S$35*EXP('Model Inputs &amp; Assumptions'!$T$35*P3964-'Model Inputs &amp; Assumptions'!$T$35^2/2)),0)</f>
        <v>96892</v>
      </c>
      <c r="D3964" s="46" t="n">
        <f aca="false">MIN(1,'Model Inputs &amp; Assumptions'!$U$35*EXP('Model Inputs &amp; Assumptions'!$V$35*Q3964-'Model Inputs &amp; Assumptions'!$V$35^2/2))</f>
        <v>0</v>
      </c>
      <c r="E3964" s="45" t="n">
        <f aca="false">ROUND(C3964*D3964,0)</f>
        <v>0</v>
      </c>
      <c r="F3964" s="47" t="n">
        <f aca="false">MIN(1,'Model Inputs &amp; Assumptions'!$W$35*EXP('Model Inputs &amp; Assumptions'!$X$35*R3964-'Model Inputs &amp; Assumptions'!$X$35^2/2))</f>
        <v>0.00600328324099157</v>
      </c>
      <c r="G3964" s="45" t="n">
        <f aca="false">ROUND(C3964*F3964,0)</f>
        <v>582</v>
      </c>
      <c r="H3964" s="48" t="n">
        <f aca="false">MAX(0,(C3964*'Model Inputs &amp; Assumptions'!$N$35+E3964*'Model Inputs &amp; Assumptions'!$O$35+G3964*'Model Inputs &amp; Assumptions'!$P$35)*EXP('Model Inputs &amp; Assumptions'!$Q$35*S3964-'Model Inputs &amp; Assumptions'!$Q$35^2/2))</f>
        <v>52.7834783020137</v>
      </c>
      <c r="I3964" s="49" t="n">
        <f aca="false">IF('Model Inputs &amp; Assumptions'!$H$35="Fixed",'Model Inputs &amp; Assumptions'!$I$35*'Model Inputs &amp; Assumptions'!$K$35,IF('Model Inputs &amp; Assumptions'!$H$35="CPM",'Model Inputs &amp; Assumptions'!$I$35*'Model Inputs &amp; Assumptions'!$K$35*C3964/1000,IF('Model Inputs &amp; Assumptions'!$H$35="CPC",'Model Inputs &amp; Assumptions'!$I$35*'Model Inputs &amp; Assumptions'!$K$35*G3964,0)))</f>
        <v>8672.8</v>
      </c>
      <c r="J3964" s="50" t="n">
        <f aca="false">H3964*INDEX('Model Inputs &amp; Assumptions'!$D$40:$D$42,MATCH('Model Inputs &amp; Assumptions'!$L$35,'Model Inputs &amp; Assumptions'!$A$40:$A$42,0))*INDEX('Model Inputs &amp; Assumptions'!$H$40:$H$42,MATCH('Model Inputs &amp; Assumptions'!$L$35,'Model Inputs &amp; Assumptions'!$A$40:$A$42,0))</f>
        <v>448659.565567116</v>
      </c>
      <c r="K3964" s="49" t="n">
        <f aca="false">H3964*INDEX('Model Inputs &amp; Assumptions'!$G$40:$G$42,MATCH('Model Inputs &amp; Assumptions'!$L$35,'Model Inputs &amp; Assumptions'!$A$40:$A$42,0))*INDEX('Model Inputs &amp; Assumptions'!$H$40:$H$42,MATCH('Model Inputs &amp; Assumptions'!$L$35,'Model Inputs &amp; Assumptions'!$A$40:$A$42,0))</f>
        <v>10094.8402252601</v>
      </c>
      <c r="L3964" s="51" t="n">
        <f aca="false">IFERROR(K3964/I3964,0)</f>
        <v>1.16396552731069</v>
      </c>
      <c r="M3964" s="49" t="n">
        <f aca="false">IFERROR(I3964/H3964,0)</f>
        <v>164.308989839139</v>
      </c>
      <c r="N3964" s="52" t="str">
        <f aca="false">'Model Inputs &amp; Assumptions'!$L$35</f>
        <v>PRD-EUAI</v>
      </c>
      <c r="P3964" s="53" t="n">
        <v>0.61151</v>
      </c>
      <c r="Q3964" s="53" t="n">
        <v>2.144013</v>
      </c>
      <c r="R3964" s="53" t="n">
        <v>-0.449005</v>
      </c>
      <c r="S3964" s="53" t="n">
        <v>1.126107</v>
      </c>
    </row>
    <row r="3965" customFormat="false" ht="15" hidden="false" customHeight="false" outlineLevel="0" collapsed="false">
      <c r="A3965" s="43" t="n">
        <v>462</v>
      </c>
      <c r="B3965" s="44" t="str">
        <f aca="false">'Model Inputs &amp; Assumptions'!$B$35</f>
        <v>justETF — Sponsored Listing</v>
      </c>
      <c r="C3965" s="45" t="n">
        <f aca="false">ROUND(MAX(0,'Model Inputs &amp; Assumptions'!$S$35*EXP('Model Inputs &amp; Assumptions'!$T$35*P3965-'Model Inputs &amp; Assumptions'!$T$35^2/2)),0)</f>
        <v>86805</v>
      </c>
      <c r="D3965" s="46" t="n">
        <f aca="false">MIN(1,'Model Inputs &amp; Assumptions'!$U$35*EXP('Model Inputs &amp; Assumptions'!$V$35*Q3965-'Model Inputs &amp; Assumptions'!$V$35^2/2))</f>
        <v>0</v>
      </c>
      <c r="E3965" s="45" t="n">
        <f aca="false">ROUND(C3965*D3965,0)</f>
        <v>0</v>
      </c>
      <c r="F3965" s="47" t="n">
        <f aca="false">MIN(1,'Model Inputs &amp; Assumptions'!$W$35*EXP('Model Inputs &amp; Assumptions'!$X$35*R3965-'Model Inputs &amp; Assumptions'!$X$35^2/2))</f>
        <v>0.00873440938382134</v>
      </c>
      <c r="G3965" s="45" t="n">
        <f aca="false">ROUND(C3965*F3965,0)</f>
        <v>758</v>
      </c>
      <c r="H3965" s="48" t="n">
        <f aca="false">MAX(0,(C3965*'Model Inputs &amp; Assumptions'!$N$35+E3965*'Model Inputs &amp; Assumptions'!$O$35+G3965*'Model Inputs &amp; Assumptions'!$P$35)*EXP('Model Inputs &amp; Assumptions'!$Q$35*S3965-'Model Inputs &amp; Assumptions'!$Q$35^2/2))</f>
        <v>57.7301500772247</v>
      </c>
      <c r="I3965" s="49" t="n">
        <f aca="false">IF('Model Inputs &amp; Assumptions'!$H$35="Fixed",'Model Inputs &amp; Assumptions'!$I$35*'Model Inputs &amp; Assumptions'!$K$35,IF('Model Inputs &amp; Assumptions'!$H$35="CPM",'Model Inputs &amp; Assumptions'!$I$35*'Model Inputs &amp; Assumptions'!$K$35*C3965/1000,IF('Model Inputs &amp; Assumptions'!$H$35="CPC",'Model Inputs &amp; Assumptions'!$I$35*'Model Inputs &amp; Assumptions'!$K$35*G3965,0)))</f>
        <v>8672.8</v>
      </c>
      <c r="J3965" s="50" t="n">
        <f aca="false">H3965*INDEX('Model Inputs &amp; Assumptions'!$D$40:$D$42,MATCH('Model Inputs &amp; Assumptions'!$L$35,'Model Inputs &amp; Assumptions'!$A$40:$A$42,0))*INDEX('Model Inputs &amp; Assumptions'!$H$40:$H$42,MATCH('Model Inputs &amp; Assumptions'!$L$35,'Model Inputs &amp; Assumptions'!$A$40:$A$42,0))</f>
        <v>490706.27565641</v>
      </c>
      <c r="K3965" s="49" t="n">
        <f aca="false">H3965*INDEX('Model Inputs &amp; Assumptions'!$G$40:$G$42,MATCH('Model Inputs &amp; Assumptions'!$L$35,'Model Inputs &amp; Assumptions'!$A$40:$A$42,0))*INDEX('Model Inputs &amp; Assumptions'!$H$40:$H$42,MATCH('Model Inputs &amp; Assumptions'!$L$35,'Model Inputs &amp; Assumptions'!$A$40:$A$42,0))</f>
        <v>11040.8912022692</v>
      </c>
      <c r="L3965" s="51" t="n">
        <f aca="false">IFERROR(K3965/I3965,0)</f>
        <v>1.27304805855885</v>
      </c>
      <c r="M3965" s="49" t="n">
        <f aca="false">IFERROR(I3965/H3965,0)</f>
        <v>150.229992272643</v>
      </c>
      <c r="N3965" s="52" t="str">
        <f aca="false">'Model Inputs &amp; Assumptions'!$L$35</f>
        <v>PRD-EUAI</v>
      </c>
      <c r="P3965" s="53" t="n">
        <v>-0.121361</v>
      </c>
      <c r="Q3965" s="53" t="n">
        <v>0.547901</v>
      </c>
      <c r="R3965" s="53" t="n">
        <v>1.425814</v>
      </c>
      <c r="S3965" s="53" t="n">
        <v>0.454447</v>
      </c>
    </row>
    <row r="3966" customFormat="false" ht="15" hidden="false" customHeight="false" outlineLevel="0" collapsed="false">
      <c r="A3966" s="43" t="n">
        <v>463</v>
      </c>
      <c r="B3966" s="44" t="str">
        <f aca="false">'Model Inputs &amp; Assumptions'!$B$35</f>
        <v>justETF — Sponsored Listing</v>
      </c>
      <c r="C3966" s="45" t="n">
        <f aca="false">ROUND(MAX(0,'Model Inputs &amp; Assumptions'!$S$35*EXP('Model Inputs &amp; Assumptions'!$T$35*P3966-'Model Inputs &amp; Assumptions'!$T$35^2/2)),0)</f>
        <v>103373</v>
      </c>
      <c r="D3966" s="46" t="n">
        <f aca="false">MIN(1,'Model Inputs &amp; Assumptions'!$U$35*EXP('Model Inputs &amp; Assumptions'!$V$35*Q3966-'Model Inputs &amp; Assumptions'!$V$35^2/2))</f>
        <v>0</v>
      </c>
      <c r="E3966" s="45" t="n">
        <f aca="false">ROUND(C3966*D3966,0)</f>
        <v>0</v>
      </c>
      <c r="F3966" s="47" t="n">
        <f aca="false">MIN(1,'Model Inputs &amp; Assumptions'!$W$35*EXP('Model Inputs &amp; Assumptions'!$X$35*R3966-'Model Inputs &amp; Assumptions'!$X$35^2/2))</f>
        <v>0.00559760331348558</v>
      </c>
      <c r="G3966" s="45" t="n">
        <f aca="false">ROUND(C3966*F3966,0)</f>
        <v>579</v>
      </c>
      <c r="H3966" s="48" t="n">
        <f aca="false">MAX(0,(C3966*'Model Inputs &amp; Assumptions'!$N$35+E3966*'Model Inputs &amp; Assumptions'!$O$35+G3966*'Model Inputs &amp; Assumptions'!$P$35)*EXP('Model Inputs &amp; Assumptions'!$Q$35*S3966-'Model Inputs &amp; Assumptions'!$Q$35^2/2))</f>
        <v>49.0173570373746</v>
      </c>
      <c r="I3966" s="49" t="n">
        <f aca="false">IF('Model Inputs &amp; Assumptions'!$H$35="Fixed",'Model Inputs &amp; Assumptions'!$I$35*'Model Inputs &amp; Assumptions'!$K$35,IF('Model Inputs &amp; Assumptions'!$H$35="CPM",'Model Inputs &amp; Assumptions'!$I$35*'Model Inputs &amp; Assumptions'!$K$35*C3966/1000,IF('Model Inputs &amp; Assumptions'!$H$35="CPC",'Model Inputs &amp; Assumptions'!$I$35*'Model Inputs &amp; Assumptions'!$K$35*G3966,0)))</f>
        <v>8672.8</v>
      </c>
      <c r="J3966" s="50" t="n">
        <f aca="false">H3966*INDEX('Model Inputs &amp; Assumptions'!$D$40:$D$42,MATCH('Model Inputs &amp; Assumptions'!$L$35,'Model Inputs &amp; Assumptions'!$A$40:$A$42,0))*INDEX('Model Inputs &amp; Assumptions'!$H$40:$H$42,MATCH('Model Inputs &amp; Assumptions'!$L$35,'Model Inputs &amp; Assumptions'!$A$40:$A$42,0))</f>
        <v>416647.534817685</v>
      </c>
      <c r="K3966" s="49" t="n">
        <f aca="false">H3966*INDEX('Model Inputs &amp; Assumptions'!$G$40:$G$42,MATCH('Model Inputs &amp; Assumptions'!$L$35,'Model Inputs &amp; Assumptions'!$A$40:$A$42,0))*INDEX('Model Inputs &amp; Assumptions'!$H$40:$H$42,MATCH('Model Inputs &amp; Assumptions'!$L$35,'Model Inputs &amp; Assumptions'!$A$40:$A$42,0))</f>
        <v>9374.5695333979</v>
      </c>
      <c r="L3966" s="51" t="n">
        <f aca="false">IFERROR(K3966/I3966,0)</f>
        <v>1.0809161439671</v>
      </c>
      <c r="M3966" s="49" t="n">
        <f aca="false">IFERROR(I3966/H3966,0)</f>
        <v>176.933244144257</v>
      </c>
      <c r="N3966" s="52" t="str">
        <f aca="false">'Model Inputs &amp; Assumptions'!$L$35</f>
        <v>PRD-EUAI</v>
      </c>
      <c r="P3966" s="53" t="n">
        <v>1.043131</v>
      </c>
      <c r="Q3966" s="53" t="n">
        <v>-0.764908</v>
      </c>
      <c r="R3966" s="53" t="n">
        <v>-0.798845</v>
      </c>
      <c r="S3966" s="53" t="n">
        <v>0.861277</v>
      </c>
    </row>
    <row r="3967" customFormat="false" ht="15" hidden="false" customHeight="false" outlineLevel="0" collapsed="false">
      <c r="A3967" s="43" t="n">
        <v>464</v>
      </c>
      <c r="B3967" s="44" t="str">
        <f aca="false">'Model Inputs &amp; Assumptions'!$B$35</f>
        <v>justETF — Sponsored Listing</v>
      </c>
      <c r="C3967" s="45" t="n">
        <f aca="false">ROUND(MAX(0,'Model Inputs &amp; Assumptions'!$S$35*EXP('Model Inputs &amp; Assumptions'!$T$35*P3967-'Model Inputs &amp; Assumptions'!$T$35^2/2)),0)</f>
        <v>98733</v>
      </c>
      <c r="D3967" s="46" t="n">
        <f aca="false">MIN(1,'Model Inputs &amp; Assumptions'!$U$35*EXP('Model Inputs &amp; Assumptions'!$V$35*Q3967-'Model Inputs &amp; Assumptions'!$V$35^2/2))</f>
        <v>0</v>
      </c>
      <c r="E3967" s="45" t="n">
        <f aca="false">ROUND(C3967*D3967,0)</f>
        <v>0</v>
      </c>
      <c r="F3967" s="47" t="n">
        <f aca="false">MIN(1,'Model Inputs &amp; Assumptions'!$W$35*EXP('Model Inputs &amp; Assumptions'!$X$35*R3967-'Model Inputs &amp; Assumptions'!$X$35^2/2))</f>
        <v>0.00659346842466986</v>
      </c>
      <c r="G3967" s="45" t="n">
        <f aca="false">ROUND(C3967*F3967,0)</f>
        <v>651</v>
      </c>
      <c r="H3967" s="48" t="n">
        <f aca="false">MAX(0,(C3967*'Model Inputs &amp; Assumptions'!$N$35+E3967*'Model Inputs &amp; Assumptions'!$O$35+G3967*'Model Inputs &amp; Assumptions'!$P$35)*EXP('Model Inputs &amp; Assumptions'!$Q$35*S3967-'Model Inputs &amp; Assumptions'!$Q$35^2/2))</f>
        <v>41.0701929188649</v>
      </c>
      <c r="I3967" s="49" t="n">
        <f aca="false">IF('Model Inputs &amp; Assumptions'!$H$35="Fixed",'Model Inputs &amp; Assumptions'!$I$35*'Model Inputs &amp; Assumptions'!$K$35,IF('Model Inputs &amp; Assumptions'!$H$35="CPM",'Model Inputs &amp; Assumptions'!$I$35*'Model Inputs &amp; Assumptions'!$K$35*C3967/1000,IF('Model Inputs &amp; Assumptions'!$H$35="CPC",'Model Inputs &amp; Assumptions'!$I$35*'Model Inputs &amp; Assumptions'!$K$35*G3967,0)))</f>
        <v>8672.8</v>
      </c>
      <c r="J3967" s="50" t="n">
        <f aca="false">H3967*INDEX('Model Inputs &amp; Assumptions'!$D$40:$D$42,MATCH('Model Inputs &amp; Assumptions'!$L$35,'Model Inputs &amp; Assumptions'!$A$40:$A$42,0))*INDEX('Model Inputs &amp; Assumptions'!$H$40:$H$42,MATCH('Model Inputs &amp; Assumptions'!$L$35,'Model Inputs &amp; Assumptions'!$A$40:$A$42,0))</f>
        <v>349096.639810352</v>
      </c>
      <c r="K3967" s="49" t="n">
        <f aca="false">H3967*INDEX('Model Inputs &amp; Assumptions'!$G$40:$G$42,MATCH('Model Inputs &amp; Assumptions'!$L$35,'Model Inputs &amp; Assumptions'!$A$40:$A$42,0))*INDEX('Model Inputs &amp; Assumptions'!$H$40:$H$42,MATCH('Model Inputs &amp; Assumptions'!$L$35,'Model Inputs &amp; Assumptions'!$A$40:$A$42,0))</f>
        <v>7854.67439573291</v>
      </c>
      <c r="L3967" s="51" t="n">
        <f aca="false">IFERROR(K3967/I3967,0)</f>
        <v>0.905667650093731</v>
      </c>
      <c r="M3967" s="49" t="n">
        <f aca="false">IFERROR(I3967/H3967,0)</f>
        <v>211.170179237612</v>
      </c>
      <c r="N3967" s="52" t="str">
        <f aca="false">'Model Inputs &amp; Assumptions'!$L$35</f>
        <v>PRD-EUAI</v>
      </c>
      <c r="P3967" s="53" t="n">
        <v>0.737019</v>
      </c>
      <c r="Q3967" s="53" t="n">
        <v>-0.186756</v>
      </c>
      <c r="R3967" s="53" t="n">
        <v>0.01986</v>
      </c>
      <c r="S3967" s="53" t="n">
        <v>-0.269873</v>
      </c>
    </row>
    <row r="3968" customFormat="false" ht="15" hidden="false" customHeight="false" outlineLevel="0" collapsed="false">
      <c r="A3968" s="43" t="n">
        <v>465</v>
      </c>
      <c r="B3968" s="44" t="str">
        <f aca="false">'Model Inputs &amp; Assumptions'!$B$35</f>
        <v>justETF — Sponsored Listing</v>
      </c>
      <c r="C3968" s="45" t="n">
        <f aca="false">ROUND(MAX(0,'Model Inputs &amp; Assumptions'!$S$35*EXP('Model Inputs &amp; Assumptions'!$T$35*P3968-'Model Inputs &amp; Assumptions'!$T$35^2/2)),0)</f>
        <v>72308</v>
      </c>
      <c r="D3968" s="46" t="n">
        <f aca="false">MIN(1,'Model Inputs &amp; Assumptions'!$U$35*EXP('Model Inputs &amp; Assumptions'!$V$35*Q3968-'Model Inputs &amp; Assumptions'!$V$35^2/2))</f>
        <v>0</v>
      </c>
      <c r="E3968" s="45" t="n">
        <f aca="false">ROUND(C3968*D3968,0)</f>
        <v>0</v>
      </c>
      <c r="F3968" s="47" t="n">
        <f aca="false">MIN(1,'Model Inputs &amp; Assumptions'!$W$35*EXP('Model Inputs &amp; Assumptions'!$X$35*R3968-'Model Inputs &amp; Assumptions'!$X$35^2/2))</f>
        <v>0.00853113255972055</v>
      </c>
      <c r="G3968" s="45" t="n">
        <f aca="false">ROUND(C3968*F3968,0)</f>
        <v>617</v>
      </c>
      <c r="H3968" s="48" t="n">
        <f aca="false">MAX(0,(C3968*'Model Inputs &amp; Assumptions'!$N$35+E3968*'Model Inputs &amp; Assumptions'!$O$35+G3968*'Model Inputs &amp; Assumptions'!$P$35)*EXP('Model Inputs &amp; Assumptions'!$Q$35*S3968-'Model Inputs &amp; Assumptions'!$Q$35^2/2))</f>
        <v>52.5945113306265</v>
      </c>
      <c r="I3968" s="49" t="n">
        <f aca="false">IF('Model Inputs &amp; Assumptions'!$H$35="Fixed",'Model Inputs &amp; Assumptions'!$I$35*'Model Inputs &amp; Assumptions'!$K$35,IF('Model Inputs &amp; Assumptions'!$H$35="CPM",'Model Inputs &amp; Assumptions'!$I$35*'Model Inputs &amp; Assumptions'!$K$35*C3968/1000,IF('Model Inputs &amp; Assumptions'!$H$35="CPC",'Model Inputs &amp; Assumptions'!$I$35*'Model Inputs &amp; Assumptions'!$K$35*G3968,0)))</f>
        <v>8672.8</v>
      </c>
      <c r="J3968" s="50" t="n">
        <f aca="false">H3968*INDEX('Model Inputs &amp; Assumptions'!$D$40:$D$42,MATCH('Model Inputs &amp; Assumptions'!$L$35,'Model Inputs &amp; Assumptions'!$A$40:$A$42,0))*INDEX('Model Inputs &amp; Assumptions'!$H$40:$H$42,MATCH('Model Inputs &amp; Assumptions'!$L$35,'Model Inputs &amp; Assumptions'!$A$40:$A$42,0))</f>
        <v>447053.346310325</v>
      </c>
      <c r="K3968" s="49" t="n">
        <f aca="false">H3968*INDEX('Model Inputs &amp; Assumptions'!$G$40:$G$42,MATCH('Model Inputs &amp; Assumptions'!$L$35,'Model Inputs &amp; Assumptions'!$A$40:$A$42,0))*INDEX('Model Inputs &amp; Assumptions'!$H$40:$H$42,MATCH('Model Inputs &amp; Assumptions'!$L$35,'Model Inputs &amp; Assumptions'!$A$40:$A$42,0))</f>
        <v>10058.7002919823</v>
      </c>
      <c r="L3968" s="51" t="n">
        <f aca="false">IFERROR(K3968/I3968,0)</f>
        <v>1.1597984839939</v>
      </c>
      <c r="M3968" s="49" t="n">
        <f aca="false">IFERROR(I3968/H3968,0)</f>
        <v>164.899336082427</v>
      </c>
      <c r="N3968" s="52" t="str">
        <f aca="false">'Model Inputs &amp; Assumptions'!$L$35</f>
        <v>PRD-EUAI</v>
      </c>
      <c r="P3968" s="53" t="n">
        <v>-1.339535</v>
      </c>
      <c r="Q3968" s="53" t="n">
        <v>1.491064</v>
      </c>
      <c r="R3968" s="53" t="n">
        <v>1.308073</v>
      </c>
      <c r="S3968" s="53" t="n">
        <v>0.887703</v>
      </c>
    </row>
    <row r="3969" customFormat="false" ht="15" hidden="false" customHeight="false" outlineLevel="0" collapsed="false">
      <c r="A3969" s="43" t="n">
        <v>466</v>
      </c>
      <c r="B3969" s="44" t="str">
        <f aca="false">'Model Inputs &amp; Assumptions'!$B$35</f>
        <v>justETF — Sponsored Listing</v>
      </c>
      <c r="C3969" s="45" t="n">
        <f aca="false">ROUND(MAX(0,'Model Inputs &amp; Assumptions'!$S$35*EXP('Model Inputs &amp; Assumptions'!$T$35*P3969-'Model Inputs &amp; Assumptions'!$T$35^2/2)),0)</f>
        <v>85743</v>
      </c>
      <c r="D3969" s="46" t="n">
        <f aca="false">MIN(1,'Model Inputs &amp; Assumptions'!$U$35*EXP('Model Inputs &amp; Assumptions'!$V$35*Q3969-'Model Inputs &amp; Assumptions'!$V$35^2/2))</f>
        <v>0</v>
      </c>
      <c r="E3969" s="45" t="n">
        <f aca="false">ROUND(C3969*D3969,0)</f>
        <v>0</v>
      </c>
      <c r="F3969" s="47" t="n">
        <f aca="false">MIN(1,'Model Inputs &amp; Assumptions'!$W$35*EXP('Model Inputs &amp; Assumptions'!$X$35*R3969-'Model Inputs &amp; Assumptions'!$X$35^2/2))</f>
        <v>0.00696961736882569</v>
      </c>
      <c r="G3969" s="45" t="n">
        <f aca="false">ROUND(C3969*F3969,0)</f>
        <v>598</v>
      </c>
      <c r="H3969" s="48" t="n">
        <f aca="false">MAX(0,(C3969*'Model Inputs &amp; Assumptions'!$N$35+E3969*'Model Inputs &amp; Assumptions'!$O$35+G3969*'Model Inputs &amp; Assumptions'!$P$35)*EXP('Model Inputs &amp; Assumptions'!$Q$35*S3969-'Model Inputs &amp; Assumptions'!$Q$35^2/2))</f>
        <v>32.6785852162367</v>
      </c>
      <c r="I3969" s="49" t="n">
        <f aca="false">IF('Model Inputs &amp; Assumptions'!$H$35="Fixed",'Model Inputs &amp; Assumptions'!$I$35*'Model Inputs &amp; Assumptions'!$K$35,IF('Model Inputs &amp; Assumptions'!$H$35="CPM",'Model Inputs &amp; Assumptions'!$I$35*'Model Inputs &amp; Assumptions'!$K$35*C3969/1000,IF('Model Inputs &amp; Assumptions'!$H$35="CPC",'Model Inputs &amp; Assumptions'!$I$35*'Model Inputs &amp; Assumptions'!$K$35*G3969,0)))</f>
        <v>8672.8</v>
      </c>
      <c r="J3969" s="50" t="n">
        <f aca="false">H3969*INDEX('Model Inputs &amp; Assumptions'!$D$40:$D$42,MATCH('Model Inputs &amp; Assumptions'!$L$35,'Model Inputs &amp; Assumptions'!$A$40:$A$42,0))*INDEX('Model Inputs &amp; Assumptions'!$H$40:$H$42,MATCH('Model Inputs &amp; Assumptions'!$L$35,'Model Inputs &amp; Assumptions'!$A$40:$A$42,0))</f>
        <v>277767.974338012</v>
      </c>
      <c r="K3969" s="49" t="n">
        <f aca="false">H3969*INDEX('Model Inputs &amp; Assumptions'!$G$40:$G$42,MATCH('Model Inputs &amp; Assumptions'!$L$35,'Model Inputs &amp; Assumptions'!$A$40:$A$42,0))*INDEX('Model Inputs &amp; Assumptions'!$H$40:$H$42,MATCH('Model Inputs &amp; Assumptions'!$L$35,'Model Inputs &amp; Assumptions'!$A$40:$A$42,0))</f>
        <v>6249.77942260527</v>
      </c>
      <c r="L3969" s="51" t="n">
        <f aca="false">IFERROR(K3969/I3969,0)</f>
        <v>0.720618418804223</v>
      </c>
      <c r="M3969" s="49" t="n">
        <f aca="false">IFERROR(I3969/H3969,0)</f>
        <v>265.397046494254</v>
      </c>
      <c r="N3969" s="52" t="str">
        <f aca="false">'Model Inputs &amp; Assumptions'!$L$35</f>
        <v>PRD-EUAI</v>
      </c>
      <c r="P3969" s="53" t="n">
        <v>-0.203448</v>
      </c>
      <c r="Q3969" s="53" t="n">
        <v>0.341825</v>
      </c>
      <c r="R3969" s="53" t="n">
        <v>0.297264</v>
      </c>
      <c r="S3969" s="53" t="n">
        <v>-0.822349</v>
      </c>
    </row>
    <row r="3970" customFormat="false" ht="15" hidden="false" customHeight="false" outlineLevel="0" collapsed="false">
      <c r="A3970" s="43" t="n">
        <v>467</v>
      </c>
      <c r="B3970" s="44" t="str">
        <f aca="false">'Model Inputs &amp; Assumptions'!$B$35</f>
        <v>justETF — Sponsored Listing</v>
      </c>
      <c r="C3970" s="45" t="n">
        <f aca="false">ROUND(MAX(0,'Model Inputs &amp; Assumptions'!$S$35*EXP('Model Inputs &amp; Assumptions'!$T$35*P3970-'Model Inputs &amp; Assumptions'!$T$35^2/2)),0)</f>
        <v>91539</v>
      </c>
      <c r="D3970" s="46" t="n">
        <f aca="false">MIN(1,'Model Inputs &amp; Assumptions'!$U$35*EXP('Model Inputs &amp; Assumptions'!$V$35*Q3970-'Model Inputs &amp; Assumptions'!$V$35^2/2))</f>
        <v>0</v>
      </c>
      <c r="E3970" s="45" t="n">
        <f aca="false">ROUND(C3970*D3970,0)</f>
        <v>0</v>
      </c>
      <c r="F3970" s="47" t="n">
        <f aca="false">MIN(1,'Model Inputs &amp; Assumptions'!$W$35*EXP('Model Inputs &amp; Assumptions'!$X$35*R3970-'Model Inputs &amp; Assumptions'!$X$35^2/2))</f>
        <v>0.00824631246427723</v>
      </c>
      <c r="G3970" s="45" t="n">
        <f aca="false">ROUND(C3970*F3970,0)</f>
        <v>755</v>
      </c>
      <c r="H3970" s="48" t="n">
        <f aca="false">MAX(0,(C3970*'Model Inputs &amp; Assumptions'!$N$35+E3970*'Model Inputs &amp; Assumptions'!$O$35+G3970*'Model Inputs &amp; Assumptions'!$P$35)*EXP('Model Inputs &amp; Assumptions'!$Q$35*S3970-'Model Inputs &amp; Assumptions'!$Q$35^2/2))</f>
        <v>41.5079814282132</v>
      </c>
      <c r="I3970" s="49" t="n">
        <f aca="false">IF('Model Inputs &amp; Assumptions'!$H$35="Fixed",'Model Inputs &amp; Assumptions'!$I$35*'Model Inputs &amp; Assumptions'!$K$35,IF('Model Inputs &amp; Assumptions'!$H$35="CPM",'Model Inputs &amp; Assumptions'!$I$35*'Model Inputs &amp; Assumptions'!$K$35*C3970/1000,IF('Model Inputs &amp; Assumptions'!$H$35="CPC",'Model Inputs &amp; Assumptions'!$I$35*'Model Inputs &amp; Assumptions'!$K$35*G3970,0)))</f>
        <v>8672.8</v>
      </c>
      <c r="J3970" s="50" t="n">
        <f aca="false">H3970*INDEX('Model Inputs &amp; Assumptions'!$D$40:$D$42,MATCH('Model Inputs &amp; Assumptions'!$L$35,'Model Inputs &amp; Assumptions'!$A$40:$A$42,0))*INDEX('Model Inputs &amp; Assumptions'!$H$40:$H$42,MATCH('Model Inputs &amp; Assumptions'!$L$35,'Model Inputs &amp; Assumptions'!$A$40:$A$42,0))</f>
        <v>352817.842139812</v>
      </c>
      <c r="K3970" s="49" t="n">
        <f aca="false">H3970*INDEX('Model Inputs &amp; Assumptions'!$G$40:$G$42,MATCH('Model Inputs &amp; Assumptions'!$L$35,'Model Inputs &amp; Assumptions'!$A$40:$A$42,0))*INDEX('Model Inputs &amp; Assumptions'!$H$40:$H$42,MATCH('Model Inputs &amp; Assumptions'!$L$35,'Model Inputs &amp; Assumptions'!$A$40:$A$42,0))</f>
        <v>7938.40144814577</v>
      </c>
      <c r="L3970" s="51" t="n">
        <f aca="false">IFERROR(K3970/I3970,0)</f>
        <v>0.915321631785094</v>
      </c>
      <c r="M3970" s="49" t="n">
        <f aca="false">IFERROR(I3970/H3970,0)</f>
        <v>208.942947876166</v>
      </c>
      <c r="N3970" s="52" t="str">
        <f aca="false">'Model Inputs &amp; Assumptions'!$L$35</f>
        <v>PRD-EUAI</v>
      </c>
      <c r="P3970" s="53" t="n">
        <v>0.232612</v>
      </c>
      <c r="Q3970" s="53" t="n">
        <v>-1.821147</v>
      </c>
      <c r="R3970" s="53" t="n">
        <v>1.138293</v>
      </c>
      <c r="S3970" s="53" t="n">
        <v>-0.799123</v>
      </c>
    </row>
    <row r="3971" customFormat="false" ht="15" hidden="false" customHeight="false" outlineLevel="0" collapsed="false">
      <c r="A3971" s="43" t="n">
        <v>468</v>
      </c>
      <c r="B3971" s="44" t="str">
        <f aca="false">'Model Inputs &amp; Assumptions'!$B$35</f>
        <v>justETF — Sponsored Listing</v>
      </c>
      <c r="C3971" s="45" t="n">
        <f aca="false">ROUND(MAX(0,'Model Inputs &amp; Assumptions'!$S$35*EXP('Model Inputs &amp; Assumptions'!$T$35*P3971-'Model Inputs &amp; Assumptions'!$T$35^2/2)),0)</f>
        <v>107988</v>
      </c>
      <c r="D3971" s="46" t="n">
        <f aca="false">MIN(1,'Model Inputs &amp; Assumptions'!$U$35*EXP('Model Inputs &amp; Assumptions'!$V$35*Q3971-'Model Inputs &amp; Assumptions'!$V$35^2/2))</f>
        <v>0</v>
      </c>
      <c r="E3971" s="45" t="n">
        <f aca="false">ROUND(C3971*D3971,0)</f>
        <v>0</v>
      </c>
      <c r="F3971" s="47" t="n">
        <f aca="false">MIN(1,'Model Inputs &amp; Assumptions'!$W$35*EXP('Model Inputs &amp; Assumptions'!$X$35*R3971-'Model Inputs &amp; Assumptions'!$X$35^2/2))</f>
        <v>0.00749108409766799</v>
      </c>
      <c r="G3971" s="45" t="n">
        <f aca="false">ROUND(C3971*F3971,0)</f>
        <v>809</v>
      </c>
      <c r="H3971" s="48" t="n">
        <f aca="false">MAX(0,(C3971*'Model Inputs &amp; Assumptions'!$N$35+E3971*'Model Inputs &amp; Assumptions'!$O$35+G3971*'Model Inputs &amp; Assumptions'!$P$35)*EXP('Model Inputs &amp; Assumptions'!$Q$35*S3971-'Model Inputs &amp; Assumptions'!$Q$35^2/2))</f>
        <v>72.7479538676665</v>
      </c>
      <c r="I3971" s="49" t="n">
        <f aca="false">IF('Model Inputs &amp; Assumptions'!$H$35="Fixed",'Model Inputs &amp; Assumptions'!$I$35*'Model Inputs &amp; Assumptions'!$K$35,IF('Model Inputs &amp; Assumptions'!$H$35="CPM",'Model Inputs &amp; Assumptions'!$I$35*'Model Inputs &amp; Assumptions'!$K$35*C3971/1000,IF('Model Inputs &amp; Assumptions'!$H$35="CPC",'Model Inputs &amp; Assumptions'!$I$35*'Model Inputs &amp; Assumptions'!$K$35*G3971,0)))</f>
        <v>8672.8</v>
      </c>
      <c r="J3971" s="50" t="n">
        <f aca="false">H3971*INDEX('Model Inputs &amp; Assumptions'!$D$40:$D$42,MATCH('Model Inputs &amp; Assumptions'!$L$35,'Model Inputs &amp; Assumptions'!$A$40:$A$42,0))*INDEX('Model Inputs &amp; Assumptions'!$H$40:$H$42,MATCH('Model Inputs &amp; Assumptions'!$L$35,'Model Inputs &amp; Assumptions'!$A$40:$A$42,0))</f>
        <v>618357.607875165</v>
      </c>
      <c r="K3971" s="49" t="n">
        <f aca="false">H3971*INDEX('Model Inputs &amp; Assumptions'!$G$40:$G$42,MATCH('Model Inputs &amp; Assumptions'!$L$35,'Model Inputs &amp; Assumptions'!$A$40:$A$42,0))*INDEX('Model Inputs &amp; Assumptions'!$H$40:$H$42,MATCH('Model Inputs &amp; Assumptions'!$L$35,'Model Inputs &amp; Assumptions'!$A$40:$A$42,0))</f>
        <v>13913.0461771912</v>
      </c>
      <c r="L3971" s="51" t="n">
        <f aca="false">IFERROR(K3971/I3971,0)</f>
        <v>1.60421619052569</v>
      </c>
      <c r="M3971" s="49" t="n">
        <f aca="false">IFERROR(I3971/H3971,0)</f>
        <v>119.217098748597</v>
      </c>
      <c r="N3971" s="52" t="str">
        <f aca="false">'Model Inputs &amp; Assumptions'!$L$35</f>
        <v>PRD-EUAI</v>
      </c>
      <c r="P3971" s="53" t="n">
        <v>1.334353</v>
      </c>
      <c r="Q3971" s="53" t="n">
        <v>0.073495</v>
      </c>
      <c r="R3971" s="53" t="n">
        <v>0.65803</v>
      </c>
      <c r="S3971" s="53" t="n">
        <v>1.093315</v>
      </c>
    </row>
    <row r="3972" customFormat="false" ht="15" hidden="false" customHeight="false" outlineLevel="0" collapsed="false">
      <c r="A3972" s="43" t="n">
        <v>469</v>
      </c>
      <c r="B3972" s="44" t="str">
        <f aca="false">'Model Inputs &amp; Assumptions'!$B$35</f>
        <v>justETF — Sponsored Listing</v>
      </c>
      <c r="C3972" s="45" t="n">
        <f aca="false">ROUND(MAX(0,'Model Inputs &amp; Assumptions'!$S$35*EXP('Model Inputs &amp; Assumptions'!$T$35*P3972-'Model Inputs &amp; Assumptions'!$T$35^2/2)),0)</f>
        <v>80848</v>
      </c>
      <c r="D3972" s="46" t="n">
        <f aca="false">MIN(1,'Model Inputs &amp; Assumptions'!$U$35*EXP('Model Inputs &amp; Assumptions'!$V$35*Q3972-'Model Inputs &amp; Assumptions'!$V$35^2/2))</f>
        <v>0</v>
      </c>
      <c r="E3972" s="45" t="n">
        <f aca="false">ROUND(C3972*D3972,0)</f>
        <v>0</v>
      </c>
      <c r="F3972" s="47" t="n">
        <f aca="false">MIN(1,'Model Inputs &amp; Assumptions'!$W$35*EXP('Model Inputs &amp; Assumptions'!$X$35*R3972-'Model Inputs &amp; Assumptions'!$X$35^2/2))</f>
        <v>0.00576115356522717</v>
      </c>
      <c r="G3972" s="45" t="n">
        <f aca="false">ROUND(C3972*F3972,0)</f>
        <v>466</v>
      </c>
      <c r="H3972" s="48" t="n">
        <f aca="false">MAX(0,(C3972*'Model Inputs &amp; Assumptions'!$N$35+E3972*'Model Inputs &amp; Assumptions'!$O$35+G3972*'Model Inputs &amp; Assumptions'!$P$35)*EXP('Model Inputs &amp; Assumptions'!$Q$35*S3972-'Model Inputs &amp; Assumptions'!$Q$35^2/2))</f>
        <v>20.5876853231086</v>
      </c>
      <c r="I3972" s="49" t="n">
        <f aca="false">IF('Model Inputs &amp; Assumptions'!$H$35="Fixed",'Model Inputs &amp; Assumptions'!$I$35*'Model Inputs &amp; Assumptions'!$K$35,IF('Model Inputs &amp; Assumptions'!$H$35="CPM",'Model Inputs &amp; Assumptions'!$I$35*'Model Inputs &amp; Assumptions'!$K$35*C3972/1000,IF('Model Inputs &amp; Assumptions'!$H$35="CPC",'Model Inputs &amp; Assumptions'!$I$35*'Model Inputs &amp; Assumptions'!$K$35*G3972,0)))</f>
        <v>8672.8</v>
      </c>
      <c r="J3972" s="50" t="n">
        <f aca="false">H3972*INDEX('Model Inputs &amp; Assumptions'!$D$40:$D$42,MATCH('Model Inputs &amp; Assumptions'!$L$35,'Model Inputs &amp; Assumptions'!$A$40:$A$42,0))*INDEX('Model Inputs &amp; Assumptions'!$H$40:$H$42,MATCH('Model Inputs &amp; Assumptions'!$L$35,'Model Inputs &amp; Assumptions'!$A$40:$A$42,0))</f>
        <v>174995.325246423</v>
      </c>
      <c r="K3972" s="49" t="n">
        <f aca="false">H3972*INDEX('Model Inputs &amp; Assumptions'!$G$40:$G$42,MATCH('Model Inputs &amp; Assumptions'!$L$35,'Model Inputs &amp; Assumptions'!$A$40:$A$42,0))*INDEX('Model Inputs &amp; Assumptions'!$H$40:$H$42,MATCH('Model Inputs &amp; Assumptions'!$L$35,'Model Inputs &amp; Assumptions'!$A$40:$A$42,0))</f>
        <v>3937.39481804453</v>
      </c>
      <c r="L3972" s="51" t="n">
        <f aca="false">IFERROR(K3972/I3972,0)</f>
        <v>0.453993498990468</v>
      </c>
      <c r="M3972" s="49" t="n">
        <f aca="false">IFERROR(I3972/H3972,0)</f>
        <v>421.261538822201</v>
      </c>
      <c r="N3972" s="52" t="str">
        <f aca="false">'Model Inputs &amp; Assumptions'!$L$35</f>
        <v>PRD-EUAI</v>
      </c>
      <c r="P3972" s="53" t="n">
        <v>-0.595354</v>
      </c>
      <c r="Q3972" s="53" t="n">
        <v>-1.117685</v>
      </c>
      <c r="R3972" s="53" t="n">
        <v>-0.654849</v>
      </c>
      <c r="S3972" s="53" t="n">
        <v>-1.640125</v>
      </c>
    </row>
    <row r="3973" customFormat="false" ht="15" hidden="false" customHeight="false" outlineLevel="0" collapsed="false">
      <c r="A3973" s="43" t="n">
        <v>470</v>
      </c>
      <c r="B3973" s="44" t="str">
        <f aca="false">'Model Inputs &amp; Assumptions'!$B$35</f>
        <v>justETF — Sponsored Listing</v>
      </c>
      <c r="C3973" s="45" t="n">
        <f aca="false">ROUND(MAX(0,'Model Inputs &amp; Assumptions'!$S$35*EXP('Model Inputs &amp; Assumptions'!$T$35*P3973-'Model Inputs &amp; Assumptions'!$T$35^2/2)),0)</f>
        <v>82934</v>
      </c>
      <c r="D3973" s="46" t="n">
        <f aca="false">MIN(1,'Model Inputs &amp; Assumptions'!$U$35*EXP('Model Inputs &amp; Assumptions'!$V$35*Q3973-'Model Inputs &amp; Assumptions'!$V$35^2/2))</f>
        <v>0</v>
      </c>
      <c r="E3973" s="45" t="n">
        <f aca="false">ROUND(C3973*D3973,0)</f>
        <v>0</v>
      </c>
      <c r="F3973" s="47" t="n">
        <f aca="false">MIN(1,'Model Inputs &amp; Assumptions'!$W$35*EXP('Model Inputs &amp; Assumptions'!$X$35*R3973-'Model Inputs &amp; Assumptions'!$X$35^2/2))</f>
        <v>0.00464445449597327</v>
      </c>
      <c r="G3973" s="45" t="n">
        <f aca="false">ROUND(C3973*F3973,0)</f>
        <v>385</v>
      </c>
      <c r="H3973" s="48" t="n">
        <f aca="false">MAX(0,(C3973*'Model Inputs &amp; Assumptions'!$N$35+E3973*'Model Inputs &amp; Assumptions'!$O$35+G3973*'Model Inputs &amp; Assumptions'!$P$35)*EXP('Model Inputs &amp; Assumptions'!$Q$35*S3973-'Model Inputs &amp; Assumptions'!$Q$35^2/2))</f>
        <v>25.6721358963098</v>
      </c>
      <c r="I3973" s="49" t="n">
        <f aca="false">IF('Model Inputs &amp; Assumptions'!$H$35="Fixed",'Model Inputs &amp; Assumptions'!$I$35*'Model Inputs &amp; Assumptions'!$K$35,IF('Model Inputs &amp; Assumptions'!$H$35="CPM",'Model Inputs &amp; Assumptions'!$I$35*'Model Inputs &amp; Assumptions'!$K$35*C3973/1000,IF('Model Inputs &amp; Assumptions'!$H$35="CPC",'Model Inputs &amp; Assumptions'!$I$35*'Model Inputs &amp; Assumptions'!$K$35*G3973,0)))</f>
        <v>8672.8</v>
      </c>
      <c r="J3973" s="50" t="n">
        <f aca="false">H3973*INDEX('Model Inputs &amp; Assumptions'!$D$40:$D$42,MATCH('Model Inputs &amp; Assumptions'!$L$35,'Model Inputs &amp; Assumptions'!$A$40:$A$42,0))*INDEX('Model Inputs &amp; Assumptions'!$H$40:$H$42,MATCH('Model Inputs &amp; Assumptions'!$L$35,'Model Inputs &amp; Assumptions'!$A$40:$A$42,0))</f>
        <v>218213.155118634</v>
      </c>
      <c r="K3973" s="49" t="n">
        <f aca="false">H3973*INDEX('Model Inputs &amp; Assumptions'!$G$40:$G$42,MATCH('Model Inputs &amp; Assumptions'!$L$35,'Model Inputs &amp; Assumptions'!$A$40:$A$42,0))*INDEX('Model Inputs &amp; Assumptions'!$H$40:$H$42,MATCH('Model Inputs &amp; Assumptions'!$L$35,'Model Inputs &amp; Assumptions'!$A$40:$A$42,0))</f>
        <v>4909.79599016926</v>
      </c>
      <c r="L3973" s="51" t="n">
        <f aca="false">IFERROR(K3973/I3973,0)</f>
        <v>0.566114287216269</v>
      </c>
      <c r="M3973" s="49" t="n">
        <f aca="false">IFERROR(I3973/H3973,0)</f>
        <v>337.829311710937</v>
      </c>
      <c r="N3973" s="52" t="str">
        <f aca="false">'Model Inputs &amp; Assumptions'!$L$35</f>
        <v>PRD-EUAI</v>
      </c>
      <c r="P3973" s="53" t="n">
        <v>-0.425476</v>
      </c>
      <c r="Q3973" s="53" t="n">
        <v>-0.812637</v>
      </c>
      <c r="R3973" s="53" t="n">
        <v>-1.732168</v>
      </c>
      <c r="S3973" s="53" t="n">
        <v>-0.056835</v>
      </c>
    </row>
    <row r="3974" customFormat="false" ht="15" hidden="false" customHeight="false" outlineLevel="0" collapsed="false">
      <c r="A3974" s="43" t="n">
        <v>471</v>
      </c>
      <c r="B3974" s="44" t="str">
        <f aca="false">'Model Inputs &amp; Assumptions'!$B$35</f>
        <v>justETF — Sponsored Listing</v>
      </c>
      <c r="C3974" s="45" t="n">
        <f aca="false">ROUND(MAX(0,'Model Inputs &amp; Assumptions'!$S$35*EXP('Model Inputs &amp; Assumptions'!$T$35*P3974-'Model Inputs &amp; Assumptions'!$T$35^2/2)),0)</f>
        <v>101096</v>
      </c>
      <c r="D3974" s="46" t="n">
        <f aca="false">MIN(1,'Model Inputs &amp; Assumptions'!$U$35*EXP('Model Inputs &amp; Assumptions'!$V$35*Q3974-'Model Inputs &amp; Assumptions'!$V$35^2/2))</f>
        <v>0</v>
      </c>
      <c r="E3974" s="45" t="n">
        <f aca="false">ROUND(C3974*D3974,0)</f>
        <v>0</v>
      </c>
      <c r="F3974" s="47" t="n">
        <f aca="false">MIN(1,'Model Inputs &amp; Assumptions'!$W$35*EXP('Model Inputs &amp; Assumptions'!$X$35*R3974-'Model Inputs &amp; Assumptions'!$X$35^2/2))</f>
        <v>0.00772589695247999</v>
      </c>
      <c r="G3974" s="45" t="n">
        <f aca="false">ROUND(C3974*F3974,0)</f>
        <v>781</v>
      </c>
      <c r="H3974" s="48" t="n">
        <f aca="false">MAX(0,(C3974*'Model Inputs &amp; Assumptions'!$N$35+E3974*'Model Inputs &amp; Assumptions'!$O$35+G3974*'Model Inputs &amp; Assumptions'!$P$35)*EXP('Model Inputs &amp; Assumptions'!$Q$35*S3974-'Model Inputs &amp; Assumptions'!$Q$35^2/2))</f>
        <v>56.2678966364237</v>
      </c>
      <c r="I3974" s="49" t="n">
        <f aca="false">IF('Model Inputs &amp; Assumptions'!$H$35="Fixed",'Model Inputs &amp; Assumptions'!$I$35*'Model Inputs &amp; Assumptions'!$K$35,IF('Model Inputs &amp; Assumptions'!$H$35="CPM",'Model Inputs &amp; Assumptions'!$I$35*'Model Inputs &amp; Assumptions'!$K$35*C3974/1000,IF('Model Inputs &amp; Assumptions'!$H$35="CPC",'Model Inputs &amp; Assumptions'!$I$35*'Model Inputs &amp; Assumptions'!$K$35*G3974,0)))</f>
        <v>8672.8</v>
      </c>
      <c r="J3974" s="50" t="n">
        <f aca="false">H3974*INDEX('Model Inputs &amp; Assumptions'!$D$40:$D$42,MATCH('Model Inputs &amp; Assumptions'!$L$35,'Model Inputs &amp; Assumptions'!$A$40:$A$42,0))*INDEX('Model Inputs &amp; Assumptions'!$H$40:$H$42,MATCH('Model Inputs &amp; Assumptions'!$L$35,'Model Inputs &amp; Assumptions'!$A$40:$A$42,0))</f>
        <v>478277.121409601</v>
      </c>
      <c r="K3974" s="49" t="n">
        <f aca="false">H3974*INDEX('Model Inputs &amp; Assumptions'!$G$40:$G$42,MATCH('Model Inputs &amp; Assumptions'!$L$35,'Model Inputs &amp; Assumptions'!$A$40:$A$42,0))*INDEX('Model Inputs &amp; Assumptions'!$H$40:$H$42,MATCH('Model Inputs &amp; Assumptions'!$L$35,'Model Inputs &amp; Assumptions'!$A$40:$A$42,0))</f>
        <v>10761.235231716</v>
      </c>
      <c r="L3974" s="51" t="n">
        <f aca="false">IFERROR(K3974/I3974,0)</f>
        <v>1.24080288162024</v>
      </c>
      <c r="M3974" s="49" t="n">
        <f aca="false">IFERROR(I3974/H3974,0)</f>
        <v>154.134071441119</v>
      </c>
      <c r="N3974" s="52" t="str">
        <f aca="false">'Model Inputs &amp; Assumptions'!$L$35</f>
        <v>PRD-EUAI</v>
      </c>
      <c r="P3974" s="53" t="n">
        <v>0.894639</v>
      </c>
      <c r="Q3974" s="53" t="n">
        <v>-0.616721</v>
      </c>
      <c r="R3974" s="53" t="n">
        <v>0.812352</v>
      </c>
      <c r="S3974" s="53" t="n">
        <v>0.240804</v>
      </c>
    </row>
    <row r="3975" customFormat="false" ht="15" hidden="false" customHeight="false" outlineLevel="0" collapsed="false">
      <c r="A3975" s="43" t="n">
        <v>472</v>
      </c>
      <c r="B3975" s="44" t="str">
        <f aca="false">'Model Inputs &amp; Assumptions'!$B$35</f>
        <v>justETF — Sponsored Listing</v>
      </c>
      <c r="C3975" s="45" t="n">
        <f aca="false">ROUND(MAX(0,'Model Inputs &amp; Assumptions'!$S$35*EXP('Model Inputs &amp; Assumptions'!$T$35*P3975-'Model Inputs &amp; Assumptions'!$T$35^2/2)),0)</f>
        <v>94389</v>
      </c>
      <c r="D3975" s="46" t="n">
        <f aca="false">MIN(1,'Model Inputs &amp; Assumptions'!$U$35*EXP('Model Inputs &amp; Assumptions'!$V$35*Q3975-'Model Inputs &amp; Assumptions'!$V$35^2/2))</f>
        <v>0</v>
      </c>
      <c r="E3975" s="45" t="n">
        <f aca="false">ROUND(C3975*D3975,0)</f>
        <v>0</v>
      </c>
      <c r="F3975" s="47" t="n">
        <f aca="false">MIN(1,'Model Inputs &amp; Assumptions'!$W$35*EXP('Model Inputs &amp; Assumptions'!$X$35*R3975-'Model Inputs &amp; Assumptions'!$X$35^2/2))</f>
        <v>0.00664583489191413</v>
      </c>
      <c r="G3975" s="45" t="n">
        <f aca="false">ROUND(C3975*F3975,0)</f>
        <v>627</v>
      </c>
      <c r="H3975" s="48" t="n">
        <f aca="false">MAX(0,(C3975*'Model Inputs &amp; Assumptions'!$N$35+E3975*'Model Inputs &amp; Assumptions'!$O$35+G3975*'Model Inputs &amp; Assumptions'!$P$35)*EXP('Model Inputs &amp; Assumptions'!$Q$35*S3975-'Model Inputs &amp; Assumptions'!$Q$35^2/2))</f>
        <v>39.7601098137636</v>
      </c>
      <c r="I3975" s="49" t="n">
        <f aca="false">IF('Model Inputs &amp; Assumptions'!$H$35="Fixed",'Model Inputs &amp; Assumptions'!$I$35*'Model Inputs &amp; Assumptions'!$K$35,IF('Model Inputs &amp; Assumptions'!$H$35="CPM",'Model Inputs &amp; Assumptions'!$I$35*'Model Inputs &amp; Assumptions'!$K$35*C3975/1000,IF('Model Inputs &amp; Assumptions'!$H$35="CPC",'Model Inputs &amp; Assumptions'!$I$35*'Model Inputs &amp; Assumptions'!$K$35*G3975,0)))</f>
        <v>8672.8</v>
      </c>
      <c r="J3975" s="50" t="n">
        <f aca="false">H3975*INDEX('Model Inputs &amp; Assumptions'!$D$40:$D$42,MATCH('Model Inputs &amp; Assumptions'!$L$35,'Model Inputs &amp; Assumptions'!$A$40:$A$42,0))*INDEX('Model Inputs &amp; Assumptions'!$H$40:$H$42,MATCH('Model Inputs &amp; Assumptions'!$L$35,'Model Inputs &amp; Assumptions'!$A$40:$A$42,0))</f>
        <v>337960.933416991</v>
      </c>
      <c r="K3975" s="49" t="n">
        <f aca="false">H3975*INDEX('Model Inputs &amp; Assumptions'!$G$40:$G$42,MATCH('Model Inputs &amp; Assumptions'!$L$35,'Model Inputs &amp; Assumptions'!$A$40:$A$42,0))*INDEX('Model Inputs &amp; Assumptions'!$H$40:$H$42,MATCH('Model Inputs &amp; Assumptions'!$L$35,'Model Inputs &amp; Assumptions'!$A$40:$A$42,0))</f>
        <v>7604.12100188229</v>
      </c>
      <c r="L3975" s="51" t="n">
        <f aca="false">IFERROR(K3975/I3975,0)</f>
        <v>0.876778088031811</v>
      </c>
      <c r="M3975" s="49" t="n">
        <f aca="false">IFERROR(I3975/H3975,0)</f>
        <v>218.128170184222</v>
      </c>
      <c r="N3975" s="52" t="str">
        <f aca="false">'Model Inputs &amp; Assumptions'!$L$35</f>
        <v>PRD-EUAI</v>
      </c>
      <c r="P3975" s="53" t="n">
        <v>0.437021</v>
      </c>
      <c r="Q3975" s="53" t="n">
        <v>0.149891</v>
      </c>
      <c r="R3975" s="53" t="n">
        <v>0.059414</v>
      </c>
      <c r="S3975" s="53" t="n">
        <v>-0.250086</v>
      </c>
    </row>
    <row r="3976" customFormat="false" ht="15" hidden="false" customHeight="false" outlineLevel="0" collapsed="false">
      <c r="A3976" s="43" t="n">
        <v>473</v>
      </c>
      <c r="B3976" s="44" t="str">
        <f aca="false">'Model Inputs &amp; Assumptions'!$B$35</f>
        <v>justETF — Sponsored Listing</v>
      </c>
      <c r="C3976" s="45" t="n">
        <f aca="false">ROUND(MAX(0,'Model Inputs &amp; Assumptions'!$S$35*EXP('Model Inputs &amp; Assumptions'!$T$35*P3976-'Model Inputs &amp; Assumptions'!$T$35^2/2)),0)</f>
        <v>82134</v>
      </c>
      <c r="D3976" s="46" t="n">
        <f aca="false">MIN(1,'Model Inputs &amp; Assumptions'!$U$35*EXP('Model Inputs &amp; Assumptions'!$V$35*Q3976-'Model Inputs &amp; Assumptions'!$V$35^2/2))</f>
        <v>0</v>
      </c>
      <c r="E3976" s="45" t="n">
        <f aca="false">ROUND(C3976*D3976,0)</f>
        <v>0</v>
      </c>
      <c r="F3976" s="47" t="n">
        <f aca="false">MIN(1,'Model Inputs &amp; Assumptions'!$W$35*EXP('Model Inputs &amp; Assumptions'!$X$35*R3976-'Model Inputs &amp; Assumptions'!$X$35^2/2))</f>
        <v>0.00552573310006931</v>
      </c>
      <c r="G3976" s="45" t="n">
        <f aca="false">ROUND(C3976*F3976,0)</f>
        <v>454</v>
      </c>
      <c r="H3976" s="48" t="n">
        <f aca="false">MAX(0,(C3976*'Model Inputs &amp; Assumptions'!$N$35+E3976*'Model Inputs &amp; Assumptions'!$O$35+G3976*'Model Inputs &amp; Assumptions'!$P$35)*EXP('Model Inputs &amp; Assumptions'!$Q$35*S3976-'Model Inputs &amp; Assumptions'!$Q$35^2/2))</f>
        <v>23.779115158999</v>
      </c>
      <c r="I3976" s="49" t="n">
        <f aca="false">IF('Model Inputs &amp; Assumptions'!$H$35="Fixed",'Model Inputs &amp; Assumptions'!$I$35*'Model Inputs &amp; Assumptions'!$K$35,IF('Model Inputs &amp; Assumptions'!$H$35="CPM",'Model Inputs &amp; Assumptions'!$I$35*'Model Inputs &amp; Assumptions'!$K$35*C3976/1000,IF('Model Inputs &amp; Assumptions'!$H$35="CPC",'Model Inputs &amp; Assumptions'!$I$35*'Model Inputs &amp; Assumptions'!$K$35*G3976,0)))</f>
        <v>8672.8</v>
      </c>
      <c r="J3976" s="50" t="n">
        <f aca="false">H3976*INDEX('Model Inputs &amp; Assumptions'!$D$40:$D$42,MATCH('Model Inputs &amp; Assumptions'!$L$35,'Model Inputs &amp; Assumptions'!$A$40:$A$42,0))*INDEX('Model Inputs &amp; Assumptions'!$H$40:$H$42,MATCH('Model Inputs &amp; Assumptions'!$L$35,'Model Inputs &amp; Assumptions'!$A$40:$A$42,0))</f>
        <v>202122.478851491</v>
      </c>
      <c r="K3976" s="49" t="n">
        <f aca="false">H3976*INDEX('Model Inputs &amp; Assumptions'!$G$40:$G$42,MATCH('Model Inputs &amp; Assumptions'!$L$35,'Model Inputs &amp; Assumptions'!$A$40:$A$42,0))*INDEX('Model Inputs &amp; Assumptions'!$H$40:$H$42,MATCH('Model Inputs &amp; Assumptions'!$L$35,'Model Inputs &amp; Assumptions'!$A$40:$A$42,0))</f>
        <v>4547.75577415855</v>
      </c>
      <c r="L3976" s="51" t="n">
        <f aca="false">IFERROR(K3976/I3976,0)</f>
        <v>0.52436995827859</v>
      </c>
      <c r="M3976" s="49" t="n">
        <f aca="false">IFERROR(I3976/H3976,0)</f>
        <v>364.723411363684</v>
      </c>
      <c r="N3976" s="52" t="str">
        <f aca="false">'Model Inputs &amp; Assumptions'!$L$35</f>
        <v>PRD-EUAI</v>
      </c>
      <c r="P3976" s="53" t="n">
        <v>-0.490149</v>
      </c>
      <c r="Q3976" s="53" t="n">
        <v>0.125652</v>
      </c>
      <c r="R3976" s="53" t="n">
        <v>-0.863458</v>
      </c>
      <c r="S3976" s="53" t="n">
        <v>-0.985498</v>
      </c>
    </row>
    <row r="3977" customFormat="false" ht="15" hidden="false" customHeight="false" outlineLevel="0" collapsed="false">
      <c r="A3977" s="43" t="n">
        <v>474</v>
      </c>
      <c r="B3977" s="44" t="str">
        <f aca="false">'Model Inputs &amp; Assumptions'!$B$35</f>
        <v>justETF — Sponsored Listing</v>
      </c>
      <c r="C3977" s="45" t="n">
        <f aca="false">ROUND(MAX(0,'Model Inputs &amp; Assumptions'!$S$35*EXP('Model Inputs &amp; Assumptions'!$T$35*P3977-'Model Inputs &amp; Assumptions'!$T$35^2/2)),0)</f>
        <v>83065</v>
      </c>
      <c r="D3977" s="46" t="n">
        <f aca="false">MIN(1,'Model Inputs &amp; Assumptions'!$U$35*EXP('Model Inputs &amp; Assumptions'!$V$35*Q3977-'Model Inputs &amp; Assumptions'!$V$35^2/2))</f>
        <v>0</v>
      </c>
      <c r="E3977" s="45" t="n">
        <f aca="false">ROUND(C3977*D3977,0)</f>
        <v>0</v>
      </c>
      <c r="F3977" s="47" t="n">
        <f aca="false">MIN(1,'Model Inputs &amp; Assumptions'!$W$35*EXP('Model Inputs &amp; Assumptions'!$X$35*R3977-'Model Inputs &amp; Assumptions'!$X$35^2/2))</f>
        <v>0.00689708270895966</v>
      </c>
      <c r="G3977" s="45" t="n">
        <f aca="false">ROUND(C3977*F3977,0)</f>
        <v>573</v>
      </c>
      <c r="H3977" s="48" t="n">
        <f aca="false">MAX(0,(C3977*'Model Inputs &amp; Assumptions'!$N$35+E3977*'Model Inputs &amp; Assumptions'!$O$35+G3977*'Model Inputs &amp; Assumptions'!$P$35)*EXP('Model Inputs &amp; Assumptions'!$Q$35*S3977-'Model Inputs &amp; Assumptions'!$Q$35^2/2))</f>
        <v>33.8805627514095</v>
      </c>
      <c r="I3977" s="49" t="n">
        <f aca="false">IF('Model Inputs &amp; Assumptions'!$H$35="Fixed",'Model Inputs &amp; Assumptions'!$I$35*'Model Inputs &amp; Assumptions'!$K$35,IF('Model Inputs &amp; Assumptions'!$H$35="CPM",'Model Inputs &amp; Assumptions'!$I$35*'Model Inputs &amp; Assumptions'!$K$35*C3977/1000,IF('Model Inputs &amp; Assumptions'!$H$35="CPC",'Model Inputs &amp; Assumptions'!$I$35*'Model Inputs &amp; Assumptions'!$K$35*G3977,0)))</f>
        <v>8672.8</v>
      </c>
      <c r="J3977" s="50" t="n">
        <f aca="false">H3977*INDEX('Model Inputs &amp; Assumptions'!$D$40:$D$42,MATCH('Model Inputs &amp; Assumptions'!$L$35,'Model Inputs &amp; Assumptions'!$A$40:$A$42,0))*INDEX('Model Inputs &amp; Assumptions'!$H$40:$H$42,MATCH('Model Inputs &amp; Assumptions'!$L$35,'Model Inputs &amp; Assumptions'!$A$40:$A$42,0))</f>
        <v>287984.783386981</v>
      </c>
      <c r="K3977" s="49" t="n">
        <f aca="false">H3977*INDEX('Model Inputs &amp; Assumptions'!$G$40:$G$42,MATCH('Model Inputs &amp; Assumptions'!$L$35,'Model Inputs &amp; Assumptions'!$A$40:$A$42,0))*INDEX('Model Inputs &amp; Assumptions'!$H$40:$H$42,MATCH('Model Inputs &amp; Assumptions'!$L$35,'Model Inputs &amp; Assumptions'!$A$40:$A$42,0))</f>
        <v>6479.65762620707</v>
      </c>
      <c r="L3977" s="51" t="n">
        <f aca="false">IFERROR(K3977/I3977,0)</f>
        <v>0.747124069067323</v>
      </c>
      <c r="M3977" s="49" t="n">
        <f aca="false">IFERROR(I3977/H3977,0)</f>
        <v>255.98158046059</v>
      </c>
      <c r="N3977" s="52" t="str">
        <f aca="false">'Model Inputs &amp; Assumptions'!$L$35</f>
        <v>PRD-EUAI</v>
      </c>
      <c r="P3977" s="53" t="n">
        <v>-0.415015</v>
      </c>
      <c r="Q3977" s="53" t="n">
        <v>-0.467216</v>
      </c>
      <c r="R3977" s="53" t="n">
        <v>0.244955</v>
      </c>
      <c r="S3977" s="53" t="n">
        <v>-0.51917</v>
      </c>
    </row>
    <row r="3978" customFormat="false" ht="15" hidden="false" customHeight="false" outlineLevel="0" collapsed="false">
      <c r="A3978" s="43" t="n">
        <v>475</v>
      </c>
      <c r="B3978" s="44" t="str">
        <f aca="false">'Model Inputs &amp; Assumptions'!$B$35</f>
        <v>justETF — Sponsored Listing</v>
      </c>
      <c r="C3978" s="45" t="n">
        <f aca="false">ROUND(MAX(0,'Model Inputs &amp; Assumptions'!$S$35*EXP('Model Inputs &amp; Assumptions'!$T$35*P3978-'Model Inputs &amp; Assumptions'!$T$35^2/2)),0)</f>
        <v>101149</v>
      </c>
      <c r="D3978" s="46" t="n">
        <f aca="false">MIN(1,'Model Inputs &amp; Assumptions'!$U$35*EXP('Model Inputs &amp; Assumptions'!$V$35*Q3978-'Model Inputs &amp; Assumptions'!$V$35^2/2))</f>
        <v>0</v>
      </c>
      <c r="E3978" s="45" t="n">
        <f aca="false">ROUND(C3978*D3978,0)</f>
        <v>0</v>
      </c>
      <c r="F3978" s="47" t="n">
        <f aca="false">MIN(1,'Model Inputs &amp; Assumptions'!$W$35*EXP('Model Inputs &amp; Assumptions'!$X$35*R3978-'Model Inputs &amp; Assumptions'!$X$35^2/2))</f>
        <v>0.00661802724568374</v>
      </c>
      <c r="G3978" s="45" t="n">
        <f aca="false">ROUND(C3978*F3978,0)</f>
        <v>669</v>
      </c>
      <c r="H3978" s="48" t="n">
        <f aca="false">MAX(0,(C3978*'Model Inputs &amp; Assumptions'!$N$35+E3978*'Model Inputs &amp; Assumptions'!$O$35+G3978*'Model Inputs &amp; Assumptions'!$P$35)*EXP('Model Inputs &amp; Assumptions'!$Q$35*S3978-'Model Inputs &amp; Assumptions'!$Q$35^2/2))</f>
        <v>32.0553316349315</v>
      </c>
      <c r="I3978" s="49" t="n">
        <f aca="false">IF('Model Inputs &amp; Assumptions'!$H$35="Fixed",'Model Inputs &amp; Assumptions'!$I$35*'Model Inputs &amp; Assumptions'!$K$35,IF('Model Inputs &amp; Assumptions'!$H$35="CPM",'Model Inputs &amp; Assumptions'!$I$35*'Model Inputs &amp; Assumptions'!$K$35*C3978/1000,IF('Model Inputs &amp; Assumptions'!$H$35="CPC",'Model Inputs &amp; Assumptions'!$I$35*'Model Inputs &amp; Assumptions'!$K$35*G3978,0)))</f>
        <v>8672.8</v>
      </c>
      <c r="J3978" s="50" t="n">
        <f aca="false">H3978*INDEX('Model Inputs &amp; Assumptions'!$D$40:$D$42,MATCH('Model Inputs &amp; Assumptions'!$L$35,'Model Inputs &amp; Assumptions'!$A$40:$A$42,0))*INDEX('Model Inputs &amp; Assumptions'!$H$40:$H$42,MATCH('Model Inputs &amp; Assumptions'!$L$35,'Model Inputs &amp; Assumptions'!$A$40:$A$42,0))</f>
        <v>272470.318896917</v>
      </c>
      <c r="K3978" s="49" t="n">
        <f aca="false">H3978*INDEX('Model Inputs &amp; Assumptions'!$G$40:$G$42,MATCH('Model Inputs &amp; Assumptions'!$L$35,'Model Inputs &amp; Assumptions'!$A$40:$A$42,0))*INDEX('Model Inputs &amp; Assumptions'!$H$40:$H$42,MATCH('Model Inputs &amp; Assumptions'!$L$35,'Model Inputs &amp; Assumptions'!$A$40:$A$42,0))</f>
        <v>6130.58217518064</v>
      </c>
      <c r="L3978" s="51" t="n">
        <f aca="false">IFERROR(K3978/I3978,0)</f>
        <v>0.706874616638299</v>
      </c>
      <c r="M3978" s="49" t="n">
        <f aca="false">IFERROR(I3978/H3978,0)</f>
        <v>270.557175909827</v>
      </c>
      <c r="N3978" s="52" t="str">
        <f aca="false">'Model Inputs &amp; Assumptions'!$L$35</f>
        <v>PRD-EUAI</v>
      </c>
      <c r="P3978" s="53" t="n">
        <v>0.898152</v>
      </c>
      <c r="Q3978" s="53" t="n">
        <v>-0.141241</v>
      </c>
      <c r="R3978" s="53" t="n">
        <v>0.038449</v>
      </c>
      <c r="S3978" s="53" t="n">
        <v>-1.327925</v>
      </c>
    </row>
    <row r="3979" customFormat="false" ht="15" hidden="false" customHeight="false" outlineLevel="0" collapsed="false">
      <c r="A3979" s="43" t="n">
        <v>476</v>
      </c>
      <c r="B3979" s="44" t="str">
        <f aca="false">'Model Inputs &amp; Assumptions'!$B$35</f>
        <v>justETF — Sponsored Listing</v>
      </c>
      <c r="C3979" s="45" t="n">
        <f aca="false">ROUND(MAX(0,'Model Inputs &amp; Assumptions'!$S$35*EXP('Model Inputs &amp; Assumptions'!$T$35*P3979-'Model Inputs &amp; Assumptions'!$T$35^2/2)),0)</f>
        <v>101246</v>
      </c>
      <c r="D3979" s="46" t="n">
        <f aca="false">MIN(1,'Model Inputs &amp; Assumptions'!$U$35*EXP('Model Inputs &amp; Assumptions'!$V$35*Q3979-'Model Inputs &amp; Assumptions'!$V$35^2/2))</f>
        <v>0</v>
      </c>
      <c r="E3979" s="45" t="n">
        <f aca="false">ROUND(C3979*D3979,0)</f>
        <v>0</v>
      </c>
      <c r="F3979" s="47" t="n">
        <f aca="false">MIN(1,'Model Inputs &amp; Assumptions'!$W$35*EXP('Model Inputs &amp; Assumptions'!$X$35*R3979-'Model Inputs &amp; Assumptions'!$X$35^2/2))</f>
        <v>0.00738732228596058</v>
      </c>
      <c r="G3979" s="45" t="n">
        <f aca="false">ROUND(C3979*F3979,0)</f>
        <v>748</v>
      </c>
      <c r="H3979" s="48" t="n">
        <f aca="false">MAX(0,(C3979*'Model Inputs &amp; Assumptions'!$N$35+E3979*'Model Inputs &amp; Assumptions'!$O$35+G3979*'Model Inputs &amp; Assumptions'!$P$35)*EXP('Model Inputs &amp; Assumptions'!$Q$35*S3979-'Model Inputs &amp; Assumptions'!$Q$35^2/2))</f>
        <v>39.9744428451919</v>
      </c>
      <c r="I3979" s="49" t="n">
        <f aca="false">IF('Model Inputs &amp; Assumptions'!$H$35="Fixed",'Model Inputs &amp; Assumptions'!$I$35*'Model Inputs &amp; Assumptions'!$K$35,IF('Model Inputs &amp; Assumptions'!$H$35="CPM",'Model Inputs &amp; Assumptions'!$I$35*'Model Inputs &amp; Assumptions'!$K$35*C3979/1000,IF('Model Inputs &amp; Assumptions'!$H$35="CPC",'Model Inputs &amp; Assumptions'!$I$35*'Model Inputs &amp; Assumptions'!$K$35*G3979,0)))</f>
        <v>8672.8</v>
      </c>
      <c r="J3979" s="50" t="n">
        <f aca="false">H3979*INDEX('Model Inputs &amp; Assumptions'!$D$40:$D$42,MATCH('Model Inputs &amp; Assumptions'!$L$35,'Model Inputs &amp; Assumptions'!$A$40:$A$42,0))*INDEX('Model Inputs &amp; Assumptions'!$H$40:$H$42,MATCH('Model Inputs &amp; Assumptions'!$L$35,'Model Inputs &amp; Assumptions'!$A$40:$A$42,0))</f>
        <v>339782.764184132</v>
      </c>
      <c r="K3979" s="49" t="n">
        <f aca="false">H3979*INDEX('Model Inputs &amp; Assumptions'!$G$40:$G$42,MATCH('Model Inputs &amp; Assumptions'!$L$35,'Model Inputs &amp; Assumptions'!$A$40:$A$42,0))*INDEX('Model Inputs &amp; Assumptions'!$H$40:$H$42,MATCH('Model Inputs &amp; Assumptions'!$L$35,'Model Inputs &amp; Assumptions'!$A$40:$A$42,0))</f>
        <v>7645.11219414296</v>
      </c>
      <c r="L3979" s="51" t="n">
        <f aca="false">IFERROR(K3979/I3979,0)</f>
        <v>0.881504496142302</v>
      </c>
      <c r="M3979" s="49" t="n">
        <f aca="false">IFERROR(I3979/H3979,0)</f>
        <v>216.958621126677</v>
      </c>
      <c r="N3979" s="52" t="str">
        <f aca="false">'Model Inputs &amp; Assumptions'!$L$35</f>
        <v>PRD-EUAI</v>
      </c>
      <c r="P3979" s="53" t="n">
        <v>0.904579</v>
      </c>
      <c r="Q3979" s="53" t="n">
        <v>0.769139</v>
      </c>
      <c r="R3979" s="53" t="n">
        <v>0.588289</v>
      </c>
      <c r="S3979" s="53" t="n">
        <v>-0.908087</v>
      </c>
    </row>
    <row r="3980" customFormat="false" ht="15" hidden="false" customHeight="false" outlineLevel="0" collapsed="false">
      <c r="A3980" s="43" t="n">
        <v>477</v>
      </c>
      <c r="B3980" s="44" t="str">
        <f aca="false">'Model Inputs &amp; Assumptions'!$B$35</f>
        <v>justETF — Sponsored Listing</v>
      </c>
      <c r="C3980" s="45" t="n">
        <f aca="false">ROUND(MAX(0,'Model Inputs &amp; Assumptions'!$S$35*EXP('Model Inputs &amp; Assumptions'!$T$35*P3980-'Model Inputs &amp; Assumptions'!$T$35^2/2)),0)</f>
        <v>87974</v>
      </c>
      <c r="D3980" s="46" t="n">
        <f aca="false">MIN(1,'Model Inputs &amp; Assumptions'!$U$35*EXP('Model Inputs &amp; Assumptions'!$V$35*Q3980-'Model Inputs &amp; Assumptions'!$V$35^2/2))</f>
        <v>0</v>
      </c>
      <c r="E3980" s="45" t="n">
        <f aca="false">ROUND(C3980*D3980,0)</f>
        <v>0</v>
      </c>
      <c r="F3980" s="47" t="n">
        <f aca="false">MIN(1,'Model Inputs &amp; Assumptions'!$W$35*EXP('Model Inputs &amp; Assumptions'!$X$35*R3980-'Model Inputs &amp; Assumptions'!$X$35^2/2))</f>
        <v>0.00615318310762761</v>
      </c>
      <c r="G3980" s="45" t="n">
        <f aca="false">ROUND(C3980*F3980,0)</f>
        <v>541</v>
      </c>
      <c r="H3980" s="48" t="n">
        <f aca="false">MAX(0,(C3980*'Model Inputs &amp; Assumptions'!$N$35+E3980*'Model Inputs &amp; Assumptions'!$O$35+G3980*'Model Inputs &amp; Assumptions'!$P$35)*EXP('Model Inputs &amp; Assumptions'!$Q$35*S3980-'Model Inputs &amp; Assumptions'!$Q$35^2/2))</f>
        <v>46.807606506821</v>
      </c>
      <c r="I3980" s="49" t="n">
        <f aca="false">IF('Model Inputs &amp; Assumptions'!$H$35="Fixed",'Model Inputs &amp; Assumptions'!$I$35*'Model Inputs &amp; Assumptions'!$K$35,IF('Model Inputs &amp; Assumptions'!$H$35="CPM",'Model Inputs &amp; Assumptions'!$I$35*'Model Inputs &amp; Assumptions'!$K$35*C3980/1000,IF('Model Inputs &amp; Assumptions'!$H$35="CPC",'Model Inputs &amp; Assumptions'!$I$35*'Model Inputs &amp; Assumptions'!$K$35*G3980,0)))</f>
        <v>8672.8</v>
      </c>
      <c r="J3980" s="50" t="n">
        <f aca="false">H3980*INDEX('Model Inputs &amp; Assumptions'!$D$40:$D$42,MATCH('Model Inputs &amp; Assumptions'!$L$35,'Model Inputs &amp; Assumptions'!$A$40:$A$42,0))*INDEX('Model Inputs &amp; Assumptions'!$H$40:$H$42,MATCH('Model Inputs &amp; Assumptions'!$L$35,'Model Inputs &amp; Assumptions'!$A$40:$A$42,0))</f>
        <v>397864.655307978</v>
      </c>
      <c r="K3980" s="49" t="n">
        <f aca="false">H3980*INDEX('Model Inputs &amp; Assumptions'!$G$40:$G$42,MATCH('Model Inputs &amp; Assumptions'!$L$35,'Model Inputs &amp; Assumptions'!$A$40:$A$42,0))*INDEX('Model Inputs &amp; Assumptions'!$H$40:$H$42,MATCH('Model Inputs &amp; Assumptions'!$L$35,'Model Inputs &amp; Assumptions'!$A$40:$A$42,0))</f>
        <v>8951.95474442951</v>
      </c>
      <c r="L3980" s="51" t="n">
        <f aca="false">IFERROR(K3980/I3980,0)</f>
        <v>1.03218738405469</v>
      </c>
      <c r="M3980" s="49" t="n">
        <f aca="false">IFERROR(I3980/H3980,0)</f>
        <v>185.286124355369</v>
      </c>
      <c r="N3980" s="52" t="str">
        <f aca="false">'Model Inputs &amp; Assumptions'!$L$35</f>
        <v>PRD-EUAI</v>
      </c>
      <c r="P3980" s="53" t="n">
        <v>-0.032181</v>
      </c>
      <c r="Q3980" s="53" t="n">
        <v>-1.295807</v>
      </c>
      <c r="R3980" s="53" t="n">
        <v>-0.32569</v>
      </c>
      <c r="S3980" s="53" t="n">
        <v>0.944948</v>
      </c>
    </row>
    <row r="3981" customFormat="false" ht="15" hidden="false" customHeight="false" outlineLevel="0" collapsed="false">
      <c r="A3981" s="43" t="n">
        <v>478</v>
      </c>
      <c r="B3981" s="44" t="str">
        <f aca="false">'Model Inputs &amp; Assumptions'!$B$35</f>
        <v>justETF — Sponsored Listing</v>
      </c>
      <c r="C3981" s="45" t="n">
        <f aca="false">ROUND(MAX(0,'Model Inputs &amp; Assumptions'!$S$35*EXP('Model Inputs &amp; Assumptions'!$T$35*P3981-'Model Inputs &amp; Assumptions'!$T$35^2/2)),0)</f>
        <v>79979</v>
      </c>
      <c r="D3981" s="46" t="n">
        <f aca="false">MIN(1,'Model Inputs &amp; Assumptions'!$U$35*EXP('Model Inputs &amp; Assumptions'!$V$35*Q3981-'Model Inputs &amp; Assumptions'!$V$35^2/2))</f>
        <v>0</v>
      </c>
      <c r="E3981" s="45" t="n">
        <f aca="false">ROUND(C3981*D3981,0)</f>
        <v>0</v>
      </c>
      <c r="F3981" s="47" t="n">
        <f aca="false">MIN(1,'Model Inputs &amp; Assumptions'!$W$35*EXP('Model Inputs &amp; Assumptions'!$X$35*R3981-'Model Inputs &amp; Assumptions'!$X$35^2/2))</f>
        <v>0.00689717237161769</v>
      </c>
      <c r="G3981" s="45" t="n">
        <f aca="false">ROUND(C3981*F3981,0)</f>
        <v>552</v>
      </c>
      <c r="H3981" s="48" t="n">
        <f aca="false">MAX(0,(C3981*'Model Inputs &amp; Assumptions'!$N$35+E3981*'Model Inputs &amp; Assumptions'!$O$35+G3981*'Model Inputs &amp; Assumptions'!$P$35)*EXP('Model Inputs &amp; Assumptions'!$Q$35*S3981-'Model Inputs &amp; Assumptions'!$Q$35^2/2))</f>
        <v>34.6608431167251</v>
      </c>
      <c r="I3981" s="49" t="n">
        <f aca="false">IF('Model Inputs &amp; Assumptions'!$H$35="Fixed",'Model Inputs &amp; Assumptions'!$I$35*'Model Inputs &amp; Assumptions'!$K$35,IF('Model Inputs &amp; Assumptions'!$H$35="CPM",'Model Inputs &amp; Assumptions'!$I$35*'Model Inputs &amp; Assumptions'!$K$35*C3981/1000,IF('Model Inputs &amp; Assumptions'!$H$35="CPC",'Model Inputs &amp; Assumptions'!$I$35*'Model Inputs &amp; Assumptions'!$K$35*G3981,0)))</f>
        <v>8672.8</v>
      </c>
      <c r="J3981" s="50" t="n">
        <f aca="false">H3981*INDEX('Model Inputs &amp; Assumptions'!$D$40:$D$42,MATCH('Model Inputs &amp; Assumptions'!$L$35,'Model Inputs &amp; Assumptions'!$A$40:$A$42,0))*INDEX('Model Inputs &amp; Assumptions'!$H$40:$H$42,MATCH('Model Inputs &amp; Assumptions'!$L$35,'Model Inputs &amp; Assumptions'!$A$40:$A$42,0))</f>
        <v>294617.166492163</v>
      </c>
      <c r="K3981" s="49" t="n">
        <f aca="false">H3981*INDEX('Model Inputs &amp; Assumptions'!$G$40:$G$42,MATCH('Model Inputs &amp; Assumptions'!$L$35,'Model Inputs &amp; Assumptions'!$A$40:$A$42,0))*INDEX('Model Inputs &amp; Assumptions'!$H$40:$H$42,MATCH('Model Inputs &amp; Assumptions'!$L$35,'Model Inputs &amp; Assumptions'!$A$40:$A$42,0))</f>
        <v>6628.88624607367</v>
      </c>
      <c r="L3981" s="51" t="n">
        <f aca="false">IFERROR(K3981/I3981,0)</f>
        <v>0.764330579060242</v>
      </c>
      <c r="M3981" s="49" t="n">
        <f aca="false">IFERROR(I3981/H3981,0)</f>
        <v>250.218956613178</v>
      </c>
      <c r="N3981" s="52" t="str">
        <f aca="false">'Model Inputs &amp; Assumptions'!$L$35</f>
        <v>PRD-EUAI</v>
      </c>
      <c r="P3981" s="53" t="n">
        <v>-0.667416</v>
      </c>
      <c r="Q3981" s="53" t="n">
        <v>-0.362187</v>
      </c>
      <c r="R3981" s="53" t="n">
        <v>0.24502</v>
      </c>
      <c r="S3981" s="53" t="n">
        <v>-0.28799</v>
      </c>
    </row>
    <row r="3982" customFormat="false" ht="15" hidden="false" customHeight="false" outlineLevel="0" collapsed="false">
      <c r="A3982" s="43" t="n">
        <v>479</v>
      </c>
      <c r="B3982" s="44" t="str">
        <f aca="false">'Model Inputs &amp; Assumptions'!$B$35</f>
        <v>justETF — Sponsored Listing</v>
      </c>
      <c r="C3982" s="45" t="n">
        <f aca="false">ROUND(MAX(0,'Model Inputs &amp; Assumptions'!$S$35*EXP('Model Inputs &amp; Assumptions'!$T$35*P3982-'Model Inputs &amp; Assumptions'!$T$35^2/2)),0)</f>
        <v>105674</v>
      </c>
      <c r="D3982" s="46" t="n">
        <f aca="false">MIN(1,'Model Inputs &amp; Assumptions'!$U$35*EXP('Model Inputs &amp; Assumptions'!$V$35*Q3982-'Model Inputs &amp; Assumptions'!$V$35^2/2))</f>
        <v>0</v>
      </c>
      <c r="E3982" s="45" t="n">
        <f aca="false">ROUND(C3982*D3982,0)</f>
        <v>0</v>
      </c>
      <c r="F3982" s="47" t="n">
        <f aca="false">MIN(1,'Model Inputs &amp; Assumptions'!$W$35*EXP('Model Inputs &amp; Assumptions'!$X$35*R3982-'Model Inputs &amp; Assumptions'!$X$35^2/2))</f>
        <v>0.0058676999540411</v>
      </c>
      <c r="G3982" s="45" t="n">
        <f aca="false">ROUND(C3982*F3982,0)</f>
        <v>620</v>
      </c>
      <c r="H3982" s="48" t="n">
        <f aca="false">MAX(0,(C3982*'Model Inputs &amp; Assumptions'!$N$35+E3982*'Model Inputs &amp; Assumptions'!$O$35+G3982*'Model Inputs &amp; Assumptions'!$P$35)*EXP('Model Inputs &amp; Assumptions'!$Q$35*S3982-'Model Inputs &amp; Assumptions'!$Q$35^2/2))</f>
        <v>44.9987774267297</v>
      </c>
      <c r="I3982" s="49" t="n">
        <f aca="false">IF('Model Inputs &amp; Assumptions'!$H$35="Fixed",'Model Inputs &amp; Assumptions'!$I$35*'Model Inputs &amp; Assumptions'!$K$35,IF('Model Inputs &amp; Assumptions'!$H$35="CPM",'Model Inputs &amp; Assumptions'!$I$35*'Model Inputs &amp; Assumptions'!$K$35*C3982/1000,IF('Model Inputs &amp; Assumptions'!$H$35="CPC",'Model Inputs &amp; Assumptions'!$I$35*'Model Inputs &amp; Assumptions'!$K$35*G3982,0)))</f>
        <v>8672.8</v>
      </c>
      <c r="J3982" s="50" t="n">
        <f aca="false">H3982*INDEX('Model Inputs &amp; Assumptions'!$D$40:$D$42,MATCH('Model Inputs &amp; Assumptions'!$L$35,'Model Inputs &amp; Assumptions'!$A$40:$A$42,0))*INDEX('Model Inputs &amp; Assumptions'!$H$40:$H$42,MATCH('Model Inputs &amp; Assumptions'!$L$35,'Model Inputs &amp; Assumptions'!$A$40:$A$42,0))</f>
        <v>382489.608127203</v>
      </c>
      <c r="K3982" s="49" t="n">
        <f aca="false">H3982*INDEX('Model Inputs &amp; Assumptions'!$G$40:$G$42,MATCH('Model Inputs &amp; Assumptions'!$L$35,'Model Inputs &amp; Assumptions'!$A$40:$A$42,0))*INDEX('Model Inputs &amp; Assumptions'!$H$40:$H$42,MATCH('Model Inputs &amp; Assumptions'!$L$35,'Model Inputs &amp; Assumptions'!$A$40:$A$42,0))</f>
        <v>8606.01618286206</v>
      </c>
      <c r="L3982" s="51" t="n">
        <f aca="false">IFERROR(K3982/I3982,0)</f>
        <v>0.992299624442171</v>
      </c>
      <c r="M3982" s="49" t="n">
        <f aca="false">IFERROR(I3982/H3982,0)</f>
        <v>192.734125146437</v>
      </c>
      <c r="N3982" s="52" t="str">
        <f aca="false">'Model Inputs &amp; Assumptions'!$L$35</f>
        <v>PRD-EUAI</v>
      </c>
      <c r="P3982" s="53" t="n">
        <v>1.189941</v>
      </c>
      <c r="Q3982" s="53" t="n">
        <v>-1.335554</v>
      </c>
      <c r="R3982" s="53" t="n">
        <v>-0.563224</v>
      </c>
      <c r="S3982" s="53" t="n">
        <v>0.269138</v>
      </c>
    </row>
    <row r="3983" customFormat="false" ht="15" hidden="false" customHeight="false" outlineLevel="0" collapsed="false">
      <c r="A3983" s="43" t="n">
        <v>480</v>
      </c>
      <c r="B3983" s="44" t="str">
        <f aca="false">'Model Inputs &amp; Assumptions'!$B$35</f>
        <v>justETF — Sponsored Listing</v>
      </c>
      <c r="C3983" s="45" t="n">
        <f aca="false">ROUND(MAX(0,'Model Inputs &amp; Assumptions'!$S$35*EXP('Model Inputs &amp; Assumptions'!$T$35*P3983-'Model Inputs &amp; Assumptions'!$T$35^2/2)),0)</f>
        <v>83420</v>
      </c>
      <c r="D3983" s="46" t="n">
        <f aca="false">MIN(1,'Model Inputs &amp; Assumptions'!$U$35*EXP('Model Inputs &amp; Assumptions'!$V$35*Q3983-'Model Inputs &amp; Assumptions'!$V$35^2/2))</f>
        <v>0</v>
      </c>
      <c r="E3983" s="45" t="n">
        <f aca="false">ROUND(C3983*D3983,0)</f>
        <v>0</v>
      </c>
      <c r="F3983" s="47" t="n">
        <f aca="false">MIN(1,'Model Inputs &amp; Assumptions'!$W$35*EXP('Model Inputs &amp; Assumptions'!$X$35*R3983-'Model Inputs &amp; Assumptions'!$X$35^2/2))</f>
        <v>0.00701352428933084</v>
      </c>
      <c r="G3983" s="45" t="n">
        <f aca="false">ROUND(C3983*F3983,0)</f>
        <v>585</v>
      </c>
      <c r="H3983" s="48" t="n">
        <f aca="false">MAX(0,(C3983*'Model Inputs &amp; Assumptions'!$N$35+E3983*'Model Inputs &amp; Assumptions'!$O$35+G3983*'Model Inputs &amp; Assumptions'!$P$35)*EXP('Model Inputs &amp; Assumptions'!$Q$35*S3983-'Model Inputs &amp; Assumptions'!$Q$35^2/2))</f>
        <v>48.4469744870433</v>
      </c>
      <c r="I3983" s="49" t="n">
        <f aca="false">IF('Model Inputs &amp; Assumptions'!$H$35="Fixed",'Model Inputs &amp; Assumptions'!$I$35*'Model Inputs &amp; Assumptions'!$K$35,IF('Model Inputs &amp; Assumptions'!$H$35="CPM",'Model Inputs &amp; Assumptions'!$I$35*'Model Inputs &amp; Assumptions'!$K$35*C3983/1000,IF('Model Inputs &amp; Assumptions'!$H$35="CPC",'Model Inputs &amp; Assumptions'!$I$35*'Model Inputs &amp; Assumptions'!$K$35*G3983,0)))</f>
        <v>8672.8</v>
      </c>
      <c r="J3983" s="50" t="n">
        <f aca="false">H3983*INDEX('Model Inputs &amp; Assumptions'!$D$40:$D$42,MATCH('Model Inputs &amp; Assumptions'!$L$35,'Model Inputs &amp; Assumptions'!$A$40:$A$42,0))*INDEX('Model Inputs &amp; Assumptions'!$H$40:$H$42,MATCH('Model Inputs &amp; Assumptions'!$L$35,'Model Inputs &amp; Assumptions'!$A$40:$A$42,0))</f>
        <v>411799.283139868</v>
      </c>
      <c r="K3983" s="49" t="n">
        <f aca="false">H3983*INDEX('Model Inputs &amp; Assumptions'!$G$40:$G$42,MATCH('Model Inputs &amp; Assumptions'!$L$35,'Model Inputs &amp; Assumptions'!$A$40:$A$42,0))*INDEX('Model Inputs &amp; Assumptions'!$H$40:$H$42,MATCH('Model Inputs &amp; Assumptions'!$L$35,'Model Inputs &amp; Assumptions'!$A$40:$A$42,0))</f>
        <v>9265.48387064702</v>
      </c>
      <c r="L3983" s="51" t="n">
        <f aca="false">IFERROR(K3983/I3983,0)</f>
        <v>1.06833823801391</v>
      </c>
      <c r="M3983" s="49" t="n">
        <f aca="false">IFERROR(I3983/H3983,0)</f>
        <v>179.016338828743</v>
      </c>
      <c r="N3983" s="52" t="str">
        <f aca="false">'Model Inputs &amp; Assumptions'!$L$35</f>
        <v>PRD-EUAI</v>
      </c>
      <c r="P3983" s="53" t="n">
        <v>-0.386574</v>
      </c>
      <c r="Q3983" s="53" t="n">
        <v>1.278723</v>
      </c>
      <c r="R3983" s="53" t="n">
        <v>0.328664</v>
      </c>
      <c r="S3983" s="53" t="n">
        <v>0.776608</v>
      </c>
    </row>
    <row r="3984" customFormat="false" ht="15" hidden="false" customHeight="false" outlineLevel="0" collapsed="false">
      <c r="A3984" s="43" t="n">
        <v>481</v>
      </c>
      <c r="B3984" s="44" t="str">
        <f aca="false">'Model Inputs &amp; Assumptions'!$B$35</f>
        <v>justETF — Sponsored Listing</v>
      </c>
      <c r="C3984" s="45" t="n">
        <f aca="false">ROUND(MAX(0,'Model Inputs &amp; Assumptions'!$S$35*EXP('Model Inputs &amp; Assumptions'!$T$35*P3984-'Model Inputs &amp; Assumptions'!$T$35^2/2)),0)</f>
        <v>73393</v>
      </c>
      <c r="D3984" s="46" t="n">
        <f aca="false">MIN(1,'Model Inputs &amp; Assumptions'!$U$35*EXP('Model Inputs &amp; Assumptions'!$V$35*Q3984-'Model Inputs &amp; Assumptions'!$V$35^2/2))</f>
        <v>0</v>
      </c>
      <c r="E3984" s="45" t="n">
        <f aca="false">ROUND(C3984*D3984,0)</f>
        <v>0</v>
      </c>
      <c r="F3984" s="47" t="n">
        <f aca="false">MIN(1,'Model Inputs &amp; Assumptions'!$W$35*EXP('Model Inputs &amp; Assumptions'!$X$35*R3984-'Model Inputs &amp; Assumptions'!$X$35^2/2))</f>
        <v>0.00600240922658148</v>
      </c>
      <c r="G3984" s="45" t="n">
        <f aca="false">ROUND(C3984*F3984,0)</f>
        <v>441</v>
      </c>
      <c r="H3984" s="48" t="n">
        <f aca="false">MAX(0,(C3984*'Model Inputs &amp; Assumptions'!$N$35+E3984*'Model Inputs &amp; Assumptions'!$O$35+G3984*'Model Inputs &amp; Assumptions'!$P$35)*EXP('Model Inputs &amp; Assumptions'!$Q$35*S3984-'Model Inputs &amp; Assumptions'!$Q$35^2/2))</f>
        <v>30.2165787357301</v>
      </c>
      <c r="I3984" s="49" t="n">
        <f aca="false">IF('Model Inputs &amp; Assumptions'!$H$35="Fixed",'Model Inputs &amp; Assumptions'!$I$35*'Model Inputs &amp; Assumptions'!$K$35,IF('Model Inputs &amp; Assumptions'!$H$35="CPM",'Model Inputs &amp; Assumptions'!$I$35*'Model Inputs &amp; Assumptions'!$K$35*C3984/1000,IF('Model Inputs &amp; Assumptions'!$H$35="CPC",'Model Inputs &amp; Assumptions'!$I$35*'Model Inputs &amp; Assumptions'!$K$35*G3984,0)))</f>
        <v>8672.8</v>
      </c>
      <c r="J3984" s="50" t="n">
        <f aca="false">H3984*INDEX('Model Inputs &amp; Assumptions'!$D$40:$D$42,MATCH('Model Inputs &amp; Assumptions'!$L$35,'Model Inputs &amp; Assumptions'!$A$40:$A$42,0))*INDEX('Model Inputs &amp; Assumptions'!$H$40:$H$42,MATCH('Model Inputs &amp; Assumptions'!$L$35,'Model Inputs &amp; Assumptions'!$A$40:$A$42,0))</f>
        <v>256840.919253706</v>
      </c>
      <c r="K3984" s="49" t="n">
        <f aca="false">H3984*INDEX('Model Inputs &amp; Assumptions'!$G$40:$G$42,MATCH('Model Inputs &amp; Assumptions'!$L$35,'Model Inputs &amp; Assumptions'!$A$40:$A$42,0))*INDEX('Model Inputs &amp; Assumptions'!$H$40:$H$42,MATCH('Model Inputs &amp; Assumptions'!$L$35,'Model Inputs &amp; Assumptions'!$A$40:$A$42,0))</f>
        <v>5778.92068320838</v>
      </c>
      <c r="L3984" s="51" t="n">
        <f aca="false">IFERROR(K3984/I3984,0)</f>
        <v>0.666326985887877</v>
      </c>
      <c r="M3984" s="49" t="n">
        <f aca="false">IFERROR(I3984/H3984,0)</f>
        <v>287.021243399231</v>
      </c>
      <c r="N3984" s="52" t="str">
        <f aca="false">'Model Inputs &amp; Assumptions'!$L$35</f>
        <v>PRD-EUAI</v>
      </c>
      <c r="P3984" s="53" t="n">
        <v>-1.240325</v>
      </c>
      <c r="Q3984" s="53" t="n">
        <v>0.292963</v>
      </c>
      <c r="R3984" s="53" t="n">
        <v>-0.449733</v>
      </c>
      <c r="S3984" s="53" t="n">
        <v>0.047715</v>
      </c>
    </row>
    <row r="3985" customFormat="false" ht="15" hidden="false" customHeight="false" outlineLevel="0" collapsed="false">
      <c r="A3985" s="43" t="n">
        <v>482</v>
      </c>
      <c r="B3985" s="44" t="str">
        <f aca="false">'Model Inputs &amp; Assumptions'!$B$35</f>
        <v>justETF — Sponsored Listing</v>
      </c>
      <c r="C3985" s="45" t="n">
        <f aca="false">ROUND(MAX(0,'Model Inputs &amp; Assumptions'!$S$35*EXP('Model Inputs &amp; Assumptions'!$T$35*P3985-'Model Inputs &amp; Assumptions'!$T$35^2/2)),0)</f>
        <v>73446</v>
      </c>
      <c r="D3985" s="46" t="n">
        <f aca="false">MIN(1,'Model Inputs &amp; Assumptions'!$U$35*EXP('Model Inputs &amp; Assumptions'!$V$35*Q3985-'Model Inputs &amp; Assumptions'!$V$35^2/2))</f>
        <v>0</v>
      </c>
      <c r="E3985" s="45" t="n">
        <f aca="false">ROUND(C3985*D3985,0)</f>
        <v>0</v>
      </c>
      <c r="F3985" s="47" t="n">
        <f aca="false">MIN(1,'Model Inputs &amp; Assumptions'!$W$35*EXP('Model Inputs &amp; Assumptions'!$X$35*R3985-'Model Inputs &amp; Assumptions'!$X$35^2/2))</f>
        <v>0.00631284297877597</v>
      </c>
      <c r="G3985" s="45" t="n">
        <f aca="false">ROUND(C3985*F3985,0)</f>
        <v>464</v>
      </c>
      <c r="H3985" s="48" t="n">
        <f aca="false">MAX(0,(C3985*'Model Inputs &amp; Assumptions'!$N$35+E3985*'Model Inputs &amp; Assumptions'!$O$35+G3985*'Model Inputs &amp; Assumptions'!$P$35)*EXP('Model Inputs &amp; Assumptions'!$Q$35*S3985-'Model Inputs &amp; Assumptions'!$Q$35^2/2))</f>
        <v>28.3177205149157</v>
      </c>
      <c r="I3985" s="49" t="n">
        <f aca="false">IF('Model Inputs &amp; Assumptions'!$H$35="Fixed",'Model Inputs &amp; Assumptions'!$I$35*'Model Inputs &amp; Assumptions'!$K$35,IF('Model Inputs &amp; Assumptions'!$H$35="CPM",'Model Inputs &amp; Assumptions'!$I$35*'Model Inputs &amp; Assumptions'!$K$35*C3985/1000,IF('Model Inputs &amp; Assumptions'!$H$35="CPC",'Model Inputs &amp; Assumptions'!$I$35*'Model Inputs &amp; Assumptions'!$K$35*G3985,0)))</f>
        <v>8672.8</v>
      </c>
      <c r="J3985" s="50" t="n">
        <f aca="false">H3985*INDEX('Model Inputs &amp; Assumptions'!$D$40:$D$42,MATCH('Model Inputs &amp; Assumptions'!$L$35,'Model Inputs &amp; Assumptions'!$A$40:$A$42,0))*INDEX('Model Inputs &amp; Assumptions'!$H$40:$H$42,MATCH('Model Inputs &amp; Assumptions'!$L$35,'Model Inputs &amp; Assumptions'!$A$40:$A$42,0))</f>
        <v>240700.624376784</v>
      </c>
      <c r="K3985" s="49" t="n">
        <f aca="false">H3985*INDEX('Model Inputs &amp; Assumptions'!$G$40:$G$42,MATCH('Model Inputs &amp; Assumptions'!$L$35,'Model Inputs &amp; Assumptions'!$A$40:$A$42,0))*INDEX('Model Inputs &amp; Assumptions'!$H$40:$H$42,MATCH('Model Inputs &amp; Assumptions'!$L$35,'Model Inputs &amp; Assumptions'!$A$40:$A$42,0))</f>
        <v>5415.76404847763</v>
      </c>
      <c r="L3985" s="51" t="n">
        <f aca="false">IFERROR(K3985/I3985,0)</f>
        <v>0.624453930504293</v>
      </c>
      <c r="M3985" s="49" t="n">
        <f aca="false">IFERROR(I3985/H3985,0)</f>
        <v>306.267589420971</v>
      </c>
      <c r="N3985" s="52" t="str">
        <f aca="false">'Model Inputs &amp; Assumptions'!$L$35</f>
        <v>PRD-EUAI</v>
      </c>
      <c r="P3985" s="53" t="n">
        <v>-1.235511</v>
      </c>
      <c r="Q3985" s="53" t="n">
        <v>-1.04948</v>
      </c>
      <c r="R3985" s="53" t="n">
        <v>-0.197607</v>
      </c>
      <c r="S3985" s="53" t="n">
        <v>-0.397449</v>
      </c>
    </row>
    <row r="3986" customFormat="false" ht="15" hidden="false" customHeight="false" outlineLevel="0" collapsed="false">
      <c r="A3986" s="43" t="n">
        <v>483</v>
      </c>
      <c r="B3986" s="44" t="str">
        <f aca="false">'Model Inputs &amp; Assumptions'!$B$35</f>
        <v>justETF — Sponsored Listing</v>
      </c>
      <c r="C3986" s="45" t="n">
        <f aca="false">ROUND(MAX(0,'Model Inputs &amp; Assumptions'!$S$35*EXP('Model Inputs &amp; Assumptions'!$T$35*P3986-'Model Inputs &amp; Assumptions'!$T$35^2/2)),0)</f>
        <v>96337</v>
      </c>
      <c r="D3986" s="46" t="n">
        <f aca="false">MIN(1,'Model Inputs &amp; Assumptions'!$U$35*EXP('Model Inputs &amp; Assumptions'!$V$35*Q3986-'Model Inputs &amp; Assumptions'!$V$35^2/2))</f>
        <v>0</v>
      </c>
      <c r="E3986" s="45" t="n">
        <f aca="false">ROUND(C3986*D3986,0)</f>
        <v>0</v>
      </c>
      <c r="F3986" s="47" t="n">
        <f aca="false">MIN(1,'Model Inputs &amp; Assumptions'!$W$35*EXP('Model Inputs &amp; Assumptions'!$X$35*R3986-'Model Inputs &amp; Assumptions'!$X$35^2/2))</f>
        <v>0.00602316775695193</v>
      </c>
      <c r="G3986" s="45" t="n">
        <f aca="false">ROUND(C3986*F3986,0)</f>
        <v>580</v>
      </c>
      <c r="H3986" s="48" t="n">
        <f aca="false">MAX(0,(C3986*'Model Inputs &amp; Assumptions'!$N$35+E3986*'Model Inputs &amp; Assumptions'!$O$35+G3986*'Model Inputs &amp; Assumptions'!$P$35)*EXP('Model Inputs &amp; Assumptions'!$Q$35*S3986-'Model Inputs &amp; Assumptions'!$Q$35^2/2))</f>
        <v>36.5338229111144</v>
      </c>
      <c r="I3986" s="49" t="n">
        <f aca="false">IF('Model Inputs &amp; Assumptions'!$H$35="Fixed",'Model Inputs &amp; Assumptions'!$I$35*'Model Inputs &amp; Assumptions'!$K$35,IF('Model Inputs &amp; Assumptions'!$H$35="CPM",'Model Inputs &amp; Assumptions'!$I$35*'Model Inputs &amp; Assumptions'!$K$35*C3986/1000,IF('Model Inputs &amp; Assumptions'!$H$35="CPC",'Model Inputs &amp; Assumptions'!$I$35*'Model Inputs &amp; Assumptions'!$K$35*G3986,0)))</f>
        <v>8672.8</v>
      </c>
      <c r="J3986" s="50" t="n">
        <f aca="false">H3986*INDEX('Model Inputs &amp; Assumptions'!$D$40:$D$42,MATCH('Model Inputs &amp; Assumptions'!$L$35,'Model Inputs &amp; Assumptions'!$A$40:$A$42,0))*INDEX('Model Inputs &amp; Assumptions'!$H$40:$H$42,MATCH('Model Inputs &amp; Assumptions'!$L$35,'Model Inputs &amp; Assumptions'!$A$40:$A$42,0))</f>
        <v>310537.494744473</v>
      </c>
      <c r="K3986" s="49" t="n">
        <f aca="false">H3986*INDEX('Model Inputs &amp; Assumptions'!$G$40:$G$42,MATCH('Model Inputs &amp; Assumptions'!$L$35,'Model Inputs &amp; Assumptions'!$A$40:$A$42,0))*INDEX('Model Inputs &amp; Assumptions'!$H$40:$H$42,MATCH('Model Inputs &amp; Assumptions'!$L$35,'Model Inputs &amp; Assumptions'!$A$40:$A$42,0))</f>
        <v>6987.09363175063</v>
      </c>
      <c r="L3986" s="51" t="n">
        <f aca="false">IFERROR(K3986/I3986,0)</f>
        <v>0.805632971099372</v>
      </c>
      <c r="M3986" s="49" t="n">
        <f aca="false">IFERROR(I3986/H3986,0)</f>
        <v>237.390979342639</v>
      </c>
      <c r="N3986" s="52" t="str">
        <f aca="false">'Model Inputs &amp; Assumptions'!$L$35</f>
        <v>PRD-EUAI</v>
      </c>
      <c r="P3986" s="53" t="n">
        <v>0.573195</v>
      </c>
      <c r="Q3986" s="53" t="n">
        <v>-0.683191</v>
      </c>
      <c r="R3986" s="53" t="n">
        <v>-0.432471</v>
      </c>
      <c r="S3986" s="53" t="n">
        <v>-0.275883</v>
      </c>
    </row>
    <row r="3987" customFormat="false" ht="15" hidden="false" customHeight="false" outlineLevel="0" collapsed="false">
      <c r="A3987" s="43" t="n">
        <v>484</v>
      </c>
      <c r="B3987" s="44" t="str">
        <f aca="false">'Model Inputs &amp; Assumptions'!$B$35</f>
        <v>justETF — Sponsored Listing</v>
      </c>
      <c r="C3987" s="45" t="n">
        <f aca="false">ROUND(MAX(0,'Model Inputs &amp; Assumptions'!$S$35*EXP('Model Inputs &amp; Assumptions'!$T$35*P3987-'Model Inputs &amp; Assumptions'!$T$35^2/2)),0)</f>
        <v>93263</v>
      </c>
      <c r="D3987" s="46" t="n">
        <f aca="false">MIN(1,'Model Inputs &amp; Assumptions'!$U$35*EXP('Model Inputs &amp; Assumptions'!$V$35*Q3987-'Model Inputs &amp; Assumptions'!$V$35^2/2))</f>
        <v>0</v>
      </c>
      <c r="E3987" s="45" t="n">
        <f aca="false">ROUND(C3987*D3987,0)</f>
        <v>0</v>
      </c>
      <c r="F3987" s="47" t="n">
        <f aca="false">MIN(1,'Model Inputs &amp; Assumptions'!$W$35*EXP('Model Inputs &amp; Assumptions'!$X$35*R3987-'Model Inputs &amp; Assumptions'!$X$35^2/2))</f>
        <v>0.0048211646446543</v>
      </c>
      <c r="G3987" s="45" t="n">
        <f aca="false">ROUND(C3987*F3987,0)</f>
        <v>450</v>
      </c>
      <c r="H3987" s="48" t="n">
        <f aca="false">MAX(0,(C3987*'Model Inputs &amp; Assumptions'!$N$35+E3987*'Model Inputs &amp; Assumptions'!$O$35+G3987*'Model Inputs &amp; Assumptions'!$P$35)*EXP('Model Inputs &amp; Assumptions'!$Q$35*S3987-'Model Inputs &amp; Assumptions'!$Q$35^2/2))</f>
        <v>27.5012700111993</v>
      </c>
      <c r="I3987" s="49" t="n">
        <f aca="false">IF('Model Inputs &amp; Assumptions'!$H$35="Fixed",'Model Inputs &amp; Assumptions'!$I$35*'Model Inputs &amp; Assumptions'!$K$35,IF('Model Inputs &amp; Assumptions'!$H$35="CPM",'Model Inputs &amp; Assumptions'!$I$35*'Model Inputs &amp; Assumptions'!$K$35*C3987/1000,IF('Model Inputs &amp; Assumptions'!$H$35="CPC",'Model Inputs &amp; Assumptions'!$I$35*'Model Inputs &amp; Assumptions'!$K$35*G3987,0)))</f>
        <v>8672.8</v>
      </c>
      <c r="J3987" s="50" t="n">
        <f aca="false">H3987*INDEX('Model Inputs &amp; Assumptions'!$D$40:$D$42,MATCH('Model Inputs &amp; Assumptions'!$L$35,'Model Inputs &amp; Assumptions'!$A$40:$A$42,0))*INDEX('Model Inputs &amp; Assumptions'!$H$40:$H$42,MATCH('Model Inputs &amp; Assumptions'!$L$35,'Model Inputs &amp; Assumptions'!$A$40:$A$42,0))</f>
        <v>233760.795095194</v>
      </c>
      <c r="K3987" s="49" t="n">
        <f aca="false">H3987*INDEX('Model Inputs &amp; Assumptions'!$G$40:$G$42,MATCH('Model Inputs &amp; Assumptions'!$L$35,'Model Inputs &amp; Assumptions'!$A$40:$A$42,0))*INDEX('Model Inputs &amp; Assumptions'!$H$40:$H$42,MATCH('Model Inputs &amp; Assumptions'!$L$35,'Model Inputs &amp; Assumptions'!$A$40:$A$42,0))</f>
        <v>5259.61788964186</v>
      </c>
      <c r="L3987" s="51" t="n">
        <f aca="false">IFERROR(K3987/I3987,0)</f>
        <v>0.606449807402668</v>
      </c>
      <c r="M3987" s="49" t="n">
        <f aca="false">IFERROR(I3987/H3987,0)</f>
        <v>315.359981428792</v>
      </c>
      <c r="N3987" s="52" t="str">
        <f aca="false">'Model Inputs &amp; Assumptions'!$L$35</f>
        <v>PRD-EUAI</v>
      </c>
      <c r="P3987" s="53" t="n">
        <v>0.357051</v>
      </c>
      <c r="Q3987" s="53" t="n">
        <v>0.00726</v>
      </c>
      <c r="R3987" s="53" t="n">
        <v>-1.54546</v>
      </c>
      <c r="S3987" s="53" t="n">
        <v>-0.392136</v>
      </c>
    </row>
    <row r="3988" customFormat="false" ht="15" hidden="false" customHeight="false" outlineLevel="0" collapsed="false">
      <c r="A3988" s="43" t="n">
        <v>485</v>
      </c>
      <c r="B3988" s="44" t="str">
        <f aca="false">'Model Inputs &amp; Assumptions'!$B$35</f>
        <v>justETF — Sponsored Listing</v>
      </c>
      <c r="C3988" s="45" t="n">
        <f aca="false">ROUND(MAX(0,'Model Inputs &amp; Assumptions'!$S$35*EXP('Model Inputs &amp; Assumptions'!$T$35*P3988-'Model Inputs &amp; Assumptions'!$T$35^2/2)),0)</f>
        <v>101785</v>
      </c>
      <c r="D3988" s="46" t="n">
        <f aca="false">MIN(1,'Model Inputs &amp; Assumptions'!$U$35*EXP('Model Inputs &amp; Assumptions'!$V$35*Q3988-'Model Inputs &amp; Assumptions'!$V$35^2/2))</f>
        <v>0</v>
      </c>
      <c r="E3988" s="45" t="n">
        <f aca="false">ROUND(C3988*D3988,0)</f>
        <v>0</v>
      </c>
      <c r="F3988" s="47" t="n">
        <f aca="false">MIN(1,'Model Inputs &amp; Assumptions'!$W$35*EXP('Model Inputs &amp; Assumptions'!$X$35*R3988-'Model Inputs &amp; Assumptions'!$X$35^2/2))</f>
        <v>0.00893356674247995</v>
      </c>
      <c r="G3988" s="45" t="n">
        <f aca="false">ROUND(C3988*F3988,0)</f>
        <v>909</v>
      </c>
      <c r="H3988" s="48" t="n">
        <f aca="false">MAX(0,(C3988*'Model Inputs &amp; Assumptions'!$N$35+E3988*'Model Inputs &amp; Assumptions'!$O$35+G3988*'Model Inputs &amp; Assumptions'!$P$35)*EXP('Model Inputs &amp; Assumptions'!$Q$35*S3988-'Model Inputs &amp; Assumptions'!$Q$35^2/2))</f>
        <v>92.0850878212422</v>
      </c>
      <c r="I3988" s="49" t="n">
        <f aca="false">IF('Model Inputs &amp; Assumptions'!$H$35="Fixed",'Model Inputs &amp; Assumptions'!$I$35*'Model Inputs &amp; Assumptions'!$K$35,IF('Model Inputs &amp; Assumptions'!$H$35="CPM",'Model Inputs &amp; Assumptions'!$I$35*'Model Inputs &amp; Assumptions'!$K$35*C3988/1000,IF('Model Inputs &amp; Assumptions'!$H$35="CPC",'Model Inputs &amp; Assumptions'!$I$35*'Model Inputs &amp; Assumptions'!$K$35*G3988,0)))</f>
        <v>8672.8</v>
      </c>
      <c r="J3988" s="50" t="n">
        <f aca="false">H3988*INDEX('Model Inputs &amp; Assumptions'!$D$40:$D$42,MATCH('Model Inputs &amp; Assumptions'!$L$35,'Model Inputs &amp; Assumptions'!$A$40:$A$42,0))*INDEX('Model Inputs &amp; Assumptions'!$H$40:$H$42,MATCH('Model Inputs &amp; Assumptions'!$L$35,'Model Inputs &amp; Assumptions'!$A$40:$A$42,0))</f>
        <v>782723.246480559</v>
      </c>
      <c r="K3988" s="49" t="n">
        <f aca="false">H3988*INDEX('Model Inputs &amp; Assumptions'!$G$40:$G$42,MATCH('Model Inputs &amp; Assumptions'!$L$35,'Model Inputs &amp; Assumptions'!$A$40:$A$42,0))*INDEX('Model Inputs &amp; Assumptions'!$H$40:$H$42,MATCH('Model Inputs &amp; Assumptions'!$L$35,'Model Inputs &amp; Assumptions'!$A$40:$A$42,0))</f>
        <v>17611.2730458126</v>
      </c>
      <c r="L3988" s="51" t="n">
        <f aca="false">IFERROR(K3988/I3988,0)</f>
        <v>2.03063290353895</v>
      </c>
      <c r="M3988" s="49" t="n">
        <f aca="false">IFERROR(I3988/H3988,0)</f>
        <v>94.1824589105659</v>
      </c>
      <c r="N3988" s="52" t="str">
        <f aca="false">'Model Inputs &amp; Assumptions'!$L$35</f>
        <v>PRD-EUAI</v>
      </c>
      <c r="P3988" s="53" t="n">
        <v>0.939941</v>
      </c>
      <c r="Q3988" s="53" t="n">
        <v>-1.004395</v>
      </c>
      <c r="R3988" s="53" t="n">
        <v>1.538541</v>
      </c>
      <c r="S3988" s="53" t="n">
        <v>1.551646</v>
      </c>
    </row>
    <row r="3989" customFormat="false" ht="15" hidden="false" customHeight="false" outlineLevel="0" collapsed="false">
      <c r="A3989" s="43" t="n">
        <v>486</v>
      </c>
      <c r="B3989" s="44" t="str">
        <f aca="false">'Model Inputs &amp; Assumptions'!$B$35</f>
        <v>justETF — Sponsored Listing</v>
      </c>
      <c r="C3989" s="45" t="n">
        <f aca="false">ROUND(MAX(0,'Model Inputs &amp; Assumptions'!$S$35*EXP('Model Inputs &amp; Assumptions'!$T$35*P3989-'Model Inputs &amp; Assumptions'!$T$35^2/2)),0)</f>
        <v>88788</v>
      </c>
      <c r="D3989" s="46" t="n">
        <f aca="false">MIN(1,'Model Inputs &amp; Assumptions'!$U$35*EXP('Model Inputs &amp; Assumptions'!$V$35*Q3989-'Model Inputs &amp; Assumptions'!$V$35^2/2))</f>
        <v>0</v>
      </c>
      <c r="E3989" s="45" t="n">
        <f aca="false">ROUND(C3989*D3989,0)</f>
        <v>0</v>
      </c>
      <c r="F3989" s="47" t="n">
        <f aca="false">MIN(1,'Model Inputs &amp; Assumptions'!$W$35*EXP('Model Inputs &amp; Assumptions'!$X$35*R3989-'Model Inputs &amp; Assumptions'!$X$35^2/2))</f>
        <v>0.00771168049143068</v>
      </c>
      <c r="G3989" s="45" t="n">
        <f aca="false">ROUND(C3989*F3989,0)</f>
        <v>685</v>
      </c>
      <c r="H3989" s="48" t="n">
        <f aca="false">MAX(0,(C3989*'Model Inputs &amp; Assumptions'!$N$35+E3989*'Model Inputs &amp; Assumptions'!$O$35+G3989*'Model Inputs &amp; Assumptions'!$P$35)*EXP('Model Inputs &amp; Assumptions'!$Q$35*S3989-'Model Inputs &amp; Assumptions'!$Q$35^2/2))</f>
        <v>51.0842689424094</v>
      </c>
      <c r="I3989" s="49" t="n">
        <f aca="false">IF('Model Inputs &amp; Assumptions'!$H$35="Fixed",'Model Inputs &amp; Assumptions'!$I$35*'Model Inputs &amp; Assumptions'!$K$35,IF('Model Inputs &amp; Assumptions'!$H$35="CPM",'Model Inputs &amp; Assumptions'!$I$35*'Model Inputs &amp; Assumptions'!$K$35*C3989/1000,IF('Model Inputs &amp; Assumptions'!$H$35="CPC",'Model Inputs &amp; Assumptions'!$I$35*'Model Inputs &amp; Assumptions'!$K$35*G3989,0)))</f>
        <v>8672.8</v>
      </c>
      <c r="J3989" s="50" t="n">
        <f aca="false">H3989*INDEX('Model Inputs &amp; Assumptions'!$D$40:$D$42,MATCH('Model Inputs &amp; Assumptions'!$L$35,'Model Inputs &amp; Assumptions'!$A$40:$A$42,0))*INDEX('Model Inputs &amp; Assumptions'!$H$40:$H$42,MATCH('Model Inputs &amp; Assumptions'!$L$35,'Model Inputs &amp; Assumptions'!$A$40:$A$42,0))</f>
        <v>434216.28601048</v>
      </c>
      <c r="K3989" s="49" t="n">
        <f aca="false">H3989*INDEX('Model Inputs &amp; Assumptions'!$G$40:$G$42,MATCH('Model Inputs &amp; Assumptions'!$L$35,'Model Inputs &amp; Assumptions'!$A$40:$A$42,0))*INDEX('Model Inputs &amp; Assumptions'!$H$40:$H$42,MATCH('Model Inputs &amp; Assumptions'!$L$35,'Model Inputs &amp; Assumptions'!$A$40:$A$42,0))</f>
        <v>9769.86643523579</v>
      </c>
      <c r="L3989" s="51" t="n">
        <f aca="false">IFERROR(K3989/I3989,0)</f>
        <v>1.12649506909369</v>
      </c>
      <c r="M3989" s="49" t="n">
        <f aca="false">IFERROR(I3989/H3989,0)</f>
        <v>169.774378288107</v>
      </c>
      <c r="N3989" s="52" t="str">
        <f aca="false">'Model Inputs &amp; Assumptions'!$L$35</f>
        <v>PRD-EUAI</v>
      </c>
      <c r="P3989" s="53" t="n">
        <v>0.029215</v>
      </c>
      <c r="Q3989" s="53" t="n">
        <v>1.0979</v>
      </c>
      <c r="R3989" s="53" t="n">
        <v>0.803143</v>
      </c>
      <c r="S3989" s="53" t="n">
        <v>0.37353</v>
      </c>
    </row>
    <row r="3990" customFormat="false" ht="15" hidden="false" customHeight="false" outlineLevel="0" collapsed="false">
      <c r="A3990" s="43" t="n">
        <v>487</v>
      </c>
      <c r="B3990" s="44" t="str">
        <f aca="false">'Model Inputs &amp; Assumptions'!$B$35</f>
        <v>justETF — Sponsored Listing</v>
      </c>
      <c r="C3990" s="45" t="n">
        <f aca="false">ROUND(MAX(0,'Model Inputs &amp; Assumptions'!$S$35*EXP('Model Inputs &amp; Assumptions'!$T$35*P3990-'Model Inputs &amp; Assumptions'!$T$35^2/2)),0)</f>
        <v>83603</v>
      </c>
      <c r="D3990" s="46" t="n">
        <f aca="false">MIN(1,'Model Inputs &amp; Assumptions'!$U$35*EXP('Model Inputs &amp; Assumptions'!$V$35*Q3990-'Model Inputs &amp; Assumptions'!$V$35^2/2))</f>
        <v>0</v>
      </c>
      <c r="E3990" s="45" t="n">
        <f aca="false">ROUND(C3990*D3990,0)</f>
        <v>0</v>
      </c>
      <c r="F3990" s="47" t="n">
        <f aca="false">MIN(1,'Model Inputs &amp; Assumptions'!$W$35*EXP('Model Inputs &amp; Assumptions'!$X$35*R3990-'Model Inputs &amp; Assumptions'!$X$35^2/2))</f>
        <v>0.00660516901369387</v>
      </c>
      <c r="G3990" s="45" t="n">
        <f aca="false">ROUND(C3990*F3990,0)</f>
        <v>552</v>
      </c>
      <c r="H3990" s="48" t="n">
        <f aca="false">MAX(0,(C3990*'Model Inputs &amp; Assumptions'!$N$35+E3990*'Model Inputs &amp; Assumptions'!$O$35+G3990*'Model Inputs &amp; Assumptions'!$P$35)*EXP('Model Inputs &amp; Assumptions'!$Q$35*S3990-'Model Inputs &amp; Assumptions'!$Q$35^2/2))</f>
        <v>35.4125610578489</v>
      </c>
      <c r="I3990" s="49" t="n">
        <f aca="false">IF('Model Inputs &amp; Assumptions'!$H$35="Fixed",'Model Inputs &amp; Assumptions'!$I$35*'Model Inputs &amp; Assumptions'!$K$35,IF('Model Inputs &amp; Assumptions'!$H$35="CPM",'Model Inputs &amp; Assumptions'!$I$35*'Model Inputs &amp; Assumptions'!$K$35*C3990/1000,IF('Model Inputs &amp; Assumptions'!$H$35="CPC",'Model Inputs &amp; Assumptions'!$I$35*'Model Inputs &amp; Assumptions'!$K$35*G3990,0)))</f>
        <v>8672.8</v>
      </c>
      <c r="J3990" s="50" t="n">
        <f aca="false">H3990*INDEX('Model Inputs &amp; Assumptions'!$D$40:$D$42,MATCH('Model Inputs &amp; Assumptions'!$L$35,'Model Inputs &amp; Assumptions'!$A$40:$A$42,0))*INDEX('Model Inputs &amp; Assumptions'!$H$40:$H$42,MATCH('Model Inputs &amp; Assumptions'!$L$35,'Model Inputs &amp; Assumptions'!$A$40:$A$42,0))</f>
        <v>301006.768991716</v>
      </c>
      <c r="K3990" s="49" t="n">
        <f aca="false">H3990*INDEX('Model Inputs &amp; Assumptions'!$G$40:$G$42,MATCH('Model Inputs &amp; Assumptions'!$L$35,'Model Inputs &amp; Assumptions'!$A$40:$A$42,0))*INDEX('Model Inputs &amp; Assumptions'!$H$40:$H$42,MATCH('Model Inputs &amp; Assumptions'!$L$35,'Model Inputs &amp; Assumptions'!$A$40:$A$42,0))</f>
        <v>6772.65230231361</v>
      </c>
      <c r="L3990" s="51" t="n">
        <f aca="false">IFERROR(K3990/I3990,0)</f>
        <v>0.780907238990131</v>
      </c>
      <c r="M3990" s="49" t="n">
        <f aca="false">IFERROR(I3990/H3990,0)</f>
        <v>244.907449247524</v>
      </c>
      <c r="N3990" s="52" t="str">
        <f aca="false">'Model Inputs &amp; Assumptions'!$L$35</f>
        <v>PRD-EUAI</v>
      </c>
      <c r="P3990" s="53" t="n">
        <v>-0.371928</v>
      </c>
      <c r="Q3990" s="53" t="n">
        <v>1.166814</v>
      </c>
      <c r="R3990" s="53" t="n">
        <v>0.028725</v>
      </c>
      <c r="S3990" s="53" t="n">
        <v>-0.205467</v>
      </c>
    </row>
    <row r="3991" customFormat="false" ht="15" hidden="false" customHeight="false" outlineLevel="0" collapsed="false">
      <c r="A3991" s="43" t="n">
        <v>488</v>
      </c>
      <c r="B3991" s="44" t="str">
        <f aca="false">'Model Inputs &amp; Assumptions'!$B$35</f>
        <v>justETF — Sponsored Listing</v>
      </c>
      <c r="C3991" s="45" t="n">
        <f aca="false">ROUND(MAX(0,'Model Inputs &amp; Assumptions'!$S$35*EXP('Model Inputs &amp; Assumptions'!$T$35*P3991-'Model Inputs &amp; Assumptions'!$T$35^2/2)),0)</f>
        <v>68657</v>
      </c>
      <c r="D3991" s="46" t="n">
        <f aca="false">MIN(1,'Model Inputs &amp; Assumptions'!$U$35*EXP('Model Inputs &amp; Assumptions'!$V$35*Q3991-'Model Inputs &amp; Assumptions'!$V$35^2/2))</f>
        <v>0</v>
      </c>
      <c r="E3991" s="45" t="n">
        <f aca="false">ROUND(C3991*D3991,0)</f>
        <v>0</v>
      </c>
      <c r="F3991" s="47" t="n">
        <f aca="false">MIN(1,'Model Inputs &amp; Assumptions'!$W$35*EXP('Model Inputs &amp; Assumptions'!$X$35*R3991-'Model Inputs &amp; Assumptions'!$X$35^2/2))</f>
        <v>0.00729388646255575</v>
      </c>
      <c r="G3991" s="45" t="n">
        <f aca="false">ROUND(C3991*F3991,0)</f>
        <v>501</v>
      </c>
      <c r="H3991" s="48" t="n">
        <f aca="false">MAX(0,(C3991*'Model Inputs &amp; Assumptions'!$N$35+E3991*'Model Inputs &amp; Assumptions'!$O$35+G3991*'Model Inputs &amp; Assumptions'!$P$35)*EXP('Model Inputs &amp; Assumptions'!$Q$35*S3991-'Model Inputs &amp; Assumptions'!$Q$35^2/2))</f>
        <v>24.9116758735824</v>
      </c>
      <c r="I3991" s="49" t="n">
        <f aca="false">IF('Model Inputs &amp; Assumptions'!$H$35="Fixed",'Model Inputs &amp; Assumptions'!$I$35*'Model Inputs &amp; Assumptions'!$K$35,IF('Model Inputs &amp; Assumptions'!$H$35="CPM",'Model Inputs &amp; Assumptions'!$I$35*'Model Inputs &amp; Assumptions'!$K$35*C3991/1000,IF('Model Inputs &amp; Assumptions'!$H$35="CPC",'Model Inputs &amp; Assumptions'!$I$35*'Model Inputs &amp; Assumptions'!$K$35*G3991,0)))</f>
        <v>8672.8</v>
      </c>
      <c r="J3991" s="50" t="n">
        <f aca="false">H3991*INDEX('Model Inputs &amp; Assumptions'!$D$40:$D$42,MATCH('Model Inputs &amp; Assumptions'!$L$35,'Model Inputs &amp; Assumptions'!$A$40:$A$42,0))*INDEX('Model Inputs &amp; Assumptions'!$H$40:$H$42,MATCH('Model Inputs &amp; Assumptions'!$L$35,'Model Inputs &amp; Assumptions'!$A$40:$A$42,0))</f>
        <v>211749.24492545</v>
      </c>
      <c r="K3991" s="49" t="n">
        <f aca="false">H3991*INDEX('Model Inputs &amp; Assumptions'!$G$40:$G$42,MATCH('Model Inputs &amp; Assumptions'!$L$35,'Model Inputs &amp; Assumptions'!$A$40:$A$42,0))*INDEX('Model Inputs &amp; Assumptions'!$H$40:$H$42,MATCH('Model Inputs &amp; Assumptions'!$L$35,'Model Inputs &amp; Assumptions'!$A$40:$A$42,0))</f>
        <v>4764.35801082263</v>
      </c>
      <c r="L3991" s="51" t="n">
        <f aca="false">IFERROR(K3991/I3991,0)</f>
        <v>0.549344849509113</v>
      </c>
      <c r="M3991" s="49" t="n">
        <f aca="false">IFERROR(I3991/H3991,0)</f>
        <v>348.141973426889</v>
      </c>
      <c r="N3991" s="52" t="str">
        <f aca="false">'Model Inputs &amp; Assumptions'!$L$35</f>
        <v>PRD-EUAI</v>
      </c>
      <c r="P3991" s="53" t="n">
        <v>-1.685021</v>
      </c>
      <c r="Q3991" s="53" t="n">
        <v>-0.141756</v>
      </c>
      <c r="R3991" s="53" t="n">
        <v>0.524645</v>
      </c>
      <c r="S3991" s="53" t="n">
        <v>-1.185421</v>
      </c>
    </row>
    <row r="3992" customFormat="false" ht="15" hidden="false" customHeight="false" outlineLevel="0" collapsed="false">
      <c r="A3992" s="43" t="n">
        <v>489</v>
      </c>
      <c r="B3992" s="44" t="str">
        <f aca="false">'Model Inputs &amp; Assumptions'!$B$35</f>
        <v>justETF — Sponsored Listing</v>
      </c>
      <c r="C3992" s="45" t="n">
        <f aca="false">ROUND(MAX(0,'Model Inputs &amp; Assumptions'!$S$35*EXP('Model Inputs &amp; Assumptions'!$T$35*P3992-'Model Inputs &amp; Assumptions'!$T$35^2/2)),0)</f>
        <v>104647</v>
      </c>
      <c r="D3992" s="46" t="n">
        <f aca="false">MIN(1,'Model Inputs &amp; Assumptions'!$U$35*EXP('Model Inputs &amp; Assumptions'!$V$35*Q3992-'Model Inputs &amp; Assumptions'!$V$35^2/2))</f>
        <v>0</v>
      </c>
      <c r="E3992" s="45" t="n">
        <f aca="false">ROUND(C3992*D3992,0)</f>
        <v>0</v>
      </c>
      <c r="F3992" s="47" t="n">
        <f aca="false">MIN(1,'Model Inputs &amp; Assumptions'!$W$35*EXP('Model Inputs &amp; Assumptions'!$X$35*R3992-'Model Inputs &amp; Assumptions'!$X$35^2/2))</f>
        <v>0.00742784017274871</v>
      </c>
      <c r="G3992" s="45" t="n">
        <f aca="false">ROUND(C3992*F3992,0)</f>
        <v>777</v>
      </c>
      <c r="H3992" s="48" t="n">
        <f aca="false">MAX(0,(C3992*'Model Inputs &amp; Assumptions'!$N$35+E3992*'Model Inputs &amp; Assumptions'!$O$35+G3992*'Model Inputs &amp; Assumptions'!$P$35)*EXP('Model Inputs &amp; Assumptions'!$Q$35*S3992-'Model Inputs &amp; Assumptions'!$Q$35^2/2))</f>
        <v>51.8659068441695</v>
      </c>
      <c r="I3992" s="49" t="n">
        <f aca="false">IF('Model Inputs &amp; Assumptions'!$H$35="Fixed",'Model Inputs &amp; Assumptions'!$I$35*'Model Inputs &amp; Assumptions'!$K$35,IF('Model Inputs &amp; Assumptions'!$H$35="CPM",'Model Inputs &amp; Assumptions'!$I$35*'Model Inputs &amp; Assumptions'!$K$35*C3992/1000,IF('Model Inputs &amp; Assumptions'!$H$35="CPC",'Model Inputs &amp; Assumptions'!$I$35*'Model Inputs &amp; Assumptions'!$K$35*G3992,0)))</f>
        <v>8672.8</v>
      </c>
      <c r="J3992" s="50" t="n">
        <f aca="false">H3992*INDEX('Model Inputs &amp; Assumptions'!$D$40:$D$42,MATCH('Model Inputs &amp; Assumptions'!$L$35,'Model Inputs &amp; Assumptions'!$A$40:$A$42,0))*INDEX('Model Inputs &amp; Assumptions'!$H$40:$H$42,MATCH('Model Inputs &amp; Assumptions'!$L$35,'Model Inputs &amp; Assumptions'!$A$40:$A$42,0))</f>
        <v>440860.208175441</v>
      </c>
      <c r="K3992" s="49" t="n">
        <f aca="false">H3992*INDEX('Model Inputs &amp; Assumptions'!$G$40:$G$42,MATCH('Model Inputs &amp; Assumptions'!$L$35,'Model Inputs &amp; Assumptions'!$A$40:$A$42,0))*INDEX('Model Inputs &amp; Assumptions'!$H$40:$H$42,MATCH('Model Inputs &amp; Assumptions'!$L$35,'Model Inputs &amp; Assumptions'!$A$40:$A$42,0))</f>
        <v>9919.35468394742</v>
      </c>
      <c r="L3992" s="51" t="n">
        <f aca="false">IFERROR(K3992/I3992,0)</f>
        <v>1.14373151507557</v>
      </c>
      <c r="M3992" s="49" t="n">
        <f aca="false">IFERROR(I3992/H3992,0)</f>
        <v>167.215817243056</v>
      </c>
      <c r="N3992" s="52" t="str">
        <f aca="false">'Model Inputs &amp; Assumptions'!$L$35</f>
        <v>PRD-EUAI</v>
      </c>
      <c r="P3992" s="53" t="n">
        <v>1.124788</v>
      </c>
      <c r="Q3992" s="53" t="n">
        <v>-1.28994</v>
      </c>
      <c r="R3992" s="53" t="n">
        <v>0.615638</v>
      </c>
      <c r="S3992" s="53" t="n">
        <v>-0.052764</v>
      </c>
    </row>
    <row r="3993" customFormat="false" ht="15" hidden="false" customHeight="false" outlineLevel="0" collapsed="false">
      <c r="A3993" s="43" t="n">
        <v>490</v>
      </c>
      <c r="B3993" s="44" t="str">
        <f aca="false">'Model Inputs &amp; Assumptions'!$B$35</f>
        <v>justETF — Sponsored Listing</v>
      </c>
      <c r="C3993" s="45" t="n">
        <f aca="false">ROUND(MAX(0,'Model Inputs &amp; Assumptions'!$S$35*EXP('Model Inputs &amp; Assumptions'!$T$35*P3993-'Model Inputs &amp; Assumptions'!$T$35^2/2)),0)</f>
        <v>84769</v>
      </c>
      <c r="D3993" s="46" t="n">
        <f aca="false">MIN(1,'Model Inputs &amp; Assumptions'!$U$35*EXP('Model Inputs &amp; Assumptions'!$V$35*Q3993-'Model Inputs &amp; Assumptions'!$V$35^2/2))</f>
        <v>0</v>
      </c>
      <c r="E3993" s="45" t="n">
        <f aca="false">ROUND(C3993*D3993,0)</f>
        <v>0</v>
      </c>
      <c r="F3993" s="47" t="n">
        <f aca="false">MIN(1,'Model Inputs &amp; Assumptions'!$W$35*EXP('Model Inputs &amp; Assumptions'!$X$35*R3993-'Model Inputs &amp; Assumptions'!$X$35^2/2))</f>
        <v>0.00673673729188901</v>
      </c>
      <c r="G3993" s="45" t="n">
        <f aca="false">ROUND(C3993*F3993,0)</f>
        <v>571</v>
      </c>
      <c r="H3993" s="48" t="n">
        <f aca="false">MAX(0,(C3993*'Model Inputs &amp; Assumptions'!$N$35+E3993*'Model Inputs &amp; Assumptions'!$O$35+G3993*'Model Inputs &amp; Assumptions'!$P$35)*EXP('Model Inputs &amp; Assumptions'!$Q$35*S3993-'Model Inputs &amp; Assumptions'!$Q$35^2/2))</f>
        <v>58.289649134064</v>
      </c>
      <c r="I3993" s="49" t="n">
        <f aca="false">IF('Model Inputs &amp; Assumptions'!$H$35="Fixed",'Model Inputs &amp; Assumptions'!$I$35*'Model Inputs &amp; Assumptions'!$K$35,IF('Model Inputs &amp; Assumptions'!$H$35="CPM",'Model Inputs &amp; Assumptions'!$I$35*'Model Inputs &amp; Assumptions'!$K$35*C3993/1000,IF('Model Inputs &amp; Assumptions'!$H$35="CPC",'Model Inputs &amp; Assumptions'!$I$35*'Model Inputs &amp; Assumptions'!$K$35*G3993,0)))</f>
        <v>8672.8</v>
      </c>
      <c r="J3993" s="50" t="n">
        <f aca="false">H3993*INDEX('Model Inputs &amp; Assumptions'!$D$40:$D$42,MATCH('Model Inputs &amp; Assumptions'!$L$35,'Model Inputs &amp; Assumptions'!$A$40:$A$42,0))*INDEX('Model Inputs &amp; Assumptions'!$H$40:$H$42,MATCH('Model Inputs &amp; Assumptions'!$L$35,'Model Inputs &amp; Assumptions'!$A$40:$A$42,0))</f>
        <v>495462.017639544</v>
      </c>
      <c r="K3993" s="49" t="n">
        <f aca="false">H3993*INDEX('Model Inputs &amp; Assumptions'!$G$40:$G$42,MATCH('Model Inputs &amp; Assumptions'!$L$35,'Model Inputs &amp; Assumptions'!$A$40:$A$42,0))*INDEX('Model Inputs &amp; Assumptions'!$H$40:$H$42,MATCH('Model Inputs &amp; Assumptions'!$L$35,'Model Inputs &amp; Assumptions'!$A$40:$A$42,0))</f>
        <v>11147.8953968897</v>
      </c>
      <c r="L3993" s="51" t="n">
        <f aca="false">IFERROR(K3993/I3993,0)</f>
        <v>1.28538596495823</v>
      </c>
      <c r="M3993" s="49" t="n">
        <f aca="false">IFERROR(I3993/H3993,0)</f>
        <v>148.787994589792</v>
      </c>
      <c r="N3993" s="52" t="str">
        <f aca="false">'Model Inputs &amp; Assumptions'!$L$35</f>
        <v>PRD-EUAI</v>
      </c>
      <c r="P3993" s="53" t="n">
        <v>-0.279585</v>
      </c>
      <c r="Q3993" s="53" t="n">
        <v>0.119707</v>
      </c>
      <c r="R3993" s="53" t="n">
        <v>0.127341</v>
      </c>
      <c r="S3993" s="53" t="n">
        <v>1.581136</v>
      </c>
    </row>
    <row r="3994" customFormat="false" ht="15" hidden="false" customHeight="false" outlineLevel="0" collapsed="false">
      <c r="A3994" s="43" t="n">
        <v>491</v>
      </c>
      <c r="B3994" s="44" t="str">
        <f aca="false">'Model Inputs &amp; Assumptions'!$B$35</f>
        <v>justETF — Sponsored Listing</v>
      </c>
      <c r="C3994" s="45" t="n">
        <f aca="false">ROUND(MAX(0,'Model Inputs &amp; Assumptions'!$S$35*EXP('Model Inputs &amp; Assumptions'!$T$35*P3994-'Model Inputs &amp; Assumptions'!$T$35^2/2)),0)</f>
        <v>99694</v>
      </c>
      <c r="D3994" s="46" t="n">
        <f aca="false">MIN(1,'Model Inputs &amp; Assumptions'!$U$35*EXP('Model Inputs &amp; Assumptions'!$V$35*Q3994-'Model Inputs &amp; Assumptions'!$V$35^2/2))</f>
        <v>0</v>
      </c>
      <c r="E3994" s="45" t="n">
        <f aca="false">ROUND(C3994*D3994,0)</f>
        <v>0</v>
      </c>
      <c r="F3994" s="47" t="n">
        <f aca="false">MIN(1,'Model Inputs &amp; Assumptions'!$W$35*EXP('Model Inputs &amp; Assumptions'!$X$35*R3994-'Model Inputs &amp; Assumptions'!$X$35^2/2))</f>
        <v>0.0077026831284076</v>
      </c>
      <c r="G3994" s="45" t="n">
        <f aca="false">ROUND(C3994*F3994,0)</f>
        <v>768</v>
      </c>
      <c r="H3994" s="48" t="n">
        <f aca="false">MAX(0,(C3994*'Model Inputs &amp; Assumptions'!$N$35+E3994*'Model Inputs &amp; Assumptions'!$O$35+G3994*'Model Inputs &amp; Assumptions'!$P$35)*EXP('Model Inputs &amp; Assumptions'!$Q$35*S3994-'Model Inputs &amp; Assumptions'!$Q$35^2/2))</f>
        <v>35.6842950066767</v>
      </c>
      <c r="I3994" s="49" t="n">
        <f aca="false">IF('Model Inputs &amp; Assumptions'!$H$35="Fixed",'Model Inputs &amp; Assumptions'!$I$35*'Model Inputs &amp; Assumptions'!$K$35,IF('Model Inputs &amp; Assumptions'!$H$35="CPM",'Model Inputs &amp; Assumptions'!$I$35*'Model Inputs &amp; Assumptions'!$K$35*C3994/1000,IF('Model Inputs &amp; Assumptions'!$H$35="CPC",'Model Inputs &amp; Assumptions'!$I$35*'Model Inputs &amp; Assumptions'!$K$35*G3994,0)))</f>
        <v>8672.8</v>
      </c>
      <c r="J3994" s="50" t="n">
        <f aca="false">H3994*INDEX('Model Inputs &amp; Assumptions'!$D$40:$D$42,MATCH('Model Inputs &amp; Assumptions'!$L$35,'Model Inputs &amp; Assumptions'!$A$40:$A$42,0))*INDEX('Model Inputs &amp; Assumptions'!$H$40:$H$42,MATCH('Model Inputs &amp; Assumptions'!$L$35,'Model Inputs &amp; Assumptions'!$A$40:$A$42,0))</f>
        <v>303316.507556752</v>
      </c>
      <c r="K3994" s="49" t="n">
        <f aca="false">H3994*INDEX('Model Inputs &amp; Assumptions'!$G$40:$G$42,MATCH('Model Inputs &amp; Assumptions'!$L$35,'Model Inputs &amp; Assumptions'!$A$40:$A$42,0))*INDEX('Model Inputs &amp; Assumptions'!$H$40:$H$42,MATCH('Model Inputs &amp; Assumptions'!$L$35,'Model Inputs &amp; Assumptions'!$A$40:$A$42,0))</f>
        <v>6824.62142002691</v>
      </c>
      <c r="L3994" s="51" t="n">
        <f aca="false">IFERROR(K3994/I3994,0)</f>
        <v>0.786899435018323</v>
      </c>
      <c r="M3994" s="49" t="n">
        <f aca="false">IFERROR(I3994/H3994,0)</f>
        <v>243.04249245718</v>
      </c>
      <c r="N3994" s="52" t="str">
        <f aca="false">'Model Inputs &amp; Assumptions'!$L$35</f>
        <v>PRD-EUAI</v>
      </c>
      <c r="P3994" s="53" t="n">
        <v>0.801587</v>
      </c>
      <c r="Q3994" s="53" t="n">
        <v>0.971644</v>
      </c>
      <c r="R3994" s="53" t="n">
        <v>0.797306</v>
      </c>
      <c r="S3994" s="53" t="n">
        <v>-1.446227</v>
      </c>
    </row>
    <row r="3995" customFormat="false" ht="15" hidden="false" customHeight="false" outlineLevel="0" collapsed="false">
      <c r="A3995" s="43" t="n">
        <v>492</v>
      </c>
      <c r="B3995" s="44" t="str">
        <f aca="false">'Model Inputs &amp; Assumptions'!$B$35</f>
        <v>justETF — Sponsored Listing</v>
      </c>
      <c r="C3995" s="45" t="n">
        <f aca="false">ROUND(MAX(0,'Model Inputs &amp; Assumptions'!$S$35*EXP('Model Inputs &amp; Assumptions'!$T$35*P3995-'Model Inputs &amp; Assumptions'!$T$35^2/2)),0)</f>
        <v>114489</v>
      </c>
      <c r="D3995" s="46" t="n">
        <f aca="false">MIN(1,'Model Inputs &amp; Assumptions'!$U$35*EXP('Model Inputs &amp; Assumptions'!$V$35*Q3995-'Model Inputs &amp; Assumptions'!$V$35^2/2))</f>
        <v>0</v>
      </c>
      <c r="E3995" s="45" t="n">
        <f aca="false">ROUND(C3995*D3995,0)</f>
        <v>0</v>
      </c>
      <c r="F3995" s="47" t="n">
        <f aca="false">MIN(1,'Model Inputs &amp; Assumptions'!$W$35*EXP('Model Inputs &amp; Assumptions'!$X$35*R3995-'Model Inputs &amp; Assumptions'!$X$35^2/2))</f>
        <v>0.00632747920128718</v>
      </c>
      <c r="G3995" s="45" t="n">
        <f aca="false">ROUND(C3995*F3995,0)</f>
        <v>724</v>
      </c>
      <c r="H3995" s="48" t="n">
        <f aca="false">MAX(0,(C3995*'Model Inputs &amp; Assumptions'!$N$35+E3995*'Model Inputs &amp; Assumptions'!$O$35+G3995*'Model Inputs &amp; Assumptions'!$P$35)*EXP('Model Inputs &amp; Assumptions'!$Q$35*S3995-'Model Inputs &amp; Assumptions'!$Q$35^2/2))</f>
        <v>49.2392778581858</v>
      </c>
      <c r="I3995" s="49" t="n">
        <f aca="false">IF('Model Inputs &amp; Assumptions'!$H$35="Fixed",'Model Inputs &amp; Assumptions'!$I$35*'Model Inputs &amp; Assumptions'!$K$35,IF('Model Inputs &amp; Assumptions'!$H$35="CPM",'Model Inputs &amp; Assumptions'!$I$35*'Model Inputs &amp; Assumptions'!$K$35*C3995/1000,IF('Model Inputs &amp; Assumptions'!$H$35="CPC",'Model Inputs &amp; Assumptions'!$I$35*'Model Inputs &amp; Assumptions'!$K$35*G3995,0)))</f>
        <v>8672.8</v>
      </c>
      <c r="J3995" s="50" t="n">
        <f aca="false">H3995*INDEX('Model Inputs &amp; Assumptions'!$D$40:$D$42,MATCH('Model Inputs &amp; Assumptions'!$L$35,'Model Inputs &amp; Assumptions'!$A$40:$A$42,0))*INDEX('Model Inputs &amp; Assumptions'!$H$40:$H$42,MATCH('Model Inputs &amp; Assumptions'!$L$35,'Model Inputs &amp; Assumptions'!$A$40:$A$42,0))</f>
        <v>418533.86179458</v>
      </c>
      <c r="K3995" s="49" t="n">
        <f aca="false">H3995*INDEX('Model Inputs &amp; Assumptions'!$G$40:$G$42,MATCH('Model Inputs &amp; Assumptions'!$L$35,'Model Inputs &amp; Assumptions'!$A$40:$A$42,0))*INDEX('Model Inputs &amp; Assumptions'!$H$40:$H$42,MATCH('Model Inputs &amp; Assumptions'!$L$35,'Model Inputs &amp; Assumptions'!$A$40:$A$42,0))</f>
        <v>9417.01189037804</v>
      </c>
      <c r="L3995" s="51" t="n">
        <f aca="false">IFERROR(K3995/I3995,0)</f>
        <v>1.08580987574694</v>
      </c>
      <c r="M3995" s="49" t="n">
        <f aca="false">IFERROR(I3995/H3995,0)</f>
        <v>176.135808185054</v>
      </c>
      <c r="N3995" s="52" t="str">
        <f aca="false">'Model Inputs &amp; Assumptions'!$L$35</f>
        <v>PRD-EUAI</v>
      </c>
      <c r="P3995" s="53" t="n">
        <v>1.724061</v>
      </c>
      <c r="Q3995" s="53" t="n">
        <v>-0.562087</v>
      </c>
      <c r="R3995" s="53" t="n">
        <v>-0.186028</v>
      </c>
      <c r="S3995" s="53" t="n">
        <v>0.019078</v>
      </c>
    </row>
    <row r="3996" customFormat="false" ht="15" hidden="false" customHeight="false" outlineLevel="0" collapsed="false">
      <c r="A3996" s="43" t="n">
        <v>493</v>
      </c>
      <c r="B3996" s="44" t="str">
        <f aca="false">'Model Inputs &amp; Assumptions'!$B$35</f>
        <v>justETF — Sponsored Listing</v>
      </c>
      <c r="C3996" s="45" t="n">
        <f aca="false">ROUND(MAX(0,'Model Inputs &amp; Assumptions'!$S$35*EXP('Model Inputs &amp; Assumptions'!$T$35*P3996-'Model Inputs &amp; Assumptions'!$T$35^2/2)),0)</f>
        <v>90083</v>
      </c>
      <c r="D3996" s="46" t="n">
        <f aca="false">MIN(1,'Model Inputs &amp; Assumptions'!$U$35*EXP('Model Inputs &amp; Assumptions'!$V$35*Q3996-'Model Inputs &amp; Assumptions'!$V$35^2/2))</f>
        <v>0</v>
      </c>
      <c r="E3996" s="45" t="n">
        <f aca="false">ROUND(C3996*D3996,0)</f>
        <v>0</v>
      </c>
      <c r="F3996" s="47" t="n">
        <f aca="false">MIN(1,'Model Inputs &amp; Assumptions'!$W$35*EXP('Model Inputs &amp; Assumptions'!$X$35*R3996-'Model Inputs &amp; Assumptions'!$X$35^2/2))</f>
        <v>0.00509868430174101</v>
      </c>
      <c r="G3996" s="45" t="n">
        <f aca="false">ROUND(C3996*F3996,0)</f>
        <v>459</v>
      </c>
      <c r="H3996" s="48" t="n">
        <f aca="false">MAX(0,(C3996*'Model Inputs &amp; Assumptions'!$N$35+E3996*'Model Inputs &amp; Assumptions'!$O$35+G3996*'Model Inputs &amp; Assumptions'!$P$35)*EXP('Model Inputs &amp; Assumptions'!$Q$35*S3996-'Model Inputs &amp; Assumptions'!$Q$35^2/2))</f>
        <v>19.9300350549689</v>
      </c>
      <c r="I3996" s="49" t="n">
        <f aca="false">IF('Model Inputs &amp; Assumptions'!$H$35="Fixed",'Model Inputs &amp; Assumptions'!$I$35*'Model Inputs &amp; Assumptions'!$K$35,IF('Model Inputs &amp; Assumptions'!$H$35="CPM",'Model Inputs &amp; Assumptions'!$I$35*'Model Inputs &amp; Assumptions'!$K$35*C3996/1000,IF('Model Inputs &amp; Assumptions'!$H$35="CPC",'Model Inputs &amp; Assumptions'!$I$35*'Model Inputs &amp; Assumptions'!$K$35*G3996,0)))</f>
        <v>8672.8</v>
      </c>
      <c r="J3996" s="50" t="n">
        <f aca="false">H3996*INDEX('Model Inputs &amp; Assumptions'!$D$40:$D$42,MATCH('Model Inputs &amp; Assumptions'!$L$35,'Model Inputs &amp; Assumptions'!$A$40:$A$42,0))*INDEX('Model Inputs &amp; Assumptions'!$H$40:$H$42,MATCH('Model Inputs &amp; Assumptions'!$L$35,'Model Inputs &amp; Assumptions'!$A$40:$A$42,0))</f>
        <v>169405.297967236</v>
      </c>
      <c r="K3996" s="49" t="n">
        <f aca="false">H3996*INDEX('Model Inputs &amp; Assumptions'!$G$40:$G$42,MATCH('Model Inputs &amp; Assumptions'!$L$35,'Model Inputs &amp; Assumptions'!$A$40:$A$42,0))*INDEX('Model Inputs &amp; Assumptions'!$H$40:$H$42,MATCH('Model Inputs &amp; Assumptions'!$L$35,'Model Inputs &amp; Assumptions'!$A$40:$A$42,0))</f>
        <v>3811.6192042628</v>
      </c>
      <c r="L3996" s="51" t="n">
        <f aca="false">IFERROR(K3996/I3996,0)</f>
        <v>0.439491191341066</v>
      </c>
      <c r="M3996" s="49" t="n">
        <f aca="false">IFERROR(I3996/H3996,0)</f>
        <v>435.162305338631</v>
      </c>
      <c r="N3996" s="52" t="str">
        <f aca="false">'Model Inputs &amp; Assumptions'!$L$35</f>
        <v>PRD-EUAI</v>
      </c>
      <c r="P3996" s="53" t="n">
        <v>0.125727</v>
      </c>
      <c r="Q3996" s="53" t="n">
        <v>1.267792</v>
      </c>
      <c r="R3996" s="53" t="n">
        <v>-1.265625</v>
      </c>
      <c r="S3996" s="53" t="n">
        <v>-1.706778</v>
      </c>
    </row>
    <row r="3997" customFormat="false" ht="15" hidden="false" customHeight="false" outlineLevel="0" collapsed="false">
      <c r="A3997" s="43" t="n">
        <v>494</v>
      </c>
      <c r="B3997" s="44" t="str">
        <f aca="false">'Model Inputs &amp; Assumptions'!$B$35</f>
        <v>justETF — Sponsored Listing</v>
      </c>
      <c r="C3997" s="45" t="n">
        <f aca="false">ROUND(MAX(0,'Model Inputs &amp; Assumptions'!$S$35*EXP('Model Inputs &amp; Assumptions'!$T$35*P3997-'Model Inputs &amp; Assumptions'!$T$35^2/2)),0)</f>
        <v>79505</v>
      </c>
      <c r="D3997" s="46" t="n">
        <f aca="false">MIN(1,'Model Inputs &amp; Assumptions'!$U$35*EXP('Model Inputs &amp; Assumptions'!$V$35*Q3997-'Model Inputs &amp; Assumptions'!$V$35^2/2))</f>
        <v>0</v>
      </c>
      <c r="E3997" s="45" t="n">
        <f aca="false">ROUND(C3997*D3997,0)</f>
        <v>0</v>
      </c>
      <c r="F3997" s="47" t="n">
        <f aca="false">MIN(1,'Model Inputs &amp; Assumptions'!$W$35*EXP('Model Inputs &amp; Assumptions'!$X$35*R3997-'Model Inputs &amp; Assumptions'!$X$35^2/2))</f>
        <v>0.00575275302047283</v>
      </c>
      <c r="G3997" s="45" t="n">
        <f aca="false">ROUND(C3997*F3997,0)</f>
        <v>457</v>
      </c>
      <c r="H3997" s="48" t="n">
        <f aca="false">MAX(0,(C3997*'Model Inputs &amp; Assumptions'!$N$35+E3997*'Model Inputs &amp; Assumptions'!$O$35+G3997*'Model Inputs &amp; Assumptions'!$P$35)*EXP('Model Inputs &amp; Assumptions'!$Q$35*S3997-'Model Inputs &amp; Assumptions'!$Q$35^2/2))</f>
        <v>21.8850180183343</v>
      </c>
      <c r="I3997" s="49" t="n">
        <f aca="false">IF('Model Inputs &amp; Assumptions'!$H$35="Fixed",'Model Inputs &amp; Assumptions'!$I$35*'Model Inputs &amp; Assumptions'!$K$35,IF('Model Inputs &amp; Assumptions'!$H$35="CPM",'Model Inputs &amp; Assumptions'!$I$35*'Model Inputs &amp; Assumptions'!$K$35*C3997/1000,IF('Model Inputs &amp; Assumptions'!$H$35="CPC",'Model Inputs &amp; Assumptions'!$I$35*'Model Inputs &amp; Assumptions'!$K$35*G3997,0)))</f>
        <v>8672.8</v>
      </c>
      <c r="J3997" s="50" t="n">
        <f aca="false">H3997*INDEX('Model Inputs &amp; Assumptions'!$D$40:$D$42,MATCH('Model Inputs &amp; Assumptions'!$L$35,'Model Inputs &amp; Assumptions'!$A$40:$A$42,0))*INDEX('Model Inputs &amp; Assumptions'!$H$40:$H$42,MATCH('Model Inputs &amp; Assumptions'!$L$35,'Model Inputs &amp; Assumptions'!$A$40:$A$42,0))</f>
        <v>186022.653155841</v>
      </c>
      <c r="K3997" s="49" t="n">
        <f aca="false">H3997*INDEX('Model Inputs &amp; Assumptions'!$G$40:$G$42,MATCH('Model Inputs &amp; Assumptions'!$L$35,'Model Inputs &amp; Assumptions'!$A$40:$A$42,0))*INDEX('Model Inputs &amp; Assumptions'!$H$40:$H$42,MATCH('Model Inputs &amp; Assumptions'!$L$35,'Model Inputs &amp; Assumptions'!$A$40:$A$42,0))</f>
        <v>4185.50969600643</v>
      </c>
      <c r="L3997" s="51" t="n">
        <f aca="false">IFERROR(K3997/I3997,0)</f>
        <v>0.482601892815058</v>
      </c>
      <c r="M3997" s="49" t="n">
        <f aca="false">IFERROR(I3997/H3997,0)</f>
        <v>396.289369866377</v>
      </c>
      <c r="N3997" s="52" t="str">
        <f aca="false">'Model Inputs &amp; Assumptions'!$L$35</f>
        <v>PRD-EUAI</v>
      </c>
      <c r="P3997" s="53" t="n">
        <v>-0.707031</v>
      </c>
      <c r="Q3997" s="53" t="n">
        <v>-1.322159</v>
      </c>
      <c r="R3997" s="53" t="n">
        <v>-0.662145</v>
      </c>
      <c r="S3997" s="53" t="n">
        <v>-1.330081</v>
      </c>
    </row>
    <row r="3998" customFormat="false" ht="15" hidden="false" customHeight="false" outlineLevel="0" collapsed="false">
      <c r="A3998" s="43" t="n">
        <v>495</v>
      </c>
      <c r="B3998" s="44" t="str">
        <f aca="false">'Model Inputs &amp; Assumptions'!$B$35</f>
        <v>justETF — Sponsored Listing</v>
      </c>
      <c r="C3998" s="45" t="n">
        <f aca="false">ROUND(MAX(0,'Model Inputs &amp; Assumptions'!$S$35*EXP('Model Inputs &amp; Assumptions'!$T$35*P3998-'Model Inputs &amp; Assumptions'!$T$35^2/2)),0)</f>
        <v>94343</v>
      </c>
      <c r="D3998" s="46" t="n">
        <f aca="false">MIN(1,'Model Inputs &amp; Assumptions'!$U$35*EXP('Model Inputs &amp; Assumptions'!$V$35*Q3998-'Model Inputs &amp; Assumptions'!$V$35^2/2))</f>
        <v>0</v>
      </c>
      <c r="E3998" s="45" t="n">
        <f aca="false">ROUND(C3998*D3998,0)</f>
        <v>0</v>
      </c>
      <c r="F3998" s="47" t="n">
        <f aca="false">MIN(1,'Model Inputs &amp; Assumptions'!$W$35*EXP('Model Inputs &amp; Assumptions'!$X$35*R3998-'Model Inputs &amp; Assumptions'!$X$35^2/2))</f>
        <v>0.00855452109640126</v>
      </c>
      <c r="G3998" s="45" t="n">
        <f aca="false">ROUND(C3998*F3998,0)</f>
        <v>807</v>
      </c>
      <c r="H3998" s="48" t="n">
        <f aca="false">MAX(0,(C3998*'Model Inputs &amp; Assumptions'!$N$35+E3998*'Model Inputs &amp; Assumptions'!$O$35+G3998*'Model Inputs &amp; Assumptions'!$P$35)*EXP('Model Inputs &amp; Assumptions'!$Q$35*S3998-'Model Inputs &amp; Assumptions'!$Q$35^2/2))</f>
        <v>51.6123080083067</v>
      </c>
      <c r="I3998" s="49" t="n">
        <f aca="false">IF('Model Inputs &amp; Assumptions'!$H$35="Fixed",'Model Inputs &amp; Assumptions'!$I$35*'Model Inputs &amp; Assumptions'!$K$35,IF('Model Inputs &amp; Assumptions'!$H$35="CPM",'Model Inputs &amp; Assumptions'!$I$35*'Model Inputs &amp; Assumptions'!$K$35*C3998/1000,IF('Model Inputs &amp; Assumptions'!$H$35="CPC",'Model Inputs &amp; Assumptions'!$I$35*'Model Inputs &amp; Assumptions'!$K$35*G3998,0)))</f>
        <v>8672.8</v>
      </c>
      <c r="J3998" s="50" t="n">
        <f aca="false">H3998*INDEX('Model Inputs &amp; Assumptions'!$D$40:$D$42,MATCH('Model Inputs &amp; Assumptions'!$L$35,'Model Inputs &amp; Assumptions'!$A$40:$A$42,0))*INDEX('Model Inputs &amp; Assumptions'!$H$40:$H$42,MATCH('Model Inputs &amp; Assumptions'!$L$35,'Model Inputs &amp; Assumptions'!$A$40:$A$42,0))</f>
        <v>438704.618070607</v>
      </c>
      <c r="K3998" s="49" t="n">
        <f aca="false">H3998*INDEX('Model Inputs &amp; Assumptions'!$G$40:$G$42,MATCH('Model Inputs &amp; Assumptions'!$L$35,'Model Inputs &amp; Assumptions'!$A$40:$A$42,0))*INDEX('Model Inputs &amp; Assumptions'!$H$40:$H$42,MATCH('Model Inputs &amp; Assumptions'!$L$35,'Model Inputs &amp; Assumptions'!$A$40:$A$42,0))</f>
        <v>9870.85390658866</v>
      </c>
      <c r="L3998" s="51" t="n">
        <f aca="false">IFERROR(K3998/I3998,0)</f>
        <v>1.13813922915191</v>
      </c>
      <c r="M3998" s="49" t="n">
        <f aca="false">IFERROR(I3998/H3998,0)</f>
        <v>168.037437864708</v>
      </c>
      <c r="N3998" s="52" t="str">
        <f aca="false">'Model Inputs &amp; Assumptions'!$L$35</f>
        <v>PRD-EUAI</v>
      </c>
      <c r="P3998" s="53" t="n">
        <v>0.433758</v>
      </c>
      <c r="Q3998" s="53" t="n">
        <v>0.963953</v>
      </c>
      <c r="R3998" s="53" t="n">
        <v>1.321762</v>
      </c>
      <c r="S3998" s="53" t="n">
        <v>-0.217321</v>
      </c>
    </row>
    <row r="3999" customFormat="false" ht="15" hidden="false" customHeight="false" outlineLevel="0" collapsed="false">
      <c r="A3999" s="43" t="n">
        <v>496</v>
      </c>
      <c r="B3999" s="44" t="str">
        <f aca="false">'Model Inputs &amp; Assumptions'!$B$35</f>
        <v>justETF — Sponsored Listing</v>
      </c>
      <c r="C3999" s="45" t="n">
        <f aca="false">ROUND(MAX(0,'Model Inputs &amp; Assumptions'!$S$35*EXP('Model Inputs &amp; Assumptions'!$T$35*P3999-'Model Inputs &amp; Assumptions'!$T$35^2/2)),0)</f>
        <v>71287</v>
      </c>
      <c r="D3999" s="46" t="n">
        <f aca="false">MIN(1,'Model Inputs &amp; Assumptions'!$U$35*EXP('Model Inputs &amp; Assumptions'!$V$35*Q3999-'Model Inputs &amp; Assumptions'!$V$35^2/2))</f>
        <v>0</v>
      </c>
      <c r="E3999" s="45" t="n">
        <f aca="false">ROUND(C3999*D3999,0)</f>
        <v>0</v>
      </c>
      <c r="F3999" s="47" t="n">
        <f aca="false">MIN(1,'Model Inputs &amp; Assumptions'!$W$35*EXP('Model Inputs &amp; Assumptions'!$X$35*R3999-'Model Inputs &amp; Assumptions'!$X$35^2/2))</f>
        <v>0.00626840869885275</v>
      </c>
      <c r="G3999" s="45" t="n">
        <f aca="false">ROUND(C3999*F3999,0)</f>
        <v>447</v>
      </c>
      <c r="H3999" s="48" t="n">
        <f aca="false">MAX(0,(C3999*'Model Inputs &amp; Assumptions'!$N$35+E3999*'Model Inputs &amp; Assumptions'!$O$35+G3999*'Model Inputs &amp; Assumptions'!$P$35)*EXP('Model Inputs &amp; Assumptions'!$Q$35*S3999-'Model Inputs &amp; Assumptions'!$Q$35^2/2))</f>
        <v>29.7342570660999</v>
      </c>
      <c r="I3999" s="49" t="n">
        <f aca="false">IF('Model Inputs &amp; Assumptions'!$H$35="Fixed",'Model Inputs &amp; Assumptions'!$I$35*'Model Inputs &amp; Assumptions'!$K$35,IF('Model Inputs &amp; Assumptions'!$H$35="CPM",'Model Inputs &amp; Assumptions'!$I$35*'Model Inputs &amp; Assumptions'!$K$35*C3999/1000,IF('Model Inputs &amp; Assumptions'!$H$35="CPC",'Model Inputs &amp; Assumptions'!$I$35*'Model Inputs &amp; Assumptions'!$K$35*G3999,0)))</f>
        <v>8672.8</v>
      </c>
      <c r="J3999" s="50" t="n">
        <f aca="false">H3999*INDEX('Model Inputs &amp; Assumptions'!$D$40:$D$42,MATCH('Model Inputs &amp; Assumptions'!$L$35,'Model Inputs &amp; Assumptions'!$A$40:$A$42,0))*INDEX('Model Inputs &amp; Assumptions'!$H$40:$H$42,MATCH('Model Inputs &amp; Assumptions'!$L$35,'Model Inputs &amp; Assumptions'!$A$40:$A$42,0))</f>
        <v>252741.18506185</v>
      </c>
      <c r="K3999" s="49" t="n">
        <f aca="false">H3999*INDEX('Model Inputs &amp; Assumptions'!$G$40:$G$42,MATCH('Model Inputs &amp; Assumptions'!$L$35,'Model Inputs &amp; Assumptions'!$A$40:$A$42,0))*INDEX('Model Inputs &amp; Assumptions'!$H$40:$H$42,MATCH('Model Inputs &amp; Assumptions'!$L$35,'Model Inputs &amp; Assumptions'!$A$40:$A$42,0))</f>
        <v>5686.67666389161</v>
      </c>
      <c r="L3999" s="51" t="n">
        <f aca="false">IFERROR(K3999/I3999,0)</f>
        <v>0.655690972222537</v>
      </c>
      <c r="M3999" s="49" t="n">
        <f aca="false">IFERROR(I3999/H3999,0)</f>
        <v>291.677037052588</v>
      </c>
      <c r="N3999" s="52" t="str">
        <f aca="false">'Model Inputs &amp; Assumptions'!$L$35</f>
        <v>PRD-EUAI</v>
      </c>
      <c r="P3999" s="53" t="n">
        <v>-1.434368</v>
      </c>
      <c r="Q3999" s="53" t="n">
        <v>1.129056</v>
      </c>
      <c r="R3999" s="53" t="n">
        <v>-0.232925</v>
      </c>
      <c r="S3999" s="53" t="n">
        <v>-0.066149</v>
      </c>
    </row>
    <row r="4000" customFormat="false" ht="15" hidden="false" customHeight="false" outlineLevel="0" collapsed="false">
      <c r="A4000" s="43" t="n">
        <v>497</v>
      </c>
      <c r="B4000" s="44" t="str">
        <f aca="false">'Model Inputs &amp; Assumptions'!$B$35</f>
        <v>justETF — Sponsored Listing</v>
      </c>
      <c r="C4000" s="45" t="n">
        <f aca="false">ROUND(MAX(0,'Model Inputs &amp; Assumptions'!$S$35*EXP('Model Inputs &amp; Assumptions'!$T$35*P4000-'Model Inputs &amp; Assumptions'!$T$35^2/2)),0)</f>
        <v>81038</v>
      </c>
      <c r="D4000" s="46" t="n">
        <f aca="false">MIN(1,'Model Inputs &amp; Assumptions'!$U$35*EXP('Model Inputs &amp; Assumptions'!$V$35*Q4000-'Model Inputs &amp; Assumptions'!$V$35^2/2))</f>
        <v>0</v>
      </c>
      <c r="E4000" s="45" t="n">
        <f aca="false">ROUND(C4000*D4000,0)</f>
        <v>0</v>
      </c>
      <c r="F4000" s="47" t="n">
        <f aca="false">MIN(1,'Model Inputs &amp; Assumptions'!$W$35*EXP('Model Inputs &amp; Assumptions'!$X$35*R4000-'Model Inputs &amp; Assumptions'!$X$35^2/2))</f>
        <v>0.007202689704971</v>
      </c>
      <c r="G4000" s="45" t="n">
        <f aca="false">ROUND(C4000*F4000,0)</f>
        <v>584</v>
      </c>
      <c r="H4000" s="48" t="n">
        <f aca="false">MAX(0,(C4000*'Model Inputs &amp; Assumptions'!$N$35+E4000*'Model Inputs &amp; Assumptions'!$O$35+G4000*'Model Inputs &amp; Assumptions'!$P$35)*EXP('Model Inputs &amp; Assumptions'!$Q$35*S4000-'Model Inputs &amp; Assumptions'!$Q$35^2/2))</f>
        <v>37.469408469146</v>
      </c>
      <c r="I4000" s="49" t="n">
        <f aca="false">IF('Model Inputs &amp; Assumptions'!$H$35="Fixed",'Model Inputs &amp; Assumptions'!$I$35*'Model Inputs &amp; Assumptions'!$K$35,IF('Model Inputs &amp; Assumptions'!$H$35="CPM",'Model Inputs &amp; Assumptions'!$I$35*'Model Inputs &amp; Assumptions'!$K$35*C4000/1000,IF('Model Inputs &amp; Assumptions'!$H$35="CPC",'Model Inputs &amp; Assumptions'!$I$35*'Model Inputs &amp; Assumptions'!$K$35*G4000,0)))</f>
        <v>8672.8</v>
      </c>
      <c r="J4000" s="50" t="n">
        <f aca="false">H4000*INDEX('Model Inputs &amp; Assumptions'!$D$40:$D$42,MATCH('Model Inputs &amp; Assumptions'!$L$35,'Model Inputs &amp; Assumptions'!$A$40:$A$42,0))*INDEX('Model Inputs &amp; Assumptions'!$H$40:$H$42,MATCH('Model Inputs &amp; Assumptions'!$L$35,'Model Inputs &amp; Assumptions'!$A$40:$A$42,0))</f>
        <v>318489.971987741</v>
      </c>
      <c r="K4000" s="49" t="n">
        <f aca="false">H4000*INDEX('Model Inputs &amp; Assumptions'!$G$40:$G$42,MATCH('Model Inputs &amp; Assumptions'!$L$35,'Model Inputs &amp; Assumptions'!$A$40:$A$42,0))*INDEX('Model Inputs &amp; Assumptions'!$H$40:$H$42,MATCH('Model Inputs &amp; Assumptions'!$L$35,'Model Inputs &amp; Assumptions'!$A$40:$A$42,0))</f>
        <v>7166.02436972418</v>
      </c>
      <c r="L4000" s="51" t="n">
        <f aca="false">IFERROR(K4000/I4000,0)</f>
        <v>0.826264224901321</v>
      </c>
      <c r="M4000" s="49" t="n">
        <f aca="false">IFERROR(I4000/H4000,0)</f>
        <v>231.463488598748</v>
      </c>
      <c r="N4000" s="52" t="str">
        <f aca="false">'Model Inputs &amp; Assumptions'!$L$35</f>
        <v>PRD-EUAI</v>
      </c>
      <c r="P4000" s="53" t="n">
        <v>-0.579676</v>
      </c>
      <c r="Q4000" s="53" t="n">
        <v>0.084558</v>
      </c>
      <c r="R4000" s="53" t="n">
        <v>0.461735</v>
      </c>
      <c r="S4000" s="53" t="n">
        <v>-0.205062</v>
      </c>
    </row>
    <row r="4001" customFormat="false" ht="15" hidden="false" customHeight="false" outlineLevel="0" collapsed="false">
      <c r="A4001" s="43" t="n">
        <v>498</v>
      </c>
      <c r="B4001" s="44" t="str">
        <f aca="false">'Model Inputs &amp; Assumptions'!$B$35</f>
        <v>justETF — Sponsored Listing</v>
      </c>
      <c r="C4001" s="45" t="n">
        <f aca="false">ROUND(MAX(0,'Model Inputs &amp; Assumptions'!$S$35*EXP('Model Inputs &amp; Assumptions'!$T$35*P4001-'Model Inputs &amp; Assumptions'!$T$35^2/2)),0)</f>
        <v>92647</v>
      </c>
      <c r="D4001" s="46" t="n">
        <f aca="false">MIN(1,'Model Inputs &amp; Assumptions'!$U$35*EXP('Model Inputs &amp; Assumptions'!$V$35*Q4001-'Model Inputs &amp; Assumptions'!$V$35^2/2))</f>
        <v>0</v>
      </c>
      <c r="E4001" s="45" t="n">
        <f aca="false">ROUND(C4001*D4001,0)</f>
        <v>0</v>
      </c>
      <c r="F4001" s="47" t="n">
        <f aca="false">MIN(1,'Model Inputs &amp; Assumptions'!$W$35*EXP('Model Inputs &amp; Assumptions'!$X$35*R4001-'Model Inputs &amp; Assumptions'!$X$35^2/2))</f>
        <v>0.00768435563520345</v>
      </c>
      <c r="G4001" s="45" t="n">
        <f aca="false">ROUND(C4001*F4001,0)</f>
        <v>712</v>
      </c>
      <c r="H4001" s="48" t="n">
        <f aca="false">MAX(0,(C4001*'Model Inputs &amp; Assumptions'!$N$35+E4001*'Model Inputs &amp; Assumptions'!$O$35+G4001*'Model Inputs &amp; Assumptions'!$P$35)*EXP('Model Inputs &amp; Assumptions'!$Q$35*S4001-'Model Inputs &amp; Assumptions'!$Q$35^2/2))</f>
        <v>37.1401596486624</v>
      </c>
      <c r="I4001" s="49" t="n">
        <f aca="false">IF('Model Inputs &amp; Assumptions'!$H$35="Fixed",'Model Inputs &amp; Assumptions'!$I$35*'Model Inputs &amp; Assumptions'!$K$35,IF('Model Inputs &amp; Assumptions'!$H$35="CPM",'Model Inputs &amp; Assumptions'!$I$35*'Model Inputs &amp; Assumptions'!$K$35*C4001/1000,IF('Model Inputs &amp; Assumptions'!$H$35="CPC",'Model Inputs &amp; Assumptions'!$I$35*'Model Inputs &amp; Assumptions'!$K$35*G4001,0)))</f>
        <v>8672.8</v>
      </c>
      <c r="J4001" s="50" t="n">
        <f aca="false">H4001*INDEX('Model Inputs &amp; Assumptions'!$D$40:$D$42,MATCH('Model Inputs &amp; Assumptions'!$L$35,'Model Inputs &amp; Assumptions'!$A$40:$A$42,0))*INDEX('Model Inputs &amp; Assumptions'!$H$40:$H$42,MATCH('Model Inputs &amp; Assumptions'!$L$35,'Model Inputs &amp; Assumptions'!$A$40:$A$42,0))</f>
        <v>315691.35701363</v>
      </c>
      <c r="K4001" s="49" t="n">
        <f aca="false">H4001*INDEX('Model Inputs &amp; Assumptions'!$G$40:$G$42,MATCH('Model Inputs &amp; Assumptions'!$L$35,'Model Inputs &amp; Assumptions'!$A$40:$A$42,0))*INDEX('Model Inputs &amp; Assumptions'!$H$40:$H$42,MATCH('Model Inputs &amp; Assumptions'!$L$35,'Model Inputs &amp; Assumptions'!$A$40:$A$42,0))</f>
        <v>7103.05553280668</v>
      </c>
      <c r="L4001" s="51" t="n">
        <f aca="false">IFERROR(K4001/I4001,0)</f>
        <v>0.819003728070137</v>
      </c>
      <c r="M4001" s="49" t="n">
        <f aca="false">IFERROR(I4001/H4001,0)</f>
        <v>233.515420559382</v>
      </c>
      <c r="N4001" s="52" t="str">
        <f aca="false">'Model Inputs &amp; Assumptions'!$L$35</f>
        <v>PRD-EUAI</v>
      </c>
      <c r="P4001" s="53" t="n">
        <v>0.31283</v>
      </c>
      <c r="Q4001" s="53" t="n">
        <v>0.058818</v>
      </c>
      <c r="R4001" s="53" t="n">
        <v>0.785395</v>
      </c>
      <c r="S4001" s="53" t="n">
        <v>-1.001227</v>
      </c>
    </row>
    <row r="4002" customFormat="false" ht="15" hidden="false" customHeight="false" outlineLevel="0" collapsed="false">
      <c r="A4002" s="43" t="n">
        <v>499</v>
      </c>
      <c r="B4002" s="44" t="str">
        <f aca="false">'Model Inputs &amp; Assumptions'!$B$35</f>
        <v>justETF — Sponsored Listing</v>
      </c>
      <c r="C4002" s="45" t="n">
        <f aca="false">ROUND(MAX(0,'Model Inputs &amp; Assumptions'!$S$35*EXP('Model Inputs &amp; Assumptions'!$T$35*P4002-'Model Inputs &amp; Assumptions'!$T$35^2/2)),0)</f>
        <v>69475</v>
      </c>
      <c r="D4002" s="46" t="n">
        <f aca="false">MIN(1,'Model Inputs &amp; Assumptions'!$U$35*EXP('Model Inputs &amp; Assumptions'!$V$35*Q4002-'Model Inputs &amp; Assumptions'!$V$35^2/2))</f>
        <v>0</v>
      </c>
      <c r="E4002" s="45" t="n">
        <f aca="false">ROUND(C4002*D4002,0)</f>
        <v>0</v>
      </c>
      <c r="F4002" s="47" t="n">
        <f aca="false">MIN(1,'Model Inputs &amp; Assumptions'!$W$35*EXP('Model Inputs &amp; Assumptions'!$X$35*R4002-'Model Inputs &amp; Assumptions'!$X$35^2/2))</f>
        <v>0.00533425337441596</v>
      </c>
      <c r="G4002" s="45" t="n">
        <f aca="false">ROUND(C4002*F4002,0)</f>
        <v>371</v>
      </c>
      <c r="H4002" s="48" t="n">
        <f aca="false">MAX(0,(C4002*'Model Inputs &amp; Assumptions'!$N$35+E4002*'Model Inputs &amp; Assumptions'!$O$35+G4002*'Model Inputs &amp; Assumptions'!$P$35)*EXP('Model Inputs &amp; Assumptions'!$Q$35*S4002-'Model Inputs &amp; Assumptions'!$Q$35^2/2))</f>
        <v>24.1553596143044</v>
      </c>
      <c r="I4002" s="49" t="n">
        <f aca="false">IF('Model Inputs &amp; Assumptions'!$H$35="Fixed",'Model Inputs &amp; Assumptions'!$I$35*'Model Inputs &amp; Assumptions'!$K$35,IF('Model Inputs &amp; Assumptions'!$H$35="CPM",'Model Inputs &amp; Assumptions'!$I$35*'Model Inputs &amp; Assumptions'!$K$35*C4002/1000,IF('Model Inputs &amp; Assumptions'!$H$35="CPC",'Model Inputs &amp; Assumptions'!$I$35*'Model Inputs &amp; Assumptions'!$K$35*G4002,0)))</f>
        <v>8672.8</v>
      </c>
      <c r="J4002" s="50" t="n">
        <f aca="false">H4002*INDEX('Model Inputs &amp; Assumptions'!$D$40:$D$42,MATCH('Model Inputs &amp; Assumptions'!$L$35,'Model Inputs &amp; Assumptions'!$A$40:$A$42,0))*INDEX('Model Inputs &amp; Assumptions'!$H$40:$H$42,MATCH('Model Inputs &amp; Assumptions'!$L$35,'Model Inputs &amp; Assumptions'!$A$40:$A$42,0))</f>
        <v>205320.556721587</v>
      </c>
      <c r="K4002" s="49" t="n">
        <f aca="false">H4002*INDEX('Model Inputs &amp; Assumptions'!$G$40:$G$42,MATCH('Model Inputs &amp; Assumptions'!$L$35,'Model Inputs &amp; Assumptions'!$A$40:$A$42,0))*INDEX('Model Inputs &amp; Assumptions'!$H$40:$H$42,MATCH('Model Inputs &amp; Assumptions'!$L$35,'Model Inputs &amp; Assumptions'!$A$40:$A$42,0))</f>
        <v>4619.71252623571</v>
      </c>
      <c r="L4002" s="51" t="n">
        <f aca="false">IFERROR(K4002/I4002,0)</f>
        <v>0.532666788838174</v>
      </c>
      <c r="M4002" s="49" t="n">
        <f aca="false">IFERROR(I4002/H4002,0)</f>
        <v>359.042470842128</v>
      </c>
      <c r="N4002" s="52" t="str">
        <f aca="false">'Model Inputs &amp; Assumptions'!$L$35</f>
        <v>PRD-EUAI</v>
      </c>
      <c r="P4002" s="53" t="n">
        <v>-1.606049</v>
      </c>
      <c r="Q4002" s="53" t="n">
        <v>0.087939</v>
      </c>
      <c r="R4002" s="53" t="n">
        <v>-1.039793</v>
      </c>
      <c r="S4002" s="53" t="n">
        <v>-0.148599</v>
      </c>
    </row>
    <row r="4003" customFormat="false" ht="15" hidden="false" customHeight="false" outlineLevel="0" collapsed="false">
      <c r="A4003" s="43" t="n">
        <v>500</v>
      </c>
      <c r="B4003" s="44" t="str">
        <f aca="false">'Model Inputs &amp; Assumptions'!$B$35</f>
        <v>justETF — Sponsored Listing</v>
      </c>
      <c r="C4003" s="45" t="n">
        <f aca="false">ROUND(MAX(0,'Model Inputs &amp; Assumptions'!$S$35*EXP('Model Inputs &amp; Assumptions'!$T$35*P4003-'Model Inputs &amp; Assumptions'!$T$35^2/2)),0)</f>
        <v>74102</v>
      </c>
      <c r="D4003" s="46" t="n">
        <f aca="false">MIN(1,'Model Inputs &amp; Assumptions'!$U$35*EXP('Model Inputs &amp; Assumptions'!$V$35*Q4003-'Model Inputs &amp; Assumptions'!$V$35^2/2))</f>
        <v>0</v>
      </c>
      <c r="E4003" s="45" t="n">
        <f aca="false">ROUND(C4003*D4003,0)</f>
        <v>0</v>
      </c>
      <c r="F4003" s="47" t="n">
        <f aca="false">MIN(1,'Model Inputs &amp; Assumptions'!$W$35*EXP('Model Inputs &amp; Assumptions'!$X$35*R4003-'Model Inputs &amp; Assumptions'!$X$35^2/2))</f>
        <v>0.00781490123874505</v>
      </c>
      <c r="G4003" s="45" t="n">
        <f aca="false">ROUND(C4003*F4003,0)</f>
        <v>579</v>
      </c>
      <c r="H4003" s="48" t="n">
        <f aca="false">MAX(0,(C4003*'Model Inputs &amp; Assumptions'!$N$35+E4003*'Model Inputs &amp; Assumptions'!$O$35+G4003*'Model Inputs &amp; Assumptions'!$P$35)*EXP('Model Inputs &amp; Assumptions'!$Q$35*S4003-'Model Inputs &amp; Assumptions'!$Q$35^2/2))</f>
        <v>32.3529640328583</v>
      </c>
      <c r="I4003" s="49" t="n">
        <f aca="false">IF('Model Inputs &amp; Assumptions'!$H$35="Fixed",'Model Inputs &amp; Assumptions'!$I$35*'Model Inputs &amp; Assumptions'!$K$35,IF('Model Inputs &amp; Assumptions'!$H$35="CPM",'Model Inputs &amp; Assumptions'!$I$35*'Model Inputs &amp; Assumptions'!$K$35*C4003/1000,IF('Model Inputs &amp; Assumptions'!$H$35="CPC",'Model Inputs &amp; Assumptions'!$I$35*'Model Inputs &amp; Assumptions'!$K$35*G4003,0)))</f>
        <v>8672.8</v>
      </c>
      <c r="J4003" s="50" t="n">
        <f aca="false">H4003*INDEX('Model Inputs &amp; Assumptions'!$D$40:$D$42,MATCH('Model Inputs &amp; Assumptions'!$L$35,'Model Inputs &amp; Assumptions'!$A$40:$A$42,0))*INDEX('Model Inputs &amp; Assumptions'!$H$40:$H$42,MATCH('Model Inputs &amp; Assumptions'!$L$35,'Model Inputs &amp; Assumptions'!$A$40:$A$42,0))</f>
        <v>275000.194279296</v>
      </c>
      <c r="K4003" s="49" t="n">
        <f aca="false">H4003*INDEX('Model Inputs &amp; Assumptions'!$G$40:$G$42,MATCH('Model Inputs &amp; Assumptions'!$L$35,'Model Inputs &amp; Assumptions'!$A$40:$A$42,0))*INDEX('Model Inputs &amp; Assumptions'!$H$40:$H$42,MATCH('Model Inputs &amp; Assumptions'!$L$35,'Model Inputs &amp; Assumptions'!$A$40:$A$42,0))</f>
        <v>6187.50437128415</v>
      </c>
      <c r="L4003" s="51" t="n">
        <f aca="false">IFERROR(K4003/I4003,0)</f>
        <v>0.713437917544986</v>
      </c>
      <c r="M4003" s="49" t="n">
        <f aca="false">IFERROR(I4003/H4003,0)</f>
        <v>268.068174254196</v>
      </c>
      <c r="N4003" s="52" t="str">
        <f aca="false">'Model Inputs &amp; Assumptions'!$L$35</f>
        <v>PRD-EUAI</v>
      </c>
      <c r="P4003" s="53" t="n">
        <v>-1.176149</v>
      </c>
      <c r="Q4003" s="53" t="n">
        <v>1.577875</v>
      </c>
      <c r="R4003" s="53" t="n">
        <v>0.869624</v>
      </c>
      <c r="S4003" s="53" t="n">
        <v>-0.73668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EBEF7"/>
    <pageSetUpPr fitToPage="true"/>
  </sheetPr>
  <dimension ref="A1:AE5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16"/>
    <col collapsed="false" customWidth="true" hidden="false" outlineLevel="0" max="4" min="4" style="0" width="14"/>
    <col collapsed="false" customWidth="true" hidden="false" outlineLevel="0" max="6" min="5" style="0" width="16"/>
    <col collapsed="false" customWidth="true" hidden="false" outlineLevel="0" max="8" min="7" style="0" width="18"/>
    <col collapsed="false" customWidth="true" hidden="false" outlineLevel="0" max="9" min="9" style="0" width="12"/>
    <col collapsed="false" customWidth="true" hidden="false" outlineLevel="0" max="10" min="10" style="0" width="18"/>
    <col collapsed="false" customWidth="true" hidden="false" outlineLevel="0" max="12" min="11" style="0" width="14"/>
    <col collapsed="false" customWidth="true" hidden="false" outlineLevel="0" max="31" min="14" style="0" width="16"/>
  </cols>
  <sheetData>
    <row r="1" customFormat="false" ht="25.5" hidden="false" customHeight="true" outlineLevel="0" collapsed="false">
      <c r="A1" s="1" t="s">
        <v>268</v>
      </c>
      <c r="B1" s="1"/>
      <c r="C1" s="1"/>
      <c r="D1" s="1"/>
      <c r="E1" s="1"/>
      <c r="F1" s="1"/>
      <c r="G1" s="1"/>
      <c r="H1" s="1"/>
      <c r="I1" s="1"/>
      <c r="J1" s="1"/>
      <c r="K1" s="1"/>
      <c r="L1" s="1"/>
      <c r="N1" s="2" t="s">
        <v>269</v>
      </c>
    </row>
    <row r="2" customFormat="false" ht="15" hidden="false" customHeight="false" outlineLevel="0" collapsed="false">
      <c r="A2" s="2" t="s">
        <v>270</v>
      </c>
      <c r="N2" s="54" t="str">
        <f aca="false">'Model Inputs &amp; Assumptions'!$A$40</f>
        <v>PRD-EUAI</v>
      </c>
      <c r="O2" s="55" t="str">
        <f aca="false">'Model Inputs &amp; Assumptions'!$B$40</f>
        <v>Ultramarin Europe AI UCITS ETF (EUAI)</v>
      </c>
      <c r="P2" s="55"/>
      <c r="Q2" s="55"/>
      <c r="R2" s="55"/>
      <c r="S2" s="55"/>
      <c r="T2" s="54" t="str">
        <f aca="false">'Model Inputs &amp; Assumptions'!$A$41</f>
        <v>PRD-USIQ</v>
      </c>
      <c r="U2" s="55" t="str">
        <f aca="false">'Model Inputs &amp; Assumptions'!$B$41</f>
        <v>Ultramarin US Innovation UCITS ETF (USIQ)</v>
      </c>
      <c r="V2" s="55"/>
      <c r="W2" s="55"/>
      <c r="X2" s="55"/>
      <c r="Y2" s="55"/>
      <c r="Z2" s="54" t="str">
        <f aca="false">'Model Inputs &amp; Assumptions'!$A$42</f>
        <v>PRD-SP01</v>
      </c>
      <c r="AA2" s="55" t="str">
        <f aca="false">'Model Inputs &amp; Assumptions'!$B$42</f>
        <v>EUAI Savings Plan (monthly)</v>
      </c>
      <c r="AB2" s="55"/>
      <c r="AC2" s="55"/>
      <c r="AD2" s="55"/>
      <c r="AE2" s="55"/>
    </row>
    <row r="3" customFormat="false" ht="30" hidden="false" customHeight="true" outlineLevel="0" collapsed="false">
      <c r="A3" s="14" t="s">
        <v>259</v>
      </c>
      <c r="B3" s="14" t="s">
        <v>271</v>
      </c>
      <c r="C3" s="14" t="s">
        <v>272</v>
      </c>
      <c r="D3" s="14" t="s">
        <v>273</v>
      </c>
      <c r="E3" s="14" t="s">
        <v>274</v>
      </c>
      <c r="F3" s="14" t="s">
        <v>275</v>
      </c>
      <c r="G3" s="14" t="s">
        <v>276</v>
      </c>
      <c r="H3" s="14" t="s">
        <v>277</v>
      </c>
      <c r="I3" s="14" t="s">
        <v>228</v>
      </c>
      <c r="J3" s="14" t="s">
        <v>224</v>
      </c>
      <c r="K3" s="14" t="s">
        <v>213</v>
      </c>
      <c r="L3" s="14" t="s">
        <v>217</v>
      </c>
      <c r="N3" s="14" t="s">
        <v>219</v>
      </c>
      <c r="O3" s="14" t="s">
        <v>221</v>
      </c>
      <c r="P3" s="14" t="s">
        <v>226</v>
      </c>
      <c r="Q3" s="14" t="s">
        <v>92</v>
      </c>
      <c r="R3" s="14" t="s">
        <v>228</v>
      </c>
      <c r="S3" s="14" t="s">
        <v>224</v>
      </c>
      <c r="T3" s="14" t="s">
        <v>219</v>
      </c>
      <c r="U3" s="14" t="s">
        <v>221</v>
      </c>
      <c r="V3" s="14" t="s">
        <v>226</v>
      </c>
      <c r="W3" s="14" t="s">
        <v>92</v>
      </c>
      <c r="X3" s="14" t="s">
        <v>228</v>
      </c>
      <c r="Y3" s="14" t="s">
        <v>224</v>
      </c>
      <c r="Z3" s="14" t="s">
        <v>219</v>
      </c>
      <c r="AA3" s="14" t="s">
        <v>221</v>
      </c>
      <c r="AB3" s="14" t="s">
        <v>226</v>
      </c>
      <c r="AC3" s="14" t="s">
        <v>92</v>
      </c>
      <c r="AD3" s="14" t="s">
        <v>228</v>
      </c>
      <c r="AE3" s="14" t="s">
        <v>224</v>
      </c>
    </row>
    <row r="4" customFormat="false" ht="15" hidden="false" customHeight="false" outlineLevel="0" collapsed="false">
      <c r="A4" s="43" t="n">
        <v>1</v>
      </c>
      <c r="B4" s="45" t="n">
        <f aca="false">SUM('Activation Detail'!C4,'Activation Detail'!C504,'Activation Detail'!C1004,'Activation Detail'!C1504,'Activation Detail'!C2004,'Activation Detail'!C2504,'Activation Detail'!C3004,'Activation Detail'!C3504)</f>
        <v>4338924</v>
      </c>
      <c r="C4" s="45" t="n">
        <f aca="false">SUM('Activation Detail'!E4,'Activation Detail'!E504,'Activation Detail'!E1004,'Activation Detail'!E1504,'Activation Detail'!E2004,'Activation Detail'!E2504,'Activation Detail'!E3004,'Activation Detail'!E3504)</f>
        <v>563006</v>
      </c>
      <c r="D4" s="45" t="n">
        <f aca="false">SUM('Activation Detail'!G4,'Activation Detail'!G504,'Activation Detail'!G1004,'Activation Detail'!G1504,'Activation Detail'!G2004,'Activation Detail'!G2504,'Activation Detail'!G3004,'Activation Detail'!G3504)</f>
        <v>13453</v>
      </c>
      <c r="E4" s="48" t="n">
        <f aca="false">SUM('Activation Detail'!H4,'Activation Detail'!H504,'Activation Detail'!H1004,'Activation Detail'!H1504,'Activation Detail'!H2004,'Activation Detail'!H2504,'Activation Detail'!H3004,'Activation Detail'!H3504)</f>
        <v>521.433899694187</v>
      </c>
      <c r="F4" s="50" t="n">
        <f aca="false">SUM('Activation Detail'!I4,'Activation Detail'!I504,'Activation Detail'!I1004,'Activation Detail'!I1504,'Activation Detail'!I2004,'Activation Detail'!I2504,'Activation Detail'!I3004,'Activation Detail'!I3504)</f>
        <v>77829.056166</v>
      </c>
      <c r="G4" s="50" t="n">
        <f aca="false">SUM('Activation Detail'!J4,'Activation Detail'!J504,'Activation Detail'!J1004,'Activation Detail'!J1504,'Activation Detail'!J2004,'Activation Detail'!J2504,'Activation Detail'!J3004,'Activation Detail'!J3504)</f>
        <v>3391056.87831518</v>
      </c>
      <c r="H4" s="50" t="n">
        <f aca="false">SUM('Activation Detail'!K4,'Activation Detail'!K504,'Activation Detail'!K1004,'Activation Detail'!K1504,'Activation Detail'!K2004,'Activation Detail'!K2504,'Activation Detail'!K3004,'Activation Detail'!K3504)</f>
        <v>73603.5234092818</v>
      </c>
      <c r="I4" s="51" t="n">
        <f aca="false">IFERROR(H4/F4,0)</f>
        <v>0.945707516384297</v>
      </c>
      <c r="J4" s="49" t="n">
        <f aca="false">IFERROR(F4/E4,0)</f>
        <v>149.259678382333</v>
      </c>
      <c r="K4" s="46" t="n">
        <f aca="false">IFERROR(C4/B4,0)</f>
        <v>0.12975705497492</v>
      </c>
      <c r="L4" s="47" t="n">
        <f aca="false">IFERROR(D4/B4,0)</f>
        <v>0.00310053829013829</v>
      </c>
      <c r="N4" s="48" t="n">
        <f aca="false">SUMIFS('Activation Detail'!$H$4:$H$4003,'Activation Detail'!$A$4:$A$4003,$A4,'Activation Detail'!$N$4:$N$4003,N$2)</f>
        <v>92.5521451726964</v>
      </c>
      <c r="O4" s="50" t="n">
        <f aca="false">N4*'Model Inputs &amp; Assumptions'!$D$40*'Model Inputs &amp; Assumptions'!$H$40</f>
        <v>786693.233967919</v>
      </c>
      <c r="P4" s="50" t="n">
        <f aca="false">N4*'Model Inputs &amp; Assumptions'!$G$40*'Model Inputs &amp; Assumptions'!$H$40</f>
        <v>17700.5977642782</v>
      </c>
      <c r="Q4" s="50" t="n">
        <f aca="false">SUMIFS('Activation Detail'!$I$4:$I$4003,'Activation Detail'!$A$4:$A$4003,$A4,'Activation Detail'!$N$4:$N$4003,N$2)</f>
        <v>18064.4095</v>
      </c>
      <c r="R4" s="51" t="n">
        <f aca="false">IFERROR(P4/Q4,0)</f>
        <v>0.979860302894384</v>
      </c>
      <c r="S4" s="49" t="n">
        <f aca="false">IFERROR(Q4/N4,0)</f>
        <v>195.180883882194</v>
      </c>
      <c r="T4" s="48" t="n">
        <f aca="false">SUMIFS('Activation Detail'!$H$4:$H$4003,'Activation Detail'!$A$4:$A$4003,$A4,'Activation Detail'!$N$4:$N$4003,T$2)</f>
        <v>160.223427739565</v>
      </c>
      <c r="U4" s="50" t="n">
        <f aca="false">T4*'Model Inputs &amp; Assumptions'!$D$41*'Model Inputs &amp; Assumptions'!$H$41</f>
        <v>1153608.67972487</v>
      </c>
      <c r="V4" s="50" t="n">
        <f aca="false">T4*'Model Inputs &amp; Assumptions'!$G$41*'Model Inputs &amp; Assumptions'!$H$41</f>
        <v>25437.0713879333</v>
      </c>
      <c r="W4" s="50" t="n">
        <f aca="false">SUMIFS('Activation Detail'!$I$4:$I$4003,'Activation Detail'!$A$4:$A$4003,$A4,'Activation Detail'!$N$4:$N$4003,T$2)</f>
        <v>17857.174666</v>
      </c>
      <c r="X4" s="51" t="n">
        <f aca="false">IFERROR(V4/W4,0)</f>
        <v>1.42447346031539</v>
      </c>
      <c r="Y4" s="49" t="n">
        <f aca="false">IFERROR(W4/T4,0)</f>
        <v>111.451707892718</v>
      </c>
      <c r="Z4" s="48" t="n">
        <f aca="false">SUMIFS('Activation Detail'!$H$4:$H$4003,'Activation Detail'!$A$4:$A$4003,$A4,'Activation Detail'!$N$4:$N$4003,Z$2)</f>
        <v>268.658326781925</v>
      </c>
      <c r="AA4" s="50" t="n">
        <f aca="false">Z4*'Model Inputs &amp; Assumptions'!$D$42*'Model Inputs &amp; Assumptions'!$H$42</f>
        <v>1450754.9646224</v>
      </c>
      <c r="AB4" s="50" t="n">
        <f aca="false">Z4*'Model Inputs &amp; Assumptions'!$G$42*'Model Inputs &amp; Assumptions'!$H$42</f>
        <v>30465.8542570703</v>
      </c>
      <c r="AC4" s="50" t="n">
        <f aca="false">SUMIFS('Activation Detail'!$I$4:$I$4003,'Activation Detail'!$A$4:$A$4003,$A4,'Activation Detail'!$N$4:$N$4003,Z$2)</f>
        <v>41907.472</v>
      </c>
      <c r="AD4" s="51" t="n">
        <f aca="false">IFERROR(AB4/AC4,0)</f>
        <v>0.726979051780321</v>
      </c>
      <c r="AE4" s="49" t="n">
        <f aca="false">IFERROR(AC4/Z4,0)</f>
        <v>155.987988542849</v>
      </c>
    </row>
    <row r="5" customFormat="false" ht="15" hidden="false" customHeight="false" outlineLevel="0" collapsed="false">
      <c r="A5" s="43" t="n">
        <v>2</v>
      </c>
      <c r="B5" s="45" t="n">
        <f aca="false">SUM('Activation Detail'!C5,'Activation Detail'!C505,'Activation Detail'!C1005,'Activation Detail'!C1505,'Activation Detail'!C2005,'Activation Detail'!C2505,'Activation Detail'!C3005,'Activation Detail'!C3505)</f>
        <v>3399512</v>
      </c>
      <c r="C5" s="45" t="n">
        <f aca="false">SUM('Activation Detail'!E5,'Activation Detail'!E505,'Activation Detail'!E1005,'Activation Detail'!E1505,'Activation Detail'!E2005,'Activation Detail'!E2505,'Activation Detail'!E3005,'Activation Detail'!E3505)</f>
        <v>420062</v>
      </c>
      <c r="D5" s="45" t="n">
        <f aca="false">SUM('Activation Detail'!G5,'Activation Detail'!G505,'Activation Detail'!G1005,'Activation Detail'!G1505,'Activation Detail'!G2005,'Activation Detail'!G2505,'Activation Detail'!G3005,'Activation Detail'!G3505)</f>
        <v>12384</v>
      </c>
      <c r="E5" s="48" t="n">
        <f aca="false">SUM('Activation Detail'!H5,'Activation Detail'!H505,'Activation Detail'!H1005,'Activation Detail'!H1505,'Activation Detail'!H2005,'Activation Detail'!H2505,'Activation Detail'!H3005,'Activation Detail'!H3505)</f>
        <v>504.571330548706</v>
      </c>
      <c r="F5" s="50" t="n">
        <f aca="false">SUM('Activation Detail'!I5,'Activation Detail'!I505,'Activation Detail'!I1005,'Activation Detail'!I1505,'Activation Detail'!I2005,'Activation Detail'!I2505,'Activation Detail'!I3005,'Activation Detail'!I3505)</f>
        <v>74019.42822</v>
      </c>
      <c r="G5" s="50" t="n">
        <f aca="false">SUM('Activation Detail'!J5,'Activation Detail'!J505,'Activation Detail'!J1005,'Activation Detail'!J1505,'Activation Detail'!J2005,'Activation Detail'!J2505,'Activation Detail'!J3005,'Activation Detail'!J3505)</f>
        <v>3384576.17059433</v>
      </c>
      <c r="H5" s="50" t="n">
        <f aca="false">SUM('Activation Detail'!K5,'Activation Detail'!K505,'Activation Detail'!K1005,'Activation Detail'!K1505,'Activation Detail'!K2005,'Activation Detail'!K2505,'Activation Detail'!K3005,'Activation Detail'!K3505)</f>
        <v>73816.3046935087</v>
      </c>
      <c r="I5" s="51" t="n">
        <f aca="false">IFERROR(H5/F5,0)</f>
        <v>0.99725580794967</v>
      </c>
      <c r="J5" s="49" t="n">
        <f aca="false">IFERROR(F5/E5,0)</f>
        <v>146.69764954641</v>
      </c>
      <c r="K5" s="46" t="n">
        <f aca="false">IFERROR(C5/B5,0)</f>
        <v>0.123565382325463</v>
      </c>
      <c r="L5" s="47" t="n">
        <f aca="false">IFERROR(D5/B5,0)</f>
        <v>0.00364287580099732</v>
      </c>
      <c r="N5" s="48" t="n">
        <f aca="false">SUMIFS('Activation Detail'!$H$4:$H$4003,'Activation Detail'!$A$4:$A$4003,$A5,'Activation Detail'!$N$4:$N$4003,N$2)</f>
        <v>116.063068977087</v>
      </c>
      <c r="O5" s="50" t="n">
        <f aca="false">N5*'Model Inputs &amp; Assumptions'!$D$40*'Model Inputs &amp; Assumptions'!$H$40</f>
        <v>986536.086305237</v>
      </c>
      <c r="P5" s="50" t="n">
        <f aca="false">N5*'Model Inputs &amp; Assumptions'!$G$40*'Model Inputs &amp; Assumptions'!$H$40</f>
        <v>22197.0619418678</v>
      </c>
      <c r="Q5" s="50" t="n">
        <f aca="false">SUMIFS('Activation Detail'!$I$4:$I$4003,'Activation Detail'!$A$4:$A$4003,$A5,'Activation Detail'!$N$4:$N$4003,N$2)</f>
        <v>18010.024</v>
      </c>
      <c r="R5" s="51" t="n">
        <f aca="false">IFERROR(P5/Q5,0)</f>
        <v>1.23248375137467</v>
      </c>
      <c r="S5" s="49" t="n">
        <f aca="false">IFERROR(Q5/N5,0)</f>
        <v>155.174459530754</v>
      </c>
      <c r="T5" s="48" t="n">
        <f aca="false">SUMIFS('Activation Detail'!$H$4:$H$4003,'Activation Detail'!$A$4:$A$4003,$A5,'Activation Detail'!$N$4:$N$4003,T$2)</f>
        <v>166.719706556861</v>
      </c>
      <c r="U5" s="50" t="n">
        <f aca="false">T5*'Model Inputs &amp; Assumptions'!$D$41*'Model Inputs &amp; Assumptions'!$H$41</f>
        <v>1200381.8872094</v>
      </c>
      <c r="V5" s="50" t="n">
        <f aca="false">T5*'Model Inputs &amp; Assumptions'!$G$41*'Model Inputs &amp; Assumptions'!$H$41</f>
        <v>26468.4206129673</v>
      </c>
      <c r="W5" s="50" t="n">
        <f aca="false">SUMIFS('Activation Detail'!$I$4:$I$4003,'Activation Detail'!$A$4:$A$4003,$A5,'Activation Detail'!$N$4:$N$4003,T$2)</f>
        <v>18610.17622</v>
      </c>
      <c r="X5" s="51" t="n">
        <f aca="false">IFERROR(V5/W5,0)</f>
        <v>1.42225523821328</v>
      </c>
      <c r="Y5" s="49" t="n">
        <f aca="false">IFERROR(W5/T5,0)</f>
        <v>111.625533683703</v>
      </c>
      <c r="Z5" s="48" t="n">
        <f aca="false">SUMIFS('Activation Detail'!$H$4:$H$4003,'Activation Detail'!$A$4:$A$4003,$A5,'Activation Detail'!$N$4:$N$4003,Z$2)</f>
        <v>221.788555014758</v>
      </c>
      <c r="AA5" s="50" t="n">
        <f aca="false">Z5*'Model Inputs &amp; Assumptions'!$D$42*'Model Inputs &amp; Assumptions'!$H$42</f>
        <v>1197658.19707969</v>
      </c>
      <c r="AB5" s="50" t="n">
        <f aca="false">Z5*'Model Inputs &amp; Assumptions'!$G$42*'Model Inputs &amp; Assumptions'!$H$42</f>
        <v>25150.8221386736</v>
      </c>
      <c r="AC5" s="50" t="n">
        <f aca="false">SUMIFS('Activation Detail'!$I$4:$I$4003,'Activation Detail'!$A$4:$A$4003,$A5,'Activation Detail'!$N$4:$N$4003,Z$2)</f>
        <v>37399.228</v>
      </c>
      <c r="AD5" s="51" t="n">
        <f aca="false">IFERROR(AB5/AC5,0)</f>
        <v>0.67249575682882</v>
      </c>
      <c r="AE5" s="49" t="n">
        <f aca="false">IFERROR(AC5/Z5,0)</f>
        <v>168.625599267335</v>
      </c>
    </row>
    <row r="6" customFormat="false" ht="15" hidden="false" customHeight="false" outlineLevel="0" collapsed="false">
      <c r="A6" s="43" t="n">
        <v>3</v>
      </c>
      <c r="B6" s="45" t="n">
        <f aca="false">SUM('Activation Detail'!C6,'Activation Detail'!C506,'Activation Detail'!C1006,'Activation Detail'!C1506,'Activation Detail'!C2006,'Activation Detail'!C2506,'Activation Detail'!C3006,'Activation Detail'!C3506)</f>
        <v>4489892</v>
      </c>
      <c r="C6" s="45" t="n">
        <f aca="false">SUM('Activation Detail'!E6,'Activation Detail'!E506,'Activation Detail'!E1006,'Activation Detail'!E1506,'Activation Detail'!E2006,'Activation Detail'!E2506,'Activation Detail'!E3006,'Activation Detail'!E3506)</f>
        <v>642981</v>
      </c>
      <c r="D6" s="45" t="n">
        <f aca="false">SUM('Activation Detail'!G6,'Activation Detail'!G506,'Activation Detail'!G1006,'Activation Detail'!G1506,'Activation Detail'!G2006,'Activation Detail'!G2506,'Activation Detail'!G3006,'Activation Detail'!G3506)</f>
        <v>16700</v>
      </c>
      <c r="E6" s="48" t="n">
        <f aca="false">SUM('Activation Detail'!H6,'Activation Detail'!H506,'Activation Detail'!H1006,'Activation Detail'!H1506,'Activation Detail'!H2006,'Activation Detail'!H2506,'Activation Detail'!H3006,'Activation Detail'!H3506)</f>
        <v>708.884511379786</v>
      </c>
      <c r="F6" s="50" t="n">
        <f aca="false">SUM('Activation Detail'!I6,'Activation Detail'!I506,'Activation Detail'!I1006,'Activation Detail'!I1506,'Activation Detail'!I2006,'Activation Detail'!I2506,'Activation Detail'!I3006,'Activation Detail'!I3506)</f>
        <v>76028.047018</v>
      </c>
      <c r="G6" s="50" t="n">
        <f aca="false">SUM('Activation Detail'!J6,'Activation Detail'!J506,'Activation Detail'!J1006,'Activation Detail'!J1506,'Activation Detail'!J2006,'Activation Detail'!J2506,'Activation Detail'!J3006,'Activation Detail'!J3506)</f>
        <v>4764529.58279479</v>
      </c>
      <c r="H6" s="50" t="n">
        <f aca="false">SUM('Activation Detail'!K6,'Activation Detail'!K506,'Activation Detail'!K1006,'Activation Detail'!K1506,'Activation Detail'!K2006,'Activation Detail'!K2506,'Activation Detail'!K3006,'Activation Detail'!K3506)</f>
        <v>103952.440546981</v>
      </c>
      <c r="I6" s="51" t="n">
        <f aca="false">IFERROR(H6/F6,0)</f>
        <v>1.36729068579612</v>
      </c>
      <c r="J6" s="49" t="n">
        <f aca="false">IFERROR(F6/E6,0)</f>
        <v>107.25025839543</v>
      </c>
      <c r="K6" s="46" t="n">
        <f aca="false">IFERROR(C6/B6,0)</f>
        <v>0.14320633992978</v>
      </c>
      <c r="L6" s="47" t="n">
        <f aca="false">IFERROR(D6/B6,0)</f>
        <v>0.00371946585797609</v>
      </c>
      <c r="N6" s="48" t="n">
        <f aca="false">SUMIFS('Activation Detail'!$H$4:$H$4003,'Activation Detail'!$A$4:$A$4003,$A6,'Activation Detail'!$N$4:$N$4003,N$2)</f>
        <v>134.089708720047</v>
      </c>
      <c r="O6" s="50" t="n">
        <f aca="false">N6*'Model Inputs &amp; Assumptions'!$D$40*'Model Inputs &amp; Assumptions'!$H$40</f>
        <v>1139762.5241204</v>
      </c>
      <c r="P6" s="50" t="n">
        <f aca="false">N6*'Model Inputs &amp; Assumptions'!$G$40*'Model Inputs &amp; Assumptions'!$H$40</f>
        <v>25644.6567927089</v>
      </c>
      <c r="Q6" s="50" t="n">
        <f aca="false">SUMIFS('Activation Detail'!$I$4:$I$4003,'Activation Detail'!$A$4:$A$4003,$A6,'Activation Detail'!$N$4:$N$4003,N$2)</f>
        <v>18046.19</v>
      </c>
      <c r="R6" s="51" t="n">
        <f aca="false">IFERROR(P6/Q6,0)</f>
        <v>1.42105656610669</v>
      </c>
      <c r="S6" s="49" t="n">
        <f aca="false">IFERROR(Q6/N6,0)</f>
        <v>134.582960707872</v>
      </c>
      <c r="T6" s="48" t="n">
        <f aca="false">SUMIFS('Activation Detail'!$H$4:$H$4003,'Activation Detail'!$A$4:$A$4003,$A6,'Activation Detail'!$N$4:$N$4003,T$2)</f>
        <v>289.37506906211</v>
      </c>
      <c r="U6" s="50" t="n">
        <f aca="false">T6*'Model Inputs &amp; Assumptions'!$D$41*'Model Inputs &amp; Assumptions'!$H$41</f>
        <v>2083500.49724719</v>
      </c>
      <c r="V6" s="50" t="n">
        <f aca="false">T6*'Model Inputs &amp; Assumptions'!$G$41*'Model Inputs &amp; Assumptions'!$H$41</f>
        <v>45941.1859643006</v>
      </c>
      <c r="W6" s="50" t="n">
        <f aca="false">SUMIFS('Activation Detail'!$I$4:$I$4003,'Activation Detail'!$A$4:$A$4003,$A6,'Activation Detail'!$N$4:$N$4003,T$2)</f>
        <v>20320.969018</v>
      </c>
      <c r="X6" s="51" t="n">
        <f aca="false">IFERROR(V6/W6,0)</f>
        <v>2.26077732432969</v>
      </c>
      <c r="Y6" s="49" t="n">
        <f aca="false">IFERROR(W6/T6,0)</f>
        <v>70.2236342745836</v>
      </c>
      <c r="Z6" s="48" t="n">
        <f aca="false">SUMIFS('Activation Detail'!$H$4:$H$4003,'Activation Detail'!$A$4:$A$4003,$A6,'Activation Detail'!$N$4:$N$4003,Z$2)</f>
        <v>285.419733597629</v>
      </c>
      <c r="AA6" s="50" t="n">
        <f aca="false">Z6*'Model Inputs &amp; Assumptions'!$D$42*'Model Inputs &amp; Assumptions'!$H$42</f>
        <v>1541266.5614272</v>
      </c>
      <c r="AB6" s="50" t="n">
        <f aca="false">Z6*'Model Inputs &amp; Assumptions'!$G$42*'Model Inputs &amp; Assumptions'!$H$42</f>
        <v>32366.5977899711</v>
      </c>
      <c r="AC6" s="50" t="n">
        <f aca="false">SUMIFS('Activation Detail'!$I$4:$I$4003,'Activation Detail'!$A$4:$A$4003,$A6,'Activation Detail'!$N$4:$N$4003,Z$2)</f>
        <v>37660.888</v>
      </c>
      <c r="AD6" s="51" t="n">
        <f aca="false">IFERROR(AB6/AC6,0)</f>
        <v>0.859422055846668</v>
      </c>
      <c r="AE6" s="49" t="n">
        <f aca="false">IFERROR(AC6/Z6,0)</f>
        <v>131.949138643274</v>
      </c>
    </row>
    <row r="7" customFormat="false" ht="15" hidden="false" customHeight="false" outlineLevel="0" collapsed="false">
      <c r="A7" s="43" t="n">
        <v>4</v>
      </c>
      <c r="B7" s="45" t="n">
        <f aca="false">SUM('Activation Detail'!C7,'Activation Detail'!C507,'Activation Detail'!C1007,'Activation Detail'!C1507,'Activation Detail'!C2007,'Activation Detail'!C2507,'Activation Detail'!C3007,'Activation Detail'!C3507)</f>
        <v>3671148</v>
      </c>
      <c r="C7" s="45" t="n">
        <f aca="false">SUM('Activation Detail'!E7,'Activation Detail'!E507,'Activation Detail'!E1007,'Activation Detail'!E1507,'Activation Detail'!E2007,'Activation Detail'!E2507,'Activation Detail'!E3007,'Activation Detail'!E3507)</f>
        <v>468273</v>
      </c>
      <c r="D7" s="45" t="n">
        <f aca="false">SUM('Activation Detail'!G7,'Activation Detail'!G507,'Activation Detail'!G1007,'Activation Detail'!G1507,'Activation Detail'!G2007,'Activation Detail'!G2507,'Activation Detail'!G3007,'Activation Detail'!G3507)</f>
        <v>14657</v>
      </c>
      <c r="E7" s="48" t="n">
        <f aca="false">SUM('Activation Detail'!H7,'Activation Detail'!H507,'Activation Detail'!H1007,'Activation Detail'!H1507,'Activation Detail'!H2007,'Activation Detail'!H2507,'Activation Detail'!H3007,'Activation Detail'!H3507)</f>
        <v>455.731690645606</v>
      </c>
      <c r="F7" s="50" t="n">
        <f aca="false">SUM('Activation Detail'!I7,'Activation Detail'!I507,'Activation Detail'!I1007,'Activation Detail'!I1507,'Activation Detail'!I2007,'Activation Detail'!I2507,'Activation Detail'!I3007,'Activation Detail'!I3507)</f>
        <v>75378.121486</v>
      </c>
      <c r="G7" s="50" t="n">
        <f aca="false">SUM('Activation Detail'!J7,'Activation Detail'!J507,'Activation Detail'!J1007,'Activation Detail'!J1507,'Activation Detail'!J2007,'Activation Detail'!J2507,'Activation Detail'!J3007,'Activation Detail'!J3507)</f>
        <v>3014430.90675693</v>
      </c>
      <c r="H7" s="50" t="n">
        <f aca="false">SUM('Activation Detail'!K7,'Activation Detail'!K507,'Activation Detail'!K1007,'Activation Detail'!K1507,'Activation Detail'!K2007,'Activation Detail'!K2507,'Activation Detail'!K3007,'Activation Detail'!K3507)</f>
        <v>65608.5690426567</v>
      </c>
      <c r="I7" s="51" t="n">
        <f aca="false">IFERROR(H7/F7,0)</f>
        <v>0.870392731329106</v>
      </c>
      <c r="J7" s="49" t="n">
        <f aca="false">IFERROR(F7/E7,0)</f>
        <v>165.400219105274</v>
      </c>
      <c r="K7" s="46" t="n">
        <f aca="false">IFERROR(C7/B7,0)</f>
        <v>0.127554922874262</v>
      </c>
      <c r="L7" s="47" t="n">
        <f aca="false">IFERROR(D7/B7,0)</f>
        <v>0.00399248409489348</v>
      </c>
      <c r="N7" s="48" t="n">
        <f aca="false">SUMIFS('Activation Detail'!$H$4:$H$4003,'Activation Detail'!$A$4:$A$4003,$A7,'Activation Detail'!$N$4:$N$4003,N$2)</f>
        <v>70.7224584282693</v>
      </c>
      <c r="O7" s="50" t="n">
        <f aca="false">N7*'Model Inputs &amp; Assumptions'!$D$40*'Model Inputs &amp; Assumptions'!$H$40</f>
        <v>601140.896640289</v>
      </c>
      <c r="P7" s="50" t="n">
        <f aca="false">N7*'Model Inputs &amp; Assumptions'!$G$40*'Model Inputs &amp; Assumptions'!$H$40</f>
        <v>13525.6701744065</v>
      </c>
      <c r="Q7" s="50" t="n">
        <f aca="false">SUMIFS('Activation Detail'!$I$4:$I$4003,'Activation Detail'!$A$4:$A$4003,$A7,'Activation Detail'!$N$4:$N$4003,N$2)</f>
        <v>17737.0175</v>
      </c>
      <c r="R7" s="51" t="n">
        <f aca="false">IFERROR(P7/Q7,0)</f>
        <v>0.762567335483911</v>
      </c>
      <c r="S7" s="49" t="n">
        <f aca="false">IFERROR(Q7/N7,0)</f>
        <v>250.797524494852</v>
      </c>
      <c r="T7" s="48" t="n">
        <f aca="false">SUMIFS('Activation Detail'!$H$4:$H$4003,'Activation Detail'!$A$4:$A$4003,$A7,'Activation Detail'!$N$4:$N$4003,T$2)</f>
        <v>185.688975635014</v>
      </c>
      <c r="U7" s="50" t="n">
        <f aca="false">T7*'Model Inputs &amp; Assumptions'!$D$41*'Model Inputs &amp; Assumptions'!$H$41</f>
        <v>1336960.6245721</v>
      </c>
      <c r="V7" s="50" t="n">
        <f aca="false">T7*'Model Inputs &amp; Assumptions'!$G$41*'Model Inputs &amp; Assumptions'!$H$41</f>
        <v>29479.9817718148</v>
      </c>
      <c r="W7" s="50" t="n">
        <f aca="false">SUMIFS('Activation Detail'!$I$4:$I$4003,'Activation Detail'!$A$4:$A$4003,$A7,'Activation Detail'!$N$4:$N$4003,T$2)</f>
        <v>21126.803986</v>
      </c>
      <c r="X7" s="51" t="n">
        <f aca="false">IFERROR(V7/W7,0)</f>
        <v>1.39538293588326</v>
      </c>
      <c r="Y7" s="49" t="n">
        <f aca="false">IFERROR(W7/T7,0)</f>
        <v>113.775219631382</v>
      </c>
      <c r="Z7" s="48" t="n">
        <f aca="false">SUMIFS('Activation Detail'!$H$4:$H$4003,'Activation Detail'!$A$4:$A$4003,$A7,'Activation Detail'!$N$4:$N$4003,Z$2)</f>
        <v>199.320256582323</v>
      </c>
      <c r="AA7" s="50" t="n">
        <f aca="false">Z7*'Model Inputs &amp; Assumptions'!$D$42*'Model Inputs &amp; Assumptions'!$H$42</f>
        <v>1076329.38554454</v>
      </c>
      <c r="AB7" s="50" t="n">
        <f aca="false">Z7*'Model Inputs &amp; Assumptions'!$G$42*'Model Inputs &amp; Assumptions'!$H$42</f>
        <v>22602.9170964354</v>
      </c>
      <c r="AC7" s="50" t="n">
        <f aca="false">SUMIFS('Activation Detail'!$I$4:$I$4003,'Activation Detail'!$A$4:$A$4003,$A7,'Activation Detail'!$N$4:$N$4003,Z$2)</f>
        <v>36514.3</v>
      </c>
      <c r="AD7" s="51" t="n">
        <f aca="false">IFERROR(AB7/AC7,0)</f>
        <v>0.619015484246868</v>
      </c>
      <c r="AE7" s="49" t="n">
        <f aca="false">IFERROR(AC7/Z7,0)</f>
        <v>183.19412500314</v>
      </c>
    </row>
    <row r="8" customFormat="false" ht="15" hidden="false" customHeight="false" outlineLevel="0" collapsed="false">
      <c r="A8" s="43" t="n">
        <v>5</v>
      </c>
      <c r="B8" s="45" t="n">
        <f aca="false">SUM('Activation Detail'!C8,'Activation Detail'!C508,'Activation Detail'!C1008,'Activation Detail'!C1508,'Activation Detail'!C2008,'Activation Detail'!C2508,'Activation Detail'!C3008,'Activation Detail'!C3508)</f>
        <v>3259610</v>
      </c>
      <c r="C8" s="45" t="n">
        <f aca="false">SUM('Activation Detail'!E8,'Activation Detail'!E508,'Activation Detail'!E1008,'Activation Detail'!E1508,'Activation Detail'!E2008,'Activation Detail'!E2508,'Activation Detail'!E3008,'Activation Detail'!E3508)</f>
        <v>411645</v>
      </c>
      <c r="D8" s="45" t="n">
        <f aca="false">SUM('Activation Detail'!G8,'Activation Detail'!G508,'Activation Detail'!G1008,'Activation Detail'!G1508,'Activation Detail'!G2008,'Activation Detail'!G2508,'Activation Detail'!G3008,'Activation Detail'!G3508)</f>
        <v>12511</v>
      </c>
      <c r="E8" s="48" t="n">
        <f aca="false">SUM('Activation Detail'!H8,'Activation Detail'!H508,'Activation Detail'!H1008,'Activation Detail'!H1508,'Activation Detail'!H2008,'Activation Detail'!H2508,'Activation Detail'!H3008,'Activation Detail'!H3508)</f>
        <v>469.151791443583</v>
      </c>
      <c r="F8" s="50" t="n">
        <f aca="false">SUM('Activation Detail'!I8,'Activation Detail'!I508,'Activation Detail'!I1008,'Activation Detail'!I1508,'Activation Detail'!I2008,'Activation Detail'!I2508,'Activation Detail'!I3008,'Activation Detail'!I3508)</f>
        <v>70322.28589</v>
      </c>
      <c r="G8" s="50" t="n">
        <f aca="false">SUM('Activation Detail'!J8,'Activation Detail'!J508,'Activation Detail'!J1008,'Activation Detail'!J1508,'Activation Detail'!J2008,'Activation Detail'!J2508,'Activation Detail'!J3008,'Activation Detail'!J3508)</f>
        <v>3039818.09202501</v>
      </c>
      <c r="H8" s="50" t="n">
        <f aca="false">SUM('Activation Detail'!K8,'Activation Detail'!K508,'Activation Detail'!K1008,'Activation Detail'!K1508,'Activation Detail'!K2008,'Activation Detail'!K2508,'Activation Detail'!K3008,'Activation Detail'!K3508)</f>
        <v>65948.4260330663</v>
      </c>
      <c r="I8" s="51" t="n">
        <f aca="false">IFERROR(H8/F8,0)</f>
        <v>0.937802649592828</v>
      </c>
      <c r="J8" s="49" t="n">
        <f aca="false">IFERROR(F8/E8,0)</f>
        <v>149.892395537099</v>
      </c>
      <c r="K8" s="46" t="n">
        <f aca="false">IFERROR(C8/B8,0)</f>
        <v>0.126286580296416</v>
      </c>
      <c r="L8" s="47" t="n">
        <f aca="false">IFERROR(D8/B8,0)</f>
        <v>0.00383818923122705</v>
      </c>
      <c r="N8" s="48" t="n">
        <f aca="false">SUMIFS('Activation Detail'!$H$4:$H$4003,'Activation Detail'!$A$4:$A$4003,$A8,'Activation Detail'!$N$4:$N$4003,N$2)</f>
        <v>54.1750223088698</v>
      </c>
      <c r="O8" s="50" t="n">
        <f aca="false">N8*'Model Inputs &amp; Assumptions'!$D$40*'Model Inputs &amp; Assumptions'!$H$40</f>
        <v>460487.689625393</v>
      </c>
      <c r="P8" s="50" t="n">
        <f aca="false">N8*'Model Inputs &amp; Assumptions'!$G$40*'Model Inputs &amp; Assumptions'!$H$40</f>
        <v>10360.9730165713</v>
      </c>
      <c r="Q8" s="50" t="n">
        <f aca="false">SUMIFS('Activation Detail'!$I$4:$I$4003,'Activation Detail'!$A$4:$A$4003,$A8,'Activation Detail'!$N$4:$N$4003,N$2)</f>
        <v>18559.95</v>
      </c>
      <c r="R8" s="51" t="n">
        <f aca="false">IFERROR(P8/Q8,0)</f>
        <v>0.558243584523199</v>
      </c>
      <c r="S8" s="49" t="n">
        <f aca="false">IFERROR(Q8/N8,0)</f>
        <v>342.592383149998</v>
      </c>
      <c r="T8" s="48" t="n">
        <f aca="false">SUMIFS('Activation Detail'!$H$4:$H$4003,'Activation Detail'!$A$4:$A$4003,$A8,'Activation Detail'!$N$4:$N$4003,T$2)</f>
        <v>188.031027262314</v>
      </c>
      <c r="U8" s="50" t="n">
        <f aca="false">T8*'Model Inputs &amp; Assumptions'!$D$41*'Model Inputs &amp; Assumptions'!$H$41</f>
        <v>1353823.39628866</v>
      </c>
      <c r="V8" s="50" t="n">
        <f aca="false">T8*'Model Inputs &amp; Assumptions'!$G$41*'Model Inputs &amp; Assumptions'!$H$41</f>
        <v>29851.8058881649</v>
      </c>
      <c r="W8" s="50" t="n">
        <f aca="false">SUMIFS('Activation Detail'!$I$4:$I$4003,'Activation Detail'!$A$4:$A$4003,$A8,'Activation Detail'!$N$4:$N$4003,T$2)</f>
        <v>17895.66789</v>
      </c>
      <c r="X8" s="51" t="n">
        <f aca="false">IFERROR(V8/W8,0)</f>
        <v>1.66810236263079</v>
      </c>
      <c r="Y8" s="49" t="n">
        <f aca="false">IFERROR(W8/T8,0)</f>
        <v>95.1740154300948</v>
      </c>
      <c r="Z8" s="48" t="n">
        <f aca="false">SUMIFS('Activation Detail'!$H$4:$H$4003,'Activation Detail'!$A$4:$A$4003,$A8,'Activation Detail'!$N$4:$N$4003,Z$2)</f>
        <v>226.945741872399</v>
      </c>
      <c r="AA8" s="50" t="n">
        <f aca="false">Z8*'Model Inputs &amp; Assumptions'!$D$42*'Model Inputs &amp; Assumptions'!$H$42</f>
        <v>1225507.00611096</v>
      </c>
      <c r="AB8" s="50" t="n">
        <f aca="false">Z8*'Model Inputs &amp; Assumptions'!$G$42*'Model Inputs &amp; Assumptions'!$H$42</f>
        <v>25735.6471283301</v>
      </c>
      <c r="AC8" s="50" t="n">
        <f aca="false">SUMIFS('Activation Detail'!$I$4:$I$4003,'Activation Detail'!$A$4:$A$4003,$A8,'Activation Detail'!$N$4:$N$4003,Z$2)</f>
        <v>33866.668</v>
      </c>
      <c r="AD8" s="51" t="n">
        <f aca="false">IFERROR(AB8/AC8,0)</f>
        <v>0.759910810485699</v>
      </c>
      <c r="AE8" s="49" t="n">
        <f aca="false">IFERROR(AC8/Z8,0)</f>
        <v>149.228038916199</v>
      </c>
    </row>
    <row r="9" customFormat="false" ht="15" hidden="false" customHeight="false" outlineLevel="0" collapsed="false">
      <c r="A9" s="43" t="n">
        <v>6</v>
      </c>
      <c r="B9" s="45" t="n">
        <f aca="false">SUM('Activation Detail'!C9,'Activation Detail'!C509,'Activation Detail'!C1009,'Activation Detail'!C1509,'Activation Detail'!C2009,'Activation Detail'!C2509,'Activation Detail'!C3009,'Activation Detail'!C3509)</f>
        <v>4245568</v>
      </c>
      <c r="C9" s="45" t="n">
        <f aca="false">SUM('Activation Detail'!E9,'Activation Detail'!E509,'Activation Detail'!E1009,'Activation Detail'!E1509,'Activation Detail'!E2009,'Activation Detail'!E2509,'Activation Detail'!E3009,'Activation Detail'!E3509)</f>
        <v>335692</v>
      </c>
      <c r="D9" s="45" t="n">
        <f aca="false">SUM('Activation Detail'!G9,'Activation Detail'!G509,'Activation Detail'!G1009,'Activation Detail'!G1509,'Activation Detail'!G2009,'Activation Detail'!G2509,'Activation Detail'!G3009,'Activation Detail'!G3509)</f>
        <v>18508</v>
      </c>
      <c r="E9" s="48" t="n">
        <f aca="false">SUM('Activation Detail'!H9,'Activation Detail'!H509,'Activation Detail'!H1009,'Activation Detail'!H1509,'Activation Detail'!H2009,'Activation Detail'!H2509,'Activation Detail'!H3009,'Activation Detail'!H3509)</f>
        <v>842.610355765084</v>
      </c>
      <c r="F9" s="50" t="n">
        <f aca="false">SUM('Activation Detail'!I9,'Activation Detail'!I509,'Activation Detail'!I1009,'Activation Detail'!I1509,'Activation Detail'!I2009,'Activation Detail'!I2509,'Activation Detail'!I3009,'Activation Detail'!I3509)</f>
        <v>75721.73882</v>
      </c>
      <c r="G9" s="50" t="n">
        <f aca="false">SUM('Activation Detail'!J9,'Activation Detail'!J509,'Activation Detail'!J1009,'Activation Detail'!J1509,'Activation Detail'!J2009,'Activation Detail'!J2509,'Activation Detail'!J3009,'Activation Detail'!J3509)</f>
        <v>5137685.89374825</v>
      </c>
      <c r="H9" s="50" t="n">
        <f aca="false">SUM('Activation Detail'!K9,'Activation Detail'!K509,'Activation Detail'!K1009,'Activation Detail'!K1509,'Activation Detail'!K2009,'Activation Detail'!K2509,'Activation Detail'!K3009,'Activation Detail'!K3509)</f>
        <v>110334.977821228</v>
      </c>
      <c r="I9" s="51" t="n">
        <f aca="false">IFERROR(H9/F9,0)</f>
        <v>1.45711099006203</v>
      </c>
      <c r="J9" s="49" t="n">
        <f aca="false">IFERROR(F9/E9,0)</f>
        <v>89.865663650959</v>
      </c>
      <c r="K9" s="46" t="n">
        <f aca="false">IFERROR(C9/B9,0)</f>
        <v>0.0790688077543452</v>
      </c>
      <c r="L9" s="47" t="n">
        <f aca="false">IFERROR(D9/B9,0)</f>
        <v>0.00435936958258589</v>
      </c>
      <c r="N9" s="48" t="n">
        <f aca="false">SUMIFS('Activation Detail'!$H$4:$H$4003,'Activation Detail'!$A$4:$A$4003,$A9,'Activation Detail'!$N$4:$N$4003,N$2)</f>
        <v>90.0141943539165</v>
      </c>
      <c r="O9" s="50" t="n">
        <f aca="false">N9*'Model Inputs &amp; Assumptions'!$D$40*'Model Inputs &amp; Assumptions'!$H$40</f>
        <v>765120.652008291</v>
      </c>
      <c r="P9" s="50" t="n">
        <f aca="false">N9*'Model Inputs &amp; Assumptions'!$G$40*'Model Inputs &amp; Assumptions'!$H$40</f>
        <v>17215.2146701865</v>
      </c>
      <c r="Q9" s="50" t="n">
        <f aca="false">SUMIFS('Activation Detail'!$I$4:$I$4003,'Activation Detail'!$A$4:$A$4003,$A9,'Activation Detail'!$N$4:$N$4003,N$2)</f>
        <v>19482.5015</v>
      </c>
      <c r="R9" s="51" t="n">
        <f aca="false">IFERROR(P9/Q9,0)</f>
        <v>0.883624449878089</v>
      </c>
      <c r="S9" s="49" t="n">
        <f aca="false">IFERROR(Q9/N9,0)</f>
        <v>216.438103344001</v>
      </c>
      <c r="T9" s="48" t="n">
        <f aca="false">SUMIFS('Activation Detail'!$H$4:$H$4003,'Activation Detail'!$A$4:$A$4003,$A9,'Activation Detail'!$N$4:$N$4003,T$2)</f>
        <v>171.414427844255</v>
      </c>
      <c r="U9" s="50" t="n">
        <f aca="false">T9*'Model Inputs &amp; Assumptions'!$D$41*'Model Inputs &amp; Assumptions'!$H$41</f>
        <v>1234183.88047863</v>
      </c>
      <c r="V9" s="50" t="n">
        <f aca="false">T9*'Model Inputs &amp; Assumptions'!$G$41*'Model Inputs &amp; Assumptions'!$H$41</f>
        <v>27213.7545645539</v>
      </c>
      <c r="W9" s="50" t="n">
        <f aca="false">SUMIFS('Activation Detail'!$I$4:$I$4003,'Activation Detail'!$A$4:$A$4003,$A9,'Activation Detail'!$N$4:$N$4003,T$2)</f>
        <v>19690.31732</v>
      </c>
      <c r="X9" s="51" t="n">
        <f aca="false">IFERROR(V9/W9,0)</f>
        <v>1.38208816659913</v>
      </c>
      <c r="Y9" s="49" t="n">
        <f aca="false">IFERROR(W9/T9,0)</f>
        <v>114.869661601008</v>
      </c>
      <c r="Z9" s="48" t="n">
        <f aca="false">SUMIFS('Activation Detail'!$H$4:$H$4003,'Activation Detail'!$A$4:$A$4003,$A9,'Activation Detail'!$N$4:$N$4003,Z$2)</f>
        <v>581.181733566913</v>
      </c>
      <c r="AA9" s="50" t="n">
        <f aca="false">Z9*'Model Inputs &amp; Assumptions'!$D$42*'Model Inputs &amp; Assumptions'!$H$42</f>
        <v>3138381.36126133</v>
      </c>
      <c r="AB9" s="50" t="n">
        <f aca="false">Z9*'Model Inputs &amp; Assumptions'!$G$42*'Model Inputs &amp; Assumptions'!$H$42</f>
        <v>65906.008586488</v>
      </c>
      <c r="AC9" s="50" t="n">
        <f aca="false">SUMIFS('Activation Detail'!$I$4:$I$4003,'Activation Detail'!$A$4:$A$4003,$A9,'Activation Detail'!$N$4:$N$4003,Z$2)</f>
        <v>36548.92</v>
      </c>
      <c r="AD9" s="51" t="n">
        <f aca="false">IFERROR(AB9/AC9,0)</f>
        <v>1.80322725230973</v>
      </c>
      <c r="AE9" s="49" t="n">
        <f aca="false">IFERROR(AC9/Z9,0)</f>
        <v>62.887248323664</v>
      </c>
    </row>
    <row r="10" customFormat="false" ht="15" hidden="false" customHeight="false" outlineLevel="0" collapsed="false">
      <c r="A10" s="43" t="n">
        <v>7</v>
      </c>
      <c r="B10" s="45" t="n">
        <f aca="false">SUM('Activation Detail'!C10,'Activation Detail'!C510,'Activation Detail'!C1010,'Activation Detail'!C1510,'Activation Detail'!C2010,'Activation Detail'!C2510,'Activation Detail'!C3010,'Activation Detail'!C3510)</f>
        <v>4865762</v>
      </c>
      <c r="C10" s="45" t="n">
        <f aca="false">SUM('Activation Detail'!E10,'Activation Detail'!E510,'Activation Detail'!E1010,'Activation Detail'!E1510,'Activation Detail'!E2010,'Activation Detail'!E2510,'Activation Detail'!E3010,'Activation Detail'!E3510)</f>
        <v>342250</v>
      </c>
      <c r="D10" s="45" t="n">
        <f aca="false">SUM('Activation Detail'!G10,'Activation Detail'!G510,'Activation Detail'!G1010,'Activation Detail'!G1510,'Activation Detail'!G2010,'Activation Detail'!G2510,'Activation Detail'!G3010,'Activation Detail'!G3510)</f>
        <v>17762</v>
      </c>
      <c r="E10" s="48" t="n">
        <f aca="false">SUM('Activation Detail'!H10,'Activation Detail'!H510,'Activation Detail'!H1010,'Activation Detail'!H1510,'Activation Detail'!H2010,'Activation Detail'!H2510,'Activation Detail'!H3010,'Activation Detail'!H3510)</f>
        <v>730.024345209183</v>
      </c>
      <c r="F10" s="50" t="n">
        <f aca="false">SUM('Activation Detail'!I10,'Activation Detail'!I510,'Activation Detail'!I1010,'Activation Detail'!I1510,'Activation Detail'!I2010,'Activation Detail'!I2510,'Activation Detail'!I3010,'Activation Detail'!I3510)</f>
        <v>82230.027486</v>
      </c>
      <c r="G10" s="50" t="n">
        <f aca="false">SUM('Activation Detail'!J10,'Activation Detail'!J510,'Activation Detail'!J1010,'Activation Detail'!J1510,'Activation Detail'!J2010,'Activation Detail'!J2510,'Activation Detail'!J3010,'Activation Detail'!J3510)</f>
        <v>4374465.49077431</v>
      </c>
      <c r="H10" s="50" t="n">
        <f aca="false">SUM('Activation Detail'!K10,'Activation Detail'!K510,'Activation Detail'!K1010,'Activation Detail'!K1510,'Activation Detail'!K2010,'Activation Detail'!K2510,'Activation Detail'!K3010,'Activation Detail'!K3510)</f>
        <v>93667.6137760272</v>
      </c>
      <c r="I10" s="51" t="n">
        <f aca="false">IFERROR(H10/F10,0)</f>
        <v>1.13909257530012</v>
      </c>
      <c r="J10" s="49" t="n">
        <f aca="false">IFERROR(F10/E10,0)</f>
        <v>112.640116765473</v>
      </c>
      <c r="K10" s="46" t="n">
        <f aca="false">IFERROR(C10/B10,0)</f>
        <v>0.0703384177031265</v>
      </c>
      <c r="L10" s="47" t="n">
        <f aca="false">IFERROR(D10/B10,0)</f>
        <v>0.00365040460260901</v>
      </c>
      <c r="N10" s="48" t="n">
        <f aca="false">SUMIFS('Activation Detail'!$H$4:$H$4003,'Activation Detail'!$A$4:$A$4003,$A10,'Activation Detail'!$N$4:$N$4003,N$2)</f>
        <v>44.3127486713405</v>
      </c>
      <c r="O10" s="50" t="n">
        <f aca="false">N10*'Model Inputs &amp; Assumptions'!$D$40*'Model Inputs &amp; Assumptions'!$H$40</f>
        <v>376658.363706394</v>
      </c>
      <c r="P10" s="50" t="n">
        <f aca="false">N10*'Model Inputs &amp; Assumptions'!$G$40*'Model Inputs &amp; Assumptions'!$H$40</f>
        <v>8474.81318339386</v>
      </c>
      <c r="Q10" s="50" t="n">
        <f aca="false">SUMIFS('Activation Detail'!$I$4:$I$4003,'Activation Detail'!$A$4:$A$4003,$A10,'Activation Detail'!$N$4:$N$4003,N$2)</f>
        <v>17853.4065</v>
      </c>
      <c r="R10" s="51" t="n">
        <f aca="false">IFERROR(P10/Q10,0)</f>
        <v>0.474688860268424</v>
      </c>
      <c r="S10" s="49" t="n">
        <f aca="false">IFERROR(Q10/N10,0)</f>
        <v>402.895487987338</v>
      </c>
      <c r="T10" s="48" t="n">
        <f aca="false">SUMIFS('Activation Detail'!$H$4:$H$4003,'Activation Detail'!$A$4:$A$4003,$A10,'Activation Detail'!$N$4:$N$4003,T$2)</f>
        <v>163.86916986865</v>
      </c>
      <c r="U10" s="50" t="n">
        <f aca="false">T10*'Model Inputs &amp; Assumptions'!$D$41*'Model Inputs &amp; Assumptions'!$H$41</f>
        <v>1179858.02305428</v>
      </c>
      <c r="V10" s="50" t="n">
        <f aca="false">T10*'Model Inputs &amp; Assumptions'!$G$41*'Model Inputs &amp; Assumptions'!$H$41</f>
        <v>26015.8694083469</v>
      </c>
      <c r="W10" s="50" t="n">
        <f aca="false">SUMIFS('Activation Detail'!$I$4:$I$4003,'Activation Detail'!$A$4:$A$4003,$A10,'Activation Detail'!$N$4:$N$4003,T$2)</f>
        <v>15694.632986</v>
      </c>
      <c r="X10" s="51" t="n">
        <f aca="false">IFERROR(V10/W10,0)</f>
        <v>1.65762840275103</v>
      </c>
      <c r="Y10" s="49" t="n">
        <f aca="false">IFERROR(W10/T10,0)</f>
        <v>95.7753859287875</v>
      </c>
      <c r="Z10" s="48" t="n">
        <f aca="false">SUMIFS('Activation Detail'!$H$4:$H$4003,'Activation Detail'!$A$4:$A$4003,$A10,'Activation Detail'!$N$4:$N$4003,Z$2)</f>
        <v>521.842426669193</v>
      </c>
      <c r="AA10" s="50" t="n">
        <f aca="false">Z10*'Model Inputs &amp; Assumptions'!$D$42*'Model Inputs &amp; Assumptions'!$H$42</f>
        <v>2817949.10401364</v>
      </c>
      <c r="AB10" s="50" t="n">
        <f aca="false">Z10*'Model Inputs &amp; Assumptions'!$G$42*'Model Inputs &amp; Assumptions'!$H$42</f>
        <v>59176.9311842864</v>
      </c>
      <c r="AC10" s="50" t="n">
        <f aca="false">SUMIFS('Activation Detail'!$I$4:$I$4003,'Activation Detail'!$A$4:$A$4003,$A10,'Activation Detail'!$N$4:$N$4003,Z$2)</f>
        <v>48681.988</v>
      </c>
      <c r="AD10" s="51" t="n">
        <f aca="false">IFERROR(AB10/AC10,0)</f>
        <v>1.21558164765758</v>
      </c>
      <c r="AE10" s="49" t="n">
        <f aca="false">IFERROR(AC10/Z10,0)</f>
        <v>93.2886739599281</v>
      </c>
    </row>
    <row r="11" customFormat="false" ht="15" hidden="false" customHeight="false" outlineLevel="0" collapsed="false">
      <c r="A11" s="43" t="n">
        <v>8</v>
      </c>
      <c r="B11" s="45" t="n">
        <f aca="false">SUM('Activation Detail'!C11,'Activation Detail'!C511,'Activation Detail'!C1011,'Activation Detail'!C1511,'Activation Detail'!C2011,'Activation Detail'!C2511,'Activation Detail'!C3011,'Activation Detail'!C3511)</f>
        <v>4018971</v>
      </c>
      <c r="C11" s="45" t="n">
        <f aca="false">SUM('Activation Detail'!E11,'Activation Detail'!E511,'Activation Detail'!E1011,'Activation Detail'!E1511,'Activation Detail'!E2011,'Activation Detail'!E2511,'Activation Detail'!E3011,'Activation Detail'!E3511)</f>
        <v>413227</v>
      </c>
      <c r="D11" s="45" t="n">
        <f aca="false">SUM('Activation Detail'!G11,'Activation Detail'!G511,'Activation Detail'!G1011,'Activation Detail'!G1511,'Activation Detail'!G2011,'Activation Detail'!G2511,'Activation Detail'!G3011,'Activation Detail'!G3511)</f>
        <v>15703</v>
      </c>
      <c r="E11" s="48" t="n">
        <f aca="false">SUM('Activation Detail'!H11,'Activation Detail'!H511,'Activation Detail'!H1011,'Activation Detail'!H1511,'Activation Detail'!H2011,'Activation Detail'!H2511,'Activation Detail'!H3011,'Activation Detail'!H3511)</f>
        <v>626.256233423781</v>
      </c>
      <c r="F11" s="50" t="n">
        <f aca="false">SUM('Activation Detail'!I11,'Activation Detail'!I511,'Activation Detail'!I1011,'Activation Detail'!I1511,'Activation Detail'!I2011,'Activation Detail'!I2511,'Activation Detail'!I3011,'Activation Detail'!I3511)</f>
        <v>77938.78835</v>
      </c>
      <c r="G11" s="50" t="n">
        <f aca="false">SUM('Activation Detail'!J11,'Activation Detail'!J511,'Activation Detail'!J1011,'Activation Detail'!J1511,'Activation Detail'!J2011,'Activation Detail'!J2511,'Activation Detail'!J3011,'Activation Detail'!J3511)</f>
        <v>3875150.17558824</v>
      </c>
      <c r="H11" s="50" t="n">
        <f aca="false">SUM('Activation Detail'!K11,'Activation Detail'!K511,'Activation Detail'!K1011,'Activation Detail'!K1511,'Activation Detail'!K2011,'Activation Detail'!K2511,'Activation Detail'!K3011,'Activation Detail'!K3511)</f>
        <v>83430.9351160747</v>
      </c>
      <c r="I11" s="51" t="n">
        <f aca="false">IFERROR(H11/F11,0)</f>
        <v>1.07046743838782</v>
      </c>
      <c r="J11" s="49" t="n">
        <f aca="false">IFERROR(F11/E11,0)</f>
        <v>124.451916308927</v>
      </c>
      <c r="K11" s="46" t="n">
        <f aca="false">IFERROR(C11/B11,0)</f>
        <v>0.102819104691226</v>
      </c>
      <c r="L11" s="47" t="n">
        <f aca="false">IFERROR(D11/B11,0)</f>
        <v>0.00390721903691268</v>
      </c>
      <c r="N11" s="48" t="n">
        <f aca="false">SUMIFS('Activation Detail'!$H$4:$H$4003,'Activation Detail'!$A$4:$A$4003,$A11,'Activation Detail'!$N$4:$N$4003,N$2)</f>
        <v>71.6960544351574</v>
      </c>
      <c r="O11" s="50" t="n">
        <f aca="false">N11*'Model Inputs &amp; Assumptions'!$D$40*'Model Inputs &amp; Assumptions'!$H$40</f>
        <v>609416.462698838</v>
      </c>
      <c r="P11" s="50" t="n">
        <f aca="false">N11*'Model Inputs &amp; Assumptions'!$G$40*'Model Inputs &amp; Assumptions'!$H$40</f>
        <v>13711.8704107238</v>
      </c>
      <c r="Q11" s="50" t="n">
        <f aca="false">SUMIFS('Activation Detail'!$I$4:$I$4003,'Activation Detail'!$A$4:$A$4003,$A11,'Activation Detail'!$N$4:$N$4003,N$2)</f>
        <v>17369.579</v>
      </c>
      <c r="R11" s="51" t="n">
        <f aca="false">IFERROR(P11/Q11,0)</f>
        <v>0.78941869637277</v>
      </c>
      <c r="S11" s="49" t="n">
        <f aca="false">IFERROR(Q11/N11,0)</f>
        <v>242.266874193324</v>
      </c>
      <c r="T11" s="48" t="n">
        <f aca="false">SUMIFS('Activation Detail'!$H$4:$H$4003,'Activation Detail'!$A$4:$A$4003,$A11,'Activation Detail'!$N$4:$N$4003,T$2)</f>
        <v>150.615970194908</v>
      </c>
      <c r="U11" s="50" t="n">
        <f aca="false">T11*'Model Inputs &amp; Assumptions'!$D$41*'Model Inputs &amp; Assumptions'!$H$41</f>
        <v>1084434.98540333</v>
      </c>
      <c r="V11" s="50" t="n">
        <f aca="false">T11*'Model Inputs &amp; Assumptions'!$G$41*'Model Inputs &amp; Assumptions'!$H$41</f>
        <v>23911.7914281435</v>
      </c>
      <c r="W11" s="50" t="n">
        <f aca="false">SUMIFS('Activation Detail'!$I$4:$I$4003,'Activation Detail'!$A$4:$A$4003,$A11,'Activation Detail'!$N$4:$N$4003,T$2)</f>
        <v>16471.83335</v>
      </c>
      <c r="X11" s="51" t="n">
        <f aca="false">IFERROR(V11/W11,0)</f>
        <v>1.4516775953263</v>
      </c>
      <c r="Y11" s="49" t="n">
        <f aca="false">IFERROR(W11/T11,0)</f>
        <v>109.363126159094</v>
      </c>
      <c r="Z11" s="48" t="n">
        <f aca="false">SUMIFS('Activation Detail'!$H$4:$H$4003,'Activation Detail'!$A$4:$A$4003,$A11,'Activation Detail'!$N$4:$N$4003,Z$2)</f>
        <v>403.944208793716</v>
      </c>
      <c r="AA11" s="50" t="n">
        <f aca="false">Z11*'Model Inputs &amp; Assumptions'!$D$42*'Model Inputs &amp; Assumptions'!$H$42</f>
        <v>2181298.72748607</v>
      </c>
      <c r="AB11" s="50" t="n">
        <f aca="false">Z11*'Model Inputs &amp; Assumptions'!$G$42*'Model Inputs &amp; Assumptions'!$H$42</f>
        <v>45807.2732772074</v>
      </c>
      <c r="AC11" s="50" t="n">
        <f aca="false">SUMIFS('Activation Detail'!$I$4:$I$4003,'Activation Detail'!$A$4:$A$4003,$A11,'Activation Detail'!$N$4:$N$4003,Z$2)</f>
        <v>44097.376</v>
      </c>
      <c r="AD11" s="51" t="n">
        <f aca="false">IFERROR(AB11/AC11,0)</f>
        <v>1.03877548807456</v>
      </c>
      <c r="AE11" s="49" t="n">
        <f aca="false">IFERROR(AC11/Z11,0)</f>
        <v>109.166996431726</v>
      </c>
    </row>
    <row r="12" customFormat="false" ht="15" hidden="false" customHeight="false" outlineLevel="0" collapsed="false">
      <c r="A12" s="43" t="n">
        <v>9</v>
      </c>
      <c r="B12" s="45" t="n">
        <f aca="false">SUM('Activation Detail'!C12,'Activation Detail'!C512,'Activation Detail'!C1012,'Activation Detail'!C1512,'Activation Detail'!C2012,'Activation Detail'!C2512,'Activation Detail'!C3012,'Activation Detail'!C3512)</f>
        <v>4007157</v>
      </c>
      <c r="C12" s="45" t="n">
        <f aca="false">SUM('Activation Detail'!E12,'Activation Detail'!E512,'Activation Detail'!E1012,'Activation Detail'!E1512,'Activation Detail'!E2012,'Activation Detail'!E2512,'Activation Detail'!E3012,'Activation Detail'!E3512)</f>
        <v>400668</v>
      </c>
      <c r="D12" s="45" t="n">
        <f aca="false">SUM('Activation Detail'!G12,'Activation Detail'!G512,'Activation Detail'!G1012,'Activation Detail'!G1512,'Activation Detail'!G2012,'Activation Detail'!G2512,'Activation Detail'!G3012,'Activation Detail'!G3512)</f>
        <v>11717</v>
      </c>
      <c r="E12" s="48" t="n">
        <f aca="false">SUM('Activation Detail'!H12,'Activation Detail'!H512,'Activation Detail'!H1012,'Activation Detail'!H1512,'Activation Detail'!H2012,'Activation Detail'!H2512,'Activation Detail'!H3012,'Activation Detail'!H3512)</f>
        <v>516.589964257107</v>
      </c>
      <c r="F12" s="50" t="n">
        <f aca="false">SUM('Activation Detail'!I12,'Activation Detail'!I512,'Activation Detail'!I1012,'Activation Detail'!I1512,'Activation Detail'!I2012,'Activation Detail'!I2512,'Activation Detail'!I3012,'Activation Detail'!I3512)</f>
        <v>74037.459562</v>
      </c>
      <c r="G12" s="50" t="n">
        <f aca="false">SUM('Activation Detail'!J12,'Activation Detail'!J512,'Activation Detail'!J1012,'Activation Detail'!J1512,'Activation Detail'!J2012,'Activation Detail'!J2512,'Activation Detail'!J3012,'Activation Detail'!J3512)</f>
        <v>3412637.90959031</v>
      </c>
      <c r="H12" s="50" t="n">
        <f aca="false">SUM('Activation Detail'!K12,'Activation Detail'!K512,'Activation Detail'!K1012,'Activation Detail'!K1512,'Activation Detail'!K2012,'Activation Detail'!K2512,'Activation Detail'!K3012,'Activation Detail'!K3512)</f>
        <v>74260.8337602102</v>
      </c>
      <c r="I12" s="51" t="n">
        <f aca="false">IFERROR(H12/F12,0)</f>
        <v>1.00301704298786</v>
      </c>
      <c r="J12" s="49" t="n">
        <f aca="false">IFERROR(F12/E12,0)</f>
        <v>143.319585521703</v>
      </c>
      <c r="K12" s="46" t="n">
        <f aca="false">IFERROR(C12/B12,0)</f>
        <v>0.0999880962986976</v>
      </c>
      <c r="L12" s="47" t="n">
        <f aca="false">IFERROR(D12/B12,0)</f>
        <v>0.00292401820043487</v>
      </c>
      <c r="N12" s="48" t="n">
        <f aca="false">SUMIFS('Activation Detail'!$H$4:$H$4003,'Activation Detail'!$A$4:$A$4003,$A12,'Activation Detail'!$N$4:$N$4003,N$2)</f>
        <v>79.1895263498795</v>
      </c>
      <c r="O12" s="50" t="n">
        <f aca="false">N12*'Model Inputs &amp; Assumptions'!$D$40*'Model Inputs &amp; Assumptions'!$H$40</f>
        <v>673110.973973976</v>
      </c>
      <c r="P12" s="50" t="n">
        <f aca="false">N12*'Model Inputs &amp; Assumptions'!$G$40*'Model Inputs &amp; Assumptions'!$H$40</f>
        <v>15144.9969144145</v>
      </c>
      <c r="Q12" s="50" t="n">
        <f aca="false">SUMIFS('Activation Detail'!$I$4:$I$4003,'Activation Detail'!$A$4:$A$4003,$A12,'Activation Detail'!$N$4:$N$4003,N$2)</f>
        <v>19681.4015</v>
      </c>
      <c r="R12" s="51" t="n">
        <f aca="false">IFERROR(P12/Q12,0)</f>
        <v>0.769508051264259</v>
      </c>
      <c r="S12" s="49" t="n">
        <f aca="false">IFERROR(Q12/N12,0)</f>
        <v>248.535411274498</v>
      </c>
      <c r="T12" s="48" t="n">
        <f aca="false">SUMIFS('Activation Detail'!$H$4:$H$4003,'Activation Detail'!$A$4:$A$4003,$A12,'Activation Detail'!$N$4:$N$4003,T$2)</f>
        <v>209.758094954058</v>
      </c>
      <c r="U12" s="50" t="n">
        <f aca="false">T12*'Model Inputs &amp; Assumptions'!$D$41*'Model Inputs &amp; Assumptions'!$H$41</f>
        <v>1510258.28366922</v>
      </c>
      <c r="V12" s="50" t="n">
        <f aca="false">T12*'Model Inputs &amp; Assumptions'!$G$41*'Model Inputs &amp; Assumptions'!$H$41</f>
        <v>33301.1951549062</v>
      </c>
      <c r="W12" s="50" t="n">
        <f aca="false">SUMIFS('Activation Detail'!$I$4:$I$4003,'Activation Detail'!$A$4:$A$4003,$A12,'Activation Detail'!$N$4:$N$4003,T$2)</f>
        <v>15904.670062</v>
      </c>
      <c r="X12" s="51" t="n">
        <f aca="false">IFERROR(V12/W12,0)</f>
        <v>2.09379981006149</v>
      </c>
      <c r="Y12" s="49" t="n">
        <f aca="false">IFERROR(W12/T12,0)</f>
        <v>75.8238678010663</v>
      </c>
      <c r="Z12" s="48" t="n">
        <f aca="false">SUMIFS('Activation Detail'!$H$4:$H$4003,'Activation Detail'!$A$4:$A$4003,$A12,'Activation Detail'!$N$4:$N$4003,Z$2)</f>
        <v>227.64234295317</v>
      </c>
      <c r="AA12" s="50" t="n">
        <f aca="false">Z12*'Model Inputs &amp; Assumptions'!$D$42*'Model Inputs &amp; Assumptions'!$H$42</f>
        <v>1229268.65194712</v>
      </c>
      <c r="AB12" s="50" t="n">
        <f aca="false">Z12*'Model Inputs &amp; Assumptions'!$G$42*'Model Inputs &amp; Assumptions'!$H$42</f>
        <v>25814.6416908895</v>
      </c>
      <c r="AC12" s="50" t="n">
        <f aca="false">SUMIFS('Activation Detail'!$I$4:$I$4003,'Activation Detail'!$A$4:$A$4003,$A12,'Activation Detail'!$N$4:$N$4003,Z$2)</f>
        <v>38451.388</v>
      </c>
      <c r="AD12" s="51" t="n">
        <f aca="false">IFERROR(AB12/AC12,0)</f>
        <v>0.671357863359561</v>
      </c>
      <c r="AE12" s="49" t="n">
        <f aca="false">IFERROR(AC12/Z12,0)</f>
        <v>168.911405062766</v>
      </c>
    </row>
    <row r="13" customFormat="false" ht="15" hidden="false" customHeight="false" outlineLevel="0" collapsed="false">
      <c r="A13" s="43" t="n">
        <v>10</v>
      </c>
      <c r="B13" s="45" t="n">
        <f aca="false">SUM('Activation Detail'!C13,'Activation Detail'!C513,'Activation Detail'!C1013,'Activation Detail'!C1513,'Activation Detail'!C2013,'Activation Detail'!C2513,'Activation Detail'!C3013,'Activation Detail'!C3513)</f>
        <v>4112942</v>
      </c>
      <c r="C13" s="45" t="n">
        <f aca="false">SUM('Activation Detail'!E13,'Activation Detail'!E513,'Activation Detail'!E1013,'Activation Detail'!E1513,'Activation Detail'!E2013,'Activation Detail'!E2513,'Activation Detail'!E3013,'Activation Detail'!E3513)</f>
        <v>375787</v>
      </c>
      <c r="D13" s="45" t="n">
        <f aca="false">SUM('Activation Detail'!G13,'Activation Detail'!G513,'Activation Detail'!G1013,'Activation Detail'!G1513,'Activation Detail'!G2013,'Activation Detail'!G2513,'Activation Detail'!G3013,'Activation Detail'!G3513)</f>
        <v>15881</v>
      </c>
      <c r="E13" s="48" t="n">
        <f aca="false">SUM('Activation Detail'!H13,'Activation Detail'!H513,'Activation Detail'!H1013,'Activation Detail'!H1513,'Activation Detail'!H2013,'Activation Detail'!H2513,'Activation Detail'!H3013,'Activation Detail'!H3513)</f>
        <v>561.373053843533</v>
      </c>
      <c r="F13" s="50" t="n">
        <f aca="false">SUM('Activation Detail'!I13,'Activation Detail'!I513,'Activation Detail'!I1013,'Activation Detail'!I1513,'Activation Detail'!I2013,'Activation Detail'!I2513,'Activation Detail'!I3013,'Activation Detail'!I3513)</f>
        <v>77288.793042</v>
      </c>
      <c r="G13" s="50" t="n">
        <f aca="false">SUM('Activation Detail'!J13,'Activation Detail'!J513,'Activation Detail'!J1013,'Activation Detail'!J1513,'Activation Detail'!J2013,'Activation Detail'!J2513,'Activation Detail'!J3013,'Activation Detail'!J3513)</f>
        <v>3582944.36744247</v>
      </c>
      <c r="H13" s="50" t="n">
        <f aca="false">SUM('Activation Detail'!K13,'Activation Detail'!K513,'Activation Detail'!K1013,'Activation Detail'!K1513,'Activation Detail'!K2013,'Activation Detail'!K2513,'Activation Detail'!K3013,'Activation Detail'!K3513)</f>
        <v>77534.3836772273</v>
      </c>
      <c r="I13" s="51" t="n">
        <f aca="false">IFERROR(H13/F13,0)</f>
        <v>1.00317757110133</v>
      </c>
      <c r="J13" s="49" t="n">
        <f aca="false">IFERROR(F13/E13,0)</f>
        <v>137.678131347469</v>
      </c>
      <c r="K13" s="46" t="n">
        <f aca="false">IFERROR(C13/B13,0)</f>
        <v>0.091366958250323</v>
      </c>
      <c r="L13" s="47" t="n">
        <f aca="false">IFERROR(D13/B13,0)</f>
        <v>0.00386122634357596</v>
      </c>
      <c r="N13" s="48" t="n">
        <f aca="false">SUMIFS('Activation Detail'!$H$4:$H$4003,'Activation Detail'!$A$4:$A$4003,$A13,'Activation Detail'!$N$4:$N$4003,N$2)</f>
        <v>88.4204487099385</v>
      </c>
      <c r="O13" s="50" t="n">
        <f aca="false">N13*'Model Inputs &amp; Assumptions'!$D$40*'Model Inputs &amp; Assumptions'!$H$40</f>
        <v>751573.814034478</v>
      </c>
      <c r="P13" s="50" t="n">
        <f aca="false">N13*'Model Inputs &amp; Assumptions'!$G$40*'Model Inputs &amp; Assumptions'!$H$40</f>
        <v>16910.4108157757</v>
      </c>
      <c r="Q13" s="50" t="n">
        <f aca="false">SUMIFS('Activation Detail'!$I$4:$I$4003,'Activation Detail'!$A$4:$A$4003,$A13,'Activation Detail'!$N$4:$N$4003,N$2)</f>
        <v>19013.416</v>
      </c>
      <c r="R13" s="51" t="n">
        <f aca="false">IFERROR(P13/Q13,0)</f>
        <v>0.889393616369397</v>
      </c>
      <c r="S13" s="49" t="n">
        <f aca="false">IFERROR(Q13/N13,0)</f>
        <v>215.034149649852</v>
      </c>
      <c r="T13" s="48" t="n">
        <f aca="false">SUMIFS('Activation Detail'!$H$4:$H$4003,'Activation Detail'!$A$4:$A$4003,$A13,'Activation Detail'!$N$4:$N$4003,T$2)</f>
        <v>154.125825381434</v>
      </c>
      <c r="U13" s="50" t="n">
        <f aca="false">T13*'Model Inputs &amp; Assumptions'!$D$41*'Model Inputs &amp; Assumptions'!$H$41</f>
        <v>1109705.94274632</v>
      </c>
      <c r="V13" s="50" t="n">
        <f aca="false">T13*'Model Inputs &amp; Assumptions'!$G$41*'Model Inputs &amp; Assumptions'!$H$41</f>
        <v>24469.0160375565</v>
      </c>
      <c r="W13" s="50" t="n">
        <f aca="false">SUMIFS('Activation Detail'!$I$4:$I$4003,'Activation Detail'!$A$4:$A$4003,$A13,'Activation Detail'!$N$4:$N$4003,T$2)</f>
        <v>18615.361042</v>
      </c>
      <c r="X13" s="51" t="n">
        <f aca="false">IFERROR(V13/W13,0)</f>
        <v>1.31445293928758</v>
      </c>
      <c r="Y13" s="49" t="n">
        <f aca="false">IFERROR(W13/T13,0)</f>
        <v>120.780284523572</v>
      </c>
      <c r="Z13" s="48" t="n">
        <f aca="false">SUMIFS('Activation Detail'!$H$4:$H$4003,'Activation Detail'!$A$4:$A$4003,$A13,'Activation Detail'!$N$4:$N$4003,Z$2)</f>
        <v>318.826779752161</v>
      </c>
      <c r="AA13" s="50" t="n">
        <f aca="false">Z13*'Model Inputs &amp; Assumptions'!$D$42*'Model Inputs &amp; Assumptions'!$H$42</f>
        <v>1721664.61066167</v>
      </c>
      <c r="AB13" s="50" t="n">
        <f aca="false">Z13*'Model Inputs &amp; Assumptions'!$G$42*'Model Inputs &amp; Assumptions'!$H$42</f>
        <v>36154.956823895</v>
      </c>
      <c r="AC13" s="50" t="n">
        <f aca="false">SUMIFS('Activation Detail'!$I$4:$I$4003,'Activation Detail'!$A$4:$A$4003,$A13,'Activation Detail'!$N$4:$N$4003,Z$2)</f>
        <v>39660.016</v>
      </c>
      <c r="AD13" s="51" t="n">
        <f aca="false">IFERROR(AB13/AC13,0)</f>
        <v>0.91162234588849</v>
      </c>
      <c r="AE13" s="49" t="n">
        <f aca="false">IFERROR(AC13/Z13,0)</f>
        <v>124.393615965477</v>
      </c>
    </row>
    <row r="14" customFormat="false" ht="15" hidden="false" customHeight="false" outlineLevel="0" collapsed="false">
      <c r="A14" s="43" t="n">
        <v>11</v>
      </c>
      <c r="B14" s="45" t="n">
        <f aca="false">SUM('Activation Detail'!C14,'Activation Detail'!C514,'Activation Detail'!C1014,'Activation Detail'!C1514,'Activation Detail'!C2014,'Activation Detail'!C2514,'Activation Detail'!C3014,'Activation Detail'!C3514)</f>
        <v>3946746</v>
      </c>
      <c r="C14" s="45" t="n">
        <f aca="false">SUM('Activation Detail'!E14,'Activation Detail'!E514,'Activation Detail'!E1014,'Activation Detail'!E1514,'Activation Detail'!E2014,'Activation Detail'!E2514,'Activation Detail'!E3014,'Activation Detail'!E3514)</f>
        <v>430381</v>
      </c>
      <c r="D14" s="45" t="n">
        <f aca="false">SUM('Activation Detail'!G14,'Activation Detail'!G514,'Activation Detail'!G1014,'Activation Detail'!G1514,'Activation Detail'!G2014,'Activation Detail'!G2514,'Activation Detail'!G3014,'Activation Detail'!G3514)</f>
        <v>14511</v>
      </c>
      <c r="E14" s="48" t="n">
        <f aca="false">SUM('Activation Detail'!H14,'Activation Detail'!H514,'Activation Detail'!H1014,'Activation Detail'!H1514,'Activation Detail'!H2014,'Activation Detail'!H2514,'Activation Detail'!H3014,'Activation Detail'!H3514)</f>
        <v>626.042000232684</v>
      </c>
      <c r="F14" s="50" t="n">
        <f aca="false">SUM('Activation Detail'!I14,'Activation Detail'!I514,'Activation Detail'!I1014,'Activation Detail'!I1514,'Activation Detail'!I2014,'Activation Detail'!I2514,'Activation Detail'!I3014,'Activation Detail'!I3514)</f>
        <v>79317.950282</v>
      </c>
      <c r="G14" s="50" t="n">
        <f aca="false">SUM('Activation Detail'!J14,'Activation Detail'!J514,'Activation Detail'!J1014,'Activation Detail'!J1514,'Activation Detail'!J2014,'Activation Detail'!J2514,'Activation Detail'!J3014,'Activation Detail'!J3514)</f>
        <v>4035026.91306065</v>
      </c>
      <c r="H14" s="50" t="n">
        <f aca="false">SUM('Activation Detail'!K14,'Activation Detail'!K514,'Activation Detail'!K1014,'Activation Detail'!K1514,'Activation Detail'!K2014,'Activation Detail'!K2514,'Activation Detail'!K3014,'Activation Detail'!K3514)</f>
        <v>87463.5996755026</v>
      </c>
      <c r="I14" s="51" t="n">
        <f aca="false">IFERROR(H14/F14,0)</f>
        <v>1.10269616605752</v>
      </c>
      <c r="J14" s="49" t="n">
        <f aca="false">IFERROR(F14/E14,0)</f>
        <v>126.697490348123</v>
      </c>
      <c r="K14" s="46" t="n">
        <f aca="false">IFERROR(C14/B14,0)</f>
        <v>0.109047047871842</v>
      </c>
      <c r="L14" s="47" t="n">
        <f aca="false">IFERROR(D14/B14,0)</f>
        <v>0.00367669974201532</v>
      </c>
      <c r="N14" s="48" t="n">
        <f aca="false">SUMIFS('Activation Detail'!$H$4:$H$4003,'Activation Detail'!$A$4:$A$4003,$A14,'Activation Detail'!$N$4:$N$4003,N$2)</f>
        <v>75.7258086979582</v>
      </c>
      <c r="O14" s="50" t="n">
        <f aca="false">N14*'Model Inputs &amp; Assumptions'!$D$40*'Model Inputs &amp; Assumptions'!$H$40</f>
        <v>643669.373932645</v>
      </c>
      <c r="P14" s="50" t="n">
        <f aca="false">N14*'Model Inputs &amp; Assumptions'!$G$40*'Model Inputs &amp; Assumptions'!$H$40</f>
        <v>14482.5609134845</v>
      </c>
      <c r="Q14" s="50" t="n">
        <f aca="false">SUMIFS('Activation Detail'!$I$4:$I$4003,'Activation Detail'!$A$4:$A$4003,$A14,'Activation Detail'!$N$4:$N$4003,N$2)</f>
        <v>18774.086</v>
      </c>
      <c r="R14" s="51" t="n">
        <f aca="false">IFERROR(P14/Q14,0)</f>
        <v>0.771412302760545</v>
      </c>
      <c r="S14" s="49" t="n">
        <f aca="false">IFERROR(Q14/N14,0)</f>
        <v>247.92189509501</v>
      </c>
      <c r="T14" s="48" t="n">
        <f aca="false">SUMIFS('Activation Detail'!$H$4:$H$4003,'Activation Detail'!$A$4:$A$4003,$A14,'Activation Detail'!$N$4:$N$4003,T$2)</f>
        <v>233.138947133602</v>
      </c>
      <c r="U14" s="50" t="n">
        <f aca="false">T14*'Model Inputs &amp; Assumptions'!$D$41*'Model Inputs &amp; Assumptions'!$H$41</f>
        <v>1678600.41936193</v>
      </c>
      <c r="V14" s="50" t="n">
        <f aca="false">T14*'Model Inputs &amp; Assumptions'!$G$41*'Model Inputs &amp; Assumptions'!$H$41</f>
        <v>37013.1392469306</v>
      </c>
      <c r="W14" s="50" t="n">
        <f aca="false">SUMIFS('Activation Detail'!$I$4:$I$4003,'Activation Detail'!$A$4:$A$4003,$A14,'Activation Detail'!$N$4:$N$4003,T$2)</f>
        <v>20648.696282</v>
      </c>
      <c r="X14" s="51" t="n">
        <f aca="false">IFERROR(V14/W14,0)</f>
        <v>1.79251700647057</v>
      </c>
      <c r="Y14" s="49" t="n">
        <f aca="false">IFERROR(W14/T14,0)</f>
        <v>88.5681973598651</v>
      </c>
      <c r="Z14" s="48" t="n">
        <f aca="false">SUMIFS('Activation Detail'!$H$4:$H$4003,'Activation Detail'!$A$4:$A$4003,$A14,'Activation Detail'!$N$4:$N$4003,Z$2)</f>
        <v>317.177244401124</v>
      </c>
      <c r="AA14" s="50" t="n">
        <f aca="false">Z14*'Model Inputs &amp; Assumptions'!$D$42*'Model Inputs &amp; Assumptions'!$H$42</f>
        <v>1712757.11976607</v>
      </c>
      <c r="AB14" s="50" t="n">
        <f aca="false">Z14*'Model Inputs &amp; Assumptions'!$G$42*'Model Inputs &amp; Assumptions'!$H$42</f>
        <v>35967.8995150875</v>
      </c>
      <c r="AC14" s="50" t="n">
        <f aca="false">SUMIFS('Activation Detail'!$I$4:$I$4003,'Activation Detail'!$A$4:$A$4003,$A14,'Activation Detail'!$N$4:$N$4003,Z$2)</f>
        <v>39895.168</v>
      </c>
      <c r="AD14" s="51" t="n">
        <f aca="false">IFERROR(AB14/AC14,0)</f>
        <v>0.901560297103837</v>
      </c>
      <c r="AE14" s="49" t="n">
        <f aca="false">IFERROR(AC14/Z14,0)</f>
        <v>125.781936454262</v>
      </c>
    </row>
    <row r="15" customFormat="false" ht="15" hidden="false" customHeight="false" outlineLevel="0" collapsed="false">
      <c r="A15" s="43" t="n">
        <v>12</v>
      </c>
      <c r="B15" s="45" t="n">
        <f aca="false">SUM('Activation Detail'!C15,'Activation Detail'!C515,'Activation Detail'!C1015,'Activation Detail'!C1515,'Activation Detail'!C2015,'Activation Detail'!C2515,'Activation Detail'!C3015,'Activation Detail'!C3515)</f>
        <v>3472273</v>
      </c>
      <c r="C15" s="45" t="n">
        <f aca="false">SUM('Activation Detail'!E15,'Activation Detail'!E515,'Activation Detail'!E1015,'Activation Detail'!E1515,'Activation Detail'!E2015,'Activation Detail'!E2515,'Activation Detail'!E3015,'Activation Detail'!E3515)</f>
        <v>385113</v>
      </c>
      <c r="D15" s="45" t="n">
        <f aca="false">SUM('Activation Detail'!G15,'Activation Detail'!G515,'Activation Detail'!G1015,'Activation Detail'!G1515,'Activation Detail'!G2015,'Activation Detail'!G2515,'Activation Detail'!G3015,'Activation Detail'!G3515)</f>
        <v>11739</v>
      </c>
      <c r="E15" s="48" t="n">
        <f aca="false">SUM('Activation Detail'!H15,'Activation Detail'!H515,'Activation Detail'!H1015,'Activation Detail'!H1515,'Activation Detail'!H2015,'Activation Detail'!H2515,'Activation Detail'!H3015,'Activation Detail'!H3515)</f>
        <v>468.294622949877</v>
      </c>
      <c r="F15" s="50" t="n">
        <f aca="false">SUM('Activation Detail'!I15,'Activation Detail'!I515,'Activation Detail'!I1015,'Activation Detail'!I1515,'Activation Detail'!I2015,'Activation Detail'!I2515,'Activation Detail'!I3015,'Activation Detail'!I3515)</f>
        <v>68184.515688</v>
      </c>
      <c r="G15" s="50" t="n">
        <f aca="false">SUM('Activation Detail'!J15,'Activation Detail'!J515,'Activation Detail'!J1015,'Activation Detail'!J1515,'Activation Detail'!J2015,'Activation Detail'!J2515,'Activation Detail'!J3015,'Activation Detail'!J3515)</f>
        <v>2942977.47132315</v>
      </c>
      <c r="H15" s="50" t="n">
        <f aca="false">SUM('Activation Detail'!K15,'Activation Detail'!K515,'Activation Detail'!K1015,'Activation Detail'!K1515,'Activation Detail'!K2015,'Activation Detail'!K2515,'Activation Detail'!K3015,'Activation Detail'!K3515)</f>
        <v>63526.1558198825</v>
      </c>
      <c r="I15" s="51" t="n">
        <f aca="false">IFERROR(H15/F15,0)</f>
        <v>0.931680091570448</v>
      </c>
      <c r="J15" s="49" t="n">
        <f aca="false">IFERROR(F15/E15,0)</f>
        <v>145.601748016009</v>
      </c>
      <c r="K15" s="46" t="n">
        <f aca="false">IFERROR(C15/B15,0)</f>
        <v>0.110910922038676</v>
      </c>
      <c r="L15" s="47" t="n">
        <f aca="false">IFERROR(D15/B15,0)</f>
        <v>0.00338078255943585</v>
      </c>
      <c r="N15" s="48" t="n">
        <f aca="false">SUMIFS('Activation Detail'!$H$4:$H$4003,'Activation Detail'!$A$4:$A$4003,$A15,'Activation Detail'!$N$4:$N$4003,N$2)</f>
        <v>59.0904035474193</v>
      </c>
      <c r="O15" s="50" t="n">
        <f aca="false">N15*'Model Inputs &amp; Assumptions'!$D$40*'Model Inputs &amp; Assumptions'!$H$40</f>
        <v>502268.430153064</v>
      </c>
      <c r="P15" s="50" t="n">
        <f aca="false">N15*'Model Inputs &amp; Assumptions'!$G$40*'Model Inputs &amp; Assumptions'!$H$40</f>
        <v>11301.0396784439</v>
      </c>
      <c r="Q15" s="50" t="n">
        <f aca="false">SUMIFS('Activation Detail'!$I$4:$I$4003,'Activation Detail'!$A$4:$A$4003,$A15,'Activation Detail'!$N$4:$N$4003,N$2)</f>
        <v>18323.2265</v>
      </c>
      <c r="R15" s="51" t="n">
        <f aca="false">IFERROR(P15/Q15,0)</f>
        <v>0.616760354866755</v>
      </c>
      <c r="S15" s="49" t="n">
        <f aca="false">IFERROR(Q15/N15,0)</f>
        <v>310.088024450465</v>
      </c>
      <c r="T15" s="48" t="n">
        <f aca="false">SUMIFS('Activation Detail'!$H$4:$H$4003,'Activation Detail'!$A$4:$A$4003,$A15,'Activation Detail'!$N$4:$N$4003,T$2)</f>
        <v>128.336809109345</v>
      </c>
      <c r="U15" s="50" t="n">
        <f aca="false">T15*'Model Inputs &amp; Assumptions'!$D$41*'Model Inputs &amp; Assumptions'!$H$41</f>
        <v>924025.025587282</v>
      </c>
      <c r="V15" s="50" t="n">
        <f aca="false">T15*'Model Inputs &amp; Assumptions'!$G$41*'Model Inputs &amp; Assumptions'!$H$41</f>
        <v>20374.7518141996</v>
      </c>
      <c r="W15" s="50" t="n">
        <f aca="false">SUMIFS('Activation Detail'!$I$4:$I$4003,'Activation Detail'!$A$4:$A$4003,$A15,'Activation Detail'!$N$4:$N$4003,T$2)</f>
        <v>15139.669188</v>
      </c>
      <c r="X15" s="51" t="n">
        <f aca="false">IFERROR(V15/W15,0)</f>
        <v>1.34578580028347</v>
      </c>
      <c r="Y15" s="49" t="n">
        <f aca="false">IFERROR(W15/T15,0)</f>
        <v>117.968253169679</v>
      </c>
      <c r="Z15" s="48" t="n">
        <f aca="false">SUMIFS('Activation Detail'!$H$4:$H$4003,'Activation Detail'!$A$4:$A$4003,$A15,'Activation Detail'!$N$4:$N$4003,Z$2)</f>
        <v>280.867410293113</v>
      </c>
      <c r="AA15" s="50" t="n">
        <f aca="false">Z15*'Model Inputs &amp; Assumptions'!$D$42*'Model Inputs &amp; Assumptions'!$H$42</f>
        <v>1516684.01558281</v>
      </c>
      <c r="AB15" s="50" t="n">
        <f aca="false">Z15*'Model Inputs &amp; Assumptions'!$G$42*'Model Inputs &amp; Assumptions'!$H$42</f>
        <v>31850.364327239</v>
      </c>
      <c r="AC15" s="50" t="n">
        <f aca="false">SUMIFS('Activation Detail'!$I$4:$I$4003,'Activation Detail'!$A$4:$A$4003,$A15,'Activation Detail'!$N$4:$N$4003,Z$2)</f>
        <v>34721.62</v>
      </c>
      <c r="AD15" s="51" t="n">
        <f aca="false">IFERROR(AB15/AC15,0)</f>
        <v>0.917306402386725</v>
      </c>
      <c r="AE15" s="49" t="n">
        <f aca="false">IFERROR(AC15/Z15,0)</f>
        <v>123.622815348226</v>
      </c>
    </row>
    <row r="16" customFormat="false" ht="15" hidden="false" customHeight="false" outlineLevel="0" collapsed="false">
      <c r="A16" s="43" t="n">
        <v>13</v>
      </c>
      <c r="B16" s="45" t="n">
        <f aca="false">SUM('Activation Detail'!C16,'Activation Detail'!C516,'Activation Detail'!C1016,'Activation Detail'!C1516,'Activation Detail'!C2016,'Activation Detail'!C2516,'Activation Detail'!C3016,'Activation Detail'!C3516)</f>
        <v>4741662</v>
      </c>
      <c r="C16" s="45" t="n">
        <f aca="false">SUM('Activation Detail'!E16,'Activation Detail'!E516,'Activation Detail'!E1016,'Activation Detail'!E1516,'Activation Detail'!E2016,'Activation Detail'!E2516,'Activation Detail'!E3016,'Activation Detail'!E3516)</f>
        <v>550241</v>
      </c>
      <c r="D16" s="45" t="n">
        <f aca="false">SUM('Activation Detail'!G16,'Activation Detail'!G516,'Activation Detail'!G1016,'Activation Detail'!G1516,'Activation Detail'!G2016,'Activation Detail'!G2516,'Activation Detail'!G3016,'Activation Detail'!G3516)</f>
        <v>18547</v>
      </c>
      <c r="E16" s="48" t="n">
        <f aca="false">SUM('Activation Detail'!H16,'Activation Detail'!H516,'Activation Detail'!H1016,'Activation Detail'!H1516,'Activation Detail'!H2016,'Activation Detail'!H2516,'Activation Detail'!H3016,'Activation Detail'!H3516)</f>
        <v>728.876287005554</v>
      </c>
      <c r="F16" s="50" t="n">
        <f aca="false">SUM('Activation Detail'!I16,'Activation Detail'!I516,'Activation Detail'!I1016,'Activation Detail'!I1516,'Activation Detail'!I2016,'Activation Detail'!I2516,'Activation Detail'!I3016,'Activation Detail'!I3516)</f>
        <v>76745.172654</v>
      </c>
      <c r="G16" s="50" t="n">
        <f aca="false">SUM('Activation Detail'!J16,'Activation Detail'!J516,'Activation Detail'!J1016,'Activation Detail'!J1516,'Activation Detail'!J2016,'Activation Detail'!J2516,'Activation Detail'!J3016,'Activation Detail'!J3516)</f>
        <v>4538416.71800049</v>
      </c>
      <c r="H16" s="50" t="n">
        <f aca="false">SUM('Activation Detail'!K16,'Activation Detail'!K516,'Activation Detail'!K1016,'Activation Detail'!K1516,'Activation Detail'!K2016,'Activation Detail'!K2516,'Activation Detail'!K3016,'Activation Detail'!K3516)</f>
        <v>97812.6298625327</v>
      </c>
      <c r="I16" s="51" t="n">
        <f aca="false">IFERROR(H16/F16,0)</f>
        <v>1.27451182243753</v>
      </c>
      <c r="J16" s="49" t="n">
        <f aca="false">IFERROR(F16/E16,0)</f>
        <v>105.292453633377</v>
      </c>
      <c r="K16" s="46" t="n">
        <f aca="false">IFERROR(C16/B16,0)</f>
        <v>0.116043910341986</v>
      </c>
      <c r="L16" s="47" t="n">
        <f aca="false">IFERROR(D16/B16,0)</f>
        <v>0.00391149769848631</v>
      </c>
      <c r="N16" s="48" t="n">
        <f aca="false">SUMIFS('Activation Detail'!$H$4:$H$4003,'Activation Detail'!$A$4:$A$4003,$A16,'Activation Detail'!$N$4:$N$4003,N$2)</f>
        <v>90.9527473845548</v>
      </c>
      <c r="O16" s="50" t="n">
        <f aca="false">N16*'Model Inputs &amp; Assumptions'!$D$40*'Model Inputs &amp; Assumptions'!$H$40</f>
        <v>773098.352768716</v>
      </c>
      <c r="P16" s="50" t="n">
        <f aca="false">N16*'Model Inputs &amp; Assumptions'!$G$40*'Model Inputs &amp; Assumptions'!$H$40</f>
        <v>17394.7129372961</v>
      </c>
      <c r="Q16" s="50" t="n">
        <f aca="false">SUMIFS('Activation Detail'!$I$4:$I$4003,'Activation Detail'!$A$4:$A$4003,$A16,'Activation Detail'!$N$4:$N$4003,N$2)</f>
        <v>17965.2325</v>
      </c>
      <c r="R16" s="51" t="n">
        <f aca="false">IFERROR(P16/Q16,0)</f>
        <v>0.968243129461092</v>
      </c>
      <c r="S16" s="49" t="n">
        <f aca="false">IFERROR(Q16/N16,0)</f>
        <v>197.522702904638</v>
      </c>
      <c r="T16" s="48" t="n">
        <f aca="false">SUMIFS('Activation Detail'!$H$4:$H$4003,'Activation Detail'!$A$4:$A$4003,$A16,'Activation Detail'!$N$4:$N$4003,T$2)</f>
        <v>178.072917376879</v>
      </c>
      <c r="U16" s="50" t="n">
        <f aca="false">T16*'Model Inputs &amp; Assumptions'!$D$41*'Model Inputs &amp; Assumptions'!$H$41</f>
        <v>1282125.00511353</v>
      </c>
      <c r="V16" s="50" t="n">
        <f aca="false">T16*'Model Inputs &amp; Assumptions'!$G$41*'Model Inputs &amp; Assumptions'!$H$41</f>
        <v>28270.8563627533</v>
      </c>
      <c r="W16" s="50" t="n">
        <f aca="false">SUMIFS('Activation Detail'!$I$4:$I$4003,'Activation Detail'!$A$4:$A$4003,$A16,'Activation Detail'!$N$4:$N$4003,T$2)</f>
        <v>18319.380154</v>
      </c>
      <c r="X16" s="51" t="n">
        <f aca="false">IFERROR(V16/W16,0)</f>
        <v>1.54322122938098</v>
      </c>
      <c r="Y16" s="49" t="n">
        <f aca="false">IFERROR(W16/T16,0)</f>
        <v>102.875723180456</v>
      </c>
      <c r="Z16" s="48" t="n">
        <f aca="false">SUMIFS('Activation Detail'!$H$4:$H$4003,'Activation Detail'!$A$4:$A$4003,$A16,'Activation Detail'!$N$4:$N$4003,Z$2)</f>
        <v>459.85062224412</v>
      </c>
      <c r="AA16" s="50" t="n">
        <f aca="false">Z16*'Model Inputs &amp; Assumptions'!$D$42*'Model Inputs &amp; Assumptions'!$H$42</f>
        <v>2483193.36011825</v>
      </c>
      <c r="AB16" s="50" t="n">
        <f aca="false">Z16*'Model Inputs &amp; Assumptions'!$G$42*'Model Inputs &amp; Assumptions'!$H$42</f>
        <v>52147.0605624832</v>
      </c>
      <c r="AC16" s="50" t="n">
        <f aca="false">SUMIFS('Activation Detail'!$I$4:$I$4003,'Activation Detail'!$A$4:$A$4003,$A16,'Activation Detail'!$N$4:$N$4003,Z$2)</f>
        <v>40460.56</v>
      </c>
      <c r="AD16" s="51" t="n">
        <f aca="false">IFERROR(AB16/AC16,0)</f>
        <v>1.28883684661021</v>
      </c>
      <c r="AE16" s="49" t="n">
        <f aca="false">IFERROR(AC16/Z16,0)</f>
        <v>87.9863112994132</v>
      </c>
    </row>
    <row r="17" customFormat="false" ht="15" hidden="false" customHeight="false" outlineLevel="0" collapsed="false">
      <c r="A17" s="43" t="n">
        <v>14</v>
      </c>
      <c r="B17" s="45" t="n">
        <f aca="false">SUM('Activation Detail'!C17,'Activation Detail'!C517,'Activation Detail'!C1017,'Activation Detail'!C1517,'Activation Detail'!C2017,'Activation Detail'!C2517,'Activation Detail'!C3017,'Activation Detail'!C3517)</f>
        <v>3583689</v>
      </c>
      <c r="C17" s="45" t="n">
        <f aca="false">SUM('Activation Detail'!E17,'Activation Detail'!E517,'Activation Detail'!E1017,'Activation Detail'!E1517,'Activation Detail'!E2017,'Activation Detail'!E2517,'Activation Detail'!E3017,'Activation Detail'!E3517)</f>
        <v>450466</v>
      </c>
      <c r="D17" s="45" t="n">
        <f aca="false">SUM('Activation Detail'!G17,'Activation Detail'!G517,'Activation Detail'!G1017,'Activation Detail'!G1517,'Activation Detail'!G2017,'Activation Detail'!G2517,'Activation Detail'!G3017,'Activation Detail'!G3517)</f>
        <v>13234</v>
      </c>
      <c r="E17" s="48" t="n">
        <f aca="false">SUM('Activation Detail'!H17,'Activation Detail'!H517,'Activation Detail'!H1017,'Activation Detail'!H1517,'Activation Detail'!H2017,'Activation Detail'!H2517,'Activation Detail'!H3017,'Activation Detail'!H3517)</f>
        <v>547.287600242099</v>
      </c>
      <c r="F17" s="50" t="n">
        <f aca="false">SUM('Activation Detail'!I17,'Activation Detail'!I517,'Activation Detail'!I1017,'Activation Detail'!I1517,'Activation Detail'!I2017,'Activation Detail'!I2517,'Activation Detail'!I3017,'Activation Detail'!I3517)</f>
        <v>71950.318496</v>
      </c>
      <c r="G17" s="50" t="n">
        <f aca="false">SUM('Activation Detail'!J17,'Activation Detail'!J517,'Activation Detail'!J1017,'Activation Detail'!J1517,'Activation Detail'!J2017,'Activation Detail'!J2517,'Activation Detail'!J3017,'Activation Detail'!J3517)</f>
        <v>3503596.18385575</v>
      </c>
      <c r="H17" s="50" t="n">
        <f aca="false">SUM('Activation Detail'!K17,'Activation Detail'!K517,'Activation Detail'!K1017,'Activation Detail'!K1517,'Activation Detail'!K2017,'Activation Detail'!K2517,'Activation Detail'!K3017,'Activation Detail'!K3517)</f>
        <v>75856.1783223823</v>
      </c>
      <c r="I17" s="51" t="n">
        <f aca="false">IFERROR(H17/F17,0)</f>
        <v>1.05428551128095</v>
      </c>
      <c r="J17" s="49" t="n">
        <f aca="false">IFERROR(F17/E17,0)</f>
        <v>131.46710881842</v>
      </c>
      <c r="K17" s="46" t="n">
        <f aca="false">IFERROR(C17/B17,0)</f>
        <v>0.125698965507331</v>
      </c>
      <c r="L17" s="47" t="n">
        <f aca="false">IFERROR(D17/B17,0)</f>
        <v>0.00369284276621102</v>
      </c>
      <c r="N17" s="48" t="n">
        <f aca="false">SUMIFS('Activation Detail'!$H$4:$H$4003,'Activation Detail'!$A$4:$A$4003,$A17,'Activation Detail'!$N$4:$N$4003,N$2)</f>
        <v>81.343471451386</v>
      </c>
      <c r="O17" s="50" t="n">
        <f aca="false">N17*'Model Inputs &amp; Assumptions'!$D$40*'Model Inputs &amp; Assumptions'!$H$40</f>
        <v>691419.507336781</v>
      </c>
      <c r="P17" s="50" t="n">
        <f aca="false">N17*'Model Inputs &amp; Assumptions'!$G$40*'Model Inputs &amp; Assumptions'!$H$40</f>
        <v>15556.9389150776</v>
      </c>
      <c r="Q17" s="50" t="n">
        <f aca="false">SUMIFS('Activation Detail'!$I$4:$I$4003,'Activation Detail'!$A$4:$A$4003,$A17,'Activation Detail'!$N$4:$N$4003,N$2)</f>
        <v>17979.4935</v>
      </c>
      <c r="R17" s="51" t="n">
        <f aca="false">IFERROR(P17/Q17,0)</f>
        <v>0.865260131776102</v>
      </c>
      <c r="S17" s="49" t="n">
        <f aca="false">IFERROR(Q17/N17,0)</f>
        <v>221.031794920939</v>
      </c>
      <c r="T17" s="48" t="n">
        <f aca="false">SUMIFS('Activation Detail'!$H$4:$H$4003,'Activation Detail'!$A$4:$A$4003,$A17,'Activation Detail'!$N$4:$N$4003,T$2)</f>
        <v>164.487989471733</v>
      </c>
      <c r="U17" s="50" t="n">
        <f aca="false">T17*'Model Inputs &amp; Assumptions'!$D$41*'Model Inputs &amp; Assumptions'!$H$41</f>
        <v>1184313.52419648</v>
      </c>
      <c r="V17" s="50" t="n">
        <f aca="false">T17*'Model Inputs &amp; Assumptions'!$G$41*'Model Inputs &amp; Assumptions'!$H$41</f>
        <v>26114.1132085323</v>
      </c>
      <c r="W17" s="50" t="n">
        <f aca="false">SUMIFS('Activation Detail'!$I$4:$I$4003,'Activation Detail'!$A$4:$A$4003,$A17,'Activation Detail'!$N$4:$N$4003,T$2)</f>
        <v>17310.376996</v>
      </c>
      <c r="X17" s="51" t="n">
        <f aca="false">IFERROR(V17/W17,0)</f>
        <v>1.50858142572901</v>
      </c>
      <c r="Y17" s="49" t="n">
        <f aca="false">IFERROR(W17/T17,0)</f>
        <v>105.237938961949</v>
      </c>
      <c r="Z17" s="48" t="n">
        <f aca="false">SUMIFS('Activation Detail'!$H$4:$H$4003,'Activation Detail'!$A$4:$A$4003,$A17,'Activation Detail'!$N$4:$N$4003,Z$2)</f>
        <v>301.456139318981</v>
      </c>
      <c r="AA17" s="50" t="n">
        <f aca="false">Z17*'Model Inputs &amp; Assumptions'!$D$42*'Model Inputs &amp; Assumptions'!$H$42</f>
        <v>1627863.1523225</v>
      </c>
      <c r="AB17" s="50" t="n">
        <f aca="false">Z17*'Model Inputs &amp; Assumptions'!$G$42*'Model Inputs &amp; Assumptions'!$H$42</f>
        <v>34185.1261987724</v>
      </c>
      <c r="AC17" s="50" t="n">
        <f aca="false">SUMIFS('Activation Detail'!$I$4:$I$4003,'Activation Detail'!$A$4:$A$4003,$A17,'Activation Detail'!$N$4:$N$4003,Z$2)</f>
        <v>36660.448</v>
      </c>
      <c r="AD17" s="51" t="n">
        <f aca="false">IFERROR(AB17/AC17,0)</f>
        <v>0.932479772172244</v>
      </c>
      <c r="AE17" s="49" t="n">
        <f aca="false">IFERROR(AC17/Z17,0)</f>
        <v>121.611217083917</v>
      </c>
    </row>
    <row r="18" customFormat="false" ht="15" hidden="false" customHeight="false" outlineLevel="0" collapsed="false">
      <c r="A18" s="43" t="n">
        <v>15</v>
      </c>
      <c r="B18" s="45" t="n">
        <f aca="false">SUM('Activation Detail'!C18,'Activation Detail'!C518,'Activation Detail'!C1018,'Activation Detail'!C1518,'Activation Detail'!C2018,'Activation Detail'!C2518,'Activation Detail'!C3018,'Activation Detail'!C3518)</f>
        <v>4438841</v>
      </c>
      <c r="C18" s="45" t="n">
        <f aca="false">SUM('Activation Detail'!E18,'Activation Detail'!E518,'Activation Detail'!E1018,'Activation Detail'!E1518,'Activation Detail'!E2018,'Activation Detail'!E2518,'Activation Detail'!E3018,'Activation Detail'!E3518)</f>
        <v>361609</v>
      </c>
      <c r="D18" s="45" t="n">
        <f aca="false">SUM('Activation Detail'!G18,'Activation Detail'!G518,'Activation Detail'!G1018,'Activation Detail'!G1518,'Activation Detail'!G2018,'Activation Detail'!G2518,'Activation Detail'!G3018,'Activation Detail'!G3518)</f>
        <v>15295</v>
      </c>
      <c r="E18" s="48" t="n">
        <f aca="false">SUM('Activation Detail'!H18,'Activation Detail'!H518,'Activation Detail'!H1018,'Activation Detail'!H1518,'Activation Detail'!H2018,'Activation Detail'!H2518,'Activation Detail'!H3018,'Activation Detail'!H3518)</f>
        <v>821.217384938677</v>
      </c>
      <c r="F18" s="50" t="n">
        <f aca="false">SUM('Activation Detail'!I18,'Activation Detail'!I518,'Activation Detail'!I1018,'Activation Detail'!I1518,'Activation Detail'!I2018,'Activation Detail'!I2518,'Activation Detail'!I3018,'Activation Detail'!I3518)</f>
        <v>72572.611774</v>
      </c>
      <c r="G18" s="50" t="n">
        <f aca="false">SUM('Activation Detail'!J18,'Activation Detail'!J518,'Activation Detail'!J1018,'Activation Detail'!J1518,'Activation Detail'!J2018,'Activation Detail'!J2518,'Activation Detail'!J3018,'Activation Detail'!J3518)</f>
        <v>5045147.57694303</v>
      </c>
      <c r="H18" s="50" t="n">
        <f aca="false">SUM('Activation Detail'!K18,'Activation Detail'!K518,'Activation Detail'!K1018,'Activation Detail'!K1518,'Activation Detail'!K2018,'Activation Detail'!K2518,'Activation Detail'!K3018,'Activation Detail'!K3518)</f>
        <v>108484.09807187</v>
      </c>
      <c r="I18" s="51" t="n">
        <f aca="false">IFERROR(H18/F18,0)</f>
        <v>1.4948352473479</v>
      </c>
      <c r="J18" s="49" t="n">
        <f aca="false">IFERROR(F18/E18,0)</f>
        <v>88.371986644461</v>
      </c>
      <c r="K18" s="46" t="n">
        <f aca="false">IFERROR(C18/B18,0)</f>
        <v>0.0814647336996302</v>
      </c>
      <c r="L18" s="47" t="n">
        <f aca="false">IFERROR(D18/B18,0)</f>
        <v>0.00344571927672111</v>
      </c>
      <c r="N18" s="48" t="n">
        <f aca="false">SUMIFS('Activation Detail'!$H$4:$H$4003,'Activation Detail'!$A$4:$A$4003,$A18,'Activation Detail'!$N$4:$N$4003,N$2)</f>
        <v>105.224358092042</v>
      </c>
      <c r="O18" s="50" t="n">
        <f aca="false">N18*'Model Inputs &amp; Assumptions'!$D$40*'Model Inputs &amp; Assumptions'!$H$40</f>
        <v>894407.043782354</v>
      </c>
      <c r="P18" s="50" t="n">
        <f aca="false">N18*'Model Inputs &amp; Assumptions'!$G$40*'Model Inputs &amp; Assumptions'!$H$40</f>
        <v>20124.158485103</v>
      </c>
      <c r="Q18" s="50" t="n">
        <f aca="false">SUMIFS('Activation Detail'!$I$4:$I$4003,'Activation Detail'!$A$4:$A$4003,$A18,'Activation Detail'!$N$4:$N$4003,N$2)</f>
        <v>17498.3245</v>
      </c>
      <c r="R18" s="51" t="n">
        <f aca="false">IFERROR(P18/Q18,0)</f>
        <v>1.15006202365849</v>
      </c>
      <c r="S18" s="49" t="n">
        <f aca="false">IFERROR(Q18/N18,0)</f>
        <v>166.295378914965</v>
      </c>
      <c r="T18" s="48" t="n">
        <f aca="false">SUMIFS('Activation Detail'!$H$4:$H$4003,'Activation Detail'!$A$4:$A$4003,$A18,'Activation Detail'!$N$4:$N$4003,T$2)</f>
        <v>157.987882327135</v>
      </c>
      <c r="U18" s="50" t="n">
        <f aca="false">T18*'Model Inputs &amp; Assumptions'!$D$41*'Model Inputs &amp; Assumptions'!$H$41</f>
        <v>1137512.75275538</v>
      </c>
      <c r="V18" s="50" t="n">
        <f aca="false">T18*'Model Inputs &amp; Assumptions'!$G$41*'Model Inputs &amp; Assumptions'!$H$41</f>
        <v>25082.156198256</v>
      </c>
      <c r="W18" s="50" t="n">
        <f aca="false">SUMIFS('Activation Detail'!$I$4:$I$4003,'Activation Detail'!$A$4:$A$4003,$A18,'Activation Detail'!$N$4:$N$4003,T$2)</f>
        <v>15295.579274</v>
      </c>
      <c r="X18" s="51" t="n">
        <f aca="false">IFERROR(V18/W18,0)</f>
        <v>1.63983042086491</v>
      </c>
      <c r="Y18" s="49" t="n">
        <f aca="false">IFERROR(W18/T18,0)</f>
        <v>96.8148888933673</v>
      </c>
      <c r="Z18" s="48" t="n">
        <f aca="false">SUMIFS('Activation Detail'!$H$4:$H$4003,'Activation Detail'!$A$4:$A$4003,$A18,'Activation Detail'!$N$4:$N$4003,Z$2)</f>
        <v>558.0051445195</v>
      </c>
      <c r="AA18" s="50" t="n">
        <f aca="false">Z18*'Model Inputs &amp; Assumptions'!$D$42*'Model Inputs &amp; Assumptions'!$H$42</f>
        <v>3013227.7804053</v>
      </c>
      <c r="AB18" s="50" t="n">
        <f aca="false">Z18*'Model Inputs &amp; Assumptions'!$G$42*'Model Inputs &amp; Assumptions'!$H$42</f>
        <v>63277.7833885113</v>
      </c>
      <c r="AC18" s="50" t="n">
        <f aca="false">SUMIFS('Activation Detail'!$I$4:$I$4003,'Activation Detail'!$A$4:$A$4003,$A18,'Activation Detail'!$N$4:$N$4003,Z$2)</f>
        <v>39778.708</v>
      </c>
      <c r="AD18" s="51" t="n">
        <f aca="false">IFERROR(AB18/AC18,0)</f>
        <v>1.59074506362829</v>
      </c>
      <c r="AE18" s="49" t="n">
        <f aca="false">IFERROR(AC18/Z18,0)</f>
        <v>71.2873499298175</v>
      </c>
    </row>
    <row r="19" customFormat="false" ht="15" hidden="false" customHeight="false" outlineLevel="0" collapsed="false">
      <c r="A19" s="43" t="n">
        <v>16</v>
      </c>
      <c r="B19" s="45" t="n">
        <f aca="false">SUM('Activation Detail'!C19,'Activation Detail'!C519,'Activation Detail'!C1019,'Activation Detail'!C1519,'Activation Detail'!C2019,'Activation Detail'!C2519,'Activation Detail'!C3019,'Activation Detail'!C3519)</f>
        <v>4542328</v>
      </c>
      <c r="C19" s="45" t="n">
        <f aca="false">SUM('Activation Detail'!E19,'Activation Detail'!E519,'Activation Detail'!E1019,'Activation Detail'!E1519,'Activation Detail'!E2019,'Activation Detail'!E2519,'Activation Detail'!E3019,'Activation Detail'!E3519)</f>
        <v>511566</v>
      </c>
      <c r="D19" s="45" t="n">
        <f aca="false">SUM('Activation Detail'!G19,'Activation Detail'!G519,'Activation Detail'!G1019,'Activation Detail'!G1519,'Activation Detail'!G2019,'Activation Detail'!G2519,'Activation Detail'!G3019,'Activation Detail'!G3519)</f>
        <v>17659</v>
      </c>
      <c r="E19" s="48" t="n">
        <f aca="false">SUM('Activation Detail'!H19,'Activation Detail'!H519,'Activation Detail'!H1019,'Activation Detail'!H1519,'Activation Detail'!H2019,'Activation Detail'!H2519,'Activation Detail'!H3019,'Activation Detail'!H3519)</f>
        <v>659.189948073784</v>
      </c>
      <c r="F19" s="50" t="n">
        <f aca="false">SUM('Activation Detail'!I19,'Activation Detail'!I519,'Activation Detail'!I1019,'Activation Detail'!I1519,'Activation Detail'!I2019,'Activation Detail'!I2519,'Activation Detail'!I3019,'Activation Detail'!I3519)</f>
        <v>76945.694416</v>
      </c>
      <c r="G19" s="50" t="n">
        <f aca="false">SUM('Activation Detail'!J19,'Activation Detail'!J519,'Activation Detail'!J1019,'Activation Detail'!J1519,'Activation Detail'!J2019,'Activation Detail'!J2519,'Activation Detail'!J3019,'Activation Detail'!J3519)</f>
        <v>4220644.48901244</v>
      </c>
      <c r="H19" s="50" t="n">
        <f aca="false">SUM('Activation Detail'!K19,'Activation Detail'!K519,'Activation Detail'!K1019,'Activation Detail'!K1519,'Activation Detail'!K2019,'Activation Detail'!K2519,'Activation Detail'!K3019,'Activation Detail'!K3519)</f>
        <v>91382.8258868171</v>
      </c>
      <c r="I19" s="51" t="n">
        <f aca="false">IFERROR(H19/F19,0)</f>
        <v>1.18762754148093</v>
      </c>
      <c r="J19" s="49" t="n">
        <f aca="false">IFERROR(F19/E19,0)</f>
        <v>116.727651325453</v>
      </c>
      <c r="K19" s="46" t="n">
        <f aca="false">IFERROR(C19/B19,0)</f>
        <v>0.112621985906786</v>
      </c>
      <c r="L19" s="47" t="n">
        <f aca="false">IFERROR(D19/B19,0)</f>
        <v>0.00388765408398513</v>
      </c>
      <c r="N19" s="48" t="n">
        <f aca="false">SUMIFS('Activation Detail'!$H$4:$H$4003,'Activation Detail'!$A$4:$A$4003,$A19,'Activation Detail'!$N$4:$N$4003,N$2)</f>
        <v>99.9526443813198</v>
      </c>
      <c r="O19" s="50" t="n">
        <f aca="false">N19*'Model Inputs &amp; Assumptions'!$D$40*'Model Inputs &amp; Assumptions'!$H$40</f>
        <v>849597.477241218</v>
      </c>
      <c r="P19" s="50" t="n">
        <f aca="false">N19*'Model Inputs &amp; Assumptions'!$G$40*'Model Inputs &amp; Assumptions'!$H$40</f>
        <v>19115.9432379274</v>
      </c>
      <c r="Q19" s="50" t="n">
        <f aca="false">SUMIFS('Activation Detail'!$I$4:$I$4003,'Activation Detail'!$A$4:$A$4003,$A19,'Activation Detail'!$N$4:$N$4003,N$2)</f>
        <v>19056.8425</v>
      </c>
      <c r="R19" s="51" t="n">
        <f aca="false">IFERROR(P19/Q19,0)</f>
        <v>1.00310128700111</v>
      </c>
      <c r="S19" s="49" t="n">
        <f aca="false">IFERROR(Q19/N19,0)</f>
        <v>190.658712612926</v>
      </c>
      <c r="T19" s="48" t="n">
        <f aca="false">SUMIFS('Activation Detail'!$H$4:$H$4003,'Activation Detail'!$A$4:$A$4003,$A19,'Activation Detail'!$N$4:$N$4003,T$2)</f>
        <v>195.091984351064</v>
      </c>
      <c r="U19" s="50" t="n">
        <f aca="false">T19*'Model Inputs &amp; Assumptions'!$D$41*'Model Inputs &amp; Assumptions'!$H$41</f>
        <v>1404662.28732766</v>
      </c>
      <c r="V19" s="50" t="n">
        <f aca="false">T19*'Model Inputs &amp; Assumptions'!$G$41*'Model Inputs &amp; Assumptions'!$H$41</f>
        <v>30972.803435575</v>
      </c>
      <c r="W19" s="50" t="n">
        <f aca="false">SUMIFS('Activation Detail'!$I$4:$I$4003,'Activation Detail'!$A$4:$A$4003,$A19,'Activation Detail'!$N$4:$N$4003,T$2)</f>
        <v>20747.095916</v>
      </c>
      <c r="X19" s="51" t="n">
        <f aca="false">IFERROR(V19/W19,0)</f>
        <v>1.49287416229126</v>
      </c>
      <c r="Y19" s="49" t="n">
        <f aca="false">IFERROR(W19/T19,0)</f>
        <v>106.345199086529</v>
      </c>
      <c r="Z19" s="48" t="n">
        <f aca="false">SUMIFS('Activation Detail'!$H$4:$H$4003,'Activation Detail'!$A$4:$A$4003,$A19,'Activation Detail'!$N$4:$N$4003,Z$2)</f>
        <v>364.1453193414</v>
      </c>
      <c r="AA19" s="50" t="n">
        <f aca="false">Z19*'Model Inputs &amp; Assumptions'!$D$42*'Model Inputs &amp; Assumptions'!$H$42</f>
        <v>1966384.72444356</v>
      </c>
      <c r="AB19" s="50" t="n">
        <f aca="false">Z19*'Model Inputs &amp; Assumptions'!$G$42*'Model Inputs &amp; Assumptions'!$H$42</f>
        <v>41294.0792133147</v>
      </c>
      <c r="AC19" s="50" t="n">
        <f aca="false">SUMIFS('Activation Detail'!$I$4:$I$4003,'Activation Detail'!$A$4:$A$4003,$A19,'Activation Detail'!$N$4:$N$4003,Z$2)</f>
        <v>37141.756</v>
      </c>
      <c r="AD19" s="51" t="n">
        <f aca="false">IFERROR(AB19/AC19,0)</f>
        <v>1.11179663162169</v>
      </c>
      <c r="AE19" s="49" t="n">
        <f aca="false">IFERROR(AC19/Z19,0)</f>
        <v>101.997071024214</v>
      </c>
    </row>
    <row r="20" customFormat="false" ht="15" hidden="false" customHeight="false" outlineLevel="0" collapsed="false">
      <c r="A20" s="43" t="n">
        <v>17</v>
      </c>
      <c r="B20" s="45" t="n">
        <f aca="false">SUM('Activation Detail'!C20,'Activation Detail'!C520,'Activation Detail'!C1020,'Activation Detail'!C1520,'Activation Detail'!C2020,'Activation Detail'!C2520,'Activation Detail'!C3020,'Activation Detail'!C3520)</f>
        <v>4037419</v>
      </c>
      <c r="C20" s="45" t="n">
        <f aca="false">SUM('Activation Detail'!E20,'Activation Detail'!E520,'Activation Detail'!E1020,'Activation Detail'!E1520,'Activation Detail'!E2020,'Activation Detail'!E2520,'Activation Detail'!E3020,'Activation Detail'!E3520)</f>
        <v>336786</v>
      </c>
      <c r="D20" s="45" t="n">
        <f aca="false">SUM('Activation Detail'!G20,'Activation Detail'!G520,'Activation Detail'!G1020,'Activation Detail'!G1520,'Activation Detail'!G2020,'Activation Detail'!G2520,'Activation Detail'!G3020,'Activation Detail'!G3520)</f>
        <v>14220</v>
      </c>
      <c r="E20" s="48" t="n">
        <f aca="false">SUM('Activation Detail'!H20,'Activation Detail'!H520,'Activation Detail'!H1020,'Activation Detail'!H1520,'Activation Detail'!H2020,'Activation Detail'!H2520,'Activation Detail'!H3020,'Activation Detail'!H3520)</f>
        <v>623.969041991264</v>
      </c>
      <c r="F20" s="50" t="n">
        <f aca="false">SUM('Activation Detail'!I20,'Activation Detail'!I520,'Activation Detail'!I1020,'Activation Detail'!I1520,'Activation Detail'!I2020,'Activation Detail'!I2520,'Activation Detail'!I3020,'Activation Detail'!I3520)</f>
        <v>72692.012726</v>
      </c>
      <c r="G20" s="50" t="n">
        <f aca="false">SUM('Activation Detail'!J20,'Activation Detail'!J520,'Activation Detail'!J1020,'Activation Detail'!J1520,'Activation Detail'!J2020,'Activation Detail'!J2520,'Activation Detail'!J3020,'Activation Detail'!J3520)</f>
        <v>4354048.84505412</v>
      </c>
      <c r="H20" s="50" t="n">
        <f aca="false">SUM('Activation Detail'!K20,'Activation Detail'!K520,'Activation Detail'!K1020,'Activation Detail'!K1520,'Activation Detail'!K2020,'Activation Detail'!K2520,'Activation Detail'!K3020,'Activation Detail'!K3520)</f>
        <v>95531.7838479441</v>
      </c>
      <c r="I20" s="51" t="n">
        <f aca="false">IFERROR(H20/F20,0)</f>
        <v>1.31419918455188</v>
      </c>
      <c r="J20" s="49" t="n">
        <f aca="false">IFERROR(F20/E20,0)</f>
        <v>116.499389928095</v>
      </c>
      <c r="K20" s="46" t="n">
        <f aca="false">IFERROR(C20/B20,0)</f>
        <v>0.0834161626524272</v>
      </c>
      <c r="L20" s="47" t="n">
        <f aca="false">IFERROR(D20/B20,0)</f>
        <v>0.00352205208327399</v>
      </c>
      <c r="N20" s="48" t="n">
        <f aca="false">SUMIFS('Activation Detail'!$H$4:$H$4003,'Activation Detail'!$A$4:$A$4003,$A20,'Activation Detail'!$N$4:$N$4003,N$2)</f>
        <v>143.07101873257</v>
      </c>
      <c r="O20" s="50" t="n">
        <f aca="false">N20*'Model Inputs &amp; Assumptions'!$D$40*'Model Inputs &amp; Assumptions'!$H$40</f>
        <v>1216103.65922685</v>
      </c>
      <c r="P20" s="50" t="n">
        <f aca="false">N20*'Model Inputs &amp; Assumptions'!$G$40*'Model Inputs &amp; Assumptions'!$H$40</f>
        <v>27362.3323326041</v>
      </c>
      <c r="Q20" s="50" t="n">
        <f aca="false">SUMIFS('Activation Detail'!$I$4:$I$4003,'Activation Detail'!$A$4:$A$4003,$A20,'Activation Detail'!$N$4:$N$4003,N$2)</f>
        <v>18591.67</v>
      </c>
      <c r="R20" s="51" t="n">
        <f aca="false">IFERROR(P20/Q20,0)</f>
        <v>1.47175225961972</v>
      </c>
      <c r="S20" s="49" t="n">
        <f aca="false">IFERROR(Q20/N20,0)</f>
        <v>129.947142088585</v>
      </c>
      <c r="T20" s="48" t="n">
        <f aca="false">SUMIFS('Activation Detail'!$H$4:$H$4003,'Activation Detail'!$A$4:$A$4003,$A20,'Activation Detail'!$N$4:$N$4003,T$2)</f>
        <v>300.608811239069</v>
      </c>
      <c r="U20" s="50" t="n">
        <f aca="false">T20*'Model Inputs &amp; Assumptions'!$D$41*'Model Inputs &amp; Assumptions'!$H$41</f>
        <v>2164383.44092129</v>
      </c>
      <c r="V20" s="50" t="n">
        <f aca="false">T20*'Model Inputs &amp; Assumptions'!$G$41*'Model Inputs &amp; Assumptions'!$H$41</f>
        <v>47724.6548723145</v>
      </c>
      <c r="W20" s="50" t="n">
        <f aca="false">SUMIFS('Activation Detail'!$I$4:$I$4003,'Activation Detail'!$A$4:$A$4003,$A20,'Activation Detail'!$N$4:$N$4003,T$2)</f>
        <v>19010.934726</v>
      </c>
      <c r="X20" s="51" t="n">
        <f aca="false">IFERROR(V20/W20,0)</f>
        <v>2.51037918756539</v>
      </c>
      <c r="Y20" s="49" t="n">
        <f aca="false">IFERROR(W20/T20,0)</f>
        <v>63.2414420842806</v>
      </c>
      <c r="Z20" s="48" t="n">
        <f aca="false">SUMIFS('Activation Detail'!$H$4:$H$4003,'Activation Detail'!$A$4:$A$4003,$A20,'Activation Detail'!$N$4:$N$4003,Z$2)</f>
        <v>180.289212019625</v>
      </c>
      <c r="AA20" s="50" t="n">
        <f aca="false">Z20*'Model Inputs &amp; Assumptions'!$D$42*'Model Inputs &amp; Assumptions'!$H$42</f>
        <v>973561.744905974</v>
      </c>
      <c r="AB20" s="50" t="n">
        <f aca="false">Z20*'Model Inputs &amp; Assumptions'!$G$42*'Model Inputs &amp; Assumptions'!$H$42</f>
        <v>20444.7966430255</v>
      </c>
      <c r="AC20" s="50" t="n">
        <f aca="false">SUMIFS('Activation Detail'!$I$4:$I$4003,'Activation Detail'!$A$4:$A$4003,$A20,'Activation Detail'!$N$4:$N$4003,Z$2)</f>
        <v>35089.408</v>
      </c>
      <c r="AD20" s="51" t="n">
        <f aca="false">IFERROR(AB20/AC20,0)</f>
        <v>0.582648662611391</v>
      </c>
      <c r="AE20" s="49" t="n">
        <f aca="false">IFERROR(AC20/Z20,0)</f>
        <v>194.628439532924</v>
      </c>
    </row>
    <row r="21" customFormat="false" ht="15" hidden="false" customHeight="false" outlineLevel="0" collapsed="false">
      <c r="A21" s="43" t="n">
        <v>18</v>
      </c>
      <c r="B21" s="45" t="n">
        <f aca="false">SUM('Activation Detail'!C21,'Activation Detail'!C521,'Activation Detail'!C1021,'Activation Detail'!C1521,'Activation Detail'!C2021,'Activation Detail'!C2521,'Activation Detail'!C3021,'Activation Detail'!C3521)</f>
        <v>4273977</v>
      </c>
      <c r="C21" s="45" t="n">
        <f aca="false">SUM('Activation Detail'!E21,'Activation Detail'!E521,'Activation Detail'!E1021,'Activation Detail'!E1521,'Activation Detail'!E2021,'Activation Detail'!E2521,'Activation Detail'!E3021,'Activation Detail'!E3521)</f>
        <v>420887</v>
      </c>
      <c r="D21" s="45" t="n">
        <f aca="false">SUM('Activation Detail'!G21,'Activation Detail'!G521,'Activation Detail'!G1021,'Activation Detail'!G1521,'Activation Detail'!G2021,'Activation Detail'!G2521,'Activation Detail'!G3021,'Activation Detail'!G3521)</f>
        <v>15505</v>
      </c>
      <c r="E21" s="48" t="n">
        <f aca="false">SUM('Activation Detail'!H21,'Activation Detail'!H521,'Activation Detail'!H1021,'Activation Detail'!H1521,'Activation Detail'!H2021,'Activation Detail'!H2521,'Activation Detail'!H3021,'Activation Detail'!H3521)</f>
        <v>738.383992509649</v>
      </c>
      <c r="F21" s="50" t="n">
        <f aca="false">SUM('Activation Detail'!I21,'Activation Detail'!I521,'Activation Detail'!I1021,'Activation Detail'!I1521,'Activation Detail'!I2021,'Activation Detail'!I2521,'Activation Detail'!I3021,'Activation Detail'!I3521)</f>
        <v>78302.164126</v>
      </c>
      <c r="G21" s="50" t="n">
        <f aca="false">SUM('Activation Detail'!J21,'Activation Detail'!J521,'Activation Detail'!J1021,'Activation Detail'!J1521,'Activation Detail'!J2021,'Activation Detail'!J2521,'Activation Detail'!J3021,'Activation Detail'!J3521)</f>
        <v>4645938.93409189</v>
      </c>
      <c r="H21" s="50" t="n">
        <f aca="false">SUM('Activation Detail'!K21,'Activation Detail'!K521,'Activation Detail'!K1021,'Activation Detail'!K1521,'Activation Detail'!K2021,'Activation Detail'!K2521,'Activation Detail'!K3021,'Activation Detail'!K3521)</f>
        <v>100298.831465692</v>
      </c>
      <c r="I21" s="51" t="n">
        <f aca="false">IFERROR(H21/F21,0)</f>
        <v>1.28092029875823</v>
      </c>
      <c r="J21" s="49" t="n">
        <f aca="false">IFERROR(F21/E21,0)</f>
        <v>106.045316421153</v>
      </c>
      <c r="K21" s="46" t="n">
        <f aca="false">IFERROR(C21/B21,0)</f>
        <v>0.0984766647083033</v>
      </c>
      <c r="L21" s="47" t="n">
        <f aca="false">IFERROR(D21/B21,0)</f>
        <v>0.00362776870348156</v>
      </c>
      <c r="N21" s="48" t="n">
        <f aca="false">SUMIFS('Activation Detail'!$H$4:$H$4003,'Activation Detail'!$A$4:$A$4003,$A21,'Activation Detail'!$N$4:$N$4003,N$2)</f>
        <v>119.558234462108</v>
      </c>
      <c r="O21" s="50" t="n">
        <f aca="false">N21*'Model Inputs &amp; Assumptions'!$D$40*'Model Inputs &amp; Assumptions'!$H$40</f>
        <v>1016244.99292791</v>
      </c>
      <c r="P21" s="50" t="n">
        <f aca="false">N21*'Model Inputs &amp; Assumptions'!$G$40*'Model Inputs &amp; Assumptions'!$H$40</f>
        <v>22865.5123408781</v>
      </c>
      <c r="Q21" s="50" t="n">
        <f aca="false">SUMIFS('Activation Detail'!$I$4:$I$4003,'Activation Detail'!$A$4:$A$4003,$A21,'Activation Detail'!$N$4:$N$4003,N$2)</f>
        <v>19600.3985</v>
      </c>
      <c r="R21" s="51" t="n">
        <f aca="false">IFERROR(P21/Q21,0)</f>
        <v>1.16658405393534</v>
      </c>
      <c r="S21" s="49" t="n">
        <f aca="false">IFERROR(Q21/N21,0)</f>
        <v>163.940180182337</v>
      </c>
      <c r="T21" s="48" t="n">
        <f aca="false">SUMIFS('Activation Detail'!$H$4:$H$4003,'Activation Detail'!$A$4:$A$4003,$A21,'Activation Detail'!$N$4:$N$4003,T$2)</f>
        <v>160.019359837362</v>
      </c>
      <c r="U21" s="50" t="n">
        <f aca="false">T21*'Model Inputs &amp; Assumptions'!$D$41*'Model Inputs &amp; Assumptions'!$H$41</f>
        <v>1152139.39082901</v>
      </c>
      <c r="V21" s="50" t="n">
        <f aca="false">T21*'Model Inputs &amp; Assumptions'!$G$41*'Model Inputs &amp; Assumptions'!$H$41</f>
        <v>25404.6735677796</v>
      </c>
      <c r="W21" s="50" t="n">
        <f aca="false">SUMIFS('Activation Detail'!$I$4:$I$4003,'Activation Detail'!$A$4:$A$4003,$A21,'Activation Detail'!$N$4:$N$4003,T$2)</f>
        <v>18520.205626</v>
      </c>
      <c r="X21" s="51" t="n">
        <f aca="false">IFERROR(V21/W21,0)</f>
        <v>1.37172740307563</v>
      </c>
      <c r="Y21" s="49" t="n">
        <f aca="false">IFERROR(W21/T21,0)</f>
        <v>115.737281069136</v>
      </c>
      <c r="Z21" s="48" t="n">
        <f aca="false">SUMIFS('Activation Detail'!$H$4:$H$4003,'Activation Detail'!$A$4:$A$4003,$A21,'Activation Detail'!$N$4:$N$4003,Z$2)</f>
        <v>458.80639821018</v>
      </c>
      <c r="AA21" s="50" t="n">
        <f aca="false">Z21*'Model Inputs &amp; Assumptions'!$D$42*'Model Inputs &amp; Assumptions'!$H$42</f>
        <v>2477554.55033497</v>
      </c>
      <c r="AB21" s="50" t="n">
        <f aca="false">Z21*'Model Inputs &amp; Assumptions'!$G$42*'Model Inputs &amp; Assumptions'!$H$42</f>
        <v>52028.6455570344</v>
      </c>
      <c r="AC21" s="50" t="n">
        <f aca="false">SUMIFS('Activation Detail'!$I$4:$I$4003,'Activation Detail'!$A$4:$A$4003,$A21,'Activation Detail'!$N$4:$N$4003,Z$2)</f>
        <v>40181.56</v>
      </c>
      <c r="AD21" s="51" t="n">
        <f aca="false">IFERROR(AB21/AC21,0)</f>
        <v>1.29483886531619</v>
      </c>
      <c r="AE21" s="49" t="n">
        <f aca="false">IFERROR(AC21/Z21,0)</f>
        <v>87.5784648094484</v>
      </c>
    </row>
    <row r="22" customFormat="false" ht="15" hidden="false" customHeight="false" outlineLevel="0" collapsed="false">
      <c r="A22" s="43" t="n">
        <v>19</v>
      </c>
      <c r="B22" s="45" t="n">
        <f aca="false">SUM('Activation Detail'!C22,'Activation Detail'!C522,'Activation Detail'!C1022,'Activation Detail'!C1522,'Activation Detail'!C2022,'Activation Detail'!C2522,'Activation Detail'!C3022,'Activation Detail'!C3522)</f>
        <v>3863686</v>
      </c>
      <c r="C22" s="45" t="n">
        <f aca="false">SUM('Activation Detail'!E22,'Activation Detail'!E522,'Activation Detail'!E1022,'Activation Detail'!E1522,'Activation Detail'!E2022,'Activation Detail'!E2522,'Activation Detail'!E3022,'Activation Detail'!E3522)</f>
        <v>282633</v>
      </c>
      <c r="D22" s="45" t="n">
        <f aca="false">SUM('Activation Detail'!G22,'Activation Detail'!G522,'Activation Detail'!G1022,'Activation Detail'!G1522,'Activation Detail'!G2022,'Activation Detail'!G2522,'Activation Detail'!G3022,'Activation Detail'!G3522)</f>
        <v>16510</v>
      </c>
      <c r="E22" s="48" t="n">
        <f aca="false">SUM('Activation Detail'!H22,'Activation Detail'!H522,'Activation Detail'!H1022,'Activation Detail'!H1522,'Activation Detail'!H2022,'Activation Detail'!H2522,'Activation Detail'!H3022,'Activation Detail'!H3522)</f>
        <v>709.044541845708</v>
      </c>
      <c r="F22" s="50" t="n">
        <f aca="false">SUM('Activation Detail'!I22,'Activation Detail'!I522,'Activation Detail'!I1022,'Activation Detail'!I1522,'Activation Detail'!I2022,'Activation Detail'!I2522,'Activation Detail'!I3022,'Activation Detail'!I3522)</f>
        <v>70855.19239</v>
      </c>
      <c r="G22" s="50" t="n">
        <f aca="false">SUM('Activation Detail'!J22,'Activation Detail'!J522,'Activation Detail'!J1022,'Activation Detail'!J1522,'Activation Detail'!J2022,'Activation Detail'!J2522,'Activation Detail'!J3022,'Activation Detail'!J3522)</f>
        <v>4394902.63076817</v>
      </c>
      <c r="H22" s="50" t="n">
        <f aca="false">SUM('Activation Detail'!K22,'Activation Detail'!K522,'Activation Detail'!K1022,'Activation Detail'!K1522,'Activation Detail'!K2022,'Activation Detail'!K2522,'Activation Detail'!K3022,'Activation Detail'!K3522)</f>
        <v>94641.5050060855</v>
      </c>
      <c r="I22" s="51" t="n">
        <f aca="false">IFERROR(H22/F22,0)</f>
        <v>1.33570316886815</v>
      </c>
      <c r="J22" s="49" t="n">
        <f aca="false">IFERROR(F22/E22,0)</f>
        <v>99.9305236953908</v>
      </c>
      <c r="K22" s="46" t="n">
        <f aca="false">IFERROR(C22/B22,0)</f>
        <v>0.0731511308113548</v>
      </c>
      <c r="L22" s="47" t="n">
        <f aca="false">IFERROR(D22/B22,0)</f>
        <v>0.00427312157354402</v>
      </c>
      <c r="N22" s="48" t="n">
        <f aca="false">SUMIFS('Activation Detail'!$H$4:$H$4003,'Activation Detail'!$A$4:$A$4003,$A22,'Activation Detail'!$N$4:$N$4003,N$2)</f>
        <v>107.078074857655</v>
      </c>
      <c r="O22" s="50" t="n">
        <f aca="false">N22*'Model Inputs &amp; Assumptions'!$D$40*'Model Inputs &amp; Assumptions'!$H$40</f>
        <v>910163.636290067</v>
      </c>
      <c r="P22" s="50" t="n">
        <f aca="false">N22*'Model Inputs &amp; Assumptions'!$G$40*'Model Inputs &amp; Assumptions'!$H$40</f>
        <v>20478.6818165265</v>
      </c>
      <c r="Q22" s="50" t="n">
        <f aca="false">SUMIFS('Activation Detail'!$I$4:$I$4003,'Activation Detail'!$A$4:$A$4003,$A22,'Activation Detail'!$N$4:$N$4003,N$2)</f>
        <v>18340.2045</v>
      </c>
      <c r="R22" s="51" t="n">
        <f aca="false">IFERROR(P22/Q22,0)</f>
        <v>1.11660051645152</v>
      </c>
      <c r="S22" s="49" t="n">
        <f aca="false">IFERROR(Q22/N22,0)</f>
        <v>171.278803101202</v>
      </c>
      <c r="T22" s="48" t="n">
        <f aca="false">SUMIFS('Activation Detail'!$H$4:$H$4003,'Activation Detail'!$A$4:$A$4003,$A22,'Activation Detail'!$N$4:$N$4003,T$2)</f>
        <v>130.066707079229</v>
      </c>
      <c r="U22" s="50" t="n">
        <f aca="false">T22*'Model Inputs &amp; Assumptions'!$D$41*'Model Inputs &amp; Assumptions'!$H$41</f>
        <v>936480.29097045</v>
      </c>
      <c r="V22" s="50" t="n">
        <f aca="false">T22*'Model Inputs &amp; Assumptions'!$G$41*'Model Inputs &amp; Assumptions'!$H$41</f>
        <v>20649.3904158984</v>
      </c>
      <c r="W22" s="50" t="n">
        <f aca="false">SUMIFS('Activation Detail'!$I$4:$I$4003,'Activation Detail'!$A$4:$A$4003,$A22,'Activation Detail'!$N$4:$N$4003,T$2)</f>
        <v>15197.61189</v>
      </c>
      <c r="X22" s="51" t="n">
        <f aca="false">IFERROR(V22/W22,0)</f>
        <v>1.35872600020045</v>
      </c>
      <c r="Y22" s="49" t="n">
        <f aca="false">IFERROR(W22/T22,0)</f>
        <v>116.844750138423</v>
      </c>
      <c r="Z22" s="48" t="n">
        <f aca="false">SUMIFS('Activation Detail'!$H$4:$H$4003,'Activation Detail'!$A$4:$A$4003,$A22,'Activation Detail'!$N$4:$N$4003,Z$2)</f>
        <v>471.899759908824</v>
      </c>
      <c r="AA22" s="50" t="n">
        <f aca="false">Z22*'Model Inputs &amp; Assumptions'!$D$42*'Model Inputs &amp; Assumptions'!$H$42</f>
        <v>2548258.70350765</v>
      </c>
      <c r="AB22" s="50" t="n">
        <f aca="false">Z22*'Model Inputs &amp; Assumptions'!$G$42*'Model Inputs &amp; Assumptions'!$H$42</f>
        <v>53513.4327736606</v>
      </c>
      <c r="AC22" s="50" t="n">
        <f aca="false">SUMIFS('Activation Detail'!$I$4:$I$4003,'Activation Detail'!$A$4:$A$4003,$A22,'Activation Detail'!$N$4:$N$4003,Z$2)</f>
        <v>37317.376</v>
      </c>
      <c r="AD22" s="51" t="n">
        <f aca="false">IFERROR(AB22/AC22,0)</f>
        <v>1.43400845690921</v>
      </c>
      <c r="AE22" s="49" t="n">
        <f aca="false">IFERROR(AC22/Z22,0)</f>
        <v>79.0790315451954</v>
      </c>
    </row>
    <row r="23" customFormat="false" ht="15" hidden="false" customHeight="false" outlineLevel="0" collapsed="false">
      <c r="A23" s="43" t="n">
        <v>20</v>
      </c>
      <c r="B23" s="45" t="n">
        <f aca="false">SUM('Activation Detail'!C23,'Activation Detail'!C523,'Activation Detail'!C1023,'Activation Detail'!C1523,'Activation Detail'!C2023,'Activation Detail'!C2523,'Activation Detail'!C3023,'Activation Detail'!C3523)</f>
        <v>4518555</v>
      </c>
      <c r="C23" s="45" t="n">
        <f aca="false">SUM('Activation Detail'!E23,'Activation Detail'!E523,'Activation Detail'!E1023,'Activation Detail'!E1523,'Activation Detail'!E2023,'Activation Detail'!E2523,'Activation Detail'!E3023,'Activation Detail'!E3523)</f>
        <v>355615</v>
      </c>
      <c r="D23" s="45" t="n">
        <f aca="false">SUM('Activation Detail'!G23,'Activation Detail'!G523,'Activation Detail'!G1023,'Activation Detail'!G1523,'Activation Detail'!G2023,'Activation Detail'!G2523,'Activation Detail'!G3023,'Activation Detail'!G3523)</f>
        <v>19680</v>
      </c>
      <c r="E23" s="48" t="n">
        <f aca="false">SUM('Activation Detail'!H23,'Activation Detail'!H523,'Activation Detail'!H1023,'Activation Detail'!H1523,'Activation Detail'!H2023,'Activation Detail'!H2523,'Activation Detail'!H3023,'Activation Detail'!H3523)</f>
        <v>1101.23235886006</v>
      </c>
      <c r="F23" s="50" t="n">
        <f aca="false">SUM('Activation Detail'!I23,'Activation Detail'!I523,'Activation Detail'!I1023,'Activation Detail'!I1523,'Activation Detail'!I2023,'Activation Detail'!I2523,'Activation Detail'!I3023,'Activation Detail'!I3523)</f>
        <v>75223.024992</v>
      </c>
      <c r="G23" s="50" t="n">
        <f aca="false">SUM('Activation Detail'!J23,'Activation Detail'!J523,'Activation Detail'!J1023,'Activation Detail'!J1523,'Activation Detail'!J2023,'Activation Detail'!J2523,'Activation Detail'!J3023,'Activation Detail'!J3523)</f>
        <v>6797910.09699009</v>
      </c>
      <c r="H23" s="50" t="n">
        <f aca="false">SUM('Activation Detail'!K23,'Activation Detail'!K523,'Activation Detail'!K1023,'Activation Detail'!K1523,'Activation Detail'!K2023,'Activation Detail'!K2523,'Activation Detail'!K3023,'Activation Detail'!K3523)</f>
        <v>146307.981045713</v>
      </c>
      <c r="I23" s="51" t="n">
        <f aca="false">IFERROR(H23/F23,0)</f>
        <v>1.94498933087672</v>
      </c>
      <c r="J23" s="49" t="n">
        <f aca="false">IFERROR(F23/E23,0)</f>
        <v>68.3080408841843</v>
      </c>
      <c r="K23" s="46" t="n">
        <f aca="false">IFERROR(C23/B23,0)</f>
        <v>0.0787010449136948</v>
      </c>
      <c r="L23" s="47" t="n">
        <f aca="false">IFERROR(D23/B23,0)</f>
        <v>0.00435537467177007</v>
      </c>
      <c r="N23" s="48" t="n">
        <f aca="false">SUMIFS('Activation Detail'!$H$4:$H$4003,'Activation Detail'!$A$4:$A$4003,$A23,'Activation Detail'!$N$4:$N$4003,N$2)</f>
        <v>86.67962774406</v>
      </c>
      <c r="O23" s="50" t="n">
        <f aca="false">N23*'Model Inputs &amp; Assumptions'!$D$40*'Model Inputs &amp; Assumptions'!$H$40</f>
        <v>736776.83582451</v>
      </c>
      <c r="P23" s="50" t="n">
        <f aca="false">N23*'Model Inputs &amp; Assumptions'!$G$40*'Model Inputs &amp; Assumptions'!$H$40</f>
        <v>16577.4788060515</v>
      </c>
      <c r="Q23" s="50" t="n">
        <f aca="false">SUMIFS('Activation Detail'!$I$4:$I$4003,'Activation Detail'!$A$4:$A$4003,$A23,'Activation Detail'!$N$4:$N$4003,N$2)</f>
        <v>18136.2995</v>
      </c>
      <c r="R23" s="51" t="n">
        <f aca="false">IFERROR(P23/Q23,0)</f>
        <v>0.914049682850213</v>
      </c>
      <c r="S23" s="49" t="n">
        <f aca="false">IFERROR(Q23/N23,0)</f>
        <v>209.233703143618</v>
      </c>
      <c r="T23" s="48" t="n">
        <f aca="false">SUMIFS('Activation Detail'!$H$4:$H$4003,'Activation Detail'!$A$4:$A$4003,$A23,'Activation Detail'!$N$4:$N$4003,T$2)</f>
        <v>323.638062855087</v>
      </c>
      <c r="U23" s="50" t="n">
        <f aca="false">T23*'Model Inputs &amp; Assumptions'!$D$41*'Model Inputs &amp; Assumptions'!$H$41</f>
        <v>2330194.05255663</v>
      </c>
      <c r="V23" s="50" t="n">
        <f aca="false">T23*'Model Inputs &amp; Assumptions'!$G$41*'Model Inputs &amp; Assumptions'!$H$41</f>
        <v>51380.7788588736</v>
      </c>
      <c r="W23" s="50" t="n">
        <f aca="false">SUMIFS('Activation Detail'!$I$4:$I$4003,'Activation Detail'!$A$4:$A$4003,$A23,'Activation Detail'!$N$4:$N$4003,T$2)</f>
        <v>19484.193492</v>
      </c>
      <c r="X23" s="51" t="n">
        <f aca="false">IFERROR(V23/W23,0)</f>
        <v>2.63704930255235</v>
      </c>
      <c r="Y23" s="49" t="n">
        <f aca="false">IFERROR(W23/T23,0)</f>
        <v>60.2036525621039</v>
      </c>
      <c r="Z23" s="48" t="n">
        <f aca="false">SUMIFS('Activation Detail'!$H$4:$H$4003,'Activation Detail'!$A$4:$A$4003,$A23,'Activation Detail'!$N$4:$N$4003,Z$2)</f>
        <v>690.914668260917</v>
      </c>
      <c r="AA23" s="50" t="n">
        <f aca="false">Z23*'Model Inputs &amp; Assumptions'!$D$42*'Model Inputs &amp; Assumptions'!$H$42</f>
        <v>3730939.20860895</v>
      </c>
      <c r="AB23" s="50" t="n">
        <f aca="false">Z23*'Model Inputs &amp; Assumptions'!$G$42*'Model Inputs &amp; Assumptions'!$H$42</f>
        <v>78349.7233807879</v>
      </c>
      <c r="AC23" s="50" t="n">
        <f aca="false">SUMIFS('Activation Detail'!$I$4:$I$4003,'Activation Detail'!$A$4:$A$4003,$A23,'Activation Detail'!$N$4:$N$4003,Z$2)</f>
        <v>37602.532</v>
      </c>
      <c r="AD23" s="51" t="n">
        <f aca="false">IFERROR(AB23/AC23,0)</f>
        <v>2.08362892639219</v>
      </c>
      <c r="AE23" s="49" t="n">
        <f aca="false">IFERROR(AC23/Z23,0)</f>
        <v>54.424278029367</v>
      </c>
    </row>
    <row r="24" customFormat="false" ht="15" hidden="false" customHeight="false" outlineLevel="0" collapsed="false">
      <c r="A24" s="43" t="n">
        <v>21</v>
      </c>
      <c r="B24" s="45" t="n">
        <f aca="false">SUM('Activation Detail'!C24,'Activation Detail'!C524,'Activation Detail'!C1024,'Activation Detail'!C1524,'Activation Detail'!C2024,'Activation Detail'!C2524,'Activation Detail'!C3024,'Activation Detail'!C3524)</f>
        <v>3687084</v>
      </c>
      <c r="C24" s="45" t="n">
        <f aca="false">SUM('Activation Detail'!E24,'Activation Detail'!E524,'Activation Detail'!E1024,'Activation Detail'!E1524,'Activation Detail'!E2024,'Activation Detail'!E2524,'Activation Detail'!E3024,'Activation Detail'!E3524)</f>
        <v>332061</v>
      </c>
      <c r="D24" s="45" t="n">
        <f aca="false">SUM('Activation Detail'!G24,'Activation Detail'!G524,'Activation Detail'!G1024,'Activation Detail'!G1524,'Activation Detail'!G2024,'Activation Detail'!G2524,'Activation Detail'!G3024,'Activation Detail'!G3524)</f>
        <v>14724</v>
      </c>
      <c r="E24" s="48" t="n">
        <f aca="false">SUM('Activation Detail'!H24,'Activation Detail'!H524,'Activation Detail'!H1024,'Activation Detail'!H1524,'Activation Detail'!H2024,'Activation Detail'!H2524,'Activation Detail'!H3024,'Activation Detail'!H3524)</f>
        <v>633.220819470429</v>
      </c>
      <c r="F24" s="50" t="n">
        <f aca="false">SUM('Activation Detail'!I24,'Activation Detail'!I524,'Activation Detail'!I1024,'Activation Detail'!I1524,'Activation Detail'!I2024,'Activation Detail'!I2524,'Activation Detail'!I3024,'Activation Detail'!I3524)</f>
        <v>75985.020342</v>
      </c>
      <c r="G24" s="50" t="n">
        <f aca="false">SUM('Activation Detail'!J24,'Activation Detail'!J524,'Activation Detail'!J1024,'Activation Detail'!J1524,'Activation Detail'!J2024,'Activation Detail'!J2524,'Activation Detail'!J3024,'Activation Detail'!J3524)</f>
        <v>4057562.81945783</v>
      </c>
      <c r="H24" s="50" t="n">
        <f aca="false">SUM('Activation Detail'!K24,'Activation Detail'!K524,'Activation Detail'!K1024,'Activation Detail'!K1524,'Activation Detail'!K2024,'Activation Detail'!K2524,'Activation Detail'!K3024,'Activation Detail'!K3524)</f>
        <v>87864.2154707087</v>
      </c>
      <c r="I24" s="51" t="n">
        <f aca="false">IFERROR(H24/F24,0)</f>
        <v>1.15633601300943</v>
      </c>
      <c r="J24" s="49" t="n">
        <f aca="false">IFERROR(F24/E24,0)</f>
        <v>119.997665909891</v>
      </c>
      <c r="K24" s="46" t="n">
        <f aca="false">IFERROR(C24/B24,0)</f>
        <v>0.0900606007348897</v>
      </c>
      <c r="L24" s="47" t="n">
        <f aca="false">IFERROR(D24/B24,0)</f>
        <v>0.00399339966217206</v>
      </c>
      <c r="N24" s="48" t="n">
        <f aca="false">SUMIFS('Activation Detail'!$H$4:$H$4003,'Activation Detail'!$A$4:$A$4003,$A24,'Activation Detail'!$N$4:$N$4003,N$2)</f>
        <v>92.2940519971541</v>
      </c>
      <c r="O24" s="50" t="n">
        <f aca="false">N24*'Model Inputs &amp; Assumptions'!$D$40*'Model Inputs &amp; Assumptions'!$H$40</f>
        <v>784499.44197581</v>
      </c>
      <c r="P24" s="50" t="n">
        <f aca="false">N24*'Model Inputs &amp; Assumptions'!$G$40*'Model Inputs &amp; Assumptions'!$H$40</f>
        <v>17651.2374444557</v>
      </c>
      <c r="Q24" s="50" t="n">
        <f aca="false">SUMIFS('Activation Detail'!$I$4:$I$4003,'Activation Detail'!$A$4:$A$4003,$A24,'Activation Detail'!$N$4:$N$4003,N$2)</f>
        <v>18296.3815</v>
      </c>
      <c r="R24" s="51" t="n">
        <f aca="false">IFERROR(P24/Q24,0)</f>
        <v>0.964739254286741</v>
      </c>
      <c r="S24" s="49" t="n">
        <f aca="false">IFERROR(Q24/N24,0)</f>
        <v>198.240093528066</v>
      </c>
      <c r="T24" s="48" t="n">
        <f aca="false">SUMIFS('Activation Detail'!$H$4:$H$4003,'Activation Detail'!$A$4:$A$4003,$A24,'Activation Detail'!$N$4:$N$4003,T$2)</f>
        <v>195.588240625742</v>
      </c>
      <c r="U24" s="50" t="n">
        <f aca="false">T24*'Model Inputs &amp; Assumptions'!$D$41*'Model Inputs &amp; Assumptions'!$H$41</f>
        <v>1408235.33250534</v>
      </c>
      <c r="V24" s="50" t="n">
        <f aca="false">T24*'Model Inputs &amp; Assumptions'!$G$41*'Model Inputs &amp; Assumptions'!$H$41</f>
        <v>31051.5890817427</v>
      </c>
      <c r="W24" s="50" t="n">
        <f aca="false">SUMIFS('Activation Detail'!$I$4:$I$4003,'Activation Detail'!$A$4:$A$4003,$A24,'Activation Detail'!$N$4:$N$4003,T$2)</f>
        <v>18699.722842</v>
      </c>
      <c r="X24" s="51" t="n">
        <f aca="false">IFERROR(V24/W24,0)</f>
        <v>1.66053739641532</v>
      </c>
      <c r="Y24" s="49" t="n">
        <f aca="false">IFERROR(W24/T24,0)</f>
        <v>95.6076029017611</v>
      </c>
      <c r="Z24" s="48" t="n">
        <f aca="false">SUMIFS('Activation Detail'!$H$4:$H$4003,'Activation Detail'!$A$4:$A$4003,$A24,'Activation Detail'!$N$4:$N$4003,Z$2)</f>
        <v>345.338526847533</v>
      </c>
      <c r="AA24" s="50" t="n">
        <f aca="false">Z24*'Model Inputs &amp; Assumptions'!$D$42*'Model Inputs &amp; Assumptions'!$H$42</f>
        <v>1864828.04497668</v>
      </c>
      <c r="AB24" s="50" t="n">
        <f aca="false">Z24*'Model Inputs &amp; Assumptions'!$G$42*'Model Inputs &amp; Assumptions'!$H$42</f>
        <v>39161.3889445103</v>
      </c>
      <c r="AC24" s="50" t="n">
        <f aca="false">SUMIFS('Activation Detail'!$I$4:$I$4003,'Activation Detail'!$A$4:$A$4003,$A24,'Activation Detail'!$N$4:$N$4003,Z$2)</f>
        <v>38988.916</v>
      </c>
      <c r="AD24" s="51" t="n">
        <f aca="false">IFERROR(AB24/AC24,0)</f>
        <v>1.00442364041386</v>
      </c>
      <c r="AE24" s="49" t="n">
        <f aca="false">IFERROR(AC24/Z24,0)</f>
        <v>112.900568482513</v>
      </c>
    </row>
    <row r="25" customFormat="false" ht="15" hidden="false" customHeight="false" outlineLevel="0" collapsed="false">
      <c r="A25" s="43" t="n">
        <v>22</v>
      </c>
      <c r="B25" s="45" t="n">
        <f aca="false">SUM('Activation Detail'!C25,'Activation Detail'!C525,'Activation Detail'!C1025,'Activation Detail'!C1525,'Activation Detail'!C2025,'Activation Detail'!C2525,'Activation Detail'!C3025,'Activation Detail'!C3525)</f>
        <v>4030297</v>
      </c>
      <c r="C25" s="45" t="n">
        <f aca="false">SUM('Activation Detail'!E25,'Activation Detail'!E525,'Activation Detail'!E1025,'Activation Detail'!E1525,'Activation Detail'!E2025,'Activation Detail'!E2525,'Activation Detail'!E3025,'Activation Detail'!E3525)</f>
        <v>493847</v>
      </c>
      <c r="D25" s="45" t="n">
        <f aca="false">SUM('Activation Detail'!G25,'Activation Detail'!G525,'Activation Detail'!G1025,'Activation Detail'!G1525,'Activation Detail'!G2025,'Activation Detail'!G2525,'Activation Detail'!G3025,'Activation Detail'!G3525)</f>
        <v>15181</v>
      </c>
      <c r="E25" s="48" t="n">
        <f aca="false">SUM('Activation Detail'!H25,'Activation Detail'!H525,'Activation Detail'!H1025,'Activation Detail'!H1525,'Activation Detail'!H2025,'Activation Detail'!H2525,'Activation Detail'!H3025,'Activation Detail'!H3525)</f>
        <v>671.597162717884</v>
      </c>
      <c r="F25" s="50" t="n">
        <f aca="false">SUM('Activation Detail'!I25,'Activation Detail'!I525,'Activation Detail'!I1025,'Activation Detail'!I1525,'Activation Detail'!I2025,'Activation Detail'!I2525,'Activation Detail'!I3025,'Activation Detail'!I3525)</f>
        <v>70619.796486</v>
      </c>
      <c r="G25" s="50" t="n">
        <f aca="false">SUM('Activation Detail'!J25,'Activation Detail'!J525,'Activation Detail'!J1025,'Activation Detail'!J1525,'Activation Detail'!J2025,'Activation Detail'!J2525,'Activation Detail'!J3025,'Activation Detail'!J3525)</f>
        <v>4140967.41258401</v>
      </c>
      <c r="H25" s="50" t="n">
        <f aca="false">SUM('Activation Detail'!K25,'Activation Detail'!K525,'Activation Detail'!K1025,'Activation Detail'!K1525,'Activation Detail'!K2025,'Activation Detail'!K2525,'Activation Detail'!K3025,'Activation Detail'!K3525)</f>
        <v>89100.1456564503</v>
      </c>
      <c r="I25" s="51" t="n">
        <f aca="false">IFERROR(H25/F25,0)</f>
        <v>1.26168794148414</v>
      </c>
      <c r="J25" s="49" t="n">
        <f aca="false">IFERROR(F25/E25,0)</f>
        <v>105.152017319741</v>
      </c>
      <c r="K25" s="46" t="n">
        <f aca="false">IFERROR(C25/B25,0)</f>
        <v>0.122533649505235</v>
      </c>
      <c r="L25" s="47" t="n">
        <f aca="false">IFERROR(D25/B25,0)</f>
        <v>0.00376671992163357</v>
      </c>
      <c r="N25" s="48" t="n">
        <f aca="false">SUMIFS('Activation Detail'!$H$4:$H$4003,'Activation Detail'!$A$4:$A$4003,$A25,'Activation Detail'!$N$4:$N$4003,N$2)</f>
        <v>75.5907045375199</v>
      </c>
      <c r="O25" s="50" t="n">
        <f aca="false">N25*'Model Inputs &amp; Assumptions'!$D$40*'Model Inputs &amp; Assumptions'!$H$40</f>
        <v>642520.98856892</v>
      </c>
      <c r="P25" s="50" t="n">
        <f aca="false">N25*'Model Inputs &amp; Assumptions'!$G$40*'Model Inputs &amp; Assumptions'!$H$40</f>
        <v>14456.7222428007</v>
      </c>
      <c r="Q25" s="50" t="n">
        <f aca="false">SUMIFS('Activation Detail'!$I$4:$I$4003,'Activation Detail'!$A$4:$A$4003,$A25,'Activation Detail'!$N$4:$N$4003,N$2)</f>
        <v>18844.273</v>
      </c>
      <c r="R25" s="51" t="n">
        <f aca="false">IFERROR(P25/Q25,0)</f>
        <v>0.767167947673051</v>
      </c>
      <c r="S25" s="49" t="n">
        <f aca="false">IFERROR(Q25/N25,0)</f>
        <v>249.293522468051</v>
      </c>
      <c r="T25" s="48" t="n">
        <f aca="false">SUMIFS('Activation Detail'!$H$4:$H$4003,'Activation Detail'!$A$4:$A$4003,$A25,'Activation Detail'!$N$4:$N$4003,T$2)</f>
        <v>155.561972133958</v>
      </c>
      <c r="U25" s="50" t="n">
        <f aca="false">T25*'Model Inputs &amp; Assumptions'!$D$41*'Model Inputs &amp; Assumptions'!$H$41</f>
        <v>1120046.1993645</v>
      </c>
      <c r="V25" s="50" t="n">
        <f aca="false">T25*'Model Inputs &amp; Assumptions'!$G$41*'Model Inputs &amp; Assumptions'!$H$41</f>
        <v>24697.0186959872</v>
      </c>
      <c r="W25" s="50" t="n">
        <f aca="false">SUMIFS('Activation Detail'!$I$4:$I$4003,'Activation Detail'!$A$4:$A$4003,$A25,'Activation Detail'!$N$4:$N$4003,T$2)</f>
        <v>16471.771486</v>
      </c>
      <c r="X25" s="51" t="n">
        <f aca="false">IFERROR(V25/W25,0)</f>
        <v>1.49935413546613</v>
      </c>
      <c r="Y25" s="49" t="n">
        <f aca="false">IFERROR(W25/T25,0)</f>
        <v>105.885591832275</v>
      </c>
      <c r="Z25" s="48" t="n">
        <f aca="false">SUMIFS('Activation Detail'!$H$4:$H$4003,'Activation Detail'!$A$4:$A$4003,$A25,'Activation Detail'!$N$4:$N$4003,Z$2)</f>
        <v>440.444486046406</v>
      </c>
      <c r="AA25" s="50" t="n">
        <f aca="false">Z25*'Model Inputs &amp; Assumptions'!$D$42*'Model Inputs &amp; Assumptions'!$H$42</f>
        <v>2378400.22465059</v>
      </c>
      <c r="AB25" s="50" t="n">
        <f aca="false">Z25*'Model Inputs &amp; Assumptions'!$G$42*'Model Inputs &amp; Assumptions'!$H$42</f>
        <v>49946.4047176624</v>
      </c>
      <c r="AC25" s="50" t="n">
        <f aca="false">SUMIFS('Activation Detail'!$I$4:$I$4003,'Activation Detail'!$A$4:$A$4003,$A25,'Activation Detail'!$N$4:$N$4003,Z$2)</f>
        <v>35303.752</v>
      </c>
      <c r="AD25" s="51" t="n">
        <f aca="false">IFERROR(AB25/AC25,0)</f>
        <v>1.41476194138409</v>
      </c>
      <c r="AE25" s="49" t="n">
        <f aca="false">IFERROR(AC25/Z25,0)</f>
        <v>80.1548279486926</v>
      </c>
    </row>
    <row r="26" customFormat="false" ht="15" hidden="false" customHeight="false" outlineLevel="0" collapsed="false">
      <c r="A26" s="43" t="n">
        <v>23</v>
      </c>
      <c r="B26" s="45" t="n">
        <f aca="false">SUM('Activation Detail'!C26,'Activation Detail'!C526,'Activation Detail'!C1026,'Activation Detail'!C1526,'Activation Detail'!C2026,'Activation Detail'!C2526,'Activation Detail'!C3026,'Activation Detail'!C3526)</f>
        <v>3381501</v>
      </c>
      <c r="C26" s="45" t="n">
        <f aca="false">SUM('Activation Detail'!E26,'Activation Detail'!E526,'Activation Detail'!E1026,'Activation Detail'!E1526,'Activation Detail'!E2026,'Activation Detail'!E2526,'Activation Detail'!E3026,'Activation Detail'!E3526)</f>
        <v>307420</v>
      </c>
      <c r="D26" s="45" t="n">
        <f aca="false">SUM('Activation Detail'!G26,'Activation Detail'!G526,'Activation Detail'!G1026,'Activation Detail'!G1526,'Activation Detail'!G2026,'Activation Detail'!G2526,'Activation Detail'!G3026,'Activation Detail'!G3526)</f>
        <v>13477</v>
      </c>
      <c r="E26" s="48" t="n">
        <f aca="false">SUM('Activation Detail'!H26,'Activation Detail'!H526,'Activation Detail'!H1026,'Activation Detail'!H1526,'Activation Detail'!H2026,'Activation Detail'!H2526,'Activation Detail'!H3026,'Activation Detail'!H3526)</f>
        <v>642.707416210646</v>
      </c>
      <c r="F26" s="50" t="n">
        <f aca="false">SUM('Activation Detail'!I26,'Activation Detail'!I526,'Activation Detail'!I1026,'Activation Detail'!I1526,'Activation Detail'!I2026,'Activation Detail'!I2526,'Activation Detail'!I3026,'Activation Detail'!I3526)</f>
        <v>69033.325422</v>
      </c>
      <c r="G26" s="50" t="n">
        <f aca="false">SUM('Activation Detail'!J26,'Activation Detail'!J526,'Activation Detail'!J1026,'Activation Detail'!J1526,'Activation Detail'!J2026,'Activation Detail'!J2526,'Activation Detail'!J3026,'Activation Detail'!J3526)</f>
        <v>4016059.31196183</v>
      </c>
      <c r="H26" s="50" t="n">
        <f aca="false">SUM('Activation Detail'!K26,'Activation Detail'!K526,'Activation Detail'!K1026,'Activation Detail'!K1526,'Activation Detail'!K2026,'Activation Detail'!K2526,'Activation Detail'!K3026,'Activation Detail'!K3526)</f>
        <v>86605.6608162135</v>
      </c>
      <c r="I26" s="51" t="n">
        <f aca="false">IFERROR(H26/F26,0)</f>
        <v>1.2545485863066</v>
      </c>
      <c r="J26" s="49" t="n">
        <f aca="false">IFERROR(F26/E26,0)</f>
        <v>107.410189583645</v>
      </c>
      <c r="K26" s="46" t="n">
        <f aca="false">IFERROR(C26/B26,0)</f>
        <v>0.0909122901338784</v>
      </c>
      <c r="L26" s="47" t="n">
        <f aca="false">IFERROR(D26/B26,0)</f>
        <v>0.00398550821070288</v>
      </c>
      <c r="N26" s="48" t="n">
        <f aca="false">SUMIFS('Activation Detail'!$H$4:$H$4003,'Activation Detail'!$A$4:$A$4003,$A26,'Activation Detail'!$N$4:$N$4003,N$2)</f>
        <v>83.0727613604481</v>
      </c>
      <c r="O26" s="50" t="n">
        <f aca="false">N26*'Model Inputs &amp; Assumptions'!$D$40*'Model Inputs &amp; Assumptions'!$H$40</f>
        <v>706118.471563809</v>
      </c>
      <c r="P26" s="50" t="n">
        <f aca="false">N26*'Model Inputs &amp; Assumptions'!$G$40*'Model Inputs &amp; Assumptions'!$H$40</f>
        <v>15887.6656101857</v>
      </c>
      <c r="Q26" s="50" t="n">
        <f aca="false">SUMIFS('Activation Detail'!$I$4:$I$4003,'Activation Detail'!$A$4:$A$4003,$A26,'Activation Detail'!$N$4:$N$4003,N$2)</f>
        <v>17482.6725</v>
      </c>
      <c r="R26" s="51" t="n">
        <f aca="false">IFERROR(P26/Q26,0)</f>
        <v>0.908766414870822</v>
      </c>
      <c r="S26" s="49" t="n">
        <f aca="false">IFERROR(Q26/N26,0)</f>
        <v>210.450118831895</v>
      </c>
      <c r="T26" s="48" t="n">
        <f aca="false">SUMIFS('Activation Detail'!$H$4:$H$4003,'Activation Detail'!$A$4:$A$4003,$A26,'Activation Detail'!$N$4:$N$4003,T$2)</f>
        <v>159.952057892753</v>
      </c>
      <c r="U26" s="50" t="n">
        <f aca="false">T26*'Model Inputs &amp; Assumptions'!$D$41*'Model Inputs &amp; Assumptions'!$H$41</f>
        <v>1151654.81682782</v>
      </c>
      <c r="V26" s="50" t="n">
        <f aca="false">T26*'Model Inputs &amp; Assumptions'!$G$41*'Model Inputs &amp; Assumptions'!$H$41</f>
        <v>25393.9887110535</v>
      </c>
      <c r="W26" s="50" t="n">
        <f aca="false">SUMIFS('Activation Detail'!$I$4:$I$4003,'Activation Detail'!$A$4:$A$4003,$A26,'Activation Detail'!$N$4:$N$4003,T$2)</f>
        <v>16266.820922</v>
      </c>
      <c r="X26" s="51" t="n">
        <f aca="false">IFERROR(V26/W26,0)</f>
        <v>1.56109105969867</v>
      </c>
      <c r="Y26" s="49" t="n">
        <f aca="false">IFERROR(W26/T26,0)</f>
        <v>101.698103396124</v>
      </c>
      <c r="Z26" s="48" t="n">
        <f aca="false">SUMIFS('Activation Detail'!$H$4:$H$4003,'Activation Detail'!$A$4:$A$4003,$A26,'Activation Detail'!$N$4:$N$4003,Z$2)</f>
        <v>399.682596957445</v>
      </c>
      <c r="AA26" s="50" t="n">
        <f aca="false">Z26*'Model Inputs &amp; Assumptions'!$D$42*'Model Inputs &amp; Assumptions'!$H$42</f>
        <v>2158286.0235702</v>
      </c>
      <c r="AB26" s="50" t="n">
        <f aca="false">Z26*'Model Inputs &amp; Assumptions'!$G$42*'Model Inputs &amp; Assumptions'!$H$42</f>
        <v>45324.0064949742</v>
      </c>
      <c r="AC26" s="50" t="n">
        <f aca="false">SUMIFS('Activation Detail'!$I$4:$I$4003,'Activation Detail'!$A$4:$A$4003,$A26,'Activation Detail'!$N$4:$N$4003,Z$2)</f>
        <v>35283.832</v>
      </c>
      <c r="AD26" s="51" t="n">
        <f aca="false">IFERROR(AB26/AC26,0)</f>
        <v>1.28455453747128</v>
      </c>
      <c r="AE26" s="49" t="n">
        <f aca="false">IFERROR(AC26/Z26,0)</f>
        <v>88.2796305583372</v>
      </c>
    </row>
    <row r="27" customFormat="false" ht="15" hidden="false" customHeight="false" outlineLevel="0" collapsed="false">
      <c r="A27" s="43" t="n">
        <v>24</v>
      </c>
      <c r="B27" s="45" t="n">
        <f aca="false">SUM('Activation Detail'!C27,'Activation Detail'!C527,'Activation Detail'!C1027,'Activation Detail'!C1527,'Activation Detail'!C2027,'Activation Detail'!C2527,'Activation Detail'!C3027,'Activation Detail'!C3527)</f>
        <v>5209505</v>
      </c>
      <c r="C27" s="45" t="n">
        <f aca="false">SUM('Activation Detail'!E27,'Activation Detail'!E527,'Activation Detail'!E1027,'Activation Detail'!E1527,'Activation Detail'!E2027,'Activation Detail'!E2527,'Activation Detail'!E3027,'Activation Detail'!E3527)</f>
        <v>435596</v>
      </c>
      <c r="D27" s="45" t="n">
        <f aca="false">SUM('Activation Detail'!G27,'Activation Detail'!G527,'Activation Detail'!G1027,'Activation Detail'!G1527,'Activation Detail'!G2027,'Activation Detail'!G2527,'Activation Detail'!G3027,'Activation Detail'!G3527)</f>
        <v>22698</v>
      </c>
      <c r="E27" s="48" t="n">
        <f aca="false">SUM('Activation Detail'!H27,'Activation Detail'!H527,'Activation Detail'!H1027,'Activation Detail'!H1527,'Activation Detail'!H2027,'Activation Detail'!H2527,'Activation Detail'!H3027,'Activation Detail'!H3527)</f>
        <v>1067.00258447448</v>
      </c>
      <c r="F27" s="50" t="n">
        <f aca="false">SUM('Activation Detail'!I27,'Activation Detail'!I527,'Activation Detail'!I1027,'Activation Detail'!I1527,'Activation Detail'!I2027,'Activation Detail'!I2527,'Activation Detail'!I3027,'Activation Detail'!I3527)</f>
        <v>87665.852262</v>
      </c>
      <c r="G27" s="50" t="n">
        <f aca="false">SUM('Activation Detail'!J27,'Activation Detail'!J527,'Activation Detail'!J1027,'Activation Detail'!J1527,'Activation Detail'!J2027,'Activation Detail'!J2527,'Activation Detail'!J3027,'Activation Detail'!J3527)</f>
        <v>6500943.26335225</v>
      </c>
      <c r="H27" s="50" t="n">
        <f aca="false">SUM('Activation Detail'!K27,'Activation Detail'!K527,'Activation Detail'!K1027,'Activation Detail'!K1527,'Activation Detail'!K2027,'Activation Detail'!K2527,'Activation Detail'!K3027,'Activation Detail'!K3527)</f>
        <v>139596.035556313</v>
      </c>
      <c r="I27" s="51" t="n">
        <f aca="false">IFERROR(H27/F27,0)</f>
        <v>1.59236500820312</v>
      </c>
      <c r="J27" s="49" t="n">
        <f aca="false">IFERROR(F27/E27,0)</f>
        <v>82.160862154966</v>
      </c>
      <c r="K27" s="46" t="n">
        <f aca="false">IFERROR(C27/B27,0)</f>
        <v>0.0836156218297132</v>
      </c>
      <c r="L27" s="47" t="n">
        <f aca="false">IFERROR(D27/B27,0)</f>
        <v>0.00435703584121716</v>
      </c>
      <c r="N27" s="48" t="n">
        <f aca="false">SUMIFS('Activation Detail'!$H$4:$H$4003,'Activation Detail'!$A$4:$A$4003,$A27,'Activation Detail'!$N$4:$N$4003,N$2)</f>
        <v>104.133571416177</v>
      </c>
      <c r="O27" s="50" t="n">
        <f aca="false">N27*'Model Inputs &amp; Assumptions'!$D$40*'Model Inputs &amp; Assumptions'!$H$40</f>
        <v>885135.357037502</v>
      </c>
      <c r="P27" s="50" t="n">
        <f aca="false">N27*'Model Inputs &amp; Assumptions'!$G$40*'Model Inputs &amp; Assumptions'!$H$40</f>
        <v>19915.5455333438</v>
      </c>
      <c r="Q27" s="50" t="n">
        <f aca="false">SUMIFS('Activation Detail'!$I$4:$I$4003,'Activation Detail'!$A$4:$A$4003,$A27,'Activation Detail'!$N$4:$N$4003,N$2)</f>
        <v>20024.9655</v>
      </c>
      <c r="R27" s="51" t="n">
        <f aca="false">IFERROR(P27/Q27,0)</f>
        <v>0.994535822463404</v>
      </c>
      <c r="S27" s="49" t="n">
        <f aca="false">IFERROR(Q27/N27,0)</f>
        <v>192.300765523242</v>
      </c>
      <c r="T27" s="48" t="n">
        <f aca="false">SUMIFS('Activation Detail'!$H$4:$H$4003,'Activation Detail'!$A$4:$A$4003,$A27,'Activation Detail'!$N$4:$N$4003,T$2)</f>
        <v>231.286242111071</v>
      </c>
      <c r="U27" s="50" t="n">
        <f aca="false">T27*'Model Inputs &amp; Assumptions'!$D$41*'Model Inputs &amp; Assumptions'!$H$41</f>
        <v>1665260.94319971</v>
      </c>
      <c r="V27" s="50" t="n">
        <f aca="false">T27*'Model Inputs &amp; Assumptions'!$G$41*'Model Inputs &amp; Assumptions'!$H$41</f>
        <v>36719.0037975536</v>
      </c>
      <c r="W27" s="50" t="n">
        <f aca="false">SUMIFS('Activation Detail'!$I$4:$I$4003,'Activation Detail'!$A$4:$A$4003,$A27,'Activation Detail'!$N$4:$N$4003,T$2)</f>
        <v>19409.762762</v>
      </c>
      <c r="X27" s="51" t="n">
        <f aca="false">IFERROR(V27/W27,0)</f>
        <v>1.89178014423964</v>
      </c>
      <c r="Y27" s="49" t="n">
        <f aca="false">IFERROR(W27/T27,0)</f>
        <v>83.9209569269531</v>
      </c>
      <c r="Z27" s="48" t="n">
        <f aca="false">SUMIFS('Activation Detail'!$H$4:$H$4003,'Activation Detail'!$A$4:$A$4003,$A27,'Activation Detail'!$N$4:$N$4003,Z$2)</f>
        <v>731.582770947229</v>
      </c>
      <c r="AA27" s="50" t="n">
        <f aca="false">Z27*'Model Inputs &amp; Assumptions'!$D$42*'Model Inputs &amp; Assumptions'!$H$42</f>
        <v>3950546.96311504</v>
      </c>
      <c r="AB27" s="50" t="n">
        <f aca="false">Z27*'Model Inputs &amp; Assumptions'!$G$42*'Model Inputs &amp; Assumptions'!$H$42</f>
        <v>82961.4862254158</v>
      </c>
      <c r="AC27" s="50" t="n">
        <f aca="false">SUMIFS('Activation Detail'!$I$4:$I$4003,'Activation Detail'!$A$4:$A$4003,$A27,'Activation Detail'!$N$4:$N$4003,Z$2)</f>
        <v>48231.124</v>
      </c>
      <c r="AD27" s="51" t="n">
        <f aca="false">IFERROR(AB27/AC27,0)</f>
        <v>1.720081958393</v>
      </c>
      <c r="AE27" s="49" t="n">
        <f aca="false">IFERROR(AC27/Z27,0)</f>
        <v>65.9270911171841</v>
      </c>
    </row>
    <row r="28" customFormat="false" ht="15" hidden="false" customHeight="false" outlineLevel="0" collapsed="false">
      <c r="A28" s="43" t="n">
        <v>25</v>
      </c>
      <c r="B28" s="45" t="n">
        <f aca="false">SUM('Activation Detail'!C28,'Activation Detail'!C528,'Activation Detail'!C1028,'Activation Detail'!C1528,'Activation Detail'!C2028,'Activation Detail'!C2528,'Activation Detail'!C3028,'Activation Detail'!C3528)</f>
        <v>3959646</v>
      </c>
      <c r="C28" s="45" t="n">
        <f aca="false">SUM('Activation Detail'!E28,'Activation Detail'!E528,'Activation Detail'!E1028,'Activation Detail'!E1528,'Activation Detail'!E2028,'Activation Detail'!E2528,'Activation Detail'!E3028,'Activation Detail'!E3528)</f>
        <v>428482</v>
      </c>
      <c r="D28" s="45" t="n">
        <f aca="false">SUM('Activation Detail'!G28,'Activation Detail'!G528,'Activation Detail'!G1028,'Activation Detail'!G1528,'Activation Detail'!G2028,'Activation Detail'!G2528,'Activation Detail'!G3028,'Activation Detail'!G3528)</f>
        <v>17994</v>
      </c>
      <c r="E28" s="48" t="n">
        <f aca="false">SUM('Activation Detail'!H28,'Activation Detail'!H528,'Activation Detail'!H1028,'Activation Detail'!H1528,'Activation Detail'!H2028,'Activation Detail'!H2528,'Activation Detail'!H3028,'Activation Detail'!H3528)</f>
        <v>783.220663004644</v>
      </c>
      <c r="F28" s="50" t="n">
        <f aca="false">SUM('Activation Detail'!I28,'Activation Detail'!I528,'Activation Detail'!I1028,'Activation Detail'!I1528,'Activation Detail'!I2028,'Activation Detail'!I2528,'Activation Detail'!I3028,'Activation Detail'!I3528)</f>
        <v>74396.09553</v>
      </c>
      <c r="G28" s="50" t="n">
        <f aca="false">SUM('Activation Detail'!J28,'Activation Detail'!J528,'Activation Detail'!J1028,'Activation Detail'!J1528,'Activation Detail'!J2028,'Activation Detail'!J2528,'Activation Detail'!J3028,'Activation Detail'!J3528)</f>
        <v>4742154.72498638</v>
      </c>
      <c r="H28" s="50" t="n">
        <f aca="false">SUM('Activation Detail'!K28,'Activation Detail'!K528,'Activation Detail'!K1028,'Activation Detail'!K1528,'Activation Detail'!K2028,'Activation Detail'!K2528,'Activation Detail'!K3028,'Activation Detail'!K3528)</f>
        <v>101720.920435042</v>
      </c>
      <c r="I28" s="51" t="n">
        <f aca="false">IFERROR(H28/F28,0)</f>
        <v>1.36728842703881</v>
      </c>
      <c r="J28" s="49" t="n">
        <f aca="false">IFERROR(F28/E28,0)</f>
        <v>94.9874014362654</v>
      </c>
      <c r="K28" s="46" t="n">
        <f aca="false">IFERROR(C28/B28,0)</f>
        <v>0.108212198767264</v>
      </c>
      <c r="L28" s="47" t="n">
        <f aca="false">IFERROR(D28/B28,0)</f>
        <v>0.00454434563089731</v>
      </c>
      <c r="N28" s="48" t="n">
        <f aca="false">SUMIFS('Activation Detail'!$H$4:$H$4003,'Activation Detail'!$A$4:$A$4003,$A28,'Activation Detail'!$N$4:$N$4003,N$2)</f>
        <v>66.422213589281</v>
      </c>
      <c r="O28" s="50" t="n">
        <f aca="false">N28*'Model Inputs &amp; Assumptions'!$D$40*'Model Inputs &amp; Assumptions'!$H$40</f>
        <v>564588.815508889</v>
      </c>
      <c r="P28" s="50" t="n">
        <f aca="false">N28*'Model Inputs &amp; Assumptions'!$G$40*'Model Inputs &amp; Assumptions'!$H$40</f>
        <v>12703.24834895</v>
      </c>
      <c r="Q28" s="50" t="n">
        <f aca="false">SUMIFS('Activation Detail'!$I$4:$I$4003,'Activation Detail'!$A$4:$A$4003,$A28,'Activation Detail'!$N$4:$N$4003,N$2)</f>
        <v>18052.9435</v>
      </c>
      <c r="R28" s="51" t="n">
        <f aca="false">IFERROR(P28/Q28,0)</f>
        <v>0.703666321724765</v>
      </c>
      <c r="S28" s="49" t="n">
        <f aca="false">IFERROR(Q28/N28,0)</f>
        <v>271.790753792543</v>
      </c>
      <c r="T28" s="48" t="n">
        <f aca="false">SUMIFS('Activation Detail'!$H$4:$H$4003,'Activation Detail'!$A$4:$A$4003,$A28,'Activation Detail'!$N$4:$N$4003,T$2)</f>
        <v>170.474601463632</v>
      </c>
      <c r="U28" s="50" t="n">
        <f aca="false">T28*'Model Inputs &amp; Assumptions'!$D$41*'Model Inputs &amp; Assumptions'!$H$41</f>
        <v>1227417.13053815</v>
      </c>
      <c r="V28" s="50" t="n">
        <f aca="false">T28*'Model Inputs &amp; Assumptions'!$G$41*'Model Inputs &amp; Assumptions'!$H$41</f>
        <v>27064.5477283662</v>
      </c>
      <c r="W28" s="50" t="n">
        <f aca="false">SUMIFS('Activation Detail'!$I$4:$I$4003,'Activation Detail'!$A$4:$A$4003,$A28,'Activation Detail'!$N$4:$N$4003,T$2)</f>
        <v>17777.75203</v>
      </c>
      <c r="X28" s="51" t="n">
        <f aca="false">IFERROR(V28/W28,0)</f>
        <v>1.52238301460695</v>
      </c>
      <c r="Y28" s="49" t="n">
        <f aca="false">IFERROR(W28/T28,0)</f>
        <v>104.283875001712</v>
      </c>
      <c r="Z28" s="48" t="n">
        <f aca="false">SUMIFS('Activation Detail'!$H$4:$H$4003,'Activation Detail'!$A$4:$A$4003,$A28,'Activation Detail'!$N$4:$N$4003,Z$2)</f>
        <v>546.323847951731</v>
      </c>
      <c r="AA28" s="50" t="n">
        <f aca="false">Z28*'Model Inputs &amp; Assumptions'!$D$42*'Model Inputs &amp; Assumptions'!$H$42</f>
        <v>2950148.77893935</v>
      </c>
      <c r="AB28" s="50" t="n">
        <f aca="false">Z28*'Model Inputs &amp; Assumptions'!$G$42*'Model Inputs &amp; Assumptions'!$H$42</f>
        <v>61953.1243577262</v>
      </c>
      <c r="AC28" s="50" t="n">
        <f aca="false">SUMIFS('Activation Detail'!$I$4:$I$4003,'Activation Detail'!$A$4:$A$4003,$A28,'Activation Detail'!$N$4:$N$4003,Z$2)</f>
        <v>38565.4</v>
      </c>
      <c r="AD28" s="51" t="n">
        <f aca="false">IFERROR(AB28/AC28,0)</f>
        <v>1.60644319409954</v>
      </c>
      <c r="AE28" s="49" t="n">
        <f aca="false">IFERROR(AC28/Z28,0)</f>
        <v>70.5907313850363</v>
      </c>
    </row>
    <row r="29" customFormat="false" ht="15" hidden="false" customHeight="false" outlineLevel="0" collapsed="false">
      <c r="A29" s="43" t="n">
        <v>26</v>
      </c>
      <c r="B29" s="45" t="n">
        <f aca="false">SUM('Activation Detail'!C29,'Activation Detail'!C529,'Activation Detail'!C1029,'Activation Detail'!C1529,'Activation Detail'!C2029,'Activation Detail'!C2529,'Activation Detail'!C3029,'Activation Detail'!C3529)</f>
        <v>3854816</v>
      </c>
      <c r="C29" s="45" t="n">
        <f aca="false">SUM('Activation Detail'!E29,'Activation Detail'!E529,'Activation Detail'!E1029,'Activation Detail'!E1529,'Activation Detail'!E2029,'Activation Detail'!E2529,'Activation Detail'!E3029,'Activation Detail'!E3529)</f>
        <v>478882</v>
      </c>
      <c r="D29" s="45" t="n">
        <f aca="false">SUM('Activation Detail'!G29,'Activation Detail'!G529,'Activation Detail'!G1029,'Activation Detail'!G1529,'Activation Detail'!G2029,'Activation Detail'!G2529,'Activation Detail'!G3029,'Activation Detail'!G3529)</f>
        <v>15201</v>
      </c>
      <c r="E29" s="48" t="n">
        <f aca="false">SUM('Activation Detail'!H29,'Activation Detail'!H529,'Activation Detail'!H1029,'Activation Detail'!H1529,'Activation Detail'!H2029,'Activation Detail'!H2529,'Activation Detail'!H3029,'Activation Detail'!H3529)</f>
        <v>614.305232249894</v>
      </c>
      <c r="F29" s="50" t="n">
        <f aca="false">SUM('Activation Detail'!I29,'Activation Detail'!I529,'Activation Detail'!I1029,'Activation Detail'!I1529,'Activation Detail'!I2029,'Activation Detail'!I2529,'Activation Detail'!I3029,'Activation Detail'!I3529)</f>
        <v>74319.412636</v>
      </c>
      <c r="G29" s="50" t="n">
        <f aca="false">SUM('Activation Detail'!J29,'Activation Detail'!J529,'Activation Detail'!J1029,'Activation Detail'!J1529,'Activation Detail'!J2029,'Activation Detail'!J2529,'Activation Detail'!J3029,'Activation Detail'!J3529)</f>
        <v>3715037.47651194</v>
      </c>
      <c r="H29" s="50" t="n">
        <f aca="false">SUM('Activation Detail'!K29,'Activation Detail'!K529,'Activation Detail'!K1029,'Activation Detail'!K1529,'Activation Detail'!K2029,'Activation Detail'!K2529,'Activation Detail'!K3029,'Activation Detail'!K3529)</f>
        <v>79667.9840576805</v>
      </c>
      <c r="I29" s="51" t="n">
        <f aca="false">IFERROR(H29/F29,0)</f>
        <v>1.07196735323887</v>
      </c>
      <c r="J29" s="49" t="n">
        <f aca="false">IFERROR(F29/E29,0)</f>
        <v>120.981246348505</v>
      </c>
      <c r="K29" s="46" t="n">
        <f aca="false">IFERROR(C29/B29,0)</f>
        <v>0.124229535209981</v>
      </c>
      <c r="L29" s="47" t="n">
        <f aca="false">IFERROR(D29/B29,0)</f>
        <v>0.00394337887982202</v>
      </c>
      <c r="N29" s="48" t="n">
        <f aca="false">SUMIFS('Activation Detail'!$H$4:$H$4003,'Activation Detail'!$A$4:$A$4003,$A29,'Activation Detail'!$N$4:$N$4003,N$2)</f>
        <v>68.5840110840207</v>
      </c>
      <c r="O29" s="50" t="n">
        <f aca="false">N29*'Model Inputs &amp; Assumptions'!$D$40*'Model Inputs &amp; Assumptions'!$H$40</f>
        <v>582964.094214176</v>
      </c>
      <c r="P29" s="50" t="n">
        <f aca="false">N29*'Model Inputs &amp; Assumptions'!$G$40*'Model Inputs &amp; Assumptions'!$H$40</f>
        <v>13116.692119819</v>
      </c>
      <c r="Q29" s="50" t="n">
        <f aca="false">SUMIFS('Activation Detail'!$I$4:$I$4003,'Activation Detail'!$A$4:$A$4003,$A29,'Activation Detail'!$N$4:$N$4003,N$2)</f>
        <v>17420.6625</v>
      </c>
      <c r="R29" s="51" t="n">
        <f aca="false">IFERROR(P29/Q29,0)</f>
        <v>0.752938765665138</v>
      </c>
      <c r="S29" s="49" t="n">
        <f aca="false">IFERROR(Q29/N29,0)</f>
        <v>254.004719535262</v>
      </c>
      <c r="T29" s="48" t="n">
        <f aca="false">SUMIFS('Activation Detail'!$H$4:$H$4003,'Activation Detail'!$A$4:$A$4003,$A29,'Activation Detail'!$N$4:$N$4003,T$2)</f>
        <v>102.877104445581</v>
      </c>
      <c r="U29" s="50" t="n">
        <f aca="false">T29*'Model Inputs &amp; Assumptions'!$D$41*'Model Inputs &amp; Assumptions'!$H$41</f>
        <v>740715.152008182</v>
      </c>
      <c r="V29" s="50" t="n">
        <f aca="false">T29*'Model Inputs &amp; Assumptions'!$G$41*'Model Inputs &amp; Assumptions'!$H$41</f>
        <v>16332.7691017804</v>
      </c>
      <c r="W29" s="50" t="n">
        <f aca="false">SUMIFS('Activation Detail'!$I$4:$I$4003,'Activation Detail'!$A$4:$A$4003,$A29,'Activation Detail'!$N$4:$N$4003,T$2)</f>
        <v>18340.154136</v>
      </c>
      <c r="X29" s="51" t="n">
        <f aca="false">IFERROR(V29/W29,0)</f>
        <v>0.890546992171713</v>
      </c>
      <c r="Y29" s="49" t="n">
        <f aca="false">IFERROR(W29/T29,0)</f>
        <v>178.272456586309</v>
      </c>
      <c r="Z29" s="48" t="n">
        <f aca="false">SUMIFS('Activation Detail'!$H$4:$H$4003,'Activation Detail'!$A$4:$A$4003,$A29,'Activation Detail'!$N$4:$N$4003,Z$2)</f>
        <v>442.844116720293</v>
      </c>
      <c r="AA29" s="50" t="n">
        <f aca="false">Z29*'Model Inputs &amp; Assumptions'!$D$42*'Model Inputs &amp; Assumptions'!$H$42</f>
        <v>2391358.23028958</v>
      </c>
      <c r="AB29" s="50" t="n">
        <f aca="false">Z29*'Model Inputs &amp; Assumptions'!$G$42*'Model Inputs &amp; Assumptions'!$H$42</f>
        <v>50218.5228360812</v>
      </c>
      <c r="AC29" s="50" t="n">
        <f aca="false">SUMIFS('Activation Detail'!$I$4:$I$4003,'Activation Detail'!$A$4:$A$4003,$A29,'Activation Detail'!$N$4:$N$4003,Z$2)</f>
        <v>38558.596</v>
      </c>
      <c r="AD29" s="51" t="n">
        <f aca="false">IFERROR(AB29/AC29,0)</f>
        <v>1.30239500515219</v>
      </c>
      <c r="AE29" s="49" t="n">
        <f aca="false">IFERROR(AC29/Z29,0)</f>
        <v>87.0703584944637</v>
      </c>
    </row>
    <row r="30" customFormat="false" ht="15" hidden="false" customHeight="false" outlineLevel="0" collapsed="false">
      <c r="A30" s="43" t="n">
        <v>27</v>
      </c>
      <c r="B30" s="45" t="n">
        <f aca="false">SUM('Activation Detail'!C30,'Activation Detail'!C530,'Activation Detail'!C1030,'Activation Detail'!C1530,'Activation Detail'!C2030,'Activation Detail'!C2530,'Activation Detail'!C3030,'Activation Detail'!C3530)</f>
        <v>4501870</v>
      </c>
      <c r="C30" s="45" t="n">
        <f aca="false">SUM('Activation Detail'!E30,'Activation Detail'!E530,'Activation Detail'!E1030,'Activation Detail'!E1530,'Activation Detail'!E2030,'Activation Detail'!E2530,'Activation Detail'!E3030,'Activation Detail'!E3530)</f>
        <v>382569</v>
      </c>
      <c r="D30" s="45" t="n">
        <f aca="false">SUM('Activation Detail'!G30,'Activation Detail'!G530,'Activation Detail'!G1030,'Activation Detail'!G1530,'Activation Detail'!G2030,'Activation Detail'!G2530,'Activation Detail'!G3030,'Activation Detail'!G3530)</f>
        <v>16080</v>
      </c>
      <c r="E30" s="48" t="n">
        <f aca="false">SUM('Activation Detail'!H30,'Activation Detail'!H530,'Activation Detail'!H1030,'Activation Detail'!H1530,'Activation Detail'!H2030,'Activation Detail'!H2530,'Activation Detail'!H3030,'Activation Detail'!H3530)</f>
        <v>584.194710644531</v>
      </c>
      <c r="F30" s="50" t="n">
        <f aca="false">SUM('Activation Detail'!I30,'Activation Detail'!I530,'Activation Detail'!I1030,'Activation Detail'!I1530,'Activation Detail'!I2030,'Activation Detail'!I2530,'Activation Detail'!I3030,'Activation Detail'!I3530)</f>
        <v>79155.240736</v>
      </c>
      <c r="G30" s="50" t="n">
        <f aca="false">SUM('Activation Detail'!J30,'Activation Detail'!J530,'Activation Detail'!J1030,'Activation Detail'!J1530,'Activation Detail'!J2030,'Activation Detail'!J2530,'Activation Detail'!J3030,'Activation Detail'!J3530)</f>
        <v>3574259.14795148</v>
      </c>
      <c r="H30" s="50" t="n">
        <f aca="false">SUM('Activation Detail'!K30,'Activation Detail'!K530,'Activation Detail'!K1030,'Activation Detail'!K1530,'Activation Detail'!K2030,'Activation Detail'!K2530,'Activation Detail'!K3030,'Activation Detail'!K3530)</f>
        <v>76802.1282885234</v>
      </c>
      <c r="I30" s="51" t="n">
        <f aca="false">IFERROR(H30/F30,0)</f>
        <v>0.970272183804926</v>
      </c>
      <c r="J30" s="49" t="n">
        <f aca="false">IFERROR(F30/E30,0)</f>
        <v>135.494620703891</v>
      </c>
      <c r="K30" s="46" t="n">
        <f aca="false">IFERROR(C30/B30,0)</f>
        <v>0.0849800194141546</v>
      </c>
      <c r="L30" s="47" t="n">
        <f aca="false">IFERROR(D30/B30,0)</f>
        <v>0.00357184903162464</v>
      </c>
      <c r="N30" s="48" t="n">
        <f aca="false">SUMIFS('Activation Detail'!$H$4:$H$4003,'Activation Detail'!$A$4:$A$4003,$A30,'Activation Detail'!$N$4:$N$4003,N$2)</f>
        <v>72.8377867998562</v>
      </c>
      <c r="O30" s="50" t="n">
        <f aca="false">N30*'Model Inputs &amp; Assumptions'!$D$40*'Model Inputs &amp; Assumptions'!$H$40</f>
        <v>619121.187798778</v>
      </c>
      <c r="P30" s="50" t="n">
        <f aca="false">N30*'Model Inputs &amp; Assumptions'!$G$40*'Model Inputs &amp; Assumptions'!$H$40</f>
        <v>13930.2267254725</v>
      </c>
      <c r="Q30" s="50" t="n">
        <f aca="false">SUMIFS('Activation Detail'!$I$4:$I$4003,'Activation Detail'!$A$4:$A$4003,$A30,'Activation Detail'!$N$4:$N$4003,N$2)</f>
        <v>18625.535</v>
      </c>
      <c r="R30" s="51" t="n">
        <f aca="false">IFERROR(P30/Q30,0)</f>
        <v>0.747910152673332</v>
      </c>
      <c r="S30" s="49" t="n">
        <f aca="false">IFERROR(Q30/N30,0)</f>
        <v>255.712533539484</v>
      </c>
      <c r="T30" s="48" t="n">
        <f aca="false">SUMIFS('Activation Detail'!$H$4:$H$4003,'Activation Detail'!$A$4:$A$4003,$A30,'Activation Detail'!$N$4:$N$4003,T$2)</f>
        <v>107.672539661922</v>
      </c>
      <c r="U30" s="50" t="n">
        <f aca="false">T30*'Model Inputs &amp; Assumptions'!$D$41*'Model Inputs &amp; Assumptions'!$H$41</f>
        <v>775242.285565841</v>
      </c>
      <c r="V30" s="50" t="n">
        <f aca="false">T30*'Model Inputs &amp; Assumptions'!$G$41*'Model Inputs &amp; Assumptions'!$H$41</f>
        <v>17094.0923967268</v>
      </c>
      <c r="W30" s="50" t="n">
        <f aca="false">SUMIFS('Activation Detail'!$I$4:$I$4003,'Activation Detail'!$A$4:$A$4003,$A30,'Activation Detail'!$N$4:$N$4003,T$2)</f>
        <v>16538.913736</v>
      </c>
      <c r="X30" s="51" t="n">
        <f aca="false">IFERROR(V30/W30,0)</f>
        <v>1.03356802445365</v>
      </c>
      <c r="Y30" s="49" t="n">
        <f aca="false">IFERROR(W30/T30,0)</f>
        <v>153.603823109681</v>
      </c>
      <c r="Z30" s="48" t="n">
        <f aca="false">SUMIFS('Activation Detail'!$H$4:$H$4003,'Activation Detail'!$A$4:$A$4003,$A30,'Activation Detail'!$N$4:$N$4003,Z$2)</f>
        <v>403.684384182752</v>
      </c>
      <c r="AA30" s="50" t="n">
        <f aca="false">Z30*'Model Inputs &amp; Assumptions'!$D$42*'Model Inputs &amp; Assumptions'!$H$42</f>
        <v>2179895.67458686</v>
      </c>
      <c r="AB30" s="50" t="n">
        <f aca="false">Z30*'Model Inputs &amp; Assumptions'!$G$42*'Model Inputs &amp; Assumptions'!$H$42</f>
        <v>45777.8091663241</v>
      </c>
      <c r="AC30" s="50" t="n">
        <f aca="false">SUMIFS('Activation Detail'!$I$4:$I$4003,'Activation Detail'!$A$4:$A$4003,$A30,'Activation Detail'!$N$4:$N$4003,Z$2)</f>
        <v>43990.792</v>
      </c>
      <c r="AD30" s="51" t="n">
        <f aca="false">IFERROR(AB30/AC30,0)</f>
        <v>1.04062252769453</v>
      </c>
      <c r="AE30" s="49" t="n">
        <f aca="false">IFERROR(AC30/Z30,0)</f>
        <v>108.973231870383</v>
      </c>
    </row>
    <row r="31" customFormat="false" ht="15" hidden="false" customHeight="false" outlineLevel="0" collapsed="false">
      <c r="A31" s="43" t="n">
        <v>28</v>
      </c>
      <c r="B31" s="45" t="n">
        <f aca="false">SUM('Activation Detail'!C31,'Activation Detail'!C531,'Activation Detail'!C1031,'Activation Detail'!C1531,'Activation Detail'!C2031,'Activation Detail'!C2531,'Activation Detail'!C3031,'Activation Detail'!C3531)</f>
        <v>3890165</v>
      </c>
      <c r="C31" s="45" t="n">
        <f aca="false">SUM('Activation Detail'!E31,'Activation Detail'!E531,'Activation Detail'!E1031,'Activation Detail'!E1531,'Activation Detail'!E2031,'Activation Detail'!E2531,'Activation Detail'!E3031,'Activation Detail'!E3531)</f>
        <v>442509</v>
      </c>
      <c r="D31" s="45" t="n">
        <f aca="false">SUM('Activation Detail'!G31,'Activation Detail'!G531,'Activation Detail'!G1031,'Activation Detail'!G1531,'Activation Detail'!G2031,'Activation Detail'!G2531,'Activation Detail'!G3031,'Activation Detail'!G3531)</f>
        <v>16749</v>
      </c>
      <c r="E31" s="48" t="n">
        <f aca="false">SUM('Activation Detail'!H31,'Activation Detail'!H531,'Activation Detail'!H1031,'Activation Detail'!H1531,'Activation Detail'!H2031,'Activation Detail'!H2531,'Activation Detail'!H3031,'Activation Detail'!H3531)</f>
        <v>615.300765748527</v>
      </c>
      <c r="F31" s="50" t="n">
        <f aca="false">SUM('Activation Detail'!I31,'Activation Detail'!I531,'Activation Detail'!I1031,'Activation Detail'!I1531,'Activation Detail'!I2031,'Activation Detail'!I2531,'Activation Detail'!I3031,'Activation Detail'!I3531)</f>
        <v>72922.159802</v>
      </c>
      <c r="G31" s="50" t="n">
        <f aca="false">SUM('Activation Detail'!J31,'Activation Detail'!J531,'Activation Detail'!J1031,'Activation Detail'!J1531,'Activation Detail'!J2031,'Activation Detail'!J2531,'Activation Detail'!J3031,'Activation Detail'!J3531)</f>
        <v>4023901.78303985</v>
      </c>
      <c r="H31" s="50" t="n">
        <f aca="false">SUM('Activation Detail'!K31,'Activation Detail'!K531,'Activation Detail'!K1031,'Activation Detail'!K1531,'Activation Detail'!K2031,'Activation Detail'!K2531,'Activation Detail'!K3031,'Activation Detail'!K3531)</f>
        <v>87416.4375244915</v>
      </c>
      <c r="I31" s="51" t="n">
        <f aca="false">IFERROR(H31/F31,0)</f>
        <v>1.19876369215951</v>
      </c>
      <c r="J31" s="49" t="n">
        <f aca="false">IFERROR(F31/E31,0)</f>
        <v>118.514657971031</v>
      </c>
      <c r="K31" s="46" t="n">
        <f aca="false">IFERROR(C31/B31,0)</f>
        <v>0.113750702091042</v>
      </c>
      <c r="L31" s="47" t="n">
        <f aca="false">IFERROR(D31/B31,0)</f>
        <v>0.00430547290410561</v>
      </c>
      <c r="N31" s="48" t="n">
        <f aca="false">SUMIFS('Activation Detail'!$H$4:$H$4003,'Activation Detail'!$A$4:$A$4003,$A31,'Activation Detail'!$N$4:$N$4003,N$2)</f>
        <v>114.318670133971</v>
      </c>
      <c r="O31" s="50" t="n">
        <f aca="false">N31*'Model Inputs &amp; Assumptions'!$D$40*'Model Inputs &amp; Assumptions'!$H$40</f>
        <v>971708.69613875</v>
      </c>
      <c r="P31" s="50" t="n">
        <f aca="false">N31*'Model Inputs &amp; Assumptions'!$G$40*'Model Inputs &amp; Assumptions'!$H$40</f>
        <v>21863.4456631219</v>
      </c>
      <c r="Q31" s="50" t="n">
        <f aca="false">SUMIFS('Activation Detail'!$I$4:$I$4003,'Activation Detail'!$A$4:$A$4003,$A31,'Activation Detail'!$N$4:$N$4003,N$2)</f>
        <v>19652.4895</v>
      </c>
      <c r="R31" s="51" t="n">
        <f aca="false">IFERROR(P31/Q31,0)</f>
        <v>1.1125025998931</v>
      </c>
      <c r="S31" s="49" t="n">
        <f aca="false">IFERROR(Q31/N31,0)</f>
        <v>171.909710609554</v>
      </c>
      <c r="T31" s="48" t="n">
        <f aca="false">SUMIFS('Activation Detail'!$H$4:$H$4003,'Activation Detail'!$A$4:$A$4003,$A31,'Activation Detail'!$N$4:$N$4003,T$2)</f>
        <v>192.716539212499</v>
      </c>
      <c r="U31" s="50" t="n">
        <f aca="false">T31*'Model Inputs &amp; Assumptions'!$D$41*'Model Inputs &amp; Assumptions'!$H$41</f>
        <v>1387559.08232999</v>
      </c>
      <c r="V31" s="50" t="n">
        <f aca="false">T31*'Model Inputs &amp; Assumptions'!$G$41*'Model Inputs &amp; Assumptions'!$H$41</f>
        <v>30595.6777653763</v>
      </c>
      <c r="W31" s="50" t="n">
        <f aca="false">SUMIFS('Activation Detail'!$I$4:$I$4003,'Activation Detail'!$A$4:$A$4003,$A31,'Activation Detail'!$N$4:$N$4003,T$2)</f>
        <v>19017.070302</v>
      </c>
      <c r="X31" s="51" t="n">
        <f aca="false">IFERROR(V31/W31,0)</f>
        <v>1.60885337644035</v>
      </c>
      <c r="Y31" s="49" t="n">
        <f aca="false">IFERROR(W31/T31,0)</f>
        <v>98.6789736870007</v>
      </c>
      <c r="Z31" s="48" t="n">
        <f aca="false">SUMIFS('Activation Detail'!$H$4:$H$4003,'Activation Detail'!$A$4:$A$4003,$A31,'Activation Detail'!$N$4:$N$4003,Z$2)</f>
        <v>308.265556402057</v>
      </c>
      <c r="AA31" s="50" t="n">
        <f aca="false">Z31*'Model Inputs &amp; Assumptions'!$D$42*'Model Inputs &amp; Assumptions'!$H$42</f>
        <v>1664634.00457111</v>
      </c>
      <c r="AB31" s="50" t="n">
        <f aca="false">Z31*'Model Inputs &amp; Assumptions'!$G$42*'Model Inputs &amp; Assumptions'!$H$42</f>
        <v>34957.3140959933</v>
      </c>
      <c r="AC31" s="50" t="n">
        <f aca="false">SUMIFS('Activation Detail'!$I$4:$I$4003,'Activation Detail'!$A$4:$A$4003,$A31,'Activation Detail'!$N$4:$N$4003,Z$2)</f>
        <v>34252.6</v>
      </c>
      <c r="AD31" s="51" t="n">
        <f aca="false">IFERROR(AB31/AC31,0)</f>
        <v>1.02057403221926</v>
      </c>
      <c r="AE31" s="49" t="n">
        <f aca="false">IFERROR(AC31/Z31,0)</f>
        <v>111.113938254347</v>
      </c>
    </row>
    <row r="32" customFormat="false" ht="15" hidden="false" customHeight="false" outlineLevel="0" collapsed="false">
      <c r="A32" s="43" t="n">
        <v>29</v>
      </c>
      <c r="B32" s="45" t="n">
        <f aca="false">SUM('Activation Detail'!C32,'Activation Detail'!C532,'Activation Detail'!C1032,'Activation Detail'!C1532,'Activation Detail'!C2032,'Activation Detail'!C2532,'Activation Detail'!C3032,'Activation Detail'!C3532)</f>
        <v>3460518</v>
      </c>
      <c r="C32" s="45" t="n">
        <f aca="false">SUM('Activation Detail'!E32,'Activation Detail'!E532,'Activation Detail'!E1032,'Activation Detail'!E1532,'Activation Detail'!E2032,'Activation Detail'!E2532,'Activation Detail'!E3032,'Activation Detail'!E3532)</f>
        <v>461503</v>
      </c>
      <c r="D32" s="45" t="n">
        <f aca="false">SUM('Activation Detail'!G32,'Activation Detail'!G532,'Activation Detail'!G1032,'Activation Detail'!G1532,'Activation Detail'!G2032,'Activation Detail'!G2532,'Activation Detail'!G3032,'Activation Detail'!G3532)</f>
        <v>15472</v>
      </c>
      <c r="E32" s="48" t="n">
        <f aca="false">SUM('Activation Detail'!H32,'Activation Detail'!H532,'Activation Detail'!H1032,'Activation Detail'!H1532,'Activation Detail'!H2032,'Activation Detail'!H2532,'Activation Detail'!H3032,'Activation Detail'!H3532)</f>
        <v>626.506045794082</v>
      </c>
      <c r="F32" s="50" t="n">
        <f aca="false">SUM('Activation Detail'!I32,'Activation Detail'!I532,'Activation Detail'!I1032,'Activation Detail'!I1532,'Activation Detail'!I2032,'Activation Detail'!I2532,'Activation Detail'!I3032,'Activation Detail'!I3532)</f>
        <v>71447.351272</v>
      </c>
      <c r="G32" s="50" t="n">
        <f aca="false">SUM('Activation Detail'!J32,'Activation Detail'!J532,'Activation Detail'!J1032,'Activation Detail'!J1532,'Activation Detail'!J2032,'Activation Detail'!J2532,'Activation Detail'!J3032,'Activation Detail'!J3532)</f>
        <v>4085646.51764376</v>
      </c>
      <c r="H32" s="50" t="n">
        <f aca="false">SUM('Activation Detail'!K32,'Activation Detail'!K532,'Activation Detail'!K1032,'Activation Detail'!K1532,'Activation Detail'!K2032,'Activation Detail'!K2532,'Activation Detail'!K3032,'Activation Detail'!K3532)</f>
        <v>88729.638645076</v>
      </c>
      <c r="I32" s="51" t="n">
        <f aca="false">IFERROR(H32/F32,0)</f>
        <v>1.2418884264482</v>
      </c>
      <c r="J32" s="49" t="n">
        <f aca="false">IFERROR(F32/E32,0)</f>
        <v>114.040960580743</v>
      </c>
      <c r="K32" s="46" t="n">
        <f aca="false">IFERROR(C32/B32,0)</f>
        <v>0.133362404125625</v>
      </c>
      <c r="L32" s="47" t="n">
        <f aca="false">IFERROR(D32/B32,0)</f>
        <v>0.00447100694173531</v>
      </c>
      <c r="N32" s="48" t="n">
        <f aca="false">SUMIFS('Activation Detail'!$H$4:$H$4003,'Activation Detail'!$A$4:$A$4003,$A32,'Activation Detail'!$N$4:$N$4003,N$2)</f>
        <v>72.2091886558163</v>
      </c>
      <c r="O32" s="50" t="n">
        <f aca="false">N32*'Model Inputs &amp; Assumptions'!$D$40*'Model Inputs &amp; Assumptions'!$H$40</f>
        <v>613778.103574439</v>
      </c>
      <c r="P32" s="50" t="n">
        <f aca="false">N32*'Model Inputs &amp; Assumptions'!$G$40*'Model Inputs &amp; Assumptions'!$H$40</f>
        <v>13810.0073304249</v>
      </c>
      <c r="Q32" s="50" t="n">
        <f aca="false">SUMIFS('Activation Detail'!$I$4:$I$4003,'Activation Detail'!$A$4:$A$4003,$A32,'Activation Detail'!$N$4:$N$4003,N$2)</f>
        <v>18053.8925</v>
      </c>
      <c r="R32" s="51" t="n">
        <f aca="false">IFERROR(P32/Q32,0)</f>
        <v>0.764932400612492</v>
      </c>
      <c r="S32" s="49" t="n">
        <f aca="false">IFERROR(Q32/N32,0)</f>
        <v>250.022093255382</v>
      </c>
      <c r="T32" s="48" t="n">
        <f aca="false">SUMIFS('Activation Detail'!$H$4:$H$4003,'Activation Detail'!$A$4:$A$4003,$A32,'Activation Detail'!$N$4:$N$4003,T$2)</f>
        <v>265.925214179273</v>
      </c>
      <c r="U32" s="50" t="n">
        <f aca="false">T32*'Model Inputs &amp; Assumptions'!$D$41*'Model Inputs &amp; Assumptions'!$H$41</f>
        <v>1914661.54209076</v>
      </c>
      <c r="V32" s="50" t="n">
        <f aca="false">T32*'Model Inputs &amp; Assumptions'!$G$41*'Model Inputs &amp; Assumptions'!$H$41</f>
        <v>42218.2870031013</v>
      </c>
      <c r="W32" s="50" t="n">
        <f aca="false">SUMIFS('Activation Detail'!$I$4:$I$4003,'Activation Detail'!$A$4:$A$4003,$A32,'Activation Detail'!$N$4:$N$4003,T$2)</f>
        <v>22576.566772</v>
      </c>
      <c r="X32" s="51" t="n">
        <f aca="false">IFERROR(V32/W32,0)</f>
        <v>1.8700047456047</v>
      </c>
      <c r="Y32" s="49" t="n">
        <f aca="false">IFERROR(W32/T32,0)</f>
        <v>84.8981802710144</v>
      </c>
      <c r="Z32" s="48" t="n">
        <f aca="false">SUMIFS('Activation Detail'!$H$4:$H$4003,'Activation Detail'!$A$4:$A$4003,$A32,'Activation Detail'!$N$4:$N$4003,Z$2)</f>
        <v>288.371642958993</v>
      </c>
      <c r="AA32" s="50" t="n">
        <f aca="false">Z32*'Model Inputs &amp; Assumptions'!$D$42*'Model Inputs &amp; Assumptions'!$H$42</f>
        <v>1557206.87197856</v>
      </c>
      <c r="AB32" s="50" t="n">
        <f aca="false">Z32*'Model Inputs &amp; Assumptions'!$G$42*'Model Inputs &amp; Assumptions'!$H$42</f>
        <v>32701.3443115498</v>
      </c>
      <c r="AC32" s="50" t="n">
        <f aca="false">SUMIFS('Activation Detail'!$I$4:$I$4003,'Activation Detail'!$A$4:$A$4003,$A32,'Activation Detail'!$N$4:$N$4003,Z$2)</f>
        <v>30816.892</v>
      </c>
      <c r="AD32" s="51" t="n">
        <f aca="false">IFERROR(AB32/AC32,0)</f>
        <v>1.06114997941875</v>
      </c>
      <c r="AE32" s="49" t="n">
        <f aca="false">IFERROR(AC32/Z32,0)</f>
        <v>106.865195494906</v>
      </c>
    </row>
    <row r="33" customFormat="false" ht="15" hidden="false" customHeight="false" outlineLevel="0" collapsed="false">
      <c r="A33" s="43" t="n">
        <v>30</v>
      </c>
      <c r="B33" s="45" t="n">
        <f aca="false">SUM('Activation Detail'!C33,'Activation Detail'!C533,'Activation Detail'!C1033,'Activation Detail'!C1533,'Activation Detail'!C2033,'Activation Detail'!C2533,'Activation Detail'!C3033,'Activation Detail'!C3533)</f>
        <v>4296712</v>
      </c>
      <c r="C33" s="45" t="n">
        <f aca="false">SUM('Activation Detail'!E33,'Activation Detail'!E533,'Activation Detail'!E1033,'Activation Detail'!E1533,'Activation Detail'!E2033,'Activation Detail'!E2533,'Activation Detail'!E3033,'Activation Detail'!E3533)</f>
        <v>280613</v>
      </c>
      <c r="D33" s="45" t="n">
        <f aca="false">SUM('Activation Detail'!G33,'Activation Detail'!G533,'Activation Detail'!G1033,'Activation Detail'!G1533,'Activation Detail'!G2033,'Activation Detail'!G2533,'Activation Detail'!G3033,'Activation Detail'!G3533)</f>
        <v>15252</v>
      </c>
      <c r="E33" s="48" t="n">
        <f aca="false">SUM('Activation Detail'!H33,'Activation Detail'!H533,'Activation Detail'!H1033,'Activation Detail'!H1533,'Activation Detail'!H2033,'Activation Detail'!H2533,'Activation Detail'!H3033,'Activation Detail'!H3533)</f>
        <v>773.561059602886</v>
      </c>
      <c r="F33" s="50" t="n">
        <f aca="false">SUM('Activation Detail'!I33,'Activation Detail'!I533,'Activation Detail'!I1033,'Activation Detail'!I1533,'Activation Detail'!I2033,'Activation Detail'!I2533,'Activation Detail'!I3033,'Activation Detail'!I3533)</f>
        <v>80192.313506</v>
      </c>
      <c r="G33" s="50" t="n">
        <f aca="false">SUM('Activation Detail'!J33,'Activation Detail'!J533,'Activation Detail'!J1033,'Activation Detail'!J1533,'Activation Detail'!J2033,'Activation Detail'!J2533,'Activation Detail'!J3033,'Activation Detail'!J3533)</f>
        <v>4583471.05489776</v>
      </c>
      <c r="H33" s="50" t="n">
        <f aca="false">SUM('Activation Detail'!K33,'Activation Detail'!K533,'Activation Detail'!K1033,'Activation Detail'!K1533,'Activation Detail'!K2033,'Activation Detail'!K2533,'Activation Detail'!K3033,'Activation Detail'!K3533)</f>
        <v>97942.8670554982</v>
      </c>
      <c r="I33" s="51" t="n">
        <f aca="false">IFERROR(H33/F33,0)</f>
        <v>1.22134981238782</v>
      </c>
      <c r="J33" s="49" t="n">
        <f aca="false">IFERROR(F33/E33,0)</f>
        <v>103.666430090428</v>
      </c>
      <c r="K33" s="46" t="n">
        <f aca="false">IFERROR(C33/B33,0)</f>
        <v>0.0653087756405363</v>
      </c>
      <c r="L33" s="47" t="n">
        <f aca="false">IFERROR(D33/B33,0)</f>
        <v>0.00354969101955169</v>
      </c>
      <c r="N33" s="48" t="n">
        <f aca="false">SUMIFS('Activation Detail'!$H$4:$H$4003,'Activation Detail'!$A$4:$A$4003,$A33,'Activation Detail'!$N$4:$N$4003,N$2)</f>
        <v>60.1433190067361</v>
      </c>
      <c r="O33" s="50" t="n">
        <f aca="false">N33*'Model Inputs &amp; Assumptions'!$D$40*'Model Inputs &amp; Assumptions'!$H$40</f>
        <v>511218.211557257</v>
      </c>
      <c r="P33" s="50" t="n">
        <f aca="false">N33*'Model Inputs &amp; Assumptions'!$G$40*'Model Inputs &amp; Assumptions'!$H$40</f>
        <v>11502.4097600383</v>
      </c>
      <c r="Q33" s="50" t="n">
        <f aca="false">SUMIFS('Activation Detail'!$I$4:$I$4003,'Activation Detail'!$A$4:$A$4003,$A33,'Activation Detail'!$N$4:$N$4003,N$2)</f>
        <v>18900.212</v>
      </c>
      <c r="R33" s="51" t="n">
        <f aca="false">IFERROR(P33/Q33,0)</f>
        <v>0.608586282526264</v>
      </c>
      <c r="S33" s="49" t="n">
        <f aca="false">IFERROR(Q33/N33,0)</f>
        <v>314.25289312489</v>
      </c>
      <c r="T33" s="48" t="n">
        <f aca="false">SUMIFS('Activation Detail'!$H$4:$H$4003,'Activation Detail'!$A$4:$A$4003,$A33,'Activation Detail'!$N$4:$N$4003,T$2)</f>
        <v>122.109468956272</v>
      </c>
      <c r="U33" s="50" t="n">
        <f aca="false">T33*'Model Inputs &amp; Assumptions'!$D$41*'Model Inputs &amp; Assumptions'!$H$41</f>
        <v>879188.176485155</v>
      </c>
      <c r="V33" s="50" t="n">
        <f aca="false">T33*'Model Inputs &amp; Assumptions'!$G$41*'Model Inputs &amp; Assumptions'!$H$41</f>
        <v>19386.0992914977</v>
      </c>
      <c r="W33" s="50" t="n">
        <f aca="false">SUMIFS('Activation Detail'!$I$4:$I$4003,'Activation Detail'!$A$4:$A$4003,$A33,'Activation Detail'!$N$4:$N$4003,T$2)</f>
        <v>15254.685506</v>
      </c>
      <c r="X33" s="51" t="n">
        <f aca="false">IFERROR(V33/W33,0)</f>
        <v>1.27082916811839</v>
      </c>
      <c r="Y33" s="49" t="n">
        <f aca="false">IFERROR(W33/T33,0)</f>
        <v>124.926311091098</v>
      </c>
      <c r="Z33" s="48" t="n">
        <f aca="false">SUMIFS('Activation Detail'!$H$4:$H$4003,'Activation Detail'!$A$4:$A$4003,$A33,'Activation Detail'!$N$4:$N$4003,Z$2)</f>
        <v>591.308271639879</v>
      </c>
      <c r="AA33" s="50" t="n">
        <f aca="false">Z33*'Model Inputs &amp; Assumptions'!$D$42*'Model Inputs &amp; Assumptions'!$H$42</f>
        <v>3193064.66685534</v>
      </c>
      <c r="AB33" s="50" t="n">
        <f aca="false">Z33*'Model Inputs &amp; Assumptions'!$G$42*'Model Inputs &amp; Assumptions'!$H$42</f>
        <v>67054.3580039622</v>
      </c>
      <c r="AC33" s="50" t="n">
        <f aca="false">SUMIFS('Activation Detail'!$I$4:$I$4003,'Activation Detail'!$A$4:$A$4003,$A33,'Activation Detail'!$N$4:$N$4003,Z$2)</f>
        <v>46037.416</v>
      </c>
      <c r="AD33" s="51" t="n">
        <f aca="false">IFERROR(AB33/AC33,0)</f>
        <v>1.45651871521117</v>
      </c>
      <c r="AE33" s="49" t="n">
        <f aca="false">IFERROR(AC33/Z33,0)</f>
        <v>77.8568780584181</v>
      </c>
    </row>
    <row r="34" customFormat="false" ht="15" hidden="false" customHeight="false" outlineLevel="0" collapsed="false">
      <c r="A34" s="43" t="n">
        <v>31</v>
      </c>
      <c r="B34" s="45" t="n">
        <f aca="false">SUM('Activation Detail'!C34,'Activation Detail'!C534,'Activation Detail'!C1034,'Activation Detail'!C1534,'Activation Detail'!C2034,'Activation Detail'!C2534,'Activation Detail'!C3034,'Activation Detail'!C3534)</f>
        <v>4528689</v>
      </c>
      <c r="C34" s="45" t="n">
        <f aca="false">SUM('Activation Detail'!E34,'Activation Detail'!E534,'Activation Detail'!E1034,'Activation Detail'!E1534,'Activation Detail'!E2034,'Activation Detail'!E2534,'Activation Detail'!E3034,'Activation Detail'!E3534)</f>
        <v>308372</v>
      </c>
      <c r="D34" s="45" t="n">
        <f aca="false">SUM('Activation Detail'!G34,'Activation Detail'!G534,'Activation Detail'!G1034,'Activation Detail'!G1534,'Activation Detail'!G2034,'Activation Detail'!G2534,'Activation Detail'!G3034,'Activation Detail'!G3534)</f>
        <v>18991</v>
      </c>
      <c r="E34" s="48" t="n">
        <f aca="false">SUM('Activation Detail'!H34,'Activation Detail'!H534,'Activation Detail'!H1034,'Activation Detail'!H1534,'Activation Detail'!H2034,'Activation Detail'!H2534,'Activation Detail'!H3034,'Activation Detail'!H3534)</f>
        <v>790.270645358411</v>
      </c>
      <c r="F34" s="50" t="n">
        <f aca="false">SUM('Activation Detail'!I34,'Activation Detail'!I534,'Activation Detail'!I1034,'Activation Detail'!I1534,'Activation Detail'!I2034,'Activation Detail'!I2534,'Activation Detail'!I3034,'Activation Detail'!I3534)</f>
        <v>78162.947796</v>
      </c>
      <c r="G34" s="50" t="n">
        <f aca="false">SUM('Activation Detail'!J34,'Activation Detail'!J534,'Activation Detail'!J1034,'Activation Detail'!J1534,'Activation Detail'!J2034,'Activation Detail'!J2534,'Activation Detail'!J3034,'Activation Detail'!J3534)</f>
        <v>4875203.87496472</v>
      </c>
      <c r="H34" s="50" t="n">
        <f aca="false">SUM('Activation Detail'!K34,'Activation Detail'!K534,'Activation Detail'!K1034,'Activation Detail'!K1534,'Activation Detail'!K2034,'Activation Detail'!K2534,'Activation Detail'!K3034,'Activation Detail'!K3534)</f>
        <v>104899.733008166</v>
      </c>
      <c r="I34" s="51" t="n">
        <f aca="false">IFERROR(H34/F34,0)</f>
        <v>1.34206469901758</v>
      </c>
      <c r="J34" s="49" t="n">
        <f aca="false">IFERROR(F34/E34,0)</f>
        <v>98.906555943946</v>
      </c>
      <c r="K34" s="46" t="n">
        <f aca="false">IFERROR(C34/B34,0)</f>
        <v>0.0680929955667082</v>
      </c>
      <c r="L34" s="47" t="n">
        <f aca="false">IFERROR(D34/B34,0)</f>
        <v>0.00419348734258413</v>
      </c>
      <c r="N34" s="48" t="n">
        <f aca="false">SUMIFS('Activation Detail'!$H$4:$H$4003,'Activation Detail'!$A$4:$A$4003,$A34,'Activation Detail'!$N$4:$N$4003,N$2)</f>
        <v>118.764460061376</v>
      </c>
      <c r="O34" s="50" t="n">
        <f aca="false">N34*'Model Inputs &amp; Assumptions'!$D$40*'Model Inputs &amp; Assumptions'!$H$40</f>
        <v>1009497.91052169</v>
      </c>
      <c r="P34" s="50" t="n">
        <f aca="false">N34*'Model Inputs &amp; Assumptions'!$G$40*'Model Inputs &amp; Assumptions'!$H$40</f>
        <v>22713.7029867381</v>
      </c>
      <c r="Q34" s="50" t="n">
        <f aca="false">SUMIFS('Activation Detail'!$I$4:$I$4003,'Activation Detail'!$A$4:$A$4003,$A34,'Activation Detail'!$N$4:$N$4003,N$2)</f>
        <v>17565.1185</v>
      </c>
      <c r="R34" s="51" t="n">
        <f aca="false">IFERROR(P34/Q34,0)</f>
        <v>1.29311413337394</v>
      </c>
      <c r="S34" s="49" t="n">
        <f aca="false">IFERROR(Q34/N34,0)</f>
        <v>147.898777891321</v>
      </c>
      <c r="T34" s="48" t="n">
        <f aca="false">SUMIFS('Activation Detail'!$H$4:$H$4003,'Activation Detail'!$A$4:$A$4003,$A34,'Activation Detail'!$N$4:$N$4003,T$2)</f>
        <v>133.095868799466</v>
      </c>
      <c r="U34" s="50" t="n">
        <f aca="false">T34*'Model Inputs &amp; Assumptions'!$D$41*'Model Inputs &amp; Assumptions'!$H$41</f>
        <v>958290.255356152</v>
      </c>
      <c r="V34" s="50" t="n">
        <f aca="false">T34*'Model Inputs &amp; Assumptions'!$G$41*'Model Inputs &amp; Assumptions'!$H$41</f>
        <v>21130.3001306032</v>
      </c>
      <c r="W34" s="50" t="n">
        <f aca="false">SUMIFS('Activation Detail'!$I$4:$I$4003,'Activation Detail'!$A$4:$A$4003,$A34,'Activation Detail'!$N$4:$N$4003,T$2)</f>
        <v>17586.069296</v>
      </c>
      <c r="X34" s="51" t="n">
        <f aca="false">IFERROR(V34/W34,0)</f>
        <v>1.20153627140599</v>
      </c>
      <c r="Y34" s="49" t="n">
        <f aca="false">IFERROR(W34/T34,0)</f>
        <v>132.130842637173</v>
      </c>
      <c r="Z34" s="48" t="n">
        <f aca="false">SUMIFS('Activation Detail'!$H$4:$H$4003,'Activation Detail'!$A$4:$A$4003,$A34,'Activation Detail'!$N$4:$N$4003,Z$2)</f>
        <v>538.41031649757</v>
      </c>
      <c r="AA34" s="50" t="n">
        <f aca="false">Z34*'Model Inputs &amp; Assumptions'!$D$42*'Model Inputs &amp; Assumptions'!$H$42</f>
        <v>2907415.70908688</v>
      </c>
      <c r="AB34" s="50" t="n">
        <f aca="false">Z34*'Model Inputs &amp; Assumptions'!$G$42*'Model Inputs &amp; Assumptions'!$H$42</f>
        <v>61055.7298908245</v>
      </c>
      <c r="AC34" s="50" t="n">
        <f aca="false">SUMIFS('Activation Detail'!$I$4:$I$4003,'Activation Detail'!$A$4:$A$4003,$A34,'Activation Detail'!$N$4:$N$4003,Z$2)</f>
        <v>43011.76</v>
      </c>
      <c r="AD34" s="51" t="n">
        <f aca="false">IFERROR(AB34/AC34,0)</f>
        <v>1.4195124749795</v>
      </c>
      <c r="AE34" s="49" t="n">
        <f aca="false">IFERROR(AC34/Z34,0)</f>
        <v>79.8865821884639</v>
      </c>
    </row>
    <row r="35" customFormat="false" ht="15" hidden="false" customHeight="false" outlineLevel="0" collapsed="false">
      <c r="A35" s="43" t="n">
        <v>32</v>
      </c>
      <c r="B35" s="45" t="n">
        <f aca="false">SUM('Activation Detail'!C35,'Activation Detail'!C535,'Activation Detail'!C1035,'Activation Detail'!C1535,'Activation Detail'!C2035,'Activation Detail'!C2535,'Activation Detail'!C3035,'Activation Detail'!C3535)</f>
        <v>5150765</v>
      </c>
      <c r="C35" s="45" t="n">
        <f aca="false">SUM('Activation Detail'!E35,'Activation Detail'!E535,'Activation Detail'!E1035,'Activation Detail'!E1535,'Activation Detail'!E2035,'Activation Detail'!E2535,'Activation Detail'!E3035,'Activation Detail'!E3535)</f>
        <v>490928</v>
      </c>
      <c r="D35" s="45" t="n">
        <f aca="false">SUM('Activation Detail'!G35,'Activation Detail'!G535,'Activation Detail'!G1035,'Activation Detail'!G1535,'Activation Detail'!G2035,'Activation Detail'!G2535,'Activation Detail'!G3035,'Activation Detail'!G3535)</f>
        <v>18851</v>
      </c>
      <c r="E35" s="48" t="n">
        <f aca="false">SUM('Activation Detail'!H35,'Activation Detail'!H535,'Activation Detail'!H1035,'Activation Detail'!H1535,'Activation Detail'!H2035,'Activation Detail'!H2535,'Activation Detail'!H3035,'Activation Detail'!H3535)</f>
        <v>729.542597622164</v>
      </c>
      <c r="F35" s="50" t="n">
        <f aca="false">SUM('Activation Detail'!I35,'Activation Detail'!I535,'Activation Detail'!I1035,'Activation Detail'!I1535,'Activation Detail'!I2035,'Activation Detail'!I2535,'Activation Detail'!I3035,'Activation Detail'!I3535)</f>
        <v>89256.509082</v>
      </c>
      <c r="G35" s="50" t="n">
        <f aca="false">SUM('Activation Detail'!J35,'Activation Detail'!J535,'Activation Detail'!J1035,'Activation Detail'!J1535,'Activation Detail'!J2035,'Activation Detail'!J2535,'Activation Detail'!J3035,'Activation Detail'!J3535)</f>
        <v>4422406.63250398</v>
      </c>
      <c r="H35" s="50" t="n">
        <f aca="false">SUM('Activation Detail'!K35,'Activation Detail'!K535,'Activation Detail'!K1035,'Activation Detail'!K1535,'Activation Detail'!K2035,'Activation Detail'!K2535,'Activation Detail'!K3035,'Activation Detail'!K3535)</f>
        <v>94876.331660772</v>
      </c>
      <c r="I35" s="51" t="n">
        <f aca="false">IFERROR(H35/F35,0)</f>
        <v>1.06296260784308</v>
      </c>
      <c r="J35" s="49" t="n">
        <f aca="false">IFERROR(F35/E35,0)</f>
        <v>122.345849814553</v>
      </c>
      <c r="K35" s="46" t="n">
        <f aca="false">IFERROR(C35/B35,0)</f>
        <v>0.095311667296023</v>
      </c>
      <c r="L35" s="47" t="n">
        <f aca="false">IFERROR(D35/B35,0)</f>
        <v>0.00365984470268009</v>
      </c>
      <c r="N35" s="48" t="n">
        <f aca="false">SUMIFS('Activation Detail'!$H$4:$H$4003,'Activation Detail'!$A$4:$A$4003,$A35,'Activation Detail'!$N$4:$N$4003,N$2)</f>
        <v>82.5532009544725</v>
      </c>
      <c r="O35" s="50" t="n">
        <f aca="false">N35*'Model Inputs &amp; Assumptions'!$D$40*'Model Inputs &amp; Assumptions'!$H$40</f>
        <v>701702.208113016</v>
      </c>
      <c r="P35" s="50" t="n">
        <f aca="false">N35*'Model Inputs &amp; Assumptions'!$G$40*'Model Inputs &amp; Assumptions'!$H$40</f>
        <v>15788.2996825429</v>
      </c>
      <c r="Q35" s="50" t="n">
        <f aca="false">SUMIFS('Activation Detail'!$I$4:$I$4003,'Activation Detail'!$A$4:$A$4003,$A35,'Activation Detail'!$N$4:$N$4003,N$2)</f>
        <v>17219.1755</v>
      </c>
      <c r="R35" s="51" t="n">
        <f aca="false">IFERROR(P35/Q35,0)</f>
        <v>0.916902187479468</v>
      </c>
      <c r="S35" s="49" t="n">
        <f aca="false">IFERROR(Q35/N35,0)</f>
        <v>208.582772090161</v>
      </c>
      <c r="T35" s="48" t="n">
        <f aca="false">SUMIFS('Activation Detail'!$H$4:$H$4003,'Activation Detail'!$A$4:$A$4003,$A35,'Activation Detail'!$N$4:$N$4003,T$2)</f>
        <v>126.089823547463</v>
      </c>
      <c r="U35" s="50" t="n">
        <f aca="false">T35*'Model Inputs &amp; Assumptions'!$D$41*'Model Inputs &amp; Assumptions'!$H$41</f>
        <v>907846.729541732</v>
      </c>
      <c r="V35" s="50" t="n">
        <f aca="false">T35*'Model Inputs &amp; Assumptions'!$G$41*'Model Inputs &amp; Assumptions'!$H$41</f>
        <v>20018.0203863952</v>
      </c>
      <c r="W35" s="50" t="n">
        <f aca="false">SUMIFS('Activation Detail'!$I$4:$I$4003,'Activation Detail'!$A$4:$A$4003,$A35,'Activation Detail'!$N$4:$N$4003,T$2)</f>
        <v>18232.257582</v>
      </c>
      <c r="X35" s="51" t="n">
        <f aca="false">IFERROR(V35/W35,0)</f>
        <v>1.09794523779426</v>
      </c>
      <c r="Y35" s="49" t="n">
        <f aca="false">IFERROR(W35/T35,0)</f>
        <v>144.597375656863</v>
      </c>
      <c r="Z35" s="48" t="n">
        <f aca="false">SUMIFS('Activation Detail'!$H$4:$H$4003,'Activation Detail'!$A$4:$A$4003,$A35,'Activation Detail'!$N$4:$N$4003,Z$2)</f>
        <v>520.899573120228</v>
      </c>
      <c r="AA35" s="50" t="n">
        <f aca="false">Z35*'Model Inputs &amp; Assumptions'!$D$42*'Model Inputs &amp; Assumptions'!$H$42</f>
        <v>2812857.69484923</v>
      </c>
      <c r="AB35" s="50" t="n">
        <f aca="false">Z35*'Model Inputs &amp; Assumptions'!$G$42*'Model Inputs &amp; Assumptions'!$H$42</f>
        <v>59070.0115918339</v>
      </c>
      <c r="AC35" s="50" t="n">
        <f aca="false">SUMIFS('Activation Detail'!$I$4:$I$4003,'Activation Detail'!$A$4:$A$4003,$A35,'Activation Detail'!$N$4:$N$4003,Z$2)</f>
        <v>53805.076</v>
      </c>
      <c r="AD35" s="51" t="n">
        <f aca="false">IFERROR(AB35/AC35,0)</f>
        <v>1.09785202406988</v>
      </c>
      <c r="AE35" s="49" t="n">
        <f aca="false">IFERROR(AC35/Z35,0)</f>
        <v>103.292609125601</v>
      </c>
    </row>
    <row r="36" customFormat="false" ht="15" hidden="false" customHeight="false" outlineLevel="0" collapsed="false">
      <c r="A36" s="43" t="n">
        <v>33</v>
      </c>
      <c r="B36" s="45" t="n">
        <f aca="false">SUM('Activation Detail'!C36,'Activation Detail'!C536,'Activation Detail'!C1036,'Activation Detail'!C1536,'Activation Detail'!C2036,'Activation Detail'!C2536,'Activation Detail'!C3036,'Activation Detail'!C3536)</f>
        <v>3302602</v>
      </c>
      <c r="C36" s="45" t="n">
        <f aca="false">SUM('Activation Detail'!E36,'Activation Detail'!E536,'Activation Detail'!E1036,'Activation Detail'!E1536,'Activation Detail'!E2036,'Activation Detail'!E2536,'Activation Detail'!E3036,'Activation Detail'!E3536)</f>
        <v>379403</v>
      </c>
      <c r="D36" s="45" t="n">
        <f aca="false">SUM('Activation Detail'!G36,'Activation Detail'!G536,'Activation Detail'!G1036,'Activation Detail'!G1536,'Activation Detail'!G2036,'Activation Detail'!G2536,'Activation Detail'!G3036,'Activation Detail'!G3536)</f>
        <v>13275</v>
      </c>
      <c r="E36" s="48" t="n">
        <f aca="false">SUM('Activation Detail'!H36,'Activation Detail'!H536,'Activation Detail'!H1036,'Activation Detail'!H1536,'Activation Detail'!H2036,'Activation Detail'!H2536,'Activation Detail'!H3036,'Activation Detail'!H3536)</f>
        <v>532.846890663483</v>
      </c>
      <c r="F36" s="50" t="n">
        <f aca="false">SUM('Activation Detail'!I36,'Activation Detail'!I536,'Activation Detail'!I1036,'Activation Detail'!I1536,'Activation Detail'!I2036,'Activation Detail'!I2536,'Activation Detail'!I3036,'Activation Detail'!I3536)</f>
        <v>72151.292958</v>
      </c>
      <c r="G36" s="50" t="n">
        <f aca="false">SUM('Activation Detail'!J36,'Activation Detail'!J536,'Activation Detail'!J1036,'Activation Detail'!J1536,'Activation Detail'!J2036,'Activation Detail'!J2536,'Activation Detail'!J3036,'Activation Detail'!J3536)</f>
        <v>3491017.77504112</v>
      </c>
      <c r="H36" s="50" t="n">
        <f aca="false">SUM('Activation Detail'!K36,'Activation Detail'!K536,'Activation Detail'!K1036,'Activation Detail'!K1536,'Activation Detail'!K2036,'Activation Detail'!K2536,'Activation Detail'!K3036,'Activation Detail'!K3536)</f>
        <v>75863.8622722987</v>
      </c>
      <c r="I36" s="51" t="n">
        <f aca="false">IFERROR(H36/F36,0)</f>
        <v>1.05145534005135</v>
      </c>
      <c r="J36" s="49" t="n">
        <f aca="false">IFERROR(F36/E36,0)</f>
        <v>135.407176474577</v>
      </c>
      <c r="K36" s="46" t="n">
        <f aca="false">IFERROR(C36/B36,0)</f>
        <v>0.114880024901578</v>
      </c>
      <c r="L36" s="47" t="n">
        <f aca="false">IFERROR(D36/B36,0)</f>
        <v>0.00401955791221588</v>
      </c>
      <c r="N36" s="48" t="n">
        <f aca="false">SUMIFS('Activation Detail'!$H$4:$H$4003,'Activation Detail'!$A$4:$A$4003,$A36,'Activation Detail'!$N$4:$N$4003,N$2)</f>
        <v>91.9191795914708</v>
      </c>
      <c r="O36" s="50" t="n">
        <f aca="false">N36*'Model Inputs &amp; Assumptions'!$D$40*'Model Inputs &amp; Assumptions'!$H$40</f>
        <v>781313.026527502</v>
      </c>
      <c r="P36" s="50" t="n">
        <f aca="false">N36*'Model Inputs &amp; Assumptions'!$G$40*'Model Inputs &amp; Assumptions'!$H$40</f>
        <v>17579.5430968688</v>
      </c>
      <c r="Q36" s="50" t="n">
        <f aca="false">SUMIFS('Activation Detail'!$I$4:$I$4003,'Activation Detail'!$A$4:$A$4003,$A36,'Activation Detail'!$N$4:$N$4003,N$2)</f>
        <v>17846.172</v>
      </c>
      <c r="R36" s="51" t="n">
        <f aca="false">IFERROR(P36/Q36,0)</f>
        <v>0.985059602522535</v>
      </c>
      <c r="S36" s="49" t="n">
        <f aca="false">IFERROR(Q36/N36,0)</f>
        <v>194.150688456057</v>
      </c>
      <c r="T36" s="48" t="n">
        <f aca="false">SUMIFS('Activation Detail'!$H$4:$H$4003,'Activation Detail'!$A$4:$A$4003,$A36,'Activation Detail'!$N$4:$N$4003,T$2)</f>
        <v>182.608393735972</v>
      </c>
      <c r="U36" s="50" t="n">
        <f aca="false">T36*'Model Inputs &amp; Assumptions'!$D$41*'Model Inputs &amp; Assumptions'!$H$41</f>
        <v>1314780.434899</v>
      </c>
      <c r="V36" s="50" t="n">
        <f aca="false">T36*'Model Inputs &amp; Assumptions'!$G$41*'Model Inputs &amp; Assumptions'!$H$41</f>
        <v>28990.908589523</v>
      </c>
      <c r="W36" s="50" t="n">
        <f aca="false">SUMIFS('Activation Detail'!$I$4:$I$4003,'Activation Detail'!$A$4:$A$4003,$A36,'Activation Detail'!$N$4:$N$4003,T$2)</f>
        <v>19512.748958</v>
      </c>
      <c r="X36" s="51" t="n">
        <f aca="false">IFERROR(V36/W36,0)</f>
        <v>1.48574189377028</v>
      </c>
      <c r="Y36" s="49" t="n">
        <f aca="false">IFERROR(W36/T36,0)</f>
        <v>106.855706678045</v>
      </c>
      <c r="Z36" s="48" t="n">
        <f aca="false">SUMIFS('Activation Detail'!$H$4:$H$4003,'Activation Detail'!$A$4:$A$4003,$A36,'Activation Detail'!$N$4:$N$4003,Z$2)</f>
        <v>258.31931733604</v>
      </c>
      <c r="AA36" s="50" t="n">
        <f aca="false">Z36*'Model Inputs &amp; Assumptions'!$D$42*'Model Inputs &amp; Assumptions'!$H$42</f>
        <v>1394924.31361462</v>
      </c>
      <c r="AB36" s="50" t="n">
        <f aca="false">Z36*'Model Inputs &amp; Assumptions'!$G$42*'Model Inputs &amp; Assumptions'!$H$42</f>
        <v>29293.4105859069</v>
      </c>
      <c r="AC36" s="50" t="n">
        <f aca="false">SUMIFS('Activation Detail'!$I$4:$I$4003,'Activation Detail'!$A$4:$A$4003,$A36,'Activation Detail'!$N$4:$N$4003,Z$2)</f>
        <v>34792.372</v>
      </c>
      <c r="AD36" s="51" t="n">
        <f aca="false">IFERROR(AB36/AC36,0)</f>
        <v>0.84194922340756</v>
      </c>
      <c r="AE36" s="49" t="n">
        <f aca="false">IFERROR(AC36/Z36,0)</f>
        <v>134.68745720917</v>
      </c>
    </row>
    <row r="37" customFormat="false" ht="15" hidden="false" customHeight="false" outlineLevel="0" collapsed="false">
      <c r="A37" s="43" t="n">
        <v>34</v>
      </c>
      <c r="B37" s="45" t="n">
        <f aca="false">SUM('Activation Detail'!C37,'Activation Detail'!C537,'Activation Detail'!C1037,'Activation Detail'!C1537,'Activation Detail'!C2037,'Activation Detail'!C2537,'Activation Detail'!C3037,'Activation Detail'!C3537)</f>
        <v>3800102</v>
      </c>
      <c r="C37" s="45" t="n">
        <f aca="false">SUM('Activation Detail'!E37,'Activation Detail'!E537,'Activation Detail'!E1037,'Activation Detail'!E1537,'Activation Detail'!E2037,'Activation Detail'!E2537,'Activation Detail'!E3037,'Activation Detail'!E3537)</f>
        <v>415259</v>
      </c>
      <c r="D37" s="45" t="n">
        <f aca="false">SUM('Activation Detail'!G37,'Activation Detail'!G537,'Activation Detail'!G1037,'Activation Detail'!G1537,'Activation Detail'!G2037,'Activation Detail'!G2537,'Activation Detail'!G3037,'Activation Detail'!G3537)</f>
        <v>14719</v>
      </c>
      <c r="E37" s="48" t="n">
        <f aca="false">SUM('Activation Detail'!H37,'Activation Detail'!H537,'Activation Detail'!H1037,'Activation Detail'!H1537,'Activation Detail'!H2037,'Activation Detail'!H2537,'Activation Detail'!H3037,'Activation Detail'!H3537)</f>
        <v>674.146517959895</v>
      </c>
      <c r="F37" s="50" t="n">
        <f aca="false">SUM('Activation Detail'!I37,'Activation Detail'!I537,'Activation Detail'!I1037,'Activation Detail'!I1537,'Activation Detail'!I2037,'Activation Detail'!I2537,'Activation Detail'!I3037,'Activation Detail'!I3537)</f>
        <v>72548.956596</v>
      </c>
      <c r="G37" s="50" t="n">
        <f aca="false">SUM('Activation Detail'!J37,'Activation Detail'!J537,'Activation Detail'!J1037,'Activation Detail'!J1537,'Activation Detail'!J2037,'Activation Detail'!J2537,'Activation Detail'!J3037,'Activation Detail'!J3537)</f>
        <v>4364908.70629365</v>
      </c>
      <c r="H37" s="50" t="n">
        <f aca="false">SUM('Activation Detail'!K37,'Activation Detail'!K537,'Activation Detail'!K1037,'Activation Detail'!K1537,'Activation Detail'!K2037,'Activation Detail'!K2537,'Activation Detail'!K3037,'Activation Detail'!K3537)</f>
        <v>94667.0512271056</v>
      </c>
      <c r="I37" s="51" t="n">
        <f aca="false">IFERROR(H37/F37,0)</f>
        <v>1.30487129889784</v>
      </c>
      <c r="J37" s="49" t="n">
        <f aca="false">IFERROR(F37/E37,0)</f>
        <v>107.616007296972</v>
      </c>
      <c r="K37" s="46" t="n">
        <f aca="false">IFERROR(C37/B37,0)</f>
        <v>0.109275751019315</v>
      </c>
      <c r="L37" s="47" t="n">
        <f aca="false">IFERROR(D37/B37,0)</f>
        <v>0.00387331708464668</v>
      </c>
      <c r="N37" s="48" t="n">
        <f aca="false">SUMIFS('Activation Detail'!$H$4:$H$4003,'Activation Detail'!$A$4:$A$4003,$A37,'Activation Detail'!$N$4:$N$4003,N$2)</f>
        <v>144.463496903965</v>
      </c>
      <c r="O37" s="50" t="n">
        <f aca="false">N37*'Model Inputs &amp; Assumptions'!$D$40*'Model Inputs &amp; Assumptions'!$H$40</f>
        <v>1227939.7236837</v>
      </c>
      <c r="P37" s="50" t="n">
        <f aca="false">N37*'Model Inputs &amp; Assumptions'!$G$40*'Model Inputs &amp; Assumptions'!$H$40</f>
        <v>27628.6437828833</v>
      </c>
      <c r="Q37" s="50" t="n">
        <f aca="false">SUMIFS('Activation Detail'!$I$4:$I$4003,'Activation Detail'!$A$4:$A$4003,$A37,'Activation Detail'!$N$4:$N$4003,N$2)</f>
        <v>17998.506</v>
      </c>
      <c r="R37" s="51" t="n">
        <f aca="false">IFERROR(P37/Q37,0)</f>
        <v>1.53505206392593</v>
      </c>
      <c r="S37" s="49" t="n">
        <f aca="false">IFERROR(Q37/N37,0)</f>
        <v>124.588608096375</v>
      </c>
      <c r="T37" s="48" t="n">
        <f aca="false">SUMIFS('Activation Detail'!$H$4:$H$4003,'Activation Detail'!$A$4:$A$4003,$A37,'Activation Detail'!$N$4:$N$4003,T$2)</f>
        <v>153.711482726627</v>
      </c>
      <c r="U37" s="50" t="n">
        <f aca="false">T37*'Model Inputs &amp; Assumptions'!$D$41*'Model Inputs &amp; Assumptions'!$H$41</f>
        <v>1106722.67563171</v>
      </c>
      <c r="V37" s="50" t="n">
        <f aca="false">T37*'Model Inputs &amp; Assumptions'!$G$41*'Model Inputs &amp; Assumptions'!$H$41</f>
        <v>24403.2349976792</v>
      </c>
      <c r="W37" s="50" t="n">
        <f aca="false">SUMIFS('Activation Detail'!$I$4:$I$4003,'Activation Detail'!$A$4:$A$4003,$A37,'Activation Detail'!$N$4:$N$4003,T$2)</f>
        <v>17874.054596</v>
      </c>
      <c r="X37" s="51" t="n">
        <f aca="false">IFERROR(V37/W37,0)</f>
        <v>1.36528815365375</v>
      </c>
      <c r="Y37" s="49" t="n">
        <f aca="false">IFERROR(W37/T37,0)</f>
        <v>116.283144752359</v>
      </c>
      <c r="Z37" s="48" t="n">
        <f aca="false">SUMIFS('Activation Detail'!$H$4:$H$4003,'Activation Detail'!$A$4:$A$4003,$A37,'Activation Detail'!$N$4:$N$4003,Z$2)</f>
        <v>375.971538329304</v>
      </c>
      <c r="AA37" s="50" t="n">
        <f aca="false">Z37*'Model Inputs &amp; Assumptions'!$D$42*'Model Inputs &amp; Assumptions'!$H$42</f>
        <v>2030246.30697824</v>
      </c>
      <c r="AB37" s="50" t="n">
        <f aca="false">Z37*'Model Inputs &amp; Assumptions'!$G$42*'Model Inputs &amp; Assumptions'!$H$42</f>
        <v>42635.172446543</v>
      </c>
      <c r="AC37" s="50" t="n">
        <f aca="false">SUMIFS('Activation Detail'!$I$4:$I$4003,'Activation Detail'!$A$4:$A$4003,$A37,'Activation Detail'!$N$4:$N$4003,Z$2)</f>
        <v>36676.396</v>
      </c>
      <c r="AD37" s="51" t="n">
        <f aca="false">IFERROR(AB37/AC37,0)</f>
        <v>1.16246897450183</v>
      </c>
      <c r="AE37" s="49" t="n">
        <f aca="false">IFERROR(AC37/Z37,0)</f>
        <v>97.550990596198</v>
      </c>
    </row>
    <row r="38" customFormat="false" ht="15" hidden="false" customHeight="false" outlineLevel="0" collapsed="false">
      <c r="A38" s="43" t="n">
        <v>35</v>
      </c>
      <c r="B38" s="45" t="n">
        <f aca="false">SUM('Activation Detail'!C38,'Activation Detail'!C538,'Activation Detail'!C1038,'Activation Detail'!C1538,'Activation Detail'!C2038,'Activation Detail'!C2538,'Activation Detail'!C3038,'Activation Detail'!C3538)</f>
        <v>4613088</v>
      </c>
      <c r="C38" s="45" t="n">
        <f aca="false">SUM('Activation Detail'!E38,'Activation Detail'!E538,'Activation Detail'!E1038,'Activation Detail'!E1538,'Activation Detail'!E2038,'Activation Detail'!E2538,'Activation Detail'!E3038,'Activation Detail'!E3538)</f>
        <v>577297</v>
      </c>
      <c r="D38" s="45" t="n">
        <f aca="false">SUM('Activation Detail'!G38,'Activation Detail'!G538,'Activation Detail'!G1038,'Activation Detail'!G1538,'Activation Detail'!G2038,'Activation Detail'!G2538,'Activation Detail'!G3038,'Activation Detail'!G3538)</f>
        <v>14328</v>
      </c>
      <c r="E38" s="48" t="n">
        <f aca="false">SUM('Activation Detail'!H38,'Activation Detail'!H538,'Activation Detail'!H1038,'Activation Detail'!H1538,'Activation Detail'!H2038,'Activation Detail'!H2538,'Activation Detail'!H3038,'Activation Detail'!H3538)</f>
        <v>764.209609697276</v>
      </c>
      <c r="F38" s="50" t="n">
        <f aca="false">SUM('Activation Detail'!I38,'Activation Detail'!I538,'Activation Detail'!I1038,'Activation Detail'!I1538,'Activation Detail'!I2038,'Activation Detail'!I2538,'Activation Detail'!I3038,'Activation Detail'!I3538)</f>
        <v>75115.911768</v>
      </c>
      <c r="G38" s="50" t="n">
        <f aca="false">SUM('Activation Detail'!J38,'Activation Detail'!J538,'Activation Detail'!J1038,'Activation Detail'!J1538,'Activation Detail'!J2038,'Activation Detail'!J2538,'Activation Detail'!J3038,'Activation Detail'!J3538)</f>
        <v>4774970.89899054</v>
      </c>
      <c r="H38" s="50" t="n">
        <f aca="false">SUM('Activation Detail'!K38,'Activation Detail'!K538,'Activation Detail'!K1038,'Activation Detail'!K1538,'Activation Detail'!K2038,'Activation Detail'!K2538,'Activation Detail'!K3038,'Activation Detail'!K3538)</f>
        <v>102968.403341534</v>
      </c>
      <c r="I38" s="51" t="n">
        <f aca="false">IFERROR(H38/F38,0)</f>
        <v>1.37079349658377</v>
      </c>
      <c r="J38" s="49" t="n">
        <f aca="false">IFERROR(F38/E38,0)</f>
        <v>98.2922889411917</v>
      </c>
      <c r="K38" s="46" t="n">
        <f aca="false">IFERROR(C38/B38,0)</f>
        <v>0.125143287966759</v>
      </c>
      <c r="L38" s="47" t="n">
        <f aca="false">IFERROR(D38/B38,0)</f>
        <v>0.00310594551849</v>
      </c>
      <c r="N38" s="48" t="n">
        <f aca="false">SUMIFS('Activation Detail'!$H$4:$H$4003,'Activation Detail'!$A$4:$A$4003,$A38,'Activation Detail'!$N$4:$N$4003,N$2)</f>
        <v>105.886537381724</v>
      </c>
      <c r="O38" s="50" t="n">
        <f aca="false">N38*'Model Inputs &amp; Assumptions'!$D$40*'Model Inputs &amp; Assumptions'!$H$40</f>
        <v>900035.567744654</v>
      </c>
      <c r="P38" s="50" t="n">
        <f aca="false">N38*'Model Inputs &amp; Assumptions'!$G$40*'Model Inputs &amp; Assumptions'!$H$40</f>
        <v>20250.8002742547</v>
      </c>
      <c r="Q38" s="50" t="n">
        <f aca="false">SUMIFS('Activation Detail'!$I$4:$I$4003,'Activation Detail'!$A$4:$A$4003,$A38,'Activation Detail'!$N$4:$N$4003,N$2)</f>
        <v>18303.031</v>
      </c>
      <c r="R38" s="51" t="n">
        <f aca="false">IFERROR(P38/Q38,0)</f>
        <v>1.10641785364701</v>
      </c>
      <c r="S38" s="49" t="n">
        <f aca="false">IFERROR(Q38/N38,0)</f>
        <v>172.855128258818</v>
      </c>
      <c r="T38" s="48" t="n">
        <f aca="false">SUMIFS('Activation Detail'!$H$4:$H$4003,'Activation Detail'!$A$4:$A$4003,$A38,'Activation Detail'!$N$4:$N$4003,T$2)</f>
        <v>177.772633745504</v>
      </c>
      <c r="U38" s="50" t="n">
        <f aca="false">T38*'Model Inputs &amp; Assumptions'!$D$41*'Model Inputs &amp; Assumptions'!$H$41</f>
        <v>1279962.96296763</v>
      </c>
      <c r="V38" s="50" t="n">
        <f aca="false">T38*'Model Inputs &amp; Assumptions'!$G$41*'Model Inputs &amp; Assumptions'!$H$41</f>
        <v>28223.1833334362</v>
      </c>
      <c r="W38" s="50" t="n">
        <f aca="false">SUMIFS('Activation Detail'!$I$4:$I$4003,'Activation Detail'!$A$4:$A$4003,$A38,'Activation Detail'!$N$4:$N$4003,T$2)</f>
        <v>20284.420768</v>
      </c>
      <c r="X38" s="51" t="n">
        <f aca="false">IFERROR(V38/W38,0)</f>
        <v>1.39137240625378</v>
      </c>
      <c r="Y38" s="49" t="n">
        <f aca="false">IFERROR(W38/T38,0)</f>
        <v>114.103168415892</v>
      </c>
      <c r="Z38" s="48" t="n">
        <f aca="false">SUMIFS('Activation Detail'!$H$4:$H$4003,'Activation Detail'!$A$4:$A$4003,$A38,'Activation Detail'!$N$4:$N$4003,Z$2)</f>
        <v>480.550438570048</v>
      </c>
      <c r="AA38" s="50" t="n">
        <f aca="false">Z38*'Model Inputs &amp; Assumptions'!$D$42*'Model Inputs &amp; Assumptions'!$H$42</f>
        <v>2594972.36827826</v>
      </c>
      <c r="AB38" s="50" t="n">
        <f aca="false">Z38*'Model Inputs &amp; Assumptions'!$G$42*'Model Inputs &amp; Assumptions'!$H$42</f>
        <v>54494.4197338435</v>
      </c>
      <c r="AC38" s="50" t="n">
        <f aca="false">SUMIFS('Activation Detail'!$I$4:$I$4003,'Activation Detail'!$A$4:$A$4003,$A38,'Activation Detail'!$N$4:$N$4003,Z$2)</f>
        <v>36528.46</v>
      </c>
      <c r="AD38" s="51" t="n">
        <f aca="false">IFERROR(AB38/AC38,0)</f>
        <v>1.49183457867765</v>
      </c>
      <c r="AE38" s="49" t="n">
        <f aca="false">IFERROR(AC38/Z38,0)</f>
        <v>76.0137897463917</v>
      </c>
    </row>
    <row r="39" customFormat="false" ht="15" hidden="false" customHeight="false" outlineLevel="0" collapsed="false">
      <c r="A39" s="43" t="n">
        <v>36</v>
      </c>
      <c r="B39" s="45" t="n">
        <f aca="false">SUM('Activation Detail'!C39,'Activation Detail'!C539,'Activation Detail'!C1039,'Activation Detail'!C1539,'Activation Detail'!C2039,'Activation Detail'!C2539,'Activation Detail'!C3039,'Activation Detail'!C3539)</f>
        <v>4045295</v>
      </c>
      <c r="C39" s="45" t="n">
        <f aca="false">SUM('Activation Detail'!E39,'Activation Detail'!E539,'Activation Detail'!E1039,'Activation Detail'!E1539,'Activation Detail'!E2039,'Activation Detail'!E2539,'Activation Detail'!E3039,'Activation Detail'!E3539)</f>
        <v>290234</v>
      </c>
      <c r="D39" s="45" t="n">
        <f aca="false">SUM('Activation Detail'!G39,'Activation Detail'!G539,'Activation Detail'!G1039,'Activation Detail'!G1539,'Activation Detail'!G2039,'Activation Detail'!G2539,'Activation Detail'!G3039,'Activation Detail'!G3539)</f>
        <v>13111</v>
      </c>
      <c r="E39" s="48" t="n">
        <f aca="false">SUM('Activation Detail'!H39,'Activation Detail'!H539,'Activation Detail'!H1039,'Activation Detail'!H1539,'Activation Detail'!H2039,'Activation Detail'!H2539,'Activation Detail'!H3039,'Activation Detail'!H3539)</f>
        <v>520.250226835251</v>
      </c>
      <c r="F39" s="50" t="n">
        <f aca="false">SUM('Activation Detail'!I39,'Activation Detail'!I539,'Activation Detail'!I1039,'Activation Detail'!I1539,'Activation Detail'!I2039,'Activation Detail'!I2539,'Activation Detail'!I3039,'Activation Detail'!I3539)</f>
        <v>74038.566372</v>
      </c>
      <c r="G39" s="50" t="n">
        <f aca="false">SUM('Activation Detail'!J39,'Activation Detail'!J539,'Activation Detail'!J1039,'Activation Detail'!J1539,'Activation Detail'!J2039,'Activation Detail'!J2539,'Activation Detail'!J3039,'Activation Detail'!J3539)</f>
        <v>3411664.47158905</v>
      </c>
      <c r="H39" s="50" t="n">
        <f aca="false">SUM('Activation Detail'!K39,'Activation Detail'!K539,'Activation Detail'!K1039,'Activation Detail'!K1539,'Activation Detail'!K2039,'Activation Detail'!K2539,'Activation Detail'!K3039,'Activation Detail'!K3539)</f>
        <v>74150.554518182</v>
      </c>
      <c r="I39" s="51" t="n">
        <f aca="false">IFERROR(H39/F39,0)</f>
        <v>1.00151256502752</v>
      </c>
      <c r="J39" s="49" t="n">
        <f aca="false">IFERROR(F39/E39,0)</f>
        <v>142.313376435002</v>
      </c>
      <c r="K39" s="46" t="n">
        <f aca="false">IFERROR(C39/B39,0)</f>
        <v>0.0717460654908975</v>
      </c>
      <c r="L39" s="47" t="n">
        <f aca="false">IFERROR(D39/B39,0)</f>
        <v>0.00324104916946725</v>
      </c>
      <c r="N39" s="48" t="n">
        <f aca="false">SUMIFS('Activation Detail'!$H$4:$H$4003,'Activation Detail'!$A$4:$A$4003,$A39,'Activation Detail'!$N$4:$N$4003,N$2)</f>
        <v>89.3148934761384</v>
      </c>
      <c r="O39" s="50" t="n">
        <f aca="false">N39*'Model Inputs &amp; Assumptions'!$D$40*'Model Inputs &amp; Assumptions'!$H$40</f>
        <v>759176.594547176</v>
      </c>
      <c r="P39" s="50" t="n">
        <f aca="false">N39*'Model Inputs &amp; Assumptions'!$G$40*'Model Inputs &amp; Assumptions'!$H$40</f>
        <v>17081.4733773115</v>
      </c>
      <c r="Q39" s="50" t="n">
        <f aca="false">SUMIFS('Activation Detail'!$I$4:$I$4003,'Activation Detail'!$A$4:$A$4003,$A39,'Activation Detail'!$N$4:$N$4003,N$2)</f>
        <v>16946.9035</v>
      </c>
      <c r="R39" s="51" t="n">
        <f aca="false">IFERROR(P39/Q39,0)</f>
        <v>1.00794067643753</v>
      </c>
      <c r="S39" s="49" t="n">
        <f aca="false">IFERROR(Q39/N39,0)</f>
        <v>189.743309770924</v>
      </c>
      <c r="T39" s="48" t="n">
        <f aca="false">SUMIFS('Activation Detail'!$H$4:$H$4003,'Activation Detail'!$A$4:$A$4003,$A39,'Activation Detail'!$N$4:$N$4003,T$2)</f>
        <v>180.798376057037</v>
      </c>
      <c r="U39" s="50" t="n">
        <f aca="false">T39*'Model Inputs &amp; Assumptions'!$D$41*'Model Inputs &amp; Assumptions'!$H$41</f>
        <v>1301748.30761066</v>
      </c>
      <c r="V39" s="50" t="n">
        <f aca="false">T39*'Model Inputs &amp; Assumptions'!$G$41*'Model Inputs &amp; Assumptions'!$H$41</f>
        <v>28703.5501828151</v>
      </c>
      <c r="W39" s="50" t="n">
        <f aca="false">SUMIFS('Activation Detail'!$I$4:$I$4003,'Activation Detail'!$A$4:$A$4003,$A39,'Activation Detail'!$N$4:$N$4003,T$2)</f>
        <v>15888.002872</v>
      </c>
      <c r="X39" s="51" t="n">
        <f aca="false">IFERROR(V39/W39,0)</f>
        <v>1.80661788734948</v>
      </c>
      <c r="Y39" s="49" t="n">
        <f aca="false">IFERROR(W39/T39,0)</f>
        <v>87.8769113887826</v>
      </c>
      <c r="Z39" s="48" t="n">
        <f aca="false">SUMIFS('Activation Detail'!$H$4:$H$4003,'Activation Detail'!$A$4:$A$4003,$A39,'Activation Detail'!$N$4:$N$4003,Z$2)</f>
        <v>250.136957302076</v>
      </c>
      <c r="AA39" s="50" t="n">
        <f aca="false">Z39*'Model Inputs &amp; Assumptions'!$D$42*'Model Inputs &amp; Assumptions'!$H$42</f>
        <v>1350739.56943121</v>
      </c>
      <c r="AB39" s="50" t="n">
        <f aca="false">Z39*'Model Inputs &amp; Assumptions'!$G$42*'Model Inputs &amp; Assumptions'!$H$42</f>
        <v>28365.5309580554</v>
      </c>
      <c r="AC39" s="50" t="n">
        <f aca="false">SUMIFS('Activation Detail'!$I$4:$I$4003,'Activation Detail'!$A$4:$A$4003,$A39,'Activation Detail'!$N$4:$N$4003,Z$2)</f>
        <v>41203.66</v>
      </c>
      <c r="AD39" s="51" t="n">
        <f aca="false">IFERROR(AB39/AC39,0)</f>
        <v>0.68842260512914</v>
      </c>
      <c r="AE39" s="49" t="n">
        <f aca="false">IFERROR(AC39/Z39,0)</f>
        <v>164.724399162819</v>
      </c>
    </row>
    <row r="40" customFormat="false" ht="15" hidden="false" customHeight="false" outlineLevel="0" collapsed="false">
      <c r="A40" s="43" t="n">
        <v>37</v>
      </c>
      <c r="B40" s="45" t="n">
        <f aca="false">SUM('Activation Detail'!C40,'Activation Detail'!C540,'Activation Detail'!C1040,'Activation Detail'!C1540,'Activation Detail'!C2040,'Activation Detail'!C2540,'Activation Detail'!C3040,'Activation Detail'!C3540)</f>
        <v>4386670</v>
      </c>
      <c r="C40" s="45" t="n">
        <f aca="false">SUM('Activation Detail'!E40,'Activation Detail'!E540,'Activation Detail'!E1040,'Activation Detail'!E1540,'Activation Detail'!E2040,'Activation Detail'!E2540,'Activation Detail'!E3040,'Activation Detail'!E3540)</f>
        <v>435990</v>
      </c>
      <c r="D40" s="45" t="n">
        <f aca="false">SUM('Activation Detail'!G40,'Activation Detail'!G540,'Activation Detail'!G1040,'Activation Detail'!G1540,'Activation Detail'!G2040,'Activation Detail'!G2540,'Activation Detail'!G3040,'Activation Detail'!G3540)</f>
        <v>15233</v>
      </c>
      <c r="E40" s="48" t="n">
        <f aca="false">SUM('Activation Detail'!H40,'Activation Detail'!H540,'Activation Detail'!H1040,'Activation Detail'!H1540,'Activation Detail'!H2040,'Activation Detail'!H2540,'Activation Detail'!H3040,'Activation Detail'!H3540)</f>
        <v>594.284655644494</v>
      </c>
      <c r="F40" s="50" t="n">
        <f aca="false">SUM('Activation Detail'!I40,'Activation Detail'!I540,'Activation Detail'!I1040,'Activation Detail'!I1540,'Activation Detail'!I2040,'Activation Detail'!I2540,'Activation Detail'!I3040,'Activation Detail'!I3540)</f>
        <v>76885.636204</v>
      </c>
      <c r="G40" s="50" t="n">
        <f aca="false">SUM('Activation Detail'!J40,'Activation Detail'!J540,'Activation Detail'!J1040,'Activation Detail'!J1540,'Activation Detail'!J2040,'Activation Detail'!J2540,'Activation Detail'!J3040,'Activation Detail'!J3540)</f>
        <v>3701071.19291588</v>
      </c>
      <c r="H40" s="50" t="n">
        <f aca="false">SUM('Activation Detail'!K40,'Activation Detail'!K540,'Activation Detail'!K1040,'Activation Detail'!K1540,'Activation Detail'!K2040,'Activation Detail'!K2540,'Activation Detail'!K3040,'Activation Detail'!K3540)</f>
        <v>79770.3951343725</v>
      </c>
      <c r="I40" s="51" t="n">
        <f aca="false">IFERROR(H40/F40,0)</f>
        <v>1.0375201282424</v>
      </c>
      <c r="J40" s="49" t="n">
        <f aca="false">IFERROR(F40/E40,0)</f>
        <v>129.375099077089</v>
      </c>
      <c r="K40" s="46" t="n">
        <f aca="false">IFERROR(C40/B40,0)</f>
        <v>0.0993897421050592</v>
      </c>
      <c r="L40" s="47" t="n">
        <f aca="false">IFERROR(D40/B40,0)</f>
        <v>0.00347256575032998</v>
      </c>
      <c r="N40" s="48" t="n">
        <f aca="false">SUMIFS('Activation Detail'!$H$4:$H$4003,'Activation Detail'!$A$4:$A$4003,$A40,'Activation Detail'!$N$4:$N$4003,N$2)</f>
        <v>67.4923595950949</v>
      </c>
      <c r="O40" s="50" t="n">
        <f aca="false">N40*'Model Inputs &amp; Assumptions'!$D$40*'Model Inputs &amp; Assumptions'!$H$40</f>
        <v>573685.056558307</v>
      </c>
      <c r="P40" s="50" t="n">
        <f aca="false">N40*'Model Inputs &amp; Assumptions'!$G$40*'Model Inputs &amp; Assumptions'!$H$40</f>
        <v>12907.9137725619</v>
      </c>
      <c r="Q40" s="50" t="n">
        <f aca="false">SUMIFS('Activation Detail'!$I$4:$I$4003,'Activation Detail'!$A$4:$A$4003,$A40,'Activation Detail'!$N$4:$N$4003,N$2)</f>
        <v>18659.0685</v>
      </c>
      <c r="R40" s="51" t="n">
        <f aca="false">IFERROR(P40/Q40,0)</f>
        <v>0.691776964780525</v>
      </c>
      <c r="S40" s="49" t="n">
        <f aca="false">IFERROR(Q40/N40,0)</f>
        <v>276.46193749842</v>
      </c>
      <c r="T40" s="48" t="n">
        <f aca="false">SUMIFS('Activation Detail'!$H$4:$H$4003,'Activation Detail'!$A$4:$A$4003,$A40,'Activation Detail'!$N$4:$N$4003,T$2)</f>
        <v>157.05985427268</v>
      </c>
      <c r="U40" s="50" t="n">
        <f aca="false">T40*'Model Inputs &amp; Assumptions'!$D$41*'Model Inputs &amp; Assumptions'!$H$41</f>
        <v>1130830.9507633</v>
      </c>
      <c r="V40" s="50" t="n">
        <f aca="false">T40*'Model Inputs &amp; Assumptions'!$G$41*'Model Inputs &amp; Assumptions'!$H$41</f>
        <v>24934.8224643307</v>
      </c>
      <c r="W40" s="50" t="n">
        <f aca="false">SUMIFS('Activation Detail'!$I$4:$I$4003,'Activation Detail'!$A$4:$A$4003,$A40,'Activation Detail'!$N$4:$N$4003,T$2)</f>
        <v>19713.835704</v>
      </c>
      <c r="X40" s="51" t="n">
        <f aca="false">IFERROR(V40/W40,0)</f>
        <v>1.26483870712544</v>
      </c>
      <c r="Y40" s="49" t="n">
        <f aca="false">IFERROR(W40/T40,0)</f>
        <v>125.517980360365</v>
      </c>
      <c r="Z40" s="48" t="n">
        <f aca="false">SUMIFS('Activation Detail'!$H$4:$H$4003,'Activation Detail'!$A$4:$A$4003,$A40,'Activation Detail'!$N$4:$N$4003,Z$2)</f>
        <v>369.732441776719</v>
      </c>
      <c r="AA40" s="50" t="n">
        <f aca="false">Z40*'Model Inputs &amp; Assumptions'!$D$42*'Model Inputs &amp; Assumptions'!$H$42</f>
        <v>1996555.18559428</v>
      </c>
      <c r="AB40" s="50" t="n">
        <f aca="false">Z40*'Model Inputs &amp; Assumptions'!$G$42*'Model Inputs &amp; Assumptions'!$H$42</f>
        <v>41927.6588974799</v>
      </c>
      <c r="AC40" s="50" t="n">
        <f aca="false">SUMIFS('Activation Detail'!$I$4:$I$4003,'Activation Detail'!$A$4:$A$4003,$A40,'Activation Detail'!$N$4:$N$4003,Z$2)</f>
        <v>38512.732</v>
      </c>
      <c r="AD40" s="51" t="n">
        <f aca="false">IFERROR(AB40/AC40,0)</f>
        <v>1.08867007662505</v>
      </c>
      <c r="AE40" s="49" t="n">
        <f aca="false">IFERROR(AC40/Z40,0)</f>
        <v>104.16378886021</v>
      </c>
    </row>
    <row r="41" customFormat="false" ht="15" hidden="false" customHeight="false" outlineLevel="0" collapsed="false">
      <c r="A41" s="43" t="n">
        <v>38</v>
      </c>
      <c r="B41" s="45" t="n">
        <f aca="false">SUM('Activation Detail'!C41,'Activation Detail'!C541,'Activation Detail'!C1041,'Activation Detail'!C1541,'Activation Detail'!C2041,'Activation Detail'!C2541,'Activation Detail'!C3041,'Activation Detail'!C3541)</f>
        <v>5114779</v>
      </c>
      <c r="C41" s="45" t="n">
        <f aca="false">SUM('Activation Detail'!E41,'Activation Detail'!E541,'Activation Detail'!E1041,'Activation Detail'!E1541,'Activation Detail'!E2041,'Activation Detail'!E2541,'Activation Detail'!E3041,'Activation Detail'!E3541)</f>
        <v>328091</v>
      </c>
      <c r="D41" s="45" t="n">
        <f aca="false">SUM('Activation Detail'!G41,'Activation Detail'!G541,'Activation Detail'!G1041,'Activation Detail'!G1541,'Activation Detail'!G2041,'Activation Detail'!G2541,'Activation Detail'!G3041,'Activation Detail'!G3541)</f>
        <v>16472</v>
      </c>
      <c r="E41" s="48" t="n">
        <f aca="false">SUM('Activation Detail'!H41,'Activation Detail'!H541,'Activation Detail'!H1041,'Activation Detail'!H1541,'Activation Detail'!H2041,'Activation Detail'!H2541,'Activation Detail'!H3041,'Activation Detail'!H3541)</f>
        <v>747.117159669721</v>
      </c>
      <c r="F41" s="50" t="n">
        <f aca="false">SUM('Activation Detail'!I41,'Activation Detail'!I541,'Activation Detail'!I1041,'Activation Detail'!I1541,'Activation Detail'!I2041,'Activation Detail'!I2541,'Activation Detail'!I3041,'Activation Detail'!I3541)</f>
        <v>82161.541196</v>
      </c>
      <c r="G41" s="50" t="n">
        <f aca="false">SUM('Activation Detail'!J41,'Activation Detail'!J541,'Activation Detail'!J1041,'Activation Detail'!J1541,'Activation Detail'!J2041,'Activation Detail'!J2541,'Activation Detail'!J3041,'Activation Detail'!J3541)</f>
        <v>4548215.03218481</v>
      </c>
      <c r="H41" s="50" t="n">
        <f aca="false">SUM('Activation Detail'!K41,'Activation Detail'!K541,'Activation Detail'!K1041,'Activation Detail'!K1541,'Activation Detail'!K2041,'Activation Detail'!K2541,'Activation Detail'!K3041,'Activation Detail'!K3541)</f>
        <v>97650.631347437</v>
      </c>
      <c r="I41" s="51" t="n">
        <f aca="false">IFERROR(H41/F41,0)</f>
        <v>1.18851995624677</v>
      </c>
      <c r="J41" s="49" t="n">
        <f aca="false">IFERROR(F41/E41,0)</f>
        <v>109.971428353113</v>
      </c>
      <c r="K41" s="46" t="n">
        <f aca="false">IFERROR(C41/B41,0)</f>
        <v>0.0641456844958502</v>
      </c>
      <c r="L41" s="47" t="n">
        <f aca="false">IFERROR(D41/B41,0)</f>
        <v>0.00322047150033266</v>
      </c>
      <c r="N41" s="48" t="n">
        <f aca="false">SUMIFS('Activation Detail'!$H$4:$H$4003,'Activation Detail'!$A$4:$A$4003,$A41,'Activation Detail'!$N$4:$N$4003,N$2)</f>
        <v>73.2232678181735</v>
      </c>
      <c r="O41" s="50" t="n">
        <f aca="false">N41*'Model Inputs &amp; Assumptions'!$D$40*'Model Inputs &amp; Assumptions'!$H$40</f>
        <v>622397.776454475</v>
      </c>
      <c r="P41" s="50" t="n">
        <f aca="false">N41*'Model Inputs &amp; Assumptions'!$G$40*'Model Inputs &amp; Assumptions'!$H$40</f>
        <v>14003.9499702257</v>
      </c>
      <c r="Q41" s="50" t="n">
        <f aca="false">SUMIFS('Activation Detail'!$I$4:$I$4003,'Activation Detail'!$A$4:$A$4003,$A41,'Activation Detail'!$N$4:$N$4003,N$2)</f>
        <v>17580.6145</v>
      </c>
      <c r="R41" s="51" t="n">
        <f aca="false">IFERROR(P41/Q41,0)</f>
        <v>0.796556341658347</v>
      </c>
      <c r="S41" s="49" t="n">
        <f aca="false">IFERROR(Q41/N41,0)</f>
        <v>240.096010787934</v>
      </c>
      <c r="T41" s="48" t="n">
        <f aca="false">SUMIFS('Activation Detail'!$H$4:$H$4003,'Activation Detail'!$A$4:$A$4003,$A41,'Activation Detail'!$N$4:$N$4003,T$2)</f>
        <v>159.327910962211</v>
      </c>
      <c r="U41" s="50" t="n">
        <f aca="false">T41*'Model Inputs &amp; Assumptions'!$D$41*'Model Inputs &amp; Assumptions'!$H$41</f>
        <v>1147160.95892792</v>
      </c>
      <c r="V41" s="50" t="n">
        <f aca="false">T41*'Model Inputs &amp; Assumptions'!$G$41*'Model Inputs &amp; Assumptions'!$H$41</f>
        <v>25294.8991443606</v>
      </c>
      <c r="W41" s="50" t="n">
        <f aca="false">SUMIFS('Activation Detail'!$I$4:$I$4003,'Activation Detail'!$A$4:$A$4003,$A41,'Activation Detail'!$N$4:$N$4003,T$2)</f>
        <v>15031.206696</v>
      </c>
      <c r="X41" s="51" t="n">
        <f aca="false">IFERROR(V41/W41,0)</f>
        <v>1.6828255812018</v>
      </c>
      <c r="Y41" s="49" t="n">
        <f aca="false">IFERROR(W41/T41,0)</f>
        <v>94.3413279269385</v>
      </c>
      <c r="Z41" s="48" t="n">
        <f aca="false">SUMIFS('Activation Detail'!$H$4:$H$4003,'Activation Detail'!$A$4:$A$4003,$A41,'Activation Detail'!$N$4:$N$4003,Z$2)</f>
        <v>514.565980889336</v>
      </c>
      <c r="AA41" s="50" t="n">
        <f aca="false">Z41*'Model Inputs &amp; Assumptions'!$D$42*'Model Inputs &amp; Assumptions'!$H$42</f>
        <v>2778656.29680242</v>
      </c>
      <c r="AB41" s="50" t="n">
        <f aca="false">Z41*'Model Inputs &amp; Assumptions'!$G$42*'Model Inputs &amp; Assumptions'!$H$42</f>
        <v>58351.7822328507</v>
      </c>
      <c r="AC41" s="50" t="n">
        <f aca="false">SUMIFS('Activation Detail'!$I$4:$I$4003,'Activation Detail'!$A$4:$A$4003,$A41,'Activation Detail'!$N$4:$N$4003,Z$2)</f>
        <v>49549.72</v>
      </c>
      <c r="AD41" s="51" t="n">
        <f aca="false">IFERROR(AB41/AC41,0)</f>
        <v>1.17764100852337</v>
      </c>
      <c r="AE41" s="49" t="n">
        <f aca="false">IFERROR(AC41/Z41,0)</f>
        <v>96.2942010164801</v>
      </c>
    </row>
    <row r="42" customFormat="false" ht="15" hidden="false" customHeight="false" outlineLevel="0" collapsed="false">
      <c r="A42" s="43" t="n">
        <v>39</v>
      </c>
      <c r="B42" s="45" t="n">
        <f aca="false">SUM('Activation Detail'!C42,'Activation Detail'!C542,'Activation Detail'!C1042,'Activation Detail'!C1542,'Activation Detail'!C2042,'Activation Detail'!C2542,'Activation Detail'!C3042,'Activation Detail'!C3542)</f>
        <v>3637985</v>
      </c>
      <c r="C42" s="45" t="n">
        <f aca="false">SUM('Activation Detail'!E42,'Activation Detail'!E542,'Activation Detail'!E1042,'Activation Detail'!E1542,'Activation Detail'!E2042,'Activation Detail'!E2542,'Activation Detail'!E3042,'Activation Detail'!E3542)</f>
        <v>367435</v>
      </c>
      <c r="D42" s="45" t="n">
        <f aca="false">SUM('Activation Detail'!G42,'Activation Detail'!G542,'Activation Detail'!G1042,'Activation Detail'!G1542,'Activation Detail'!G2042,'Activation Detail'!G2542,'Activation Detail'!G3042,'Activation Detail'!G3542)</f>
        <v>12162</v>
      </c>
      <c r="E42" s="48" t="n">
        <f aca="false">SUM('Activation Detail'!H42,'Activation Detail'!H542,'Activation Detail'!H1042,'Activation Detail'!H1542,'Activation Detail'!H2042,'Activation Detail'!H2542,'Activation Detail'!H3042,'Activation Detail'!H3542)</f>
        <v>404.435201823429</v>
      </c>
      <c r="F42" s="50" t="n">
        <f aca="false">SUM('Activation Detail'!I42,'Activation Detail'!I542,'Activation Detail'!I1042,'Activation Detail'!I1542,'Activation Detail'!I2042,'Activation Detail'!I2542,'Activation Detail'!I3042,'Activation Detail'!I3542)</f>
        <v>70435.089112</v>
      </c>
      <c r="G42" s="50" t="n">
        <f aca="false">SUM('Activation Detail'!J42,'Activation Detail'!J542,'Activation Detail'!J1042,'Activation Detail'!J1542,'Activation Detail'!J2042,'Activation Detail'!J2542,'Activation Detail'!J3042,'Activation Detail'!J3542)</f>
        <v>2645171.28641291</v>
      </c>
      <c r="H42" s="50" t="n">
        <f aca="false">SUM('Activation Detail'!K42,'Activation Detail'!K542,'Activation Detail'!K1042,'Activation Detail'!K1542,'Activation Detail'!K2042,'Activation Detail'!K2542,'Activation Detail'!K3042,'Activation Detail'!K3542)</f>
        <v>57466.1067401778</v>
      </c>
      <c r="I42" s="51" t="n">
        <f aca="false">IFERROR(H42/F42,0)</f>
        <v>0.815873273742865</v>
      </c>
      <c r="J42" s="49" t="n">
        <f aca="false">IFERROR(F42/E42,0)</f>
        <v>174.156672798109</v>
      </c>
      <c r="K42" s="46" t="n">
        <f aca="false">IFERROR(C42/B42,0)</f>
        <v>0.100999591807003</v>
      </c>
      <c r="L42" s="47" t="n">
        <f aca="false">IFERROR(D42/B42,0)</f>
        <v>0.00334305941338406</v>
      </c>
      <c r="N42" s="48" t="n">
        <f aca="false">SUMIFS('Activation Detail'!$H$4:$H$4003,'Activation Detail'!$A$4:$A$4003,$A42,'Activation Detail'!$N$4:$N$4003,N$2)</f>
        <v>72.6640743413115</v>
      </c>
      <c r="O42" s="50" t="n">
        <f aca="false">N42*'Model Inputs &amp; Assumptions'!$D$40*'Model Inputs &amp; Assumptions'!$H$40</f>
        <v>617644.631901148</v>
      </c>
      <c r="P42" s="50" t="n">
        <f aca="false">N42*'Model Inputs &amp; Assumptions'!$G$40*'Model Inputs &amp; Assumptions'!$H$40</f>
        <v>13897.0042177758</v>
      </c>
      <c r="Q42" s="50" t="n">
        <f aca="false">SUMIFS('Activation Detail'!$I$4:$I$4003,'Activation Detail'!$A$4:$A$4003,$A42,'Activation Detail'!$N$4:$N$4003,N$2)</f>
        <v>18102.7205</v>
      </c>
      <c r="R42" s="51" t="n">
        <f aca="false">IFERROR(P42/Q42,0)</f>
        <v>0.767674903767963</v>
      </c>
      <c r="S42" s="49" t="n">
        <f aca="false">IFERROR(Q42/N42,0)</f>
        <v>249.128894355269</v>
      </c>
      <c r="T42" s="48" t="n">
        <f aca="false">SUMIFS('Activation Detail'!$H$4:$H$4003,'Activation Detail'!$A$4:$A$4003,$A42,'Activation Detail'!$N$4:$N$4003,T$2)</f>
        <v>131.090314504627</v>
      </c>
      <c r="U42" s="50" t="n">
        <f aca="false">T42*'Model Inputs &amp; Assumptions'!$D$41*'Model Inputs &amp; Assumptions'!$H$41</f>
        <v>943850.264433314</v>
      </c>
      <c r="V42" s="50" t="n">
        <f aca="false">T42*'Model Inputs &amp; Assumptions'!$G$41*'Model Inputs &amp; Assumptions'!$H$41</f>
        <v>20811.8983307546</v>
      </c>
      <c r="W42" s="50" t="n">
        <f aca="false">SUMIFS('Activation Detail'!$I$4:$I$4003,'Activation Detail'!$A$4:$A$4003,$A42,'Activation Detail'!$N$4:$N$4003,T$2)</f>
        <v>16775.884612</v>
      </c>
      <c r="X42" s="51" t="n">
        <f aca="false">IFERROR(V42/W42,0)</f>
        <v>1.24058425603783</v>
      </c>
      <c r="Y42" s="49" t="n">
        <f aca="false">IFERROR(W42/T42,0)</f>
        <v>127.971960975102</v>
      </c>
      <c r="Z42" s="48" t="n">
        <f aca="false">SUMIFS('Activation Detail'!$H$4:$H$4003,'Activation Detail'!$A$4:$A$4003,$A42,'Activation Detail'!$N$4:$N$4003,Z$2)</f>
        <v>200.680812977491</v>
      </c>
      <c r="AA42" s="50" t="n">
        <f aca="false">Z42*'Model Inputs &amp; Assumptions'!$D$42*'Model Inputs &amp; Assumptions'!$H$42</f>
        <v>1083676.39007845</v>
      </c>
      <c r="AB42" s="50" t="n">
        <f aca="false">Z42*'Model Inputs &amp; Assumptions'!$G$42*'Model Inputs &amp; Assumptions'!$H$42</f>
        <v>22757.2041916474</v>
      </c>
      <c r="AC42" s="50" t="n">
        <f aca="false">SUMIFS('Activation Detail'!$I$4:$I$4003,'Activation Detail'!$A$4:$A$4003,$A42,'Activation Detail'!$N$4:$N$4003,Z$2)</f>
        <v>35556.484</v>
      </c>
      <c r="AD42" s="51" t="n">
        <f aca="false">IFERROR(AB42/AC42,0)</f>
        <v>0.640029655115715</v>
      </c>
      <c r="AE42" s="49" t="n">
        <f aca="false">IFERROR(AC42/Z42,0)</f>
        <v>177.179290199448</v>
      </c>
    </row>
    <row r="43" customFormat="false" ht="15" hidden="false" customHeight="false" outlineLevel="0" collapsed="false">
      <c r="A43" s="43" t="n">
        <v>40</v>
      </c>
      <c r="B43" s="45" t="n">
        <f aca="false">SUM('Activation Detail'!C43,'Activation Detail'!C543,'Activation Detail'!C1043,'Activation Detail'!C1543,'Activation Detail'!C2043,'Activation Detail'!C2543,'Activation Detail'!C3043,'Activation Detail'!C3543)</f>
        <v>4174524</v>
      </c>
      <c r="C43" s="45" t="n">
        <f aca="false">SUM('Activation Detail'!E43,'Activation Detail'!E543,'Activation Detail'!E1043,'Activation Detail'!E1543,'Activation Detail'!E2043,'Activation Detail'!E2543,'Activation Detail'!E3043,'Activation Detail'!E3543)</f>
        <v>312805</v>
      </c>
      <c r="D43" s="45" t="n">
        <f aca="false">SUM('Activation Detail'!G43,'Activation Detail'!G543,'Activation Detail'!G1043,'Activation Detail'!G1543,'Activation Detail'!G2043,'Activation Detail'!G2543,'Activation Detail'!G3043,'Activation Detail'!G3543)</f>
        <v>19663</v>
      </c>
      <c r="E43" s="48" t="n">
        <f aca="false">SUM('Activation Detail'!H43,'Activation Detail'!H543,'Activation Detail'!H1043,'Activation Detail'!H1543,'Activation Detail'!H2043,'Activation Detail'!H2543,'Activation Detail'!H3043,'Activation Detail'!H3543)</f>
        <v>767.1547567208</v>
      </c>
      <c r="F43" s="50" t="n">
        <f aca="false">SUM('Activation Detail'!I43,'Activation Detail'!I543,'Activation Detail'!I1043,'Activation Detail'!I1543,'Activation Detail'!I2043,'Activation Detail'!I2543,'Activation Detail'!I3043,'Activation Detail'!I3543)</f>
        <v>68726.976608</v>
      </c>
      <c r="G43" s="50" t="n">
        <f aca="false">SUM('Activation Detail'!J43,'Activation Detail'!J543,'Activation Detail'!J1043,'Activation Detail'!J1543,'Activation Detail'!J2043,'Activation Detail'!J2543,'Activation Detail'!J3043,'Activation Detail'!J3543)</f>
        <v>4764156.28805346</v>
      </c>
      <c r="H43" s="50" t="n">
        <f aca="false">SUM('Activation Detail'!K43,'Activation Detail'!K543,'Activation Detail'!K1043,'Activation Detail'!K1543,'Activation Detail'!K2043,'Activation Detail'!K2543,'Activation Detail'!K3043,'Activation Detail'!K3543)</f>
        <v>102630.230675681</v>
      </c>
      <c r="I43" s="51" t="n">
        <f aca="false">IFERROR(H43/F43,0)</f>
        <v>1.49330344125358</v>
      </c>
      <c r="J43" s="49" t="n">
        <f aca="false">IFERROR(F43/E43,0)</f>
        <v>89.5868480328183</v>
      </c>
      <c r="K43" s="46" t="n">
        <f aca="false">IFERROR(C43/B43,0)</f>
        <v>0.0749318964269938</v>
      </c>
      <c r="L43" s="47" t="n">
        <f aca="false">IFERROR(D43/B43,0)</f>
        <v>0.00471023762230137</v>
      </c>
      <c r="N43" s="48" t="n">
        <f aca="false">SUMIFS('Activation Detail'!$H$4:$H$4003,'Activation Detail'!$A$4:$A$4003,$A43,'Activation Detail'!$N$4:$N$4003,N$2)</f>
        <v>101.621854958286</v>
      </c>
      <c r="O43" s="50" t="n">
        <f aca="false">N43*'Model Inputs &amp; Assumptions'!$D$40*'Model Inputs &amp; Assumptions'!$H$40</f>
        <v>863785.767145428</v>
      </c>
      <c r="P43" s="50" t="n">
        <f aca="false">N43*'Model Inputs &amp; Assumptions'!$G$40*'Model Inputs &amp; Assumptions'!$H$40</f>
        <v>19435.1797607721</v>
      </c>
      <c r="Q43" s="50" t="n">
        <f aca="false">SUMIFS('Activation Detail'!$I$4:$I$4003,'Activation Detail'!$A$4:$A$4003,$A43,'Activation Detail'!$N$4:$N$4003,N$2)</f>
        <v>17972.48</v>
      </c>
      <c r="R43" s="51" t="n">
        <f aca="false">IFERROR(P43/Q43,0)</f>
        <v>1.081385527249</v>
      </c>
      <c r="S43" s="49" t="n">
        <f aca="false">IFERROR(Q43/N43,0)</f>
        <v>176.856444978075</v>
      </c>
      <c r="T43" s="48" t="n">
        <f aca="false">SUMIFS('Activation Detail'!$H$4:$H$4003,'Activation Detail'!$A$4:$A$4003,$A43,'Activation Detail'!$N$4:$N$4003,T$2)</f>
        <v>170.273806328029</v>
      </c>
      <c r="U43" s="50" t="n">
        <f aca="false">T43*'Model Inputs &amp; Assumptions'!$D$41*'Model Inputs &amp; Assumptions'!$H$41</f>
        <v>1225971.40556181</v>
      </c>
      <c r="V43" s="50" t="n">
        <f aca="false">T43*'Model Inputs &amp; Assumptions'!$G$41*'Model Inputs &amp; Assumptions'!$H$41</f>
        <v>27032.6694926378</v>
      </c>
      <c r="W43" s="50" t="n">
        <f aca="false">SUMIFS('Activation Detail'!$I$4:$I$4003,'Activation Detail'!$A$4:$A$4003,$A43,'Activation Detail'!$N$4:$N$4003,T$2)</f>
        <v>16661.592608</v>
      </c>
      <c r="X43" s="51" t="n">
        <f aca="false">IFERROR(V43/W43,0)</f>
        <v>1.62245411520014</v>
      </c>
      <c r="Y43" s="49" t="n">
        <f aca="false">IFERROR(W43/T43,0)</f>
        <v>97.8517657372493</v>
      </c>
      <c r="Z43" s="48" t="n">
        <f aca="false">SUMIFS('Activation Detail'!$H$4:$H$4003,'Activation Detail'!$A$4:$A$4003,$A43,'Activation Detail'!$N$4:$N$4003,Z$2)</f>
        <v>495.259095434486</v>
      </c>
      <c r="AA43" s="50" t="n">
        <f aca="false">Z43*'Model Inputs &amp; Assumptions'!$D$42*'Model Inputs &amp; Assumptions'!$H$42</f>
        <v>2674399.11534622</v>
      </c>
      <c r="AB43" s="50" t="n">
        <f aca="false">Z43*'Model Inputs &amp; Assumptions'!$G$42*'Model Inputs &amp; Assumptions'!$H$42</f>
        <v>56162.3814222707</v>
      </c>
      <c r="AC43" s="50" t="n">
        <f aca="false">SUMIFS('Activation Detail'!$I$4:$I$4003,'Activation Detail'!$A$4:$A$4003,$A43,'Activation Detail'!$N$4:$N$4003,Z$2)</f>
        <v>34092.904</v>
      </c>
      <c r="AD43" s="51" t="n">
        <f aca="false">IFERROR(AB43/AC43,0)</f>
        <v>1.64733345749223</v>
      </c>
      <c r="AE43" s="49" t="n">
        <f aca="false">IFERROR(AC43/Z43,0)</f>
        <v>68.8385217238477</v>
      </c>
    </row>
    <row r="44" customFormat="false" ht="15" hidden="false" customHeight="false" outlineLevel="0" collapsed="false">
      <c r="A44" s="43" t="n">
        <v>41</v>
      </c>
      <c r="B44" s="45" t="n">
        <f aca="false">SUM('Activation Detail'!C44,'Activation Detail'!C544,'Activation Detail'!C1044,'Activation Detail'!C1544,'Activation Detail'!C2044,'Activation Detail'!C2544,'Activation Detail'!C3044,'Activation Detail'!C3544)</f>
        <v>3902782</v>
      </c>
      <c r="C44" s="45" t="n">
        <f aca="false">SUM('Activation Detail'!E44,'Activation Detail'!E544,'Activation Detail'!E1044,'Activation Detail'!E1544,'Activation Detail'!E2044,'Activation Detail'!E2544,'Activation Detail'!E3044,'Activation Detail'!E3544)</f>
        <v>530046</v>
      </c>
      <c r="D44" s="45" t="n">
        <f aca="false">SUM('Activation Detail'!G44,'Activation Detail'!G544,'Activation Detail'!G1044,'Activation Detail'!G1544,'Activation Detail'!G2044,'Activation Detail'!G2544,'Activation Detail'!G3044,'Activation Detail'!G3544)</f>
        <v>19051</v>
      </c>
      <c r="E44" s="48" t="n">
        <f aca="false">SUM('Activation Detail'!H44,'Activation Detail'!H544,'Activation Detail'!H1044,'Activation Detail'!H1544,'Activation Detail'!H2044,'Activation Detail'!H2544,'Activation Detail'!H3044,'Activation Detail'!H3544)</f>
        <v>869.765588152973</v>
      </c>
      <c r="F44" s="50" t="n">
        <f aca="false">SUM('Activation Detail'!I44,'Activation Detail'!I544,'Activation Detail'!I1044,'Activation Detail'!I1544,'Activation Detail'!I2044,'Activation Detail'!I2544,'Activation Detail'!I3044,'Activation Detail'!I3544)</f>
        <v>72326.537568</v>
      </c>
      <c r="G44" s="50" t="n">
        <f aca="false">SUM('Activation Detail'!J44,'Activation Detail'!J544,'Activation Detail'!J1044,'Activation Detail'!J1544,'Activation Detail'!J2044,'Activation Detail'!J2544,'Activation Detail'!J3044,'Activation Detail'!J3544)</f>
        <v>5533105.77292327</v>
      </c>
      <c r="H44" s="50" t="n">
        <f aca="false">SUM('Activation Detail'!K44,'Activation Detail'!K544,'Activation Detail'!K1044,'Activation Detail'!K1544,'Activation Detail'!K2044,'Activation Detail'!K2544,'Activation Detail'!K3044,'Activation Detail'!K3544)</f>
        <v>119676.515675621</v>
      </c>
      <c r="I44" s="51" t="n">
        <f aca="false">IFERROR(H44/F44,0)</f>
        <v>1.65466949891115</v>
      </c>
      <c r="J44" s="49" t="n">
        <f aca="false">IFERROR(F44/E44,0)</f>
        <v>83.1563567852713</v>
      </c>
      <c r="K44" s="46" t="n">
        <f aca="false">IFERROR(C44/B44,0)</f>
        <v>0.135812351291976</v>
      </c>
      <c r="L44" s="47" t="n">
        <f aca="false">IFERROR(D44/B44,0)</f>
        <v>0.0048813897368595</v>
      </c>
      <c r="N44" s="48" t="n">
        <f aca="false">SUMIFS('Activation Detail'!$H$4:$H$4003,'Activation Detail'!$A$4:$A$4003,$A44,'Activation Detail'!$N$4:$N$4003,N$2)</f>
        <v>116.541713835837</v>
      </c>
      <c r="O44" s="50" t="n">
        <f aca="false">N44*'Model Inputs &amp; Assumptions'!$D$40*'Model Inputs &amp; Assumptions'!$H$40</f>
        <v>990604.567604616</v>
      </c>
      <c r="P44" s="50" t="n">
        <f aca="false">N44*'Model Inputs &amp; Assumptions'!$G$40*'Model Inputs &amp; Assumptions'!$H$40</f>
        <v>22288.6027711039</v>
      </c>
      <c r="Q44" s="50" t="n">
        <f aca="false">SUMIFS('Activation Detail'!$I$4:$I$4003,'Activation Detail'!$A$4:$A$4003,$A44,'Activation Detail'!$N$4:$N$4003,N$2)</f>
        <v>17779.703</v>
      </c>
      <c r="R44" s="51" t="n">
        <f aca="false">IFERROR(P44/Q44,0)</f>
        <v>1.25359814903004</v>
      </c>
      <c r="S44" s="49" t="n">
        <f aca="false">IFERROR(Q44/N44,0)</f>
        <v>152.560850658545</v>
      </c>
      <c r="T44" s="48" t="n">
        <f aca="false">SUMIFS('Activation Detail'!$H$4:$H$4003,'Activation Detail'!$A$4:$A$4003,$A44,'Activation Detail'!$N$4:$N$4003,T$2)</f>
        <v>263.940157781179</v>
      </c>
      <c r="U44" s="50" t="n">
        <f aca="false">T44*'Model Inputs &amp; Assumptions'!$D$41*'Model Inputs &amp; Assumptions'!$H$41</f>
        <v>1900369.13602449</v>
      </c>
      <c r="V44" s="50" t="n">
        <f aca="false">T44*'Model Inputs &amp; Assumptions'!$G$41*'Model Inputs &amp; Assumptions'!$H$41</f>
        <v>41903.13944934</v>
      </c>
      <c r="W44" s="50" t="n">
        <f aca="false">SUMIFS('Activation Detail'!$I$4:$I$4003,'Activation Detail'!$A$4:$A$4003,$A44,'Activation Detail'!$N$4:$N$4003,T$2)</f>
        <v>18864.446568</v>
      </c>
      <c r="X44" s="51" t="n">
        <f aca="false">IFERROR(V44/W44,0)</f>
        <v>2.22127584280267</v>
      </c>
      <c r="Y44" s="49" t="n">
        <f aca="false">IFERROR(W44/T44,0)</f>
        <v>71.4724380199834</v>
      </c>
      <c r="Z44" s="48" t="n">
        <f aca="false">SUMIFS('Activation Detail'!$H$4:$H$4003,'Activation Detail'!$A$4:$A$4003,$A44,'Activation Detail'!$N$4:$N$4003,Z$2)</f>
        <v>489.283716535957</v>
      </c>
      <c r="AA44" s="50" t="n">
        <f aca="false">Z44*'Model Inputs &amp; Assumptions'!$D$42*'Model Inputs &amp; Assumptions'!$H$42</f>
        <v>2642132.06929417</v>
      </c>
      <c r="AB44" s="50" t="n">
        <f aca="false">Z44*'Model Inputs &amp; Assumptions'!$G$42*'Model Inputs &amp; Assumptions'!$H$42</f>
        <v>55484.7734551775</v>
      </c>
      <c r="AC44" s="50" t="n">
        <f aca="false">SUMIFS('Activation Detail'!$I$4:$I$4003,'Activation Detail'!$A$4:$A$4003,$A44,'Activation Detail'!$N$4:$N$4003,Z$2)</f>
        <v>35682.388</v>
      </c>
      <c r="AD44" s="51" t="n">
        <f aca="false">IFERROR(AB44/AC44,0)</f>
        <v>1.55496244968743</v>
      </c>
      <c r="AE44" s="49" t="n">
        <f aca="false">IFERROR(AC44/Z44,0)</f>
        <v>72.9278060848317</v>
      </c>
    </row>
    <row r="45" customFormat="false" ht="15" hidden="false" customHeight="false" outlineLevel="0" collapsed="false">
      <c r="A45" s="43" t="n">
        <v>42</v>
      </c>
      <c r="B45" s="45" t="n">
        <f aca="false">SUM('Activation Detail'!C45,'Activation Detail'!C545,'Activation Detail'!C1045,'Activation Detail'!C1545,'Activation Detail'!C2045,'Activation Detail'!C2545,'Activation Detail'!C3045,'Activation Detail'!C3545)</f>
        <v>3801882</v>
      </c>
      <c r="C45" s="45" t="n">
        <f aca="false">SUM('Activation Detail'!E45,'Activation Detail'!E545,'Activation Detail'!E1045,'Activation Detail'!E1545,'Activation Detail'!E2045,'Activation Detail'!E2545,'Activation Detail'!E3045,'Activation Detail'!E3545)</f>
        <v>525230</v>
      </c>
      <c r="D45" s="45" t="n">
        <f aca="false">SUM('Activation Detail'!G45,'Activation Detail'!G545,'Activation Detail'!G1045,'Activation Detail'!G1545,'Activation Detail'!G2045,'Activation Detail'!G2545,'Activation Detail'!G3045,'Activation Detail'!G3545)</f>
        <v>13195</v>
      </c>
      <c r="E45" s="48" t="n">
        <f aca="false">SUM('Activation Detail'!H45,'Activation Detail'!H545,'Activation Detail'!H1045,'Activation Detail'!H1545,'Activation Detail'!H2045,'Activation Detail'!H2545,'Activation Detail'!H3045,'Activation Detail'!H3545)</f>
        <v>657.34765499811</v>
      </c>
      <c r="F45" s="50" t="n">
        <f aca="false">SUM('Activation Detail'!I45,'Activation Detail'!I545,'Activation Detail'!I1045,'Activation Detail'!I1545,'Activation Detail'!I2045,'Activation Detail'!I2545,'Activation Detail'!I3045,'Activation Detail'!I3545)</f>
        <v>71653.788178</v>
      </c>
      <c r="G45" s="50" t="n">
        <f aca="false">SUM('Activation Detail'!J45,'Activation Detail'!J545,'Activation Detail'!J1045,'Activation Detail'!J1545,'Activation Detail'!J2045,'Activation Detail'!J2545,'Activation Detail'!J3045,'Activation Detail'!J3545)</f>
        <v>4308594.20518618</v>
      </c>
      <c r="H45" s="50" t="n">
        <f aca="false">SUM('Activation Detail'!K45,'Activation Detail'!K545,'Activation Detail'!K1045,'Activation Detail'!K1545,'Activation Detail'!K2045,'Activation Detail'!K2545,'Activation Detail'!K3045,'Activation Detail'!K3545)</f>
        <v>93645.1147417561</v>
      </c>
      <c r="I45" s="51" t="n">
        <f aca="false">IFERROR(H45/F45,0)</f>
        <v>1.30691087132931</v>
      </c>
      <c r="J45" s="49" t="n">
        <f aca="false">IFERROR(F45/E45,0)</f>
        <v>109.004402211195</v>
      </c>
      <c r="K45" s="46" t="n">
        <f aca="false">IFERROR(C45/B45,0)</f>
        <v>0.138150000447147</v>
      </c>
      <c r="L45" s="47" t="n">
        <f aca="false">IFERROR(D45/B45,0)</f>
        <v>0.00347064953620339</v>
      </c>
      <c r="N45" s="48" t="n">
        <f aca="false">SUMIFS('Activation Detail'!$H$4:$H$4003,'Activation Detail'!$A$4:$A$4003,$A45,'Activation Detail'!$N$4:$N$4003,N$2)</f>
        <v>84.4978280685886</v>
      </c>
      <c r="O45" s="50" t="n">
        <f aca="false">N45*'Model Inputs &amp; Assumptions'!$D$40*'Model Inputs &amp; Assumptions'!$H$40</f>
        <v>718231.538583003</v>
      </c>
      <c r="P45" s="50" t="n">
        <f aca="false">N45*'Model Inputs &amp; Assumptions'!$G$40*'Model Inputs &amp; Assumptions'!$H$40</f>
        <v>16160.2096181176</v>
      </c>
      <c r="Q45" s="50" t="n">
        <f aca="false">SUMIFS('Activation Detail'!$I$4:$I$4003,'Activation Detail'!$A$4:$A$4003,$A45,'Activation Detail'!$N$4:$N$4003,N$2)</f>
        <v>18130.599</v>
      </c>
      <c r="R45" s="51" t="n">
        <f aca="false">IFERROR(P45/Q45,0)</f>
        <v>0.891322433313845</v>
      </c>
      <c r="S45" s="49" t="n">
        <f aca="false">IFERROR(Q45/N45,0)</f>
        <v>214.568816908324</v>
      </c>
      <c r="T45" s="48" t="n">
        <f aca="false">SUMIFS('Activation Detail'!$H$4:$H$4003,'Activation Detail'!$A$4:$A$4003,$A45,'Activation Detail'!$N$4:$N$4003,T$2)</f>
        <v>276.09644510209</v>
      </c>
      <c r="U45" s="50" t="n">
        <f aca="false">T45*'Model Inputs &amp; Assumptions'!$D$41*'Model Inputs &amp; Assumptions'!$H$41</f>
        <v>1987894.40473505</v>
      </c>
      <c r="V45" s="50" t="n">
        <f aca="false">T45*'Model Inputs &amp; Assumptions'!$G$41*'Model Inputs &amp; Assumptions'!$H$41</f>
        <v>43833.0716244078</v>
      </c>
      <c r="W45" s="50" t="n">
        <f aca="false">SUMIFS('Activation Detail'!$I$4:$I$4003,'Activation Detail'!$A$4:$A$4003,$A45,'Activation Detail'!$N$4:$N$4003,T$2)</f>
        <v>18393.317178</v>
      </c>
      <c r="X45" s="51" t="n">
        <f aca="false">IFERROR(V45/W45,0)</f>
        <v>2.38309768706843</v>
      </c>
      <c r="Y45" s="49" t="n">
        <f aca="false">IFERROR(W45/T45,0)</f>
        <v>66.6191742208011</v>
      </c>
      <c r="Z45" s="48" t="n">
        <f aca="false">SUMIFS('Activation Detail'!$H$4:$H$4003,'Activation Detail'!$A$4:$A$4003,$A45,'Activation Detail'!$N$4:$N$4003,Z$2)</f>
        <v>296.753381827431</v>
      </c>
      <c r="AA45" s="50" t="n">
        <f aca="false">Z45*'Model Inputs &amp; Assumptions'!$D$42*'Model Inputs &amp; Assumptions'!$H$42</f>
        <v>1602468.26186813</v>
      </c>
      <c r="AB45" s="50" t="n">
        <f aca="false">Z45*'Model Inputs &amp; Assumptions'!$G$42*'Model Inputs &amp; Assumptions'!$H$42</f>
        <v>33651.8334992307</v>
      </c>
      <c r="AC45" s="50" t="n">
        <f aca="false">SUMIFS('Activation Detail'!$I$4:$I$4003,'Activation Detail'!$A$4:$A$4003,$A45,'Activation Detail'!$N$4:$N$4003,Z$2)</f>
        <v>35129.872</v>
      </c>
      <c r="AD45" s="51" t="n">
        <f aca="false">IFERROR(AB45/AC45,0)</f>
        <v>0.957926447874067</v>
      </c>
      <c r="AE45" s="49" t="n">
        <f aca="false">IFERROR(AC45/Z45,0)</f>
        <v>118.38069640072</v>
      </c>
    </row>
    <row r="46" customFormat="false" ht="15" hidden="false" customHeight="false" outlineLevel="0" collapsed="false">
      <c r="A46" s="43" t="n">
        <v>43</v>
      </c>
      <c r="B46" s="45" t="n">
        <f aca="false">SUM('Activation Detail'!C46,'Activation Detail'!C546,'Activation Detail'!C1046,'Activation Detail'!C1546,'Activation Detail'!C2046,'Activation Detail'!C2546,'Activation Detail'!C3046,'Activation Detail'!C3546)</f>
        <v>3760533</v>
      </c>
      <c r="C46" s="45" t="n">
        <f aca="false">SUM('Activation Detail'!E46,'Activation Detail'!E546,'Activation Detail'!E1046,'Activation Detail'!E1546,'Activation Detail'!E2046,'Activation Detail'!E2546,'Activation Detail'!E3046,'Activation Detail'!E3546)</f>
        <v>360459</v>
      </c>
      <c r="D46" s="45" t="n">
        <f aca="false">SUM('Activation Detail'!G46,'Activation Detail'!G546,'Activation Detail'!G1046,'Activation Detail'!G1546,'Activation Detail'!G2046,'Activation Detail'!G2546,'Activation Detail'!G3046,'Activation Detail'!G3546)</f>
        <v>14458</v>
      </c>
      <c r="E46" s="48" t="n">
        <f aca="false">SUM('Activation Detail'!H46,'Activation Detail'!H546,'Activation Detail'!H1046,'Activation Detail'!H1546,'Activation Detail'!H2046,'Activation Detail'!H2546,'Activation Detail'!H3046,'Activation Detail'!H3546)</f>
        <v>684.791580004626</v>
      </c>
      <c r="F46" s="50" t="n">
        <f aca="false">SUM('Activation Detail'!I46,'Activation Detail'!I546,'Activation Detail'!I1046,'Activation Detail'!I1546,'Activation Detail'!I2046,'Activation Detail'!I2546,'Activation Detail'!I3046,'Activation Detail'!I3546)</f>
        <v>71183.773666</v>
      </c>
      <c r="G46" s="50" t="n">
        <f aca="false">SUM('Activation Detail'!J46,'Activation Detail'!J546,'Activation Detail'!J1046,'Activation Detail'!J1546,'Activation Detail'!J2046,'Activation Detail'!J2546,'Activation Detail'!J3046,'Activation Detail'!J3546)</f>
        <v>4317896.12810341</v>
      </c>
      <c r="H46" s="50" t="n">
        <f aca="false">SUM('Activation Detail'!K46,'Activation Detail'!K546,'Activation Detail'!K1046,'Activation Detail'!K1546,'Activation Detail'!K2046,'Activation Detail'!K2546,'Activation Detail'!K3046,'Activation Detail'!K3546)</f>
        <v>93254.5622142883</v>
      </c>
      <c r="I46" s="51" t="n">
        <f aca="false">IFERROR(H46/F46,0)</f>
        <v>1.31005364581887</v>
      </c>
      <c r="J46" s="49" t="n">
        <f aca="false">IFERROR(F46/E46,0)</f>
        <v>103.949545736995</v>
      </c>
      <c r="K46" s="46" t="n">
        <f aca="false">IFERROR(C46/B46,0)</f>
        <v>0.0958531676227811</v>
      </c>
      <c r="L46" s="47" t="n">
        <f aca="false">IFERROR(D46/B46,0)</f>
        <v>0.00384466776385156</v>
      </c>
      <c r="N46" s="48" t="n">
        <f aca="false">SUMIFS('Activation Detail'!$H$4:$H$4003,'Activation Detail'!$A$4:$A$4003,$A46,'Activation Detail'!$N$4:$N$4003,N$2)</f>
        <v>93.8784422686863</v>
      </c>
      <c r="O46" s="50" t="n">
        <f aca="false">N46*'Model Inputs &amp; Assumptions'!$D$40*'Model Inputs &amp; Assumptions'!$H$40</f>
        <v>797966.759283834</v>
      </c>
      <c r="P46" s="50" t="n">
        <f aca="false">N46*'Model Inputs &amp; Assumptions'!$G$40*'Model Inputs &amp; Assumptions'!$H$40</f>
        <v>17954.2520838863</v>
      </c>
      <c r="Q46" s="50" t="n">
        <f aca="false">SUMIFS('Activation Detail'!$I$4:$I$4003,'Activation Detail'!$A$4:$A$4003,$A46,'Activation Detail'!$N$4:$N$4003,N$2)</f>
        <v>17967.5725</v>
      </c>
      <c r="R46" s="51" t="n">
        <f aca="false">IFERROR(P46/Q46,0)</f>
        <v>0.999258641304286</v>
      </c>
      <c r="S46" s="49" t="n">
        <f aca="false">IFERROR(Q46/N46,0)</f>
        <v>191.391890041972</v>
      </c>
      <c r="T46" s="48" t="n">
        <f aca="false">SUMIFS('Activation Detail'!$H$4:$H$4003,'Activation Detail'!$A$4:$A$4003,$A46,'Activation Detail'!$N$4:$N$4003,T$2)</f>
        <v>182.776902803053</v>
      </c>
      <c r="U46" s="50" t="n">
        <f aca="false">T46*'Model Inputs &amp; Assumptions'!$D$41*'Model Inputs &amp; Assumptions'!$H$41</f>
        <v>1315993.70018198</v>
      </c>
      <c r="V46" s="50" t="n">
        <f aca="false">T46*'Model Inputs &amp; Assumptions'!$G$41*'Model Inputs &amp; Assumptions'!$H$41</f>
        <v>29017.6610890126</v>
      </c>
      <c r="W46" s="50" t="n">
        <f aca="false">SUMIFS('Activation Detail'!$I$4:$I$4003,'Activation Detail'!$A$4:$A$4003,$A46,'Activation Detail'!$N$4:$N$4003,T$2)</f>
        <v>16033.225166</v>
      </c>
      <c r="X46" s="51" t="n">
        <f aca="false">IFERROR(V46/W46,0)</f>
        <v>1.80984554190303</v>
      </c>
      <c r="Y46" s="49" t="n">
        <f aca="false">IFERROR(W46/T46,0)</f>
        <v>87.7201928696443</v>
      </c>
      <c r="Z46" s="48" t="n">
        <f aca="false">SUMIFS('Activation Detail'!$H$4:$H$4003,'Activation Detail'!$A$4:$A$4003,$A46,'Activation Detail'!$N$4:$N$4003,Z$2)</f>
        <v>408.136234932888</v>
      </c>
      <c r="AA46" s="50" t="n">
        <f aca="false">Z46*'Model Inputs &amp; Assumptions'!$D$42*'Model Inputs &amp; Assumptions'!$H$42</f>
        <v>2203935.66863759</v>
      </c>
      <c r="AB46" s="50" t="n">
        <f aca="false">Z46*'Model Inputs &amp; Assumptions'!$G$42*'Model Inputs &amp; Assumptions'!$H$42</f>
        <v>46282.6490413894</v>
      </c>
      <c r="AC46" s="50" t="n">
        <f aca="false">SUMIFS('Activation Detail'!$I$4:$I$4003,'Activation Detail'!$A$4:$A$4003,$A46,'Activation Detail'!$N$4:$N$4003,Z$2)</f>
        <v>37182.976</v>
      </c>
      <c r="AD46" s="51" t="n">
        <f aca="false">IFERROR(AB46/AC46,0)</f>
        <v>1.24472686213684</v>
      </c>
      <c r="AE46" s="49" t="n">
        <f aca="false">IFERROR(AC46/Z46,0)</f>
        <v>91.1043245305437</v>
      </c>
    </row>
    <row r="47" customFormat="false" ht="15" hidden="false" customHeight="false" outlineLevel="0" collapsed="false">
      <c r="A47" s="43" t="n">
        <v>44</v>
      </c>
      <c r="B47" s="45" t="n">
        <f aca="false">SUM('Activation Detail'!C47,'Activation Detail'!C547,'Activation Detail'!C1047,'Activation Detail'!C1547,'Activation Detail'!C2047,'Activation Detail'!C2547,'Activation Detail'!C3047,'Activation Detail'!C3547)</f>
        <v>4536343</v>
      </c>
      <c r="C47" s="45" t="n">
        <f aca="false">SUM('Activation Detail'!E47,'Activation Detail'!E547,'Activation Detail'!E1047,'Activation Detail'!E1547,'Activation Detail'!E2047,'Activation Detail'!E2547,'Activation Detail'!E3047,'Activation Detail'!E3547)</f>
        <v>610714</v>
      </c>
      <c r="D47" s="45" t="n">
        <f aca="false">SUM('Activation Detail'!G47,'Activation Detail'!G547,'Activation Detail'!G1047,'Activation Detail'!G1547,'Activation Detail'!G2047,'Activation Detail'!G2547,'Activation Detail'!G3047,'Activation Detail'!G3547)</f>
        <v>19118</v>
      </c>
      <c r="E47" s="48" t="n">
        <f aca="false">SUM('Activation Detail'!H47,'Activation Detail'!H547,'Activation Detail'!H1047,'Activation Detail'!H1547,'Activation Detail'!H2047,'Activation Detail'!H2547,'Activation Detail'!H3047,'Activation Detail'!H3547)</f>
        <v>787.708261070894</v>
      </c>
      <c r="F47" s="50" t="n">
        <f aca="false">SUM('Activation Detail'!I47,'Activation Detail'!I547,'Activation Detail'!I1047,'Activation Detail'!I1547,'Activation Detail'!I2047,'Activation Detail'!I2547,'Activation Detail'!I3047,'Activation Detail'!I3547)</f>
        <v>83165.351494</v>
      </c>
      <c r="G47" s="50" t="n">
        <f aca="false">SUM('Activation Detail'!J47,'Activation Detail'!J547,'Activation Detail'!J1047,'Activation Detail'!J1547,'Activation Detail'!J2047,'Activation Detail'!J2547,'Activation Detail'!J3047,'Activation Detail'!J3547)</f>
        <v>4885967.23333429</v>
      </c>
      <c r="H47" s="50" t="n">
        <f aca="false">SUM('Activation Detail'!K47,'Activation Detail'!K547,'Activation Detail'!K1047,'Activation Detail'!K1547,'Activation Detail'!K2047,'Activation Detail'!K2547,'Activation Detail'!K3047,'Activation Detail'!K3547)</f>
        <v>105234.000366809</v>
      </c>
      <c r="I47" s="51" t="n">
        <f aca="false">IFERROR(H47/F47,0)</f>
        <v>1.26535869176722</v>
      </c>
      <c r="J47" s="49" t="n">
        <f aca="false">IFERROR(F47/E47,0)</f>
        <v>105.578874316916</v>
      </c>
      <c r="K47" s="46" t="n">
        <f aca="false">IFERROR(C47/B47,0)</f>
        <v>0.134626945096524</v>
      </c>
      <c r="L47" s="47" t="n">
        <f aca="false">IFERROR(D47/B47,0)</f>
        <v>0.00421440794931071</v>
      </c>
      <c r="N47" s="48" t="n">
        <f aca="false">SUMIFS('Activation Detail'!$H$4:$H$4003,'Activation Detail'!$A$4:$A$4003,$A47,'Activation Detail'!$N$4:$N$4003,N$2)</f>
        <v>100.557600472495</v>
      </c>
      <c r="O47" s="50" t="n">
        <f aca="false">N47*'Model Inputs &amp; Assumptions'!$D$40*'Model Inputs &amp; Assumptions'!$H$40</f>
        <v>854739.60401621</v>
      </c>
      <c r="P47" s="50" t="n">
        <f aca="false">N47*'Model Inputs &amp; Assumptions'!$G$40*'Model Inputs &amp; Assumptions'!$H$40</f>
        <v>19231.6410903647</v>
      </c>
      <c r="Q47" s="50" t="n">
        <f aca="false">SUMIFS('Activation Detail'!$I$4:$I$4003,'Activation Detail'!$A$4:$A$4003,$A47,'Activation Detail'!$N$4:$N$4003,N$2)</f>
        <v>18436.203</v>
      </c>
      <c r="R47" s="51" t="n">
        <f aca="false">IFERROR(P47/Q47,0)</f>
        <v>1.04314544000002</v>
      </c>
      <c r="S47" s="49" t="n">
        <f aca="false">IFERROR(Q47/N47,0)</f>
        <v>183.339726816997</v>
      </c>
      <c r="T47" s="48" t="n">
        <f aca="false">SUMIFS('Activation Detail'!$H$4:$H$4003,'Activation Detail'!$A$4:$A$4003,$A47,'Activation Detail'!$N$4:$N$4003,T$2)</f>
        <v>178.118923381515</v>
      </c>
      <c r="U47" s="50" t="n">
        <f aca="false">T47*'Model Inputs &amp; Assumptions'!$D$41*'Model Inputs &amp; Assumptions'!$H$41</f>
        <v>1282456.24834691</v>
      </c>
      <c r="V47" s="50" t="n">
        <f aca="false">T47*'Model Inputs &amp; Assumptions'!$G$41*'Model Inputs &amp; Assumptions'!$H$41</f>
        <v>28278.1602760494</v>
      </c>
      <c r="W47" s="50" t="n">
        <f aca="false">SUMIFS('Activation Detail'!$I$4:$I$4003,'Activation Detail'!$A$4:$A$4003,$A47,'Activation Detail'!$N$4:$N$4003,T$2)</f>
        <v>24781.156494</v>
      </c>
      <c r="X47" s="51" t="n">
        <f aca="false">IFERROR(V47/W47,0)</f>
        <v>1.14111543918041</v>
      </c>
      <c r="Y47" s="49" t="n">
        <f aca="false">IFERROR(W47/T47,0)</f>
        <v>139.127028299632</v>
      </c>
      <c r="Z47" s="48" t="n">
        <f aca="false">SUMIFS('Activation Detail'!$H$4:$H$4003,'Activation Detail'!$A$4:$A$4003,$A47,'Activation Detail'!$N$4:$N$4003,Z$2)</f>
        <v>509.031737216883</v>
      </c>
      <c r="AA47" s="50" t="n">
        <f aca="false">Z47*'Model Inputs &amp; Assumptions'!$D$42*'Model Inputs &amp; Assumptions'!$H$42</f>
        <v>2748771.38097117</v>
      </c>
      <c r="AB47" s="50" t="n">
        <f aca="false">Z47*'Model Inputs &amp; Assumptions'!$G$42*'Model Inputs &amp; Assumptions'!$H$42</f>
        <v>57724.1990003946</v>
      </c>
      <c r="AC47" s="50" t="n">
        <f aca="false">SUMIFS('Activation Detail'!$I$4:$I$4003,'Activation Detail'!$A$4:$A$4003,$A47,'Activation Detail'!$N$4:$N$4003,Z$2)</f>
        <v>39947.992</v>
      </c>
      <c r="AD47" s="51" t="n">
        <f aca="false">IFERROR(AB47/AC47,0)</f>
        <v>1.44498374287235</v>
      </c>
      <c r="AE47" s="49" t="n">
        <f aca="false">IFERROR(AC47/Z47,0)</f>
        <v>78.4783915800899</v>
      </c>
    </row>
    <row r="48" customFormat="false" ht="15" hidden="false" customHeight="false" outlineLevel="0" collapsed="false">
      <c r="A48" s="43" t="n">
        <v>45</v>
      </c>
      <c r="B48" s="45" t="n">
        <f aca="false">SUM('Activation Detail'!C48,'Activation Detail'!C548,'Activation Detail'!C1048,'Activation Detail'!C1548,'Activation Detail'!C2048,'Activation Detail'!C2548,'Activation Detail'!C3048,'Activation Detail'!C3548)</f>
        <v>4100197</v>
      </c>
      <c r="C48" s="45" t="n">
        <f aca="false">SUM('Activation Detail'!E48,'Activation Detail'!E548,'Activation Detail'!E1048,'Activation Detail'!E1548,'Activation Detail'!E2048,'Activation Detail'!E2548,'Activation Detail'!E3048,'Activation Detail'!E3548)</f>
        <v>394937</v>
      </c>
      <c r="D48" s="45" t="n">
        <f aca="false">SUM('Activation Detail'!G48,'Activation Detail'!G548,'Activation Detail'!G1048,'Activation Detail'!G1548,'Activation Detail'!G2048,'Activation Detail'!G2548,'Activation Detail'!G3048,'Activation Detail'!G3548)</f>
        <v>15474</v>
      </c>
      <c r="E48" s="48" t="n">
        <f aca="false">SUM('Activation Detail'!H48,'Activation Detail'!H548,'Activation Detail'!H1048,'Activation Detail'!H1548,'Activation Detail'!H2048,'Activation Detail'!H2548,'Activation Detail'!H3048,'Activation Detail'!H3548)</f>
        <v>603.058909032778</v>
      </c>
      <c r="F48" s="50" t="n">
        <f aca="false">SUM('Activation Detail'!I48,'Activation Detail'!I548,'Activation Detail'!I1048,'Activation Detail'!I1548,'Activation Detail'!I2048,'Activation Detail'!I2548,'Activation Detail'!I3048,'Activation Detail'!I3548)</f>
        <v>71516.848474</v>
      </c>
      <c r="G48" s="50" t="n">
        <f aca="false">SUM('Activation Detail'!J48,'Activation Detail'!J548,'Activation Detail'!J1048,'Activation Detail'!J1548,'Activation Detail'!J2048,'Activation Detail'!J2548,'Activation Detail'!J3048,'Activation Detail'!J3548)</f>
        <v>3788771.46095987</v>
      </c>
      <c r="H48" s="50" t="n">
        <f aca="false">SUM('Activation Detail'!K48,'Activation Detail'!K548,'Activation Detail'!K1048,'Activation Detail'!K1548,'Activation Detail'!K2048,'Activation Detail'!K2548,'Activation Detail'!K3048,'Activation Detail'!K3548)</f>
        <v>81782.9006137317</v>
      </c>
      <c r="I48" s="51" t="n">
        <f aca="false">IFERROR(H48/F48,0)</f>
        <v>1.14354732288663</v>
      </c>
      <c r="J48" s="49" t="n">
        <f aca="false">IFERROR(F48/E48,0)</f>
        <v>118.590153304763</v>
      </c>
      <c r="K48" s="46" t="n">
        <f aca="false">IFERROR(C48/B48,0)</f>
        <v>0.0963214694318346</v>
      </c>
      <c r="L48" s="47" t="n">
        <f aca="false">IFERROR(D48/B48,0)</f>
        <v>0.00377396500704722</v>
      </c>
      <c r="N48" s="48" t="n">
        <f aca="false">SUMIFS('Activation Detail'!$H$4:$H$4003,'Activation Detail'!$A$4:$A$4003,$A48,'Activation Detail'!$N$4:$N$4003,N$2)</f>
        <v>62.0894281249324</v>
      </c>
      <c r="O48" s="50" t="n">
        <f aca="false">N48*'Model Inputs &amp; Assumptions'!$D$40*'Model Inputs &amp; Assumptions'!$H$40</f>
        <v>527760.139061925</v>
      </c>
      <c r="P48" s="50" t="n">
        <f aca="false">N48*'Model Inputs &amp; Assumptions'!$G$40*'Model Inputs &amp; Assumptions'!$H$40</f>
        <v>11874.6031288933</v>
      </c>
      <c r="Q48" s="50" t="n">
        <f aca="false">SUMIFS('Activation Detail'!$I$4:$I$4003,'Activation Detail'!$A$4:$A$4003,$A48,'Activation Detail'!$N$4:$N$4003,N$2)</f>
        <v>18391.119</v>
      </c>
      <c r="R48" s="51" t="n">
        <f aca="false">IFERROR(P48/Q48,0)</f>
        <v>0.645670506992713</v>
      </c>
      <c r="S48" s="49" t="n">
        <f aca="false">IFERROR(Q48/N48,0)</f>
        <v>296.203710605847</v>
      </c>
      <c r="T48" s="48" t="n">
        <f aca="false">SUMIFS('Activation Detail'!$H$4:$H$4003,'Activation Detail'!$A$4:$A$4003,$A48,'Activation Detail'!$N$4:$N$4003,T$2)</f>
        <v>188.764513886434</v>
      </c>
      <c r="U48" s="50" t="n">
        <f aca="false">T48*'Model Inputs &amp; Assumptions'!$D$41*'Model Inputs &amp; Assumptions'!$H$41</f>
        <v>1359104.49998233</v>
      </c>
      <c r="V48" s="50" t="n">
        <f aca="false">T48*'Model Inputs &amp; Assumptions'!$G$41*'Model Inputs &amp; Assumptions'!$H$41</f>
        <v>29968.2542246103</v>
      </c>
      <c r="W48" s="50" t="n">
        <f aca="false">SUMIFS('Activation Detail'!$I$4:$I$4003,'Activation Detail'!$A$4:$A$4003,$A48,'Activation Detail'!$N$4:$N$4003,T$2)</f>
        <v>17629.797474</v>
      </c>
      <c r="X48" s="51" t="n">
        <f aca="false">IFERROR(V48/W48,0)</f>
        <v>1.69986378282602</v>
      </c>
      <c r="Y48" s="49" t="n">
        <f aca="false">IFERROR(W48/T48,0)</f>
        <v>93.3957188828753</v>
      </c>
      <c r="Z48" s="48" t="n">
        <f aca="false">SUMIFS('Activation Detail'!$H$4:$H$4003,'Activation Detail'!$A$4:$A$4003,$A48,'Activation Detail'!$N$4:$N$4003,Z$2)</f>
        <v>352.204967021412</v>
      </c>
      <c r="AA48" s="50" t="n">
        <f aca="false">Z48*'Model Inputs &amp; Assumptions'!$D$42*'Model Inputs &amp; Assumptions'!$H$42</f>
        <v>1901906.82191562</v>
      </c>
      <c r="AB48" s="50" t="n">
        <f aca="false">Z48*'Model Inputs &amp; Assumptions'!$G$42*'Model Inputs &amp; Assumptions'!$H$42</f>
        <v>39940.0432602281</v>
      </c>
      <c r="AC48" s="50" t="n">
        <f aca="false">SUMIFS('Activation Detail'!$I$4:$I$4003,'Activation Detail'!$A$4:$A$4003,$A48,'Activation Detail'!$N$4:$N$4003,Z$2)</f>
        <v>35495.932</v>
      </c>
      <c r="AD48" s="51" t="n">
        <f aca="false">IFERROR(AB48/AC48,0)</f>
        <v>1.12520057961087</v>
      </c>
      <c r="AE48" s="49" t="n">
        <f aca="false">IFERROR(AC48/Z48,0)</f>
        <v>100.782031270564</v>
      </c>
    </row>
    <row r="49" customFormat="false" ht="15" hidden="false" customHeight="false" outlineLevel="0" collapsed="false">
      <c r="A49" s="43" t="n">
        <v>46</v>
      </c>
      <c r="B49" s="45" t="n">
        <f aca="false">SUM('Activation Detail'!C49,'Activation Detail'!C549,'Activation Detail'!C1049,'Activation Detail'!C1549,'Activation Detail'!C2049,'Activation Detail'!C2549,'Activation Detail'!C3049,'Activation Detail'!C3549)</f>
        <v>3856646</v>
      </c>
      <c r="C49" s="45" t="n">
        <f aca="false">SUM('Activation Detail'!E49,'Activation Detail'!E549,'Activation Detail'!E1049,'Activation Detail'!E1549,'Activation Detail'!E2049,'Activation Detail'!E2549,'Activation Detail'!E3049,'Activation Detail'!E3549)</f>
        <v>431673</v>
      </c>
      <c r="D49" s="45" t="n">
        <f aca="false">SUM('Activation Detail'!G49,'Activation Detail'!G549,'Activation Detail'!G1049,'Activation Detail'!G1549,'Activation Detail'!G2049,'Activation Detail'!G2549,'Activation Detail'!G3049,'Activation Detail'!G3549)</f>
        <v>12615</v>
      </c>
      <c r="E49" s="48" t="n">
        <f aca="false">SUM('Activation Detail'!H49,'Activation Detail'!H549,'Activation Detail'!H1049,'Activation Detail'!H1549,'Activation Detail'!H2049,'Activation Detail'!H2549,'Activation Detail'!H3049,'Activation Detail'!H3549)</f>
        <v>756.672635606544</v>
      </c>
      <c r="F49" s="50" t="n">
        <f aca="false">SUM('Activation Detail'!I49,'Activation Detail'!I549,'Activation Detail'!I1049,'Activation Detail'!I1549,'Activation Detail'!I2049,'Activation Detail'!I2549,'Activation Detail'!I3049,'Activation Detail'!I3549)</f>
        <v>70145.506636</v>
      </c>
      <c r="G49" s="50" t="n">
        <f aca="false">SUM('Activation Detail'!J49,'Activation Detail'!J549,'Activation Detail'!J1049,'Activation Detail'!J1549,'Activation Detail'!J2049,'Activation Detail'!J2549,'Activation Detail'!J3049,'Activation Detail'!J3549)</f>
        <v>4692037.00703609</v>
      </c>
      <c r="H49" s="50" t="n">
        <f aca="false">SUM('Activation Detail'!K49,'Activation Detail'!K549,'Activation Detail'!K1049,'Activation Detail'!K1549,'Activation Detail'!K2049,'Activation Detail'!K2549,'Activation Detail'!K3049,'Activation Detail'!K3549)</f>
        <v>101057.905378318</v>
      </c>
      <c r="I49" s="51" t="n">
        <f aca="false">IFERROR(H49/F49,0)</f>
        <v>1.44068964962687</v>
      </c>
      <c r="J49" s="49" t="n">
        <f aca="false">IFERROR(F49/E49,0)</f>
        <v>92.7025814535658</v>
      </c>
      <c r="K49" s="46" t="n">
        <f aca="false">IFERROR(C49/B49,0)</f>
        <v>0.111929640418125</v>
      </c>
      <c r="L49" s="47" t="n">
        <f aca="false">IFERROR(D49/B49,0)</f>
        <v>0.00327097690583995</v>
      </c>
      <c r="N49" s="48" t="n">
        <f aca="false">SUMIFS('Activation Detail'!$H$4:$H$4003,'Activation Detail'!$A$4:$A$4003,$A49,'Activation Detail'!$N$4:$N$4003,N$2)</f>
        <v>74.4141608696207</v>
      </c>
      <c r="O49" s="50" t="n">
        <f aca="false">N49*'Model Inputs &amp; Assumptions'!$D$40*'Model Inputs &amp; Assumptions'!$H$40</f>
        <v>632520.367391776</v>
      </c>
      <c r="P49" s="50" t="n">
        <f aca="false">N49*'Model Inputs &amp; Assumptions'!$G$40*'Model Inputs &amp; Assumptions'!$H$40</f>
        <v>14231.708266315</v>
      </c>
      <c r="Q49" s="50" t="n">
        <f aca="false">SUMIFS('Activation Detail'!$I$4:$I$4003,'Activation Detail'!$A$4:$A$4003,$A49,'Activation Detail'!$N$4:$N$4003,N$2)</f>
        <v>17938.6475</v>
      </c>
      <c r="R49" s="51" t="n">
        <f aca="false">IFERROR(P49/Q49,0)</f>
        <v>0.793354586309529</v>
      </c>
      <c r="S49" s="49" t="n">
        <f aca="false">IFERROR(Q49/N49,0)</f>
        <v>241.064970569646</v>
      </c>
      <c r="T49" s="48" t="n">
        <f aca="false">SUMIFS('Activation Detail'!$H$4:$H$4003,'Activation Detail'!$A$4:$A$4003,$A49,'Activation Detail'!$N$4:$N$4003,T$2)</f>
        <v>208.511597813847</v>
      </c>
      <c r="U49" s="50" t="n">
        <f aca="false">T49*'Model Inputs &amp; Assumptions'!$D$41*'Model Inputs &amp; Assumptions'!$H$41</f>
        <v>1501283.5042597</v>
      </c>
      <c r="V49" s="50" t="n">
        <f aca="false">T49*'Model Inputs &amp; Assumptions'!$G$41*'Model Inputs &amp; Assumptions'!$H$41</f>
        <v>33103.3012689263</v>
      </c>
      <c r="W49" s="50" t="n">
        <f aca="false">SUMIFS('Activation Detail'!$I$4:$I$4003,'Activation Detail'!$A$4:$A$4003,$A49,'Activation Detail'!$N$4:$N$4003,T$2)</f>
        <v>16905.387136</v>
      </c>
      <c r="X49" s="51" t="n">
        <f aca="false">IFERROR(V49/W49,0)</f>
        <v>1.95815103213063</v>
      </c>
      <c r="Y49" s="49" t="n">
        <f aca="false">IFERROR(W49/T49,0)</f>
        <v>81.0764835781109</v>
      </c>
      <c r="Z49" s="48" t="n">
        <f aca="false">SUMIFS('Activation Detail'!$H$4:$H$4003,'Activation Detail'!$A$4:$A$4003,$A49,'Activation Detail'!$N$4:$N$4003,Z$2)</f>
        <v>473.746876923077</v>
      </c>
      <c r="AA49" s="50" t="n">
        <f aca="false">Z49*'Model Inputs &amp; Assumptions'!$D$42*'Model Inputs &amp; Assumptions'!$H$42</f>
        <v>2558233.13538461</v>
      </c>
      <c r="AB49" s="50" t="n">
        <f aca="false">Z49*'Model Inputs &amp; Assumptions'!$G$42*'Model Inputs &amp; Assumptions'!$H$42</f>
        <v>53722.8958430769</v>
      </c>
      <c r="AC49" s="50" t="n">
        <f aca="false">SUMIFS('Activation Detail'!$I$4:$I$4003,'Activation Detail'!$A$4:$A$4003,$A49,'Activation Detail'!$N$4:$N$4003,Z$2)</f>
        <v>35301.472</v>
      </c>
      <c r="AD49" s="51" t="n">
        <f aca="false">IFERROR(AB49/AC49,0)</f>
        <v>1.52183160642924</v>
      </c>
      <c r="AE49" s="49" t="n">
        <f aca="false">IFERROR(AC49/Z49,0)</f>
        <v>74.5154716993142</v>
      </c>
    </row>
    <row r="50" customFormat="false" ht="15" hidden="false" customHeight="false" outlineLevel="0" collapsed="false">
      <c r="A50" s="43" t="n">
        <v>47</v>
      </c>
      <c r="B50" s="45" t="n">
        <f aca="false">SUM('Activation Detail'!C50,'Activation Detail'!C550,'Activation Detail'!C1050,'Activation Detail'!C1550,'Activation Detail'!C2050,'Activation Detail'!C2550,'Activation Detail'!C3050,'Activation Detail'!C3550)</f>
        <v>4999879</v>
      </c>
      <c r="C50" s="45" t="n">
        <f aca="false">SUM('Activation Detail'!E50,'Activation Detail'!E550,'Activation Detail'!E1050,'Activation Detail'!E1550,'Activation Detail'!E2050,'Activation Detail'!E2550,'Activation Detail'!E3050,'Activation Detail'!E3550)</f>
        <v>521724</v>
      </c>
      <c r="D50" s="45" t="n">
        <f aca="false">SUM('Activation Detail'!G50,'Activation Detail'!G550,'Activation Detail'!G1050,'Activation Detail'!G1550,'Activation Detail'!G2050,'Activation Detail'!G2550,'Activation Detail'!G3050,'Activation Detail'!G3550)</f>
        <v>16375</v>
      </c>
      <c r="E50" s="48" t="n">
        <f aca="false">SUM('Activation Detail'!H50,'Activation Detail'!H550,'Activation Detail'!H1050,'Activation Detail'!H1550,'Activation Detail'!H2050,'Activation Detail'!H2550,'Activation Detail'!H3050,'Activation Detail'!H3550)</f>
        <v>669.632626418689</v>
      </c>
      <c r="F50" s="50" t="n">
        <f aca="false">SUM('Activation Detail'!I50,'Activation Detail'!I550,'Activation Detail'!I1050,'Activation Detail'!I1550,'Activation Detail'!I2050,'Activation Detail'!I2550,'Activation Detail'!I3050,'Activation Detail'!I3550)</f>
        <v>78800.301112</v>
      </c>
      <c r="G50" s="50" t="n">
        <f aca="false">SUM('Activation Detail'!J50,'Activation Detail'!J550,'Activation Detail'!J1050,'Activation Detail'!J1550,'Activation Detail'!J2050,'Activation Detail'!J2550,'Activation Detail'!J3050,'Activation Detail'!J3550)</f>
        <v>4071565.86005518</v>
      </c>
      <c r="H50" s="50" t="n">
        <f aca="false">SUM('Activation Detail'!K50,'Activation Detail'!K550,'Activation Detail'!K1050,'Activation Detail'!K1550,'Activation Detail'!K2050,'Activation Detail'!K2550,'Activation Detail'!K3050,'Activation Detail'!K3550)</f>
        <v>87394.4536500541</v>
      </c>
      <c r="I50" s="51" t="n">
        <f aca="false">IFERROR(H50/F50,0)</f>
        <v>1.10906243271633</v>
      </c>
      <c r="J50" s="49" t="n">
        <f aca="false">IFERROR(F50/E50,0)</f>
        <v>117.676914181195</v>
      </c>
      <c r="K50" s="46" t="n">
        <f aca="false">IFERROR(C50/B50,0)</f>
        <v>0.10434732520527</v>
      </c>
      <c r="L50" s="47" t="n">
        <f aca="false">IFERROR(D50/B50,0)</f>
        <v>0.00327507925691802</v>
      </c>
      <c r="N50" s="48" t="n">
        <f aca="false">SUMIFS('Activation Detail'!$H$4:$H$4003,'Activation Detail'!$A$4:$A$4003,$A50,'Activation Detail'!$N$4:$N$4003,N$2)</f>
        <v>80.5113191133022</v>
      </c>
      <c r="O50" s="50" t="n">
        <f aca="false">N50*'Model Inputs &amp; Assumptions'!$D$40*'Model Inputs &amp; Assumptions'!$H$40</f>
        <v>684346.212463069</v>
      </c>
      <c r="P50" s="50" t="n">
        <f aca="false">N50*'Model Inputs &amp; Assumptions'!$G$40*'Model Inputs &amp; Assumptions'!$H$40</f>
        <v>15397.789780419</v>
      </c>
      <c r="Q50" s="50" t="n">
        <f aca="false">SUMIFS('Activation Detail'!$I$4:$I$4003,'Activation Detail'!$A$4:$A$4003,$A50,'Activation Detail'!$N$4:$N$4003,N$2)</f>
        <v>19125.567</v>
      </c>
      <c r="R50" s="51" t="n">
        <f aca="false">IFERROR(P50/Q50,0)</f>
        <v>0.805089322602517</v>
      </c>
      <c r="S50" s="49" t="n">
        <f aca="false">IFERROR(Q50/N50,0)</f>
        <v>237.551281119676</v>
      </c>
      <c r="T50" s="48" t="n">
        <f aca="false">SUMIFS('Activation Detail'!$H$4:$H$4003,'Activation Detail'!$A$4:$A$4003,$A50,'Activation Detail'!$N$4:$N$4003,T$2)</f>
        <v>114.424771190568</v>
      </c>
      <c r="U50" s="50" t="n">
        <f aca="false">T50*'Model Inputs &amp; Assumptions'!$D$41*'Model Inputs &amp; Assumptions'!$H$41</f>
        <v>823858.352572088</v>
      </c>
      <c r="V50" s="50" t="n">
        <f aca="false">T50*'Model Inputs &amp; Assumptions'!$G$41*'Model Inputs &amp; Assumptions'!$H$41</f>
        <v>18166.0766742145</v>
      </c>
      <c r="W50" s="50" t="n">
        <f aca="false">SUMIFS('Activation Detail'!$I$4:$I$4003,'Activation Detail'!$A$4:$A$4003,$A50,'Activation Detail'!$N$4:$N$4003,T$2)</f>
        <v>18217.118112</v>
      </c>
      <c r="X50" s="51" t="n">
        <f aca="false">IFERROR(V50/W50,0)</f>
        <v>0.997198160682076</v>
      </c>
      <c r="Y50" s="49" t="n">
        <f aca="false">IFERROR(W50/T50,0)</f>
        <v>159.206069826091</v>
      </c>
      <c r="Z50" s="48" t="n">
        <f aca="false">SUMIFS('Activation Detail'!$H$4:$H$4003,'Activation Detail'!$A$4:$A$4003,$A50,'Activation Detail'!$N$4:$N$4003,Z$2)</f>
        <v>474.696536114819</v>
      </c>
      <c r="AA50" s="50" t="n">
        <f aca="false">Z50*'Model Inputs &amp; Assumptions'!$D$42*'Model Inputs &amp; Assumptions'!$H$42</f>
        <v>2563361.29502002</v>
      </c>
      <c r="AB50" s="50" t="n">
        <f aca="false">Z50*'Model Inputs &amp; Assumptions'!$G$42*'Model Inputs &amp; Assumptions'!$H$42</f>
        <v>53830.5871954205</v>
      </c>
      <c r="AC50" s="50" t="n">
        <f aca="false">SUMIFS('Activation Detail'!$I$4:$I$4003,'Activation Detail'!$A$4:$A$4003,$A50,'Activation Detail'!$N$4:$N$4003,Z$2)</f>
        <v>41457.616</v>
      </c>
      <c r="AD50" s="51" t="n">
        <f aca="false">IFERROR(AB50/AC50,0)</f>
        <v>1.29844869023391</v>
      </c>
      <c r="AE50" s="49" t="n">
        <f aca="false">IFERROR(AC50/Z50,0)</f>
        <v>87.3349873991334</v>
      </c>
    </row>
    <row r="51" customFormat="false" ht="15" hidden="false" customHeight="false" outlineLevel="0" collapsed="false">
      <c r="A51" s="43" t="n">
        <v>48</v>
      </c>
      <c r="B51" s="45" t="n">
        <f aca="false">SUM('Activation Detail'!C51,'Activation Detail'!C551,'Activation Detail'!C1051,'Activation Detail'!C1551,'Activation Detail'!C2051,'Activation Detail'!C2551,'Activation Detail'!C3051,'Activation Detail'!C3551)</f>
        <v>3477132</v>
      </c>
      <c r="C51" s="45" t="n">
        <f aca="false">SUM('Activation Detail'!E51,'Activation Detail'!E551,'Activation Detail'!E1051,'Activation Detail'!E1551,'Activation Detail'!E2051,'Activation Detail'!E2551,'Activation Detail'!E3051,'Activation Detail'!E3551)</f>
        <v>244963</v>
      </c>
      <c r="D51" s="45" t="n">
        <f aca="false">SUM('Activation Detail'!G51,'Activation Detail'!G551,'Activation Detail'!G1051,'Activation Detail'!G1551,'Activation Detail'!G2051,'Activation Detail'!G2551,'Activation Detail'!G3051,'Activation Detail'!G3551)</f>
        <v>14339</v>
      </c>
      <c r="E51" s="48" t="n">
        <f aca="false">SUM('Activation Detail'!H51,'Activation Detail'!H551,'Activation Detail'!H1051,'Activation Detail'!H1551,'Activation Detail'!H2051,'Activation Detail'!H2551,'Activation Detail'!H3051,'Activation Detail'!H3551)</f>
        <v>697.914536766362</v>
      </c>
      <c r="F51" s="50" t="n">
        <f aca="false">SUM('Activation Detail'!I51,'Activation Detail'!I551,'Activation Detail'!I1051,'Activation Detail'!I1551,'Activation Detail'!I2051,'Activation Detail'!I2551,'Activation Detail'!I3051,'Activation Detail'!I3551)</f>
        <v>74583.626414</v>
      </c>
      <c r="G51" s="50" t="n">
        <f aca="false">SUM('Activation Detail'!J51,'Activation Detail'!J551,'Activation Detail'!J1051,'Activation Detail'!J1551,'Activation Detail'!J2051,'Activation Detail'!J2551,'Activation Detail'!J3051,'Activation Detail'!J3551)</f>
        <v>4238937.77515253</v>
      </c>
      <c r="H51" s="50" t="n">
        <f aca="false">SUM('Activation Detail'!K51,'Activation Detail'!K551,'Activation Detail'!K1051,'Activation Detail'!K1551,'Activation Detail'!K2051,'Activation Detail'!K2551,'Activation Detail'!K3051,'Activation Detail'!K3551)</f>
        <v>90972.8193605407</v>
      </c>
      <c r="I51" s="51" t="n">
        <f aca="false">IFERROR(H51/F51,0)</f>
        <v>1.21974250562137</v>
      </c>
      <c r="J51" s="49" t="n">
        <f aca="false">IFERROR(F51/E51,0)</f>
        <v>106.86641771293</v>
      </c>
      <c r="K51" s="46" t="n">
        <f aca="false">IFERROR(C51/B51,0)</f>
        <v>0.0704497269588845</v>
      </c>
      <c r="L51" s="47" t="n">
        <f aca="false">IFERROR(D51/B51,0)</f>
        <v>0.00412380087957547</v>
      </c>
      <c r="N51" s="48" t="n">
        <f aca="false">SUMIFS('Activation Detail'!$H$4:$H$4003,'Activation Detail'!$A$4:$A$4003,$A51,'Activation Detail'!$N$4:$N$4003,N$2)</f>
        <v>73.0032571925254</v>
      </c>
      <c r="O51" s="50" t="n">
        <f aca="false">N51*'Model Inputs &amp; Assumptions'!$D$40*'Model Inputs &amp; Assumptions'!$H$40</f>
        <v>620527.686136466</v>
      </c>
      <c r="P51" s="50" t="n">
        <f aca="false">N51*'Model Inputs &amp; Assumptions'!$G$40*'Model Inputs &amp; Assumptions'!$H$40</f>
        <v>13961.8729380705</v>
      </c>
      <c r="Q51" s="50" t="n">
        <f aca="false">SUMIFS('Activation Detail'!$I$4:$I$4003,'Activation Detail'!$A$4:$A$4003,$A51,'Activation Detail'!$N$4:$N$4003,N$2)</f>
        <v>18086.347</v>
      </c>
      <c r="R51" s="51" t="n">
        <f aca="false">IFERROR(P51/Q51,0)</f>
        <v>0.771956489503961</v>
      </c>
      <c r="S51" s="49" t="n">
        <f aca="false">IFERROR(Q51/N51,0)</f>
        <v>247.747123834521</v>
      </c>
      <c r="T51" s="48" t="n">
        <f aca="false">SUMIFS('Activation Detail'!$H$4:$H$4003,'Activation Detail'!$A$4:$A$4003,$A51,'Activation Detail'!$N$4:$N$4003,T$2)</f>
        <v>135.493988509636</v>
      </c>
      <c r="U51" s="50" t="n">
        <f aca="false">T51*'Model Inputs &amp; Assumptions'!$D$41*'Model Inputs &amp; Assumptions'!$H$41</f>
        <v>975556.71726938</v>
      </c>
      <c r="V51" s="50" t="n">
        <f aca="false">T51*'Model Inputs &amp; Assumptions'!$G$41*'Model Inputs &amp; Assumptions'!$H$41</f>
        <v>21511.0256157898</v>
      </c>
      <c r="W51" s="50" t="n">
        <f aca="false">SUMIFS('Activation Detail'!$I$4:$I$4003,'Activation Detail'!$A$4:$A$4003,$A51,'Activation Detail'!$N$4:$N$4003,T$2)</f>
        <v>15517.227414</v>
      </c>
      <c r="X51" s="51" t="n">
        <f aca="false">IFERROR(V51/W51,0)</f>
        <v>1.38626734286191</v>
      </c>
      <c r="Y51" s="49" t="n">
        <f aca="false">IFERROR(W51/T51,0)</f>
        <v>114.523364354991</v>
      </c>
      <c r="Z51" s="48" t="n">
        <f aca="false">SUMIFS('Activation Detail'!$H$4:$H$4003,'Activation Detail'!$A$4:$A$4003,$A51,'Activation Detail'!$N$4:$N$4003,Z$2)</f>
        <v>489.417291064201</v>
      </c>
      <c r="AA51" s="50" t="n">
        <f aca="false">Z51*'Model Inputs &amp; Assumptions'!$D$42*'Model Inputs &amp; Assumptions'!$H$42</f>
        <v>2642853.37174668</v>
      </c>
      <c r="AB51" s="50" t="n">
        <f aca="false">Z51*'Model Inputs &amp; Assumptions'!$G$42*'Model Inputs &amp; Assumptions'!$H$42</f>
        <v>55499.9208066804</v>
      </c>
      <c r="AC51" s="50" t="n">
        <f aca="false">SUMIFS('Activation Detail'!$I$4:$I$4003,'Activation Detail'!$A$4:$A$4003,$A51,'Activation Detail'!$N$4:$N$4003,Z$2)</f>
        <v>40980.052</v>
      </c>
      <c r="AD51" s="51" t="n">
        <f aca="false">IFERROR(AB51/AC51,0)</f>
        <v>1.35431552909402</v>
      </c>
      <c r="AE51" s="49" t="n">
        <f aca="false">IFERROR(AC51/Z51,0)</f>
        <v>83.7323338349816</v>
      </c>
    </row>
    <row r="52" customFormat="false" ht="15" hidden="false" customHeight="false" outlineLevel="0" collapsed="false">
      <c r="A52" s="43" t="n">
        <v>49</v>
      </c>
      <c r="B52" s="45" t="n">
        <f aca="false">SUM('Activation Detail'!C52,'Activation Detail'!C552,'Activation Detail'!C1052,'Activation Detail'!C1552,'Activation Detail'!C2052,'Activation Detail'!C2552,'Activation Detail'!C3052,'Activation Detail'!C3552)</f>
        <v>4466781</v>
      </c>
      <c r="C52" s="45" t="n">
        <f aca="false">SUM('Activation Detail'!E52,'Activation Detail'!E552,'Activation Detail'!E1052,'Activation Detail'!E1552,'Activation Detail'!E2052,'Activation Detail'!E2552,'Activation Detail'!E3052,'Activation Detail'!E3552)</f>
        <v>359530</v>
      </c>
      <c r="D52" s="45" t="n">
        <f aca="false">SUM('Activation Detail'!G52,'Activation Detail'!G552,'Activation Detail'!G1052,'Activation Detail'!G1552,'Activation Detail'!G2052,'Activation Detail'!G2552,'Activation Detail'!G3052,'Activation Detail'!G3552)</f>
        <v>18060</v>
      </c>
      <c r="E52" s="48" t="n">
        <f aca="false">SUM('Activation Detail'!H52,'Activation Detail'!H552,'Activation Detail'!H1052,'Activation Detail'!H1552,'Activation Detail'!H2052,'Activation Detail'!H2552,'Activation Detail'!H3052,'Activation Detail'!H3552)</f>
        <v>709.794680954771</v>
      </c>
      <c r="F52" s="50" t="n">
        <f aca="false">SUM('Activation Detail'!I52,'Activation Detail'!I552,'Activation Detail'!I1052,'Activation Detail'!I1552,'Activation Detail'!I2052,'Activation Detail'!I2552,'Activation Detail'!I3052,'Activation Detail'!I3552)</f>
        <v>79592.759586</v>
      </c>
      <c r="G52" s="50" t="n">
        <f aca="false">SUM('Activation Detail'!J52,'Activation Detail'!J552,'Activation Detail'!J1052,'Activation Detail'!J1552,'Activation Detail'!J2052,'Activation Detail'!J2552,'Activation Detail'!J3052,'Activation Detail'!J3552)</f>
        <v>4275363.16328771</v>
      </c>
      <c r="H52" s="50" t="n">
        <f aca="false">SUM('Activation Detail'!K52,'Activation Detail'!K552,'Activation Detail'!K1052,'Activation Detail'!K1552,'Activation Detail'!K2052,'Activation Detail'!K2552,'Activation Detail'!K3052,'Activation Detail'!K3552)</f>
        <v>91620.972423675</v>
      </c>
      <c r="I52" s="51" t="n">
        <f aca="false">IFERROR(H52/F52,0)</f>
        <v>1.15112194752688</v>
      </c>
      <c r="J52" s="49" t="n">
        <f aca="false">IFERROR(F52/E52,0)</f>
        <v>112.134905658826</v>
      </c>
      <c r="K52" s="46" t="n">
        <f aca="false">IFERROR(C52/B52,0)</f>
        <v>0.0804897307479368</v>
      </c>
      <c r="L52" s="47" t="n">
        <f aca="false">IFERROR(D52/B52,0)</f>
        <v>0.00404318008874847</v>
      </c>
      <c r="N52" s="48" t="n">
        <f aca="false">SUMIFS('Activation Detail'!$H$4:$H$4003,'Activation Detail'!$A$4:$A$4003,$A52,'Activation Detail'!$N$4:$N$4003,N$2)</f>
        <v>74.2071374855633</v>
      </c>
      <c r="O52" s="50" t="n">
        <f aca="false">N52*'Model Inputs &amp; Assumptions'!$D$40*'Model Inputs &amp; Assumptions'!$H$40</f>
        <v>630760.668627288</v>
      </c>
      <c r="P52" s="50" t="n">
        <f aca="false">N52*'Model Inputs &amp; Assumptions'!$G$40*'Model Inputs &amp; Assumptions'!$H$40</f>
        <v>14192.115044114</v>
      </c>
      <c r="Q52" s="50" t="n">
        <f aca="false">SUMIFS('Activation Detail'!$I$4:$I$4003,'Activation Detail'!$A$4:$A$4003,$A52,'Activation Detail'!$N$4:$N$4003,N$2)</f>
        <v>18076.7075</v>
      </c>
      <c r="R52" s="51" t="n">
        <f aca="false">IFERROR(P52/Q52,0)</f>
        <v>0.785105088640395</v>
      </c>
      <c r="S52" s="49" t="n">
        <f aca="false">IFERROR(Q52/N52,0)</f>
        <v>243.597962574917</v>
      </c>
      <c r="T52" s="48" t="n">
        <f aca="false">SUMIFS('Activation Detail'!$H$4:$H$4003,'Activation Detail'!$A$4:$A$4003,$A52,'Activation Detail'!$N$4:$N$4003,T$2)</f>
        <v>118.016533292613</v>
      </c>
      <c r="U52" s="50" t="n">
        <f aca="false">T52*'Model Inputs &amp; Assumptions'!$D$41*'Model Inputs &amp; Assumptions'!$H$41</f>
        <v>849719.039706812</v>
      </c>
      <c r="V52" s="50" t="n">
        <f aca="false">T52*'Model Inputs &amp; Assumptions'!$G$41*'Model Inputs &amp; Assumptions'!$H$41</f>
        <v>18736.3048255352</v>
      </c>
      <c r="W52" s="50" t="n">
        <f aca="false">SUMIFS('Activation Detail'!$I$4:$I$4003,'Activation Detail'!$A$4:$A$4003,$A52,'Activation Detail'!$N$4:$N$4003,T$2)</f>
        <v>17954.716086</v>
      </c>
      <c r="X52" s="51" t="n">
        <f aca="false">IFERROR(V52/W52,0)</f>
        <v>1.04353111103465</v>
      </c>
      <c r="Y52" s="49" t="n">
        <f aca="false">IFERROR(W52/T52,0)</f>
        <v>152.137294538916</v>
      </c>
      <c r="Z52" s="48" t="n">
        <f aca="false">SUMIFS('Activation Detail'!$H$4:$H$4003,'Activation Detail'!$A$4:$A$4003,$A52,'Activation Detail'!$N$4:$N$4003,Z$2)</f>
        <v>517.571010176595</v>
      </c>
      <c r="AA52" s="50" t="n">
        <f aca="false">Z52*'Model Inputs &amp; Assumptions'!$D$42*'Model Inputs &amp; Assumptions'!$H$42</f>
        <v>2794883.45495361</v>
      </c>
      <c r="AB52" s="50" t="n">
        <f aca="false">Z52*'Model Inputs &amp; Assumptions'!$G$42*'Model Inputs &amp; Assumptions'!$H$42</f>
        <v>58692.5525540259</v>
      </c>
      <c r="AC52" s="50" t="n">
        <f aca="false">SUMIFS('Activation Detail'!$I$4:$I$4003,'Activation Detail'!$A$4:$A$4003,$A52,'Activation Detail'!$N$4:$N$4003,Z$2)</f>
        <v>43561.336</v>
      </c>
      <c r="AD52" s="51" t="n">
        <f aca="false">IFERROR(AB52/AC52,0)</f>
        <v>1.3473542811916</v>
      </c>
      <c r="AE52" s="49" t="n">
        <f aca="false">IFERROR(AC52/Z52,0)</f>
        <v>84.1649457629725</v>
      </c>
    </row>
    <row r="53" customFormat="false" ht="15" hidden="false" customHeight="false" outlineLevel="0" collapsed="false">
      <c r="A53" s="43" t="n">
        <v>50</v>
      </c>
      <c r="B53" s="45" t="n">
        <f aca="false">SUM('Activation Detail'!C53,'Activation Detail'!C553,'Activation Detail'!C1053,'Activation Detail'!C1553,'Activation Detail'!C2053,'Activation Detail'!C2553,'Activation Detail'!C3053,'Activation Detail'!C3553)</f>
        <v>5168932</v>
      </c>
      <c r="C53" s="45" t="n">
        <f aca="false">SUM('Activation Detail'!E53,'Activation Detail'!E553,'Activation Detail'!E1053,'Activation Detail'!E1553,'Activation Detail'!E2053,'Activation Detail'!E2553,'Activation Detail'!E3053,'Activation Detail'!E3553)</f>
        <v>468575</v>
      </c>
      <c r="D53" s="45" t="n">
        <f aca="false">SUM('Activation Detail'!G53,'Activation Detail'!G553,'Activation Detail'!G1053,'Activation Detail'!G1553,'Activation Detail'!G2053,'Activation Detail'!G2553,'Activation Detail'!G3053,'Activation Detail'!G3553)</f>
        <v>18725</v>
      </c>
      <c r="E53" s="48" t="n">
        <f aca="false">SUM('Activation Detail'!H53,'Activation Detail'!H553,'Activation Detail'!H1053,'Activation Detail'!H1553,'Activation Detail'!H2053,'Activation Detail'!H2553,'Activation Detail'!H3053,'Activation Detail'!H3553)</f>
        <v>923.64073988152</v>
      </c>
      <c r="F53" s="50" t="n">
        <f aca="false">SUM('Activation Detail'!I53,'Activation Detail'!I553,'Activation Detail'!I1053,'Activation Detail'!I1553,'Activation Detail'!I2053,'Activation Detail'!I2553,'Activation Detail'!I3053,'Activation Detail'!I3553)</f>
        <v>83926.842426</v>
      </c>
      <c r="G53" s="50" t="n">
        <f aca="false">SUM('Activation Detail'!J53,'Activation Detail'!J553,'Activation Detail'!J1053,'Activation Detail'!J1553,'Activation Detail'!J2053,'Activation Detail'!J2553,'Activation Detail'!J3053,'Activation Detail'!J3553)</f>
        <v>5594021.78381971</v>
      </c>
      <c r="H53" s="50" t="n">
        <f aca="false">SUM('Activation Detail'!K53,'Activation Detail'!K553,'Activation Detail'!K1053,'Activation Detail'!K1553,'Activation Detail'!K2053,'Activation Detail'!K2553,'Activation Detail'!K3053,'Activation Detail'!K3553)</f>
        <v>119996.231017221</v>
      </c>
      <c r="I53" s="51" t="n">
        <f aca="false">IFERROR(H53/F53,0)</f>
        <v>1.42977178157304</v>
      </c>
      <c r="J53" s="49" t="n">
        <f aca="false">IFERROR(F53/E53,0)</f>
        <v>90.8652453298734</v>
      </c>
      <c r="K53" s="46" t="n">
        <f aca="false">IFERROR(C53/B53,0)</f>
        <v>0.0906521888854409</v>
      </c>
      <c r="L53" s="47" t="n">
        <f aca="false">IFERROR(D53/B53,0)</f>
        <v>0.0036226052112893</v>
      </c>
      <c r="N53" s="48" t="n">
        <f aca="false">SUMIFS('Activation Detail'!$H$4:$H$4003,'Activation Detail'!$A$4:$A$4003,$A53,'Activation Detail'!$N$4:$N$4003,N$2)</f>
        <v>92.3924241572755</v>
      </c>
      <c r="O53" s="50" t="n">
        <f aca="false">N53*'Model Inputs &amp; Assumptions'!$D$40*'Model Inputs &amp; Assumptions'!$H$40</f>
        <v>785335.605336842</v>
      </c>
      <c r="P53" s="50" t="n">
        <f aca="false">N53*'Model Inputs &amp; Assumptions'!$G$40*'Model Inputs &amp; Assumptions'!$H$40</f>
        <v>17670.0511200789</v>
      </c>
      <c r="Q53" s="50" t="n">
        <f aca="false">SUMIFS('Activation Detail'!$I$4:$I$4003,'Activation Detail'!$A$4:$A$4003,$A53,'Activation Detail'!$N$4:$N$4003,N$2)</f>
        <v>17986.4875</v>
      </c>
      <c r="R53" s="51" t="n">
        <f aca="false">IFERROR(P53/Q53,0)</f>
        <v>0.982406994143739</v>
      </c>
      <c r="S53" s="49" t="n">
        <f aca="false">IFERROR(Q53/N53,0)</f>
        <v>194.67491695404</v>
      </c>
      <c r="T53" s="48" t="n">
        <f aca="false">SUMIFS('Activation Detail'!$H$4:$H$4003,'Activation Detail'!$A$4:$A$4003,$A53,'Activation Detail'!$N$4:$N$4003,T$2)</f>
        <v>177.747374206641</v>
      </c>
      <c r="U53" s="50" t="n">
        <f aca="false">T53*'Model Inputs &amp; Assumptions'!$D$41*'Model Inputs &amp; Assumptions'!$H$41</f>
        <v>1279781.09428781</v>
      </c>
      <c r="V53" s="50" t="n">
        <f aca="false">T53*'Model Inputs &amp; Assumptions'!$G$41*'Model Inputs &amp; Assumptions'!$H$41</f>
        <v>28219.1731290463</v>
      </c>
      <c r="W53" s="50" t="n">
        <f aca="false">SUMIFS('Activation Detail'!$I$4:$I$4003,'Activation Detail'!$A$4:$A$4003,$A53,'Activation Detail'!$N$4:$N$4003,T$2)</f>
        <v>18065.870926</v>
      </c>
      <c r="X53" s="51" t="n">
        <f aca="false">IFERROR(V53/W53,0)</f>
        <v>1.56201565065064</v>
      </c>
      <c r="Y53" s="49" t="n">
        <f aca="false">IFERROR(W53/T53,0)</f>
        <v>101.637906082356</v>
      </c>
      <c r="Z53" s="48" t="n">
        <f aca="false">SUMIFS('Activation Detail'!$H$4:$H$4003,'Activation Detail'!$A$4:$A$4003,$A53,'Activation Detail'!$N$4:$N$4003,Z$2)</f>
        <v>653.500941517603</v>
      </c>
      <c r="AA53" s="50" t="n">
        <f aca="false">Z53*'Model Inputs &amp; Assumptions'!$D$42*'Model Inputs &amp; Assumptions'!$H$42</f>
        <v>3528905.08419506</v>
      </c>
      <c r="AB53" s="50" t="n">
        <f aca="false">Z53*'Model Inputs &amp; Assumptions'!$G$42*'Model Inputs &amp; Assumptions'!$H$42</f>
        <v>74107.0067680962</v>
      </c>
      <c r="AC53" s="50" t="n">
        <f aca="false">SUMIFS('Activation Detail'!$I$4:$I$4003,'Activation Detail'!$A$4:$A$4003,$A53,'Activation Detail'!$N$4:$N$4003,Z$2)</f>
        <v>47874.484</v>
      </c>
      <c r="AD53" s="51" t="n">
        <f aca="false">IFERROR(AB53/AC53,0)</f>
        <v>1.54794371816302</v>
      </c>
      <c r="AE53" s="49" t="n">
        <f aca="false">IFERROR(AC53/Z53,0)</f>
        <v>73.2584774687894</v>
      </c>
    </row>
    <row r="54" customFormat="false" ht="15" hidden="false" customHeight="false" outlineLevel="0" collapsed="false">
      <c r="A54" s="43" t="n">
        <v>51</v>
      </c>
      <c r="B54" s="45" t="n">
        <f aca="false">SUM('Activation Detail'!C54,'Activation Detail'!C554,'Activation Detail'!C1054,'Activation Detail'!C1554,'Activation Detail'!C2054,'Activation Detail'!C2554,'Activation Detail'!C3054,'Activation Detail'!C3554)</f>
        <v>3356695</v>
      </c>
      <c r="C54" s="45" t="n">
        <f aca="false">SUM('Activation Detail'!E54,'Activation Detail'!E554,'Activation Detail'!E1054,'Activation Detail'!E1554,'Activation Detail'!E2054,'Activation Detail'!E2554,'Activation Detail'!E3054,'Activation Detail'!E3554)</f>
        <v>378092</v>
      </c>
      <c r="D54" s="45" t="n">
        <f aca="false">SUM('Activation Detail'!G54,'Activation Detail'!G554,'Activation Detail'!G1054,'Activation Detail'!G1554,'Activation Detail'!G2054,'Activation Detail'!G2554,'Activation Detail'!G3054,'Activation Detail'!G3554)</f>
        <v>16220</v>
      </c>
      <c r="E54" s="48" t="n">
        <f aca="false">SUM('Activation Detail'!H54,'Activation Detail'!H554,'Activation Detail'!H1054,'Activation Detail'!H1554,'Activation Detail'!H2054,'Activation Detail'!H2554,'Activation Detail'!H3054,'Activation Detail'!H3554)</f>
        <v>774.220763036894</v>
      </c>
      <c r="F54" s="50" t="n">
        <f aca="false">SUM('Activation Detail'!I54,'Activation Detail'!I554,'Activation Detail'!I1054,'Activation Detail'!I1554,'Activation Detail'!I2054,'Activation Detail'!I2554,'Activation Detail'!I3054,'Activation Detail'!I3554)</f>
        <v>68140.59938</v>
      </c>
      <c r="G54" s="50" t="n">
        <f aca="false">SUM('Activation Detail'!J54,'Activation Detail'!J554,'Activation Detail'!J1054,'Activation Detail'!J1554,'Activation Detail'!J2054,'Activation Detail'!J2554,'Activation Detail'!J3054,'Activation Detail'!J3554)</f>
        <v>4736813.87906225</v>
      </c>
      <c r="H54" s="50" t="n">
        <f aca="false">SUM('Activation Detail'!K54,'Activation Detail'!K554,'Activation Detail'!K1054,'Activation Detail'!K1554,'Activation Detail'!K2054,'Activation Detail'!K2554,'Activation Detail'!K3054,'Activation Detail'!K3554)</f>
        <v>101780.444746854</v>
      </c>
      <c r="I54" s="51" t="n">
        <f aca="false">IFERROR(H54/F54,0)</f>
        <v>1.49368285094256</v>
      </c>
      <c r="J54" s="49" t="n">
        <f aca="false">IFERROR(F54/E54,0)</f>
        <v>88.0118470508559</v>
      </c>
      <c r="K54" s="46" t="n">
        <f aca="false">IFERROR(C54/B54,0)</f>
        <v>0.112638175348073</v>
      </c>
      <c r="L54" s="47" t="n">
        <f aca="false">IFERROR(D54/B54,0)</f>
        <v>0.00483213398893852</v>
      </c>
      <c r="N54" s="48" t="n">
        <f aca="false">SUMIFS('Activation Detail'!$H$4:$H$4003,'Activation Detail'!$A$4:$A$4003,$A54,'Activation Detail'!$N$4:$N$4003,N$2)</f>
        <v>103.474443845656</v>
      </c>
      <c r="O54" s="50" t="n">
        <f aca="false">N54*'Model Inputs &amp; Assumptions'!$D$40*'Model Inputs &amp; Assumptions'!$H$40</f>
        <v>879532.772688074</v>
      </c>
      <c r="P54" s="50" t="n">
        <f aca="false">N54*'Model Inputs &amp; Assumptions'!$G$40*'Model Inputs &amp; Assumptions'!$H$40</f>
        <v>19789.4873854817</v>
      </c>
      <c r="Q54" s="50" t="n">
        <f aca="false">SUMIFS('Activation Detail'!$I$4:$I$4003,'Activation Detail'!$A$4:$A$4003,$A54,'Activation Detail'!$N$4:$N$4003,N$2)</f>
        <v>17635.013</v>
      </c>
      <c r="R54" s="51" t="n">
        <f aca="false">IFERROR(P54/Q54,0)</f>
        <v>1.12217027486635</v>
      </c>
      <c r="S54" s="49" t="n">
        <f aca="false">IFERROR(Q54/N54,0)</f>
        <v>170.42868117566</v>
      </c>
      <c r="T54" s="48" t="n">
        <f aca="false">SUMIFS('Activation Detail'!$H$4:$H$4003,'Activation Detail'!$A$4:$A$4003,$A54,'Activation Detail'!$N$4:$N$4003,T$2)</f>
        <v>130.694990411938</v>
      </c>
      <c r="U54" s="50" t="n">
        <f aca="false">T54*'Model Inputs &amp; Assumptions'!$D$41*'Model Inputs &amp; Assumptions'!$H$41</f>
        <v>941003.930965951</v>
      </c>
      <c r="V54" s="50" t="n">
        <f aca="false">T54*'Model Inputs &amp; Assumptions'!$G$41*'Model Inputs &amp; Assumptions'!$H$41</f>
        <v>20749.1366777992</v>
      </c>
      <c r="W54" s="50" t="n">
        <f aca="false">SUMIFS('Activation Detail'!$I$4:$I$4003,'Activation Detail'!$A$4:$A$4003,$A54,'Activation Detail'!$N$4:$N$4003,T$2)</f>
        <v>16931.97038</v>
      </c>
      <c r="X54" s="51" t="n">
        <f aca="false">IFERROR(V54/W54,0)</f>
        <v>1.22544135219537</v>
      </c>
      <c r="Y54" s="49" t="n">
        <f aca="false">IFERROR(W54/T54,0)</f>
        <v>129.553323556107</v>
      </c>
      <c r="Z54" s="48" t="n">
        <f aca="false">SUMIFS('Activation Detail'!$H$4:$H$4003,'Activation Detail'!$A$4:$A$4003,$A54,'Activation Detail'!$N$4:$N$4003,Z$2)</f>
        <v>540.0513287793</v>
      </c>
      <c r="AA54" s="50" t="n">
        <f aca="false">Z54*'Model Inputs &amp; Assumptions'!$D$42*'Model Inputs &amp; Assumptions'!$H$42</f>
        <v>2916277.17540822</v>
      </c>
      <c r="AB54" s="50" t="n">
        <f aca="false">Z54*'Model Inputs &amp; Assumptions'!$G$42*'Model Inputs &amp; Assumptions'!$H$42</f>
        <v>61241.8206835727</v>
      </c>
      <c r="AC54" s="50" t="n">
        <f aca="false">SUMIFS('Activation Detail'!$I$4:$I$4003,'Activation Detail'!$A$4:$A$4003,$A54,'Activation Detail'!$N$4:$N$4003,Z$2)</f>
        <v>33573.616</v>
      </c>
      <c r="AD54" s="51" t="n">
        <f aca="false">IFERROR(AB54/AC54,0)</f>
        <v>1.82410559183058</v>
      </c>
      <c r="AE54" s="49" t="n">
        <f aca="false">IFERROR(AC54/Z54,0)</f>
        <v>62.167453741643</v>
      </c>
    </row>
    <row r="55" customFormat="false" ht="15" hidden="false" customHeight="false" outlineLevel="0" collapsed="false">
      <c r="A55" s="43" t="n">
        <v>52</v>
      </c>
      <c r="B55" s="45" t="n">
        <f aca="false">SUM('Activation Detail'!C55,'Activation Detail'!C555,'Activation Detail'!C1055,'Activation Detail'!C1555,'Activation Detail'!C2055,'Activation Detail'!C2555,'Activation Detail'!C3055,'Activation Detail'!C3555)</f>
        <v>3781344</v>
      </c>
      <c r="C55" s="45" t="n">
        <f aca="false">SUM('Activation Detail'!E55,'Activation Detail'!E555,'Activation Detail'!E1055,'Activation Detail'!E1555,'Activation Detail'!E2055,'Activation Detail'!E2555,'Activation Detail'!E3055,'Activation Detail'!E3555)</f>
        <v>345822</v>
      </c>
      <c r="D55" s="45" t="n">
        <f aca="false">SUM('Activation Detail'!G55,'Activation Detail'!G555,'Activation Detail'!G1055,'Activation Detail'!G1555,'Activation Detail'!G2055,'Activation Detail'!G2555,'Activation Detail'!G3055,'Activation Detail'!G3555)</f>
        <v>14127</v>
      </c>
      <c r="E55" s="48" t="n">
        <f aca="false">SUM('Activation Detail'!H55,'Activation Detail'!H555,'Activation Detail'!H1055,'Activation Detail'!H1555,'Activation Detail'!H2055,'Activation Detail'!H2555,'Activation Detail'!H3055,'Activation Detail'!H3555)</f>
        <v>660.333549599944</v>
      </c>
      <c r="F55" s="50" t="n">
        <f aca="false">SUM('Activation Detail'!I55,'Activation Detail'!I555,'Activation Detail'!I1055,'Activation Detail'!I1555,'Activation Detail'!I2055,'Activation Detail'!I2555,'Activation Detail'!I3055,'Activation Detail'!I3555)</f>
        <v>66788.02202</v>
      </c>
      <c r="G55" s="50" t="n">
        <f aca="false">SUM('Activation Detail'!J55,'Activation Detail'!J555,'Activation Detail'!J1055,'Activation Detail'!J1555,'Activation Detail'!J2055,'Activation Detail'!J2555,'Activation Detail'!J3055,'Activation Detail'!J3555)</f>
        <v>4002198.91365111</v>
      </c>
      <c r="H55" s="50" t="n">
        <f aca="false">SUM('Activation Detail'!K55,'Activation Detail'!K555,'Activation Detail'!K1055,'Activation Detail'!K1555,'Activation Detail'!K2055,'Activation Detail'!K2555,'Activation Detail'!K3055,'Activation Detail'!K3555)</f>
        <v>85861.6707570528</v>
      </c>
      <c r="I55" s="51" t="n">
        <f aca="false">IFERROR(H55/F55,0)</f>
        <v>1.2855848722596</v>
      </c>
      <c r="J55" s="49" t="n">
        <f aca="false">IFERROR(F55/E55,0)</f>
        <v>101.142857364226</v>
      </c>
      <c r="K55" s="46" t="n">
        <f aca="false">IFERROR(C55/B55,0)</f>
        <v>0.0914547843306507</v>
      </c>
      <c r="L55" s="47" t="n">
        <f aca="false">IFERROR(D55/B55,0)</f>
        <v>0.00373597324126025</v>
      </c>
      <c r="N55" s="48" t="n">
        <f aca="false">SUMIFS('Activation Detail'!$H$4:$H$4003,'Activation Detail'!$A$4:$A$4003,$A55,'Activation Detail'!$N$4:$N$4003,N$2)</f>
        <v>64.3591186233356</v>
      </c>
      <c r="O55" s="50" t="n">
        <f aca="false">N55*'Model Inputs &amp; Assumptions'!$D$40*'Model Inputs &amp; Assumptions'!$H$40</f>
        <v>547052.508298352</v>
      </c>
      <c r="P55" s="50" t="n">
        <f aca="false">N55*'Model Inputs &amp; Assumptions'!$G$40*'Model Inputs &amp; Assumptions'!$H$40</f>
        <v>12308.6814367129</v>
      </c>
      <c r="Q55" s="50" t="n">
        <f aca="false">SUMIFS('Activation Detail'!$I$4:$I$4003,'Activation Detail'!$A$4:$A$4003,$A55,'Activation Detail'!$N$4:$N$4003,N$2)</f>
        <v>17629.4685</v>
      </c>
      <c r="R55" s="51" t="n">
        <f aca="false">IFERROR(P55/Q55,0)</f>
        <v>0.698187891297626</v>
      </c>
      <c r="S55" s="49" t="n">
        <f aca="false">IFERROR(Q55/N55,0)</f>
        <v>273.923398534669</v>
      </c>
      <c r="T55" s="48" t="n">
        <f aca="false">SUMIFS('Activation Detail'!$H$4:$H$4003,'Activation Detail'!$A$4:$A$4003,$A55,'Activation Detail'!$N$4:$N$4003,T$2)</f>
        <v>131.602487821704</v>
      </c>
      <c r="U55" s="50" t="n">
        <f aca="false">T55*'Model Inputs &amp; Assumptions'!$D$41*'Model Inputs &amp; Assumptions'!$H$41</f>
        <v>947537.912316266</v>
      </c>
      <c r="V55" s="50" t="n">
        <f aca="false">T55*'Model Inputs &amp; Assumptions'!$G$41*'Model Inputs &amp; Assumptions'!$H$41</f>
        <v>20893.2109665737</v>
      </c>
      <c r="W55" s="50" t="n">
        <f aca="false">SUMIFS('Activation Detail'!$I$4:$I$4003,'Activation Detail'!$A$4:$A$4003,$A55,'Activation Detail'!$N$4:$N$4003,T$2)</f>
        <v>15150.47752</v>
      </c>
      <c r="X55" s="51" t="n">
        <f aca="false">IFERROR(V55/W55,0)</f>
        <v>1.37904636596389</v>
      </c>
      <c r="Y55" s="49" t="n">
        <f aca="false">IFERROR(W55/T55,0)</f>
        <v>115.12303278435</v>
      </c>
      <c r="Z55" s="48" t="n">
        <f aca="false">SUMIFS('Activation Detail'!$H$4:$H$4003,'Activation Detail'!$A$4:$A$4003,$A55,'Activation Detail'!$N$4:$N$4003,Z$2)</f>
        <v>464.371943154905</v>
      </c>
      <c r="AA55" s="50" t="n">
        <f aca="false">Z55*'Model Inputs &amp; Assumptions'!$D$42*'Model Inputs &amp; Assumptions'!$H$42</f>
        <v>2507608.49303649</v>
      </c>
      <c r="AB55" s="50" t="n">
        <f aca="false">Z55*'Model Inputs &amp; Assumptions'!$G$42*'Model Inputs &amp; Assumptions'!$H$42</f>
        <v>52659.7783537663</v>
      </c>
      <c r="AC55" s="50" t="n">
        <f aca="false">SUMIFS('Activation Detail'!$I$4:$I$4003,'Activation Detail'!$A$4:$A$4003,$A55,'Activation Detail'!$N$4:$N$4003,Z$2)</f>
        <v>34008.076</v>
      </c>
      <c r="AD55" s="51" t="n">
        <f aca="false">IFERROR(AB55/AC55,0)</f>
        <v>1.54844920817532</v>
      </c>
      <c r="AE55" s="49" t="n">
        <f aca="false">IFERROR(AC55/Z55,0)</f>
        <v>73.2345622970929</v>
      </c>
    </row>
    <row r="56" customFormat="false" ht="15" hidden="false" customHeight="false" outlineLevel="0" collapsed="false">
      <c r="A56" s="43" t="n">
        <v>53</v>
      </c>
      <c r="B56" s="45" t="n">
        <f aca="false">SUM('Activation Detail'!C56,'Activation Detail'!C556,'Activation Detail'!C1056,'Activation Detail'!C1556,'Activation Detail'!C2056,'Activation Detail'!C2556,'Activation Detail'!C3056,'Activation Detail'!C3556)</f>
        <v>4273082</v>
      </c>
      <c r="C56" s="45" t="n">
        <f aca="false">SUM('Activation Detail'!E56,'Activation Detail'!E556,'Activation Detail'!E1056,'Activation Detail'!E1556,'Activation Detail'!E2056,'Activation Detail'!E2556,'Activation Detail'!E3056,'Activation Detail'!E3556)</f>
        <v>401555</v>
      </c>
      <c r="D56" s="45" t="n">
        <f aca="false">SUM('Activation Detail'!G56,'Activation Detail'!G556,'Activation Detail'!G1056,'Activation Detail'!G1556,'Activation Detail'!G2056,'Activation Detail'!G2556,'Activation Detail'!G3056,'Activation Detail'!G3556)</f>
        <v>16631</v>
      </c>
      <c r="E56" s="48" t="n">
        <f aca="false">SUM('Activation Detail'!H56,'Activation Detail'!H556,'Activation Detail'!H1056,'Activation Detail'!H1556,'Activation Detail'!H2056,'Activation Detail'!H2556,'Activation Detail'!H3056,'Activation Detail'!H3556)</f>
        <v>630.354642025317</v>
      </c>
      <c r="F56" s="50" t="n">
        <f aca="false">SUM('Activation Detail'!I56,'Activation Detail'!I556,'Activation Detail'!I1056,'Activation Detail'!I1556,'Activation Detail'!I2056,'Activation Detail'!I2556,'Activation Detail'!I3056,'Activation Detail'!I3556)</f>
        <v>70351.768078</v>
      </c>
      <c r="G56" s="50" t="n">
        <f aca="false">SUM('Activation Detail'!J56,'Activation Detail'!J556,'Activation Detail'!J1056,'Activation Detail'!J1556,'Activation Detail'!J2056,'Activation Detail'!J2556,'Activation Detail'!J3056,'Activation Detail'!J3556)</f>
        <v>3923692.50539174</v>
      </c>
      <c r="H56" s="50" t="n">
        <f aca="false">SUM('Activation Detail'!K56,'Activation Detail'!K556,'Activation Detail'!K1056,'Activation Detail'!K1556,'Activation Detail'!K2056,'Activation Detail'!K2556,'Activation Detail'!K3056,'Activation Detail'!K3556)</f>
        <v>84551.1634924918</v>
      </c>
      <c r="I56" s="51" t="n">
        <f aca="false">IFERROR(H56/F56,0)</f>
        <v>1.20183423675648</v>
      </c>
      <c r="J56" s="49" t="n">
        <f aca="false">IFERROR(F56/E56,0)</f>
        <v>111.606647096246</v>
      </c>
      <c r="K56" s="46" t="n">
        <f aca="false">IFERROR(C56/B56,0)</f>
        <v>0.0939731556754586</v>
      </c>
      <c r="L56" s="47" t="n">
        <f aca="false">IFERROR(D56/B56,0)</f>
        <v>0.00389203858011618</v>
      </c>
      <c r="N56" s="48" t="n">
        <f aca="false">SUMIFS('Activation Detail'!$H$4:$H$4003,'Activation Detail'!$A$4:$A$4003,$A56,'Activation Detail'!$N$4:$N$4003,N$2)</f>
        <v>109.053193503281</v>
      </c>
      <c r="O56" s="50" t="n">
        <f aca="false">N56*'Model Inputs &amp; Assumptions'!$D$40*'Model Inputs &amp; Assumptions'!$H$40</f>
        <v>926952.144777885</v>
      </c>
      <c r="P56" s="50" t="n">
        <f aca="false">N56*'Model Inputs &amp; Assumptions'!$G$40*'Model Inputs &amp; Assumptions'!$H$40</f>
        <v>20856.4232575024</v>
      </c>
      <c r="Q56" s="50" t="n">
        <f aca="false">SUMIFS('Activation Detail'!$I$4:$I$4003,'Activation Detail'!$A$4:$A$4003,$A56,'Activation Detail'!$N$4:$N$4003,N$2)</f>
        <v>17711.609</v>
      </c>
      <c r="R56" s="51" t="n">
        <f aca="false">IFERROR(P56/Q56,0)</f>
        <v>1.17755666678857</v>
      </c>
      <c r="S56" s="49" t="n">
        <f aca="false">IFERROR(Q56/N56,0)</f>
        <v>162.412566115885</v>
      </c>
      <c r="T56" s="48" t="n">
        <f aca="false">SUMIFS('Activation Detail'!$H$4:$H$4003,'Activation Detail'!$A$4:$A$4003,$A56,'Activation Detail'!$N$4:$N$4003,T$2)</f>
        <v>100.951410330478</v>
      </c>
      <c r="U56" s="50" t="n">
        <f aca="false">T56*'Model Inputs &amp; Assumptions'!$D$41*'Model Inputs &amp; Assumptions'!$H$41</f>
        <v>726850.154379441</v>
      </c>
      <c r="V56" s="50" t="n">
        <f aca="false">T56*'Model Inputs &amp; Assumptions'!$G$41*'Model Inputs &amp; Assumptions'!$H$41</f>
        <v>16027.0459040667</v>
      </c>
      <c r="W56" s="50" t="n">
        <f aca="false">SUMIFS('Activation Detail'!$I$4:$I$4003,'Activation Detail'!$A$4:$A$4003,$A56,'Activation Detail'!$N$4:$N$4003,T$2)</f>
        <v>16744.339078</v>
      </c>
      <c r="X56" s="51" t="n">
        <f aca="false">IFERROR(V56/W56,0)</f>
        <v>0.957162049180205</v>
      </c>
      <c r="Y56" s="49" t="n">
        <f aca="false">IFERROR(W56/T56,0)</f>
        <v>165.865330887257</v>
      </c>
      <c r="Z56" s="48" t="n">
        <f aca="false">SUMIFS('Activation Detail'!$H$4:$H$4003,'Activation Detail'!$A$4:$A$4003,$A56,'Activation Detail'!$N$4:$N$4003,Z$2)</f>
        <v>420.350038191559</v>
      </c>
      <c r="AA56" s="50" t="n">
        <f aca="false">Z56*'Model Inputs &amp; Assumptions'!$D$42*'Model Inputs &amp; Assumptions'!$H$42</f>
        <v>2269890.20623442</v>
      </c>
      <c r="AB56" s="50" t="n">
        <f aca="false">Z56*'Model Inputs &amp; Assumptions'!$G$42*'Model Inputs &amp; Assumptions'!$H$42</f>
        <v>47667.6943309227</v>
      </c>
      <c r="AC56" s="50" t="n">
        <f aca="false">SUMIFS('Activation Detail'!$I$4:$I$4003,'Activation Detail'!$A$4:$A$4003,$A56,'Activation Detail'!$N$4:$N$4003,Z$2)</f>
        <v>35895.82</v>
      </c>
      <c r="AD56" s="51" t="n">
        <f aca="false">IFERROR(AB56/AC56,0)</f>
        <v>1.32794554716741</v>
      </c>
      <c r="AE56" s="49" t="n">
        <f aca="false">IFERROR(AC56/Z56,0)</f>
        <v>85.3950677735917</v>
      </c>
    </row>
    <row r="57" customFormat="false" ht="15" hidden="false" customHeight="false" outlineLevel="0" collapsed="false">
      <c r="A57" s="43" t="n">
        <v>54</v>
      </c>
      <c r="B57" s="45" t="n">
        <f aca="false">SUM('Activation Detail'!C57,'Activation Detail'!C557,'Activation Detail'!C1057,'Activation Detail'!C1557,'Activation Detail'!C2057,'Activation Detail'!C2557,'Activation Detail'!C3057,'Activation Detail'!C3557)</f>
        <v>3487459</v>
      </c>
      <c r="C57" s="45" t="n">
        <f aca="false">SUM('Activation Detail'!E57,'Activation Detail'!E557,'Activation Detail'!E1057,'Activation Detail'!E1557,'Activation Detail'!E2057,'Activation Detail'!E2557,'Activation Detail'!E3057,'Activation Detail'!E3557)</f>
        <v>256291</v>
      </c>
      <c r="D57" s="45" t="n">
        <f aca="false">SUM('Activation Detail'!G57,'Activation Detail'!G557,'Activation Detail'!G1057,'Activation Detail'!G1557,'Activation Detail'!G2057,'Activation Detail'!G2557,'Activation Detail'!G3057,'Activation Detail'!G3557)</f>
        <v>12628</v>
      </c>
      <c r="E57" s="48" t="n">
        <f aca="false">SUM('Activation Detail'!H57,'Activation Detail'!H557,'Activation Detail'!H1057,'Activation Detail'!H1557,'Activation Detail'!H2057,'Activation Detail'!H2557,'Activation Detail'!H3057,'Activation Detail'!H3557)</f>
        <v>571.947674825984</v>
      </c>
      <c r="F57" s="50" t="n">
        <f aca="false">SUM('Activation Detail'!I57,'Activation Detail'!I557,'Activation Detail'!I1057,'Activation Detail'!I1557,'Activation Detail'!I2057,'Activation Detail'!I2557,'Activation Detail'!I3057,'Activation Detail'!I3557)</f>
        <v>69179.908138</v>
      </c>
      <c r="G57" s="50" t="n">
        <f aca="false">SUM('Activation Detail'!J57,'Activation Detail'!J557,'Activation Detail'!J1057,'Activation Detail'!J1557,'Activation Detail'!J2057,'Activation Detail'!J2557,'Activation Detail'!J3057,'Activation Detail'!J3557)</f>
        <v>3594041.64172873</v>
      </c>
      <c r="H57" s="50" t="n">
        <f aca="false">SUM('Activation Detail'!K57,'Activation Detail'!K557,'Activation Detail'!K1057,'Activation Detail'!K1557,'Activation Detail'!K2057,'Activation Detail'!K2557,'Activation Detail'!K3057,'Activation Detail'!K3557)</f>
        <v>77575.9656925201</v>
      </c>
      <c r="I57" s="51" t="n">
        <f aca="false">IFERROR(H57/F57,0)</f>
        <v>1.12136554934088</v>
      </c>
      <c r="J57" s="49" t="n">
        <f aca="false">IFERROR(F57/E57,0)</f>
        <v>120.954960012816</v>
      </c>
      <c r="K57" s="46" t="n">
        <f aca="false">IFERROR(C57/B57,0)</f>
        <v>0.0734893227418588</v>
      </c>
      <c r="L57" s="47" t="n">
        <f aca="false">IFERROR(D57/B57,0)</f>
        <v>0.00362097446880379</v>
      </c>
      <c r="N57" s="48" t="n">
        <f aca="false">SUMIFS('Activation Detail'!$H$4:$H$4003,'Activation Detail'!$A$4:$A$4003,$A57,'Activation Detail'!$N$4:$N$4003,N$2)</f>
        <v>81.8904221877604</v>
      </c>
      <c r="O57" s="50" t="n">
        <f aca="false">N57*'Model Inputs &amp; Assumptions'!$D$40*'Model Inputs &amp; Assumptions'!$H$40</f>
        <v>696068.588595963</v>
      </c>
      <c r="P57" s="50" t="n">
        <f aca="false">N57*'Model Inputs &amp; Assumptions'!$G$40*'Model Inputs &amp; Assumptions'!$H$40</f>
        <v>15661.5432434092</v>
      </c>
      <c r="Q57" s="50" t="n">
        <f aca="false">SUMIFS('Activation Detail'!$I$4:$I$4003,'Activation Detail'!$A$4:$A$4003,$A57,'Activation Detail'!$N$4:$N$4003,N$2)</f>
        <v>17689.7105</v>
      </c>
      <c r="R57" s="51" t="n">
        <f aca="false">IFERROR(P57/Q57,0)</f>
        <v>0.88534762869122</v>
      </c>
      <c r="S57" s="49" t="n">
        <f aca="false">IFERROR(Q57/N57,0)</f>
        <v>216.016843330476</v>
      </c>
      <c r="T57" s="48" t="n">
        <f aca="false">SUMIFS('Activation Detail'!$H$4:$H$4003,'Activation Detail'!$A$4:$A$4003,$A57,'Activation Detail'!$N$4:$N$4003,T$2)</f>
        <v>139.813271603534</v>
      </c>
      <c r="U57" s="50" t="n">
        <f aca="false">T57*'Model Inputs &amp; Assumptions'!$D$41*'Model Inputs &amp; Assumptions'!$H$41</f>
        <v>1006655.55554545</v>
      </c>
      <c r="V57" s="50" t="n">
        <f aca="false">T57*'Model Inputs &amp; Assumptions'!$G$41*'Model Inputs &amp; Assumptions'!$H$41</f>
        <v>22196.7549997771</v>
      </c>
      <c r="W57" s="50" t="n">
        <f aca="false">SUMIFS('Activation Detail'!$I$4:$I$4003,'Activation Detail'!$A$4:$A$4003,$A57,'Activation Detail'!$N$4:$N$4003,T$2)</f>
        <v>15512.093638</v>
      </c>
      <c r="X57" s="51" t="n">
        <f aca="false">IFERROR(V57/W57,0)</f>
        <v>1.430932246657</v>
      </c>
      <c r="Y57" s="49" t="n">
        <f aca="false">IFERROR(W57/T57,0)</f>
        <v>110.948649295522</v>
      </c>
      <c r="Z57" s="48" t="n">
        <f aca="false">SUMIFS('Activation Detail'!$H$4:$H$4003,'Activation Detail'!$A$4:$A$4003,$A57,'Activation Detail'!$N$4:$N$4003,Z$2)</f>
        <v>350.24398103469</v>
      </c>
      <c r="AA57" s="50" t="n">
        <f aca="false">Z57*'Model Inputs &amp; Assumptions'!$D$42*'Model Inputs &amp; Assumptions'!$H$42</f>
        <v>1891317.49758733</v>
      </c>
      <c r="AB57" s="50" t="n">
        <f aca="false">Z57*'Model Inputs &amp; Assumptions'!$G$42*'Model Inputs &amp; Assumptions'!$H$42</f>
        <v>39717.6674493338</v>
      </c>
      <c r="AC57" s="50" t="n">
        <f aca="false">SUMIFS('Activation Detail'!$I$4:$I$4003,'Activation Detail'!$A$4:$A$4003,$A57,'Activation Detail'!$N$4:$N$4003,Z$2)</f>
        <v>35978.104</v>
      </c>
      <c r="AD57" s="51" t="n">
        <f aca="false">IFERROR(AB57/AC57,0)</f>
        <v>1.10393998108777</v>
      </c>
      <c r="AE57" s="49" t="n">
        <f aca="false">IFERROR(AC57/Z57,0)</f>
        <v>102.722975834484</v>
      </c>
    </row>
    <row r="58" customFormat="false" ht="15" hidden="false" customHeight="false" outlineLevel="0" collapsed="false">
      <c r="A58" s="43" t="n">
        <v>55</v>
      </c>
      <c r="B58" s="45" t="n">
        <f aca="false">SUM('Activation Detail'!C58,'Activation Detail'!C558,'Activation Detail'!C1058,'Activation Detail'!C1558,'Activation Detail'!C2058,'Activation Detail'!C2558,'Activation Detail'!C3058,'Activation Detail'!C3558)</f>
        <v>4514353</v>
      </c>
      <c r="C58" s="45" t="n">
        <f aca="false">SUM('Activation Detail'!E58,'Activation Detail'!E558,'Activation Detail'!E1058,'Activation Detail'!E1558,'Activation Detail'!E2058,'Activation Detail'!E2558,'Activation Detail'!E3058,'Activation Detail'!E3558)</f>
        <v>495189</v>
      </c>
      <c r="D58" s="45" t="n">
        <f aca="false">SUM('Activation Detail'!G58,'Activation Detail'!G558,'Activation Detail'!G1058,'Activation Detail'!G1558,'Activation Detail'!G2058,'Activation Detail'!G2558,'Activation Detail'!G3058,'Activation Detail'!G3558)</f>
        <v>18272</v>
      </c>
      <c r="E58" s="48" t="n">
        <f aca="false">SUM('Activation Detail'!H58,'Activation Detail'!H558,'Activation Detail'!H1058,'Activation Detail'!H1558,'Activation Detail'!H2058,'Activation Detail'!H2558,'Activation Detail'!H3058,'Activation Detail'!H3558)</f>
        <v>1044.5641482738</v>
      </c>
      <c r="F58" s="50" t="n">
        <f aca="false">SUM('Activation Detail'!I58,'Activation Detail'!I558,'Activation Detail'!I1058,'Activation Detail'!I1558,'Activation Detail'!I2058,'Activation Detail'!I2558,'Activation Detail'!I3058,'Activation Detail'!I3558)</f>
        <v>74582.423326</v>
      </c>
      <c r="G58" s="50" t="n">
        <f aca="false">SUM('Activation Detail'!J58,'Activation Detail'!J558,'Activation Detail'!J1058,'Activation Detail'!J1558,'Activation Detail'!J2058,'Activation Detail'!J2558,'Activation Detail'!J3058,'Activation Detail'!J3558)</f>
        <v>6242061.06089405</v>
      </c>
      <c r="H58" s="50" t="n">
        <f aca="false">SUM('Activation Detail'!K58,'Activation Detail'!K558,'Activation Detail'!K1058,'Activation Detail'!K1558,'Activation Detail'!K2058,'Activation Detail'!K2558,'Activation Detail'!K3058,'Activation Detail'!K3558)</f>
        <v>133582.723307939</v>
      </c>
      <c r="I58" s="51" t="n">
        <f aca="false">IFERROR(H58/F58,0)</f>
        <v>1.79107512669638</v>
      </c>
      <c r="J58" s="49" t="n">
        <f aca="false">IFERROR(F58/E58,0)</f>
        <v>71.4005199673488</v>
      </c>
      <c r="K58" s="46" t="n">
        <f aca="false">IFERROR(C58/B58,0)</f>
        <v>0.109692130854632</v>
      </c>
      <c r="L58" s="47" t="n">
        <f aca="false">IFERROR(D58/B58,0)</f>
        <v>0.00404753460794936</v>
      </c>
      <c r="N58" s="48" t="n">
        <f aca="false">SUMIFS('Activation Detail'!$H$4:$H$4003,'Activation Detail'!$A$4:$A$4003,$A58,'Activation Detail'!$N$4:$N$4003,N$2)</f>
        <v>98.1501620060059</v>
      </c>
      <c r="O58" s="50" t="n">
        <f aca="false">N58*'Model Inputs &amp; Assumptions'!$D$40*'Model Inputs &amp; Assumptions'!$H$40</f>
        <v>834276.377051051</v>
      </c>
      <c r="P58" s="50" t="n">
        <f aca="false">N58*'Model Inputs &amp; Assumptions'!$G$40*'Model Inputs &amp; Assumptions'!$H$40</f>
        <v>18771.2184836486</v>
      </c>
      <c r="Q58" s="50" t="n">
        <f aca="false">SUMIFS('Activation Detail'!$I$4:$I$4003,'Activation Detail'!$A$4:$A$4003,$A58,'Activation Detail'!$N$4:$N$4003,N$2)</f>
        <v>18362.0575</v>
      </c>
      <c r="R58" s="51" t="n">
        <f aca="false">IFERROR(P58/Q58,0)</f>
        <v>1.02228295950215</v>
      </c>
      <c r="S58" s="49" t="n">
        <f aca="false">IFERROR(Q58/N58,0)</f>
        <v>187.081275514109</v>
      </c>
      <c r="T58" s="48" t="n">
        <f aca="false">SUMIFS('Activation Detail'!$H$4:$H$4003,'Activation Detail'!$A$4:$A$4003,$A58,'Activation Detail'!$N$4:$N$4003,T$2)</f>
        <v>165.082865553842</v>
      </c>
      <c r="U58" s="50" t="n">
        <f aca="false">T58*'Model Inputs &amp; Assumptions'!$D$41*'Model Inputs &amp; Assumptions'!$H$41</f>
        <v>1188596.63198766</v>
      </c>
      <c r="V58" s="50" t="n">
        <f aca="false">T58*'Model Inputs &amp; Assumptions'!$G$41*'Model Inputs &amp; Assumptions'!$H$41</f>
        <v>26208.5557353279</v>
      </c>
      <c r="W58" s="50" t="n">
        <f aca="false">SUMIFS('Activation Detail'!$I$4:$I$4003,'Activation Detail'!$A$4:$A$4003,$A58,'Activation Detail'!$N$4:$N$4003,T$2)</f>
        <v>17939.365826</v>
      </c>
      <c r="X58" s="51" t="n">
        <f aca="false">IFERROR(V58/W58,0)</f>
        <v>1.46095218691305</v>
      </c>
      <c r="Y58" s="49" t="n">
        <f aca="false">IFERROR(W58/T58,0)</f>
        <v>108.668854068014</v>
      </c>
      <c r="Z58" s="48" t="n">
        <f aca="false">SUMIFS('Activation Detail'!$H$4:$H$4003,'Activation Detail'!$A$4:$A$4003,$A58,'Activation Detail'!$N$4:$N$4003,Z$2)</f>
        <v>781.331120713951</v>
      </c>
      <c r="AA58" s="50" t="n">
        <f aca="false">Z58*'Model Inputs &amp; Assumptions'!$D$42*'Model Inputs &amp; Assumptions'!$H$42</f>
        <v>4219188.05185534</v>
      </c>
      <c r="AB58" s="50" t="n">
        <f aca="false">Z58*'Model Inputs &amp; Assumptions'!$G$42*'Model Inputs &amp; Assumptions'!$H$42</f>
        <v>88602.949088962</v>
      </c>
      <c r="AC58" s="50" t="n">
        <f aca="false">SUMIFS('Activation Detail'!$I$4:$I$4003,'Activation Detail'!$A$4:$A$4003,$A58,'Activation Detail'!$N$4:$N$4003,Z$2)</f>
        <v>38281</v>
      </c>
      <c r="AD58" s="51" t="n">
        <f aca="false">IFERROR(AB58/AC58,0)</f>
        <v>2.31454113238844</v>
      </c>
      <c r="AE58" s="49" t="n">
        <f aca="false">IFERROR(AC58/Z58,0)</f>
        <v>48.9945926702885</v>
      </c>
    </row>
    <row r="59" customFormat="false" ht="15" hidden="false" customHeight="false" outlineLevel="0" collapsed="false">
      <c r="A59" s="43" t="n">
        <v>56</v>
      </c>
      <c r="B59" s="45" t="n">
        <f aca="false">SUM('Activation Detail'!C59,'Activation Detail'!C559,'Activation Detail'!C1059,'Activation Detail'!C1559,'Activation Detail'!C2059,'Activation Detail'!C2559,'Activation Detail'!C3059,'Activation Detail'!C3559)</f>
        <v>4324241</v>
      </c>
      <c r="C59" s="45" t="n">
        <f aca="false">SUM('Activation Detail'!E59,'Activation Detail'!E559,'Activation Detail'!E1059,'Activation Detail'!E1559,'Activation Detail'!E2059,'Activation Detail'!E2559,'Activation Detail'!E3059,'Activation Detail'!E3559)</f>
        <v>347873</v>
      </c>
      <c r="D59" s="45" t="n">
        <f aca="false">SUM('Activation Detail'!G59,'Activation Detail'!G559,'Activation Detail'!G1059,'Activation Detail'!G1559,'Activation Detail'!G2059,'Activation Detail'!G2559,'Activation Detail'!G3059,'Activation Detail'!G3559)</f>
        <v>17515</v>
      </c>
      <c r="E59" s="48" t="n">
        <f aca="false">SUM('Activation Detail'!H59,'Activation Detail'!H559,'Activation Detail'!H1059,'Activation Detail'!H1559,'Activation Detail'!H2059,'Activation Detail'!H2559,'Activation Detail'!H3059,'Activation Detail'!H3559)</f>
        <v>754.117422346948</v>
      </c>
      <c r="F59" s="50" t="n">
        <f aca="false">SUM('Activation Detail'!I59,'Activation Detail'!I559,'Activation Detail'!I1059,'Activation Detail'!I1559,'Activation Detail'!I2059,'Activation Detail'!I2559,'Activation Detail'!I3059,'Activation Detail'!I3559)</f>
        <v>74023.647652</v>
      </c>
      <c r="G59" s="50" t="n">
        <f aca="false">SUM('Activation Detail'!J59,'Activation Detail'!J559,'Activation Detail'!J1059,'Activation Detail'!J1559,'Activation Detail'!J2059,'Activation Detail'!J2559,'Activation Detail'!J3059,'Activation Detail'!J3559)</f>
        <v>4657638.9600424</v>
      </c>
      <c r="H59" s="50" t="n">
        <f aca="false">SUM('Activation Detail'!K59,'Activation Detail'!K559,'Activation Detail'!K1059,'Activation Detail'!K1559,'Activation Detail'!K2059,'Activation Detail'!K2559,'Activation Detail'!K3059,'Activation Detail'!K3559)</f>
        <v>100246.22273224</v>
      </c>
      <c r="I59" s="51" t="n">
        <f aca="false">IFERROR(H59/F59,0)</f>
        <v>1.35424591886524</v>
      </c>
      <c r="J59" s="49" t="n">
        <f aca="false">IFERROR(F59/E59,0)</f>
        <v>98.1593124073771</v>
      </c>
      <c r="K59" s="46" t="n">
        <f aca="false">IFERROR(C59/B59,0)</f>
        <v>0.080447181366626</v>
      </c>
      <c r="L59" s="47" t="n">
        <f aca="false">IFERROR(D59/B59,0)</f>
        <v>0.00405042179656499</v>
      </c>
      <c r="N59" s="48" t="n">
        <f aca="false">SUMIFS('Activation Detail'!$H$4:$H$4003,'Activation Detail'!$A$4:$A$4003,$A59,'Activation Detail'!$N$4:$N$4003,N$2)</f>
        <v>84.7997111114989</v>
      </c>
      <c r="O59" s="50" t="n">
        <f aca="false">N59*'Model Inputs &amp; Assumptions'!$D$40*'Model Inputs &amp; Assumptions'!$H$40</f>
        <v>720797.544447741</v>
      </c>
      <c r="P59" s="50" t="n">
        <f aca="false">N59*'Model Inputs &amp; Assumptions'!$G$40*'Model Inputs &amp; Assumptions'!$H$40</f>
        <v>16217.9447500742</v>
      </c>
      <c r="Q59" s="50" t="n">
        <f aca="false">SUMIFS('Activation Detail'!$I$4:$I$4003,'Activation Detail'!$A$4:$A$4003,$A59,'Activation Detail'!$N$4:$N$4003,N$2)</f>
        <v>18237.3225</v>
      </c>
      <c r="R59" s="51" t="n">
        <f aca="false">IFERROR(P59/Q59,0)</f>
        <v>0.889272246519421</v>
      </c>
      <c r="S59" s="49" t="n">
        <f aca="false">IFERROR(Q59/N59,0)</f>
        <v>215.063497987872</v>
      </c>
      <c r="T59" s="48" t="n">
        <f aca="false">SUMIFS('Activation Detail'!$H$4:$H$4003,'Activation Detail'!$A$4:$A$4003,$A59,'Activation Detail'!$N$4:$N$4003,T$2)</f>
        <v>179.180986068464</v>
      </c>
      <c r="U59" s="50" t="n">
        <f aca="false">T59*'Model Inputs &amp; Assumptions'!$D$41*'Model Inputs &amp; Assumptions'!$H$41</f>
        <v>1290103.09969294</v>
      </c>
      <c r="V59" s="50" t="n">
        <f aca="false">T59*'Model Inputs &amp; Assumptions'!$G$41*'Model Inputs &amp; Assumptions'!$H$41</f>
        <v>28446.7733482293</v>
      </c>
      <c r="W59" s="50" t="n">
        <f aca="false">SUMIFS('Activation Detail'!$I$4:$I$4003,'Activation Detail'!$A$4:$A$4003,$A59,'Activation Detail'!$N$4:$N$4003,T$2)</f>
        <v>15664.945152</v>
      </c>
      <c r="X59" s="51" t="n">
        <f aca="false">IFERROR(V59/W59,0)</f>
        <v>1.81595103412139</v>
      </c>
      <c r="Y59" s="49" t="n">
        <f aca="false">IFERROR(W59/T59,0)</f>
        <v>87.4252647879421</v>
      </c>
      <c r="Z59" s="48" t="n">
        <f aca="false">SUMIFS('Activation Detail'!$H$4:$H$4003,'Activation Detail'!$A$4:$A$4003,$A59,'Activation Detail'!$N$4:$N$4003,Z$2)</f>
        <v>490.136725166985</v>
      </c>
      <c r="AA59" s="50" t="n">
        <f aca="false">Z59*'Model Inputs &amp; Assumptions'!$D$42*'Model Inputs &amp; Assumptions'!$H$42</f>
        <v>2646738.31590172</v>
      </c>
      <c r="AB59" s="50" t="n">
        <f aca="false">Z59*'Model Inputs &amp; Assumptions'!$G$42*'Model Inputs &amp; Assumptions'!$H$42</f>
        <v>55581.5046339361</v>
      </c>
      <c r="AC59" s="50" t="n">
        <f aca="false">SUMIFS('Activation Detail'!$I$4:$I$4003,'Activation Detail'!$A$4:$A$4003,$A59,'Activation Detail'!$N$4:$N$4003,Z$2)</f>
        <v>40121.38</v>
      </c>
      <c r="AD59" s="51" t="n">
        <f aca="false">IFERROR(AB59/AC59,0)</f>
        <v>1.38533382037049</v>
      </c>
      <c r="AE59" s="49" t="n">
        <f aca="false">IFERROR(AC59/Z59,0)</f>
        <v>81.8575265632891</v>
      </c>
    </row>
    <row r="60" customFormat="false" ht="15" hidden="false" customHeight="false" outlineLevel="0" collapsed="false">
      <c r="A60" s="43" t="n">
        <v>57</v>
      </c>
      <c r="B60" s="45" t="n">
        <f aca="false">SUM('Activation Detail'!C60,'Activation Detail'!C560,'Activation Detail'!C1060,'Activation Detail'!C1560,'Activation Detail'!C2060,'Activation Detail'!C2560,'Activation Detail'!C3060,'Activation Detail'!C3560)</f>
        <v>3228118</v>
      </c>
      <c r="C60" s="45" t="n">
        <f aca="false">SUM('Activation Detail'!E60,'Activation Detail'!E560,'Activation Detail'!E1060,'Activation Detail'!E1560,'Activation Detail'!E2060,'Activation Detail'!E2560,'Activation Detail'!E3060,'Activation Detail'!E3560)</f>
        <v>343341</v>
      </c>
      <c r="D60" s="45" t="n">
        <f aca="false">SUM('Activation Detail'!G60,'Activation Detail'!G560,'Activation Detail'!G1060,'Activation Detail'!G1560,'Activation Detail'!G2060,'Activation Detail'!G2560,'Activation Detail'!G3060,'Activation Detail'!G3560)</f>
        <v>12856</v>
      </c>
      <c r="E60" s="48" t="n">
        <f aca="false">SUM('Activation Detail'!H60,'Activation Detail'!H560,'Activation Detail'!H1060,'Activation Detail'!H1560,'Activation Detail'!H2060,'Activation Detail'!H2560,'Activation Detail'!H3060,'Activation Detail'!H3560)</f>
        <v>614.110703884794</v>
      </c>
      <c r="F60" s="50" t="n">
        <f aca="false">SUM('Activation Detail'!I60,'Activation Detail'!I560,'Activation Detail'!I1060,'Activation Detail'!I1560,'Activation Detail'!I2060,'Activation Detail'!I2560,'Activation Detail'!I3060,'Activation Detail'!I3560)</f>
        <v>69865.232958</v>
      </c>
      <c r="G60" s="50" t="n">
        <f aca="false">SUM('Activation Detail'!J60,'Activation Detail'!J560,'Activation Detail'!J1060,'Activation Detail'!J1560,'Activation Detail'!J2060,'Activation Detail'!J2560,'Activation Detail'!J3060,'Activation Detail'!J3560)</f>
        <v>4008524.6861727</v>
      </c>
      <c r="H60" s="50" t="n">
        <f aca="false">SUM('Activation Detail'!K60,'Activation Detail'!K560,'Activation Detail'!K1060,'Activation Detail'!K1560,'Activation Detail'!K2060,'Activation Detail'!K2560,'Activation Detail'!K3060,'Activation Detail'!K3560)</f>
        <v>87054.9192818998</v>
      </c>
      <c r="I60" s="51" t="n">
        <f aca="false">IFERROR(H60/F60,0)</f>
        <v>1.24604063560818</v>
      </c>
      <c r="J60" s="49" t="n">
        <f aca="false">IFERROR(F60/E60,0)</f>
        <v>113.766512317796</v>
      </c>
      <c r="K60" s="46" t="n">
        <f aca="false">IFERROR(C60/B60,0)</f>
        <v>0.106359494913135</v>
      </c>
      <c r="L60" s="47" t="n">
        <f aca="false">IFERROR(D60/B60,0)</f>
        <v>0.00398250621569596</v>
      </c>
      <c r="N60" s="48" t="n">
        <f aca="false">SUMIFS('Activation Detail'!$H$4:$H$4003,'Activation Detail'!$A$4:$A$4003,$A60,'Activation Detail'!$N$4:$N$4003,N$2)</f>
        <v>118.044613130103</v>
      </c>
      <c r="O60" s="50" t="n">
        <f aca="false">N60*'Model Inputs &amp; Assumptions'!$D$40*'Model Inputs &amp; Assumptions'!$H$40</f>
        <v>1003379.21160588</v>
      </c>
      <c r="P60" s="50" t="n">
        <f aca="false">N60*'Model Inputs &amp; Assumptions'!$G$40*'Model Inputs &amp; Assumptions'!$H$40</f>
        <v>22576.0322611322</v>
      </c>
      <c r="Q60" s="50" t="n">
        <f aca="false">SUMIFS('Activation Detail'!$I$4:$I$4003,'Activation Detail'!$A$4:$A$4003,$A60,'Activation Detail'!$N$4:$N$4003,N$2)</f>
        <v>17538.111</v>
      </c>
      <c r="R60" s="51" t="n">
        <f aca="false">IFERROR(P60/Q60,0)</f>
        <v>1.28725563780114</v>
      </c>
      <c r="S60" s="49" t="n">
        <f aca="false">IFERROR(Q60/N60,0)</f>
        <v>148.571887652936</v>
      </c>
      <c r="T60" s="48" t="n">
        <f aca="false">SUMIFS('Activation Detail'!$H$4:$H$4003,'Activation Detail'!$A$4:$A$4003,$A60,'Activation Detail'!$N$4:$N$4003,T$2)</f>
        <v>181.326991384163</v>
      </c>
      <c r="U60" s="50" t="n">
        <f aca="false">T60*'Model Inputs &amp; Assumptions'!$D$41*'Model Inputs &amp; Assumptions'!$H$41</f>
        <v>1305554.33796597</v>
      </c>
      <c r="V60" s="50" t="n">
        <f aca="false">T60*'Model Inputs &amp; Assumptions'!$G$41*'Model Inputs &amp; Assumptions'!$H$41</f>
        <v>28787.4731521497</v>
      </c>
      <c r="W60" s="50" t="n">
        <f aca="false">SUMIFS('Activation Detail'!$I$4:$I$4003,'Activation Detail'!$A$4:$A$4003,$A60,'Activation Detail'!$N$4:$N$4003,T$2)</f>
        <v>18025.501958</v>
      </c>
      <c r="X60" s="51" t="n">
        <f aca="false">IFERROR(V60/W60,0)</f>
        <v>1.59704141494786</v>
      </c>
      <c r="Y60" s="49" t="n">
        <f aca="false">IFERROR(W60/T60,0)</f>
        <v>99.4088184026106</v>
      </c>
      <c r="Z60" s="48" t="n">
        <f aca="false">SUMIFS('Activation Detail'!$H$4:$H$4003,'Activation Detail'!$A$4:$A$4003,$A60,'Activation Detail'!$N$4:$N$4003,Z$2)</f>
        <v>314.739099370528</v>
      </c>
      <c r="AA60" s="50" t="n">
        <f aca="false">Z60*'Model Inputs &amp; Assumptions'!$D$42*'Model Inputs &amp; Assumptions'!$H$42</f>
        <v>1699591.13660085</v>
      </c>
      <c r="AB60" s="50" t="n">
        <f aca="false">Z60*'Model Inputs &amp; Assumptions'!$G$42*'Model Inputs &amp; Assumptions'!$H$42</f>
        <v>35691.4138686179</v>
      </c>
      <c r="AC60" s="50" t="n">
        <f aca="false">SUMIFS('Activation Detail'!$I$4:$I$4003,'Activation Detail'!$A$4:$A$4003,$A60,'Activation Detail'!$N$4:$N$4003,Z$2)</f>
        <v>34301.62</v>
      </c>
      <c r="AD60" s="51" t="n">
        <f aca="false">IFERROR(AB60/AC60,0)</f>
        <v>1.04051685805562</v>
      </c>
      <c r="AE60" s="49" t="n">
        <f aca="false">IFERROR(AC60/Z60,0)</f>
        <v>108.984298641645</v>
      </c>
    </row>
    <row r="61" customFormat="false" ht="15" hidden="false" customHeight="false" outlineLevel="0" collapsed="false">
      <c r="A61" s="43" t="n">
        <v>58</v>
      </c>
      <c r="B61" s="45" t="n">
        <f aca="false">SUM('Activation Detail'!C61,'Activation Detail'!C561,'Activation Detail'!C1061,'Activation Detail'!C1561,'Activation Detail'!C2061,'Activation Detail'!C2561,'Activation Detail'!C3061,'Activation Detail'!C3561)</f>
        <v>3730137</v>
      </c>
      <c r="C61" s="45" t="n">
        <f aca="false">SUM('Activation Detail'!E61,'Activation Detail'!E561,'Activation Detail'!E1061,'Activation Detail'!E1561,'Activation Detail'!E2061,'Activation Detail'!E2561,'Activation Detail'!E3061,'Activation Detail'!E3561)</f>
        <v>378475</v>
      </c>
      <c r="D61" s="45" t="n">
        <f aca="false">SUM('Activation Detail'!G61,'Activation Detail'!G561,'Activation Detail'!G1061,'Activation Detail'!G1561,'Activation Detail'!G2061,'Activation Detail'!G2561,'Activation Detail'!G3061,'Activation Detail'!G3561)</f>
        <v>14675</v>
      </c>
      <c r="E61" s="48" t="n">
        <f aca="false">SUM('Activation Detail'!H61,'Activation Detail'!H561,'Activation Detail'!H1061,'Activation Detail'!H1561,'Activation Detail'!H2061,'Activation Detail'!H2561,'Activation Detail'!H3061,'Activation Detail'!H3561)</f>
        <v>595.532842144558</v>
      </c>
      <c r="F61" s="50" t="n">
        <f aca="false">SUM('Activation Detail'!I61,'Activation Detail'!I561,'Activation Detail'!I1061,'Activation Detail'!I1561,'Activation Detail'!I2061,'Activation Detail'!I2561,'Activation Detail'!I3061,'Activation Detail'!I3561)</f>
        <v>69531.326678</v>
      </c>
      <c r="G61" s="50" t="n">
        <f aca="false">SUM('Activation Detail'!J61,'Activation Detail'!J561,'Activation Detail'!J1061,'Activation Detail'!J1561,'Activation Detail'!J2061,'Activation Detail'!J2561,'Activation Detail'!J3061,'Activation Detail'!J3561)</f>
        <v>3730803.02470465</v>
      </c>
      <c r="H61" s="50" t="n">
        <f aca="false">SUM('Activation Detail'!K61,'Activation Detail'!K561,'Activation Detail'!K1061,'Activation Detail'!K1561,'Activation Detail'!K2061,'Activation Detail'!K2561,'Activation Detail'!K3061,'Activation Detail'!K3561)</f>
        <v>80492.8506495805</v>
      </c>
      <c r="I61" s="51" t="n">
        <f aca="false">IFERROR(H61/F61,0)</f>
        <v>1.15764871023306</v>
      </c>
      <c r="J61" s="49" t="n">
        <f aca="false">IFERROR(F61/E61,0)</f>
        <v>116.75481477665</v>
      </c>
      <c r="K61" s="46" t="n">
        <f aca="false">IFERROR(C61/B61,0)</f>
        <v>0.101464101720661</v>
      </c>
      <c r="L61" s="47" t="n">
        <f aca="false">IFERROR(D61/B61,0)</f>
        <v>0.00393417185481391</v>
      </c>
      <c r="N61" s="48" t="n">
        <f aca="false">SUMIFS('Activation Detail'!$H$4:$H$4003,'Activation Detail'!$A$4:$A$4003,$A61,'Activation Detail'!$N$4:$N$4003,N$2)</f>
        <v>61.8544931042106</v>
      </c>
      <c r="O61" s="50" t="n">
        <f aca="false">N61*'Model Inputs &amp; Assumptions'!$D$40*'Model Inputs &amp; Assumptions'!$H$40</f>
        <v>525763.191385791</v>
      </c>
      <c r="P61" s="50" t="n">
        <f aca="false">N61*'Model Inputs &amp; Assumptions'!$G$40*'Model Inputs &amp; Assumptions'!$H$40</f>
        <v>11829.6718061803</v>
      </c>
      <c r="Q61" s="50" t="n">
        <f aca="false">SUMIFS('Activation Detail'!$I$4:$I$4003,'Activation Detail'!$A$4:$A$4003,$A61,'Activation Detail'!$N$4:$N$4003,N$2)</f>
        <v>17634.454</v>
      </c>
      <c r="R61" s="51" t="n">
        <f aca="false">IFERROR(P61/Q61,0)</f>
        <v>0.670827223013556</v>
      </c>
      <c r="S61" s="49" t="n">
        <f aca="false">IFERROR(Q61/N61,0)</f>
        <v>285.095764511237</v>
      </c>
      <c r="T61" s="48" t="n">
        <f aca="false">SUMIFS('Activation Detail'!$H$4:$H$4003,'Activation Detail'!$A$4:$A$4003,$A61,'Activation Detail'!$N$4:$N$4003,T$2)</f>
        <v>179.542638056103</v>
      </c>
      <c r="U61" s="50" t="n">
        <f aca="false">T61*'Model Inputs &amp; Assumptions'!$D$41*'Model Inputs &amp; Assumptions'!$H$41</f>
        <v>1292706.99400394</v>
      </c>
      <c r="V61" s="50" t="n">
        <f aca="false">T61*'Model Inputs &amp; Assumptions'!$G$41*'Model Inputs &amp; Assumptions'!$H$41</f>
        <v>28504.1892177869</v>
      </c>
      <c r="W61" s="50" t="n">
        <f aca="false">SUMIFS('Activation Detail'!$I$4:$I$4003,'Activation Detail'!$A$4:$A$4003,$A61,'Activation Detail'!$N$4:$N$4003,T$2)</f>
        <v>17459.952678</v>
      </c>
      <c r="X61" s="51" t="n">
        <f aca="false">IFERROR(V61/W61,0)</f>
        <v>1.63254676249512</v>
      </c>
      <c r="Y61" s="49" t="n">
        <f aca="false">IFERROR(W61/T61,0)</f>
        <v>97.2468315439598</v>
      </c>
      <c r="Z61" s="48" t="n">
        <f aca="false">SUMIFS('Activation Detail'!$H$4:$H$4003,'Activation Detail'!$A$4:$A$4003,$A61,'Activation Detail'!$N$4:$N$4003,Z$2)</f>
        <v>354.135710984244</v>
      </c>
      <c r="AA61" s="50" t="n">
        <f aca="false">Z61*'Model Inputs &amp; Assumptions'!$D$42*'Model Inputs &amp; Assumptions'!$H$42</f>
        <v>1912332.83931492</v>
      </c>
      <c r="AB61" s="50" t="n">
        <f aca="false">Z61*'Model Inputs &amp; Assumptions'!$G$42*'Model Inputs &amp; Assumptions'!$H$42</f>
        <v>40158.9896256133</v>
      </c>
      <c r="AC61" s="50" t="n">
        <f aca="false">SUMIFS('Activation Detail'!$I$4:$I$4003,'Activation Detail'!$A$4:$A$4003,$A61,'Activation Detail'!$N$4:$N$4003,Z$2)</f>
        <v>34436.92</v>
      </c>
      <c r="AD61" s="51" t="n">
        <f aca="false">IFERROR(AB61/AC61,0)</f>
        <v>1.16616090015057</v>
      </c>
      <c r="AE61" s="49" t="n">
        <f aca="false">IFERROR(AC61/Z61,0)</f>
        <v>97.2421558511848</v>
      </c>
    </row>
    <row r="62" customFormat="false" ht="15" hidden="false" customHeight="false" outlineLevel="0" collapsed="false">
      <c r="A62" s="43" t="n">
        <v>59</v>
      </c>
      <c r="B62" s="45" t="n">
        <f aca="false">SUM('Activation Detail'!C62,'Activation Detail'!C562,'Activation Detail'!C1062,'Activation Detail'!C1562,'Activation Detail'!C2062,'Activation Detail'!C2562,'Activation Detail'!C3062,'Activation Detail'!C3562)</f>
        <v>4147927</v>
      </c>
      <c r="C62" s="45" t="n">
        <f aca="false">SUM('Activation Detail'!E62,'Activation Detail'!E562,'Activation Detail'!E1062,'Activation Detail'!E1562,'Activation Detail'!E2062,'Activation Detail'!E2562,'Activation Detail'!E3062,'Activation Detail'!E3562)</f>
        <v>307749</v>
      </c>
      <c r="D62" s="45" t="n">
        <f aca="false">SUM('Activation Detail'!G62,'Activation Detail'!G562,'Activation Detail'!G1062,'Activation Detail'!G1562,'Activation Detail'!G2062,'Activation Detail'!G2562,'Activation Detail'!G3062,'Activation Detail'!G3562)</f>
        <v>17981</v>
      </c>
      <c r="E62" s="48" t="n">
        <f aca="false">SUM('Activation Detail'!H62,'Activation Detail'!H562,'Activation Detail'!H1062,'Activation Detail'!H1562,'Activation Detail'!H2062,'Activation Detail'!H2562,'Activation Detail'!H3062,'Activation Detail'!H3562)</f>
        <v>837.354472961213</v>
      </c>
      <c r="F62" s="50" t="n">
        <f aca="false">SUM('Activation Detail'!I62,'Activation Detail'!I562,'Activation Detail'!I1062,'Activation Detail'!I1562,'Activation Detail'!I2062,'Activation Detail'!I2562,'Activation Detail'!I3062,'Activation Detail'!I3562)</f>
        <v>78936.992292</v>
      </c>
      <c r="G62" s="50" t="n">
        <f aca="false">SUM('Activation Detail'!J62,'Activation Detail'!J562,'Activation Detail'!J1062,'Activation Detail'!J1562,'Activation Detail'!J2062,'Activation Detail'!J2562,'Activation Detail'!J3062,'Activation Detail'!J3562)</f>
        <v>5054546.49920083</v>
      </c>
      <c r="H62" s="50" t="n">
        <f aca="false">SUM('Activation Detail'!K62,'Activation Detail'!K562,'Activation Detail'!K1062,'Activation Detail'!K1562,'Activation Detail'!K2062,'Activation Detail'!K2562,'Activation Detail'!K3062,'Activation Detail'!K3562)</f>
        <v>108360.963420044</v>
      </c>
      <c r="I62" s="51" t="n">
        <f aca="false">IFERROR(H62/F62,0)</f>
        <v>1.37275262552696</v>
      </c>
      <c r="J62" s="49" t="n">
        <f aca="false">IFERROR(F62/E62,0)</f>
        <v>94.2695057361405</v>
      </c>
      <c r="K62" s="46" t="n">
        <f aca="false">IFERROR(C62/B62,0)</f>
        <v>0.0741934465095456</v>
      </c>
      <c r="L62" s="47" t="n">
        <f aca="false">IFERROR(D62/B62,0)</f>
        <v>0.00433493646344306</v>
      </c>
      <c r="N62" s="48" t="n">
        <f aca="false">SUMIFS('Activation Detail'!$H$4:$H$4003,'Activation Detail'!$A$4:$A$4003,$A62,'Activation Detail'!$N$4:$N$4003,N$2)</f>
        <v>82.9959742834648</v>
      </c>
      <c r="O62" s="50" t="n">
        <f aca="false">N62*'Model Inputs &amp; Assumptions'!$D$40*'Model Inputs &amp; Assumptions'!$H$40</f>
        <v>705465.781409451</v>
      </c>
      <c r="P62" s="50" t="n">
        <f aca="false">N62*'Model Inputs &amp; Assumptions'!$G$40*'Model Inputs &amp; Assumptions'!$H$40</f>
        <v>15872.9800817126</v>
      </c>
      <c r="Q62" s="50" t="n">
        <f aca="false">SUMIFS('Activation Detail'!$I$4:$I$4003,'Activation Detail'!$A$4:$A$4003,$A62,'Activation Detail'!$N$4:$N$4003,N$2)</f>
        <v>17175.9245</v>
      </c>
      <c r="R62" s="51" t="n">
        <f aca="false">IFERROR(P62/Q62,0)</f>
        <v>0.924141235117367</v>
      </c>
      <c r="S62" s="49" t="n">
        <f aca="false">IFERROR(Q62/N62,0)</f>
        <v>206.948886958508</v>
      </c>
      <c r="T62" s="48" t="n">
        <f aca="false">SUMIFS('Activation Detail'!$H$4:$H$4003,'Activation Detail'!$A$4:$A$4003,$A62,'Activation Detail'!$N$4:$N$4003,T$2)</f>
        <v>153.0804582953</v>
      </c>
      <c r="U62" s="50" t="n">
        <f aca="false">T62*'Model Inputs &amp; Assumptions'!$D$41*'Model Inputs &amp; Assumptions'!$H$41</f>
        <v>1102179.29972616</v>
      </c>
      <c r="V62" s="50" t="n">
        <f aca="false">T62*'Model Inputs &amp; Assumptions'!$G$41*'Model Inputs &amp; Assumptions'!$H$41</f>
        <v>24303.0535589618</v>
      </c>
      <c r="W62" s="50" t="n">
        <f aca="false">SUMIFS('Activation Detail'!$I$4:$I$4003,'Activation Detail'!$A$4:$A$4003,$A62,'Activation Detail'!$N$4:$N$4003,T$2)</f>
        <v>17600.631792</v>
      </c>
      <c r="X62" s="51" t="n">
        <f aca="false">IFERROR(V62/W62,0)</f>
        <v>1.38080574868956</v>
      </c>
      <c r="Y62" s="49" t="n">
        <f aca="false">IFERROR(W62/T62,0)</f>
        <v>114.976346347536</v>
      </c>
      <c r="Z62" s="48" t="n">
        <f aca="false">SUMIFS('Activation Detail'!$H$4:$H$4003,'Activation Detail'!$A$4:$A$4003,$A62,'Activation Detail'!$N$4:$N$4003,Z$2)</f>
        <v>601.278040382448</v>
      </c>
      <c r="AA62" s="50" t="n">
        <f aca="false">Z62*'Model Inputs &amp; Assumptions'!$D$42*'Model Inputs &amp; Assumptions'!$H$42</f>
        <v>3246901.41806522</v>
      </c>
      <c r="AB62" s="50" t="n">
        <f aca="false">Z62*'Model Inputs &amp; Assumptions'!$G$42*'Model Inputs &amp; Assumptions'!$H$42</f>
        <v>68184.9297793696</v>
      </c>
      <c r="AC62" s="50" t="n">
        <f aca="false">SUMIFS('Activation Detail'!$I$4:$I$4003,'Activation Detail'!$A$4:$A$4003,$A62,'Activation Detail'!$N$4:$N$4003,Z$2)</f>
        <v>44160.436</v>
      </c>
      <c r="AD62" s="51" t="n">
        <f aca="false">IFERROR(AB62/AC62,0)</f>
        <v>1.54402754944199</v>
      </c>
      <c r="AE62" s="49" t="n">
        <f aca="false">IFERROR(AC62/Z62,0)</f>
        <v>73.4442853956738</v>
      </c>
    </row>
    <row r="63" customFormat="false" ht="15" hidden="false" customHeight="false" outlineLevel="0" collapsed="false">
      <c r="A63" s="43" t="n">
        <v>60</v>
      </c>
      <c r="B63" s="45" t="n">
        <f aca="false">SUM('Activation Detail'!C63,'Activation Detail'!C563,'Activation Detail'!C1063,'Activation Detail'!C1563,'Activation Detail'!C2063,'Activation Detail'!C2563,'Activation Detail'!C3063,'Activation Detail'!C3563)</f>
        <v>4589905</v>
      </c>
      <c r="C63" s="45" t="n">
        <f aca="false">SUM('Activation Detail'!E63,'Activation Detail'!E563,'Activation Detail'!E1063,'Activation Detail'!E1563,'Activation Detail'!E2063,'Activation Detail'!E2563,'Activation Detail'!E3063,'Activation Detail'!E3563)</f>
        <v>337995</v>
      </c>
      <c r="D63" s="45" t="n">
        <f aca="false">SUM('Activation Detail'!G63,'Activation Detail'!G563,'Activation Detail'!G1063,'Activation Detail'!G1563,'Activation Detail'!G2063,'Activation Detail'!G2563,'Activation Detail'!G3063,'Activation Detail'!G3563)</f>
        <v>14942</v>
      </c>
      <c r="E63" s="48" t="n">
        <f aca="false">SUM('Activation Detail'!H63,'Activation Detail'!H563,'Activation Detail'!H1063,'Activation Detail'!H1563,'Activation Detail'!H2063,'Activation Detail'!H2563,'Activation Detail'!H3063,'Activation Detail'!H3563)</f>
        <v>497.658617585544</v>
      </c>
      <c r="F63" s="50" t="n">
        <f aca="false">SUM('Activation Detail'!I63,'Activation Detail'!I563,'Activation Detail'!I1063,'Activation Detail'!I1563,'Activation Detail'!I2063,'Activation Detail'!I2563,'Activation Detail'!I3063,'Activation Detail'!I3563)</f>
        <v>83049.022312</v>
      </c>
      <c r="G63" s="50" t="n">
        <f aca="false">SUM('Activation Detail'!J63,'Activation Detail'!J563,'Activation Detail'!J1063,'Activation Detail'!J1563,'Activation Detail'!J2063,'Activation Detail'!J2563,'Activation Detail'!J3063,'Activation Detail'!J3563)</f>
        <v>3237883.79563799</v>
      </c>
      <c r="H63" s="50" t="n">
        <f aca="false">SUM('Activation Detail'!K63,'Activation Detail'!K563,'Activation Detail'!K1063,'Activation Detail'!K1563,'Activation Detail'!K2063,'Activation Detail'!K2563,'Activation Detail'!K3063,'Activation Detail'!K3563)</f>
        <v>70280.3730280342</v>
      </c>
      <c r="I63" s="51" t="n">
        <f aca="false">IFERROR(H63/F63,0)</f>
        <v>0.84625166042297</v>
      </c>
      <c r="J63" s="49" t="n">
        <f aca="false">IFERROR(F63/E63,0)</f>
        <v>166.87950208704</v>
      </c>
      <c r="K63" s="46" t="n">
        <f aca="false">IFERROR(C63/B63,0)</f>
        <v>0.0736387790161234</v>
      </c>
      <c r="L63" s="47" t="n">
        <f aca="false">IFERROR(D63/B63,0)</f>
        <v>0.00325540506829662</v>
      </c>
      <c r="N63" s="48" t="n">
        <f aca="false">SUMIFS('Activation Detail'!$H$4:$H$4003,'Activation Detail'!$A$4:$A$4003,$A63,'Activation Detail'!$N$4:$N$4003,N$2)</f>
        <v>101.485834085198</v>
      </c>
      <c r="O63" s="50" t="n">
        <f aca="false">N63*'Model Inputs &amp; Assumptions'!$D$40*'Model Inputs &amp; Assumptions'!$H$40</f>
        <v>862629.589724182</v>
      </c>
      <c r="P63" s="50" t="n">
        <f aca="false">N63*'Model Inputs &amp; Assumptions'!$G$40*'Model Inputs &amp; Assumptions'!$H$40</f>
        <v>19409.1657687941</v>
      </c>
      <c r="Q63" s="50" t="n">
        <f aca="false">SUMIFS('Activation Detail'!$I$4:$I$4003,'Activation Detail'!$A$4:$A$4003,$A63,'Activation Detail'!$N$4:$N$4003,N$2)</f>
        <v>18176.242</v>
      </c>
      <c r="R63" s="51" t="n">
        <f aca="false">IFERROR(P63/Q63,0)</f>
        <v>1.06783161056032</v>
      </c>
      <c r="S63" s="49" t="n">
        <f aca="false">IFERROR(Q63/N63,0)</f>
        <v>179.101272249888</v>
      </c>
      <c r="T63" s="48" t="n">
        <f aca="false">SUMIFS('Activation Detail'!$H$4:$H$4003,'Activation Detail'!$A$4:$A$4003,$A63,'Activation Detail'!$N$4:$N$4003,T$2)</f>
        <v>131.067319451078</v>
      </c>
      <c r="U63" s="50" t="n">
        <f aca="false">T63*'Model Inputs &amp; Assumptions'!$D$41*'Model Inputs &amp; Assumptions'!$H$41</f>
        <v>943684.700047764</v>
      </c>
      <c r="V63" s="50" t="n">
        <f aca="false">T63*'Model Inputs &amp; Assumptions'!$G$41*'Model Inputs &amp; Assumptions'!$H$41</f>
        <v>20808.2476360532</v>
      </c>
      <c r="W63" s="50" t="n">
        <f aca="false">SUMIFS('Activation Detail'!$I$4:$I$4003,'Activation Detail'!$A$4:$A$4003,$A63,'Activation Detail'!$N$4:$N$4003,T$2)</f>
        <v>17533.448312</v>
      </c>
      <c r="X63" s="51" t="n">
        <f aca="false">IFERROR(V63/W63,0)</f>
        <v>1.18677440203316</v>
      </c>
      <c r="Y63" s="49" t="n">
        <f aca="false">IFERROR(W63/T63,0)</f>
        <v>133.774371715479</v>
      </c>
      <c r="Z63" s="48" t="n">
        <f aca="false">SUMIFS('Activation Detail'!$H$4:$H$4003,'Activation Detail'!$A$4:$A$4003,$A63,'Activation Detail'!$N$4:$N$4003,Z$2)</f>
        <v>265.105464049268</v>
      </c>
      <c r="AA63" s="50" t="n">
        <f aca="false">Z63*'Model Inputs &amp; Assumptions'!$D$42*'Model Inputs &amp; Assumptions'!$H$42</f>
        <v>1431569.50586605</v>
      </c>
      <c r="AB63" s="50" t="n">
        <f aca="false">Z63*'Model Inputs &amp; Assumptions'!$G$42*'Model Inputs &amp; Assumptions'!$H$42</f>
        <v>30062.9596231869</v>
      </c>
      <c r="AC63" s="50" t="n">
        <f aca="false">SUMIFS('Activation Detail'!$I$4:$I$4003,'Activation Detail'!$A$4:$A$4003,$A63,'Activation Detail'!$N$4:$N$4003,Z$2)</f>
        <v>47339.332</v>
      </c>
      <c r="AD63" s="51" t="n">
        <f aca="false">IFERROR(AB63/AC63,0)</f>
        <v>0.635052468065814</v>
      </c>
      <c r="AE63" s="49" t="n">
        <f aca="false">IFERROR(AC63/Z63,0)</f>
        <v>178.567922655877</v>
      </c>
    </row>
    <row r="64" customFormat="false" ht="15" hidden="false" customHeight="false" outlineLevel="0" collapsed="false">
      <c r="A64" s="43" t="n">
        <v>61</v>
      </c>
      <c r="B64" s="45" t="n">
        <f aca="false">SUM('Activation Detail'!C64,'Activation Detail'!C564,'Activation Detail'!C1064,'Activation Detail'!C1564,'Activation Detail'!C2064,'Activation Detail'!C2564,'Activation Detail'!C3064,'Activation Detail'!C3564)</f>
        <v>4325126</v>
      </c>
      <c r="C64" s="45" t="n">
        <f aca="false">SUM('Activation Detail'!E64,'Activation Detail'!E564,'Activation Detail'!E1064,'Activation Detail'!E1564,'Activation Detail'!E2064,'Activation Detail'!E2564,'Activation Detail'!E3064,'Activation Detail'!E3564)</f>
        <v>426442</v>
      </c>
      <c r="D64" s="45" t="n">
        <f aca="false">SUM('Activation Detail'!G64,'Activation Detail'!G564,'Activation Detail'!G1064,'Activation Detail'!G1564,'Activation Detail'!G2064,'Activation Detail'!G2564,'Activation Detail'!G3064,'Activation Detail'!G3564)</f>
        <v>15241</v>
      </c>
      <c r="E64" s="48" t="n">
        <f aca="false">SUM('Activation Detail'!H64,'Activation Detail'!H564,'Activation Detail'!H1064,'Activation Detail'!H1564,'Activation Detail'!H2064,'Activation Detail'!H2564,'Activation Detail'!H3064,'Activation Detail'!H3564)</f>
        <v>703.687671654542</v>
      </c>
      <c r="F64" s="50" t="n">
        <f aca="false">SUM('Activation Detail'!I64,'Activation Detail'!I564,'Activation Detail'!I1064,'Activation Detail'!I1564,'Activation Detail'!I2064,'Activation Detail'!I2564,'Activation Detail'!I3064,'Activation Detail'!I3564)</f>
        <v>75200.358006</v>
      </c>
      <c r="G64" s="50" t="n">
        <f aca="false">SUM('Activation Detail'!J64,'Activation Detail'!J564,'Activation Detail'!J1064,'Activation Detail'!J1564,'Activation Detail'!J2064,'Activation Detail'!J2564,'Activation Detail'!J3064,'Activation Detail'!J3564)</f>
        <v>4364262.44063243</v>
      </c>
      <c r="H64" s="50" t="n">
        <f aca="false">SUM('Activation Detail'!K64,'Activation Detail'!K564,'Activation Detail'!K1064,'Activation Detail'!K1564,'Activation Detail'!K2064,'Activation Detail'!K2564,'Activation Detail'!K3064,'Activation Detail'!K3564)</f>
        <v>93993.3169057178</v>
      </c>
      <c r="I64" s="51" t="n">
        <f aca="false">IFERROR(H64/F64,0)</f>
        <v>1.24990517861921</v>
      </c>
      <c r="J64" s="49" t="n">
        <f aca="false">IFERROR(F64/E64,0)</f>
        <v>106.866101304838</v>
      </c>
      <c r="K64" s="46" t="n">
        <f aca="false">IFERROR(C64/B64,0)</f>
        <v>0.0985964339536004</v>
      </c>
      <c r="L64" s="47" t="n">
        <f aca="false">IFERROR(D64/B64,0)</f>
        <v>0.00352382797634104</v>
      </c>
      <c r="N64" s="48" t="n">
        <f aca="false">SUMIFS('Activation Detail'!$H$4:$H$4003,'Activation Detail'!$A$4:$A$4003,$A64,'Activation Detail'!$N$4:$N$4003,N$2)</f>
        <v>98.0007596093405</v>
      </c>
      <c r="O64" s="50" t="n">
        <f aca="false">N64*'Model Inputs &amp; Assumptions'!$D$40*'Model Inputs &amp; Assumptions'!$H$40</f>
        <v>833006.456679394</v>
      </c>
      <c r="P64" s="50" t="n">
        <f aca="false">N64*'Model Inputs &amp; Assumptions'!$G$40*'Model Inputs &amp; Assumptions'!$H$40</f>
        <v>18742.6452752864</v>
      </c>
      <c r="Q64" s="50" t="n">
        <f aca="false">SUMIFS('Activation Detail'!$I$4:$I$4003,'Activation Detail'!$A$4:$A$4003,$A64,'Activation Detail'!$N$4:$N$4003,N$2)</f>
        <v>19048.5355</v>
      </c>
      <c r="R64" s="51" t="n">
        <f aca="false">IFERROR(P64/Q64,0)</f>
        <v>0.983941535835465</v>
      </c>
      <c r="S64" s="49" t="n">
        <f aca="false">IFERROR(Q64/N64,0)</f>
        <v>194.371304630015</v>
      </c>
      <c r="T64" s="48" t="n">
        <f aca="false">SUMIFS('Activation Detail'!$H$4:$H$4003,'Activation Detail'!$A$4:$A$4003,$A64,'Activation Detail'!$N$4:$N$4003,T$2)</f>
        <v>144.748143838308</v>
      </c>
      <c r="U64" s="50" t="n">
        <f aca="false">T64*'Model Inputs &amp; Assumptions'!$D$41*'Model Inputs &amp; Assumptions'!$H$41</f>
        <v>1042186.63563582</v>
      </c>
      <c r="V64" s="50" t="n">
        <f aca="false">T64*'Model Inputs &amp; Assumptions'!$G$41*'Model Inputs &amp; Assumptions'!$H$41</f>
        <v>22980.2153157697</v>
      </c>
      <c r="W64" s="50" t="n">
        <f aca="false">SUMIFS('Activation Detail'!$I$4:$I$4003,'Activation Detail'!$A$4:$A$4003,$A64,'Activation Detail'!$N$4:$N$4003,T$2)</f>
        <v>17152.838506</v>
      </c>
      <c r="X64" s="51" t="n">
        <f aca="false">IFERROR(V64/W64,0)</f>
        <v>1.33973250594829</v>
      </c>
      <c r="Y64" s="49" t="n">
        <f aca="false">IFERROR(W64/T64,0)</f>
        <v>118.501267450868</v>
      </c>
      <c r="Z64" s="48" t="n">
        <f aca="false">SUMIFS('Activation Detail'!$H$4:$H$4003,'Activation Detail'!$A$4:$A$4003,$A64,'Activation Detail'!$N$4:$N$4003,Z$2)</f>
        <v>460.938768206893</v>
      </c>
      <c r="AA64" s="50" t="n">
        <f aca="false">Z64*'Model Inputs &amp; Assumptions'!$D$42*'Model Inputs &amp; Assumptions'!$H$42</f>
        <v>2489069.34831722</v>
      </c>
      <c r="AB64" s="50" t="n">
        <f aca="false">Z64*'Model Inputs &amp; Assumptions'!$G$42*'Model Inputs &amp; Assumptions'!$H$42</f>
        <v>52270.4563146617</v>
      </c>
      <c r="AC64" s="50" t="n">
        <f aca="false">SUMIFS('Activation Detail'!$I$4:$I$4003,'Activation Detail'!$A$4:$A$4003,$A64,'Activation Detail'!$N$4:$N$4003,Z$2)</f>
        <v>38998.984</v>
      </c>
      <c r="AD64" s="51" t="n">
        <f aca="false">IFERROR(AB64/AC64,0)</f>
        <v>1.34030302724455</v>
      </c>
      <c r="AE64" s="49" t="n">
        <f aca="false">IFERROR(AC64/Z64,0)</f>
        <v>84.6077325014572</v>
      </c>
    </row>
    <row r="65" customFormat="false" ht="15" hidden="false" customHeight="false" outlineLevel="0" collapsed="false">
      <c r="A65" s="43" t="n">
        <v>62</v>
      </c>
      <c r="B65" s="45" t="n">
        <f aca="false">SUM('Activation Detail'!C65,'Activation Detail'!C565,'Activation Detail'!C1065,'Activation Detail'!C1565,'Activation Detail'!C2065,'Activation Detail'!C2565,'Activation Detail'!C3065,'Activation Detail'!C3565)</f>
        <v>4978214</v>
      </c>
      <c r="C65" s="45" t="n">
        <f aca="false">SUM('Activation Detail'!E65,'Activation Detail'!E565,'Activation Detail'!E1065,'Activation Detail'!E1565,'Activation Detail'!E2065,'Activation Detail'!E2565,'Activation Detail'!E3065,'Activation Detail'!E3565)</f>
        <v>399214</v>
      </c>
      <c r="D65" s="45" t="n">
        <f aca="false">SUM('Activation Detail'!G65,'Activation Detail'!G565,'Activation Detail'!G1065,'Activation Detail'!G1565,'Activation Detail'!G2065,'Activation Detail'!G2565,'Activation Detail'!G3065,'Activation Detail'!G3565)</f>
        <v>19469</v>
      </c>
      <c r="E65" s="48" t="n">
        <f aca="false">SUM('Activation Detail'!H65,'Activation Detail'!H565,'Activation Detail'!H1065,'Activation Detail'!H1565,'Activation Detail'!H2065,'Activation Detail'!H2565,'Activation Detail'!H3065,'Activation Detail'!H3565)</f>
        <v>898.676732779504</v>
      </c>
      <c r="F65" s="50" t="n">
        <f aca="false">SUM('Activation Detail'!I65,'Activation Detail'!I565,'Activation Detail'!I1065,'Activation Detail'!I1565,'Activation Detail'!I2065,'Activation Detail'!I2565,'Activation Detail'!I3065,'Activation Detail'!I3565)</f>
        <v>79765.296164</v>
      </c>
      <c r="G65" s="50" t="n">
        <f aca="false">SUM('Activation Detail'!J65,'Activation Detail'!J565,'Activation Detail'!J1065,'Activation Detail'!J1565,'Activation Detail'!J2065,'Activation Detail'!J2565,'Activation Detail'!J3065,'Activation Detail'!J3565)</f>
        <v>5532617.64312132</v>
      </c>
      <c r="H65" s="50" t="n">
        <f aca="false">SUM('Activation Detail'!K65,'Activation Detail'!K565,'Activation Detail'!K1065,'Activation Detail'!K1565,'Activation Detail'!K2065,'Activation Detail'!K2565,'Activation Detail'!K3065,'Activation Detail'!K3565)</f>
        <v>119012.012071231</v>
      </c>
      <c r="I65" s="51" t="n">
        <f aca="false">IFERROR(H65/F65,0)</f>
        <v>1.49202745798797</v>
      </c>
      <c r="J65" s="49" t="n">
        <f aca="false">IFERROR(F65/E65,0)</f>
        <v>88.7586083566391</v>
      </c>
      <c r="K65" s="46" t="n">
        <f aca="false">IFERROR(C65/B65,0)</f>
        <v>0.0801922135127176</v>
      </c>
      <c r="L65" s="47" t="n">
        <f aca="false">IFERROR(D65/B65,0)</f>
        <v>0.00391084031341361</v>
      </c>
      <c r="N65" s="48" t="n">
        <f aca="false">SUMIFS('Activation Detail'!$H$4:$H$4003,'Activation Detail'!$A$4:$A$4003,$A65,'Activation Detail'!$N$4:$N$4003,N$2)</f>
        <v>103.571244397332</v>
      </c>
      <c r="O65" s="50" t="n">
        <f aca="false">N65*'Model Inputs &amp; Assumptions'!$D$40*'Model Inputs &amp; Assumptions'!$H$40</f>
        <v>880355.577377323</v>
      </c>
      <c r="P65" s="50" t="n">
        <f aca="false">N65*'Model Inputs &amp; Assumptions'!$G$40*'Model Inputs &amp; Assumptions'!$H$40</f>
        <v>19808.0004909898</v>
      </c>
      <c r="Q65" s="50" t="n">
        <f aca="false">SUMIFS('Activation Detail'!$I$4:$I$4003,'Activation Detail'!$A$4:$A$4003,$A65,'Activation Detail'!$N$4:$N$4003,N$2)</f>
        <v>18433.811</v>
      </c>
      <c r="R65" s="51" t="n">
        <f aca="false">IFERROR(P65/Q65,0)</f>
        <v>1.07454722688595</v>
      </c>
      <c r="S65" s="49" t="n">
        <f aca="false">IFERROR(Q65/N65,0)</f>
        <v>177.981939941574</v>
      </c>
      <c r="T65" s="48" t="n">
        <f aca="false">SUMIFS('Activation Detail'!$H$4:$H$4003,'Activation Detail'!$A$4:$A$4003,$A65,'Activation Detail'!$N$4:$N$4003,T$2)</f>
        <v>199.273571377925</v>
      </c>
      <c r="U65" s="50" t="n">
        <f aca="false">T65*'Model Inputs &amp; Assumptions'!$D$41*'Model Inputs &amp; Assumptions'!$H$41</f>
        <v>1434769.71392106</v>
      </c>
      <c r="V65" s="50" t="n">
        <f aca="false">T65*'Model Inputs &amp; Assumptions'!$G$41*'Model Inputs &amp; Assumptions'!$H$41</f>
        <v>31636.6721919594</v>
      </c>
      <c r="W65" s="50" t="n">
        <f aca="false">SUMIFS('Activation Detail'!$I$4:$I$4003,'Activation Detail'!$A$4:$A$4003,$A65,'Activation Detail'!$N$4:$N$4003,T$2)</f>
        <v>18985.965164</v>
      </c>
      <c r="X65" s="51" t="n">
        <f aca="false">IFERROR(V65/W65,0)</f>
        <v>1.66631887916591</v>
      </c>
      <c r="Y65" s="49" t="n">
        <f aca="false">IFERROR(W65/T65,0)</f>
        <v>95.2758814564167</v>
      </c>
      <c r="Z65" s="48" t="n">
        <f aca="false">SUMIFS('Activation Detail'!$H$4:$H$4003,'Activation Detail'!$A$4:$A$4003,$A65,'Activation Detail'!$N$4:$N$4003,Z$2)</f>
        <v>595.831917004247</v>
      </c>
      <c r="AA65" s="50" t="n">
        <f aca="false">Z65*'Model Inputs &amp; Assumptions'!$D$42*'Model Inputs &amp; Assumptions'!$H$42</f>
        <v>3217492.35182293</v>
      </c>
      <c r="AB65" s="50" t="n">
        <f aca="false">Z65*'Model Inputs &amp; Assumptions'!$G$42*'Model Inputs &amp; Assumptions'!$H$42</f>
        <v>67567.3393882816</v>
      </c>
      <c r="AC65" s="50" t="n">
        <f aca="false">SUMIFS('Activation Detail'!$I$4:$I$4003,'Activation Detail'!$A$4:$A$4003,$A65,'Activation Detail'!$N$4:$N$4003,Z$2)</f>
        <v>42345.52</v>
      </c>
      <c r="AD65" s="51" t="n">
        <f aca="false">IFERROR(AB65/AC65,0)</f>
        <v>1.5956195457815</v>
      </c>
      <c r="AE65" s="49" t="n">
        <f aca="false">IFERROR(AC65/Z65,0)</f>
        <v>71.0695731321459</v>
      </c>
    </row>
    <row r="66" customFormat="false" ht="15" hidden="false" customHeight="false" outlineLevel="0" collapsed="false">
      <c r="A66" s="43" t="n">
        <v>63</v>
      </c>
      <c r="B66" s="45" t="n">
        <f aca="false">SUM('Activation Detail'!C66,'Activation Detail'!C566,'Activation Detail'!C1066,'Activation Detail'!C1566,'Activation Detail'!C2066,'Activation Detail'!C2566,'Activation Detail'!C3066,'Activation Detail'!C3566)</f>
        <v>4205908</v>
      </c>
      <c r="C66" s="45" t="n">
        <f aca="false">SUM('Activation Detail'!E66,'Activation Detail'!E566,'Activation Detail'!E1066,'Activation Detail'!E1566,'Activation Detail'!E2066,'Activation Detail'!E2566,'Activation Detail'!E3066,'Activation Detail'!E3566)</f>
        <v>456834</v>
      </c>
      <c r="D66" s="45" t="n">
        <f aca="false">SUM('Activation Detail'!G66,'Activation Detail'!G566,'Activation Detail'!G1066,'Activation Detail'!G1566,'Activation Detail'!G2066,'Activation Detail'!G2566,'Activation Detail'!G3066,'Activation Detail'!G3566)</f>
        <v>14304</v>
      </c>
      <c r="E66" s="48" t="n">
        <f aca="false">SUM('Activation Detail'!H66,'Activation Detail'!H566,'Activation Detail'!H1066,'Activation Detail'!H1566,'Activation Detail'!H2066,'Activation Detail'!H2566,'Activation Detail'!H3066,'Activation Detail'!H3566)</f>
        <v>541.969113065486</v>
      </c>
      <c r="F66" s="50" t="n">
        <f aca="false">SUM('Activation Detail'!I66,'Activation Detail'!I566,'Activation Detail'!I1066,'Activation Detail'!I1566,'Activation Detail'!I2066,'Activation Detail'!I2566,'Activation Detail'!I3066,'Activation Detail'!I3566)</f>
        <v>74681.996778</v>
      </c>
      <c r="G66" s="50" t="n">
        <f aca="false">SUM('Activation Detail'!J66,'Activation Detail'!J566,'Activation Detail'!J1066,'Activation Detail'!J1566,'Activation Detail'!J2066,'Activation Detail'!J2566,'Activation Detail'!J3066,'Activation Detail'!J3566)</f>
        <v>3524251.16673714</v>
      </c>
      <c r="H66" s="50" t="n">
        <f aca="false">SUM('Activation Detail'!K66,'Activation Detail'!K566,'Activation Detail'!K1066,'Activation Detail'!K1566,'Activation Detail'!K2066,'Activation Detail'!K2566,'Activation Detail'!K3066,'Activation Detail'!K3566)</f>
        <v>76498.758068126</v>
      </c>
      <c r="I66" s="51" t="n">
        <f aca="false">IFERROR(H66/F66,0)</f>
        <v>1.02432662982387</v>
      </c>
      <c r="J66" s="49" t="n">
        <f aca="false">IFERROR(F66/E66,0)</f>
        <v>137.797514614041</v>
      </c>
      <c r="K66" s="46" t="n">
        <f aca="false">IFERROR(C66/B66,0)</f>
        <v>0.10861721178875</v>
      </c>
      <c r="L66" s="47" t="n">
        <f aca="false">IFERROR(D66/B66,0)</f>
        <v>0.00340093031041097</v>
      </c>
      <c r="N66" s="48" t="n">
        <f aca="false">SUMIFS('Activation Detail'!$H$4:$H$4003,'Activation Detail'!$A$4:$A$4003,$A66,'Activation Detail'!$N$4:$N$4003,N$2)</f>
        <v>75.9698123133667</v>
      </c>
      <c r="O66" s="50" t="n">
        <f aca="false">N66*'Model Inputs &amp; Assumptions'!$D$40*'Model Inputs &amp; Assumptions'!$H$40</f>
        <v>645743.404663617</v>
      </c>
      <c r="P66" s="50" t="n">
        <f aca="false">N66*'Model Inputs &amp; Assumptions'!$G$40*'Model Inputs &amp; Assumptions'!$H$40</f>
        <v>14529.2266049314</v>
      </c>
      <c r="Q66" s="50" t="n">
        <f aca="false">SUMIFS('Activation Detail'!$I$4:$I$4003,'Activation Detail'!$A$4:$A$4003,$A66,'Activation Detail'!$N$4:$N$4003,N$2)</f>
        <v>18156.2805</v>
      </c>
      <c r="R66" s="51" t="n">
        <f aca="false">IFERROR(P66/Q66,0)</f>
        <v>0.80023144635441</v>
      </c>
      <c r="S66" s="49" t="n">
        <f aca="false">IFERROR(Q66/N66,0)</f>
        <v>238.993357323399</v>
      </c>
      <c r="T66" s="48" t="n">
        <f aca="false">SUMIFS('Activation Detail'!$H$4:$H$4003,'Activation Detail'!$A$4:$A$4003,$A66,'Activation Detail'!$N$4:$N$4003,T$2)</f>
        <v>201.173076673374</v>
      </c>
      <c r="U66" s="50" t="n">
        <f aca="false">T66*'Model Inputs &amp; Assumptions'!$D$41*'Model Inputs &amp; Assumptions'!$H$41</f>
        <v>1448446.15204829</v>
      </c>
      <c r="V66" s="50" t="n">
        <f aca="false">T66*'Model Inputs &amp; Assumptions'!$G$41*'Model Inputs &amp; Assumptions'!$H$41</f>
        <v>31938.2376526649</v>
      </c>
      <c r="W66" s="50" t="n">
        <f aca="false">SUMIFS('Activation Detail'!$I$4:$I$4003,'Activation Detail'!$A$4:$A$4003,$A66,'Activation Detail'!$N$4:$N$4003,T$2)</f>
        <v>21345.528278</v>
      </c>
      <c r="X66" s="51" t="n">
        <f aca="false">IFERROR(V66/W66,0)</f>
        <v>1.49624957680632</v>
      </c>
      <c r="Y66" s="49" t="n">
        <f aca="false">IFERROR(W66/T66,0)</f>
        <v>106.105293168314</v>
      </c>
      <c r="Z66" s="48" t="n">
        <f aca="false">SUMIFS('Activation Detail'!$H$4:$H$4003,'Activation Detail'!$A$4:$A$4003,$A66,'Activation Detail'!$N$4:$N$4003,Z$2)</f>
        <v>264.826224078746</v>
      </c>
      <c r="AA66" s="50" t="n">
        <f aca="false">Z66*'Model Inputs &amp; Assumptions'!$D$42*'Model Inputs &amp; Assumptions'!$H$42</f>
        <v>1430061.61002523</v>
      </c>
      <c r="AB66" s="50" t="n">
        <f aca="false">Z66*'Model Inputs &amp; Assumptions'!$G$42*'Model Inputs &amp; Assumptions'!$H$42</f>
        <v>30031.2938105297</v>
      </c>
      <c r="AC66" s="50" t="n">
        <f aca="false">SUMIFS('Activation Detail'!$I$4:$I$4003,'Activation Detail'!$A$4:$A$4003,$A66,'Activation Detail'!$N$4:$N$4003,Z$2)</f>
        <v>35180.188</v>
      </c>
      <c r="AD66" s="51" t="n">
        <f aca="false">IFERROR(AB66/AC66,0)</f>
        <v>0.853642220744521</v>
      </c>
      <c r="AE66" s="49" t="n">
        <f aca="false">IFERROR(AC66/Z66,0)</f>
        <v>132.842538998476</v>
      </c>
    </row>
    <row r="67" customFormat="false" ht="15" hidden="false" customHeight="false" outlineLevel="0" collapsed="false">
      <c r="A67" s="43" t="n">
        <v>64</v>
      </c>
      <c r="B67" s="45" t="n">
        <f aca="false">SUM('Activation Detail'!C67,'Activation Detail'!C567,'Activation Detail'!C1067,'Activation Detail'!C1567,'Activation Detail'!C2067,'Activation Detail'!C2567,'Activation Detail'!C3067,'Activation Detail'!C3567)</f>
        <v>4689120</v>
      </c>
      <c r="C67" s="45" t="n">
        <f aca="false">SUM('Activation Detail'!E67,'Activation Detail'!E567,'Activation Detail'!E1067,'Activation Detail'!E1567,'Activation Detail'!E2067,'Activation Detail'!E2567,'Activation Detail'!E3067,'Activation Detail'!E3567)</f>
        <v>537574</v>
      </c>
      <c r="D67" s="45" t="n">
        <f aca="false">SUM('Activation Detail'!G67,'Activation Detail'!G567,'Activation Detail'!G1067,'Activation Detail'!G1567,'Activation Detail'!G2067,'Activation Detail'!G2567,'Activation Detail'!G3067,'Activation Detail'!G3567)</f>
        <v>16179</v>
      </c>
      <c r="E67" s="48" t="n">
        <f aca="false">SUM('Activation Detail'!H67,'Activation Detail'!H567,'Activation Detail'!H1067,'Activation Detail'!H1567,'Activation Detail'!H2067,'Activation Detail'!H2567,'Activation Detail'!H3067,'Activation Detail'!H3567)</f>
        <v>586.737447500943</v>
      </c>
      <c r="F67" s="50" t="n">
        <f aca="false">SUM('Activation Detail'!I67,'Activation Detail'!I567,'Activation Detail'!I1067,'Activation Detail'!I1567,'Activation Detail'!I2067,'Activation Detail'!I2567,'Activation Detail'!I3067,'Activation Detail'!I3567)</f>
        <v>77713.032306</v>
      </c>
      <c r="G67" s="50" t="n">
        <f aca="false">SUM('Activation Detail'!J67,'Activation Detail'!J567,'Activation Detail'!J1067,'Activation Detail'!J1567,'Activation Detail'!J2067,'Activation Detail'!J2567,'Activation Detail'!J3067,'Activation Detail'!J3567)</f>
        <v>3746200.8889038</v>
      </c>
      <c r="H67" s="50" t="n">
        <f aca="false">SUM('Activation Detail'!K67,'Activation Detail'!K567,'Activation Detail'!K1067,'Activation Detail'!K1567,'Activation Detail'!K2067,'Activation Detail'!K2567,'Activation Detail'!K3067,'Activation Detail'!K3567)</f>
        <v>81075.6964215609</v>
      </c>
      <c r="I67" s="51" t="n">
        <f aca="false">IFERROR(H67/F67,0)</f>
        <v>1.04327027289735</v>
      </c>
      <c r="J67" s="49" t="n">
        <f aca="false">IFERROR(F67/E67,0)</f>
        <v>132.449416066758</v>
      </c>
      <c r="K67" s="46" t="n">
        <f aca="false">IFERROR(C67/B67,0)</f>
        <v>0.114642832770328</v>
      </c>
      <c r="L67" s="47" t="n">
        <f aca="false">IFERROR(D67/B67,0)</f>
        <v>0.00345032756679292</v>
      </c>
      <c r="N67" s="48" t="n">
        <f aca="false">SUMIFS('Activation Detail'!$H$4:$H$4003,'Activation Detail'!$A$4:$A$4003,$A67,'Activation Detail'!$N$4:$N$4003,N$2)</f>
        <v>79.1135907170703</v>
      </c>
      <c r="O67" s="50" t="n">
        <f aca="false">N67*'Model Inputs &amp; Assumptions'!$D$40*'Model Inputs &amp; Assumptions'!$H$40</f>
        <v>672465.521095098</v>
      </c>
      <c r="P67" s="50" t="n">
        <f aca="false">N67*'Model Inputs &amp; Assumptions'!$G$40*'Model Inputs &amp; Assumptions'!$H$40</f>
        <v>15130.4742246397</v>
      </c>
      <c r="Q67" s="50" t="n">
        <f aca="false">SUMIFS('Activation Detail'!$I$4:$I$4003,'Activation Detail'!$A$4:$A$4003,$A67,'Activation Detail'!$N$4:$N$4003,N$2)</f>
        <v>17533.0995</v>
      </c>
      <c r="R67" s="51" t="n">
        <f aca="false">IFERROR(P67/Q67,0)</f>
        <v>0.862966312638544</v>
      </c>
      <c r="S67" s="49" t="n">
        <f aca="false">IFERROR(Q67/N67,0)</f>
        <v>221.619311436674</v>
      </c>
      <c r="T67" s="48" t="n">
        <f aca="false">SUMIFS('Activation Detail'!$H$4:$H$4003,'Activation Detail'!$A$4:$A$4003,$A67,'Activation Detail'!$N$4:$N$4003,T$2)</f>
        <v>184.759189542109</v>
      </c>
      <c r="U67" s="50" t="n">
        <f aca="false">T67*'Model Inputs &amp; Assumptions'!$D$41*'Model Inputs &amp; Assumptions'!$H$41</f>
        <v>1330266.16470318</v>
      </c>
      <c r="V67" s="50" t="n">
        <f aca="false">T67*'Model Inputs &amp; Assumptions'!$G$41*'Model Inputs &amp; Assumptions'!$H$41</f>
        <v>29332.3689317052</v>
      </c>
      <c r="W67" s="50" t="n">
        <f aca="false">SUMIFS('Activation Detail'!$I$4:$I$4003,'Activation Detail'!$A$4:$A$4003,$A67,'Activation Detail'!$N$4:$N$4003,T$2)</f>
        <v>19301.760806</v>
      </c>
      <c r="X67" s="51" t="n">
        <f aca="false">IFERROR(V67/W67,0)</f>
        <v>1.51967321668328</v>
      </c>
      <c r="Y67" s="49" t="n">
        <f aca="false">IFERROR(W67/T67,0)</f>
        <v>104.46982828749</v>
      </c>
      <c r="Z67" s="48" t="n">
        <f aca="false">SUMIFS('Activation Detail'!$H$4:$H$4003,'Activation Detail'!$A$4:$A$4003,$A67,'Activation Detail'!$N$4:$N$4003,Z$2)</f>
        <v>322.864667241764</v>
      </c>
      <c r="AA67" s="50" t="n">
        <f aca="false">Z67*'Model Inputs &amp; Assumptions'!$D$42*'Model Inputs &amp; Assumptions'!$H$42</f>
        <v>1743469.20310552</v>
      </c>
      <c r="AB67" s="50" t="n">
        <f aca="false">Z67*'Model Inputs &amp; Assumptions'!$G$42*'Model Inputs &amp; Assumptions'!$H$42</f>
        <v>36612.853265216</v>
      </c>
      <c r="AC67" s="50" t="n">
        <f aca="false">SUMIFS('Activation Detail'!$I$4:$I$4003,'Activation Detail'!$A$4:$A$4003,$A67,'Activation Detail'!$N$4:$N$4003,Z$2)</f>
        <v>40878.172</v>
      </c>
      <c r="AD67" s="51" t="n">
        <f aca="false">IFERROR(AB67/AC67,0)</f>
        <v>0.895657791772489</v>
      </c>
      <c r="AE67" s="49" t="n">
        <f aca="false">IFERROR(AC67/Z67,0)</f>
        <v>126.610856335636</v>
      </c>
    </row>
    <row r="68" customFormat="false" ht="15" hidden="false" customHeight="false" outlineLevel="0" collapsed="false">
      <c r="A68" s="43" t="n">
        <v>65</v>
      </c>
      <c r="B68" s="45" t="n">
        <f aca="false">SUM('Activation Detail'!C68,'Activation Detail'!C568,'Activation Detail'!C1068,'Activation Detail'!C1568,'Activation Detail'!C2068,'Activation Detail'!C2568,'Activation Detail'!C3068,'Activation Detail'!C3568)</f>
        <v>4461177</v>
      </c>
      <c r="C68" s="45" t="n">
        <f aca="false">SUM('Activation Detail'!E68,'Activation Detail'!E568,'Activation Detail'!E1068,'Activation Detail'!E1568,'Activation Detail'!E2068,'Activation Detail'!E2568,'Activation Detail'!E3068,'Activation Detail'!E3568)</f>
        <v>246948</v>
      </c>
      <c r="D68" s="45" t="n">
        <f aca="false">SUM('Activation Detail'!G68,'Activation Detail'!G568,'Activation Detail'!G1068,'Activation Detail'!G1568,'Activation Detail'!G2068,'Activation Detail'!G2568,'Activation Detail'!G3068,'Activation Detail'!G3568)</f>
        <v>14536</v>
      </c>
      <c r="E68" s="48" t="n">
        <f aca="false">SUM('Activation Detail'!H68,'Activation Detail'!H568,'Activation Detail'!H1068,'Activation Detail'!H1568,'Activation Detail'!H2068,'Activation Detail'!H2568,'Activation Detail'!H3068,'Activation Detail'!H3568)</f>
        <v>626.238438952639</v>
      </c>
      <c r="F68" s="50" t="n">
        <f aca="false">SUM('Activation Detail'!I68,'Activation Detail'!I568,'Activation Detail'!I1068,'Activation Detail'!I1568,'Activation Detail'!I2068,'Activation Detail'!I2568,'Activation Detail'!I3068,'Activation Detail'!I3568)</f>
        <v>82323.894052</v>
      </c>
      <c r="G68" s="50" t="n">
        <f aca="false">SUM('Activation Detail'!J68,'Activation Detail'!J568,'Activation Detail'!J1068,'Activation Detail'!J1568,'Activation Detail'!J2068,'Activation Detail'!J2568,'Activation Detail'!J3068,'Activation Detail'!J3568)</f>
        <v>4194238.95427478</v>
      </c>
      <c r="H68" s="50" t="n">
        <f aca="false">SUM('Activation Detail'!K68,'Activation Detail'!K568,'Activation Detail'!K1068,'Activation Detail'!K1568,'Activation Detail'!K2068,'Activation Detail'!K2568,'Activation Detail'!K3068,'Activation Detail'!K3568)</f>
        <v>91451.1137969285</v>
      </c>
      <c r="I68" s="51" t="n">
        <f aca="false">IFERROR(H68/F68,0)</f>
        <v>1.11086963086517</v>
      </c>
      <c r="J68" s="49" t="n">
        <f aca="false">IFERROR(F68/E68,0)</f>
        <v>131.457746652671</v>
      </c>
      <c r="K68" s="46" t="n">
        <f aca="false">IFERROR(C68/B68,0)</f>
        <v>0.0553548984942763</v>
      </c>
      <c r="L68" s="47" t="n">
        <f aca="false">IFERROR(D68/B68,0)</f>
        <v>0.00325833294666408</v>
      </c>
      <c r="N68" s="48" t="n">
        <f aca="false">SUMIFS('Activation Detail'!$H$4:$H$4003,'Activation Detail'!$A$4:$A$4003,$A68,'Activation Detail'!$N$4:$N$4003,N$2)</f>
        <v>150.444649444324</v>
      </c>
      <c r="O68" s="50" t="n">
        <f aca="false">N68*'Model Inputs &amp; Assumptions'!$D$40*'Model Inputs &amp; Assumptions'!$H$40</f>
        <v>1278779.52027675</v>
      </c>
      <c r="P68" s="50" t="n">
        <f aca="false">N68*'Model Inputs &amp; Assumptions'!$G$40*'Model Inputs &amp; Assumptions'!$H$40</f>
        <v>28772.5392062269</v>
      </c>
      <c r="Q68" s="50" t="n">
        <f aca="false">SUMIFS('Activation Detail'!$I$4:$I$4003,'Activation Detail'!$A$4:$A$4003,$A68,'Activation Detail'!$N$4:$N$4003,N$2)</f>
        <v>18986.857</v>
      </c>
      <c r="R68" s="51" t="n">
        <f aca="false">IFERROR(P68/Q68,0)</f>
        <v>1.515392421517</v>
      </c>
      <c r="S68" s="49" t="n">
        <f aca="false">IFERROR(Q68/N68,0)</f>
        <v>126.204933642566</v>
      </c>
      <c r="T68" s="48" t="n">
        <f aca="false">SUMIFS('Activation Detail'!$H$4:$H$4003,'Activation Detail'!$A$4:$A$4003,$A68,'Activation Detail'!$N$4:$N$4003,T$2)</f>
        <v>192.318317029512</v>
      </c>
      <c r="U68" s="50" t="n">
        <f aca="false">T68*'Model Inputs &amp; Assumptions'!$D$41*'Model Inputs &amp; Assumptions'!$H$41</f>
        <v>1384691.88261249</v>
      </c>
      <c r="V68" s="50" t="n">
        <f aca="false">T68*'Model Inputs &amp; Assumptions'!$G$41*'Model Inputs &amp; Assumptions'!$H$41</f>
        <v>30532.4560116053</v>
      </c>
      <c r="W68" s="50" t="n">
        <f aca="false">SUMIFS('Activation Detail'!$I$4:$I$4003,'Activation Detail'!$A$4:$A$4003,$A68,'Activation Detail'!$N$4:$N$4003,T$2)</f>
        <v>15038.377052</v>
      </c>
      <c r="X68" s="51" t="n">
        <f aca="false">IFERROR(V68/W68,0)</f>
        <v>2.03030259887949</v>
      </c>
      <c r="Y68" s="49" t="n">
        <f aca="false">IFERROR(W68/T68,0)</f>
        <v>78.1952404964749</v>
      </c>
      <c r="Z68" s="48" t="n">
        <f aca="false">SUMIFS('Activation Detail'!$H$4:$H$4003,'Activation Detail'!$A$4:$A$4003,$A68,'Activation Detail'!$N$4:$N$4003,Z$2)</f>
        <v>283.475472478803</v>
      </c>
      <c r="AA68" s="50" t="n">
        <f aca="false">Z68*'Model Inputs &amp; Assumptions'!$D$42*'Model Inputs &amp; Assumptions'!$H$42</f>
        <v>1530767.55138554</v>
      </c>
      <c r="AB68" s="50" t="n">
        <f aca="false">Z68*'Model Inputs &amp; Assumptions'!$G$42*'Model Inputs &amp; Assumptions'!$H$42</f>
        <v>32146.1185790962</v>
      </c>
      <c r="AC68" s="50" t="n">
        <f aca="false">SUMIFS('Activation Detail'!$I$4:$I$4003,'Activation Detail'!$A$4:$A$4003,$A68,'Activation Detail'!$N$4:$N$4003,Z$2)</f>
        <v>48298.66</v>
      </c>
      <c r="AD68" s="51" t="n">
        <f aca="false">IFERROR(AB68/AC68,0)</f>
        <v>0.665569574375278</v>
      </c>
      <c r="AE68" s="49" t="n">
        <f aca="false">IFERROR(AC68/Z68,0)</f>
        <v>170.380384509674</v>
      </c>
    </row>
    <row r="69" customFormat="false" ht="15" hidden="false" customHeight="false" outlineLevel="0" collapsed="false">
      <c r="A69" s="43" t="n">
        <v>66</v>
      </c>
      <c r="B69" s="45" t="n">
        <f aca="false">SUM('Activation Detail'!C69,'Activation Detail'!C569,'Activation Detail'!C1069,'Activation Detail'!C1569,'Activation Detail'!C2069,'Activation Detail'!C2569,'Activation Detail'!C3069,'Activation Detail'!C3569)</f>
        <v>3642851</v>
      </c>
      <c r="C69" s="45" t="n">
        <f aca="false">SUM('Activation Detail'!E69,'Activation Detail'!E569,'Activation Detail'!E1069,'Activation Detail'!E1569,'Activation Detail'!E2069,'Activation Detail'!E2569,'Activation Detail'!E3069,'Activation Detail'!E3569)</f>
        <v>287190</v>
      </c>
      <c r="D69" s="45" t="n">
        <f aca="false">SUM('Activation Detail'!G69,'Activation Detail'!G569,'Activation Detail'!G1069,'Activation Detail'!G1569,'Activation Detail'!G2069,'Activation Detail'!G2569,'Activation Detail'!G3069,'Activation Detail'!G3569)</f>
        <v>13893</v>
      </c>
      <c r="E69" s="48" t="n">
        <f aca="false">SUM('Activation Detail'!H69,'Activation Detail'!H569,'Activation Detail'!H1069,'Activation Detail'!H1569,'Activation Detail'!H2069,'Activation Detail'!H2569,'Activation Detail'!H3069,'Activation Detail'!H3569)</f>
        <v>660.364764150369</v>
      </c>
      <c r="F69" s="50" t="n">
        <f aca="false">SUM('Activation Detail'!I69,'Activation Detail'!I569,'Activation Detail'!I1069,'Activation Detail'!I1569,'Activation Detail'!I2069,'Activation Detail'!I2569,'Activation Detail'!I3069,'Activation Detail'!I3569)</f>
        <v>75661.547814</v>
      </c>
      <c r="G69" s="50" t="n">
        <f aca="false">SUM('Activation Detail'!J69,'Activation Detail'!J569,'Activation Detail'!J1069,'Activation Detail'!J1569,'Activation Detail'!J2069,'Activation Detail'!J2569,'Activation Detail'!J3069,'Activation Detail'!J3569)</f>
        <v>4395430.66353966</v>
      </c>
      <c r="H69" s="50" t="n">
        <f aca="false">SUM('Activation Detail'!K69,'Activation Detail'!K569,'Activation Detail'!K1069,'Activation Detail'!K1569,'Activation Detail'!K2069,'Activation Detail'!K2569,'Activation Detail'!K3069,'Activation Detail'!K3569)</f>
        <v>95741.4527853809</v>
      </c>
      <c r="I69" s="51" t="n">
        <f aca="false">IFERROR(H69/F69,0)</f>
        <v>1.26539114717483</v>
      </c>
      <c r="J69" s="49" t="n">
        <f aca="false">IFERROR(F69/E69,0)</f>
        <v>114.575386091877</v>
      </c>
      <c r="K69" s="46" t="n">
        <f aca="false">IFERROR(C69/B69,0)</f>
        <v>0.0788366035283903</v>
      </c>
      <c r="L69" s="47" t="n">
        <f aca="false">IFERROR(D69/B69,0)</f>
        <v>0.00381377113694741</v>
      </c>
      <c r="N69" s="48" t="n">
        <f aca="false">SUMIFS('Activation Detail'!$H$4:$H$4003,'Activation Detail'!$A$4:$A$4003,$A69,'Activation Detail'!$N$4:$N$4003,N$2)</f>
        <v>171.581795882184</v>
      </c>
      <c r="O69" s="50" t="n">
        <f aca="false">N69*'Model Inputs &amp; Assumptions'!$D$40*'Model Inputs &amp; Assumptions'!$H$40</f>
        <v>1458445.26499856</v>
      </c>
      <c r="P69" s="50" t="n">
        <f aca="false">N69*'Model Inputs &amp; Assumptions'!$G$40*'Model Inputs &amp; Assumptions'!$H$40</f>
        <v>32815.0184624676</v>
      </c>
      <c r="Q69" s="50" t="n">
        <f aca="false">SUMIFS('Activation Detail'!$I$4:$I$4003,'Activation Detail'!$A$4:$A$4003,$A69,'Activation Detail'!$N$4:$N$4003,N$2)</f>
        <v>19052.2795</v>
      </c>
      <c r="R69" s="51" t="n">
        <f aca="false">IFERROR(P69/Q69,0)</f>
        <v>1.72236705127424</v>
      </c>
      <c r="S69" s="49" t="n">
        <f aca="false">IFERROR(Q69/N69,0)</f>
        <v>111.03904934695</v>
      </c>
      <c r="T69" s="48" t="n">
        <f aca="false">SUMIFS('Activation Detail'!$H$4:$H$4003,'Activation Detail'!$A$4:$A$4003,$A69,'Activation Detail'!$N$4:$N$4003,T$2)</f>
        <v>165.3096499405</v>
      </c>
      <c r="U69" s="50" t="n">
        <f aca="false">T69*'Model Inputs &amp; Assumptions'!$D$41*'Model Inputs &amp; Assumptions'!$H$41</f>
        <v>1190229.4795716</v>
      </c>
      <c r="V69" s="50" t="n">
        <f aca="false">T69*'Model Inputs &amp; Assumptions'!$G$41*'Model Inputs &amp; Assumptions'!$H$41</f>
        <v>26244.5600245537</v>
      </c>
      <c r="W69" s="50" t="n">
        <f aca="false">SUMIFS('Activation Detail'!$I$4:$I$4003,'Activation Detail'!$A$4:$A$4003,$A69,'Activation Detail'!$N$4:$N$4003,T$2)</f>
        <v>17023.988314</v>
      </c>
      <c r="X69" s="51" t="n">
        <f aca="false">IFERROR(V69/W69,0)</f>
        <v>1.54162230027913</v>
      </c>
      <c r="Y69" s="49" t="n">
        <f aca="false">IFERROR(W69/T69,0)</f>
        <v>102.982423107952</v>
      </c>
      <c r="Z69" s="48" t="n">
        <f aca="false">SUMIFS('Activation Detail'!$H$4:$H$4003,'Activation Detail'!$A$4:$A$4003,$A69,'Activation Detail'!$N$4:$N$4003,Z$2)</f>
        <v>323.473318327685</v>
      </c>
      <c r="AA69" s="50" t="n">
        <f aca="false">Z69*'Model Inputs &amp; Assumptions'!$D$42*'Model Inputs &amp; Assumptions'!$H$42</f>
        <v>1746755.9189695</v>
      </c>
      <c r="AB69" s="50" t="n">
        <f aca="false">Z69*'Model Inputs &amp; Assumptions'!$G$42*'Model Inputs &amp; Assumptions'!$H$42</f>
        <v>36681.8742983595</v>
      </c>
      <c r="AC69" s="50" t="n">
        <f aca="false">SUMIFS('Activation Detail'!$I$4:$I$4003,'Activation Detail'!$A$4:$A$4003,$A69,'Activation Detail'!$N$4:$N$4003,Z$2)</f>
        <v>39585.28</v>
      </c>
      <c r="AD69" s="51" t="n">
        <f aca="false">IFERROR(AB69/AC69,0)</f>
        <v>0.926654410385869</v>
      </c>
      <c r="AE69" s="49" t="n">
        <f aca="false">IFERROR(AC69/Z69,0)</f>
        <v>122.375719285444</v>
      </c>
    </row>
    <row r="70" customFormat="false" ht="15" hidden="false" customHeight="false" outlineLevel="0" collapsed="false">
      <c r="A70" s="43" t="n">
        <v>67</v>
      </c>
      <c r="B70" s="45" t="n">
        <f aca="false">SUM('Activation Detail'!C70,'Activation Detail'!C570,'Activation Detail'!C1070,'Activation Detail'!C1570,'Activation Detail'!C2070,'Activation Detail'!C2570,'Activation Detail'!C3070,'Activation Detail'!C3570)</f>
        <v>4048653</v>
      </c>
      <c r="C70" s="45" t="n">
        <f aca="false">SUM('Activation Detail'!E70,'Activation Detail'!E570,'Activation Detail'!E1070,'Activation Detail'!E1570,'Activation Detail'!E2070,'Activation Detail'!E2570,'Activation Detail'!E3070,'Activation Detail'!E3570)</f>
        <v>315638</v>
      </c>
      <c r="D70" s="45" t="n">
        <f aca="false">SUM('Activation Detail'!G70,'Activation Detail'!G570,'Activation Detail'!G1070,'Activation Detail'!G1570,'Activation Detail'!G2070,'Activation Detail'!G2570,'Activation Detail'!G3070,'Activation Detail'!G3570)</f>
        <v>13852</v>
      </c>
      <c r="E70" s="48" t="n">
        <f aca="false">SUM('Activation Detail'!H70,'Activation Detail'!H570,'Activation Detail'!H1070,'Activation Detail'!H1570,'Activation Detail'!H2070,'Activation Detail'!H2570,'Activation Detail'!H3070,'Activation Detail'!H3570)</f>
        <v>771.330990429053</v>
      </c>
      <c r="F70" s="50" t="n">
        <f aca="false">SUM('Activation Detail'!I70,'Activation Detail'!I570,'Activation Detail'!I1070,'Activation Detail'!I1570,'Activation Detail'!I2070,'Activation Detail'!I2570,'Activation Detail'!I3070,'Activation Detail'!I3570)</f>
        <v>76480.512668</v>
      </c>
      <c r="G70" s="50" t="n">
        <f aca="false">SUM('Activation Detail'!J70,'Activation Detail'!J570,'Activation Detail'!J1070,'Activation Detail'!J1570,'Activation Detail'!J2070,'Activation Detail'!J2570,'Activation Detail'!J3070,'Activation Detail'!J3570)</f>
        <v>4678976.98951894</v>
      </c>
      <c r="H70" s="50" t="n">
        <f aca="false">SUM('Activation Detail'!K70,'Activation Detail'!K570,'Activation Detail'!K1070,'Activation Detail'!K1570,'Activation Detail'!K2070,'Activation Detail'!K2570,'Activation Detail'!K3070,'Activation Detail'!K3570)</f>
        <v>100397.470608738</v>
      </c>
      <c r="I70" s="51" t="n">
        <f aca="false">IFERROR(H70/F70,0)</f>
        <v>1.31271963414473</v>
      </c>
      <c r="J70" s="49" t="n">
        <f aca="false">IFERROR(F70/E70,0)</f>
        <v>99.153947678749</v>
      </c>
      <c r="K70" s="46" t="n">
        <f aca="false">IFERROR(C70/B70,0)</f>
        <v>0.0779612379722342</v>
      </c>
      <c r="L70" s="47" t="n">
        <f aca="false">IFERROR(D70/B70,0)</f>
        <v>0.00342138484083472</v>
      </c>
      <c r="N70" s="48" t="n">
        <f aca="false">SUMIFS('Activation Detail'!$H$4:$H$4003,'Activation Detail'!$A$4:$A$4003,$A70,'Activation Detail'!$N$4:$N$4003,N$2)</f>
        <v>70.2320896599838</v>
      </c>
      <c r="O70" s="50" t="n">
        <f aca="false">N70*'Model Inputs &amp; Assumptions'!$D$40*'Model Inputs &amp; Assumptions'!$H$40</f>
        <v>596972.762109862</v>
      </c>
      <c r="P70" s="50" t="n">
        <f aca="false">N70*'Model Inputs &amp; Assumptions'!$G$40*'Model Inputs &amp; Assumptions'!$H$40</f>
        <v>13431.8871474719</v>
      </c>
      <c r="Q70" s="50" t="n">
        <f aca="false">SUMIFS('Activation Detail'!$I$4:$I$4003,'Activation Detail'!$A$4:$A$4003,$A70,'Activation Detail'!$N$4:$N$4003,N$2)</f>
        <v>19226.733</v>
      </c>
      <c r="R70" s="51" t="n">
        <f aca="false">IFERROR(P70/Q70,0)</f>
        <v>0.698604757629489</v>
      </c>
      <c r="S70" s="49" t="n">
        <f aca="false">IFERROR(Q70/N70,0)</f>
        <v>273.75994496366</v>
      </c>
      <c r="T70" s="48" t="n">
        <f aca="false">SUMIFS('Activation Detail'!$H$4:$H$4003,'Activation Detail'!$A$4:$A$4003,$A70,'Activation Detail'!$N$4:$N$4003,T$2)</f>
        <v>164.483424031169</v>
      </c>
      <c r="U70" s="50" t="n">
        <f aca="false">T70*'Model Inputs &amp; Assumptions'!$D$41*'Model Inputs &amp; Assumptions'!$H$41</f>
        <v>1184280.65302441</v>
      </c>
      <c r="V70" s="50" t="n">
        <f aca="false">T70*'Model Inputs &amp; Assumptions'!$G$41*'Model Inputs &amp; Assumptions'!$H$41</f>
        <v>26113.3883991883</v>
      </c>
      <c r="W70" s="50" t="n">
        <f aca="false">SUMIFS('Activation Detail'!$I$4:$I$4003,'Activation Detail'!$A$4:$A$4003,$A70,'Activation Detail'!$N$4:$N$4003,T$2)</f>
        <v>15483.323668</v>
      </c>
      <c r="X70" s="51" t="n">
        <f aca="false">IFERROR(V70/W70,0)</f>
        <v>1.68654928096336</v>
      </c>
      <c r="Y70" s="49" t="n">
        <f aca="false">IFERROR(W70/T70,0)</f>
        <v>94.1330335211529</v>
      </c>
      <c r="Z70" s="48" t="n">
        <f aca="false">SUMIFS('Activation Detail'!$H$4:$H$4003,'Activation Detail'!$A$4:$A$4003,$A70,'Activation Detail'!$N$4:$N$4003,Z$2)</f>
        <v>536.615476737901</v>
      </c>
      <c r="AA70" s="50" t="n">
        <f aca="false">Z70*'Model Inputs &amp; Assumptions'!$D$42*'Model Inputs &amp; Assumptions'!$H$42</f>
        <v>2897723.57438466</v>
      </c>
      <c r="AB70" s="50" t="n">
        <f aca="false">Z70*'Model Inputs &amp; Assumptions'!$G$42*'Model Inputs &amp; Assumptions'!$H$42</f>
        <v>60852.1950620779</v>
      </c>
      <c r="AC70" s="50" t="n">
        <f aca="false">SUMIFS('Activation Detail'!$I$4:$I$4003,'Activation Detail'!$A$4:$A$4003,$A70,'Activation Detail'!$N$4:$N$4003,Z$2)</f>
        <v>41770.456</v>
      </c>
      <c r="AD70" s="51" t="n">
        <f aca="false">IFERROR(AB70/AC70,0)</f>
        <v>1.45682381494897</v>
      </c>
      <c r="AE70" s="49" t="n">
        <f aca="false">IFERROR(AC70/Z70,0)</f>
        <v>77.8405726460289</v>
      </c>
    </row>
    <row r="71" customFormat="false" ht="15" hidden="false" customHeight="false" outlineLevel="0" collapsed="false">
      <c r="A71" s="43" t="n">
        <v>68</v>
      </c>
      <c r="B71" s="45" t="n">
        <f aca="false">SUM('Activation Detail'!C71,'Activation Detail'!C571,'Activation Detail'!C1071,'Activation Detail'!C1571,'Activation Detail'!C2071,'Activation Detail'!C2571,'Activation Detail'!C3071,'Activation Detail'!C3571)</f>
        <v>4828971</v>
      </c>
      <c r="C71" s="45" t="n">
        <f aca="false">SUM('Activation Detail'!E71,'Activation Detail'!E571,'Activation Detail'!E1071,'Activation Detail'!E1571,'Activation Detail'!E2071,'Activation Detail'!E2571,'Activation Detail'!E3071,'Activation Detail'!E3571)</f>
        <v>473152</v>
      </c>
      <c r="D71" s="45" t="n">
        <f aca="false">SUM('Activation Detail'!G71,'Activation Detail'!G571,'Activation Detail'!G1071,'Activation Detail'!G1571,'Activation Detail'!G2071,'Activation Detail'!G2571,'Activation Detail'!G3071,'Activation Detail'!G3571)</f>
        <v>15570</v>
      </c>
      <c r="E71" s="48" t="n">
        <f aca="false">SUM('Activation Detail'!H71,'Activation Detail'!H571,'Activation Detail'!H1071,'Activation Detail'!H1571,'Activation Detail'!H2071,'Activation Detail'!H2571,'Activation Detail'!H3071,'Activation Detail'!H3571)</f>
        <v>625.146748205351</v>
      </c>
      <c r="F71" s="50" t="n">
        <f aca="false">SUM('Activation Detail'!I71,'Activation Detail'!I571,'Activation Detail'!I1071,'Activation Detail'!I1571,'Activation Detail'!I2071,'Activation Detail'!I2571,'Activation Detail'!I3071,'Activation Detail'!I3571)</f>
        <v>74418.342968</v>
      </c>
      <c r="G71" s="50" t="n">
        <f aca="false">SUM('Activation Detail'!J71,'Activation Detail'!J571,'Activation Detail'!J1071,'Activation Detail'!J1571,'Activation Detail'!J2071,'Activation Detail'!J2571,'Activation Detail'!J3071,'Activation Detail'!J3571)</f>
        <v>4027582.04200639</v>
      </c>
      <c r="H71" s="50" t="n">
        <f aca="false">SUM('Activation Detail'!K71,'Activation Detail'!K571,'Activation Detail'!K1071,'Activation Detail'!K1571,'Activation Detail'!K2071,'Activation Detail'!K2571,'Activation Detail'!K3071,'Activation Detail'!K3571)</f>
        <v>87278.622157189</v>
      </c>
      <c r="I71" s="51" t="n">
        <f aca="false">IFERROR(H71/F71,0)</f>
        <v>1.17281060927034</v>
      </c>
      <c r="J71" s="49" t="n">
        <f aca="false">IFERROR(F71/E71,0)</f>
        <v>119.04139817033</v>
      </c>
      <c r="K71" s="46" t="n">
        <f aca="false">IFERROR(C71/B71,0)</f>
        <v>0.097981951020207</v>
      </c>
      <c r="L71" s="47" t="n">
        <f aca="false">IFERROR(D71/B71,0)</f>
        <v>0.00322428939830038</v>
      </c>
      <c r="N71" s="48" t="n">
        <f aca="false">SUMIFS('Activation Detail'!$H$4:$H$4003,'Activation Detail'!$A$4:$A$4003,$A71,'Activation Detail'!$N$4:$N$4003,N$2)</f>
        <v>141.17426694289</v>
      </c>
      <c r="O71" s="50" t="n">
        <f aca="false">N71*'Model Inputs &amp; Assumptions'!$D$40*'Model Inputs &amp; Assumptions'!$H$40</f>
        <v>1199981.26901456</v>
      </c>
      <c r="P71" s="50" t="n">
        <f aca="false">N71*'Model Inputs &amp; Assumptions'!$G$40*'Model Inputs &amp; Assumptions'!$H$40</f>
        <v>26999.5785528277</v>
      </c>
      <c r="Q71" s="50" t="n">
        <f aca="false">SUMIFS('Activation Detail'!$I$4:$I$4003,'Activation Detail'!$A$4:$A$4003,$A71,'Activation Detail'!$N$4:$N$4003,N$2)</f>
        <v>19158.7755</v>
      </c>
      <c r="R71" s="51" t="n">
        <f aca="false">IFERROR(P71/Q71,0)</f>
        <v>1.40925387182639</v>
      </c>
      <c r="S71" s="49" t="n">
        <f aca="false">IFERROR(Q71/N71,0)</f>
        <v>135.710111445101</v>
      </c>
      <c r="T71" s="48" t="n">
        <f aca="false">SUMIFS('Activation Detail'!$H$4:$H$4003,'Activation Detail'!$A$4:$A$4003,$A71,'Activation Detail'!$N$4:$N$4003,T$2)</f>
        <v>118.971874541406</v>
      </c>
      <c r="U71" s="50" t="n">
        <f aca="false">T71*'Model Inputs &amp; Assumptions'!$D$41*'Model Inputs &amp; Assumptions'!$H$41</f>
        <v>856597.496698127</v>
      </c>
      <c r="V71" s="50" t="n">
        <f aca="false">T71*'Model Inputs &amp; Assumptions'!$G$41*'Model Inputs &amp; Assumptions'!$H$41</f>
        <v>18887.9748021937</v>
      </c>
      <c r="W71" s="50" t="n">
        <f aca="false">SUMIFS('Activation Detail'!$I$4:$I$4003,'Activation Detail'!$A$4:$A$4003,$A71,'Activation Detail'!$N$4:$N$4003,T$2)</f>
        <v>16106.899468</v>
      </c>
      <c r="X71" s="51" t="n">
        <f aca="false">IFERROR(V71/W71,0)</f>
        <v>1.17266360541449</v>
      </c>
      <c r="Y71" s="49" t="n">
        <f aca="false">IFERROR(W71/T71,0)</f>
        <v>135.384094182648</v>
      </c>
      <c r="Z71" s="48" t="n">
        <f aca="false">SUMIFS('Activation Detail'!$H$4:$H$4003,'Activation Detail'!$A$4:$A$4003,$A71,'Activation Detail'!$N$4:$N$4003,Z$2)</f>
        <v>365.000606721055</v>
      </c>
      <c r="AA71" s="50" t="n">
        <f aca="false">Z71*'Model Inputs &amp; Assumptions'!$D$42*'Model Inputs &amp; Assumptions'!$H$42</f>
        <v>1971003.2762937</v>
      </c>
      <c r="AB71" s="50" t="n">
        <f aca="false">Z71*'Model Inputs &amp; Assumptions'!$G$42*'Model Inputs &amp; Assumptions'!$H$42</f>
        <v>41391.0688021676</v>
      </c>
      <c r="AC71" s="50" t="n">
        <f aca="false">SUMIFS('Activation Detail'!$I$4:$I$4003,'Activation Detail'!$A$4:$A$4003,$A71,'Activation Detail'!$N$4:$N$4003,Z$2)</f>
        <v>39152.668</v>
      </c>
      <c r="AD71" s="51" t="n">
        <f aca="false">IFERROR(AB71/AC71,0)</f>
        <v>1.05717109245704</v>
      </c>
      <c r="AE71" s="49" t="n">
        <f aca="false">IFERROR(AC71/Z71,0)</f>
        <v>107.267405256457</v>
      </c>
    </row>
    <row r="72" customFormat="false" ht="15" hidden="false" customHeight="false" outlineLevel="0" collapsed="false">
      <c r="A72" s="43" t="n">
        <v>69</v>
      </c>
      <c r="B72" s="45" t="n">
        <f aca="false">SUM('Activation Detail'!C72,'Activation Detail'!C572,'Activation Detail'!C1072,'Activation Detail'!C1572,'Activation Detail'!C2072,'Activation Detail'!C2572,'Activation Detail'!C3072,'Activation Detail'!C3572)</f>
        <v>4273161</v>
      </c>
      <c r="C72" s="45" t="n">
        <f aca="false">SUM('Activation Detail'!E72,'Activation Detail'!E572,'Activation Detail'!E1072,'Activation Detail'!E1572,'Activation Detail'!E2072,'Activation Detail'!E2572,'Activation Detail'!E3072,'Activation Detail'!E3572)</f>
        <v>340942</v>
      </c>
      <c r="D72" s="45" t="n">
        <f aca="false">SUM('Activation Detail'!G72,'Activation Detail'!G572,'Activation Detail'!G1072,'Activation Detail'!G1572,'Activation Detail'!G2072,'Activation Detail'!G2572,'Activation Detail'!G3072,'Activation Detail'!G3572)</f>
        <v>14319</v>
      </c>
      <c r="E72" s="48" t="n">
        <f aca="false">SUM('Activation Detail'!H72,'Activation Detail'!H572,'Activation Detail'!H1072,'Activation Detail'!H1572,'Activation Detail'!H2072,'Activation Detail'!H2572,'Activation Detail'!H3072,'Activation Detail'!H3572)</f>
        <v>648.161935856545</v>
      </c>
      <c r="F72" s="50" t="n">
        <f aca="false">SUM('Activation Detail'!I72,'Activation Detail'!I572,'Activation Detail'!I1072,'Activation Detail'!I1572,'Activation Detail'!I2072,'Activation Detail'!I2572,'Activation Detail'!I3072,'Activation Detail'!I3572)</f>
        <v>75683.360244</v>
      </c>
      <c r="G72" s="50" t="n">
        <f aca="false">SUM('Activation Detail'!J72,'Activation Detail'!J572,'Activation Detail'!J1072,'Activation Detail'!J1572,'Activation Detail'!J2072,'Activation Detail'!J2572,'Activation Detail'!J3072,'Activation Detail'!J3572)</f>
        <v>4015058.58933392</v>
      </c>
      <c r="H72" s="50" t="n">
        <f aca="false">SUM('Activation Detail'!K72,'Activation Detail'!K572,'Activation Detail'!K1072,'Activation Detail'!K1572,'Activation Detail'!K2072,'Activation Detail'!K2572,'Activation Detail'!K3072,'Activation Detail'!K3572)</f>
        <v>86457.9555770433</v>
      </c>
      <c r="I72" s="51" t="n">
        <f aca="false">IFERROR(H72/F72,0)</f>
        <v>1.14236412466765</v>
      </c>
      <c r="J72" s="49" t="n">
        <f aca="false">IFERROR(F72/E72,0)</f>
        <v>116.766129044564</v>
      </c>
      <c r="K72" s="46" t="n">
        <f aca="false">IFERROR(C72/B72,0)</f>
        <v>0.0797868369574654</v>
      </c>
      <c r="L72" s="47" t="n">
        <f aca="false">IFERROR(D72/B72,0)</f>
        <v>0.00335091516561159</v>
      </c>
      <c r="N72" s="48" t="n">
        <f aca="false">SUMIFS('Activation Detail'!$H$4:$H$4003,'Activation Detail'!$A$4:$A$4003,$A72,'Activation Detail'!$N$4:$N$4003,N$2)</f>
        <v>78.5487738708536</v>
      </c>
      <c r="O72" s="50" t="n">
        <f aca="false">N72*'Model Inputs &amp; Assumptions'!$D$40*'Model Inputs &amp; Assumptions'!$H$40</f>
        <v>667664.577902256</v>
      </c>
      <c r="P72" s="50" t="n">
        <f aca="false">N72*'Model Inputs &amp; Assumptions'!$G$40*'Model Inputs &amp; Assumptions'!$H$40</f>
        <v>15022.4530028008</v>
      </c>
      <c r="Q72" s="50" t="n">
        <f aca="false">SUMIFS('Activation Detail'!$I$4:$I$4003,'Activation Detail'!$A$4:$A$4003,$A72,'Activation Detail'!$N$4:$N$4003,N$2)</f>
        <v>17493.963</v>
      </c>
      <c r="R72" s="51" t="n">
        <f aca="false">IFERROR(P72/Q72,0)</f>
        <v>0.858722120470974</v>
      </c>
      <c r="S72" s="49" t="n">
        <f aca="false">IFERROR(Q72/N72,0)</f>
        <v>222.714654066565</v>
      </c>
      <c r="T72" s="48" t="n">
        <f aca="false">SUMIFS('Activation Detail'!$H$4:$H$4003,'Activation Detail'!$A$4:$A$4003,$A72,'Activation Detail'!$N$4:$N$4003,T$2)</f>
        <v>150.823853727184</v>
      </c>
      <c r="U72" s="50" t="n">
        <f aca="false">T72*'Model Inputs &amp; Assumptions'!$D$41*'Model Inputs &amp; Assumptions'!$H$41</f>
        <v>1085931.74683573</v>
      </c>
      <c r="V72" s="50" t="n">
        <f aca="false">T72*'Model Inputs &amp; Assumptions'!$G$41*'Model Inputs &amp; Assumptions'!$H$41</f>
        <v>23944.7950177278</v>
      </c>
      <c r="W72" s="50" t="n">
        <f aca="false">SUMIFS('Activation Detail'!$I$4:$I$4003,'Activation Detail'!$A$4:$A$4003,$A72,'Activation Detail'!$N$4:$N$4003,T$2)</f>
        <v>15140.293244</v>
      </c>
      <c r="X72" s="51" t="n">
        <f aca="false">IFERROR(V72/W72,0)</f>
        <v>1.58152782326174</v>
      </c>
      <c r="Y72" s="49" t="n">
        <f aca="false">IFERROR(W72/T72,0)</f>
        <v>100.383943718786</v>
      </c>
      <c r="Z72" s="48" t="n">
        <f aca="false">SUMIFS('Activation Detail'!$H$4:$H$4003,'Activation Detail'!$A$4:$A$4003,$A72,'Activation Detail'!$N$4:$N$4003,Z$2)</f>
        <v>418.789308258508</v>
      </c>
      <c r="AA72" s="50" t="n">
        <f aca="false">Z72*'Model Inputs &amp; Assumptions'!$D$42*'Model Inputs &amp; Assumptions'!$H$42</f>
        <v>2261462.26459594</v>
      </c>
      <c r="AB72" s="50" t="n">
        <f aca="false">Z72*'Model Inputs &amp; Assumptions'!$G$42*'Model Inputs &amp; Assumptions'!$H$42</f>
        <v>47490.7075565147</v>
      </c>
      <c r="AC72" s="50" t="n">
        <f aca="false">SUMIFS('Activation Detail'!$I$4:$I$4003,'Activation Detail'!$A$4:$A$4003,$A72,'Activation Detail'!$N$4:$N$4003,Z$2)</f>
        <v>43049.104</v>
      </c>
      <c r="AD72" s="51" t="n">
        <f aca="false">IFERROR(AB72/AC72,0)</f>
        <v>1.10317528458931</v>
      </c>
      <c r="AE72" s="49" t="n">
        <f aca="false">IFERROR(AC72/Z72,0)</f>
        <v>102.794181109865</v>
      </c>
    </row>
    <row r="73" customFormat="false" ht="15" hidden="false" customHeight="false" outlineLevel="0" collapsed="false">
      <c r="A73" s="43" t="n">
        <v>70</v>
      </c>
      <c r="B73" s="45" t="n">
        <f aca="false">SUM('Activation Detail'!C73,'Activation Detail'!C573,'Activation Detail'!C1073,'Activation Detail'!C1573,'Activation Detail'!C2073,'Activation Detail'!C2573,'Activation Detail'!C3073,'Activation Detail'!C3573)</f>
        <v>4302651</v>
      </c>
      <c r="C73" s="45" t="n">
        <f aca="false">SUM('Activation Detail'!E73,'Activation Detail'!E573,'Activation Detail'!E1073,'Activation Detail'!E1573,'Activation Detail'!E2073,'Activation Detail'!E2573,'Activation Detail'!E3073,'Activation Detail'!E3573)</f>
        <v>303710</v>
      </c>
      <c r="D73" s="45" t="n">
        <f aca="false">SUM('Activation Detail'!G73,'Activation Detail'!G573,'Activation Detail'!G1073,'Activation Detail'!G1573,'Activation Detail'!G2073,'Activation Detail'!G2573,'Activation Detail'!G3073,'Activation Detail'!G3573)</f>
        <v>14411</v>
      </c>
      <c r="E73" s="48" t="n">
        <f aca="false">SUM('Activation Detail'!H73,'Activation Detail'!H573,'Activation Detail'!H1073,'Activation Detail'!H1573,'Activation Detail'!H2073,'Activation Detail'!H2573,'Activation Detail'!H3073,'Activation Detail'!H3573)</f>
        <v>583.755469711868</v>
      </c>
      <c r="F73" s="50" t="n">
        <f aca="false">SUM('Activation Detail'!I73,'Activation Detail'!I573,'Activation Detail'!I1073,'Activation Detail'!I1573,'Activation Detail'!I2073,'Activation Detail'!I2573,'Activation Detail'!I3073,'Activation Detail'!I3573)</f>
        <v>72224.791416</v>
      </c>
      <c r="G73" s="50" t="n">
        <f aca="false">SUM('Activation Detail'!J73,'Activation Detail'!J573,'Activation Detail'!J1073,'Activation Detail'!J1573,'Activation Detail'!J2073,'Activation Detail'!J2573,'Activation Detail'!J3073,'Activation Detail'!J3573)</f>
        <v>3590109.38114389</v>
      </c>
      <c r="H73" s="50" t="n">
        <f aca="false">SUM('Activation Detail'!K73,'Activation Detail'!K573,'Activation Detail'!K1073,'Activation Detail'!K1573,'Activation Detail'!K2073,'Activation Detail'!K2573,'Activation Detail'!K3073,'Activation Detail'!K3573)</f>
        <v>77211.225367356</v>
      </c>
      <c r="I73" s="51" t="n">
        <f aca="false">IFERROR(H73/F73,0)</f>
        <v>1.06904047562609</v>
      </c>
      <c r="J73" s="49" t="n">
        <f aca="false">IFERROR(F73/E73,0)</f>
        <v>123.724393454761</v>
      </c>
      <c r="K73" s="46" t="n">
        <f aca="false">IFERROR(C73/B73,0)</f>
        <v>0.0705867150275493</v>
      </c>
      <c r="L73" s="47" t="n">
        <f aca="false">IFERROR(D73/B73,0)</f>
        <v>0.00334933044767052</v>
      </c>
      <c r="N73" s="48" t="n">
        <f aca="false">SUMIFS('Activation Detail'!$H$4:$H$4003,'Activation Detail'!$A$4:$A$4003,$A73,'Activation Detail'!$N$4:$N$4003,N$2)</f>
        <v>73.9147570552358</v>
      </c>
      <c r="O73" s="50" t="n">
        <f aca="false">N73*'Model Inputs &amp; Assumptions'!$D$40*'Model Inputs &amp; Assumptions'!$H$40</f>
        <v>628275.434969505</v>
      </c>
      <c r="P73" s="50" t="n">
        <f aca="false">N73*'Model Inputs &amp; Assumptions'!$G$40*'Model Inputs &amp; Assumptions'!$H$40</f>
        <v>14136.1972868139</v>
      </c>
      <c r="Q73" s="50" t="n">
        <f aca="false">SUMIFS('Activation Detail'!$I$4:$I$4003,'Activation Detail'!$A$4:$A$4003,$A73,'Activation Detail'!$N$4:$N$4003,N$2)</f>
        <v>18577.2075</v>
      </c>
      <c r="R73" s="51" t="n">
        <f aca="false">IFERROR(P73/Q73,0)</f>
        <v>0.760943068909246</v>
      </c>
      <c r="S73" s="49" t="n">
        <f aca="false">IFERROR(Q73/N73,0)</f>
        <v>251.332862883083</v>
      </c>
      <c r="T73" s="48" t="n">
        <f aca="false">SUMIFS('Activation Detail'!$H$4:$H$4003,'Activation Detail'!$A$4:$A$4003,$A73,'Activation Detail'!$N$4:$N$4003,T$2)</f>
        <v>115.941165460319</v>
      </c>
      <c r="U73" s="50" t="n">
        <f aca="false">T73*'Model Inputs &amp; Assumptions'!$D$41*'Model Inputs &amp; Assumptions'!$H$41</f>
        <v>834776.3913143</v>
      </c>
      <c r="V73" s="50" t="n">
        <f aca="false">T73*'Model Inputs &amp; Assumptions'!$G$41*'Model Inputs &amp; Assumptions'!$H$41</f>
        <v>18406.8194284803</v>
      </c>
      <c r="W73" s="50" t="n">
        <f aca="false">SUMIFS('Activation Detail'!$I$4:$I$4003,'Activation Detail'!$A$4:$A$4003,$A73,'Activation Detail'!$N$4:$N$4003,T$2)</f>
        <v>14759.947916</v>
      </c>
      <c r="X73" s="51" t="n">
        <f aca="false">IFERROR(V73/W73,0)</f>
        <v>1.24707888762446</v>
      </c>
      <c r="Y73" s="49" t="n">
        <f aca="false">IFERROR(W73/T73,0)</f>
        <v>127.30549893473</v>
      </c>
      <c r="Z73" s="48" t="n">
        <f aca="false">SUMIFS('Activation Detail'!$H$4:$H$4003,'Activation Detail'!$A$4:$A$4003,$A73,'Activation Detail'!$N$4:$N$4003,Z$2)</f>
        <v>393.899547196312</v>
      </c>
      <c r="AA73" s="50" t="n">
        <f aca="false">Z73*'Model Inputs &amp; Assumptions'!$D$42*'Model Inputs &amp; Assumptions'!$H$42</f>
        <v>2127057.55486009</v>
      </c>
      <c r="AB73" s="50" t="n">
        <f aca="false">Z73*'Model Inputs &amp; Assumptions'!$G$42*'Model Inputs &amp; Assumptions'!$H$42</f>
        <v>44668.2086520618</v>
      </c>
      <c r="AC73" s="50" t="n">
        <f aca="false">SUMIFS('Activation Detail'!$I$4:$I$4003,'Activation Detail'!$A$4:$A$4003,$A73,'Activation Detail'!$N$4:$N$4003,Z$2)</f>
        <v>38887.636</v>
      </c>
      <c r="AD73" s="51" t="n">
        <f aca="false">IFERROR(AB73/AC73,0)</f>
        <v>1.14864808578392</v>
      </c>
      <c r="AE73" s="49" t="n">
        <f aca="false">IFERROR(AC73/Z73,0)</f>
        <v>98.7247542597939</v>
      </c>
    </row>
    <row r="74" customFormat="false" ht="15" hidden="false" customHeight="false" outlineLevel="0" collapsed="false">
      <c r="A74" s="43" t="n">
        <v>71</v>
      </c>
      <c r="B74" s="45" t="n">
        <f aca="false">SUM('Activation Detail'!C74,'Activation Detail'!C574,'Activation Detail'!C1074,'Activation Detail'!C1574,'Activation Detail'!C2074,'Activation Detail'!C2574,'Activation Detail'!C3074,'Activation Detail'!C3574)</f>
        <v>4478112</v>
      </c>
      <c r="C74" s="45" t="n">
        <f aca="false">SUM('Activation Detail'!E74,'Activation Detail'!E574,'Activation Detail'!E1074,'Activation Detail'!E1574,'Activation Detail'!E2074,'Activation Detail'!E2574,'Activation Detail'!E3074,'Activation Detail'!E3574)</f>
        <v>355910</v>
      </c>
      <c r="D74" s="45" t="n">
        <f aca="false">SUM('Activation Detail'!G74,'Activation Detail'!G574,'Activation Detail'!G1074,'Activation Detail'!G1574,'Activation Detail'!G2074,'Activation Detail'!G2574,'Activation Detail'!G3074,'Activation Detail'!G3574)</f>
        <v>17528</v>
      </c>
      <c r="E74" s="48" t="n">
        <f aca="false">SUM('Activation Detail'!H74,'Activation Detail'!H574,'Activation Detail'!H1074,'Activation Detail'!H1574,'Activation Detail'!H2074,'Activation Detail'!H2574,'Activation Detail'!H3074,'Activation Detail'!H3574)</f>
        <v>650.001188836786</v>
      </c>
      <c r="F74" s="50" t="n">
        <f aca="false">SUM('Activation Detail'!I74,'Activation Detail'!I574,'Activation Detail'!I1074,'Activation Detail'!I1574,'Activation Detail'!I2074,'Activation Detail'!I2574,'Activation Detail'!I3074,'Activation Detail'!I3574)</f>
        <v>73765.605572</v>
      </c>
      <c r="G74" s="50" t="n">
        <f aca="false">SUM('Activation Detail'!J74,'Activation Detail'!J574,'Activation Detail'!J1074,'Activation Detail'!J1574,'Activation Detail'!J2074,'Activation Detail'!J2574,'Activation Detail'!J3074,'Activation Detail'!J3574)</f>
        <v>3977155.14271204</v>
      </c>
      <c r="H74" s="50" t="n">
        <f aca="false">SUM('Activation Detail'!K74,'Activation Detail'!K574,'Activation Detail'!K1074,'Activation Detail'!K1574,'Activation Detail'!K2074,'Activation Detail'!K2574,'Activation Detail'!K3074,'Activation Detail'!K3574)</f>
        <v>85460.4435446102</v>
      </c>
      <c r="I74" s="51" t="n">
        <f aca="false">IFERROR(H74/F74,0)</f>
        <v>1.15854052687462</v>
      </c>
      <c r="J74" s="49" t="n">
        <f aca="false">IFERROR(F74/E74,0)</f>
        <v>113.485339471467</v>
      </c>
      <c r="K74" s="46" t="n">
        <f aca="false">IFERROR(C74/B74,0)</f>
        <v>0.0794776905981807</v>
      </c>
      <c r="L74" s="47" t="n">
        <f aca="false">IFERROR(D74/B74,0)</f>
        <v>0.00391414953444666</v>
      </c>
      <c r="N74" s="48" t="n">
        <f aca="false">SUMIFS('Activation Detail'!$H$4:$H$4003,'Activation Detail'!$A$4:$A$4003,$A74,'Activation Detail'!$N$4:$N$4003,N$2)</f>
        <v>80.8855144999785</v>
      </c>
      <c r="O74" s="50" t="n">
        <f aca="false">N74*'Model Inputs &amp; Assumptions'!$D$40*'Model Inputs &amp; Assumptions'!$H$40</f>
        <v>687526.873249818</v>
      </c>
      <c r="P74" s="50" t="n">
        <f aca="false">N74*'Model Inputs &amp; Assumptions'!$G$40*'Model Inputs &amp; Assumptions'!$H$40</f>
        <v>15469.3546481209</v>
      </c>
      <c r="Q74" s="50" t="n">
        <f aca="false">SUMIFS('Activation Detail'!$I$4:$I$4003,'Activation Detail'!$A$4:$A$4003,$A74,'Activation Detail'!$N$4:$N$4003,N$2)</f>
        <v>18115.5255</v>
      </c>
      <c r="R74" s="51" t="n">
        <f aca="false">IFERROR(P74/Q74,0)</f>
        <v>0.853928010430661</v>
      </c>
      <c r="S74" s="49" t="n">
        <f aca="false">IFERROR(Q74/N74,0)</f>
        <v>223.965015392278</v>
      </c>
      <c r="T74" s="48" t="n">
        <f aca="false">SUMIFS('Activation Detail'!$H$4:$H$4003,'Activation Detail'!$A$4:$A$4003,$A74,'Activation Detail'!$N$4:$N$4003,T$2)</f>
        <v>120.224237801924</v>
      </c>
      <c r="U74" s="50" t="n">
        <f aca="false">T74*'Model Inputs &amp; Assumptions'!$D$41*'Model Inputs &amp; Assumptions'!$H$41</f>
        <v>865614.512173854</v>
      </c>
      <c r="V74" s="50" t="n">
        <f aca="false">T74*'Model Inputs &amp; Assumptions'!$G$41*'Model Inputs &amp; Assumptions'!$H$41</f>
        <v>19086.7999934335</v>
      </c>
      <c r="W74" s="50" t="n">
        <f aca="false">SUMIFS('Activation Detail'!$I$4:$I$4003,'Activation Detail'!$A$4:$A$4003,$A74,'Activation Detail'!$N$4:$N$4003,T$2)</f>
        <v>17317.516072</v>
      </c>
      <c r="X74" s="51" t="n">
        <f aca="false">IFERROR(V74/W74,0)</f>
        <v>1.10216730356002</v>
      </c>
      <c r="Y74" s="49" t="n">
        <f aca="false">IFERROR(W74/T74,0)</f>
        <v>144.04346734584</v>
      </c>
      <c r="Z74" s="48" t="n">
        <f aca="false">SUMIFS('Activation Detail'!$H$4:$H$4003,'Activation Detail'!$A$4:$A$4003,$A74,'Activation Detail'!$N$4:$N$4003,Z$2)</f>
        <v>448.891436534884</v>
      </c>
      <c r="AA74" s="50" t="n">
        <f aca="false">Z74*'Model Inputs &amp; Assumptions'!$D$42*'Model Inputs &amp; Assumptions'!$H$42</f>
        <v>2424013.75728837</v>
      </c>
      <c r="AB74" s="50" t="n">
        <f aca="false">Z74*'Model Inputs &amp; Assumptions'!$G$42*'Model Inputs &amp; Assumptions'!$H$42</f>
        <v>50904.2889030558</v>
      </c>
      <c r="AC74" s="50" t="n">
        <f aca="false">SUMIFS('Activation Detail'!$I$4:$I$4003,'Activation Detail'!$A$4:$A$4003,$A74,'Activation Detail'!$N$4:$N$4003,Z$2)</f>
        <v>38332.564</v>
      </c>
      <c r="AD74" s="51" t="n">
        <f aca="false">IFERROR(AB74/AC74,0)</f>
        <v>1.32796462305667</v>
      </c>
      <c r="AE74" s="49" t="n">
        <f aca="false">IFERROR(AC74/Z74,0)</f>
        <v>85.3938410941844</v>
      </c>
    </row>
    <row r="75" customFormat="false" ht="15" hidden="false" customHeight="false" outlineLevel="0" collapsed="false">
      <c r="A75" s="43" t="n">
        <v>72</v>
      </c>
      <c r="B75" s="45" t="n">
        <f aca="false">SUM('Activation Detail'!C75,'Activation Detail'!C575,'Activation Detail'!C1075,'Activation Detail'!C1575,'Activation Detail'!C2075,'Activation Detail'!C2575,'Activation Detail'!C3075,'Activation Detail'!C3575)</f>
        <v>3827521</v>
      </c>
      <c r="C75" s="45" t="n">
        <f aca="false">SUM('Activation Detail'!E75,'Activation Detail'!E575,'Activation Detail'!E1075,'Activation Detail'!E1575,'Activation Detail'!E2075,'Activation Detail'!E2575,'Activation Detail'!E3075,'Activation Detail'!E3575)</f>
        <v>438324</v>
      </c>
      <c r="D75" s="45" t="n">
        <f aca="false">SUM('Activation Detail'!G75,'Activation Detail'!G575,'Activation Detail'!G1075,'Activation Detail'!G1575,'Activation Detail'!G2075,'Activation Detail'!G2575,'Activation Detail'!G3075,'Activation Detail'!G3575)</f>
        <v>16785</v>
      </c>
      <c r="E75" s="48" t="n">
        <f aca="false">SUM('Activation Detail'!H75,'Activation Detail'!H575,'Activation Detail'!H1075,'Activation Detail'!H1575,'Activation Detail'!H2075,'Activation Detail'!H2575,'Activation Detail'!H3075,'Activation Detail'!H3575)</f>
        <v>713.252917451965</v>
      </c>
      <c r="F75" s="50" t="n">
        <f aca="false">SUM('Activation Detail'!I75,'Activation Detail'!I575,'Activation Detail'!I1075,'Activation Detail'!I1575,'Activation Detail'!I2075,'Activation Detail'!I2575,'Activation Detail'!I3075,'Activation Detail'!I3575)</f>
        <v>70615.40578</v>
      </c>
      <c r="G75" s="50" t="n">
        <f aca="false">SUM('Activation Detail'!J75,'Activation Detail'!J575,'Activation Detail'!J1075,'Activation Detail'!J1575,'Activation Detail'!J2075,'Activation Detail'!J2575,'Activation Detail'!J3075,'Activation Detail'!J3575)</f>
        <v>4548217.69831967</v>
      </c>
      <c r="H75" s="50" t="n">
        <f aca="false">SUM('Activation Detail'!K75,'Activation Detail'!K575,'Activation Detail'!K1075,'Activation Detail'!K1575,'Activation Detail'!K2075,'Activation Detail'!K2575,'Activation Detail'!K3075,'Activation Detail'!K3575)</f>
        <v>98416.7288524928</v>
      </c>
      <c r="I75" s="51" t="n">
        <f aca="false">IFERROR(H75/F75,0)</f>
        <v>1.39370053553338</v>
      </c>
      <c r="J75" s="49" t="n">
        <f aca="false">IFERROR(F75/E75,0)</f>
        <v>99.0047205586869</v>
      </c>
      <c r="K75" s="46" t="n">
        <f aca="false">IFERROR(C75/B75,0)</f>
        <v>0.114519032031438</v>
      </c>
      <c r="L75" s="47" t="n">
        <f aca="false">IFERROR(D75/B75,0)</f>
        <v>0.00438534497916537</v>
      </c>
      <c r="N75" s="48" t="n">
        <f aca="false">SUMIFS('Activation Detail'!$H$4:$H$4003,'Activation Detail'!$A$4:$A$4003,$A75,'Activation Detail'!$N$4:$N$4003,N$2)</f>
        <v>80.6702864906249</v>
      </c>
      <c r="O75" s="50" t="n">
        <f aca="false">N75*'Model Inputs &amp; Assumptions'!$D$40*'Model Inputs &amp; Assumptions'!$H$40</f>
        <v>685697.435170312</v>
      </c>
      <c r="P75" s="50" t="n">
        <f aca="false">N75*'Model Inputs &amp; Assumptions'!$G$40*'Model Inputs &amp; Assumptions'!$H$40</f>
        <v>15428.192291332</v>
      </c>
      <c r="Q75" s="50" t="n">
        <f aca="false">SUMIFS('Activation Detail'!$I$4:$I$4003,'Activation Detail'!$A$4:$A$4003,$A75,'Activation Detail'!$N$4:$N$4003,N$2)</f>
        <v>18268.152</v>
      </c>
      <c r="R75" s="51" t="n">
        <f aca="false">IFERROR(P75/Q75,0)</f>
        <v>0.844540394197071</v>
      </c>
      <c r="S75" s="49" t="n">
        <f aca="false">IFERROR(Q75/N75,0)</f>
        <v>226.454532327997</v>
      </c>
      <c r="T75" s="48" t="n">
        <f aca="false">SUMIFS('Activation Detail'!$H$4:$H$4003,'Activation Detail'!$A$4:$A$4003,$A75,'Activation Detail'!$N$4:$N$4003,T$2)</f>
        <v>248.096697754515</v>
      </c>
      <c r="U75" s="50" t="n">
        <f aca="false">T75*'Model Inputs &amp; Assumptions'!$D$41*'Model Inputs &amp; Assumptions'!$H$41</f>
        <v>1786296.2238325</v>
      </c>
      <c r="V75" s="50" t="n">
        <f aca="false">T75*'Model Inputs &amp; Assumptions'!$G$41*'Model Inputs &amp; Assumptions'!$H$41</f>
        <v>39387.8317355067</v>
      </c>
      <c r="W75" s="50" t="n">
        <f aca="false">SUMIFS('Activation Detail'!$I$4:$I$4003,'Activation Detail'!$A$4:$A$4003,$A75,'Activation Detail'!$N$4:$N$4003,T$2)</f>
        <v>19091.01378</v>
      </c>
      <c r="X75" s="51" t="n">
        <f aca="false">IFERROR(V75/W75,0)</f>
        <v>2.06316082474205</v>
      </c>
      <c r="Y75" s="49" t="n">
        <f aca="false">IFERROR(W75/T75,0)</f>
        <v>76.9498907191827</v>
      </c>
      <c r="Z75" s="48" t="n">
        <f aca="false">SUMIFS('Activation Detail'!$H$4:$H$4003,'Activation Detail'!$A$4:$A$4003,$A75,'Activation Detail'!$N$4:$N$4003,Z$2)</f>
        <v>384.485933206826</v>
      </c>
      <c r="AA75" s="50" t="n">
        <f aca="false">Z75*'Model Inputs &amp; Assumptions'!$D$42*'Model Inputs &amp; Assumptions'!$H$42</f>
        <v>2076224.03931686</v>
      </c>
      <c r="AB75" s="50" t="n">
        <f aca="false">Z75*'Model Inputs &amp; Assumptions'!$G$42*'Model Inputs &amp; Assumptions'!$H$42</f>
        <v>43600.704825654</v>
      </c>
      <c r="AC75" s="50" t="n">
        <f aca="false">SUMIFS('Activation Detail'!$I$4:$I$4003,'Activation Detail'!$A$4:$A$4003,$A75,'Activation Detail'!$N$4:$N$4003,Z$2)</f>
        <v>33256.24</v>
      </c>
      <c r="AD75" s="51" t="n">
        <f aca="false">IFERROR(AB75/AC75,0)</f>
        <v>1.31105334895508</v>
      </c>
      <c r="AE75" s="49" t="n">
        <f aca="false">IFERROR(AC75/Z75,0)</f>
        <v>86.4953360520229</v>
      </c>
    </row>
    <row r="76" customFormat="false" ht="15" hidden="false" customHeight="false" outlineLevel="0" collapsed="false">
      <c r="A76" s="43" t="n">
        <v>73</v>
      </c>
      <c r="B76" s="45" t="n">
        <f aca="false">SUM('Activation Detail'!C76,'Activation Detail'!C576,'Activation Detail'!C1076,'Activation Detail'!C1576,'Activation Detail'!C2076,'Activation Detail'!C2576,'Activation Detail'!C3076,'Activation Detail'!C3576)</f>
        <v>3944298</v>
      </c>
      <c r="C76" s="45" t="n">
        <f aca="false">SUM('Activation Detail'!E76,'Activation Detail'!E576,'Activation Detail'!E1076,'Activation Detail'!E1576,'Activation Detail'!E2076,'Activation Detail'!E2576,'Activation Detail'!E3076,'Activation Detail'!E3576)</f>
        <v>446300</v>
      </c>
      <c r="D76" s="45" t="n">
        <f aca="false">SUM('Activation Detail'!G76,'Activation Detail'!G576,'Activation Detail'!G1076,'Activation Detail'!G1576,'Activation Detail'!G2076,'Activation Detail'!G2576,'Activation Detail'!G3076,'Activation Detail'!G3576)</f>
        <v>15056</v>
      </c>
      <c r="E76" s="48" t="n">
        <f aca="false">SUM('Activation Detail'!H76,'Activation Detail'!H576,'Activation Detail'!H1076,'Activation Detail'!H1576,'Activation Detail'!H2076,'Activation Detail'!H2576,'Activation Detail'!H3076,'Activation Detail'!H3576)</f>
        <v>529.871600538336</v>
      </c>
      <c r="F76" s="50" t="n">
        <f aca="false">SUM('Activation Detail'!I76,'Activation Detail'!I576,'Activation Detail'!I1076,'Activation Detail'!I1576,'Activation Detail'!I2076,'Activation Detail'!I2576,'Activation Detail'!I3076,'Activation Detail'!I3576)</f>
        <v>73795.99934</v>
      </c>
      <c r="G76" s="50" t="n">
        <f aca="false">SUM('Activation Detail'!J76,'Activation Detail'!J576,'Activation Detail'!J1076,'Activation Detail'!J1576,'Activation Detail'!J2076,'Activation Detail'!J2576,'Activation Detail'!J3076,'Activation Detail'!J3576)</f>
        <v>3459328.86965347</v>
      </c>
      <c r="H76" s="50" t="n">
        <f aca="false">SUM('Activation Detail'!K76,'Activation Detail'!K576,'Activation Detail'!K1076,'Activation Detail'!K1576,'Activation Detail'!K2076,'Activation Detail'!K2576,'Activation Detail'!K3076,'Activation Detail'!K3576)</f>
        <v>75140.0196505227</v>
      </c>
      <c r="I76" s="51" t="n">
        <f aca="false">IFERROR(H76/F76,0)</f>
        <v>1.01821264462224</v>
      </c>
      <c r="J76" s="49" t="n">
        <f aca="false">IFERROR(F76/E76,0)</f>
        <v>139.27147494794</v>
      </c>
      <c r="K76" s="46" t="n">
        <f aca="false">IFERROR(C76/B76,0)</f>
        <v>0.113150679791436</v>
      </c>
      <c r="L76" s="47" t="n">
        <f aca="false">IFERROR(D76/B76,0)</f>
        <v>0.00381715580313658</v>
      </c>
      <c r="N76" s="48" t="n">
        <f aca="false">SUMIFS('Activation Detail'!$H$4:$H$4003,'Activation Detail'!$A$4:$A$4003,$A76,'Activation Detail'!$N$4:$N$4003,N$2)</f>
        <v>65.1109797606623</v>
      </c>
      <c r="O76" s="50" t="n">
        <f aca="false">N76*'Model Inputs &amp; Assumptions'!$D$40*'Model Inputs &amp; Assumptions'!$H$40</f>
        <v>553443.327965629</v>
      </c>
      <c r="P76" s="50" t="n">
        <f aca="false">N76*'Model Inputs &amp; Assumptions'!$G$40*'Model Inputs &amp; Assumptions'!$H$40</f>
        <v>12452.4748792267</v>
      </c>
      <c r="Q76" s="50" t="n">
        <f aca="false">SUMIFS('Activation Detail'!$I$4:$I$4003,'Activation Detail'!$A$4:$A$4003,$A76,'Activation Detail'!$N$4:$N$4003,N$2)</f>
        <v>18053.7105</v>
      </c>
      <c r="R76" s="51" t="n">
        <f aca="false">IFERROR(P76/Q76,0)</f>
        <v>0.689746015326138</v>
      </c>
      <c r="S76" s="49" t="n">
        <f aca="false">IFERROR(Q76/N76,0)</f>
        <v>277.275976592007</v>
      </c>
      <c r="T76" s="48" t="n">
        <f aca="false">SUMIFS('Activation Detail'!$H$4:$H$4003,'Activation Detail'!$A$4:$A$4003,$A76,'Activation Detail'!$N$4:$N$4003,T$2)</f>
        <v>220.098994160225</v>
      </c>
      <c r="U76" s="50" t="n">
        <f aca="false">T76*'Model Inputs &amp; Assumptions'!$D$41*'Model Inputs &amp; Assumptions'!$H$41</f>
        <v>1584712.75795362</v>
      </c>
      <c r="V76" s="50" t="n">
        <f aca="false">T76*'Model Inputs &amp; Assumptions'!$G$41*'Model Inputs &amp; Assumptions'!$H$41</f>
        <v>34942.9163128774</v>
      </c>
      <c r="W76" s="50" t="n">
        <f aca="false">SUMIFS('Activation Detail'!$I$4:$I$4003,'Activation Detail'!$A$4:$A$4003,$A76,'Activation Detail'!$N$4:$N$4003,T$2)</f>
        <v>19314.37684</v>
      </c>
      <c r="X76" s="51" t="n">
        <f aca="false">IFERROR(V76/W76,0)</f>
        <v>1.80916612543827</v>
      </c>
      <c r="Y76" s="49" t="n">
        <f aca="false">IFERROR(W76/T76,0)</f>
        <v>87.7531354184187</v>
      </c>
      <c r="Z76" s="48" t="n">
        <f aca="false">SUMIFS('Activation Detail'!$H$4:$H$4003,'Activation Detail'!$A$4:$A$4003,$A76,'Activation Detail'!$N$4:$N$4003,Z$2)</f>
        <v>244.661626617449</v>
      </c>
      <c r="AA76" s="50" t="n">
        <f aca="false">Z76*'Model Inputs &amp; Assumptions'!$D$42*'Model Inputs &amp; Assumptions'!$H$42</f>
        <v>1321172.78373422</v>
      </c>
      <c r="AB76" s="50" t="n">
        <f aca="false">Z76*'Model Inputs &amp; Assumptions'!$G$42*'Model Inputs &amp; Assumptions'!$H$42</f>
        <v>27744.6284584187</v>
      </c>
      <c r="AC76" s="50" t="n">
        <f aca="false">SUMIFS('Activation Detail'!$I$4:$I$4003,'Activation Detail'!$A$4:$A$4003,$A76,'Activation Detail'!$N$4:$N$4003,Z$2)</f>
        <v>36427.912</v>
      </c>
      <c r="AD76" s="51" t="n">
        <f aca="false">IFERROR(AB76/AC76,0)</f>
        <v>0.761631038814925</v>
      </c>
      <c r="AE76" s="49" t="n">
        <f aca="false">IFERROR(AC76/Z76,0)</f>
        <v>148.890990808945</v>
      </c>
    </row>
    <row r="77" customFormat="false" ht="15" hidden="false" customHeight="false" outlineLevel="0" collapsed="false">
      <c r="A77" s="43" t="n">
        <v>74</v>
      </c>
      <c r="B77" s="45" t="n">
        <f aca="false">SUM('Activation Detail'!C77,'Activation Detail'!C577,'Activation Detail'!C1077,'Activation Detail'!C1577,'Activation Detail'!C2077,'Activation Detail'!C2577,'Activation Detail'!C3077,'Activation Detail'!C3577)</f>
        <v>4112989</v>
      </c>
      <c r="C77" s="45" t="n">
        <f aca="false">SUM('Activation Detail'!E77,'Activation Detail'!E577,'Activation Detail'!E1077,'Activation Detail'!E1577,'Activation Detail'!E2077,'Activation Detail'!E2577,'Activation Detail'!E3077,'Activation Detail'!E3577)</f>
        <v>478189</v>
      </c>
      <c r="D77" s="45" t="n">
        <f aca="false">SUM('Activation Detail'!G77,'Activation Detail'!G577,'Activation Detail'!G1077,'Activation Detail'!G1577,'Activation Detail'!G2077,'Activation Detail'!G2577,'Activation Detail'!G3077,'Activation Detail'!G3577)</f>
        <v>16253</v>
      </c>
      <c r="E77" s="48" t="n">
        <f aca="false">SUM('Activation Detail'!H77,'Activation Detail'!H577,'Activation Detail'!H1077,'Activation Detail'!H1577,'Activation Detail'!H2077,'Activation Detail'!H2577,'Activation Detail'!H3077,'Activation Detail'!H3577)</f>
        <v>606.613294408954</v>
      </c>
      <c r="F77" s="50" t="n">
        <f aca="false">SUM('Activation Detail'!I77,'Activation Detail'!I577,'Activation Detail'!I1077,'Activation Detail'!I1577,'Activation Detail'!I2077,'Activation Detail'!I2577,'Activation Detail'!I3077,'Activation Detail'!I3577)</f>
        <v>76543.084672</v>
      </c>
      <c r="G77" s="50" t="n">
        <f aca="false">SUM('Activation Detail'!J77,'Activation Detail'!J577,'Activation Detail'!J1077,'Activation Detail'!J1577,'Activation Detail'!J2077,'Activation Detail'!J2577,'Activation Detail'!J3077,'Activation Detail'!J3577)</f>
        <v>3792950.34027107</v>
      </c>
      <c r="H77" s="50" t="n">
        <f aca="false">SUM('Activation Detail'!K77,'Activation Detail'!K577,'Activation Detail'!K1077,'Activation Detail'!K1577,'Activation Detail'!K2077,'Activation Detail'!K2577,'Activation Detail'!K3077,'Activation Detail'!K3577)</f>
        <v>81805.0588325781</v>
      </c>
      <c r="I77" s="51" t="n">
        <f aca="false">IFERROR(H77/F77,0)</f>
        <v>1.06874525874057</v>
      </c>
      <c r="J77" s="49" t="n">
        <f aca="false">IFERROR(F77/E77,0)</f>
        <v>126.181020721906</v>
      </c>
      <c r="K77" s="46" t="n">
        <f aca="false">IFERROR(C77/B77,0)</f>
        <v>0.116263136128008</v>
      </c>
      <c r="L77" s="47" t="n">
        <f aca="false">IFERROR(D77/B77,0)</f>
        <v>0.0039516273931197</v>
      </c>
      <c r="N77" s="48" t="n">
        <f aca="false">SUMIFS('Activation Detail'!$H$4:$H$4003,'Activation Detail'!$A$4:$A$4003,$A77,'Activation Detail'!$N$4:$N$4003,N$2)</f>
        <v>71.4823150285142</v>
      </c>
      <c r="O77" s="50" t="n">
        <f aca="false">N77*'Model Inputs &amp; Assumptions'!$D$40*'Model Inputs &amp; Assumptions'!$H$40</f>
        <v>607599.67774237</v>
      </c>
      <c r="P77" s="50" t="n">
        <f aca="false">N77*'Model Inputs &amp; Assumptions'!$G$40*'Model Inputs &amp; Assumptions'!$H$40</f>
        <v>13670.9927492033</v>
      </c>
      <c r="Q77" s="50" t="n">
        <f aca="false">SUMIFS('Activation Detail'!$I$4:$I$4003,'Activation Detail'!$A$4:$A$4003,$A77,'Activation Detail'!$N$4:$N$4003,N$2)</f>
        <v>17985.272</v>
      </c>
      <c r="R77" s="51" t="n">
        <f aca="false">IFERROR(P77/Q77,0)</f>
        <v>0.760121545518096</v>
      </c>
      <c r="S77" s="49" t="n">
        <f aca="false">IFERROR(Q77/N77,0)</f>
        <v>251.6044981591</v>
      </c>
      <c r="T77" s="48" t="n">
        <f aca="false">SUMIFS('Activation Detail'!$H$4:$H$4003,'Activation Detail'!$A$4:$A$4003,$A77,'Activation Detail'!$N$4:$N$4003,T$2)</f>
        <v>164.246318819066</v>
      </c>
      <c r="U77" s="50" t="n">
        <f aca="false">T77*'Model Inputs &amp; Assumptions'!$D$41*'Model Inputs &amp; Assumptions'!$H$41</f>
        <v>1182573.49549727</v>
      </c>
      <c r="V77" s="50" t="n">
        <f aca="false">T77*'Model Inputs &amp; Assumptions'!$G$41*'Model Inputs &amp; Assumptions'!$H$41</f>
        <v>26075.7455757148</v>
      </c>
      <c r="W77" s="50" t="n">
        <f aca="false">SUMIFS('Activation Detail'!$I$4:$I$4003,'Activation Detail'!$A$4:$A$4003,$A77,'Activation Detail'!$N$4:$N$4003,T$2)</f>
        <v>18039.244672</v>
      </c>
      <c r="X77" s="51" t="n">
        <f aca="false">IFERROR(V77/W77,0)</f>
        <v>1.44550096469332</v>
      </c>
      <c r="Y77" s="49" t="n">
        <f aca="false">IFERROR(W77/T77,0)</f>
        <v>109.83043517628</v>
      </c>
      <c r="Z77" s="48" t="n">
        <f aca="false">SUMIFS('Activation Detail'!$H$4:$H$4003,'Activation Detail'!$A$4:$A$4003,$A77,'Activation Detail'!$N$4:$N$4003,Z$2)</f>
        <v>370.884660561375</v>
      </c>
      <c r="AA77" s="50" t="n">
        <f aca="false">Z77*'Model Inputs &amp; Assumptions'!$D$42*'Model Inputs &amp; Assumptions'!$H$42</f>
        <v>2002777.16703142</v>
      </c>
      <c r="AB77" s="50" t="n">
        <f aca="false">Z77*'Model Inputs &amp; Assumptions'!$G$42*'Model Inputs &amp; Assumptions'!$H$42</f>
        <v>42058.3205076599</v>
      </c>
      <c r="AC77" s="50" t="n">
        <f aca="false">SUMIFS('Activation Detail'!$I$4:$I$4003,'Activation Detail'!$A$4:$A$4003,$A77,'Activation Detail'!$N$4:$N$4003,Z$2)</f>
        <v>40518.568</v>
      </c>
      <c r="AD77" s="51" t="n">
        <f aca="false">IFERROR(AB77/AC77,0)</f>
        <v>1.03800115807794</v>
      </c>
      <c r="AE77" s="49" t="n">
        <f aca="false">IFERROR(AC77/Z77,0)</f>
        <v>109.248433026782</v>
      </c>
    </row>
    <row r="78" customFormat="false" ht="15" hidden="false" customHeight="false" outlineLevel="0" collapsed="false">
      <c r="A78" s="43" t="n">
        <v>75</v>
      </c>
      <c r="B78" s="45" t="n">
        <f aca="false">SUM('Activation Detail'!C78,'Activation Detail'!C578,'Activation Detail'!C1078,'Activation Detail'!C1578,'Activation Detail'!C2078,'Activation Detail'!C2578,'Activation Detail'!C3078,'Activation Detail'!C3578)</f>
        <v>4831040</v>
      </c>
      <c r="C78" s="45" t="n">
        <f aca="false">SUM('Activation Detail'!E78,'Activation Detail'!E578,'Activation Detail'!E1078,'Activation Detail'!E1578,'Activation Detail'!E2078,'Activation Detail'!E2578,'Activation Detail'!E3078,'Activation Detail'!E3578)</f>
        <v>702935</v>
      </c>
      <c r="D78" s="45" t="n">
        <f aca="false">SUM('Activation Detail'!G78,'Activation Detail'!G578,'Activation Detail'!G1078,'Activation Detail'!G1578,'Activation Detail'!G2078,'Activation Detail'!G2578,'Activation Detail'!G3078,'Activation Detail'!G3578)</f>
        <v>15160</v>
      </c>
      <c r="E78" s="48" t="n">
        <f aca="false">SUM('Activation Detail'!H78,'Activation Detail'!H578,'Activation Detail'!H1078,'Activation Detail'!H1578,'Activation Detail'!H2078,'Activation Detail'!H2578,'Activation Detail'!H3078,'Activation Detail'!H3578)</f>
        <v>634.557381314124</v>
      </c>
      <c r="F78" s="50" t="n">
        <f aca="false">SUM('Activation Detail'!I78,'Activation Detail'!I578,'Activation Detail'!I1078,'Activation Detail'!I1578,'Activation Detail'!I2078,'Activation Detail'!I2578,'Activation Detail'!I3078,'Activation Detail'!I3578)</f>
        <v>72928.838918</v>
      </c>
      <c r="G78" s="50" t="n">
        <f aca="false">SUM('Activation Detail'!J78,'Activation Detail'!J578,'Activation Detail'!J1078,'Activation Detail'!J1578,'Activation Detail'!J2078,'Activation Detail'!J2578,'Activation Detail'!J3078,'Activation Detail'!J3578)</f>
        <v>4045090.92928099</v>
      </c>
      <c r="H78" s="50" t="n">
        <f aca="false">SUM('Activation Detail'!K78,'Activation Detail'!K578,'Activation Detail'!K1078,'Activation Detail'!K1578,'Activation Detail'!K2078,'Activation Detail'!K2578,'Activation Detail'!K3078,'Activation Detail'!K3578)</f>
        <v>87521.6434968062</v>
      </c>
      <c r="I78" s="51" t="n">
        <f aca="false">IFERROR(H78/F78,0)</f>
        <v>1.20009648851278</v>
      </c>
      <c r="J78" s="49" t="n">
        <f aca="false">IFERROR(F78/E78,0)</f>
        <v>114.928674798439</v>
      </c>
      <c r="K78" s="46" t="n">
        <f aca="false">IFERROR(C78/B78,0)</f>
        <v>0.145503866662251</v>
      </c>
      <c r="L78" s="47" t="n">
        <f aca="false">IFERROR(D78/B78,0)</f>
        <v>0.00313804067033185</v>
      </c>
      <c r="N78" s="48" t="n">
        <f aca="false">SUMIFS('Activation Detail'!$H$4:$H$4003,'Activation Detail'!$A$4:$A$4003,$A78,'Activation Detail'!$N$4:$N$4003,N$2)</f>
        <v>84.7648624830904</v>
      </c>
      <c r="O78" s="50" t="n">
        <f aca="false">N78*'Model Inputs &amp; Assumptions'!$D$40*'Model Inputs &amp; Assumptions'!$H$40</f>
        <v>720501.331106268</v>
      </c>
      <c r="P78" s="50" t="n">
        <f aca="false">N78*'Model Inputs &amp; Assumptions'!$G$40*'Model Inputs &amp; Assumptions'!$H$40</f>
        <v>16211.279949891</v>
      </c>
      <c r="Q78" s="50" t="n">
        <f aca="false">SUMIFS('Activation Detail'!$I$4:$I$4003,'Activation Detail'!$A$4:$A$4003,$A78,'Activation Detail'!$N$4:$N$4003,N$2)</f>
        <v>18068.9725</v>
      </c>
      <c r="R78" s="51" t="n">
        <f aca="false">IFERROR(P78/Q78,0)</f>
        <v>0.897188810813179</v>
      </c>
      <c r="S78" s="49" t="n">
        <f aca="false">IFERROR(Q78/N78,0)</f>
        <v>213.165832760061</v>
      </c>
      <c r="T78" s="48" t="n">
        <f aca="false">SUMIFS('Activation Detail'!$H$4:$H$4003,'Activation Detail'!$A$4:$A$4003,$A78,'Activation Detail'!$N$4:$N$4003,T$2)</f>
        <v>197.616664715079</v>
      </c>
      <c r="U78" s="50" t="n">
        <f aca="false">T78*'Model Inputs &amp; Assumptions'!$D$41*'Model Inputs &amp; Assumptions'!$H$41</f>
        <v>1422839.98594857</v>
      </c>
      <c r="V78" s="50" t="n">
        <f aca="false">T78*'Model Inputs &amp; Assumptions'!$G$41*'Model Inputs &amp; Assumptions'!$H$41</f>
        <v>31373.6216901659</v>
      </c>
      <c r="W78" s="50" t="n">
        <f aca="false">SUMIFS('Activation Detail'!$I$4:$I$4003,'Activation Detail'!$A$4:$A$4003,$A78,'Activation Detail'!$N$4:$N$4003,T$2)</f>
        <v>20207.150418</v>
      </c>
      <c r="X78" s="51" t="n">
        <f aca="false">IFERROR(V78/W78,0)</f>
        <v>1.55259999758398</v>
      </c>
      <c r="Y78" s="49" t="n">
        <f aca="false">IFERROR(W78/T78,0)</f>
        <v>102.254283297081</v>
      </c>
      <c r="Z78" s="48" t="n">
        <f aca="false">SUMIFS('Activation Detail'!$H$4:$H$4003,'Activation Detail'!$A$4:$A$4003,$A78,'Activation Detail'!$N$4:$N$4003,Z$2)</f>
        <v>352.175854115955</v>
      </c>
      <c r="AA78" s="50" t="n">
        <f aca="false">Z78*'Model Inputs &amp; Assumptions'!$D$42*'Model Inputs &amp; Assumptions'!$H$42</f>
        <v>1901749.61222616</v>
      </c>
      <c r="AB78" s="50" t="n">
        <f aca="false">Z78*'Model Inputs &amp; Assumptions'!$G$42*'Model Inputs &amp; Assumptions'!$H$42</f>
        <v>39936.7418567493</v>
      </c>
      <c r="AC78" s="50" t="n">
        <f aca="false">SUMIFS('Activation Detail'!$I$4:$I$4003,'Activation Detail'!$A$4:$A$4003,$A78,'Activation Detail'!$N$4:$N$4003,Z$2)</f>
        <v>34652.716</v>
      </c>
      <c r="AD78" s="51" t="n">
        <f aca="false">IFERROR(AB78/AC78,0)</f>
        <v>1.15248518634872</v>
      </c>
      <c r="AE78" s="49" t="n">
        <f aca="false">IFERROR(AC78/Z78,0)</f>
        <v>98.3960586593495</v>
      </c>
    </row>
    <row r="79" customFormat="false" ht="15" hidden="false" customHeight="false" outlineLevel="0" collapsed="false">
      <c r="A79" s="43" t="n">
        <v>76</v>
      </c>
      <c r="B79" s="45" t="n">
        <f aca="false">SUM('Activation Detail'!C79,'Activation Detail'!C579,'Activation Detail'!C1079,'Activation Detail'!C1579,'Activation Detail'!C2079,'Activation Detail'!C2579,'Activation Detail'!C3079,'Activation Detail'!C3579)</f>
        <v>3517790</v>
      </c>
      <c r="C79" s="45" t="n">
        <f aca="false">SUM('Activation Detail'!E79,'Activation Detail'!E579,'Activation Detail'!E1079,'Activation Detail'!E1579,'Activation Detail'!E2079,'Activation Detail'!E2579,'Activation Detail'!E3079,'Activation Detail'!E3579)</f>
        <v>377393</v>
      </c>
      <c r="D79" s="45" t="n">
        <f aca="false">SUM('Activation Detail'!G79,'Activation Detail'!G579,'Activation Detail'!G1079,'Activation Detail'!G1579,'Activation Detail'!G2079,'Activation Detail'!G2579,'Activation Detail'!G3079,'Activation Detail'!G3579)</f>
        <v>15648</v>
      </c>
      <c r="E79" s="48" t="n">
        <f aca="false">SUM('Activation Detail'!H79,'Activation Detail'!H579,'Activation Detail'!H1079,'Activation Detail'!H1579,'Activation Detail'!H2079,'Activation Detail'!H2579,'Activation Detail'!H3079,'Activation Detail'!H3579)</f>
        <v>709.782007753788</v>
      </c>
      <c r="F79" s="50" t="n">
        <f aca="false">SUM('Activation Detail'!I79,'Activation Detail'!I579,'Activation Detail'!I1079,'Activation Detail'!I1579,'Activation Detail'!I2079,'Activation Detail'!I2579,'Activation Detail'!I3079,'Activation Detail'!I3579)</f>
        <v>70622.74824</v>
      </c>
      <c r="G79" s="50" t="n">
        <f aca="false">SUM('Activation Detail'!J79,'Activation Detail'!J579,'Activation Detail'!J1079,'Activation Detail'!J1579,'Activation Detail'!J2079,'Activation Detail'!J2579,'Activation Detail'!J3079,'Activation Detail'!J3579)</f>
        <v>4330461.0312067</v>
      </c>
      <c r="H79" s="50" t="n">
        <f aca="false">SUM('Activation Detail'!K79,'Activation Detail'!K579,'Activation Detail'!K1079,'Activation Detail'!K1579,'Activation Detail'!K2079,'Activation Detail'!K2579,'Activation Detail'!K3079,'Activation Detail'!K3579)</f>
        <v>93007.6182980461</v>
      </c>
      <c r="I79" s="51" t="n">
        <f aca="false">IFERROR(H79/F79,0)</f>
        <v>1.31696401819389</v>
      </c>
      <c r="J79" s="49" t="n">
        <f aca="false">IFERROR(F79/E79,0)</f>
        <v>99.4992088676583</v>
      </c>
      <c r="K79" s="46" t="n">
        <f aca="false">IFERROR(C79/B79,0)</f>
        <v>0.107281276028416</v>
      </c>
      <c r="L79" s="47" t="n">
        <f aca="false">IFERROR(D79/B79,0)</f>
        <v>0.00444824733710654</v>
      </c>
      <c r="N79" s="48" t="n">
        <f aca="false">SUMIFS('Activation Detail'!$H$4:$H$4003,'Activation Detail'!$A$4:$A$4003,$A79,'Activation Detail'!$N$4:$N$4003,N$2)</f>
        <v>82.0138981737587</v>
      </c>
      <c r="O79" s="50" t="n">
        <f aca="false">N79*'Model Inputs &amp; Assumptions'!$D$40*'Model Inputs &amp; Assumptions'!$H$40</f>
        <v>697118.134476949</v>
      </c>
      <c r="P79" s="50" t="n">
        <f aca="false">N79*'Model Inputs &amp; Assumptions'!$G$40*'Model Inputs &amp; Assumptions'!$H$40</f>
        <v>15685.1580257314</v>
      </c>
      <c r="Q79" s="50" t="n">
        <f aca="false">SUMIFS('Activation Detail'!$I$4:$I$4003,'Activation Detail'!$A$4:$A$4003,$A79,'Activation Detail'!$N$4:$N$4003,N$2)</f>
        <v>17633.375</v>
      </c>
      <c r="R79" s="51" t="n">
        <f aca="false">IFERROR(P79/Q79,0)</f>
        <v>0.889515366498549</v>
      </c>
      <c r="S79" s="49" t="n">
        <f aca="false">IFERROR(Q79/N79,0)</f>
        <v>215.004717403397</v>
      </c>
      <c r="T79" s="48" t="n">
        <f aca="false">SUMIFS('Activation Detail'!$H$4:$H$4003,'Activation Detail'!$A$4:$A$4003,$A79,'Activation Detail'!$N$4:$N$4003,T$2)</f>
        <v>135.219502776444</v>
      </c>
      <c r="U79" s="50" t="n">
        <f aca="false">T79*'Model Inputs &amp; Assumptions'!$D$41*'Model Inputs &amp; Assumptions'!$H$41</f>
        <v>973580.419990394</v>
      </c>
      <c r="V79" s="50" t="n">
        <f aca="false">T79*'Model Inputs &amp; Assumptions'!$G$41*'Model Inputs &amp; Assumptions'!$H$41</f>
        <v>21467.4482607882</v>
      </c>
      <c r="W79" s="50" t="n">
        <f aca="false">SUMIFS('Activation Detail'!$I$4:$I$4003,'Activation Detail'!$A$4:$A$4003,$A79,'Activation Detail'!$N$4:$N$4003,T$2)</f>
        <v>16024.34124</v>
      </c>
      <c r="X79" s="51" t="n">
        <f aca="false">IFERROR(V79/W79,0)</f>
        <v>1.33967742818663</v>
      </c>
      <c r="Y79" s="49" t="n">
        <f aca="false">IFERROR(W79/T79,0)</f>
        <v>118.506139358409</v>
      </c>
      <c r="Z79" s="48" t="n">
        <f aca="false">SUMIFS('Activation Detail'!$H$4:$H$4003,'Activation Detail'!$A$4:$A$4003,$A79,'Activation Detail'!$N$4:$N$4003,Z$2)</f>
        <v>492.548606803585</v>
      </c>
      <c r="AA79" s="50" t="n">
        <f aca="false">Z79*'Model Inputs &amp; Assumptions'!$D$42*'Model Inputs &amp; Assumptions'!$H$42</f>
        <v>2659762.47673936</v>
      </c>
      <c r="AB79" s="50" t="n">
        <f aca="false">Z79*'Model Inputs &amp; Assumptions'!$G$42*'Model Inputs &amp; Assumptions'!$H$42</f>
        <v>55855.0120115266</v>
      </c>
      <c r="AC79" s="50" t="n">
        <f aca="false">SUMIFS('Activation Detail'!$I$4:$I$4003,'Activation Detail'!$A$4:$A$4003,$A79,'Activation Detail'!$N$4:$N$4003,Z$2)</f>
        <v>36965.032</v>
      </c>
      <c r="AD79" s="51" t="n">
        <f aca="false">IFERROR(AB79/AC79,0)</f>
        <v>1.51102295844155</v>
      </c>
      <c r="AE79" s="49" t="n">
        <f aca="false">IFERROR(AC79/Z79,0)</f>
        <v>75.0484957005281</v>
      </c>
    </row>
    <row r="80" customFormat="false" ht="15" hidden="false" customHeight="false" outlineLevel="0" collapsed="false">
      <c r="A80" s="43" t="n">
        <v>77</v>
      </c>
      <c r="B80" s="45" t="n">
        <f aca="false">SUM('Activation Detail'!C80,'Activation Detail'!C580,'Activation Detail'!C1080,'Activation Detail'!C1580,'Activation Detail'!C2080,'Activation Detail'!C2580,'Activation Detail'!C3080,'Activation Detail'!C3580)</f>
        <v>3931749</v>
      </c>
      <c r="C80" s="45" t="n">
        <f aca="false">SUM('Activation Detail'!E80,'Activation Detail'!E580,'Activation Detail'!E1080,'Activation Detail'!E1580,'Activation Detail'!E2080,'Activation Detail'!E2580,'Activation Detail'!E3080,'Activation Detail'!E3580)</f>
        <v>374305</v>
      </c>
      <c r="D80" s="45" t="n">
        <f aca="false">SUM('Activation Detail'!G80,'Activation Detail'!G580,'Activation Detail'!G1080,'Activation Detail'!G1580,'Activation Detail'!G2080,'Activation Detail'!G2580,'Activation Detail'!G3080,'Activation Detail'!G3580)</f>
        <v>15111</v>
      </c>
      <c r="E80" s="48" t="n">
        <f aca="false">SUM('Activation Detail'!H80,'Activation Detail'!H580,'Activation Detail'!H1080,'Activation Detail'!H1580,'Activation Detail'!H2080,'Activation Detail'!H2580,'Activation Detail'!H3080,'Activation Detail'!H3580)</f>
        <v>756.417329112559</v>
      </c>
      <c r="F80" s="50" t="n">
        <f aca="false">SUM('Activation Detail'!I80,'Activation Detail'!I580,'Activation Detail'!I1080,'Activation Detail'!I1580,'Activation Detail'!I2080,'Activation Detail'!I2580,'Activation Detail'!I3080,'Activation Detail'!I3580)</f>
        <v>73568.340438</v>
      </c>
      <c r="G80" s="50" t="n">
        <f aca="false">SUM('Activation Detail'!J80,'Activation Detail'!J580,'Activation Detail'!J1080,'Activation Detail'!J1580,'Activation Detail'!J2080,'Activation Detail'!J2580,'Activation Detail'!J3080,'Activation Detail'!J3580)</f>
        <v>4660279.30734139</v>
      </c>
      <c r="H80" s="50" t="n">
        <f aca="false">SUM('Activation Detail'!K80,'Activation Detail'!K580,'Activation Detail'!K1080,'Activation Detail'!K1580,'Activation Detail'!K2080,'Activation Detail'!K2580,'Activation Detail'!K3080,'Activation Detail'!K3580)</f>
        <v>100260.271910824</v>
      </c>
      <c r="I80" s="51" t="n">
        <f aca="false">IFERROR(H80/F80,0)</f>
        <v>1.36281818121639</v>
      </c>
      <c r="J80" s="49" t="n">
        <f aca="false">IFERROR(F80/E80,0)</f>
        <v>97.2589304958304</v>
      </c>
      <c r="K80" s="46" t="n">
        <f aca="false">IFERROR(C80/B80,0)</f>
        <v>0.0952006346285076</v>
      </c>
      <c r="L80" s="47" t="n">
        <f aca="false">IFERROR(D80/B80,0)</f>
        <v>0.00384332774040255</v>
      </c>
      <c r="N80" s="48" t="n">
        <f aca="false">SUMIFS('Activation Detail'!$H$4:$H$4003,'Activation Detail'!$A$4:$A$4003,$A80,'Activation Detail'!$N$4:$N$4003,N$2)</f>
        <v>86.0059626166493</v>
      </c>
      <c r="O80" s="50" t="n">
        <f aca="false">N80*'Model Inputs &amp; Assumptions'!$D$40*'Model Inputs &amp; Assumptions'!$H$40</f>
        <v>731050.682241519</v>
      </c>
      <c r="P80" s="50" t="n">
        <f aca="false">N80*'Model Inputs &amp; Assumptions'!$G$40*'Model Inputs &amp; Assumptions'!$H$40</f>
        <v>16448.6403504342</v>
      </c>
      <c r="Q80" s="50" t="n">
        <f aca="false">SUMIFS('Activation Detail'!$I$4:$I$4003,'Activation Detail'!$A$4:$A$4003,$A80,'Activation Detail'!$N$4:$N$4003,N$2)</f>
        <v>18707.8835</v>
      </c>
      <c r="R80" s="51" t="n">
        <f aca="false">IFERROR(P80/Q80,0)</f>
        <v>0.879235769799089</v>
      </c>
      <c r="S80" s="49" t="n">
        <f aca="false">IFERROR(Q80/N80,0)</f>
        <v>217.51844791722</v>
      </c>
      <c r="T80" s="48" t="n">
        <f aca="false">SUMIFS('Activation Detail'!$H$4:$H$4003,'Activation Detail'!$A$4:$A$4003,$A80,'Activation Detail'!$N$4:$N$4003,T$2)</f>
        <v>171.670692234423</v>
      </c>
      <c r="U80" s="50" t="n">
        <f aca="false">T80*'Model Inputs &amp; Assumptions'!$D$41*'Model Inputs &amp; Assumptions'!$H$41</f>
        <v>1236028.98408785</v>
      </c>
      <c r="V80" s="50" t="n">
        <f aca="false">T80*'Model Inputs &amp; Assumptions'!$G$41*'Model Inputs &amp; Assumptions'!$H$41</f>
        <v>27254.439099137</v>
      </c>
      <c r="W80" s="50" t="n">
        <f aca="false">SUMIFS('Activation Detail'!$I$4:$I$4003,'Activation Detail'!$A$4:$A$4003,$A80,'Activation Detail'!$N$4:$N$4003,T$2)</f>
        <v>17215.564938</v>
      </c>
      <c r="X80" s="51" t="n">
        <f aca="false">IFERROR(V80/W80,0)</f>
        <v>1.5831277798487</v>
      </c>
      <c r="Y80" s="49" t="n">
        <f aca="false">IFERROR(W80/T80,0)</f>
        <v>100.282492683675</v>
      </c>
      <c r="Z80" s="48" t="n">
        <f aca="false">SUMIFS('Activation Detail'!$H$4:$H$4003,'Activation Detail'!$A$4:$A$4003,$A80,'Activation Detail'!$N$4:$N$4003,Z$2)</f>
        <v>498.740674261486</v>
      </c>
      <c r="AA80" s="50" t="n">
        <f aca="false">Z80*'Model Inputs &amp; Assumptions'!$D$42*'Model Inputs &amp; Assumptions'!$H$42</f>
        <v>2693199.64101203</v>
      </c>
      <c r="AB80" s="50" t="n">
        <f aca="false">Z80*'Model Inputs &amp; Assumptions'!$G$42*'Model Inputs &amp; Assumptions'!$H$42</f>
        <v>56557.1924612526</v>
      </c>
      <c r="AC80" s="50" t="n">
        <f aca="false">SUMIFS('Activation Detail'!$I$4:$I$4003,'Activation Detail'!$A$4:$A$4003,$A80,'Activation Detail'!$N$4:$N$4003,Z$2)</f>
        <v>37644.892</v>
      </c>
      <c r="AD80" s="51" t="n">
        <f aca="false">IFERROR(AB80/AC80,0)</f>
        <v>1.50238689650783</v>
      </c>
      <c r="AE80" s="49" t="n">
        <f aca="false">IFERROR(AC80/Z80,0)</f>
        <v>75.4798915403139</v>
      </c>
    </row>
    <row r="81" customFormat="false" ht="15" hidden="false" customHeight="false" outlineLevel="0" collapsed="false">
      <c r="A81" s="43" t="n">
        <v>78</v>
      </c>
      <c r="B81" s="45" t="n">
        <f aca="false">SUM('Activation Detail'!C81,'Activation Detail'!C581,'Activation Detail'!C1081,'Activation Detail'!C1581,'Activation Detail'!C2081,'Activation Detail'!C2581,'Activation Detail'!C3081,'Activation Detail'!C3581)</f>
        <v>3399966</v>
      </c>
      <c r="C81" s="45" t="n">
        <f aca="false">SUM('Activation Detail'!E81,'Activation Detail'!E581,'Activation Detail'!E1081,'Activation Detail'!E1581,'Activation Detail'!E2081,'Activation Detail'!E2581,'Activation Detail'!E3081,'Activation Detail'!E3581)</f>
        <v>352351</v>
      </c>
      <c r="D81" s="45" t="n">
        <f aca="false">SUM('Activation Detail'!G81,'Activation Detail'!G581,'Activation Detail'!G1081,'Activation Detail'!G1581,'Activation Detail'!G2081,'Activation Detail'!G2581,'Activation Detail'!G3081,'Activation Detail'!G3581)</f>
        <v>9458</v>
      </c>
      <c r="E81" s="48" t="n">
        <f aca="false">SUM('Activation Detail'!H81,'Activation Detail'!H581,'Activation Detail'!H1081,'Activation Detail'!H1581,'Activation Detail'!H2081,'Activation Detail'!H2581,'Activation Detail'!H3081,'Activation Detail'!H3581)</f>
        <v>386.369131200401</v>
      </c>
      <c r="F81" s="50" t="n">
        <f aca="false">SUM('Activation Detail'!I81,'Activation Detail'!I581,'Activation Detail'!I1081,'Activation Detail'!I1581,'Activation Detail'!I2081,'Activation Detail'!I2581,'Activation Detail'!I3081,'Activation Detail'!I3581)</f>
        <v>67209.745952</v>
      </c>
      <c r="G81" s="50" t="n">
        <f aca="false">SUM('Activation Detail'!J81,'Activation Detail'!J581,'Activation Detail'!J1081,'Activation Detail'!J1581,'Activation Detail'!J2081,'Activation Detail'!J2581,'Activation Detail'!J3081,'Activation Detail'!J3581)</f>
        <v>2587403.26183044</v>
      </c>
      <c r="H81" s="50" t="n">
        <f aca="false">SUM('Activation Detail'!K81,'Activation Detail'!K581,'Activation Detail'!K1081,'Activation Detail'!K1581,'Activation Detail'!K2081,'Activation Detail'!K2581,'Activation Detail'!K3081,'Activation Detail'!K3581)</f>
        <v>56420.1295316346</v>
      </c>
      <c r="I81" s="51" t="n">
        <f aca="false">IFERROR(H81/F81,0)</f>
        <v>0.83946351429343</v>
      </c>
      <c r="J81" s="49" t="n">
        <f aca="false">IFERROR(F81/E81,0)</f>
        <v>173.952162646088</v>
      </c>
      <c r="K81" s="46" t="n">
        <f aca="false">IFERROR(C81/B81,0)</f>
        <v>0.103633683395657</v>
      </c>
      <c r="L81" s="47" t="n">
        <f aca="false">IFERROR(D81/B81,0)</f>
        <v>0.00278179252380759</v>
      </c>
      <c r="N81" s="48" t="n">
        <f aca="false">SUMIFS('Activation Detail'!$H$4:$H$4003,'Activation Detail'!$A$4:$A$4003,$A81,'Activation Detail'!$N$4:$N$4003,N$2)</f>
        <v>72.5213735826844</v>
      </c>
      <c r="O81" s="50" t="n">
        <f aca="false">N81*'Model Inputs &amp; Assumptions'!$D$40*'Model Inputs &amp; Assumptions'!$H$40</f>
        <v>616431.675452817</v>
      </c>
      <c r="P81" s="50" t="n">
        <f aca="false">N81*'Model Inputs &amp; Assumptions'!$G$40*'Model Inputs &amp; Assumptions'!$H$40</f>
        <v>13869.7126976884</v>
      </c>
      <c r="Q81" s="50" t="n">
        <f aca="false">SUMIFS('Activation Detail'!$I$4:$I$4003,'Activation Detail'!$A$4:$A$4003,$A81,'Activation Detail'!$N$4:$N$4003,N$2)</f>
        <v>18990.0095</v>
      </c>
      <c r="R81" s="51" t="n">
        <f aca="false">IFERROR(P81/Q81,0)</f>
        <v>0.730368918335106</v>
      </c>
      <c r="S81" s="49" t="n">
        <f aca="false">IFERROR(Q81/N81,0)</f>
        <v>261.853968862694</v>
      </c>
      <c r="T81" s="48" t="n">
        <f aca="false">SUMIFS('Activation Detail'!$H$4:$H$4003,'Activation Detail'!$A$4:$A$4003,$A81,'Activation Detail'!$N$4:$N$4003,T$2)</f>
        <v>153.440941801083</v>
      </c>
      <c r="U81" s="50" t="n">
        <f aca="false">T81*'Model Inputs &amp; Assumptions'!$D$41*'Model Inputs &amp; Assumptions'!$H$41</f>
        <v>1104774.7809678</v>
      </c>
      <c r="V81" s="50" t="n">
        <f aca="false">T81*'Model Inputs &amp; Assumptions'!$G$41*'Model Inputs &amp; Assumptions'!$H$41</f>
        <v>24360.2839203399</v>
      </c>
      <c r="W81" s="50" t="n">
        <f aca="false">SUMIFS('Activation Detail'!$I$4:$I$4003,'Activation Detail'!$A$4:$A$4003,$A81,'Activation Detail'!$N$4:$N$4003,T$2)</f>
        <v>14166.864452</v>
      </c>
      <c r="X81" s="51" t="n">
        <f aca="false">IFERROR(V81/W81,0)</f>
        <v>1.7195254463595</v>
      </c>
      <c r="Y81" s="49" t="n">
        <f aca="false">IFERROR(W81/T81,0)</f>
        <v>92.3277991239496</v>
      </c>
      <c r="Z81" s="48" t="n">
        <f aca="false">SUMIFS('Activation Detail'!$H$4:$H$4003,'Activation Detail'!$A$4:$A$4003,$A81,'Activation Detail'!$N$4:$N$4003,Z$2)</f>
        <v>160.406815816634</v>
      </c>
      <c r="AA81" s="50" t="n">
        <f aca="false">Z81*'Model Inputs &amp; Assumptions'!$D$42*'Model Inputs &amp; Assumptions'!$H$42</f>
        <v>866196.805409824</v>
      </c>
      <c r="AB81" s="50" t="n">
        <f aca="false">Z81*'Model Inputs &amp; Assumptions'!$G$42*'Model Inputs &amp; Assumptions'!$H$42</f>
        <v>18190.1329136063</v>
      </c>
      <c r="AC81" s="50" t="n">
        <f aca="false">SUMIFS('Activation Detail'!$I$4:$I$4003,'Activation Detail'!$A$4:$A$4003,$A81,'Activation Detail'!$N$4:$N$4003,Z$2)</f>
        <v>34052.872</v>
      </c>
      <c r="AD81" s="51" t="n">
        <f aca="false">IFERROR(AB81/AC81,0)</f>
        <v>0.534173238416023</v>
      </c>
      <c r="AE81" s="49" t="n">
        <f aca="false">IFERROR(AC81/Z81,0)</f>
        <v>212.290679960426</v>
      </c>
    </row>
    <row r="82" customFormat="false" ht="15" hidden="false" customHeight="false" outlineLevel="0" collapsed="false">
      <c r="A82" s="43" t="n">
        <v>79</v>
      </c>
      <c r="B82" s="45" t="n">
        <f aca="false">SUM('Activation Detail'!C82,'Activation Detail'!C582,'Activation Detail'!C1082,'Activation Detail'!C1582,'Activation Detail'!C2082,'Activation Detail'!C2582,'Activation Detail'!C3082,'Activation Detail'!C3582)</f>
        <v>4515567</v>
      </c>
      <c r="C82" s="45" t="n">
        <f aca="false">SUM('Activation Detail'!E82,'Activation Detail'!E582,'Activation Detail'!E1082,'Activation Detail'!E1582,'Activation Detail'!E2082,'Activation Detail'!E2582,'Activation Detail'!E3082,'Activation Detail'!E3582)</f>
        <v>230769</v>
      </c>
      <c r="D82" s="45" t="n">
        <f aca="false">SUM('Activation Detail'!G82,'Activation Detail'!G582,'Activation Detail'!G1082,'Activation Detail'!G1582,'Activation Detail'!G2082,'Activation Detail'!G2582,'Activation Detail'!G3082,'Activation Detail'!G3582)</f>
        <v>12222</v>
      </c>
      <c r="E82" s="48" t="n">
        <f aca="false">SUM('Activation Detail'!H82,'Activation Detail'!H582,'Activation Detail'!H1082,'Activation Detail'!H1582,'Activation Detail'!H2082,'Activation Detail'!H2582,'Activation Detail'!H3082,'Activation Detail'!H3582)</f>
        <v>444.738203870939</v>
      </c>
      <c r="F82" s="50" t="n">
        <f aca="false">SUM('Activation Detail'!I82,'Activation Detail'!I582,'Activation Detail'!I1082,'Activation Detail'!I1582,'Activation Detail'!I2082,'Activation Detail'!I2582,'Activation Detail'!I3082,'Activation Detail'!I3582)</f>
        <v>72839.53023</v>
      </c>
      <c r="G82" s="50" t="n">
        <f aca="false">SUM('Activation Detail'!J82,'Activation Detail'!J582,'Activation Detail'!J1082,'Activation Detail'!J1582,'Activation Detail'!J2082,'Activation Detail'!J2582,'Activation Detail'!J3082,'Activation Detail'!J3582)</f>
        <v>2833836.53169558</v>
      </c>
      <c r="H82" s="50" t="n">
        <f aca="false">SUM('Activation Detail'!K82,'Activation Detail'!K582,'Activation Detail'!K1082,'Activation Detail'!K1582,'Activation Detail'!K2082,'Activation Detail'!K2582,'Activation Detail'!K3082,'Activation Detail'!K3582)</f>
        <v>61305.1495599401</v>
      </c>
      <c r="I82" s="51" t="n">
        <f aca="false">IFERROR(H82/F82,0)</f>
        <v>0.84164669055884</v>
      </c>
      <c r="J82" s="49" t="n">
        <f aca="false">IFERROR(F82/E82,0)</f>
        <v>163.780690743487</v>
      </c>
      <c r="K82" s="46" t="n">
        <f aca="false">IFERROR(C82/B82,0)</f>
        <v>0.0511052100433899</v>
      </c>
      <c r="L82" s="47" t="n">
        <f aca="false">IFERROR(D82/B82,0)</f>
        <v>0.00270663684095486</v>
      </c>
      <c r="N82" s="48" t="n">
        <f aca="false">SUMIFS('Activation Detail'!$H$4:$H$4003,'Activation Detail'!$A$4:$A$4003,$A82,'Activation Detail'!$N$4:$N$4003,N$2)</f>
        <v>77.2910185020484</v>
      </c>
      <c r="O82" s="50" t="n">
        <f aca="false">N82*'Model Inputs &amp; Assumptions'!$D$40*'Model Inputs &amp; Assumptions'!$H$40</f>
        <v>656973.657267412</v>
      </c>
      <c r="P82" s="50" t="n">
        <f aca="false">N82*'Model Inputs &amp; Assumptions'!$G$40*'Model Inputs &amp; Assumptions'!$H$40</f>
        <v>14781.9072885168</v>
      </c>
      <c r="Q82" s="50" t="n">
        <f aca="false">SUMIFS('Activation Detail'!$I$4:$I$4003,'Activation Detail'!$A$4:$A$4003,$A82,'Activation Detail'!$N$4:$N$4003,N$2)</f>
        <v>18209.0995</v>
      </c>
      <c r="R82" s="51" t="n">
        <f aca="false">IFERROR(P82/Q82,0)</f>
        <v>0.811786837043576</v>
      </c>
      <c r="S82" s="49" t="n">
        <f aca="false">IFERROR(Q82/N82,0)</f>
        <v>235.591403152714</v>
      </c>
      <c r="T82" s="48" t="n">
        <f aca="false">SUMIFS('Activation Detail'!$H$4:$H$4003,'Activation Detail'!$A$4:$A$4003,$A82,'Activation Detail'!$N$4:$N$4003,T$2)</f>
        <v>107.026707464531</v>
      </c>
      <c r="U82" s="50" t="n">
        <f aca="false">T82*'Model Inputs &amp; Assumptions'!$D$41*'Model Inputs &amp; Assumptions'!$H$41</f>
        <v>770592.293744625</v>
      </c>
      <c r="V82" s="50" t="n">
        <f aca="false">T82*'Model Inputs &amp; Assumptions'!$G$41*'Model Inputs &amp; Assumptions'!$H$41</f>
        <v>16991.560077069</v>
      </c>
      <c r="W82" s="50" t="n">
        <f aca="false">SUMIFS('Activation Detail'!$I$4:$I$4003,'Activation Detail'!$A$4:$A$4003,$A82,'Activation Detail'!$N$4:$N$4003,T$2)</f>
        <v>12910.18273</v>
      </c>
      <c r="X82" s="51" t="n">
        <f aca="false">IFERROR(V82/W82,0)</f>
        <v>1.31613629585466</v>
      </c>
      <c r="Y82" s="49" t="n">
        <f aca="false">IFERROR(W82/T82,0)</f>
        <v>120.625804865374</v>
      </c>
      <c r="Z82" s="48" t="n">
        <f aca="false">SUMIFS('Activation Detail'!$H$4:$H$4003,'Activation Detail'!$A$4:$A$4003,$A82,'Activation Detail'!$N$4:$N$4003,Z$2)</f>
        <v>260.42047790436</v>
      </c>
      <c r="AA82" s="50" t="n">
        <f aca="false">Z82*'Model Inputs &amp; Assumptions'!$D$42*'Model Inputs &amp; Assumptions'!$H$42</f>
        <v>1406270.58068354</v>
      </c>
      <c r="AB82" s="50" t="n">
        <f aca="false">Z82*'Model Inputs &amp; Assumptions'!$G$42*'Model Inputs &amp; Assumptions'!$H$42</f>
        <v>29531.6821943544</v>
      </c>
      <c r="AC82" s="50" t="n">
        <f aca="false">SUMIFS('Activation Detail'!$I$4:$I$4003,'Activation Detail'!$A$4:$A$4003,$A82,'Activation Detail'!$N$4:$N$4003,Z$2)</f>
        <v>41720.248</v>
      </c>
      <c r="AD82" s="51" t="n">
        <f aca="false">IFERROR(AB82/AC82,0)</f>
        <v>0.707850111398052</v>
      </c>
      <c r="AE82" s="49" t="n">
        <f aca="false">IFERROR(AC82/Z82,0)</f>
        <v>160.203407718659</v>
      </c>
    </row>
    <row r="83" customFormat="false" ht="15" hidden="false" customHeight="false" outlineLevel="0" collapsed="false">
      <c r="A83" s="43" t="n">
        <v>80</v>
      </c>
      <c r="B83" s="45" t="n">
        <f aca="false">SUM('Activation Detail'!C83,'Activation Detail'!C583,'Activation Detail'!C1083,'Activation Detail'!C1583,'Activation Detail'!C2083,'Activation Detail'!C2583,'Activation Detail'!C3083,'Activation Detail'!C3583)</f>
        <v>3205199</v>
      </c>
      <c r="C83" s="45" t="n">
        <f aca="false">SUM('Activation Detail'!E83,'Activation Detail'!E583,'Activation Detail'!E1083,'Activation Detail'!E1583,'Activation Detail'!E2083,'Activation Detail'!E2583,'Activation Detail'!E3083,'Activation Detail'!E3583)</f>
        <v>396901</v>
      </c>
      <c r="D83" s="45" t="n">
        <f aca="false">SUM('Activation Detail'!G83,'Activation Detail'!G583,'Activation Detail'!G1083,'Activation Detail'!G1583,'Activation Detail'!G2083,'Activation Detail'!G2583,'Activation Detail'!G3083,'Activation Detail'!G3583)</f>
        <v>13161</v>
      </c>
      <c r="E83" s="48" t="n">
        <f aca="false">SUM('Activation Detail'!H83,'Activation Detail'!H583,'Activation Detail'!H1083,'Activation Detail'!H1583,'Activation Detail'!H2083,'Activation Detail'!H2583,'Activation Detail'!H3083,'Activation Detail'!H3583)</f>
        <v>473.77604689354</v>
      </c>
      <c r="F83" s="50" t="n">
        <f aca="false">SUM('Activation Detail'!I83,'Activation Detail'!I583,'Activation Detail'!I1083,'Activation Detail'!I1583,'Activation Detail'!I2083,'Activation Detail'!I2583,'Activation Detail'!I3083,'Activation Detail'!I3583)</f>
        <v>67166.381708</v>
      </c>
      <c r="G83" s="50" t="n">
        <f aca="false">SUM('Activation Detail'!J83,'Activation Detail'!J583,'Activation Detail'!J1083,'Activation Detail'!J1583,'Activation Detail'!J2083,'Activation Detail'!J2583,'Activation Detail'!J3083,'Activation Detail'!J3583)</f>
        <v>3083838.95025138</v>
      </c>
      <c r="H83" s="50" t="n">
        <f aca="false">SUM('Activation Detail'!K83,'Activation Detail'!K583,'Activation Detail'!K1083,'Activation Detail'!K1583,'Activation Detail'!K2083,'Activation Detail'!K2583,'Activation Detail'!K3083,'Activation Detail'!K3583)</f>
        <v>66948.191114843</v>
      </c>
      <c r="I83" s="51" t="n">
        <f aca="false">IFERROR(H83/F83,0)</f>
        <v>0.996751491034524</v>
      </c>
      <c r="J83" s="49" t="n">
        <f aca="false">IFERROR(F83/E83,0)</f>
        <v>141.768209153665</v>
      </c>
      <c r="K83" s="46" t="n">
        <f aca="false">IFERROR(C83/B83,0)</f>
        <v>0.123830376834636</v>
      </c>
      <c r="L83" s="47" t="n">
        <f aca="false">IFERROR(D83/B83,0)</f>
        <v>0.00410614130355089</v>
      </c>
      <c r="N83" s="48" t="n">
        <f aca="false">SUMIFS('Activation Detail'!$H$4:$H$4003,'Activation Detail'!$A$4:$A$4003,$A83,'Activation Detail'!$N$4:$N$4003,N$2)</f>
        <v>71.5173627639491</v>
      </c>
      <c r="O83" s="50" t="n">
        <f aca="false">N83*'Model Inputs &amp; Assumptions'!$D$40*'Model Inputs &amp; Assumptions'!$H$40</f>
        <v>607897.583493567</v>
      </c>
      <c r="P83" s="50" t="n">
        <f aca="false">N83*'Model Inputs &amp; Assumptions'!$G$40*'Model Inputs &amp; Assumptions'!$H$40</f>
        <v>13677.6956286053</v>
      </c>
      <c r="Q83" s="50" t="n">
        <f aca="false">SUMIFS('Activation Detail'!$I$4:$I$4003,'Activation Detail'!$A$4:$A$4003,$A83,'Activation Detail'!$N$4:$N$4003,N$2)</f>
        <v>17849.097</v>
      </c>
      <c r="R83" s="51" t="n">
        <f aca="false">IFERROR(P83/Q83,0)</f>
        <v>0.766296223758842</v>
      </c>
      <c r="S83" s="49" t="n">
        <f aca="false">IFERROR(Q83/N83,0)</f>
        <v>249.577114006747</v>
      </c>
      <c r="T83" s="48" t="n">
        <f aca="false">SUMIFS('Activation Detail'!$H$4:$H$4003,'Activation Detail'!$A$4:$A$4003,$A83,'Activation Detail'!$N$4:$N$4003,T$2)</f>
        <v>168.746929143343</v>
      </c>
      <c r="U83" s="50" t="n">
        <f aca="false">T83*'Model Inputs &amp; Assumptions'!$D$41*'Model Inputs &amp; Assumptions'!$H$41</f>
        <v>1214977.88983207</v>
      </c>
      <c r="V83" s="50" t="n">
        <f aca="false">T83*'Model Inputs &amp; Assumptions'!$G$41*'Model Inputs &amp; Assumptions'!$H$41</f>
        <v>26790.2624707971</v>
      </c>
      <c r="W83" s="50" t="n">
        <f aca="false">SUMIFS('Activation Detail'!$I$4:$I$4003,'Activation Detail'!$A$4:$A$4003,$A83,'Activation Detail'!$N$4:$N$4003,T$2)</f>
        <v>17603.872708</v>
      </c>
      <c r="X83" s="51" t="n">
        <f aca="false">IFERROR(V83/W83,0)</f>
        <v>1.52183913819272</v>
      </c>
      <c r="Y83" s="49" t="n">
        <f aca="false">IFERROR(W83/T83,0)</f>
        <v>104.321144078695</v>
      </c>
      <c r="Z83" s="48" t="n">
        <f aca="false">SUMIFS('Activation Detail'!$H$4:$H$4003,'Activation Detail'!$A$4:$A$4003,$A83,'Activation Detail'!$N$4:$N$4003,Z$2)</f>
        <v>233.511754986249</v>
      </c>
      <c r="AA83" s="50" t="n">
        <f aca="false">Z83*'Model Inputs &amp; Assumptions'!$D$42*'Model Inputs &amp; Assumptions'!$H$42</f>
        <v>1260963.47692574</v>
      </c>
      <c r="AB83" s="50" t="n">
        <f aca="false">Z83*'Model Inputs &amp; Assumptions'!$G$42*'Model Inputs &amp; Assumptions'!$H$42</f>
        <v>26480.2330154406</v>
      </c>
      <c r="AC83" s="50" t="n">
        <f aca="false">SUMIFS('Activation Detail'!$I$4:$I$4003,'Activation Detail'!$A$4:$A$4003,$A83,'Activation Detail'!$N$4:$N$4003,Z$2)</f>
        <v>31713.412</v>
      </c>
      <c r="AD83" s="51" t="n">
        <f aca="false">IFERROR(AB83/AC83,0)</f>
        <v>0.834985305757722</v>
      </c>
      <c r="AE83" s="49" t="n">
        <f aca="false">IFERROR(AC83/Z83,0)</f>
        <v>135.810773217252</v>
      </c>
    </row>
    <row r="84" customFormat="false" ht="15" hidden="false" customHeight="false" outlineLevel="0" collapsed="false">
      <c r="A84" s="43" t="n">
        <v>81</v>
      </c>
      <c r="B84" s="45" t="n">
        <f aca="false">SUM('Activation Detail'!C84,'Activation Detail'!C584,'Activation Detail'!C1084,'Activation Detail'!C1584,'Activation Detail'!C2084,'Activation Detail'!C2584,'Activation Detail'!C3084,'Activation Detail'!C3584)</f>
        <v>5162588</v>
      </c>
      <c r="C84" s="45" t="n">
        <f aca="false">SUM('Activation Detail'!E84,'Activation Detail'!E584,'Activation Detail'!E1084,'Activation Detail'!E1584,'Activation Detail'!E2084,'Activation Detail'!E2584,'Activation Detail'!E3084,'Activation Detail'!E3584)</f>
        <v>364536</v>
      </c>
      <c r="D84" s="45" t="n">
        <f aca="false">SUM('Activation Detail'!G84,'Activation Detail'!G584,'Activation Detail'!G1084,'Activation Detail'!G1584,'Activation Detail'!G2084,'Activation Detail'!G2584,'Activation Detail'!G3084,'Activation Detail'!G3584)</f>
        <v>17915</v>
      </c>
      <c r="E84" s="48" t="n">
        <f aca="false">SUM('Activation Detail'!H84,'Activation Detail'!H584,'Activation Detail'!H1084,'Activation Detail'!H1584,'Activation Detail'!H2084,'Activation Detail'!H2584,'Activation Detail'!H3084,'Activation Detail'!H3584)</f>
        <v>761.02228855075</v>
      </c>
      <c r="F84" s="50" t="n">
        <f aca="false">SUM('Activation Detail'!I84,'Activation Detail'!I584,'Activation Detail'!I1084,'Activation Detail'!I1584,'Activation Detail'!I2084,'Activation Detail'!I2584,'Activation Detail'!I3084,'Activation Detail'!I3584)</f>
        <v>80779.799676</v>
      </c>
      <c r="G84" s="50" t="n">
        <f aca="false">SUM('Activation Detail'!J84,'Activation Detail'!J584,'Activation Detail'!J1084,'Activation Detail'!J1584,'Activation Detail'!J2084,'Activation Detail'!J2584,'Activation Detail'!J3084,'Activation Detail'!J3584)</f>
        <v>4701749.28817214</v>
      </c>
      <c r="H84" s="50" t="n">
        <f aca="false">SUM('Activation Detail'!K84,'Activation Detail'!K584,'Activation Detail'!K1084,'Activation Detail'!K1584,'Activation Detail'!K2084,'Activation Detail'!K2584,'Activation Detail'!K3084,'Activation Detail'!K3584)</f>
        <v>101199.857884601</v>
      </c>
      <c r="I84" s="51" t="n">
        <f aca="false">IFERROR(H84/F84,0)</f>
        <v>1.25278669036695</v>
      </c>
      <c r="J84" s="49" t="n">
        <f aca="false">IFERROR(F84/E84,0)</f>
        <v>106.146430783036</v>
      </c>
      <c r="K84" s="46" t="n">
        <f aca="false">IFERROR(C84/B84,0)</f>
        <v>0.0706110966050361</v>
      </c>
      <c r="L84" s="47" t="n">
        <f aca="false">IFERROR(D84/B84,0)</f>
        <v>0.00347015876533243</v>
      </c>
      <c r="N84" s="48" t="n">
        <f aca="false">SUMIFS('Activation Detail'!$H$4:$H$4003,'Activation Detail'!$A$4:$A$4003,$A84,'Activation Detail'!$N$4:$N$4003,N$2)</f>
        <v>89.7728629837346</v>
      </c>
      <c r="O84" s="50" t="n">
        <f aca="false">N84*'Model Inputs &amp; Assumptions'!$D$40*'Model Inputs &amp; Assumptions'!$H$40</f>
        <v>763069.335361744</v>
      </c>
      <c r="P84" s="50" t="n">
        <f aca="false">N84*'Model Inputs &amp; Assumptions'!$G$40*'Model Inputs &amp; Assumptions'!$H$40</f>
        <v>17169.0600456392</v>
      </c>
      <c r="Q84" s="50" t="n">
        <f aca="false">SUMIFS('Activation Detail'!$I$4:$I$4003,'Activation Detail'!$A$4:$A$4003,$A84,'Activation Detail'!$N$4:$N$4003,N$2)</f>
        <v>17772.462</v>
      </c>
      <c r="R84" s="51" t="n">
        <f aca="false">IFERROR(P84/Q84,0)</f>
        <v>0.966048488140767</v>
      </c>
      <c r="S84" s="49" t="n">
        <f aca="false">IFERROR(Q84/N84,0)</f>
        <v>197.971429330711</v>
      </c>
      <c r="T84" s="48" t="n">
        <f aca="false">SUMIFS('Activation Detail'!$H$4:$H$4003,'Activation Detail'!$A$4:$A$4003,$A84,'Activation Detail'!$N$4:$N$4003,T$2)</f>
        <v>174.407252638062</v>
      </c>
      <c r="U84" s="50" t="n">
        <f aca="false">T84*'Model Inputs &amp; Assumptions'!$D$41*'Model Inputs &amp; Assumptions'!$H$41</f>
        <v>1255732.21899404</v>
      </c>
      <c r="V84" s="50" t="n">
        <f aca="false">T84*'Model Inputs &amp; Assumptions'!$G$41*'Model Inputs &amp; Assumptions'!$H$41</f>
        <v>27688.8954288186</v>
      </c>
      <c r="W84" s="50" t="n">
        <f aca="false">SUMIFS('Activation Detail'!$I$4:$I$4003,'Activation Detail'!$A$4:$A$4003,$A84,'Activation Detail'!$N$4:$N$4003,T$2)</f>
        <v>19251.085676</v>
      </c>
      <c r="X84" s="51" t="n">
        <f aca="false">IFERROR(V84/W84,0)</f>
        <v>1.4383030596211</v>
      </c>
      <c r="Y84" s="49" t="n">
        <f aca="false">IFERROR(W84/T84,0)</f>
        <v>110.380075282482</v>
      </c>
      <c r="Z84" s="48" t="n">
        <f aca="false">SUMIFS('Activation Detail'!$H$4:$H$4003,'Activation Detail'!$A$4:$A$4003,$A84,'Activation Detail'!$N$4:$N$4003,Z$2)</f>
        <v>496.842172928954</v>
      </c>
      <c r="AA84" s="50" t="n">
        <f aca="false">Z84*'Model Inputs &amp; Assumptions'!$D$42*'Model Inputs &amp; Assumptions'!$H$42</f>
        <v>2682947.73381635</v>
      </c>
      <c r="AB84" s="50" t="n">
        <f aca="false">Z84*'Model Inputs &amp; Assumptions'!$G$42*'Model Inputs &amp; Assumptions'!$H$42</f>
        <v>56341.9024101434</v>
      </c>
      <c r="AC84" s="50" t="n">
        <f aca="false">SUMIFS('Activation Detail'!$I$4:$I$4003,'Activation Detail'!$A$4:$A$4003,$A84,'Activation Detail'!$N$4:$N$4003,Z$2)</f>
        <v>43756.252</v>
      </c>
      <c r="AD84" s="51" t="n">
        <f aca="false">IFERROR(AB84/AC84,0)</f>
        <v>1.28763090609642</v>
      </c>
      <c r="AE84" s="49" t="n">
        <f aca="false">IFERROR(AC84/Z84,0)</f>
        <v>88.0687155481403</v>
      </c>
    </row>
    <row r="85" customFormat="false" ht="15" hidden="false" customHeight="false" outlineLevel="0" collapsed="false">
      <c r="A85" s="43" t="n">
        <v>82</v>
      </c>
      <c r="B85" s="45" t="n">
        <f aca="false">SUM('Activation Detail'!C85,'Activation Detail'!C585,'Activation Detail'!C1085,'Activation Detail'!C1585,'Activation Detail'!C2085,'Activation Detail'!C2585,'Activation Detail'!C3085,'Activation Detail'!C3585)</f>
        <v>3858061</v>
      </c>
      <c r="C85" s="45" t="n">
        <f aca="false">SUM('Activation Detail'!E85,'Activation Detail'!E585,'Activation Detail'!E1085,'Activation Detail'!E1585,'Activation Detail'!E2085,'Activation Detail'!E2585,'Activation Detail'!E3085,'Activation Detail'!E3585)</f>
        <v>393905</v>
      </c>
      <c r="D85" s="45" t="n">
        <f aca="false">SUM('Activation Detail'!G85,'Activation Detail'!G585,'Activation Detail'!G1085,'Activation Detail'!G1585,'Activation Detail'!G2085,'Activation Detail'!G2585,'Activation Detail'!G3085,'Activation Detail'!G3585)</f>
        <v>15220</v>
      </c>
      <c r="E85" s="48" t="n">
        <f aca="false">SUM('Activation Detail'!H85,'Activation Detail'!H585,'Activation Detail'!H1085,'Activation Detail'!H1585,'Activation Detail'!H2085,'Activation Detail'!H2585,'Activation Detail'!H3085,'Activation Detail'!H3585)</f>
        <v>648.348635953791</v>
      </c>
      <c r="F85" s="50" t="n">
        <f aca="false">SUM('Activation Detail'!I85,'Activation Detail'!I585,'Activation Detail'!I1085,'Activation Detail'!I1585,'Activation Detail'!I2085,'Activation Detail'!I2585,'Activation Detail'!I3085,'Activation Detail'!I3585)</f>
        <v>74648.822594</v>
      </c>
      <c r="G85" s="50" t="n">
        <f aca="false">SUM('Activation Detail'!J85,'Activation Detail'!J585,'Activation Detail'!J1085,'Activation Detail'!J1585,'Activation Detail'!J2085,'Activation Detail'!J2585,'Activation Detail'!J3085,'Activation Detail'!J3585)</f>
        <v>4057772.2372107</v>
      </c>
      <c r="H85" s="50" t="n">
        <f aca="false">SUM('Activation Detail'!K85,'Activation Detail'!K585,'Activation Detail'!K1085,'Activation Detail'!K1585,'Activation Detail'!K2085,'Activation Detail'!K2585,'Activation Detail'!K3085,'Activation Detail'!K3585)</f>
        <v>87535.3985571765</v>
      </c>
      <c r="I85" s="51" t="n">
        <f aca="false">IFERROR(H85/F85,0)</f>
        <v>1.17262932642976</v>
      </c>
      <c r="J85" s="49" t="n">
        <f aca="false">IFERROR(F85/E85,0)</f>
        <v>115.136854547683</v>
      </c>
      <c r="K85" s="46" t="n">
        <f aca="false">IFERROR(C85/B85,0)</f>
        <v>0.102099215123867</v>
      </c>
      <c r="L85" s="47" t="n">
        <f aca="false">IFERROR(D85/B85,0)</f>
        <v>0.00394498687293954</v>
      </c>
      <c r="N85" s="48" t="n">
        <f aca="false">SUMIFS('Activation Detail'!$H$4:$H$4003,'Activation Detail'!$A$4:$A$4003,$A85,'Activation Detail'!$N$4:$N$4003,N$2)</f>
        <v>58.9435448186336</v>
      </c>
      <c r="O85" s="50" t="n">
        <f aca="false">N85*'Model Inputs &amp; Assumptions'!$D$40*'Model Inputs &amp; Assumptions'!$H$40</f>
        <v>501020.130958386</v>
      </c>
      <c r="P85" s="50" t="n">
        <f aca="false">N85*'Model Inputs &amp; Assumptions'!$G$40*'Model Inputs &amp; Assumptions'!$H$40</f>
        <v>11272.9529465637</v>
      </c>
      <c r="Q85" s="50" t="n">
        <f aca="false">SUMIFS('Activation Detail'!$I$4:$I$4003,'Activation Detail'!$A$4:$A$4003,$A85,'Activation Detail'!$N$4:$N$4003,N$2)</f>
        <v>17919.934</v>
      </c>
      <c r="R85" s="51" t="n">
        <f aca="false">IFERROR(P85/Q85,0)</f>
        <v>0.629073351864113</v>
      </c>
      <c r="S85" s="49" t="n">
        <f aca="false">IFERROR(Q85/N85,0)</f>
        <v>304.018600427558</v>
      </c>
      <c r="T85" s="48" t="n">
        <f aca="false">SUMIFS('Activation Detail'!$H$4:$H$4003,'Activation Detail'!$A$4:$A$4003,$A85,'Activation Detail'!$N$4:$N$4003,T$2)</f>
        <v>207.758118956924</v>
      </c>
      <c r="U85" s="50" t="n">
        <f aca="false">T85*'Model Inputs &amp; Assumptions'!$D$41*'Model Inputs &amp; Assumptions'!$H$41</f>
        <v>1495858.45648985</v>
      </c>
      <c r="V85" s="50" t="n">
        <f aca="false">T85*'Model Inputs &amp; Assumptions'!$G$41*'Model Inputs &amp; Assumptions'!$H$41</f>
        <v>32983.6789656012</v>
      </c>
      <c r="W85" s="50" t="n">
        <f aca="false">SUMIFS('Activation Detail'!$I$4:$I$4003,'Activation Detail'!$A$4:$A$4003,$A85,'Activation Detail'!$N$4:$N$4003,T$2)</f>
        <v>20845.452594</v>
      </c>
      <c r="X85" s="51" t="n">
        <f aca="false">IFERROR(V85/W85,0)</f>
        <v>1.58229612990485</v>
      </c>
      <c r="Y85" s="49" t="n">
        <f aca="false">IFERROR(W85/T85,0)</f>
        <v>100.33520085115</v>
      </c>
      <c r="Z85" s="48" t="n">
        <f aca="false">SUMIFS('Activation Detail'!$H$4:$H$4003,'Activation Detail'!$A$4:$A$4003,$A85,'Activation Detail'!$N$4:$N$4003,Z$2)</f>
        <v>381.646972178233</v>
      </c>
      <c r="AA85" s="50" t="n">
        <f aca="false">Z85*'Model Inputs &amp; Assumptions'!$D$42*'Model Inputs &amp; Assumptions'!$H$42</f>
        <v>2060893.64976246</v>
      </c>
      <c r="AB85" s="50" t="n">
        <f aca="false">Z85*'Model Inputs &amp; Assumptions'!$G$42*'Model Inputs &amp; Assumptions'!$H$42</f>
        <v>43278.7666450116</v>
      </c>
      <c r="AC85" s="50" t="n">
        <f aca="false">SUMIFS('Activation Detail'!$I$4:$I$4003,'Activation Detail'!$A$4:$A$4003,$A85,'Activation Detail'!$N$4:$N$4003,Z$2)</f>
        <v>35883.436</v>
      </c>
      <c r="AD85" s="51" t="n">
        <f aca="false">IFERROR(AB85/AC85,0)</f>
        <v>1.20609315799668</v>
      </c>
      <c r="AE85" s="49" t="n">
        <f aca="false">IFERROR(AC85/Z85,0)</f>
        <v>94.022587930403</v>
      </c>
    </row>
    <row r="86" customFormat="false" ht="15" hidden="false" customHeight="false" outlineLevel="0" collapsed="false">
      <c r="A86" s="43" t="n">
        <v>83</v>
      </c>
      <c r="B86" s="45" t="n">
        <f aca="false">SUM('Activation Detail'!C86,'Activation Detail'!C586,'Activation Detail'!C1086,'Activation Detail'!C1586,'Activation Detail'!C2086,'Activation Detail'!C2586,'Activation Detail'!C3086,'Activation Detail'!C3586)</f>
        <v>3832991</v>
      </c>
      <c r="C86" s="45" t="n">
        <f aca="false">SUM('Activation Detail'!E86,'Activation Detail'!E586,'Activation Detail'!E1086,'Activation Detail'!E1586,'Activation Detail'!E2086,'Activation Detail'!E2586,'Activation Detail'!E3086,'Activation Detail'!E3586)</f>
        <v>378077</v>
      </c>
      <c r="D86" s="45" t="n">
        <f aca="false">SUM('Activation Detail'!G86,'Activation Detail'!G586,'Activation Detail'!G1086,'Activation Detail'!G1586,'Activation Detail'!G2086,'Activation Detail'!G2586,'Activation Detail'!G3086,'Activation Detail'!G3586)</f>
        <v>14253</v>
      </c>
      <c r="E86" s="48" t="n">
        <f aca="false">SUM('Activation Detail'!H86,'Activation Detail'!H586,'Activation Detail'!H1086,'Activation Detail'!H1586,'Activation Detail'!H2086,'Activation Detail'!H2586,'Activation Detail'!H3086,'Activation Detail'!H3586)</f>
        <v>653.555056488521</v>
      </c>
      <c r="F86" s="50" t="n">
        <f aca="false">SUM('Activation Detail'!I86,'Activation Detail'!I586,'Activation Detail'!I1086,'Activation Detail'!I1586,'Activation Detail'!I2086,'Activation Detail'!I2586,'Activation Detail'!I3086,'Activation Detail'!I3586)</f>
        <v>75825.957192</v>
      </c>
      <c r="G86" s="50" t="n">
        <f aca="false">SUM('Activation Detail'!J86,'Activation Detail'!J586,'Activation Detail'!J1086,'Activation Detail'!J1586,'Activation Detail'!J2086,'Activation Detail'!J2586,'Activation Detail'!J3086,'Activation Detail'!J3586)</f>
        <v>4189178.52385724</v>
      </c>
      <c r="H86" s="50" t="n">
        <f aca="false">SUM('Activation Detail'!K86,'Activation Detail'!K586,'Activation Detail'!K1086,'Activation Detail'!K1586,'Activation Detail'!K2086,'Activation Detail'!K2586,'Activation Detail'!K3086,'Activation Detail'!K3586)</f>
        <v>90716.8085075414</v>
      </c>
      <c r="I86" s="51" t="n">
        <f aca="false">IFERROR(H86/F86,0)</f>
        <v>1.196381976133</v>
      </c>
      <c r="J86" s="49" t="n">
        <f aca="false">IFERROR(F86/E86,0)</f>
        <v>116.020764339893</v>
      </c>
      <c r="K86" s="46" t="n">
        <f aca="false">IFERROR(C86/B86,0)</f>
        <v>0.0986375913744645</v>
      </c>
      <c r="L86" s="47" t="n">
        <f aca="false">IFERROR(D86/B86,0)</f>
        <v>0.00371850599179596</v>
      </c>
      <c r="N86" s="48" t="n">
        <f aca="false">SUMIFS('Activation Detail'!$H$4:$H$4003,'Activation Detail'!$A$4:$A$4003,$A86,'Activation Detail'!$N$4:$N$4003,N$2)</f>
        <v>103.191157412526</v>
      </c>
      <c r="O86" s="50" t="n">
        <f aca="false">N86*'Model Inputs &amp; Assumptions'!$D$40*'Model Inputs &amp; Assumptions'!$H$40</f>
        <v>877124.838006473</v>
      </c>
      <c r="P86" s="50" t="n">
        <f aca="false">N86*'Model Inputs &amp; Assumptions'!$G$40*'Model Inputs &amp; Assumptions'!$H$40</f>
        <v>19735.3088551456</v>
      </c>
      <c r="Q86" s="50" t="n">
        <f aca="false">SUMIFS('Activation Detail'!$I$4:$I$4003,'Activation Detail'!$A$4:$A$4003,$A86,'Activation Detail'!$N$4:$N$4003,N$2)</f>
        <v>18372.2105</v>
      </c>
      <c r="R86" s="51" t="n">
        <f aca="false">IFERROR(P86/Q86,0)</f>
        <v>1.07419348668717</v>
      </c>
      <c r="S86" s="49" t="n">
        <f aca="false">IFERROR(Q86/N86,0)</f>
        <v>178.0405507669</v>
      </c>
      <c r="T86" s="48" t="n">
        <f aca="false">SUMIFS('Activation Detail'!$H$4:$H$4003,'Activation Detail'!$A$4:$A$4003,$A86,'Activation Detail'!$N$4:$N$4003,T$2)</f>
        <v>188.938128244664</v>
      </c>
      <c r="U86" s="50" t="n">
        <f aca="false">T86*'Model Inputs &amp; Assumptions'!$D$41*'Model Inputs &amp; Assumptions'!$H$41</f>
        <v>1360354.52336158</v>
      </c>
      <c r="V86" s="50" t="n">
        <f aca="false">T86*'Model Inputs &amp; Assumptions'!$G$41*'Model Inputs &amp; Assumptions'!$H$41</f>
        <v>29995.8172401228</v>
      </c>
      <c r="W86" s="50" t="n">
        <f aca="false">SUMIFS('Activation Detail'!$I$4:$I$4003,'Activation Detail'!$A$4:$A$4003,$A86,'Activation Detail'!$N$4:$N$4003,T$2)</f>
        <v>18438.034692</v>
      </c>
      <c r="X86" s="51" t="n">
        <f aca="false">IFERROR(V86/W86,0)</f>
        <v>1.62684460362457</v>
      </c>
      <c r="Y86" s="49" t="n">
        <f aca="false">IFERROR(W86/T86,0)</f>
        <v>97.5876857852842</v>
      </c>
      <c r="Z86" s="48" t="n">
        <f aca="false">SUMIFS('Activation Detail'!$H$4:$H$4003,'Activation Detail'!$A$4:$A$4003,$A86,'Activation Detail'!$N$4:$N$4003,Z$2)</f>
        <v>361.425770831331</v>
      </c>
      <c r="AA86" s="50" t="n">
        <f aca="false">Z86*'Model Inputs &amp; Assumptions'!$D$42*'Model Inputs &amp; Assumptions'!$H$42</f>
        <v>1951699.16248919</v>
      </c>
      <c r="AB86" s="50" t="n">
        <f aca="false">Z86*'Model Inputs &amp; Assumptions'!$G$42*'Model Inputs &amp; Assumptions'!$H$42</f>
        <v>40985.682412273</v>
      </c>
      <c r="AC86" s="50" t="n">
        <f aca="false">SUMIFS('Activation Detail'!$I$4:$I$4003,'Activation Detail'!$A$4:$A$4003,$A86,'Activation Detail'!$N$4:$N$4003,Z$2)</f>
        <v>39015.712</v>
      </c>
      <c r="AD86" s="51" t="n">
        <f aca="false">IFERROR(AB86/AC86,0)</f>
        <v>1.05049172016322</v>
      </c>
      <c r="AE86" s="49" t="n">
        <f aca="false">IFERROR(AC86/Z86,0)</f>
        <v>107.949446743264</v>
      </c>
    </row>
    <row r="87" customFormat="false" ht="15" hidden="false" customHeight="false" outlineLevel="0" collapsed="false">
      <c r="A87" s="43" t="n">
        <v>84</v>
      </c>
      <c r="B87" s="45" t="n">
        <f aca="false">SUM('Activation Detail'!C87,'Activation Detail'!C587,'Activation Detail'!C1087,'Activation Detail'!C1587,'Activation Detail'!C2087,'Activation Detail'!C2587,'Activation Detail'!C3087,'Activation Detail'!C3587)</f>
        <v>4685005</v>
      </c>
      <c r="C87" s="45" t="n">
        <f aca="false">SUM('Activation Detail'!E87,'Activation Detail'!E587,'Activation Detail'!E1087,'Activation Detail'!E1587,'Activation Detail'!E2087,'Activation Detail'!E2587,'Activation Detail'!E3087,'Activation Detail'!E3587)</f>
        <v>285749</v>
      </c>
      <c r="D87" s="45" t="n">
        <f aca="false">SUM('Activation Detail'!G87,'Activation Detail'!G587,'Activation Detail'!G1087,'Activation Detail'!G1587,'Activation Detail'!G2087,'Activation Detail'!G2587,'Activation Detail'!G3087,'Activation Detail'!G3587)</f>
        <v>16048</v>
      </c>
      <c r="E87" s="48" t="n">
        <f aca="false">SUM('Activation Detail'!H87,'Activation Detail'!H587,'Activation Detail'!H1087,'Activation Detail'!H1587,'Activation Detail'!H2087,'Activation Detail'!H2587,'Activation Detail'!H3087,'Activation Detail'!H3587)</f>
        <v>594.615792078733</v>
      </c>
      <c r="F87" s="50" t="n">
        <f aca="false">SUM('Activation Detail'!I87,'Activation Detail'!I587,'Activation Detail'!I1087,'Activation Detail'!I1587,'Activation Detail'!I2087,'Activation Detail'!I2587,'Activation Detail'!I3087,'Activation Detail'!I3587)</f>
        <v>71360.330068</v>
      </c>
      <c r="G87" s="50" t="n">
        <f aca="false">SUM('Activation Detail'!J87,'Activation Detail'!J587,'Activation Detail'!J1087,'Activation Detail'!J1587,'Activation Detail'!J2087,'Activation Detail'!J2587,'Activation Detail'!J3087,'Activation Detail'!J3587)</f>
        <v>3828114.25422269</v>
      </c>
      <c r="H87" s="50" t="n">
        <f aca="false">SUM('Activation Detail'!K87,'Activation Detail'!K587,'Activation Detail'!K1087,'Activation Detail'!K1587,'Activation Detail'!K2087,'Activation Detail'!K2587,'Activation Detail'!K3087,'Activation Detail'!K3587)</f>
        <v>82957.2195012957</v>
      </c>
      <c r="I87" s="51" t="n">
        <f aca="false">IFERROR(H87/F87,0)</f>
        <v>1.16251171235118</v>
      </c>
      <c r="J87" s="49" t="n">
        <f aca="false">IFERROR(F87/E87,0)</f>
        <v>120.010822145388</v>
      </c>
      <c r="K87" s="46" t="n">
        <f aca="false">IFERROR(C87/B87,0)</f>
        <v>0.0609922508086971</v>
      </c>
      <c r="L87" s="47" t="n">
        <f aca="false">IFERROR(D87/B87,0)</f>
        <v>0.00342539655774113</v>
      </c>
      <c r="N87" s="48" t="n">
        <f aca="false">SUMIFS('Activation Detail'!$H$4:$H$4003,'Activation Detail'!$A$4:$A$4003,$A87,'Activation Detail'!$N$4:$N$4003,N$2)</f>
        <v>93.9760769275062</v>
      </c>
      <c r="O87" s="50" t="n">
        <f aca="false">N87*'Model Inputs &amp; Assumptions'!$D$40*'Model Inputs &amp; Assumptions'!$H$40</f>
        <v>798796.653883803</v>
      </c>
      <c r="P87" s="50" t="n">
        <f aca="false">N87*'Model Inputs &amp; Assumptions'!$G$40*'Model Inputs &amp; Assumptions'!$H$40</f>
        <v>17972.9247123856</v>
      </c>
      <c r="Q87" s="50" t="n">
        <f aca="false">SUMIFS('Activation Detail'!$I$4:$I$4003,'Activation Detail'!$A$4:$A$4003,$A87,'Activation Detail'!$N$4:$N$4003,N$2)</f>
        <v>18469.34</v>
      </c>
      <c r="R87" s="51" t="n">
        <f aca="false">IFERROR(P87/Q87,0)</f>
        <v>0.973122196699263</v>
      </c>
      <c r="S87" s="49" t="n">
        <f aca="false">IFERROR(Q87/N87,0)</f>
        <v>196.532358062227</v>
      </c>
      <c r="T87" s="48" t="n">
        <f aca="false">SUMIFS('Activation Detail'!$H$4:$H$4003,'Activation Detail'!$A$4:$A$4003,$A87,'Activation Detail'!$N$4:$N$4003,T$2)</f>
        <v>181.035076956813</v>
      </c>
      <c r="U87" s="50" t="n">
        <f aca="false">T87*'Model Inputs &amp; Assumptions'!$D$41*'Model Inputs &amp; Assumptions'!$H$41</f>
        <v>1303452.55408905</v>
      </c>
      <c r="V87" s="50" t="n">
        <f aca="false">T87*'Model Inputs &amp; Assumptions'!$G$41*'Model Inputs &amp; Assumptions'!$H$41</f>
        <v>28741.1288176636</v>
      </c>
      <c r="W87" s="50" t="n">
        <f aca="false">SUMIFS('Activation Detail'!$I$4:$I$4003,'Activation Detail'!$A$4:$A$4003,$A87,'Activation Detail'!$N$4:$N$4003,T$2)</f>
        <v>15861.218068</v>
      </c>
      <c r="X87" s="51" t="n">
        <f aca="false">IFERROR(V87/W87,0)</f>
        <v>1.81203793393704</v>
      </c>
      <c r="Y87" s="49" t="n">
        <f aca="false">IFERROR(W87/T87,0)</f>
        <v>87.6140598530737</v>
      </c>
      <c r="Z87" s="48" t="n">
        <f aca="false">SUMIFS('Activation Detail'!$H$4:$H$4003,'Activation Detail'!$A$4:$A$4003,$A87,'Activation Detail'!$N$4:$N$4003,Z$2)</f>
        <v>319.604638194414</v>
      </c>
      <c r="AA87" s="50" t="n">
        <f aca="false">Z87*'Model Inputs &amp; Assumptions'!$D$42*'Model Inputs &amp; Assumptions'!$H$42</f>
        <v>1725865.04624984</v>
      </c>
      <c r="AB87" s="50" t="n">
        <f aca="false">Z87*'Model Inputs &amp; Assumptions'!$G$42*'Model Inputs &amp; Assumptions'!$H$42</f>
        <v>36243.1659712466</v>
      </c>
      <c r="AC87" s="50" t="n">
        <f aca="false">SUMIFS('Activation Detail'!$I$4:$I$4003,'Activation Detail'!$A$4:$A$4003,$A87,'Activation Detail'!$N$4:$N$4003,Z$2)</f>
        <v>37029.772</v>
      </c>
      <c r="AD87" s="51" t="n">
        <f aca="false">IFERROR(AB87/AC87,0)</f>
        <v>0.978757470374016</v>
      </c>
      <c r="AE87" s="49" t="n">
        <f aca="false">IFERROR(AC87/Z87,0)</f>
        <v>115.861184647373</v>
      </c>
    </row>
    <row r="88" customFormat="false" ht="15" hidden="false" customHeight="false" outlineLevel="0" collapsed="false">
      <c r="A88" s="43" t="n">
        <v>85</v>
      </c>
      <c r="B88" s="45" t="n">
        <f aca="false">SUM('Activation Detail'!C88,'Activation Detail'!C588,'Activation Detail'!C1088,'Activation Detail'!C1588,'Activation Detail'!C2088,'Activation Detail'!C2588,'Activation Detail'!C3088,'Activation Detail'!C3588)</f>
        <v>4351691</v>
      </c>
      <c r="C88" s="45" t="n">
        <f aca="false">SUM('Activation Detail'!E88,'Activation Detail'!E588,'Activation Detail'!E1088,'Activation Detail'!E1588,'Activation Detail'!E2088,'Activation Detail'!E2588,'Activation Detail'!E3088,'Activation Detail'!E3588)</f>
        <v>437461</v>
      </c>
      <c r="D88" s="45" t="n">
        <f aca="false">SUM('Activation Detail'!G88,'Activation Detail'!G588,'Activation Detail'!G1088,'Activation Detail'!G1588,'Activation Detail'!G2088,'Activation Detail'!G2588,'Activation Detail'!G3088,'Activation Detail'!G3588)</f>
        <v>17356</v>
      </c>
      <c r="E88" s="48" t="n">
        <f aca="false">SUM('Activation Detail'!H88,'Activation Detail'!H588,'Activation Detail'!H1088,'Activation Detail'!H1588,'Activation Detail'!H2088,'Activation Detail'!H2588,'Activation Detail'!H3088,'Activation Detail'!H3588)</f>
        <v>723.694135928577</v>
      </c>
      <c r="F88" s="50" t="n">
        <f aca="false">SUM('Activation Detail'!I88,'Activation Detail'!I588,'Activation Detail'!I1088,'Activation Detail'!I1588,'Activation Detail'!I2088,'Activation Detail'!I2588,'Activation Detail'!I3088,'Activation Detail'!I3588)</f>
        <v>82185.183988</v>
      </c>
      <c r="G88" s="50" t="n">
        <f aca="false">SUM('Activation Detail'!J88,'Activation Detail'!J588,'Activation Detail'!J1088,'Activation Detail'!J1588,'Activation Detail'!J2088,'Activation Detail'!J2588,'Activation Detail'!J3088,'Activation Detail'!J3588)</f>
        <v>4597886.04153919</v>
      </c>
      <c r="H88" s="50" t="n">
        <f aca="false">SUM('Activation Detail'!K88,'Activation Detail'!K588,'Activation Detail'!K1088,'Activation Detail'!K1588,'Activation Detail'!K2088,'Activation Detail'!K2588,'Activation Detail'!K3088,'Activation Detail'!K3588)</f>
        <v>99431.2973330395</v>
      </c>
      <c r="I88" s="51" t="n">
        <f aca="false">IFERROR(H88/F88,0)</f>
        <v>1.20984455479905</v>
      </c>
      <c r="J88" s="49" t="n">
        <f aca="false">IFERROR(F88/E88,0)</f>
        <v>113.563423976826</v>
      </c>
      <c r="K88" s="46" t="n">
        <f aca="false">IFERROR(C88/B88,0)</f>
        <v>0.100526668828278</v>
      </c>
      <c r="L88" s="47" t="n">
        <f aca="false">IFERROR(D88/B88,0)</f>
        <v>0.00398833464967986</v>
      </c>
      <c r="N88" s="48" t="n">
        <f aca="false">SUMIFS('Activation Detail'!$H$4:$H$4003,'Activation Detail'!$A$4:$A$4003,$A88,'Activation Detail'!$N$4:$N$4003,N$2)</f>
        <v>81.6589292144171</v>
      </c>
      <c r="O88" s="50" t="n">
        <f aca="false">N88*'Model Inputs &amp; Assumptions'!$D$40*'Model Inputs &amp; Assumptions'!$H$40</f>
        <v>694100.898322546</v>
      </c>
      <c r="P88" s="50" t="n">
        <f aca="false">N88*'Model Inputs &amp; Assumptions'!$G$40*'Model Inputs &amp; Assumptions'!$H$40</f>
        <v>15617.2702122573</v>
      </c>
      <c r="Q88" s="50" t="n">
        <f aca="false">SUMIFS('Activation Detail'!$I$4:$I$4003,'Activation Detail'!$A$4:$A$4003,$A88,'Activation Detail'!$N$4:$N$4003,N$2)</f>
        <v>17782.1015</v>
      </c>
      <c r="R88" s="51" t="n">
        <f aca="false">IFERROR(P88/Q88,0)</f>
        <v>0.878257848896953</v>
      </c>
      <c r="S88" s="49" t="n">
        <f aca="false">IFERROR(Q88/N88,0)</f>
        <v>217.760649950582</v>
      </c>
      <c r="T88" s="48" t="n">
        <f aca="false">SUMIFS('Activation Detail'!$H$4:$H$4003,'Activation Detail'!$A$4:$A$4003,$A88,'Activation Detail'!$N$4:$N$4003,T$2)</f>
        <v>242.663903866767</v>
      </c>
      <c r="U88" s="50" t="n">
        <f aca="false">T88*'Model Inputs &amp; Assumptions'!$D$41*'Model Inputs &amp; Assumptions'!$H$41</f>
        <v>1747180.10784072</v>
      </c>
      <c r="V88" s="50" t="n">
        <f aca="false">T88*'Model Inputs &amp; Assumptions'!$G$41*'Model Inputs &amp; Assumptions'!$H$41</f>
        <v>38525.3213778879</v>
      </c>
      <c r="W88" s="50" t="n">
        <f aca="false">SUMIFS('Activation Detail'!$I$4:$I$4003,'Activation Detail'!$A$4:$A$4003,$A88,'Activation Detail'!$N$4:$N$4003,T$2)</f>
        <v>21707.726488</v>
      </c>
      <c r="X88" s="51" t="n">
        <f aca="false">IFERROR(V88/W88,0)</f>
        <v>1.77472852346765</v>
      </c>
      <c r="Y88" s="49" t="n">
        <f aca="false">IFERROR(W88/T88,0)</f>
        <v>89.455935316686</v>
      </c>
      <c r="Z88" s="48" t="n">
        <f aca="false">SUMIFS('Activation Detail'!$H$4:$H$4003,'Activation Detail'!$A$4:$A$4003,$A88,'Activation Detail'!$N$4:$N$4003,Z$2)</f>
        <v>399.371302847393</v>
      </c>
      <c r="AA88" s="50" t="n">
        <f aca="false">Z88*'Model Inputs &amp; Assumptions'!$D$42*'Model Inputs &amp; Assumptions'!$H$42</f>
        <v>2156605.03537592</v>
      </c>
      <c r="AB88" s="50" t="n">
        <f aca="false">Z88*'Model Inputs &amp; Assumptions'!$G$42*'Model Inputs &amp; Assumptions'!$H$42</f>
        <v>45288.7057428943</v>
      </c>
      <c r="AC88" s="50" t="n">
        <f aca="false">SUMIFS('Activation Detail'!$I$4:$I$4003,'Activation Detail'!$A$4:$A$4003,$A88,'Activation Detail'!$N$4:$N$4003,Z$2)</f>
        <v>42695.356</v>
      </c>
      <c r="AD88" s="51" t="n">
        <f aca="false">IFERROR(AB88/AC88,0)</f>
        <v>1.06074079211084</v>
      </c>
      <c r="AE88" s="49" t="n">
        <f aca="false">IFERROR(AC88/Z88,0)</f>
        <v>106.906419403686</v>
      </c>
    </row>
    <row r="89" customFormat="false" ht="15" hidden="false" customHeight="false" outlineLevel="0" collapsed="false">
      <c r="A89" s="43" t="n">
        <v>86</v>
      </c>
      <c r="B89" s="45" t="n">
        <f aca="false">SUM('Activation Detail'!C89,'Activation Detail'!C589,'Activation Detail'!C1089,'Activation Detail'!C1589,'Activation Detail'!C2089,'Activation Detail'!C2589,'Activation Detail'!C3089,'Activation Detail'!C3589)</f>
        <v>4055248</v>
      </c>
      <c r="C89" s="45" t="n">
        <f aca="false">SUM('Activation Detail'!E89,'Activation Detail'!E589,'Activation Detail'!E1089,'Activation Detail'!E1589,'Activation Detail'!E2089,'Activation Detail'!E2589,'Activation Detail'!E3089,'Activation Detail'!E3589)</f>
        <v>366909</v>
      </c>
      <c r="D89" s="45" t="n">
        <f aca="false">SUM('Activation Detail'!G89,'Activation Detail'!G589,'Activation Detail'!G1089,'Activation Detail'!G1589,'Activation Detail'!G2089,'Activation Detail'!G2589,'Activation Detail'!G3089,'Activation Detail'!G3589)</f>
        <v>16783</v>
      </c>
      <c r="E89" s="48" t="n">
        <f aca="false">SUM('Activation Detail'!H89,'Activation Detail'!H589,'Activation Detail'!H1089,'Activation Detail'!H1589,'Activation Detail'!H2089,'Activation Detail'!H2589,'Activation Detail'!H3089,'Activation Detail'!H3589)</f>
        <v>701.696560080962</v>
      </c>
      <c r="F89" s="50" t="n">
        <f aca="false">SUM('Activation Detail'!I89,'Activation Detail'!I589,'Activation Detail'!I1089,'Activation Detail'!I1589,'Activation Detail'!I2089,'Activation Detail'!I2589,'Activation Detail'!I3089,'Activation Detail'!I3589)</f>
        <v>77481.991898</v>
      </c>
      <c r="G89" s="50" t="n">
        <f aca="false">SUM('Activation Detail'!J89,'Activation Detail'!J589,'Activation Detail'!J1089,'Activation Detail'!J1589,'Activation Detail'!J2089,'Activation Detail'!J2589,'Activation Detail'!J3089,'Activation Detail'!J3589)</f>
        <v>4385120.91120037</v>
      </c>
      <c r="H89" s="50" t="n">
        <f aca="false">SUM('Activation Detail'!K89,'Activation Detail'!K589,'Activation Detail'!K1089,'Activation Detail'!K1589,'Activation Detail'!K2089,'Activation Detail'!K2589,'Activation Detail'!K3089,'Activation Detail'!K3589)</f>
        <v>94563.9731396961</v>
      </c>
      <c r="I89" s="51" t="n">
        <f aca="false">IFERROR(H89/F89,0)</f>
        <v>1.22046388874699</v>
      </c>
      <c r="J89" s="49" t="n">
        <f aca="false">IFERROR(F89/E89,0)</f>
        <v>110.42093734799</v>
      </c>
      <c r="K89" s="46" t="n">
        <f aca="false">IFERROR(C89/B89,0)</f>
        <v>0.0904775737513464</v>
      </c>
      <c r="L89" s="47" t="n">
        <f aca="false">IFERROR(D89/B89,0)</f>
        <v>0.00413858782496163</v>
      </c>
      <c r="N89" s="48" t="n">
        <f aca="false">SUMIFS('Activation Detail'!$H$4:$H$4003,'Activation Detail'!$A$4:$A$4003,$A89,'Activation Detail'!$N$4:$N$4003,N$2)</f>
        <v>98.5031108034503</v>
      </c>
      <c r="O89" s="50" t="n">
        <f aca="false">N89*'Model Inputs &amp; Assumptions'!$D$40*'Model Inputs &amp; Assumptions'!$H$40</f>
        <v>837276.441829328</v>
      </c>
      <c r="P89" s="50" t="n">
        <f aca="false">N89*'Model Inputs &amp; Assumptions'!$G$40*'Model Inputs &amp; Assumptions'!$H$40</f>
        <v>18838.7199411599</v>
      </c>
      <c r="Q89" s="50" t="n">
        <f aca="false">SUMIFS('Activation Detail'!$I$4:$I$4003,'Activation Detail'!$A$4:$A$4003,$A89,'Activation Detail'!$N$4:$N$4003,N$2)</f>
        <v>18088.648</v>
      </c>
      <c r="R89" s="51" t="n">
        <f aca="false">IFERROR(P89/Q89,0)</f>
        <v>1.04146644575979</v>
      </c>
      <c r="S89" s="49" t="n">
        <f aca="false">IFERROR(Q89/N89,0)</f>
        <v>183.635296920657</v>
      </c>
      <c r="T89" s="48" t="n">
        <f aca="false">SUMIFS('Activation Detail'!$H$4:$H$4003,'Activation Detail'!$A$4:$A$4003,$A89,'Activation Detail'!$N$4:$N$4003,T$2)</f>
        <v>161.444357373597</v>
      </c>
      <c r="U89" s="50" t="n">
        <f aca="false">T89*'Model Inputs &amp; Assumptions'!$D$41*'Model Inputs &amp; Assumptions'!$H$41</f>
        <v>1162399.37308989</v>
      </c>
      <c r="V89" s="50" t="n">
        <f aca="false">T89*'Model Inputs &amp; Assumptions'!$G$41*'Model Inputs &amp; Assumptions'!$H$41</f>
        <v>25630.9061766322</v>
      </c>
      <c r="W89" s="50" t="n">
        <f aca="false">SUMIFS('Activation Detail'!$I$4:$I$4003,'Activation Detail'!$A$4:$A$4003,$A89,'Activation Detail'!$N$4:$N$4003,T$2)</f>
        <v>20061.635898</v>
      </c>
      <c r="X89" s="51" t="n">
        <f aca="false">IFERROR(V89/W89,0)</f>
        <v>1.2776079830652</v>
      </c>
      <c r="Y89" s="49" t="n">
        <f aca="false">IFERROR(W89/T89,0)</f>
        <v>124.263469001742</v>
      </c>
      <c r="Z89" s="48" t="n">
        <f aca="false">SUMIFS('Activation Detail'!$H$4:$H$4003,'Activation Detail'!$A$4:$A$4003,$A89,'Activation Detail'!$N$4:$N$4003,Z$2)</f>
        <v>441.749091903916</v>
      </c>
      <c r="AA89" s="50" t="n">
        <f aca="false">Z89*'Model Inputs &amp; Assumptions'!$D$42*'Model Inputs &amp; Assumptions'!$H$42</f>
        <v>2385445.09628114</v>
      </c>
      <c r="AB89" s="50" t="n">
        <f aca="false">Z89*'Model Inputs &amp; Assumptions'!$G$42*'Model Inputs &amp; Assumptions'!$H$42</f>
        <v>50094.347021904</v>
      </c>
      <c r="AC89" s="50" t="n">
        <f aca="false">SUMIFS('Activation Detail'!$I$4:$I$4003,'Activation Detail'!$A$4:$A$4003,$A89,'Activation Detail'!$N$4:$N$4003,Z$2)</f>
        <v>39331.708</v>
      </c>
      <c r="AD89" s="51" t="n">
        <f aca="false">IFERROR(AB89/AC89,0)</f>
        <v>1.27363772307839</v>
      </c>
      <c r="AE89" s="49" t="n">
        <f aca="false">IFERROR(AC89/Z89,0)</f>
        <v>89.0363075348551</v>
      </c>
    </row>
    <row r="90" customFormat="false" ht="15" hidden="false" customHeight="false" outlineLevel="0" collapsed="false">
      <c r="A90" s="43" t="n">
        <v>87</v>
      </c>
      <c r="B90" s="45" t="n">
        <f aca="false">SUM('Activation Detail'!C90,'Activation Detail'!C590,'Activation Detail'!C1090,'Activation Detail'!C1590,'Activation Detail'!C2090,'Activation Detail'!C2590,'Activation Detail'!C3090,'Activation Detail'!C3590)</f>
        <v>3879403</v>
      </c>
      <c r="C90" s="45" t="n">
        <f aca="false">SUM('Activation Detail'!E90,'Activation Detail'!E590,'Activation Detail'!E1090,'Activation Detail'!E1590,'Activation Detail'!E2090,'Activation Detail'!E2590,'Activation Detail'!E3090,'Activation Detail'!E3590)</f>
        <v>317738</v>
      </c>
      <c r="D90" s="45" t="n">
        <f aca="false">SUM('Activation Detail'!G90,'Activation Detail'!G590,'Activation Detail'!G1090,'Activation Detail'!G1590,'Activation Detail'!G2090,'Activation Detail'!G2590,'Activation Detail'!G3090,'Activation Detail'!G3590)</f>
        <v>15732</v>
      </c>
      <c r="E90" s="48" t="n">
        <f aca="false">SUM('Activation Detail'!H90,'Activation Detail'!H590,'Activation Detail'!H1090,'Activation Detail'!H1590,'Activation Detail'!H2090,'Activation Detail'!H2590,'Activation Detail'!H3090,'Activation Detail'!H3590)</f>
        <v>683.346007453209</v>
      </c>
      <c r="F90" s="50" t="n">
        <f aca="false">SUM('Activation Detail'!I90,'Activation Detail'!I590,'Activation Detail'!I1090,'Activation Detail'!I1590,'Activation Detail'!I2090,'Activation Detail'!I2590,'Activation Detail'!I3090,'Activation Detail'!I3590)</f>
        <v>78031.07608</v>
      </c>
      <c r="G90" s="50" t="n">
        <f aca="false">SUM('Activation Detail'!J90,'Activation Detail'!J590,'Activation Detail'!J1090,'Activation Detail'!J1590,'Activation Detail'!J2090,'Activation Detail'!J2590,'Activation Detail'!J3090,'Activation Detail'!J3590)</f>
        <v>4271891.98814913</v>
      </c>
      <c r="H90" s="50" t="n">
        <f aca="false">SUM('Activation Detail'!K90,'Activation Detail'!K590,'Activation Detail'!K1090,'Activation Detail'!K1590,'Activation Detail'!K2090,'Activation Detail'!K2590,'Activation Detail'!K3090,'Activation Detail'!K3590)</f>
        <v>92125.9231806019</v>
      </c>
      <c r="I90" s="51" t="n">
        <f aca="false">IFERROR(H90/F90,0)</f>
        <v>1.18063120244749</v>
      </c>
      <c r="J90" s="49" t="n">
        <f aca="false">IFERROR(F90/E90,0)</f>
        <v>114.189700721041</v>
      </c>
      <c r="K90" s="46" t="n">
        <f aca="false">IFERROR(C90/B90,0)</f>
        <v>0.0819038393278554</v>
      </c>
      <c r="L90" s="47" t="n">
        <f aca="false">IFERROR(D90/B90,0)</f>
        <v>0.00405526314229277</v>
      </c>
      <c r="N90" s="48" t="n">
        <f aca="false">SUMIFS('Activation Detail'!$H$4:$H$4003,'Activation Detail'!$A$4:$A$4003,$A90,'Activation Detail'!$N$4:$N$4003,N$2)</f>
        <v>101.731376731211</v>
      </c>
      <c r="O90" s="50" t="n">
        <f aca="false">N90*'Model Inputs &amp; Assumptions'!$D$40*'Model Inputs &amp; Assumptions'!$H$40</f>
        <v>864716.702215297</v>
      </c>
      <c r="P90" s="50" t="n">
        <f aca="false">N90*'Model Inputs &amp; Assumptions'!$G$40*'Model Inputs &amp; Assumptions'!$H$40</f>
        <v>19456.1257998442</v>
      </c>
      <c r="Q90" s="50" t="n">
        <f aca="false">SUMIFS('Activation Detail'!$I$4:$I$4003,'Activation Detail'!$A$4:$A$4003,$A90,'Activation Detail'!$N$4:$N$4003,N$2)</f>
        <v>18510.1795</v>
      </c>
      <c r="R90" s="51" t="n">
        <f aca="false">IFERROR(P90/Q90,0)</f>
        <v>1.05110411273128</v>
      </c>
      <c r="S90" s="49" t="n">
        <f aca="false">IFERROR(Q90/N90,0)</f>
        <v>181.951528572217</v>
      </c>
      <c r="T90" s="48" t="n">
        <f aca="false">SUMIFS('Activation Detail'!$H$4:$H$4003,'Activation Detail'!$A$4:$A$4003,$A90,'Activation Detail'!$N$4:$N$4003,T$2)</f>
        <v>148.031266686137</v>
      </c>
      <c r="U90" s="50" t="n">
        <f aca="false">T90*'Model Inputs &amp; Assumptions'!$D$41*'Model Inputs &amp; Assumptions'!$H$41</f>
        <v>1065825.12014019</v>
      </c>
      <c r="V90" s="50" t="n">
        <f aca="false">T90*'Model Inputs &amp; Assumptions'!$G$41*'Model Inputs &amp; Assumptions'!$H$41</f>
        <v>23501.4438990911</v>
      </c>
      <c r="W90" s="50" t="n">
        <f aca="false">SUMIFS('Activation Detail'!$I$4:$I$4003,'Activation Detail'!$A$4:$A$4003,$A90,'Activation Detail'!$N$4:$N$4003,T$2)</f>
        <v>17239.88858</v>
      </c>
      <c r="X90" s="51" t="n">
        <f aca="false">IFERROR(V90/W90,0)</f>
        <v>1.36320161177579</v>
      </c>
      <c r="Y90" s="49" t="n">
        <f aca="false">IFERROR(W90/T90,0)</f>
        <v>116.461129908135</v>
      </c>
      <c r="Z90" s="48" t="n">
        <f aca="false">SUMIFS('Activation Detail'!$H$4:$H$4003,'Activation Detail'!$A$4:$A$4003,$A90,'Activation Detail'!$N$4:$N$4003,Z$2)</f>
        <v>433.583364035861</v>
      </c>
      <c r="AA90" s="50" t="n">
        <f aca="false">Z90*'Model Inputs &amp; Assumptions'!$D$42*'Model Inputs &amp; Assumptions'!$H$42</f>
        <v>2341350.16579365</v>
      </c>
      <c r="AB90" s="50" t="n">
        <f aca="false">Z90*'Model Inputs &amp; Assumptions'!$G$42*'Model Inputs &amp; Assumptions'!$H$42</f>
        <v>49168.3534816666</v>
      </c>
      <c r="AC90" s="50" t="n">
        <f aca="false">SUMIFS('Activation Detail'!$I$4:$I$4003,'Activation Detail'!$A$4:$A$4003,$A90,'Activation Detail'!$N$4:$N$4003,Z$2)</f>
        <v>42281.008</v>
      </c>
      <c r="AD90" s="51" t="n">
        <f aca="false">IFERROR(AB90/AC90,0)</f>
        <v>1.16289454314019</v>
      </c>
      <c r="AE90" s="49" t="n">
        <f aca="false">IFERROR(AC90/Z90,0)</f>
        <v>97.5152911920832</v>
      </c>
    </row>
    <row r="91" customFormat="false" ht="15" hidden="false" customHeight="false" outlineLevel="0" collapsed="false">
      <c r="A91" s="43" t="n">
        <v>88</v>
      </c>
      <c r="B91" s="45" t="n">
        <f aca="false">SUM('Activation Detail'!C91,'Activation Detail'!C591,'Activation Detail'!C1091,'Activation Detail'!C1591,'Activation Detail'!C2091,'Activation Detail'!C2591,'Activation Detail'!C3091,'Activation Detail'!C3591)</f>
        <v>4097845</v>
      </c>
      <c r="C91" s="45" t="n">
        <f aca="false">SUM('Activation Detail'!E91,'Activation Detail'!E591,'Activation Detail'!E1091,'Activation Detail'!E1591,'Activation Detail'!E2091,'Activation Detail'!E2591,'Activation Detail'!E3091,'Activation Detail'!E3591)</f>
        <v>502355</v>
      </c>
      <c r="D91" s="45" t="n">
        <f aca="false">SUM('Activation Detail'!G91,'Activation Detail'!G591,'Activation Detail'!G1091,'Activation Detail'!G1591,'Activation Detail'!G2091,'Activation Detail'!G2591,'Activation Detail'!G3091,'Activation Detail'!G3591)</f>
        <v>15644</v>
      </c>
      <c r="E91" s="48" t="n">
        <f aca="false">SUM('Activation Detail'!H91,'Activation Detail'!H591,'Activation Detail'!H1091,'Activation Detail'!H1591,'Activation Detail'!H2091,'Activation Detail'!H2591,'Activation Detail'!H3091,'Activation Detail'!H3591)</f>
        <v>717.223405387646</v>
      </c>
      <c r="F91" s="50" t="n">
        <f aca="false">SUM('Activation Detail'!I91,'Activation Detail'!I591,'Activation Detail'!I1091,'Activation Detail'!I1591,'Activation Detail'!I2091,'Activation Detail'!I2591,'Activation Detail'!I3091,'Activation Detail'!I3591)</f>
        <v>72056.555968</v>
      </c>
      <c r="G91" s="50" t="n">
        <f aca="false">SUM('Activation Detail'!J91,'Activation Detail'!J591,'Activation Detail'!J1091,'Activation Detail'!J1591,'Activation Detail'!J2091,'Activation Detail'!J2591,'Activation Detail'!J3091,'Activation Detail'!J3591)</f>
        <v>4622379.66142461</v>
      </c>
      <c r="H91" s="50" t="n">
        <f aca="false">SUM('Activation Detail'!K91,'Activation Detail'!K591,'Activation Detail'!K1091,'Activation Detail'!K1591,'Activation Detail'!K2091,'Activation Detail'!K2591,'Activation Detail'!K3091,'Activation Detail'!K3591)</f>
        <v>100191.549484159</v>
      </c>
      <c r="I91" s="51" t="n">
        <f aca="false">IFERROR(H91/F91,0)</f>
        <v>1.39045709496099</v>
      </c>
      <c r="J91" s="49" t="n">
        <f aca="false">IFERROR(F91/E91,0)</f>
        <v>100.465985112484</v>
      </c>
      <c r="K91" s="46" t="n">
        <f aca="false">IFERROR(C91/B91,0)</f>
        <v>0.122590044279371</v>
      </c>
      <c r="L91" s="47" t="n">
        <f aca="false">IFERROR(D91/B91,0)</f>
        <v>0.00381761633248695</v>
      </c>
      <c r="N91" s="48" t="n">
        <f aca="false">SUMIFS('Activation Detail'!$H$4:$H$4003,'Activation Detail'!$A$4:$A$4003,$A91,'Activation Detail'!$N$4:$N$4003,N$2)</f>
        <v>95.5227761086195</v>
      </c>
      <c r="O91" s="50" t="n">
        <f aca="false">N91*'Model Inputs &amp; Assumptions'!$D$40*'Model Inputs &amp; Assumptions'!$H$40</f>
        <v>811943.596923266</v>
      </c>
      <c r="P91" s="50" t="n">
        <f aca="false">N91*'Model Inputs &amp; Assumptions'!$G$40*'Model Inputs &amp; Assumptions'!$H$40</f>
        <v>18268.7309307735</v>
      </c>
      <c r="Q91" s="50" t="n">
        <f aca="false">SUMIFS('Activation Detail'!$I$4:$I$4003,'Activation Detail'!$A$4:$A$4003,$A91,'Activation Detail'!$N$4:$N$4003,N$2)</f>
        <v>18293.645</v>
      </c>
      <c r="R91" s="51" t="n">
        <f aca="false">IFERROR(P91/Q91,0)</f>
        <v>0.998638102509012</v>
      </c>
      <c r="S91" s="49" t="n">
        <f aca="false">IFERROR(Q91/N91,0)</f>
        <v>191.510818102671</v>
      </c>
      <c r="T91" s="48" t="n">
        <f aca="false">SUMIFS('Activation Detail'!$H$4:$H$4003,'Activation Detail'!$A$4:$A$4003,$A91,'Activation Detail'!$N$4:$N$4003,T$2)</f>
        <v>251.80703688589</v>
      </c>
      <c r="U91" s="50" t="n">
        <f aca="false">T91*'Model Inputs &amp; Assumptions'!$D$41*'Model Inputs &amp; Assumptions'!$H$41</f>
        <v>1813010.66557841</v>
      </c>
      <c r="V91" s="50" t="n">
        <f aca="false">T91*'Model Inputs &amp; Assumptions'!$G$41*'Model Inputs &amp; Assumptions'!$H$41</f>
        <v>39976.8851760039</v>
      </c>
      <c r="W91" s="50" t="n">
        <f aca="false">SUMIFS('Activation Detail'!$I$4:$I$4003,'Activation Detail'!$A$4:$A$4003,$A91,'Activation Detail'!$N$4:$N$4003,T$2)</f>
        <v>20203.850968</v>
      </c>
      <c r="X91" s="51" t="n">
        <f aca="false">IFERROR(V91/W91,0)</f>
        <v>1.97867650277769</v>
      </c>
      <c r="Y91" s="49" t="n">
        <f aca="false">IFERROR(W91/T91,0)</f>
        <v>80.2354501997323</v>
      </c>
      <c r="Z91" s="48" t="n">
        <f aca="false">SUMIFS('Activation Detail'!$H$4:$H$4003,'Activation Detail'!$A$4:$A$4003,$A91,'Activation Detail'!$N$4:$N$4003,Z$2)</f>
        <v>369.893592393136</v>
      </c>
      <c r="AA91" s="50" t="n">
        <f aca="false">Z91*'Model Inputs &amp; Assumptions'!$D$42*'Model Inputs &amp; Assumptions'!$H$42</f>
        <v>1997425.39892294</v>
      </c>
      <c r="AB91" s="50" t="n">
        <f aca="false">Z91*'Model Inputs &amp; Assumptions'!$G$42*'Model Inputs &amp; Assumptions'!$H$42</f>
        <v>41945.9333773817</v>
      </c>
      <c r="AC91" s="50" t="n">
        <f aca="false">SUMIFS('Activation Detail'!$I$4:$I$4003,'Activation Detail'!$A$4:$A$4003,$A91,'Activation Detail'!$N$4:$N$4003,Z$2)</f>
        <v>33559.06</v>
      </c>
      <c r="AD91" s="51" t="n">
        <f aca="false">IFERROR(AB91/AC91,0)</f>
        <v>1.24991383481485</v>
      </c>
      <c r="AE91" s="49" t="n">
        <f aca="false">IFERROR(AC91/Z91,0)</f>
        <v>90.726253955576</v>
      </c>
    </row>
    <row r="92" customFormat="false" ht="15" hidden="false" customHeight="false" outlineLevel="0" collapsed="false">
      <c r="A92" s="43" t="n">
        <v>89</v>
      </c>
      <c r="B92" s="45" t="n">
        <f aca="false">SUM('Activation Detail'!C92,'Activation Detail'!C592,'Activation Detail'!C1092,'Activation Detail'!C1592,'Activation Detail'!C2092,'Activation Detail'!C2592,'Activation Detail'!C3092,'Activation Detail'!C3592)</f>
        <v>3868751</v>
      </c>
      <c r="C92" s="45" t="n">
        <f aca="false">SUM('Activation Detail'!E92,'Activation Detail'!E592,'Activation Detail'!E1092,'Activation Detail'!E1592,'Activation Detail'!E2092,'Activation Detail'!E2592,'Activation Detail'!E3092,'Activation Detail'!E3592)</f>
        <v>390833</v>
      </c>
      <c r="D92" s="45" t="n">
        <f aca="false">SUM('Activation Detail'!G92,'Activation Detail'!G592,'Activation Detail'!G1092,'Activation Detail'!G1592,'Activation Detail'!G2092,'Activation Detail'!G2592,'Activation Detail'!G3092,'Activation Detail'!G3592)</f>
        <v>16428</v>
      </c>
      <c r="E92" s="48" t="n">
        <f aca="false">SUM('Activation Detail'!H92,'Activation Detail'!H592,'Activation Detail'!H1092,'Activation Detail'!H1592,'Activation Detail'!H2092,'Activation Detail'!H2592,'Activation Detail'!H3092,'Activation Detail'!H3592)</f>
        <v>766.074253120744</v>
      </c>
      <c r="F92" s="50" t="n">
        <f aca="false">SUM('Activation Detail'!I92,'Activation Detail'!I592,'Activation Detail'!I1092,'Activation Detail'!I1592,'Activation Detail'!I2092,'Activation Detail'!I2592,'Activation Detail'!I3092,'Activation Detail'!I3592)</f>
        <v>72285.002114</v>
      </c>
      <c r="G92" s="50" t="n">
        <f aca="false">SUM('Activation Detail'!J92,'Activation Detail'!J592,'Activation Detail'!J1092,'Activation Detail'!J1592,'Activation Detail'!J2092,'Activation Detail'!J2592,'Activation Detail'!J3092,'Activation Detail'!J3592)</f>
        <v>4759629.98120896</v>
      </c>
      <c r="H92" s="50" t="n">
        <f aca="false">SUM('Activation Detail'!K92,'Activation Detail'!K592,'Activation Detail'!K1092,'Activation Detail'!K1592,'Activation Detail'!K2092,'Activation Detail'!K2592,'Activation Detail'!K3092,'Activation Detail'!K3592)</f>
        <v>102548.577672029</v>
      </c>
      <c r="I92" s="51" t="n">
        <f aca="false">IFERROR(H92/F92,0)</f>
        <v>1.41867018984519</v>
      </c>
      <c r="J92" s="49" t="n">
        <f aca="false">IFERROR(F92/E92,0)</f>
        <v>94.3576968153332</v>
      </c>
      <c r="K92" s="46" t="n">
        <f aca="false">IFERROR(C92/B92,0)</f>
        <v>0.101023043354302</v>
      </c>
      <c r="L92" s="47" t="n">
        <f aca="false">IFERROR(D92/B92,0)</f>
        <v>0.00424633169723252</v>
      </c>
      <c r="N92" s="48" t="n">
        <f aca="false">SUMIFS('Activation Detail'!$H$4:$H$4003,'Activation Detail'!$A$4:$A$4003,$A92,'Activation Detail'!$N$4:$N$4003,N$2)</f>
        <v>72.3473839210862</v>
      </c>
      <c r="O92" s="50" t="n">
        <f aca="false">N92*'Model Inputs &amp; Assumptions'!$D$40*'Model Inputs &amp; Assumptions'!$H$40</f>
        <v>614952.763329232</v>
      </c>
      <c r="P92" s="50" t="n">
        <f aca="false">N92*'Model Inputs &amp; Assumptions'!$G$40*'Model Inputs &amp; Assumptions'!$H$40</f>
        <v>13836.4371749077</v>
      </c>
      <c r="Q92" s="50" t="n">
        <f aca="false">SUMIFS('Activation Detail'!$I$4:$I$4003,'Activation Detail'!$A$4:$A$4003,$A92,'Activation Detail'!$N$4:$N$4003,N$2)</f>
        <v>18014.522</v>
      </c>
      <c r="R92" s="51" t="n">
        <f aca="false">IFERROR(P92/Q92,0)</f>
        <v>0.768071291311961</v>
      </c>
      <c r="S92" s="49" t="n">
        <f aca="false">IFERROR(Q92/N92,0)</f>
        <v>249.000323489922</v>
      </c>
      <c r="T92" s="48" t="n">
        <f aca="false">SUMIFS('Activation Detail'!$H$4:$H$4003,'Activation Detail'!$A$4:$A$4003,$A92,'Activation Detail'!$N$4:$N$4003,T$2)</f>
        <v>221.417846778655</v>
      </c>
      <c r="U92" s="50" t="n">
        <f aca="false">T92*'Model Inputs &amp; Assumptions'!$D$41*'Model Inputs &amp; Assumptions'!$H$41</f>
        <v>1594208.49680631</v>
      </c>
      <c r="V92" s="50" t="n">
        <f aca="false">T92*'Model Inputs &amp; Assumptions'!$G$41*'Model Inputs &amp; Assumptions'!$H$41</f>
        <v>35152.2973545792</v>
      </c>
      <c r="W92" s="50" t="n">
        <f aca="false">SUMIFS('Activation Detail'!$I$4:$I$4003,'Activation Detail'!$A$4:$A$4003,$A92,'Activation Detail'!$N$4:$N$4003,T$2)</f>
        <v>17486.564114</v>
      </c>
      <c r="X92" s="51" t="n">
        <f aca="false">IFERROR(V92/W92,0)</f>
        <v>2.01024610240246</v>
      </c>
      <c r="Y92" s="49" t="n">
        <f aca="false">IFERROR(W92/T92,0)</f>
        <v>78.9754049567687</v>
      </c>
      <c r="Z92" s="48" t="n">
        <f aca="false">SUMIFS('Activation Detail'!$H$4:$H$4003,'Activation Detail'!$A$4:$A$4003,$A92,'Activation Detail'!$N$4:$N$4003,Z$2)</f>
        <v>472.309022421003</v>
      </c>
      <c r="AA92" s="50" t="n">
        <f aca="false">Z92*'Model Inputs &amp; Assumptions'!$D$42*'Model Inputs &amp; Assumptions'!$H$42</f>
        <v>2550468.72107342</v>
      </c>
      <c r="AB92" s="50" t="n">
        <f aca="false">Z92*'Model Inputs &amp; Assumptions'!$G$42*'Model Inputs &amp; Assumptions'!$H$42</f>
        <v>53559.8431425418</v>
      </c>
      <c r="AC92" s="50" t="n">
        <f aca="false">SUMIFS('Activation Detail'!$I$4:$I$4003,'Activation Detail'!$A$4:$A$4003,$A92,'Activation Detail'!$N$4:$N$4003,Z$2)</f>
        <v>36783.916</v>
      </c>
      <c r="AD92" s="51" t="n">
        <f aca="false">IFERROR(AB92/AC92,0)</f>
        <v>1.45606691638111</v>
      </c>
      <c r="AE92" s="49" t="n">
        <f aca="false">IFERROR(AC92/Z92,0)</f>
        <v>77.8810360459552</v>
      </c>
    </row>
    <row r="93" customFormat="false" ht="15" hidden="false" customHeight="false" outlineLevel="0" collapsed="false">
      <c r="A93" s="43" t="n">
        <v>90</v>
      </c>
      <c r="B93" s="45" t="n">
        <f aca="false">SUM('Activation Detail'!C93,'Activation Detail'!C593,'Activation Detail'!C1093,'Activation Detail'!C1593,'Activation Detail'!C2093,'Activation Detail'!C2593,'Activation Detail'!C3093,'Activation Detail'!C3593)</f>
        <v>4407777</v>
      </c>
      <c r="C93" s="45" t="n">
        <f aca="false">SUM('Activation Detail'!E93,'Activation Detail'!E593,'Activation Detail'!E1093,'Activation Detail'!E1593,'Activation Detail'!E2093,'Activation Detail'!E2593,'Activation Detail'!E3093,'Activation Detail'!E3593)</f>
        <v>521769</v>
      </c>
      <c r="D93" s="45" t="n">
        <f aca="false">SUM('Activation Detail'!G93,'Activation Detail'!G593,'Activation Detail'!G1093,'Activation Detail'!G1593,'Activation Detail'!G2093,'Activation Detail'!G2593,'Activation Detail'!G3093,'Activation Detail'!G3593)</f>
        <v>17005</v>
      </c>
      <c r="E93" s="48" t="n">
        <f aca="false">SUM('Activation Detail'!H93,'Activation Detail'!H593,'Activation Detail'!H1093,'Activation Detail'!H1593,'Activation Detail'!H2093,'Activation Detail'!H2593,'Activation Detail'!H3093,'Activation Detail'!H3593)</f>
        <v>724.401535282347</v>
      </c>
      <c r="F93" s="50" t="n">
        <f aca="false">SUM('Activation Detail'!I93,'Activation Detail'!I593,'Activation Detail'!I1093,'Activation Detail'!I1593,'Activation Detail'!I2093,'Activation Detail'!I2593,'Activation Detail'!I3093,'Activation Detail'!I3593)</f>
        <v>80242.497848</v>
      </c>
      <c r="G93" s="50" t="n">
        <f aca="false">SUM('Activation Detail'!J93,'Activation Detail'!J593,'Activation Detail'!J1093,'Activation Detail'!J1593,'Activation Detail'!J2093,'Activation Detail'!J2593,'Activation Detail'!J3093,'Activation Detail'!J3593)</f>
        <v>4687735.27209522</v>
      </c>
      <c r="H93" s="50" t="n">
        <f aca="false">SUM('Activation Detail'!K93,'Activation Detail'!K593,'Activation Detail'!K1093,'Activation Detail'!K1593,'Activation Detail'!K2093,'Activation Detail'!K2593,'Activation Detail'!K3093,'Activation Detail'!K3593)</f>
        <v>101672.588892374</v>
      </c>
      <c r="I93" s="51" t="n">
        <f aca="false">IFERROR(H93/F93,0)</f>
        <v>1.26706659960871</v>
      </c>
      <c r="J93" s="49" t="n">
        <f aca="false">IFERROR(F93/E93,0)</f>
        <v>110.770745145818</v>
      </c>
      <c r="K93" s="46" t="n">
        <f aca="false">IFERROR(C93/B93,0)</f>
        <v>0.118374636466409</v>
      </c>
      <c r="L93" s="47" t="n">
        <f aca="false">IFERROR(D93/B93,0)</f>
        <v>0.00385795379394194</v>
      </c>
      <c r="N93" s="48" t="n">
        <f aca="false">SUMIFS('Activation Detail'!$H$4:$H$4003,'Activation Detail'!$A$4:$A$4003,$A93,'Activation Detail'!$N$4:$N$4003,N$2)</f>
        <v>107.085719339175</v>
      </c>
      <c r="O93" s="50" t="n">
        <f aca="false">N93*'Model Inputs &amp; Assumptions'!$D$40*'Model Inputs &amp; Assumptions'!$H$40</f>
        <v>910228.614382991</v>
      </c>
      <c r="P93" s="50" t="n">
        <f aca="false">N93*'Model Inputs &amp; Assumptions'!$G$40*'Model Inputs &amp; Assumptions'!$H$40</f>
        <v>20480.1438236173</v>
      </c>
      <c r="Q93" s="50" t="n">
        <f aca="false">SUMIFS('Activation Detail'!$I$4:$I$4003,'Activation Detail'!$A$4:$A$4003,$A93,'Activation Detail'!$N$4:$N$4003,N$2)</f>
        <v>17688.963</v>
      </c>
      <c r="R93" s="51" t="n">
        <f aca="false">IFERROR(P93/Q93,0)</f>
        <v>1.15779222465541</v>
      </c>
      <c r="S93" s="49" t="n">
        <f aca="false">IFERROR(Q93/N93,0)</f>
        <v>165.185078917697</v>
      </c>
      <c r="T93" s="48" t="n">
        <f aca="false">SUMIFS('Activation Detail'!$H$4:$H$4003,'Activation Detail'!$A$4:$A$4003,$A93,'Activation Detail'!$N$4:$N$4003,T$2)</f>
        <v>246.667362010612</v>
      </c>
      <c r="U93" s="50" t="n">
        <f aca="false">T93*'Model Inputs &amp; Assumptions'!$D$41*'Model Inputs &amp; Assumptions'!$H$41</f>
        <v>1776005.0064764</v>
      </c>
      <c r="V93" s="50" t="n">
        <f aca="false">T93*'Model Inputs &amp; Assumptions'!$G$41*'Model Inputs &amp; Assumptions'!$H$41</f>
        <v>39160.9103928047</v>
      </c>
      <c r="W93" s="50" t="n">
        <f aca="false">SUMIFS('Activation Detail'!$I$4:$I$4003,'Activation Detail'!$A$4:$A$4003,$A93,'Activation Detail'!$N$4:$N$4003,T$2)</f>
        <v>21469.850848</v>
      </c>
      <c r="X93" s="51" t="n">
        <f aca="false">IFERROR(V93/W93,0)</f>
        <v>1.82399545623544</v>
      </c>
      <c r="Y93" s="49" t="n">
        <f aca="false">IFERROR(W93/T93,0)</f>
        <v>87.0396905086956</v>
      </c>
      <c r="Z93" s="48" t="n">
        <f aca="false">SUMIFS('Activation Detail'!$H$4:$H$4003,'Activation Detail'!$A$4:$A$4003,$A93,'Activation Detail'!$N$4:$N$4003,Z$2)</f>
        <v>370.64845393256</v>
      </c>
      <c r="AA93" s="50" t="n">
        <f aca="false">Z93*'Model Inputs &amp; Assumptions'!$D$42*'Model Inputs &amp; Assumptions'!$H$42</f>
        <v>2001501.65123582</v>
      </c>
      <c r="AB93" s="50" t="n">
        <f aca="false">Z93*'Model Inputs &amp; Assumptions'!$G$42*'Model Inputs &amp; Assumptions'!$H$42</f>
        <v>42031.5346759523</v>
      </c>
      <c r="AC93" s="50" t="n">
        <f aca="false">SUMIFS('Activation Detail'!$I$4:$I$4003,'Activation Detail'!$A$4:$A$4003,$A93,'Activation Detail'!$N$4:$N$4003,Z$2)</f>
        <v>41083.684</v>
      </c>
      <c r="AD93" s="51" t="n">
        <f aca="false">IFERROR(AB93/AC93,0)</f>
        <v>1.0230712191232</v>
      </c>
      <c r="AE93" s="49" t="n">
        <f aca="false">IFERROR(AC93/Z93,0)</f>
        <v>110.842723243829</v>
      </c>
    </row>
    <row r="94" customFormat="false" ht="15" hidden="false" customHeight="false" outlineLevel="0" collapsed="false">
      <c r="A94" s="43" t="n">
        <v>91</v>
      </c>
      <c r="B94" s="45" t="n">
        <f aca="false">SUM('Activation Detail'!C94,'Activation Detail'!C594,'Activation Detail'!C1094,'Activation Detail'!C1594,'Activation Detail'!C2094,'Activation Detail'!C2594,'Activation Detail'!C3094,'Activation Detail'!C3594)</f>
        <v>3935974</v>
      </c>
      <c r="C94" s="45" t="n">
        <f aca="false">SUM('Activation Detail'!E94,'Activation Detail'!E594,'Activation Detail'!E1094,'Activation Detail'!E1594,'Activation Detail'!E2094,'Activation Detail'!E2594,'Activation Detail'!E3094,'Activation Detail'!E3594)</f>
        <v>432109</v>
      </c>
      <c r="D94" s="45" t="n">
        <f aca="false">SUM('Activation Detail'!G94,'Activation Detail'!G594,'Activation Detail'!G1094,'Activation Detail'!G1594,'Activation Detail'!G2094,'Activation Detail'!G2594,'Activation Detail'!G3094,'Activation Detail'!G3594)</f>
        <v>16033</v>
      </c>
      <c r="E94" s="48" t="n">
        <f aca="false">SUM('Activation Detail'!H94,'Activation Detail'!H594,'Activation Detail'!H1094,'Activation Detail'!H1594,'Activation Detail'!H2094,'Activation Detail'!H2594,'Activation Detail'!H3094,'Activation Detail'!H3594)</f>
        <v>636.88267811101</v>
      </c>
      <c r="F94" s="50" t="n">
        <f aca="false">SUM('Activation Detail'!I94,'Activation Detail'!I594,'Activation Detail'!I1094,'Activation Detail'!I1594,'Activation Detail'!I2094,'Activation Detail'!I2594,'Activation Detail'!I3094,'Activation Detail'!I3594)</f>
        <v>71896.702956</v>
      </c>
      <c r="G94" s="50" t="n">
        <f aca="false">SUM('Activation Detail'!J94,'Activation Detail'!J594,'Activation Detail'!J1094,'Activation Detail'!J1594,'Activation Detail'!J2094,'Activation Detail'!J2594,'Activation Detail'!J3094,'Activation Detail'!J3594)</f>
        <v>4175325.16997871</v>
      </c>
      <c r="H94" s="50" t="n">
        <f aca="false">SUM('Activation Detail'!K94,'Activation Detail'!K594,'Activation Detail'!K1094,'Activation Detail'!K1594,'Activation Detail'!K2094,'Activation Detail'!K2594,'Activation Detail'!K3094,'Activation Detail'!K3594)</f>
        <v>90734.2028546701</v>
      </c>
      <c r="I94" s="51" t="n">
        <f aca="false">IFERROR(H94/F94,0)</f>
        <v>1.26200784075173</v>
      </c>
      <c r="J94" s="49" t="n">
        <f aca="false">IFERROR(F94/E94,0)</f>
        <v>112.888457210432</v>
      </c>
      <c r="K94" s="46" t="n">
        <f aca="false">IFERROR(C94/B94,0)</f>
        <v>0.109784515853001</v>
      </c>
      <c r="L94" s="47" t="n">
        <f aca="false">IFERROR(D94/B94,0)</f>
        <v>0.00407345170471146</v>
      </c>
      <c r="N94" s="48" t="n">
        <f aca="false">SUMIFS('Activation Detail'!$H$4:$H$4003,'Activation Detail'!$A$4:$A$4003,$A94,'Activation Detail'!$N$4:$N$4003,N$2)</f>
        <v>146.267737909873</v>
      </c>
      <c r="O94" s="50" t="n">
        <f aca="false">N94*'Model Inputs &amp; Assumptions'!$D$40*'Model Inputs &amp; Assumptions'!$H$40</f>
        <v>1243275.77223392</v>
      </c>
      <c r="P94" s="50" t="n">
        <f aca="false">N94*'Model Inputs &amp; Assumptions'!$G$40*'Model Inputs &amp; Assumptions'!$H$40</f>
        <v>27973.7048752632</v>
      </c>
      <c r="Q94" s="50" t="n">
        <f aca="false">SUMIFS('Activation Detail'!$I$4:$I$4003,'Activation Detail'!$A$4:$A$4003,$A94,'Activation Detail'!$N$4:$N$4003,N$2)</f>
        <v>16950.017</v>
      </c>
      <c r="R94" s="51" t="n">
        <f aca="false">IFERROR(P94/Q94,0)</f>
        <v>1.65036441410432</v>
      </c>
      <c r="S94" s="49" t="n">
        <f aca="false">IFERROR(Q94/N94,0)</f>
        <v>115.88349722373</v>
      </c>
      <c r="T94" s="48" t="n">
        <f aca="false">SUMIFS('Activation Detail'!$H$4:$H$4003,'Activation Detail'!$A$4:$A$4003,$A94,'Activation Detail'!$N$4:$N$4003,T$2)</f>
        <v>157.071511477028</v>
      </c>
      <c r="U94" s="50" t="n">
        <f aca="false">T94*'Model Inputs &amp; Assumptions'!$D$41*'Model Inputs &amp; Assumptions'!$H$41</f>
        <v>1130914.8826346</v>
      </c>
      <c r="V94" s="50" t="n">
        <f aca="false">T94*'Model Inputs &amp; Assumptions'!$G$41*'Model Inputs &amp; Assumptions'!$H$41</f>
        <v>24936.6731620929</v>
      </c>
      <c r="W94" s="50" t="n">
        <f aca="false">SUMIFS('Activation Detail'!$I$4:$I$4003,'Activation Detail'!$A$4:$A$4003,$A94,'Activation Detail'!$N$4:$N$4003,T$2)</f>
        <v>21284.521956</v>
      </c>
      <c r="X94" s="51" t="n">
        <f aca="false">IFERROR(V94/W94,0)</f>
        <v>1.17158718498084</v>
      </c>
      <c r="Y94" s="49" t="n">
        <f aca="false">IFERROR(W94/T94,0)</f>
        <v>135.508481174277</v>
      </c>
      <c r="Z94" s="48" t="n">
        <f aca="false">SUMIFS('Activation Detail'!$H$4:$H$4003,'Activation Detail'!$A$4:$A$4003,$A94,'Activation Detail'!$N$4:$N$4003,Z$2)</f>
        <v>333.54342872411</v>
      </c>
      <c r="AA94" s="50" t="n">
        <f aca="false">Z94*'Model Inputs &amp; Assumptions'!$D$42*'Model Inputs &amp; Assumptions'!$H$42</f>
        <v>1801134.51511019</v>
      </c>
      <c r="AB94" s="50" t="n">
        <f aca="false">Z94*'Model Inputs &amp; Assumptions'!$G$42*'Model Inputs &amp; Assumptions'!$H$42</f>
        <v>37823.824817314</v>
      </c>
      <c r="AC94" s="50" t="n">
        <f aca="false">SUMIFS('Activation Detail'!$I$4:$I$4003,'Activation Detail'!$A$4:$A$4003,$A94,'Activation Detail'!$N$4:$N$4003,Z$2)</f>
        <v>33662.164</v>
      </c>
      <c r="AD94" s="51" t="n">
        <f aca="false">IFERROR(AB94/AC94,0)</f>
        <v>1.12363022226717</v>
      </c>
      <c r="AE94" s="49" t="n">
        <f aca="false">IFERROR(AC94/Z94,0)</f>
        <v>100.922881703191</v>
      </c>
    </row>
    <row r="95" customFormat="false" ht="15" hidden="false" customHeight="false" outlineLevel="0" collapsed="false">
      <c r="A95" s="43" t="n">
        <v>92</v>
      </c>
      <c r="B95" s="45" t="n">
        <f aca="false">SUM('Activation Detail'!C95,'Activation Detail'!C595,'Activation Detail'!C1095,'Activation Detail'!C1595,'Activation Detail'!C2095,'Activation Detail'!C2595,'Activation Detail'!C3095,'Activation Detail'!C3595)</f>
        <v>3637176</v>
      </c>
      <c r="C95" s="45" t="n">
        <f aca="false">SUM('Activation Detail'!E95,'Activation Detail'!E595,'Activation Detail'!E1095,'Activation Detail'!E1595,'Activation Detail'!E2095,'Activation Detail'!E2595,'Activation Detail'!E3095,'Activation Detail'!E3595)</f>
        <v>358856</v>
      </c>
      <c r="D95" s="45" t="n">
        <f aca="false">SUM('Activation Detail'!G95,'Activation Detail'!G595,'Activation Detail'!G1095,'Activation Detail'!G1595,'Activation Detail'!G2095,'Activation Detail'!G2595,'Activation Detail'!G3095,'Activation Detail'!G3595)</f>
        <v>13787</v>
      </c>
      <c r="E95" s="48" t="n">
        <f aca="false">SUM('Activation Detail'!H95,'Activation Detail'!H595,'Activation Detail'!H1095,'Activation Detail'!H1595,'Activation Detail'!H2095,'Activation Detail'!H2595,'Activation Detail'!H3095,'Activation Detail'!H3595)</f>
        <v>512.929702350532</v>
      </c>
      <c r="F95" s="50" t="n">
        <f aca="false">SUM('Activation Detail'!I95,'Activation Detail'!I595,'Activation Detail'!I1095,'Activation Detail'!I1595,'Activation Detail'!I2095,'Activation Detail'!I2595,'Activation Detail'!I3095,'Activation Detail'!I3595)</f>
        <v>69338.50432</v>
      </c>
      <c r="G95" s="50" t="n">
        <f aca="false">SUM('Activation Detail'!J95,'Activation Detail'!J595,'Activation Detail'!J1095,'Activation Detail'!J1595,'Activation Detail'!J2095,'Activation Detail'!J2595,'Activation Detail'!J3095,'Activation Detail'!J3595)</f>
        <v>3388821.55955433</v>
      </c>
      <c r="H95" s="50" t="n">
        <f aca="false">SUM('Activation Detail'!K95,'Activation Detail'!K595,'Activation Detail'!K1095,'Activation Detail'!K1595,'Activation Detail'!K2095,'Activation Detail'!K2595,'Activation Detail'!K3095,'Activation Detail'!K3595)</f>
        <v>73741.1812184329</v>
      </c>
      <c r="I95" s="51" t="n">
        <f aca="false">IFERROR(H95/F95,0)</f>
        <v>1.06349541198804</v>
      </c>
      <c r="J95" s="49" t="n">
        <f aca="false">IFERROR(F95/E95,0)</f>
        <v>135.181300677758</v>
      </c>
      <c r="K95" s="46" t="n">
        <f aca="false">IFERROR(C95/B95,0)</f>
        <v>0.0986633586056875</v>
      </c>
      <c r="L95" s="47" t="n">
        <f aca="false">IFERROR(D95/B95,0)</f>
        <v>0.00379057818483351</v>
      </c>
      <c r="N95" s="48" t="n">
        <f aca="false">SUMIFS('Activation Detail'!$H$4:$H$4003,'Activation Detail'!$A$4:$A$4003,$A95,'Activation Detail'!$N$4:$N$4003,N$2)</f>
        <v>88.4312334298729</v>
      </c>
      <c r="O95" s="50" t="n">
        <f aca="false">N95*'Model Inputs &amp; Assumptions'!$D$40*'Model Inputs &amp; Assumptions'!$H$40</f>
        <v>751665.484153919</v>
      </c>
      <c r="P95" s="50" t="n">
        <f aca="false">N95*'Model Inputs &amp; Assumptions'!$G$40*'Model Inputs &amp; Assumptions'!$H$40</f>
        <v>16912.4733934632</v>
      </c>
      <c r="Q95" s="50" t="n">
        <f aca="false">SUMIFS('Activation Detail'!$I$4:$I$4003,'Activation Detail'!$A$4:$A$4003,$A95,'Activation Detail'!$N$4:$N$4003,N$2)</f>
        <v>18034.243</v>
      </c>
      <c r="R95" s="51" t="n">
        <f aca="false">IFERROR(P95/Q95,0)</f>
        <v>0.937797799079406</v>
      </c>
      <c r="S95" s="49" t="n">
        <f aca="false">IFERROR(Q95/N95,0)</f>
        <v>203.935219498</v>
      </c>
      <c r="T95" s="48" t="n">
        <f aca="false">SUMIFS('Activation Detail'!$H$4:$H$4003,'Activation Detail'!$A$4:$A$4003,$A95,'Activation Detail'!$N$4:$N$4003,T$2)</f>
        <v>191.591301793803</v>
      </c>
      <c r="U95" s="50" t="n">
        <f aca="false">T95*'Model Inputs &amp; Assumptions'!$D$41*'Model Inputs &amp; Assumptions'!$H$41</f>
        <v>1379457.37291538</v>
      </c>
      <c r="V95" s="50" t="n">
        <f aca="false">T95*'Model Inputs &amp; Assumptions'!$G$41*'Model Inputs &amp; Assumptions'!$H$41</f>
        <v>30417.0350727842</v>
      </c>
      <c r="W95" s="50" t="n">
        <f aca="false">SUMIFS('Activation Detail'!$I$4:$I$4003,'Activation Detail'!$A$4:$A$4003,$A95,'Activation Detail'!$N$4:$N$4003,T$2)</f>
        <v>15908.33732</v>
      </c>
      <c r="X95" s="51" t="n">
        <f aca="false">IFERROR(V95/W95,0)</f>
        <v>1.91201848822653</v>
      </c>
      <c r="Y95" s="49" t="n">
        <f aca="false">IFERROR(W95/T95,0)</f>
        <v>83.0326699127557</v>
      </c>
      <c r="Z95" s="48" t="n">
        <f aca="false">SUMIFS('Activation Detail'!$H$4:$H$4003,'Activation Detail'!$A$4:$A$4003,$A95,'Activation Detail'!$N$4:$N$4003,Z$2)</f>
        <v>232.907167126856</v>
      </c>
      <c r="AA95" s="50" t="n">
        <f aca="false">Z95*'Model Inputs &amp; Assumptions'!$D$42*'Model Inputs &amp; Assumptions'!$H$42</f>
        <v>1257698.70248502</v>
      </c>
      <c r="AB95" s="50" t="n">
        <f aca="false">Z95*'Model Inputs &amp; Assumptions'!$G$42*'Model Inputs &amp; Assumptions'!$H$42</f>
        <v>26411.6727521855</v>
      </c>
      <c r="AC95" s="50" t="n">
        <f aca="false">SUMIFS('Activation Detail'!$I$4:$I$4003,'Activation Detail'!$A$4:$A$4003,$A95,'Activation Detail'!$N$4:$N$4003,Z$2)</f>
        <v>35395.924</v>
      </c>
      <c r="AD95" s="51" t="n">
        <f aca="false">IFERROR(AB95/AC95,0)</f>
        <v>0.746178366531285</v>
      </c>
      <c r="AE95" s="49" t="n">
        <f aca="false">IFERROR(AC95/Z95,0)</f>
        <v>151.974387206045</v>
      </c>
    </row>
    <row r="96" customFormat="false" ht="15" hidden="false" customHeight="false" outlineLevel="0" collapsed="false">
      <c r="A96" s="43" t="n">
        <v>93</v>
      </c>
      <c r="B96" s="45" t="n">
        <f aca="false">SUM('Activation Detail'!C96,'Activation Detail'!C596,'Activation Detail'!C1096,'Activation Detail'!C1596,'Activation Detail'!C2096,'Activation Detail'!C2596,'Activation Detail'!C3096,'Activation Detail'!C3596)</f>
        <v>4576510</v>
      </c>
      <c r="C96" s="45" t="n">
        <f aca="false">SUM('Activation Detail'!E96,'Activation Detail'!E596,'Activation Detail'!E1096,'Activation Detail'!E1596,'Activation Detail'!E2096,'Activation Detail'!E2596,'Activation Detail'!E3096,'Activation Detail'!E3596)</f>
        <v>357629</v>
      </c>
      <c r="D96" s="45" t="n">
        <f aca="false">SUM('Activation Detail'!G96,'Activation Detail'!G596,'Activation Detail'!G1096,'Activation Detail'!G1596,'Activation Detail'!G2096,'Activation Detail'!G2596,'Activation Detail'!G3096,'Activation Detail'!G3596)</f>
        <v>17099</v>
      </c>
      <c r="E96" s="48" t="n">
        <f aca="false">SUM('Activation Detail'!H96,'Activation Detail'!H596,'Activation Detail'!H1096,'Activation Detail'!H1596,'Activation Detail'!H2096,'Activation Detail'!H2596,'Activation Detail'!H3096,'Activation Detail'!H3596)</f>
        <v>739.492946248586</v>
      </c>
      <c r="F96" s="50" t="n">
        <f aca="false">SUM('Activation Detail'!I96,'Activation Detail'!I596,'Activation Detail'!I1096,'Activation Detail'!I1596,'Activation Detail'!I2096,'Activation Detail'!I2596,'Activation Detail'!I3096,'Activation Detail'!I3596)</f>
        <v>78390.261896</v>
      </c>
      <c r="G96" s="50" t="n">
        <f aca="false">SUM('Activation Detail'!J96,'Activation Detail'!J596,'Activation Detail'!J1096,'Activation Detail'!J1596,'Activation Detail'!J2096,'Activation Detail'!J2596,'Activation Detail'!J3096,'Activation Detail'!J3596)</f>
        <v>4469316.68420867</v>
      </c>
      <c r="H96" s="50" t="n">
        <f aca="false">SUM('Activation Detail'!K96,'Activation Detail'!K596,'Activation Detail'!K1096,'Activation Detail'!K1596,'Activation Detail'!K2096,'Activation Detail'!K2596,'Activation Detail'!K3096,'Activation Detail'!K3596)</f>
        <v>95834.8717382988</v>
      </c>
      <c r="I96" s="51" t="n">
        <f aca="false">IFERROR(H96/F96,0)</f>
        <v>1.22253541983879</v>
      </c>
      <c r="J96" s="49" t="n">
        <f aca="false">IFERROR(F96/E96,0)</f>
        <v>106.005422085052</v>
      </c>
      <c r="K96" s="46" t="n">
        <f aca="false">IFERROR(C96/B96,0)</f>
        <v>0.0781444812750327</v>
      </c>
      <c r="L96" s="47" t="n">
        <f aca="false">IFERROR(D96/B96,0)</f>
        <v>0.00373625317108452</v>
      </c>
      <c r="N96" s="48" t="n">
        <f aca="false">SUMIFS('Activation Detail'!$H$4:$H$4003,'Activation Detail'!$A$4:$A$4003,$A96,'Activation Detail'!$N$4:$N$4003,N$2)</f>
        <v>74.8469734879014</v>
      </c>
      <c r="O96" s="50" t="n">
        <f aca="false">N96*'Model Inputs &amp; Assumptions'!$D$40*'Model Inputs &amp; Assumptions'!$H$40</f>
        <v>636199.274647162</v>
      </c>
      <c r="P96" s="50" t="n">
        <f aca="false">N96*'Model Inputs &amp; Assumptions'!$G$40*'Model Inputs &amp; Assumptions'!$H$40</f>
        <v>14314.4836795611</v>
      </c>
      <c r="Q96" s="50" t="n">
        <f aca="false">SUMIFS('Activation Detail'!$I$4:$I$4003,'Activation Detail'!$A$4:$A$4003,$A96,'Activation Detail'!$N$4:$N$4003,N$2)</f>
        <v>18941.656</v>
      </c>
      <c r="R96" s="51" t="n">
        <f aca="false">IFERROR(P96/Q96,0)</f>
        <v>0.755714478161843</v>
      </c>
      <c r="S96" s="49" t="n">
        <f aca="false">IFERROR(Q96/N96,0)</f>
        <v>253.071769202022</v>
      </c>
      <c r="T96" s="48" t="n">
        <f aca="false">SUMIFS('Activation Detail'!$H$4:$H$4003,'Activation Detail'!$A$4:$A$4003,$A96,'Activation Detail'!$N$4:$N$4003,T$2)</f>
        <v>135.571753696563</v>
      </c>
      <c r="U96" s="50" t="n">
        <f aca="false">T96*'Model Inputs &amp; Assumptions'!$D$41*'Model Inputs &amp; Assumptions'!$H$41</f>
        <v>976116.626615251</v>
      </c>
      <c r="V96" s="50" t="n">
        <f aca="false">T96*'Model Inputs &amp; Assumptions'!$G$41*'Model Inputs &amp; Assumptions'!$H$41</f>
        <v>21523.3716168663</v>
      </c>
      <c r="W96" s="50" t="n">
        <f aca="false">SUMIFS('Activation Detail'!$I$4:$I$4003,'Activation Detail'!$A$4:$A$4003,$A96,'Activation Detail'!$N$4:$N$4003,T$2)</f>
        <v>16758.865896</v>
      </c>
      <c r="X96" s="51" t="n">
        <f aca="false">IFERROR(V96/W96,0)</f>
        <v>1.28429762195325</v>
      </c>
      <c r="Y96" s="49" t="n">
        <f aca="false">IFERROR(W96/T96,0)</f>
        <v>123.616206466649</v>
      </c>
      <c r="Z96" s="48" t="n">
        <f aca="false">SUMIFS('Activation Detail'!$H$4:$H$4003,'Activation Detail'!$A$4:$A$4003,$A96,'Activation Detail'!$N$4:$N$4003,Z$2)</f>
        <v>529.074219064122</v>
      </c>
      <c r="AA96" s="50" t="n">
        <f aca="false">Z96*'Model Inputs &amp; Assumptions'!$D$42*'Model Inputs &amp; Assumptions'!$H$42</f>
        <v>2857000.78294626</v>
      </c>
      <c r="AB96" s="50" t="n">
        <f aca="false">Z96*'Model Inputs &amp; Assumptions'!$G$42*'Model Inputs &amp; Assumptions'!$H$42</f>
        <v>59997.0164418714</v>
      </c>
      <c r="AC96" s="50" t="n">
        <f aca="false">SUMIFS('Activation Detail'!$I$4:$I$4003,'Activation Detail'!$A$4:$A$4003,$A96,'Activation Detail'!$N$4:$N$4003,Z$2)</f>
        <v>42689.74</v>
      </c>
      <c r="AD96" s="51" t="n">
        <f aca="false">IFERROR(AB96/AC96,0)</f>
        <v>1.405420048046</v>
      </c>
      <c r="AE96" s="49" t="n">
        <f aca="false">IFERROR(AC96/Z96,0)</f>
        <v>80.6876208701187</v>
      </c>
    </row>
    <row r="97" customFormat="false" ht="15" hidden="false" customHeight="false" outlineLevel="0" collapsed="false">
      <c r="A97" s="43" t="n">
        <v>94</v>
      </c>
      <c r="B97" s="45" t="n">
        <f aca="false">SUM('Activation Detail'!C97,'Activation Detail'!C597,'Activation Detail'!C1097,'Activation Detail'!C1597,'Activation Detail'!C2097,'Activation Detail'!C2597,'Activation Detail'!C3097,'Activation Detail'!C3597)</f>
        <v>4105095</v>
      </c>
      <c r="C97" s="45" t="n">
        <f aca="false">SUM('Activation Detail'!E97,'Activation Detail'!E597,'Activation Detail'!E1097,'Activation Detail'!E1597,'Activation Detail'!E2097,'Activation Detail'!E2597,'Activation Detail'!E3097,'Activation Detail'!E3597)</f>
        <v>357972</v>
      </c>
      <c r="D97" s="45" t="n">
        <f aca="false">SUM('Activation Detail'!G97,'Activation Detail'!G597,'Activation Detail'!G1097,'Activation Detail'!G1597,'Activation Detail'!G2097,'Activation Detail'!G2597,'Activation Detail'!G3097,'Activation Detail'!G3597)</f>
        <v>14914</v>
      </c>
      <c r="E97" s="48" t="n">
        <f aca="false">SUM('Activation Detail'!H97,'Activation Detail'!H597,'Activation Detail'!H1097,'Activation Detail'!H1597,'Activation Detail'!H2097,'Activation Detail'!H2597,'Activation Detail'!H3097,'Activation Detail'!H3597)</f>
        <v>666.078897920754</v>
      </c>
      <c r="F97" s="50" t="n">
        <f aca="false">SUM('Activation Detail'!I97,'Activation Detail'!I597,'Activation Detail'!I1097,'Activation Detail'!I1597,'Activation Detail'!I2097,'Activation Detail'!I2597,'Activation Detail'!I3097,'Activation Detail'!I3597)</f>
        <v>76411.08824</v>
      </c>
      <c r="G97" s="50" t="n">
        <f aca="false">SUM('Activation Detail'!J97,'Activation Detail'!J597,'Activation Detail'!J1097,'Activation Detail'!J1597,'Activation Detail'!J2097,'Activation Detail'!J2597,'Activation Detail'!J3097,'Activation Detail'!J3597)</f>
        <v>4078996.06418613</v>
      </c>
      <c r="H97" s="50" t="n">
        <f aca="false">SUM('Activation Detail'!K97,'Activation Detail'!K597,'Activation Detail'!K1097,'Activation Detail'!K1597,'Activation Detail'!K2097,'Activation Detail'!K2597,'Activation Detail'!K3097,'Activation Detail'!K3597)</f>
        <v>87667.3455625695</v>
      </c>
      <c r="I97" s="51" t="n">
        <f aca="false">IFERROR(H97/F97,0)</f>
        <v>1.14731183106848</v>
      </c>
      <c r="J97" s="49" t="n">
        <f aca="false">IFERROR(F97/E97,0)</f>
        <v>114.717773642922</v>
      </c>
      <c r="K97" s="46" t="n">
        <f aca="false">IFERROR(C97/B97,0)</f>
        <v>0.0872018796154535</v>
      </c>
      <c r="L97" s="47" t="n">
        <f aca="false">IFERROR(D97/B97,0)</f>
        <v>0.00363304625106118</v>
      </c>
      <c r="N97" s="48" t="n">
        <f aca="false">SUMIFS('Activation Detail'!$H$4:$H$4003,'Activation Detail'!$A$4:$A$4003,$A97,'Activation Detail'!$N$4:$N$4003,N$2)</f>
        <v>61.7994447341574</v>
      </c>
      <c r="O97" s="50" t="n">
        <f aca="false">N97*'Model Inputs &amp; Assumptions'!$D$40*'Model Inputs &amp; Assumptions'!$H$40</f>
        <v>525295.280240338</v>
      </c>
      <c r="P97" s="50" t="n">
        <f aca="false">N97*'Model Inputs &amp; Assumptions'!$G$40*'Model Inputs &amp; Assumptions'!$H$40</f>
        <v>11819.1438054076</v>
      </c>
      <c r="Q97" s="50" t="n">
        <f aca="false">SUMIFS('Activation Detail'!$I$4:$I$4003,'Activation Detail'!$A$4:$A$4003,$A97,'Activation Detail'!$N$4:$N$4003,N$2)</f>
        <v>17777.09</v>
      </c>
      <c r="R97" s="51" t="n">
        <f aca="false">IFERROR(P97/Q97,0)</f>
        <v>0.664852560537613</v>
      </c>
      <c r="S97" s="49" t="n">
        <f aca="false">IFERROR(Q97/N97,0)</f>
        <v>287.657762565209</v>
      </c>
      <c r="T97" s="48" t="n">
        <f aca="false">SUMIFS('Activation Detail'!$H$4:$H$4003,'Activation Detail'!$A$4:$A$4003,$A97,'Activation Detail'!$N$4:$N$4003,T$2)</f>
        <v>161.439853743427</v>
      </c>
      <c r="U97" s="50" t="n">
        <f aca="false">T97*'Model Inputs &amp; Assumptions'!$D$41*'Model Inputs &amp; Assumptions'!$H$41</f>
        <v>1162366.94695268</v>
      </c>
      <c r="V97" s="50" t="n">
        <f aca="false">T97*'Model Inputs &amp; Assumptions'!$G$41*'Model Inputs &amp; Assumptions'!$H$41</f>
        <v>25630.1911803065</v>
      </c>
      <c r="W97" s="50" t="n">
        <f aca="false">SUMIFS('Activation Detail'!$I$4:$I$4003,'Activation Detail'!$A$4:$A$4003,$A97,'Activation Detail'!$N$4:$N$4003,T$2)</f>
        <v>16897.09424</v>
      </c>
      <c r="X97" s="51" t="n">
        <f aca="false">IFERROR(V97/W97,0)</f>
        <v>1.51684016294547</v>
      </c>
      <c r="Y97" s="49" t="n">
        <f aca="false">IFERROR(W97/T97,0)</f>
        <v>104.664950123494</v>
      </c>
      <c r="Z97" s="48" t="n">
        <f aca="false">SUMIFS('Activation Detail'!$H$4:$H$4003,'Activation Detail'!$A$4:$A$4003,$A97,'Activation Detail'!$N$4:$N$4003,Z$2)</f>
        <v>442.83959944317</v>
      </c>
      <c r="AA97" s="50" t="n">
        <f aca="false">Z97*'Model Inputs &amp; Assumptions'!$D$42*'Model Inputs &amp; Assumptions'!$H$42</f>
        <v>2391333.83699312</v>
      </c>
      <c r="AB97" s="50" t="n">
        <f aca="false">Z97*'Model Inputs &amp; Assumptions'!$G$42*'Model Inputs &amp; Assumptions'!$H$42</f>
        <v>50218.0105768554</v>
      </c>
      <c r="AC97" s="50" t="n">
        <f aca="false">SUMIFS('Activation Detail'!$I$4:$I$4003,'Activation Detail'!$A$4:$A$4003,$A97,'Activation Detail'!$N$4:$N$4003,Z$2)</f>
        <v>41736.904</v>
      </c>
      <c r="AD97" s="51" t="n">
        <f aca="false">IFERROR(AB97/AC97,0)</f>
        <v>1.2032040176448</v>
      </c>
      <c r="AE97" s="49" t="n">
        <f aca="false">IFERROR(AC97/Z97,0)</f>
        <v>94.2483555049737</v>
      </c>
    </row>
    <row r="98" customFormat="false" ht="15" hidden="false" customHeight="false" outlineLevel="0" collapsed="false">
      <c r="A98" s="43" t="n">
        <v>95</v>
      </c>
      <c r="B98" s="45" t="n">
        <f aca="false">SUM('Activation Detail'!C98,'Activation Detail'!C598,'Activation Detail'!C1098,'Activation Detail'!C1598,'Activation Detail'!C2098,'Activation Detail'!C2598,'Activation Detail'!C3098,'Activation Detail'!C3598)</f>
        <v>4590621</v>
      </c>
      <c r="C98" s="45" t="n">
        <f aca="false">SUM('Activation Detail'!E98,'Activation Detail'!E598,'Activation Detail'!E1098,'Activation Detail'!E1598,'Activation Detail'!E2098,'Activation Detail'!E2598,'Activation Detail'!E3098,'Activation Detail'!E3598)</f>
        <v>521229</v>
      </c>
      <c r="D98" s="45" t="n">
        <f aca="false">SUM('Activation Detail'!G98,'Activation Detail'!G598,'Activation Detail'!G1098,'Activation Detail'!G1598,'Activation Detail'!G2098,'Activation Detail'!G2598,'Activation Detail'!G3098,'Activation Detail'!G3598)</f>
        <v>19320</v>
      </c>
      <c r="E98" s="48" t="n">
        <f aca="false">SUM('Activation Detail'!H98,'Activation Detail'!H598,'Activation Detail'!H1098,'Activation Detail'!H1598,'Activation Detail'!H2098,'Activation Detail'!H2598,'Activation Detail'!H3098,'Activation Detail'!H3598)</f>
        <v>790.65956487247</v>
      </c>
      <c r="F98" s="50" t="n">
        <f aca="false">SUM('Activation Detail'!I98,'Activation Detail'!I598,'Activation Detail'!I1098,'Activation Detail'!I1598,'Activation Detail'!I2098,'Activation Detail'!I2598,'Activation Detail'!I3098,'Activation Detail'!I3598)</f>
        <v>81892.791204</v>
      </c>
      <c r="G98" s="50" t="n">
        <f aca="false">SUM('Activation Detail'!J98,'Activation Detail'!J598,'Activation Detail'!J1098,'Activation Detail'!J1598,'Activation Detail'!J2098,'Activation Detail'!J2598,'Activation Detail'!J3098,'Activation Detail'!J3598)</f>
        <v>5000681.35249677</v>
      </c>
      <c r="H98" s="50" t="n">
        <f aca="false">SUM('Activation Detail'!K98,'Activation Detail'!K598,'Activation Detail'!K1098,'Activation Detail'!K1598,'Activation Detail'!K2098,'Activation Detail'!K2598,'Activation Detail'!K3098,'Activation Detail'!K3598)</f>
        <v>108056.087824134</v>
      </c>
      <c r="I98" s="51" t="n">
        <f aca="false">IFERROR(H98/F98,0)</f>
        <v>1.3194822918535</v>
      </c>
      <c r="J98" s="49" t="n">
        <f aca="false">IFERROR(F98/E98,0)</f>
        <v>103.575286814128</v>
      </c>
      <c r="K98" s="46" t="n">
        <f aca="false">IFERROR(C98/B98,0)</f>
        <v>0.113542154754226</v>
      </c>
      <c r="L98" s="47" t="n">
        <f aca="false">IFERROR(D98/B98,0)</f>
        <v>0.00420858093055384</v>
      </c>
      <c r="N98" s="48" t="n">
        <f aca="false">SUMIFS('Activation Detail'!$H$4:$H$4003,'Activation Detail'!$A$4:$A$4003,$A98,'Activation Detail'!$N$4:$N$4003,N$2)</f>
        <v>107.12343510018</v>
      </c>
      <c r="O98" s="50" t="n">
        <f aca="false">N98*'Model Inputs &amp; Assumptions'!$D$40*'Model Inputs &amp; Assumptions'!$H$40</f>
        <v>910549.198351532</v>
      </c>
      <c r="P98" s="50" t="n">
        <f aca="false">N98*'Model Inputs &amp; Assumptions'!$G$40*'Model Inputs &amp; Assumptions'!$H$40</f>
        <v>20487.3569629095</v>
      </c>
      <c r="Q98" s="50" t="n">
        <f aca="false">SUMIFS('Activation Detail'!$I$4:$I$4003,'Activation Detail'!$A$4:$A$4003,$A98,'Activation Detail'!$N$4:$N$4003,N$2)</f>
        <v>17817.988</v>
      </c>
      <c r="R98" s="51" t="n">
        <f aca="false">IFERROR(P98/Q98,0)</f>
        <v>1.14981315302881</v>
      </c>
      <c r="S98" s="49" t="n">
        <f aca="false">IFERROR(Q98/N98,0)</f>
        <v>166.331372620164</v>
      </c>
      <c r="T98" s="48" t="n">
        <f aca="false">SUMIFS('Activation Detail'!$H$4:$H$4003,'Activation Detail'!$A$4:$A$4003,$A98,'Activation Detail'!$N$4:$N$4003,T$2)</f>
        <v>221.687251874927</v>
      </c>
      <c r="U98" s="50" t="n">
        <f aca="false">T98*'Model Inputs &amp; Assumptions'!$D$41*'Model Inputs &amp; Assumptions'!$H$41</f>
        <v>1596148.21349947</v>
      </c>
      <c r="V98" s="50" t="n">
        <f aca="false">T98*'Model Inputs &amp; Assumptions'!$G$41*'Model Inputs &amp; Assumptions'!$H$41</f>
        <v>35195.0681076634</v>
      </c>
      <c r="W98" s="50" t="n">
        <f aca="false">SUMIFS('Activation Detail'!$I$4:$I$4003,'Activation Detail'!$A$4:$A$4003,$A98,'Activation Detail'!$N$4:$N$4003,T$2)</f>
        <v>21224.779204</v>
      </c>
      <c r="X98" s="51" t="n">
        <f aca="false">IFERROR(V98/W98,0)</f>
        <v>1.65820655986049</v>
      </c>
      <c r="Y98" s="49" t="n">
        <f aca="false">IFERROR(W98/T98,0)</f>
        <v>95.7419924893777</v>
      </c>
      <c r="Z98" s="48" t="n">
        <f aca="false">SUMIFS('Activation Detail'!$H$4:$H$4003,'Activation Detail'!$A$4:$A$4003,$A98,'Activation Detail'!$N$4:$N$4003,Z$2)</f>
        <v>461.848877897363</v>
      </c>
      <c r="AA98" s="50" t="n">
        <f aca="false">Z98*'Model Inputs &amp; Assumptions'!$D$42*'Model Inputs &amp; Assumptions'!$H$42</f>
        <v>2493983.94064576</v>
      </c>
      <c r="AB98" s="50" t="n">
        <f aca="false">Z98*'Model Inputs &amp; Assumptions'!$G$42*'Model Inputs &amp; Assumptions'!$H$42</f>
        <v>52373.662753561</v>
      </c>
      <c r="AC98" s="50" t="n">
        <f aca="false">SUMIFS('Activation Detail'!$I$4:$I$4003,'Activation Detail'!$A$4:$A$4003,$A98,'Activation Detail'!$N$4:$N$4003,Z$2)</f>
        <v>42850.024</v>
      </c>
      <c r="AD98" s="51" t="n">
        <f aca="false">IFERROR(AB98/AC98,0)</f>
        <v>1.22225515564614</v>
      </c>
      <c r="AE98" s="49" t="n">
        <f aca="false">IFERROR(AC98/Z98,0)</f>
        <v>92.7793181940405</v>
      </c>
    </row>
    <row r="99" customFormat="false" ht="15" hidden="false" customHeight="false" outlineLevel="0" collapsed="false">
      <c r="A99" s="43" t="n">
        <v>96</v>
      </c>
      <c r="B99" s="45" t="n">
        <f aca="false">SUM('Activation Detail'!C99,'Activation Detail'!C599,'Activation Detail'!C1099,'Activation Detail'!C1599,'Activation Detail'!C2099,'Activation Detail'!C2599,'Activation Detail'!C3099,'Activation Detail'!C3599)</f>
        <v>3715844</v>
      </c>
      <c r="C99" s="45" t="n">
        <f aca="false">SUM('Activation Detail'!E99,'Activation Detail'!E599,'Activation Detail'!E1099,'Activation Detail'!E1599,'Activation Detail'!E2099,'Activation Detail'!E2599,'Activation Detail'!E3099,'Activation Detail'!E3599)</f>
        <v>533583</v>
      </c>
      <c r="D99" s="45" t="n">
        <f aca="false">SUM('Activation Detail'!G99,'Activation Detail'!G599,'Activation Detail'!G1099,'Activation Detail'!G1599,'Activation Detail'!G2099,'Activation Detail'!G2599,'Activation Detail'!G3099,'Activation Detail'!G3599)</f>
        <v>15812</v>
      </c>
      <c r="E99" s="48" t="n">
        <f aca="false">SUM('Activation Detail'!H99,'Activation Detail'!H599,'Activation Detail'!H1099,'Activation Detail'!H1599,'Activation Detail'!H2099,'Activation Detail'!H2599,'Activation Detail'!H3099,'Activation Detail'!H3599)</f>
        <v>764.638493833673</v>
      </c>
      <c r="F99" s="50" t="n">
        <f aca="false">SUM('Activation Detail'!I99,'Activation Detail'!I599,'Activation Detail'!I1099,'Activation Detail'!I1599,'Activation Detail'!I2099,'Activation Detail'!I2599,'Activation Detail'!I3099,'Activation Detail'!I3599)</f>
        <v>70997.05075</v>
      </c>
      <c r="G99" s="50" t="n">
        <f aca="false">SUM('Activation Detail'!J99,'Activation Detail'!J599,'Activation Detail'!J1099,'Activation Detail'!J1599,'Activation Detail'!J2099,'Activation Detail'!J2599,'Activation Detail'!J3099,'Activation Detail'!J3599)</f>
        <v>4773988.84472535</v>
      </c>
      <c r="H99" s="50" t="n">
        <f aca="false">SUM('Activation Detail'!K99,'Activation Detail'!K599,'Activation Detail'!K1099,'Activation Detail'!K1599,'Activation Detail'!K2099,'Activation Detail'!K2599,'Activation Detail'!K3099,'Activation Detail'!K3599)</f>
        <v>102939.73084134</v>
      </c>
      <c r="I99" s="51" t="n">
        <f aca="false">IFERROR(H99/F99,0)</f>
        <v>1.44991559161829</v>
      </c>
      <c r="J99" s="49" t="n">
        <f aca="false">IFERROR(F99/E99,0)</f>
        <v>92.8504794390375</v>
      </c>
      <c r="K99" s="46" t="n">
        <f aca="false">IFERROR(C99/B99,0)</f>
        <v>0.143596717192649</v>
      </c>
      <c r="L99" s="47" t="n">
        <f aca="false">IFERROR(D99/B99,0)</f>
        <v>0.00425529166455858</v>
      </c>
      <c r="N99" s="48" t="n">
        <f aca="false">SUMIFS('Activation Detail'!$H$4:$H$4003,'Activation Detail'!$A$4:$A$4003,$A99,'Activation Detail'!$N$4:$N$4003,N$2)</f>
        <v>84.396317003136</v>
      </c>
      <c r="O99" s="50" t="n">
        <f aca="false">N99*'Model Inputs &amp; Assumptions'!$D$40*'Model Inputs &amp; Assumptions'!$H$40</f>
        <v>717368.694526656</v>
      </c>
      <c r="P99" s="50" t="n">
        <f aca="false">N99*'Model Inputs &amp; Assumptions'!$G$40*'Model Inputs &amp; Assumptions'!$H$40</f>
        <v>16140.7956268498</v>
      </c>
      <c r="Q99" s="50" t="n">
        <f aca="false">SUMIFS('Activation Detail'!$I$4:$I$4003,'Activation Detail'!$A$4:$A$4003,$A99,'Activation Detail'!$N$4:$N$4003,N$2)</f>
        <v>17884.249</v>
      </c>
      <c r="R99" s="51" t="n">
        <f aca="false">IFERROR(P99/Q99,0)</f>
        <v>0.902514588499062</v>
      </c>
      <c r="S99" s="49" t="n">
        <f aca="false">IFERROR(Q99/N99,0)</f>
        <v>211.907931946076</v>
      </c>
      <c r="T99" s="48" t="n">
        <f aca="false">SUMIFS('Activation Detail'!$H$4:$H$4003,'Activation Detail'!$A$4:$A$4003,$A99,'Activation Detail'!$N$4:$N$4003,T$2)</f>
        <v>212.951330729888</v>
      </c>
      <c r="U99" s="50" t="n">
        <f aca="false">T99*'Model Inputs &amp; Assumptions'!$D$41*'Model Inputs &amp; Assumptions'!$H$41</f>
        <v>1533249.58125519</v>
      </c>
      <c r="V99" s="50" t="n">
        <f aca="false">T99*'Model Inputs &amp; Assumptions'!$G$41*'Model Inputs &amp; Assumptions'!$H$41</f>
        <v>33808.153266677</v>
      </c>
      <c r="W99" s="50" t="n">
        <f aca="false">SUMIFS('Activation Detail'!$I$4:$I$4003,'Activation Detail'!$A$4:$A$4003,$A99,'Activation Detail'!$N$4:$N$4003,T$2)</f>
        <v>16991.90975</v>
      </c>
      <c r="X99" s="51" t="n">
        <f aca="false">IFERROR(V99/W99,0)</f>
        <v>1.98966177222528</v>
      </c>
      <c r="Y99" s="49" t="n">
        <f aca="false">IFERROR(W99/T99,0)</f>
        <v>79.7924562939356</v>
      </c>
      <c r="Z99" s="48" t="n">
        <f aca="false">SUMIFS('Activation Detail'!$H$4:$H$4003,'Activation Detail'!$A$4:$A$4003,$A99,'Activation Detail'!$N$4:$N$4003,Z$2)</f>
        <v>467.290846100649</v>
      </c>
      <c r="AA99" s="50" t="n">
        <f aca="false">Z99*'Model Inputs &amp; Assumptions'!$D$42*'Model Inputs &amp; Assumptions'!$H$42</f>
        <v>2523370.5689435</v>
      </c>
      <c r="AB99" s="50" t="n">
        <f aca="false">Z99*'Model Inputs &amp; Assumptions'!$G$42*'Model Inputs &amp; Assumptions'!$H$42</f>
        <v>52990.7819478136</v>
      </c>
      <c r="AC99" s="50" t="n">
        <f aca="false">SUMIFS('Activation Detail'!$I$4:$I$4003,'Activation Detail'!$A$4:$A$4003,$A99,'Activation Detail'!$N$4:$N$4003,Z$2)</f>
        <v>36120.892</v>
      </c>
      <c r="AD99" s="51" t="n">
        <f aca="false">IFERROR(AB99/AC99,0)</f>
        <v>1.46703968295726</v>
      </c>
      <c r="AE99" s="49" t="n">
        <f aca="false">IFERROR(AC99/Z99,0)</f>
        <v>77.2985225399002</v>
      </c>
    </row>
    <row r="100" customFormat="false" ht="15" hidden="false" customHeight="false" outlineLevel="0" collapsed="false">
      <c r="A100" s="43" t="n">
        <v>97</v>
      </c>
      <c r="B100" s="45" t="n">
        <f aca="false">SUM('Activation Detail'!C100,'Activation Detail'!C600,'Activation Detail'!C1100,'Activation Detail'!C1600,'Activation Detail'!C2100,'Activation Detail'!C2600,'Activation Detail'!C3100,'Activation Detail'!C3600)</f>
        <v>3271245</v>
      </c>
      <c r="C100" s="45" t="n">
        <f aca="false">SUM('Activation Detail'!E100,'Activation Detail'!E600,'Activation Detail'!E1100,'Activation Detail'!E1600,'Activation Detail'!E2100,'Activation Detail'!E2600,'Activation Detail'!E3100,'Activation Detail'!E3600)</f>
        <v>366452</v>
      </c>
      <c r="D100" s="45" t="n">
        <f aca="false">SUM('Activation Detail'!G100,'Activation Detail'!G600,'Activation Detail'!G1100,'Activation Detail'!G1600,'Activation Detail'!G2100,'Activation Detail'!G2600,'Activation Detail'!G3100,'Activation Detail'!G3600)</f>
        <v>14607</v>
      </c>
      <c r="E100" s="48" t="n">
        <f aca="false">SUM('Activation Detail'!H100,'Activation Detail'!H600,'Activation Detail'!H1100,'Activation Detail'!H1600,'Activation Detail'!H2100,'Activation Detail'!H2600,'Activation Detail'!H3100,'Activation Detail'!H3600)</f>
        <v>500.392412838892</v>
      </c>
      <c r="F100" s="50" t="n">
        <f aca="false">SUM('Activation Detail'!I100,'Activation Detail'!I600,'Activation Detail'!I1100,'Activation Detail'!I1600,'Activation Detail'!I2100,'Activation Detail'!I2600,'Activation Detail'!I3100,'Activation Detail'!I3600)</f>
        <v>72552.346794</v>
      </c>
      <c r="G100" s="50" t="n">
        <f aca="false">SUM('Activation Detail'!J100,'Activation Detail'!J600,'Activation Detail'!J1100,'Activation Detail'!J1600,'Activation Detail'!J2100,'Activation Detail'!J2600,'Activation Detail'!J3100,'Activation Detail'!J3600)</f>
        <v>3199946.47827471</v>
      </c>
      <c r="H100" s="50" t="n">
        <f aca="false">SUM('Activation Detail'!K100,'Activation Detail'!K600,'Activation Detail'!K1100,'Activation Detail'!K1600,'Activation Detail'!K2100,'Activation Detail'!K2600,'Activation Detail'!K3100,'Activation Detail'!K3600)</f>
        <v>69277.176103655</v>
      </c>
      <c r="I100" s="51" t="n">
        <f aca="false">IFERROR(H100/F100,0)</f>
        <v>0.954857825624245</v>
      </c>
      <c r="J100" s="49" t="n">
        <f aca="false">IFERROR(F100/E100,0)</f>
        <v>144.990901005846</v>
      </c>
      <c r="K100" s="46" t="n">
        <f aca="false">IFERROR(C100/B100,0)</f>
        <v>0.112022181157327</v>
      </c>
      <c r="L100" s="47" t="n">
        <f aca="false">IFERROR(D100/B100,0)</f>
        <v>0.00446527239628949</v>
      </c>
      <c r="N100" s="48" t="n">
        <f aca="false">SUMIFS('Activation Detail'!$H$4:$H$4003,'Activation Detail'!$A$4:$A$4003,$A100,'Activation Detail'!$N$4:$N$4003,N$2)</f>
        <v>46.5749099319322</v>
      </c>
      <c r="O100" s="50" t="n">
        <f aca="false">N100*'Model Inputs &amp; Assumptions'!$D$40*'Model Inputs &amp; Assumptions'!$H$40</f>
        <v>395886.734421424</v>
      </c>
      <c r="P100" s="50" t="n">
        <f aca="false">N100*'Model Inputs &amp; Assumptions'!$G$40*'Model Inputs &amp; Assumptions'!$H$40</f>
        <v>8907.45152448203</v>
      </c>
      <c r="Q100" s="50" t="n">
        <f aca="false">SUMIFS('Activation Detail'!$I$4:$I$4003,'Activation Detail'!$A$4:$A$4003,$A100,'Activation Detail'!$N$4:$N$4003,N$2)</f>
        <v>17431.0235</v>
      </c>
      <c r="R100" s="51" t="n">
        <f aca="false">IFERROR(P100/Q100,0)</f>
        <v>0.511011388658964</v>
      </c>
      <c r="S100" s="49" t="n">
        <f aca="false">IFERROR(Q100/N100,0)</f>
        <v>374.25780372898</v>
      </c>
      <c r="T100" s="48" t="n">
        <f aca="false">SUMIFS('Activation Detail'!$H$4:$H$4003,'Activation Detail'!$A$4:$A$4003,$A100,'Activation Detail'!$N$4:$N$4003,T$2)</f>
        <v>196.358460086503</v>
      </c>
      <c r="U100" s="50" t="n">
        <f aca="false">T100*'Model Inputs &amp; Assumptions'!$D$41*'Model Inputs &amp; Assumptions'!$H$41</f>
        <v>1413780.91262282</v>
      </c>
      <c r="V100" s="50" t="n">
        <f aca="false">T100*'Model Inputs &amp; Assumptions'!$G$41*'Model Inputs &amp; Assumptions'!$H$41</f>
        <v>31173.8691233332</v>
      </c>
      <c r="W100" s="50" t="n">
        <f aca="false">SUMIFS('Activation Detail'!$I$4:$I$4003,'Activation Detail'!$A$4:$A$4003,$A100,'Activation Detail'!$N$4:$N$4003,T$2)</f>
        <v>17400.303294</v>
      </c>
      <c r="X100" s="51" t="n">
        <f aca="false">IFERROR(V100/W100,0)</f>
        <v>1.79157044544635</v>
      </c>
      <c r="Y100" s="49" t="n">
        <f aca="false">IFERROR(W100/T100,0)</f>
        <v>88.614991614492</v>
      </c>
      <c r="Z100" s="48" t="n">
        <f aca="false">SUMIFS('Activation Detail'!$H$4:$H$4003,'Activation Detail'!$A$4:$A$4003,$A100,'Activation Detail'!$N$4:$N$4003,Z$2)</f>
        <v>257.459042820457</v>
      </c>
      <c r="AA100" s="50" t="n">
        <f aca="false">Z100*'Model Inputs &amp; Assumptions'!$D$42*'Model Inputs &amp; Assumptions'!$H$42</f>
        <v>1390278.83123047</v>
      </c>
      <c r="AB100" s="50" t="n">
        <f aca="false">Z100*'Model Inputs &amp; Assumptions'!$G$42*'Model Inputs &amp; Assumptions'!$H$42</f>
        <v>29195.8554558398</v>
      </c>
      <c r="AC100" s="50" t="n">
        <f aca="false">SUMIFS('Activation Detail'!$I$4:$I$4003,'Activation Detail'!$A$4:$A$4003,$A100,'Activation Detail'!$N$4:$N$4003,Z$2)</f>
        <v>37721.02</v>
      </c>
      <c r="AD100" s="51" t="n">
        <f aca="false">IFERROR(AB100/AC100,0)</f>
        <v>0.773994326130095</v>
      </c>
      <c r="AE100" s="49" t="n">
        <f aca="false">IFERROR(AC100/Z100,0)</f>
        <v>146.512701930246</v>
      </c>
    </row>
    <row r="101" customFormat="false" ht="15" hidden="false" customHeight="false" outlineLevel="0" collapsed="false">
      <c r="A101" s="43" t="n">
        <v>98</v>
      </c>
      <c r="B101" s="45" t="n">
        <f aca="false">SUM('Activation Detail'!C101,'Activation Detail'!C601,'Activation Detail'!C1101,'Activation Detail'!C1601,'Activation Detail'!C2101,'Activation Detail'!C2601,'Activation Detail'!C3101,'Activation Detail'!C3601)</f>
        <v>6045022</v>
      </c>
      <c r="C101" s="45" t="n">
        <f aca="false">SUM('Activation Detail'!E101,'Activation Detail'!E601,'Activation Detail'!E1101,'Activation Detail'!E1601,'Activation Detail'!E2101,'Activation Detail'!E2601,'Activation Detail'!E3101,'Activation Detail'!E3601)</f>
        <v>493426</v>
      </c>
      <c r="D101" s="45" t="n">
        <f aca="false">SUM('Activation Detail'!G101,'Activation Detail'!G601,'Activation Detail'!G1101,'Activation Detail'!G1601,'Activation Detail'!G2101,'Activation Detail'!G2601,'Activation Detail'!G3101,'Activation Detail'!G3601)</f>
        <v>19513</v>
      </c>
      <c r="E101" s="48" t="n">
        <f aca="false">SUM('Activation Detail'!H101,'Activation Detail'!H601,'Activation Detail'!H1101,'Activation Detail'!H1601,'Activation Detail'!H2101,'Activation Detail'!H2601,'Activation Detail'!H3101,'Activation Detail'!H3601)</f>
        <v>777.819141699917</v>
      </c>
      <c r="F101" s="50" t="n">
        <f aca="false">SUM('Activation Detail'!I101,'Activation Detail'!I601,'Activation Detail'!I1101,'Activation Detail'!I1601,'Activation Detail'!I2101,'Activation Detail'!I2601,'Activation Detail'!I3101,'Activation Detail'!I3601)</f>
        <v>90786.568672</v>
      </c>
      <c r="G101" s="50" t="n">
        <f aca="false">SUM('Activation Detail'!J101,'Activation Detail'!J601,'Activation Detail'!J1101,'Activation Detail'!J1601,'Activation Detail'!J2101,'Activation Detail'!J2601,'Activation Detail'!J3101,'Activation Detail'!J3601)</f>
        <v>4909795.34205626</v>
      </c>
      <c r="H101" s="50" t="n">
        <f aca="false">SUM('Activation Detail'!K101,'Activation Detail'!K601,'Activation Detail'!K1101,'Activation Detail'!K1601,'Activation Detail'!K2101,'Activation Detail'!K2601,'Activation Detail'!K3101,'Activation Detail'!K3601)</f>
        <v>106065.935079828</v>
      </c>
      <c r="I101" s="51" t="n">
        <f aca="false">IFERROR(H101/F101,0)</f>
        <v>1.16829985570917</v>
      </c>
      <c r="J101" s="49" t="n">
        <f aca="false">IFERROR(F101/E101,0)</f>
        <v>116.719380900792</v>
      </c>
      <c r="K101" s="46" t="n">
        <f aca="false">IFERROR(C101/B101,0)</f>
        <v>0.0816251785353304</v>
      </c>
      <c r="L101" s="47" t="n">
        <f aca="false">IFERROR(D101/B101,0)</f>
        <v>0.00322794524155578</v>
      </c>
      <c r="N101" s="48" t="n">
        <f aca="false">SUMIFS('Activation Detail'!$H$4:$H$4003,'Activation Detail'!$A$4:$A$4003,$A101,'Activation Detail'!$N$4:$N$4003,N$2)</f>
        <v>73.9607638359292</v>
      </c>
      <c r="O101" s="50" t="n">
        <f aca="false">N101*'Model Inputs &amp; Assumptions'!$D$40*'Model Inputs &amp; Assumptions'!$H$40</f>
        <v>628666.492605398</v>
      </c>
      <c r="P101" s="50" t="n">
        <f aca="false">N101*'Model Inputs &amp; Assumptions'!$G$40*'Model Inputs &amp; Assumptions'!$H$40</f>
        <v>14144.9960836215</v>
      </c>
      <c r="Q101" s="50" t="n">
        <f aca="false">SUMIFS('Activation Detail'!$I$4:$I$4003,'Activation Detail'!$A$4:$A$4003,$A101,'Activation Detail'!$N$4:$N$4003,N$2)</f>
        <v>18120.8425</v>
      </c>
      <c r="R101" s="51" t="n">
        <f aca="false">IFERROR(P101/Q101,0)</f>
        <v>0.780592628826251</v>
      </c>
      <c r="S101" s="49" t="n">
        <f aca="false">IFERROR(Q101/N101,0)</f>
        <v>245.006156780619</v>
      </c>
      <c r="T101" s="48" t="n">
        <f aca="false">SUMIFS('Activation Detail'!$H$4:$H$4003,'Activation Detail'!$A$4:$A$4003,$A101,'Activation Detail'!$N$4:$N$4003,T$2)</f>
        <v>266.829782769628</v>
      </c>
      <c r="U101" s="50" t="n">
        <f aca="false">T101*'Model Inputs &amp; Assumptions'!$D$41*'Model Inputs &amp; Assumptions'!$H$41</f>
        <v>1921174.43594132</v>
      </c>
      <c r="V101" s="50" t="n">
        <f aca="false">T101*'Model Inputs &amp; Assumptions'!$G$41*'Model Inputs &amp; Assumptions'!$H$41</f>
        <v>42361.8963125061</v>
      </c>
      <c r="W101" s="50" t="n">
        <f aca="false">SUMIFS('Activation Detail'!$I$4:$I$4003,'Activation Detail'!$A$4:$A$4003,$A101,'Activation Detail'!$N$4:$N$4003,T$2)</f>
        <v>21402.610172</v>
      </c>
      <c r="X101" s="51" t="n">
        <f aca="false">IFERROR(V101/W101,0)</f>
        <v>1.97928645020719</v>
      </c>
      <c r="Y101" s="49" t="n">
        <f aca="false">IFERROR(W101/T101,0)</f>
        <v>80.2107244170653</v>
      </c>
      <c r="Z101" s="48" t="n">
        <f aca="false">SUMIFS('Activation Detail'!$H$4:$H$4003,'Activation Detail'!$A$4:$A$4003,$A101,'Activation Detail'!$N$4:$N$4003,Z$2)</f>
        <v>437.02859509436</v>
      </c>
      <c r="AA101" s="50" t="n">
        <f aca="false">Z101*'Model Inputs &amp; Assumptions'!$D$42*'Model Inputs &amp; Assumptions'!$H$42</f>
        <v>2359954.41350955</v>
      </c>
      <c r="AB101" s="50" t="n">
        <f aca="false">Z101*'Model Inputs &amp; Assumptions'!$G$42*'Model Inputs &amp; Assumptions'!$H$42</f>
        <v>49559.0426837005</v>
      </c>
      <c r="AC101" s="50" t="n">
        <f aca="false">SUMIFS('Activation Detail'!$I$4:$I$4003,'Activation Detail'!$A$4:$A$4003,$A101,'Activation Detail'!$N$4:$N$4003,Z$2)</f>
        <v>51263.116</v>
      </c>
      <c r="AD101" s="51" t="n">
        <f aca="false">IFERROR(AB101/AC101,0)</f>
        <v>0.966758296231943</v>
      </c>
      <c r="AE101" s="49" t="n">
        <f aca="false">IFERROR(AC101/Z101,0)</f>
        <v>117.299226127141</v>
      </c>
    </row>
    <row r="102" customFormat="false" ht="15" hidden="false" customHeight="false" outlineLevel="0" collapsed="false">
      <c r="A102" s="43" t="n">
        <v>99</v>
      </c>
      <c r="B102" s="45" t="n">
        <f aca="false">SUM('Activation Detail'!C102,'Activation Detail'!C602,'Activation Detail'!C1102,'Activation Detail'!C1602,'Activation Detail'!C2102,'Activation Detail'!C2602,'Activation Detail'!C3102,'Activation Detail'!C3602)</f>
        <v>4158520</v>
      </c>
      <c r="C102" s="45" t="n">
        <f aca="false">SUM('Activation Detail'!E102,'Activation Detail'!E602,'Activation Detail'!E1102,'Activation Detail'!E1602,'Activation Detail'!E2102,'Activation Detail'!E2602,'Activation Detail'!E3102,'Activation Detail'!E3602)</f>
        <v>425500</v>
      </c>
      <c r="D102" s="45" t="n">
        <f aca="false">SUM('Activation Detail'!G102,'Activation Detail'!G602,'Activation Detail'!G1102,'Activation Detail'!G1602,'Activation Detail'!G2102,'Activation Detail'!G2602,'Activation Detail'!G3102,'Activation Detail'!G3602)</f>
        <v>17081</v>
      </c>
      <c r="E102" s="48" t="n">
        <f aca="false">SUM('Activation Detail'!H102,'Activation Detail'!H602,'Activation Detail'!H1102,'Activation Detail'!H1602,'Activation Detail'!H2102,'Activation Detail'!H2602,'Activation Detail'!H3102,'Activation Detail'!H3602)</f>
        <v>578.872442198994</v>
      </c>
      <c r="F102" s="50" t="n">
        <f aca="false">SUM('Activation Detail'!I102,'Activation Detail'!I602,'Activation Detail'!I1102,'Activation Detail'!I1602,'Activation Detail'!I2102,'Activation Detail'!I2602,'Activation Detail'!I3102,'Activation Detail'!I3602)</f>
        <v>74039.642236</v>
      </c>
      <c r="G102" s="50" t="n">
        <f aca="false">SUM('Activation Detail'!J102,'Activation Detail'!J602,'Activation Detail'!J1102,'Activation Detail'!J1602,'Activation Detail'!J2102,'Activation Detail'!J2602,'Activation Detail'!J3102,'Activation Detail'!J3602)</f>
        <v>3639497.39289975</v>
      </c>
      <c r="H102" s="50" t="n">
        <f aca="false">SUM('Activation Detail'!K102,'Activation Detail'!K602,'Activation Detail'!K1102,'Activation Detail'!K1602,'Activation Detail'!K2102,'Activation Detail'!K2602,'Activation Detail'!K3102,'Activation Detail'!K3602)</f>
        <v>78569.0008269754</v>
      </c>
      <c r="I102" s="51" t="n">
        <f aca="false">IFERROR(H102/F102,0)</f>
        <v>1.06117477683831</v>
      </c>
      <c r="J102" s="49" t="n">
        <f aca="false">IFERROR(F102/E102,0)</f>
        <v>127.903207751161</v>
      </c>
      <c r="K102" s="46" t="n">
        <f aca="false">IFERROR(C102/B102,0)</f>
        <v>0.102320056173831</v>
      </c>
      <c r="L102" s="47" t="n">
        <f aca="false">IFERROR(D102/B102,0)</f>
        <v>0.00410747092715678</v>
      </c>
      <c r="N102" s="48" t="n">
        <f aca="false">SUMIFS('Activation Detail'!$H$4:$H$4003,'Activation Detail'!$A$4:$A$4003,$A102,'Activation Detail'!$N$4:$N$4003,N$2)</f>
        <v>64.8388334262174</v>
      </c>
      <c r="O102" s="50" t="n">
        <f aca="false">N102*'Model Inputs &amp; Assumptions'!$D$40*'Model Inputs &amp; Assumptions'!$H$40</f>
        <v>551130.084122847</v>
      </c>
      <c r="P102" s="50" t="n">
        <f aca="false">N102*'Model Inputs &amp; Assumptions'!$G$40*'Model Inputs &amp; Assumptions'!$H$40</f>
        <v>12400.4268927641</v>
      </c>
      <c r="Q102" s="50" t="n">
        <f aca="false">SUMIFS('Activation Detail'!$I$4:$I$4003,'Activation Detail'!$A$4:$A$4003,$A102,'Activation Detail'!$N$4:$N$4003,N$2)</f>
        <v>17877.203</v>
      </c>
      <c r="R102" s="51" t="n">
        <f aca="false">IFERROR(P102/Q102,0)</f>
        <v>0.6936446877492</v>
      </c>
      <c r="S102" s="49" t="n">
        <f aca="false">IFERROR(Q102/N102,0)</f>
        <v>275.717529994477</v>
      </c>
      <c r="T102" s="48" t="n">
        <f aca="false">SUMIFS('Activation Detail'!$H$4:$H$4003,'Activation Detail'!$A$4:$A$4003,$A102,'Activation Detail'!$N$4:$N$4003,T$2)</f>
        <v>173.658789668839</v>
      </c>
      <c r="U102" s="50" t="n">
        <f aca="false">T102*'Model Inputs &amp; Assumptions'!$D$41*'Model Inputs &amp; Assumptions'!$H$41</f>
        <v>1250343.28561564</v>
      </c>
      <c r="V102" s="50" t="n">
        <f aca="false">T102*'Model Inputs &amp; Assumptions'!$G$41*'Model Inputs &amp; Assumptions'!$H$41</f>
        <v>27570.0694478248</v>
      </c>
      <c r="W102" s="50" t="n">
        <f aca="false">SUMIFS('Activation Detail'!$I$4:$I$4003,'Activation Detail'!$A$4:$A$4003,$A102,'Activation Detail'!$N$4:$N$4003,T$2)</f>
        <v>17933.111236</v>
      </c>
      <c r="X102" s="51" t="n">
        <f aca="false">IFERROR(V102/W102,0)</f>
        <v>1.53738350724547</v>
      </c>
      <c r="Y102" s="49" t="n">
        <f aca="false">IFERROR(W102/T102,0)</f>
        <v>103.266360834357</v>
      </c>
      <c r="Z102" s="48" t="n">
        <f aca="false">SUMIFS('Activation Detail'!$H$4:$H$4003,'Activation Detail'!$A$4:$A$4003,$A102,'Activation Detail'!$N$4:$N$4003,Z$2)</f>
        <v>340.374819103938</v>
      </c>
      <c r="AA102" s="50" t="n">
        <f aca="false">Z102*'Model Inputs &amp; Assumptions'!$D$42*'Model Inputs &amp; Assumptions'!$H$42</f>
        <v>1838024.02316126</v>
      </c>
      <c r="AB102" s="50" t="n">
        <f aca="false">Z102*'Model Inputs &amp; Assumptions'!$G$42*'Model Inputs &amp; Assumptions'!$H$42</f>
        <v>38598.5044863865</v>
      </c>
      <c r="AC102" s="50" t="n">
        <f aca="false">SUMIFS('Activation Detail'!$I$4:$I$4003,'Activation Detail'!$A$4:$A$4003,$A102,'Activation Detail'!$N$4:$N$4003,Z$2)</f>
        <v>38229.328</v>
      </c>
      <c r="AD102" s="51" t="n">
        <f aca="false">IFERROR(AB102/AC102,0)</f>
        <v>1.00965689186026</v>
      </c>
      <c r="AE102" s="49" t="n">
        <f aca="false">IFERROR(AC102/Z102,0)</f>
        <v>112.315382496983</v>
      </c>
    </row>
    <row r="103" customFormat="false" ht="15" hidden="false" customHeight="false" outlineLevel="0" collapsed="false">
      <c r="A103" s="43" t="n">
        <v>100</v>
      </c>
      <c r="B103" s="45" t="n">
        <f aca="false">SUM('Activation Detail'!C103,'Activation Detail'!C603,'Activation Detail'!C1103,'Activation Detail'!C1603,'Activation Detail'!C2103,'Activation Detail'!C2603,'Activation Detail'!C3103,'Activation Detail'!C3603)</f>
        <v>4452427</v>
      </c>
      <c r="C103" s="45" t="n">
        <f aca="false">SUM('Activation Detail'!E103,'Activation Detail'!E603,'Activation Detail'!E1103,'Activation Detail'!E1603,'Activation Detail'!E2103,'Activation Detail'!E2603,'Activation Detail'!E3103,'Activation Detail'!E3603)</f>
        <v>535345</v>
      </c>
      <c r="D103" s="45" t="n">
        <f aca="false">SUM('Activation Detail'!G103,'Activation Detail'!G603,'Activation Detail'!G1103,'Activation Detail'!G1603,'Activation Detail'!G2103,'Activation Detail'!G2603,'Activation Detail'!G3103,'Activation Detail'!G3603)</f>
        <v>17503</v>
      </c>
      <c r="E103" s="48" t="n">
        <f aca="false">SUM('Activation Detail'!H103,'Activation Detail'!H603,'Activation Detail'!H1103,'Activation Detail'!H1603,'Activation Detail'!H2103,'Activation Detail'!H2603,'Activation Detail'!H3103,'Activation Detail'!H3603)</f>
        <v>682.403669527027</v>
      </c>
      <c r="F103" s="50" t="n">
        <f aca="false">SUM('Activation Detail'!I103,'Activation Detail'!I603,'Activation Detail'!I1103,'Activation Detail'!I1603,'Activation Detail'!I2103,'Activation Detail'!I2603,'Activation Detail'!I3103,'Activation Detail'!I3603)</f>
        <v>76527.314266</v>
      </c>
      <c r="G103" s="50" t="n">
        <f aca="false">SUM('Activation Detail'!J103,'Activation Detail'!J603,'Activation Detail'!J1103,'Activation Detail'!J1603,'Activation Detail'!J2103,'Activation Detail'!J2603,'Activation Detail'!J3103,'Activation Detail'!J3603)</f>
        <v>4259137.78736152</v>
      </c>
      <c r="H103" s="50" t="n">
        <f aca="false">SUM('Activation Detail'!K103,'Activation Detail'!K603,'Activation Detail'!K1103,'Activation Detail'!K1603,'Activation Detail'!K2103,'Activation Detail'!K2603,'Activation Detail'!K3103,'Activation Detail'!K3603)</f>
        <v>91828.9142614431</v>
      </c>
      <c r="I103" s="51" t="n">
        <f aca="false">IFERROR(H103/F103,0)</f>
        <v>1.19994952315008</v>
      </c>
      <c r="J103" s="49" t="n">
        <f aca="false">IFERROR(F103/E103,0)</f>
        <v>112.143761359081</v>
      </c>
      <c r="K103" s="46" t="n">
        <f aca="false">IFERROR(C103/B103,0)</f>
        <v>0.120236670921275</v>
      </c>
      <c r="L103" s="47" t="n">
        <f aca="false">IFERROR(D103/B103,0)</f>
        <v>0.00393111442366152</v>
      </c>
      <c r="N103" s="48" t="n">
        <f aca="false">SUMIFS('Activation Detail'!$H$4:$H$4003,'Activation Detail'!$A$4:$A$4003,$A103,'Activation Detail'!$N$4:$N$4003,N$2)</f>
        <v>90.5287229415152</v>
      </c>
      <c r="O103" s="50" t="n">
        <f aca="false">N103*'Model Inputs &amp; Assumptions'!$D$40*'Model Inputs &amp; Assumptions'!$H$40</f>
        <v>769494.145002879</v>
      </c>
      <c r="P103" s="50" t="n">
        <f aca="false">N103*'Model Inputs &amp; Assumptions'!$G$40*'Model Inputs &amp; Assumptions'!$H$40</f>
        <v>17313.6182625648</v>
      </c>
      <c r="Q103" s="50" t="n">
        <f aca="false">SUMIFS('Activation Detail'!$I$4:$I$4003,'Activation Detail'!$A$4:$A$4003,$A103,'Activation Detail'!$N$4:$N$4003,N$2)</f>
        <v>17844.5925</v>
      </c>
      <c r="R103" s="51" t="n">
        <f aca="false">IFERROR(P103/Q103,0)</f>
        <v>0.970244529964177</v>
      </c>
      <c r="S103" s="49" t="n">
        <f aca="false">IFERROR(Q103/N103,0)</f>
        <v>197.115257127047</v>
      </c>
      <c r="T103" s="48" t="n">
        <f aca="false">SUMIFS('Activation Detail'!$H$4:$H$4003,'Activation Detail'!$A$4:$A$4003,$A103,'Activation Detail'!$N$4:$N$4003,T$2)</f>
        <v>163.066072664931</v>
      </c>
      <c r="U103" s="50" t="n">
        <f aca="false">T103*'Model Inputs &amp; Assumptions'!$D$41*'Model Inputs &amp; Assumptions'!$H$41</f>
        <v>1174075.7231875</v>
      </c>
      <c r="V103" s="50" t="n">
        <f aca="false">T103*'Model Inputs &amp; Assumptions'!$G$41*'Model Inputs &amp; Assumptions'!$H$41</f>
        <v>25888.3696962845</v>
      </c>
      <c r="W103" s="50" t="n">
        <f aca="false">SUMIFS('Activation Detail'!$I$4:$I$4003,'Activation Detail'!$A$4:$A$4003,$A103,'Activation Detail'!$N$4:$N$4003,T$2)</f>
        <v>20309.057766</v>
      </c>
      <c r="X103" s="51" t="n">
        <f aca="false">IFERROR(V103/W103,0)</f>
        <v>1.27472037327231</v>
      </c>
      <c r="Y103" s="49" t="n">
        <f aca="false">IFERROR(W103/T103,0)</f>
        <v>124.544961647118</v>
      </c>
      <c r="Z103" s="48" t="n">
        <f aca="false">SUMIFS('Activation Detail'!$H$4:$H$4003,'Activation Detail'!$A$4:$A$4003,$A103,'Activation Detail'!$N$4:$N$4003,Z$2)</f>
        <v>428.80887392058</v>
      </c>
      <c r="AA103" s="50" t="n">
        <f aca="false">Z103*'Model Inputs &amp; Assumptions'!$D$42*'Model Inputs &amp; Assumptions'!$H$42</f>
        <v>2315567.91917113</v>
      </c>
      <c r="AB103" s="50" t="n">
        <f aca="false">Z103*'Model Inputs &amp; Assumptions'!$G$42*'Model Inputs &amp; Assumptions'!$H$42</f>
        <v>48626.9263025938</v>
      </c>
      <c r="AC103" s="50" t="n">
        <f aca="false">SUMIFS('Activation Detail'!$I$4:$I$4003,'Activation Detail'!$A$4:$A$4003,$A103,'Activation Detail'!$N$4:$N$4003,Z$2)</f>
        <v>38373.664</v>
      </c>
      <c r="AD103" s="51" t="n">
        <f aca="false">IFERROR(AB103/AC103,0)</f>
        <v>1.26719529056683</v>
      </c>
      <c r="AE103" s="49" t="n">
        <f aca="false">IFERROR(AC103/Z103,0)</f>
        <v>89.4889689412239</v>
      </c>
    </row>
    <row r="104" customFormat="false" ht="15" hidden="false" customHeight="false" outlineLevel="0" collapsed="false">
      <c r="A104" s="43" t="n">
        <v>101</v>
      </c>
      <c r="B104" s="45" t="n">
        <f aca="false">SUM('Activation Detail'!C104,'Activation Detail'!C604,'Activation Detail'!C1104,'Activation Detail'!C1604,'Activation Detail'!C2104,'Activation Detail'!C2604,'Activation Detail'!C3104,'Activation Detail'!C3604)</f>
        <v>4410522</v>
      </c>
      <c r="C104" s="45" t="n">
        <f aca="false">SUM('Activation Detail'!E104,'Activation Detail'!E604,'Activation Detail'!E1104,'Activation Detail'!E1604,'Activation Detail'!E2104,'Activation Detail'!E2604,'Activation Detail'!E3104,'Activation Detail'!E3604)</f>
        <v>288454</v>
      </c>
      <c r="D104" s="45" t="n">
        <f aca="false">SUM('Activation Detail'!G104,'Activation Detail'!G604,'Activation Detail'!G1104,'Activation Detail'!G1604,'Activation Detail'!G2104,'Activation Detail'!G2604,'Activation Detail'!G3104,'Activation Detail'!G3604)</f>
        <v>20690</v>
      </c>
      <c r="E104" s="48" t="n">
        <f aca="false">SUM('Activation Detail'!H104,'Activation Detail'!H604,'Activation Detail'!H1104,'Activation Detail'!H1604,'Activation Detail'!H2104,'Activation Detail'!H2604,'Activation Detail'!H3104,'Activation Detail'!H3604)</f>
        <v>871.605497449871</v>
      </c>
      <c r="F104" s="50" t="n">
        <f aca="false">SUM('Activation Detail'!I104,'Activation Detail'!I604,'Activation Detail'!I1104,'Activation Detail'!I1604,'Activation Detail'!I2104,'Activation Detail'!I2604,'Activation Detail'!I3104,'Activation Detail'!I3604)</f>
        <v>77475.94763</v>
      </c>
      <c r="G104" s="50" t="n">
        <f aca="false">SUM('Activation Detail'!J104,'Activation Detail'!J604,'Activation Detail'!J1104,'Activation Detail'!J1604,'Activation Detail'!J2104,'Activation Detail'!J2604,'Activation Detail'!J3104,'Activation Detail'!J3604)</f>
        <v>5394460.0367343</v>
      </c>
      <c r="H104" s="50" t="n">
        <f aca="false">SUM('Activation Detail'!K104,'Activation Detail'!K604,'Activation Detail'!K1104,'Activation Detail'!K1604,'Activation Detail'!K2104,'Activation Detail'!K2604,'Activation Detail'!K3104,'Activation Detail'!K3604)</f>
        <v>116146.227132871</v>
      </c>
      <c r="I104" s="51" t="n">
        <f aca="false">IFERROR(H104/F104,0)</f>
        <v>1.4991262538349</v>
      </c>
      <c r="J104" s="49" t="n">
        <f aca="false">IFERROR(F104/E104,0)</f>
        <v>88.8887780729675</v>
      </c>
      <c r="K104" s="46" t="n">
        <f aca="false">IFERROR(C104/B104,0)</f>
        <v>0.0654013289129949</v>
      </c>
      <c r="L104" s="47" t="n">
        <f aca="false">IFERROR(D104/B104,0)</f>
        <v>0.00469105470962394</v>
      </c>
      <c r="N104" s="48" t="n">
        <f aca="false">SUMIFS('Activation Detail'!$H$4:$H$4003,'Activation Detail'!$A$4:$A$4003,$A104,'Activation Detail'!$N$4:$N$4003,N$2)</f>
        <v>96.8633728550712</v>
      </c>
      <c r="O104" s="50" t="n">
        <f aca="false">N104*'Model Inputs &amp; Assumptions'!$D$40*'Model Inputs &amp; Assumptions'!$H$40</f>
        <v>823338.669268105</v>
      </c>
      <c r="P104" s="50" t="n">
        <f aca="false">N104*'Model Inputs &amp; Assumptions'!$G$40*'Model Inputs &amp; Assumptions'!$H$40</f>
        <v>18525.1200585324</v>
      </c>
      <c r="Q104" s="50" t="n">
        <f aca="false">SUMIFS('Activation Detail'!$I$4:$I$4003,'Activation Detail'!$A$4:$A$4003,$A104,'Activation Detail'!$N$4:$N$4003,N$2)</f>
        <v>19059.0135</v>
      </c>
      <c r="R104" s="51" t="n">
        <f aca="false">IFERROR(P104/Q104,0)</f>
        <v>0.971987351734252</v>
      </c>
      <c r="S104" s="49" t="n">
        <f aca="false">IFERROR(Q104/N104,0)</f>
        <v>196.761819645868</v>
      </c>
      <c r="T104" s="48" t="n">
        <f aca="false">SUMIFS('Activation Detail'!$H$4:$H$4003,'Activation Detail'!$A$4:$A$4003,$A104,'Activation Detail'!$N$4:$N$4003,T$2)</f>
        <v>215.285497030156</v>
      </c>
      <c r="U104" s="50" t="n">
        <f aca="false">T104*'Model Inputs &amp; Assumptions'!$D$41*'Model Inputs &amp; Assumptions'!$H$41</f>
        <v>1550055.57861712</v>
      </c>
      <c r="V104" s="50" t="n">
        <f aca="false">T104*'Model Inputs &amp; Assumptions'!$G$41*'Model Inputs &amp; Assumptions'!$H$41</f>
        <v>34178.7255085075</v>
      </c>
      <c r="W104" s="50" t="n">
        <f aca="false">SUMIFS('Activation Detail'!$I$4:$I$4003,'Activation Detail'!$A$4:$A$4003,$A104,'Activation Detail'!$N$4:$N$4003,T$2)</f>
        <v>16387.79413</v>
      </c>
      <c r="X104" s="51" t="n">
        <f aca="false">IFERROR(V104/W104,0)</f>
        <v>2.08562087352189</v>
      </c>
      <c r="Y104" s="49" t="n">
        <f aca="false">IFERROR(W104/T104,0)</f>
        <v>76.1212174348396</v>
      </c>
      <c r="Z104" s="48" t="n">
        <f aca="false">SUMIFS('Activation Detail'!$H$4:$H$4003,'Activation Detail'!$A$4:$A$4003,$A104,'Activation Detail'!$N$4:$N$4003,Z$2)</f>
        <v>559.456627564644</v>
      </c>
      <c r="AA104" s="50" t="n">
        <f aca="false">Z104*'Model Inputs &amp; Assumptions'!$D$42*'Model Inputs &amp; Assumptions'!$H$42</f>
        <v>3021065.78884908</v>
      </c>
      <c r="AB104" s="50" t="n">
        <f aca="false">Z104*'Model Inputs &amp; Assumptions'!$G$42*'Model Inputs &amp; Assumptions'!$H$42</f>
        <v>63442.3815658306</v>
      </c>
      <c r="AC104" s="50" t="n">
        <f aca="false">SUMIFS('Activation Detail'!$I$4:$I$4003,'Activation Detail'!$A$4:$A$4003,$A104,'Activation Detail'!$N$4:$N$4003,Z$2)</f>
        <v>42029.14</v>
      </c>
      <c r="AD104" s="51" t="n">
        <f aca="false">IFERROR(AB104/AC104,0)</f>
        <v>1.50948559893994</v>
      </c>
      <c r="AE104" s="49" t="n">
        <f aca="false">IFERROR(AC104/Z104,0)</f>
        <v>75.1249300289031</v>
      </c>
    </row>
    <row r="105" customFormat="false" ht="15" hidden="false" customHeight="false" outlineLevel="0" collapsed="false">
      <c r="A105" s="43" t="n">
        <v>102</v>
      </c>
      <c r="B105" s="45" t="n">
        <f aca="false">SUM('Activation Detail'!C105,'Activation Detail'!C605,'Activation Detail'!C1105,'Activation Detail'!C1605,'Activation Detail'!C2105,'Activation Detail'!C2605,'Activation Detail'!C3105,'Activation Detail'!C3605)</f>
        <v>4318691</v>
      </c>
      <c r="C105" s="45" t="n">
        <f aca="false">SUM('Activation Detail'!E105,'Activation Detail'!E605,'Activation Detail'!E1105,'Activation Detail'!E1605,'Activation Detail'!E2105,'Activation Detail'!E2605,'Activation Detail'!E3105,'Activation Detail'!E3605)</f>
        <v>427487</v>
      </c>
      <c r="D105" s="45" t="n">
        <f aca="false">SUM('Activation Detail'!G105,'Activation Detail'!G605,'Activation Detail'!G1105,'Activation Detail'!G1605,'Activation Detail'!G2105,'Activation Detail'!G2605,'Activation Detail'!G3105,'Activation Detail'!G3605)</f>
        <v>16303</v>
      </c>
      <c r="E105" s="48" t="n">
        <f aca="false">SUM('Activation Detail'!H105,'Activation Detail'!H605,'Activation Detail'!H1105,'Activation Detail'!H1605,'Activation Detail'!H2105,'Activation Detail'!H2605,'Activation Detail'!H3105,'Activation Detail'!H3605)</f>
        <v>685.317139927437</v>
      </c>
      <c r="F105" s="50" t="n">
        <f aca="false">SUM('Activation Detail'!I105,'Activation Detail'!I605,'Activation Detail'!I1105,'Activation Detail'!I1605,'Activation Detail'!I2105,'Activation Detail'!I2605,'Activation Detail'!I3105,'Activation Detail'!I3605)</f>
        <v>78378.016846</v>
      </c>
      <c r="G105" s="50" t="n">
        <f aca="false">SUM('Activation Detail'!J105,'Activation Detail'!J605,'Activation Detail'!J1105,'Activation Detail'!J1605,'Activation Detail'!J2105,'Activation Detail'!J2605,'Activation Detail'!J3105,'Activation Detail'!J3605)</f>
        <v>4409444.78793606</v>
      </c>
      <c r="H105" s="50" t="n">
        <f aca="false">SUM('Activation Detail'!K105,'Activation Detail'!K605,'Activation Detail'!K1105,'Activation Detail'!K1605,'Activation Detail'!K2105,'Activation Detail'!K2605,'Activation Detail'!K3105,'Activation Detail'!K3605)</f>
        <v>95552.6442021661</v>
      </c>
      <c r="I105" s="51" t="n">
        <f aca="false">IFERROR(H105/F105,0)</f>
        <v>1.21912556667403</v>
      </c>
      <c r="J105" s="49" t="n">
        <f aca="false">IFERROR(F105/E105,0)</f>
        <v>114.367512906942</v>
      </c>
      <c r="K105" s="46" t="n">
        <f aca="false">IFERROR(C105/B105,0)</f>
        <v>0.09898531754182</v>
      </c>
      <c r="L105" s="47" t="n">
        <f aca="false">IFERROR(D105/B105,0)</f>
        <v>0.00377498644844005</v>
      </c>
      <c r="N105" s="48" t="n">
        <f aca="false">SUMIFS('Activation Detail'!$H$4:$H$4003,'Activation Detail'!$A$4:$A$4003,$A105,'Activation Detail'!$N$4:$N$4003,N$2)</f>
        <v>82.8582232164957</v>
      </c>
      <c r="O105" s="50" t="n">
        <f aca="false">N105*'Model Inputs &amp; Assumptions'!$D$40*'Model Inputs &amp; Assumptions'!$H$40</f>
        <v>704294.897340214</v>
      </c>
      <c r="P105" s="50" t="n">
        <f aca="false">N105*'Model Inputs &amp; Assumptions'!$G$40*'Model Inputs &amp; Assumptions'!$H$40</f>
        <v>15846.6351901548</v>
      </c>
      <c r="Q105" s="50" t="n">
        <f aca="false">SUMIFS('Activation Detail'!$I$4:$I$4003,'Activation Detail'!$A$4:$A$4003,$A105,'Activation Detail'!$N$4:$N$4003,N$2)</f>
        <v>18004.2</v>
      </c>
      <c r="R105" s="51" t="n">
        <f aca="false">IFERROR(P105/Q105,0)</f>
        <v>0.880163250250209</v>
      </c>
      <c r="S105" s="49" t="n">
        <f aca="false">IFERROR(Q105/N105,0)</f>
        <v>217.289235770333</v>
      </c>
      <c r="T105" s="48" t="n">
        <f aca="false">SUMIFS('Activation Detail'!$H$4:$H$4003,'Activation Detail'!$A$4:$A$4003,$A105,'Activation Detail'!$N$4:$N$4003,T$2)</f>
        <v>251.039855753759</v>
      </c>
      <c r="U105" s="50" t="n">
        <f aca="false">T105*'Model Inputs &amp; Assumptions'!$D$41*'Model Inputs &amp; Assumptions'!$H$41</f>
        <v>1807486.96142707</v>
      </c>
      <c r="V105" s="50" t="n">
        <f aca="false">T105*'Model Inputs &amp; Assumptions'!$G$41*'Model Inputs &amp; Assumptions'!$H$41</f>
        <v>39855.0874994668</v>
      </c>
      <c r="W105" s="50" t="n">
        <f aca="false">SUMIFS('Activation Detail'!$I$4:$I$4003,'Activation Detail'!$A$4:$A$4003,$A105,'Activation Detail'!$N$4:$N$4003,T$2)</f>
        <v>19936.272846</v>
      </c>
      <c r="X105" s="51" t="n">
        <f aca="false">IFERROR(V105/W105,0)</f>
        <v>1.99912430008016</v>
      </c>
      <c r="Y105" s="49" t="n">
        <f aca="false">IFERROR(W105/T105,0)</f>
        <v>79.4147717546299</v>
      </c>
      <c r="Z105" s="48" t="n">
        <f aca="false">SUMIFS('Activation Detail'!$H$4:$H$4003,'Activation Detail'!$A$4:$A$4003,$A105,'Activation Detail'!$N$4:$N$4003,Z$2)</f>
        <v>351.419060957183</v>
      </c>
      <c r="AA105" s="50" t="n">
        <f aca="false">Z105*'Model Inputs &amp; Assumptions'!$D$42*'Model Inputs &amp; Assumptions'!$H$42</f>
        <v>1897662.92916879</v>
      </c>
      <c r="AB105" s="50" t="n">
        <f aca="false">Z105*'Model Inputs &amp; Assumptions'!$G$42*'Model Inputs &amp; Assumptions'!$H$42</f>
        <v>39850.9215125445</v>
      </c>
      <c r="AC105" s="50" t="n">
        <f aca="false">SUMIFS('Activation Detail'!$I$4:$I$4003,'Activation Detail'!$A$4:$A$4003,$A105,'Activation Detail'!$N$4:$N$4003,Z$2)</f>
        <v>40437.544</v>
      </c>
      <c r="AD105" s="51" t="n">
        <f aca="false">IFERROR(AB105/AC105,0)</f>
        <v>0.985493122741196</v>
      </c>
      <c r="AE105" s="49" t="n">
        <f aca="false">IFERROR(AC105/Z105,0)</f>
        <v>115.069296155586</v>
      </c>
    </row>
    <row r="106" customFormat="false" ht="15" hidden="false" customHeight="false" outlineLevel="0" collapsed="false">
      <c r="A106" s="43" t="n">
        <v>103</v>
      </c>
      <c r="B106" s="45" t="n">
        <f aca="false">SUM('Activation Detail'!C106,'Activation Detail'!C606,'Activation Detail'!C1106,'Activation Detail'!C1606,'Activation Detail'!C2106,'Activation Detail'!C2606,'Activation Detail'!C3106,'Activation Detail'!C3606)</f>
        <v>4089934</v>
      </c>
      <c r="C106" s="45" t="n">
        <f aca="false">SUM('Activation Detail'!E106,'Activation Detail'!E606,'Activation Detail'!E1106,'Activation Detail'!E1606,'Activation Detail'!E2106,'Activation Detail'!E2606,'Activation Detail'!E3106,'Activation Detail'!E3606)</f>
        <v>280398</v>
      </c>
      <c r="D106" s="45" t="n">
        <f aca="false">SUM('Activation Detail'!G106,'Activation Detail'!G606,'Activation Detail'!G1106,'Activation Detail'!G1606,'Activation Detail'!G2106,'Activation Detail'!G2606,'Activation Detail'!G3106,'Activation Detail'!G3606)</f>
        <v>14201</v>
      </c>
      <c r="E106" s="48" t="n">
        <f aca="false">SUM('Activation Detail'!H106,'Activation Detail'!H606,'Activation Detail'!H1106,'Activation Detail'!H1606,'Activation Detail'!H2106,'Activation Detail'!H2606,'Activation Detail'!H3106,'Activation Detail'!H3606)</f>
        <v>690.728501329971</v>
      </c>
      <c r="F106" s="50" t="n">
        <f aca="false">SUM('Activation Detail'!I106,'Activation Detail'!I606,'Activation Detail'!I1106,'Activation Detail'!I1606,'Activation Detail'!I2106,'Activation Detail'!I2606,'Activation Detail'!I3106,'Activation Detail'!I3606)</f>
        <v>73244.976722</v>
      </c>
      <c r="G106" s="50" t="n">
        <f aca="false">SUM('Activation Detail'!J106,'Activation Detail'!J606,'Activation Detail'!J1106,'Activation Detail'!J1606,'Activation Detail'!J2106,'Activation Detail'!J2606,'Activation Detail'!J3106,'Activation Detail'!J3606)</f>
        <v>4356308.96771633</v>
      </c>
      <c r="H106" s="50" t="n">
        <f aca="false">SUM('Activation Detail'!K106,'Activation Detail'!K606,'Activation Detail'!K1106,'Activation Detail'!K1606,'Activation Detail'!K2106,'Activation Detail'!K2606,'Activation Detail'!K3106,'Activation Detail'!K3606)</f>
        <v>94071.3013829809</v>
      </c>
      <c r="I106" s="51" t="n">
        <f aca="false">IFERROR(H106/F106,0)</f>
        <v>1.28433792449722</v>
      </c>
      <c r="J106" s="49" t="n">
        <f aca="false">IFERROR(F106/E106,0)</f>
        <v>106.040183054514</v>
      </c>
      <c r="K106" s="46" t="n">
        <f aca="false">IFERROR(C106/B106,0)</f>
        <v>0.0685580745312761</v>
      </c>
      <c r="L106" s="47" t="n">
        <f aca="false">IFERROR(D106/B106,0)</f>
        <v>0.00347218316970396</v>
      </c>
      <c r="N106" s="48" t="n">
        <f aca="false">SUMIFS('Activation Detail'!$H$4:$H$4003,'Activation Detail'!$A$4:$A$4003,$A106,'Activation Detail'!$N$4:$N$4003,N$2)</f>
        <v>155.415530765863</v>
      </c>
      <c r="O106" s="50" t="n">
        <f aca="false">N106*'Model Inputs &amp; Assumptions'!$D$40*'Model Inputs &amp; Assumptions'!$H$40</f>
        <v>1321032.01150984</v>
      </c>
      <c r="P106" s="50" t="n">
        <f aca="false">N106*'Model Inputs &amp; Assumptions'!$G$40*'Model Inputs &amp; Assumptions'!$H$40</f>
        <v>29723.2202589713</v>
      </c>
      <c r="Q106" s="50" t="n">
        <f aca="false">SUMIFS('Activation Detail'!$I$4:$I$4003,'Activation Detail'!$A$4:$A$4003,$A106,'Activation Detail'!$N$4:$N$4003,N$2)</f>
        <v>18430.067</v>
      </c>
      <c r="R106" s="51" t="n">
        <f aca="false">IFERROR(P106/Q106,0)</f>
        <v>1.61275703766955</v>
      </c>
      <c r="S106" s="49" t="n">
        <f aca="false">IFERROR(Q106/N106,0)</f>
        <v>118.585748214349</v>
      </c>
      <c r="T106" s="48" t="n">
        <f aca="false">SUMIFS('Activation Detail'!$H$4:$H$4003,'Activation Detail'!$A$4:$A$4003,$A106,'Activation Detail'!$N$4:$N$4003,T$2)</f>
        <v>80.3260639779491</v>
      </c>
      <c r="U106" s="50" t="n">
        <f aca="false">T106*'Model Inputs &amp; Assumptions'!$D$41*'Model Inputs &amp; Assumptions'!$H$41</f>
        <v>578347.660641234</v>
      </c>
      <c r="V106" s="50" t="n">
        <f aca="false">T106*'Model Inputs &amp; Assumptions'!$G$41*'Model Inputs &amp; Assumptions'!$H$41</f>
        <v>12752.5659171392</v>
      </c>
      <c r="W106" s="50" t="n">
        <f aca="false">SUMIFS('Activation Detail'!$I$4:$I$4003,'Activation Detail'!$A$4:$A$4003,$A106,'Activation Detail'!$N$4:$N$4003,T$2)</f>
        <v>13651.701722</v>
      </c>
      <c r="X106" s="51" t="n">
        <f aca="false">IFERROR(V106/W106,0)</f>
        <v>0.934137456035109</v>
      </c>
      <c r="Y106" s="49" t="n">
        <f aca="false">IFERROR(W106/T106,0)</f>
        <v>169.953574791709</v>
      </c>
      <c r="Z106" s="48" t="n">
        <f aca="false">SUMIFS('Activation Detail'!$H$4:$H$4003,'Activation Detail'!$A$4:$A$4003,$A106,'Activation Detail'!$N$4:$N$4003,Z$2)</f>
        <v>454.986906586159</v>
      </c>
      <c r="AA106" s="50" t="n">
        <f aca="false">Z106*'Model Inputs &amp; Assumptions'!$D$42*'Model Inputs &amp; Assumptions'!$H$42</f>
        <v>2456929.29556526</v>
      </c>
      <c r="AB106" s="50" t="n">
        <f aca="false">Z106*'Model Inputs &amp; Assumptions'!$G$42*'Model Inputs &amp; Assumptions'!$H$42</f>
        <v>51595.5152068704</v>
      </c>
      <c r="AC106" s="50" t="n">
        <f aca="false">SUMIFS('Activation Detail'!$I$4:$I$4003,'Activation Detail'!$A$4:$A$4003,$A106,'Activation Detail'!$N$4:$N$4003,Z$2)</f>
        <v>41163.208</v>
      </c>
      <c r="AD106" s="51" t="n">
        <f aca="false">IFERROR(AB106/AC106,0)</f>
        <v>1.25343766226555</v>
      </c>
      <c r="AE106" s="49" t="n">
        <f aca="false">IFERROR(AC106/Z106,0)</f>
        <v>90.4711924764039</v>
      </c>
    </row>
    <row r="107" customFormat="false" ht="15" hidden="false" customHeight="false" outlineLevel="0" collapsed="false">
      <c r="A107" s="43" t="n">
        <v>104</v>
      </c>
      <c r="B107" s="45" t="n">
        <f aca="false">SUM('Activation Detail'!C107,'Activation Detail'!C607,'Activation Detail'!C1107,'Activation Detail'!C1607,'Activation Detail'!C2107,'Activation Detail'!C2607,'Activation Detail'!C3107,'Activation Detail'!C3607)</f>
        <v>4678050</v>
      </c>
      <c r="C107" s="45" t="n">
        <f aca="false">SUM('Activation Detail'!E107,'Activation Detail'!E607,'Activation Detail'!E1107,'Activation Detail'!E1607,'Activation Detail'!E2107,'Activation Detail'!E2607,'Activation Detail'!E3107,'Activation Detail'!E3607)</f>
        <v>381580</v>
      </c>
      <c r="D107" s="45" t="n">
        <f aca="false">SUM('Activation Detail'!G107,'Activation Detail'!G607,'Activation Detail'!G1107,'Activation Detail'!G1607,'Activation Detail'!G2107,'Activation Detail'!G2607,'Activation Detail'!G3107,'Activation Detail'!G3607)</f>
        <v>21364</v>
      </c>
      <c r="E107" s="48" t="n">
        <f aca="false">SUM('Activation Detail'!H107,'Activation Detail'!H607,'Activation Detail'!H1107,'Activation Detail'!H1607,'Activation Detail'!H2107,'Activation Detail'!H2607,'Activation Detail'!H3107,'Activation Detail'!H3607)</f>
        <v>1036.5391435555</v>
      </c>
      <c r="F107" s="50" t="n">
        <f aca="false">SUM('Activation Detail'!I107,'Activation Detail'!I607,'Activation Detail'!I1107,'Activation Detail'!I1607,'Activation Detail'!I2107,'Activation Detail'!I2607,'Activation Detail'!I3107,'Activation Detail'!I3607)</f>
        <v>78714.388432</v>
      </c>
      <c r="G107" s="50" t="n">
        <f aca="false">SUM('Activation Detail'!J107,'Activation Detail'!J607,'Activation Detail'!J1107,'Activation Detail'!J1607,'Activation Detail'!J2107,'Activation Detail'!J2607,'Activation Detail'!J3107,'Activation Detail'!J3607)</f>
        <v>6222963.77519841</v>
      </c>
      <c r="H107" s="50" t="n">
        <f aca="false">SUM('Activation Detail'!K107,'Activation Detail'!K607,'Activation Detail'!K1107,'Activation Detail'!K1607,'Activation Detail'!K2107,'Activation Detail'!K2607,'Activation Detail'!K3107,'Activation Detail'!K3607)</f>
        <v>133279.068724428</v>
      </c>
      <c r="I107" s="51" t="n">
        <f aca="false">IFERROR(H107/F107,0)</f>
        <v>1.69319830058218</v>
      </c>
      <c r="J107" s="49" t="n">
        <f aca="false">IFERROR(F107/E107,0)</f>
        <v>75.9396197638971</v>
      </c>
      <c r="K107" s="46" t="n">
        <f aca="false">IFERROR(C107/B107,0)</f>
        <v>0.0815681747736771</v>
      </c>
      <c r="L107" s="47" t="n">
        <f aca="false">IFERROR(D107/B107,0)</f>
        <v>0.00456686012334199</v>
      </c>
      <c r="N107" s="48" t="n">
        <f aca="false">SUMIFS('Activation Detail'!$H$4:$H$4003,'Activation Detail'!$A$4:$A$4003,$A107,'Activation Detail'!$N$4:$N$4003,N$2)</f>
        <v>114.483832346199</v>
      </c>
      <c r="O107" s="50" t="n">
        <f aca="false">N107*'Model Inputs &amp; Assumptions'!$D$40*'Model Inputs &amp; Assumptions'!$H$40</f>
        <v>973112.574942692</v>
      </c>
      <c r="P107" s="50" t="n">
        <f aca="false">N107*'Model Inputs &amp; Assumptions'!$G$40*'Model Inputs &amp; Assumptions'!$H$40</f>
        <v>21895.0329362106</v>
      </c>
      <c r="Q107" s="50" t="n">
        <f aca="false">SUMIFS('Activation Detail'!$I$4:$I$4003,'Activation Detail'!$A$4:$A$4003,$A107,'Activation Detail'!$N$4:$N$4003,N$2)</f>
        <v>18333.3925</v>
      </c>
      <c r="R107" s="51" t="n">
        <f aca="false">IFERROR(P107/Q107,0)</f>
        <v>1.19427066955614</v>
      </c>
      <c r="S107" s="49" t="n">
        <f aca="false">IFERROR(Q107/N107,0)</f>
        <v>160.139577128758</v>
      </c>
      <c r="T107" s="48" t="n">
        <f aca="false">SUMIFS('Activation Detail'!$H$4:$H$4003,'Activation Detail'!$A$4:$A$4003,$A107,'Activation Detail'!$N$4:$N$4003,T$2)</f>
        <v>150.418066514169</v>
      </c>
      <c r="U107" s="50" t="n">
        <f aca="false">T107*'Model Inputs &amp; Assumptions'!$D$41*'Model Inputs &amp; Assumptions'!$H$41</f>
        <v>1083010.07890202</v>
      </c>
      <c r="V107" s="50" t="n">
        <f aca="false">T107*'Model Inputs &amp; Assumptions'!$G$41*'Model Inputs &amp; Assumptions'!$H$41</f>
        <v>23880.3722397895</v>
      </c>
      <c r="W107" s="50" t="n">
        <f aca="false">SUMIFS('Activation Detail'!$I$4:$I$4003,'Activation Detail'!$A$4:$A$4003,$A107,'Activation Detail'!$N$4:$N$4003,T$2)</f>
        <v>17486.403932</v>
      </c>
      <c r="X107" s="51" t="n">
        <f aca="false">IFERROR(V107/W107,0)</f>
        <v>1.36565370059241</v>
      </c>
      <c r="Y107" s="49" t="n">
        <f aca="false">IFERROR(W107/T107,0)</f>
        <v>116.252019037572</v>
      </c>
      <c r="Z107" s="48" t="n">
        <f aca="false">SUMIFS('Activation Detail'!$H$4:$H$4003,'Activation Detail'!$A$4:$A$4003,$A107,'Activation Detail'!$N$4:$N$4003,Z$2)</f>
        <v>771.637244695129</v>
      </c>
      <c r="AA107" s="50" t="n">
        <f aca="false">Z107*'Model Inputs &amp; Assumptions'!$D$42*'Model Inputs &amp; Assumptions'!$H$42</f>
        <v>4166841.1213537</v>
      </c>
      <c r="AB107" s="50" t="n">
        <f aca="false">Z107*'Model Inputs &amp; Assumptions'!$G$42*'Model Inputs &amp; Assumptions'!$H$42</f>
        <v>87503.6635484276</v>
      </c>
      <c r="AC107" s="50" t="n">
        <f aca="false">SUMIFS('Activation Detail'!$I$4:$I$4003,'Activation Detail'!$A$4:$A$4003,$A107,'Activation Detail'!$N$4:$N$4003,Z$2)</f>
        <v>42894.592</v>
      </c>
      <c r="AD107" s="51" t="n">
        <f aca="false">IFERROR(AB107/AC107,0)</f>
        <v>2.03996959683001</v>
      </c>
      <c r="AE107" s="49" t="n">
        <f aca="false">IFERROR(AC107/Z107,0)</f>
        <v>55.5890637665468</v>
      </c>
    </row>
    <row r="108" customFormat="false" ht="15" hidden="false" customHeight="false" outlineLevel="0" collapsed="false">
      <c r="A108" s="43" t="n">
        <v>105</v>
      </c>
      <c r="B108" s="45" t="n">
        <f aca="false">SUM('Activation Detail'!C108,'Activation Detail'!C608,'Activation Detail'!C1108,'Activation Detail'!C1608,'Activation Detail'!C2108,'Activation Detail'!C2608,'Activation Detail'!C3108,'Activation Detail'!C3608)</f>
        <v>3327187</v>
      </c>
      <c r="C108" s="45" t="n">
        <f aca="false">SUM('Activation Detail'!E108,'Activation Detail'!E608,'Activation Detail'!E1108,'Activation Detail'!E1608,'Activation Detail'!E2108,'Activation Detail'!E2608,'Activation Detail'!E3108,'Activation Detail'!E3608)</f>
        <v>386358</v>
      </c>
      <c r="D108" s="45" t="n">
        <f aca="false">SUM('Activation Detail'!G108,'Activation Detail'!G608,'Activation Detail'!G1108,'Activation Detail'!G1608,'Activation Detail'!G2108,'Activation Detail'!G2608,'Activation Detail'!G3108,'Activation Detail'!G3608)</f>
        <v>12688</v>
      </c>
      <c r="E108" s="48" t="n">
        <f aca="false">SUM('Activation Detail'!H108,'Activation Detail'!H608,'Activation Detail'!H1108,'Activation Detail'!H1608,'Activation Detail'!H2108,'Activation Detail'!H2608,'Activation Detail'!H3108,'Activation Detail'!H3608)</f>
        <v>592.882822877435</v>
      </c>
      <c r="F108" s="50" t="n">
        <f aca="false">SUM('Activation Detail'!I108,'Activation Detail'!I608,'Activation Detail'!I1108,'Activation Detail'!I1608,'Activation Detail'!I2108,'Activation Detail'!I2608,'Activation Detail'!I3108,'Activation Detail'!I3608)</f>
        <v>67750.008774</v>
      </c>
      <c r="G108" s="50" t="n">
        <f aca="false">SUM('Activation Detail'!J108,'Activation Detail'!J608,'Activation Detail'!J1108,'Activation Detail'!J1608,'Activation Detail'!J2108,'Activation Detail'!J2608,'Activation Detail'!J3108,'Activation Detail'!J3608)</f>
        <v>3675256.1595989</v>
      </c>
      <c r="H108" s="50" t="n">
        <f aca="false">SUM('Activation Detail'!K108,'Activation Detail'!K608,'Activation Detail'!K1108,'Activation Detail'!K1608,'Activation Detail'!K2108,'Activation Detail'!K2608,'Activation Detail'!K3108,'Activation Detail'!K3608)</f>
        <v>79146.4557956616</v>
      </c>
      <c r="I108" s="51" t="n">
        <f aca="false">IFERROR(H108/F108,0)</f>
        <v>1.16821321838758</v>
      </c>
      <c r="J108" s="49" t="n">
        <f aca="false">IFERROR(F108/E108,0)</f>
        <v>114.272173454426</v>
      </c>
      <c r="K108" s="46" t="n">
        <f aca="false">IFERROR(C108/B108,0)</f>
        <v>0.116121516464208</v>
      </c>
      <c r="L108" s="47" t="n">
        <f aca="false">IFERROR(D108/B108,0)</f>
        <v>0.00381343158650235</v>
      </c>
      <c r="N108" s="48" t="n">
        <f aca="false">SUMIFS('Activation Detail'!$H$4:$H$4003,'Activation Detail'!$A$4:$A$4003,$A108,'Activation Detail'!$N$4:$N$4003,N$2)</f>
        <v>86.7296421125065</v>
      </c>
      <c r="O108" s="50" t="n">
        <f aca="false">N108*'Model Inputs &amp; Assumptions'!$D$40*'Model Inputs &amp; Assumptions'!$H$40</f>
        <v>737201.957956305</v>
      </c>
      <c r="P108" s="50" t="n">
        <f aca="false">N108*'Model Inputs &amp; Assumptions'!$G$40*'Model Inputs &amp; Assumptions'!$H$40</f>
        <v>16587.0440540169</v>
      </c>
      <c r="Q108" s="50" t="n">
        <f aca="false">SUMIFS('Activation Detail'!$I$4:$I$4003,'Activation Detail'!$A$4:$A$4003,$A108,'Activation Detail'!$N$4:$N$4003,N$2)</f>
        <v>19277.433</v>
      </c>
      <c r="R108" s="51" t="n">
        <f aca="false">IFERROR(P108/Q108,0)</f>
        <v>0.860438423207948</v>
      </c>
      <c r="S108" s="49" t="n">
        <f aca="false">IFERROR(Q108/N108,0)</f>
        <v>222.270408714395</v>
      </c>
      <c r="T108" s="48" t="n">
        <f aca="false">SUMIFS('Activation Detail'!$H$4:$H$4003,'Activation Detail'!$A$4:$A$4003,$A108,'Activation Detail'!$N$4:$N$4003,T$2)</f>
        <v>113.7927919511</v>
      </c>
      <c r="U108" s="50" t="n">
        <f aca="false">T108*'Model Inputs &amp; Assumptions'!$D$41*'Model Inputs &amp; Assumptions'!$H$41</f>
        <v>819308.10204792</v>
      </c>
      <c r="V108" s="50" t="n">
        <f aca="false">T108*'Model Inputs &amp; Assumptions'!$G$41*'Model Inputs &amp; Assumptions'!$H$41</f>
        <v>18065.7436501566</v>
      </c>
      <c r="W108" s="50" t="n">
        <f aca="false">SUMIFS('Activation Detail'!$I$4:$I$4003,'Activation Detail'!$A$4:$A$4003,$A108,'Activation Detail'!$N$4:$N$4003,T$2)</f>
        <v>16668.959774</v>
      </c>
      <c r="X108" s="51" t="n">
        <f aca="false">IFERROR(V108/W108,0)</f>
        <v>1.08379550344439</v>
      </c>
      <c r="Y108" s="49" t="n">
        <f aca="false">IFERROR(W108/T108,0)</f>
        <v>146.485199002439</v>
      </c>
      <c r="Z108" s="48" t="n">
        <f aca="false">SUMIFS('Activation Detail'!$H$4:$H$4003,'Activation Detail'!$A$4:$A$4003,$A108,'Activation Detail'!$N$4:$N$4003,Z$2)</f>
        <v>392.360388813828</v>
      </c>
      <c r="AA108" s="50" t="n">
        <f aca="false">Z108*'Model Inputs &amp; Assumptions'!$D$42*'Model Inputs &amp; Assumptions'!$H$42</f>
        <v>2118746.09959467</v>
      </c>
      <c r="AB108" s="50" t="n">
        <f aca="false">Z108*'Model Inputs &amp; Assumptions'!$G$42*'Model Inputs &amp; Assumptions'!$H$42</f>
        <v>44493.6680914881</v>
      </c>
      <c r="AC108" s="50" t="n">
        <f aca="false">SUMIFS('Activation Detail'!$I$4:$I$4003,'Activation Detail'!$A$4:$A$4003,$A108,'Activation Detail'!$N$4:$N$4003,Z$2)</f>
        <v>31803.616</v>
      </c>
      <c r="AD108" s="51" t="n">
        <f aca="false">IFERROR(AB108/AC108,0)</f>
        <v>1.39901286984122</v>
      </c>
      <c r="AE108" s="49" t="n">
        <f aca="false">IFERROR(AC108/Z108,0)</f>
        <v>81.0571528286729</v>
      </c>
    </row>
    <row r="109" customFormat="false" ht="15" hidden="false" customHeight="false" outlineLevel="0" collapsed="false">
      <c r="A109" s="43" t="n">
        <v>106</v>
      </c>
      <c r="B109" s="45" t="n">
        <f aca="false">SUM('Activation Detail'!C109,'Activation Detail'!C609,'Activation Detail'!C1109,'Activation Detail'!C1609,'Activation Detail'!C2109,'Activation Detail'!C2609,'Activation Detail'!C3109,'Activation Detail'!C3609)</f>
        <v>3816331</v>
      </c>
      <c r="C109" s="45" t="n">
        <f aca="false">SUM('Activation Detail'!E109,'Activation Detail'!E609,'Activation Detail'!E1109,'Activation Detail'!E1609,'Activation Detail'!E2109,'Activation Detail'!E2609,'Activation Detail'!E3109,'Activation Detail'!E3609)</f>
        <v>324089</v>
      </c>
      <c r="D109" s="45" t="n">
        <f aca="false">SUM('Activation Detail'!G109,'Activation Detail'!G609,'Activation Detail'!G1109,'Activation Detail'!G1609,'Activation Detail'!G2109,'Activation Detail'!G2609,'Activation Detail'!G3109,'Activation Detail'!G3609)</f>
        <v>12879</v>
      </c>
      <c r="E109" s="48" t="n">
        <f aca="false">SUM('Activation Detail'!H109,'Activation Detail'!H609,'Activation Detail'!H1109,'Activation Detail'!H1609,'Activation Detail'!H2109,'Activation Detail'!H2609,'Activation Detail'!H3109,'Activation Detail'!H3609)</f>
        <v>658.794152584815</v>
      </c>
      <c r="F109" s="50" t="n">
        <f aca="false">SUM('Activation Detail'!I109,'Activation Detail'!I609,'Activation Detail'!I1109,'Activation Detail'!I1609,'Activation Detail'!I2109,'Activation Detail'!I2609,'Activation Detail'!I3109,'Activation Detail'!I3609)</f>
        <v>65867.366734</v>
      </c>
      <c r="G109" s="50" t="n">
        <f aca="false">SUM('Activation Detail'!J109,'Activation Detail'!J609,'Activation Detail'!J1109,'Activation Detail'!J1609,'Activation Detail'!J2109,'Activation Detail'!J2609,'Activation Detail'!J3109,'Activation Detail'!J3609)</f>
        <v>4265183.06583109</v>
      </c>
      <c r="H109" s="50" t="n">
        <f aca="false">SUM('Activation Detail'!K109,'Activation Detail'!K609,'Activation Detail'!K1109,'Activation Detail'!K1609,'Activation Detail'!K2109,'Activation Detail'!K2609,'Activation Detail'!K3109,'Activation Detail'!K3609)</f>
        <v>92502.9189996109</v>
      </c>
      <c r="I109" s="51" t="n">
        <f aca="false">IFERROR(H109/F109,0)</f>
        <v>1.40438161697243</v>
      </c>
      <c r="J109" s="49" t="n">
        <f aca="false">IFERROR(F109/E109,0)</f>
        <v>99.9817112455626</v>
      </c>
      <c r="K109" s="46" t="n">
        <f aca="false">IFERROR(C109/B109,0)</f>
        <v>0.0849216171238816</v>
      </c>
      <c r="L109" s="47" t="n">
        <f aca="false">IFERROR(D109/B109,0)</f>
        <v>0.00337470727774923</v>
      </c>
      <c r="N109" s="48" t="n">
        <f aca="false">SUMIFS('Activation Detail'!$H$4:$H$4003,'Activation Detail'!$A$4:$A$4003,$A109,'Activation Detail'!$N$4:$N$4003,N$2)</f>
        <v>141.640291514767</v>
      </c>
      <c r="O109" s="50" t="n">
        <f aca="false">N109*'Model Inputs &amp; Assumptions'!$D$40*'Model Inputs &amp; Assumptions'!$H$40</f>
        <v>1203942.47787552</v>
      </c>
      <c r="P109" s="50" t="n">
        <f aca="false">N109*'Model Inputs &amp; Assumptions'!$G$40*'Model Inputs &amp; Assumptions'!$H$40</f>
        <v>27088.7057521992</v>
      </c>
      <c r="Q109" s="50" t="n">
        <f aca="false">SUMIFS('Activation Detail'!$I$4:$I$4003,'Activation Detail'!$A$4:$A$4003,$A109,'Activation Detail'!$N$4:$N$4003,N$2)</f>
        <v>18040.899</v>
      </c>
      <c r="R109" s="51" t="n">
        <f aca="false">IFERROR(P109/Q109,0)</f>
        <v>1.50151640182672</v>
      </c>
      <c r="S109" s="49" t="n">
        <f aca="false">IFERROR(Q109/N109,0)</f>
        <v>127.371236016689</v>
      </c>
      <c r="T109" s="48" t="n">
        <f aca="false">SUMIFS('Activation Detail'!$H$4:$H$4003,'Activation Detail'!$A$4:$A$4003,$A109,'Activation Detail'!$N$4:$N$4003,T$2)</f>
        <v>149.22763232073</v>
      </c>
      <c r="U109" s="50" t="n">
        <f aca="false">T109*'Model Inputs &amp; Assumptions'!$D$41*'Model Inputs &amp; Assumptions'!$H$41</f>
        <v>1074438.95270926</v>
      </c>
      <c r="V109" s="50" t="n">
        <f aca="false">T109*'Model Inputs &amp; Assumptions'!$G$41*'Model Inputs &amp; Assumptions'!$H$41</f>
        <v>23691.3789072391</v>
      </c>
      <c r="W109" s="50" t="n">
        <f aca="false">SUMIFS('Activation Detail'!$I$4:$I$4003,'Activation Detail'!$A$4:$A$4003,$A109,'Activation Detail'!$N$4:$N$4003,T$2)</f>
        <v>14995.879734</v>
      </c>
      <c r="X109" s="51" t="n">
        <f aca="false">IFERROR(V109/W109,0)</f>
        <v>1.57985922316541</v>
      </c>
      <c r="Y109" s="49" t="n">
        <f aca="false">IFERROR(W109/T109,0)</f>
        <v>100.489966240099</v>
      </c>
      <c r="Z109" s="48" t="n">
        <f aca="false">SUMIFS('Activation Detail'!$H$4:$H$4003,'Activation Detail'!$A$4:$A$4003,$A109,'Activation Detail'!$N$4:$N$4003,Z$2)</f>
        <v>367.926228749317</v>
      </c>
      <c r="AA109" s="50" t="n">
        <f aca="false">Z109*'Model Inputs &amp; Assumptions'!$D$42*'Model Inputs &amp; Assumptions'!$H$42</f>
        <v>1986801.63524631</v>
      </c>
      <c r="AB109" s="50" t="n">
        <f aca="false">Z109*'Model Inputs &amp; Assumptions'!$G$42*'Model Inputs &amp; Assumptions'!$H$42</f>
        <v>41722.8343401726</v>
      </c>
      <c r="AC109" s="50" t="n">
        <f aca="false">SUMIFS('Activation Detail'!$I$4:$I$4003,'Activation Detail'!$A$4:$A$4003,$A109,'Activation Detail'!$N$4:$N$4003,Z$2)</f>
        <v>32830.588</v>
      </c>
      <c r="AD109" s="51" t="n">
        <f aca="false">IFERROR(AB109/AC109,0)</f>
        <v>1.27085248488917</v>
      </c>
      <c r="AE109" s="49" t="n">
        <f aca="false">IFERROR(AC109/Z109,0)</f>
        <v>89.2314421605664</v>
      </c>
    </row>
    <row r="110" customFormat="false" ht="15" hidden="false" customHeight="false" outlineLevel="0" collapsed="false">
      <c r="A110" s="43" t="n">
        <v>107</v>
      </c>
      <c r="B110" s="45" t="n">
        <f aca="false">SUM('Activation Detail'!C110,'Activation Detail'!C610,'Activation Detail'!C1110,'Activation Detail'!C1610,'Activation Detail'!C2110,'Activation Detail'!C2610,'Activation Detail'!C3110,'Activation Detail'!C3610)</f>
        <v>4604568</v>
      </c>
      <c r="C110" s="45" t="n">
        <f aca="false">SUM('Activation Detail'!E110,'Activation Detail'!E610,'Activation Detail'!E1110,'Activation Detail'!E1610,'Activation Detail'!E2110,'Activation Detail'!E2610,'Activation Detail'!E3110,'Activation Detail'!E3610)</f>
        <v>486514</v>
      </c>
      <c r="D110" s="45" t="n">
        <f aca="false">SUM('Activation Detail'!G110,'Activation Detail'!G610,'Activation Detail'!G1110,'Activation Detail'!G1610,'Activation Detail'!G2110,'Activation Detail'!G2610,'Activation Detail'!G3110,'Activation Detail'!G3610)</f>
        <v>17234</v>
      </c>
      <c r="E110" s="48" t="n">
        <f aca="false">SUM('Activation Detail'!H110,'Activation Detail'!H610,'Activation Detail'!H1110,'Activation Detail'!H1610,'Activation Detail'!H2110,'Activation Detail'!H2610,'Activation Detail'!H3110,'Activation Detail'!H3610)</f>
        <v>637.831746061485</v>
      </c>
      <c r="F110" s="50" t="n">
        <f aca="false">SUM('Activation Detail'!I110,'Activation Detail'!I610,'Activation Detail'!I1110,'Activation Detail'!I1610,'Activation Detail'!I2110,'Activation Detail'!I2610,'Activation Detail'!I3110,'Activation Detail'!I3610)</f>
        <v>76213.038678</v>
      </c>
      <c r="G110" s="50" t="n">
        <f aca="false">SUM('Activation Detail'!J110,'Activation Detail'!J610,'Activation Detail'!J1110,'Activation Detail'!J1610,'Activation Detail'!J2110,'Activation Detail'!J2610,'Activation Detail'!J3110,'Activation Detail'!J3610)</f>
        <v>3972147.86499068</v>
      </c>
      <c r="H110" s="50" t="n">
        <f aca="false">SUM('Activation Detail'!K110,'Activation Detail'!K610,'Activation Detail'!K1110,'Activation Detail'!K1610,'Activation Detail'!K2110,'Activation Detail'!K2610,'Activation Detail'!K3110,'Activation Detail'!K3610)</f>
        <v>85607.7860766214</v>
      </c>
      <c r="I110" s="51" t="n">
        <f aca="false">IFERROR(H110/F110,0)</f>
        <v>1.12326955546694</v>
      </c>
      <c r="J110" s="49" t="n">
        <f aca="false">IFERROR(F110/E110,0)</f>
        <v>119.487684877092</v>
      </c>
      <c r="K110" s="46" t="n">
        <f aca="false">IFERROR(C110/B110,0)</f>
        <v>0.105658989073459</v>
      </c>
      <c r="L110" s="47" t="n">
        <f aca="false">IFERROR(D110/B110,0)</f>
        <v>0.00374280497106352</v>
      </c>
      <c r="N110" s="48" t="n">
        <f aca="false">SUMIFS('Activation Detail'!$H$4:$H$4003,'Activation Detail'!$A$4:$A$4003,$A110,'Activation Detail'!$N$4:$N$4003,N$2)</f>
        <v>90.0597054417488</v>
      </c>
      <c r="O110" s="50" t="n">
        <f aca="false">N110*'Model Inputs &amp; Assumptions'!$D$40*'Model Inputs &amp; Assumptions'!$H$40</f>
        <v>765507.496254865</v>
      </c>
      <c r="P110" s="50" t="n">
        <f aca="false">N110*'Model Inputs &amp; Assumptions'!$G$40*'Model Inputs &amp; Assumptions'!$H$40</f>
        <v>17223.9186657345</v>
      </c>
      <c r="Q110" s="50" t="n">
        <f aca="false">SUMIFS('Activation Detail'!$I$4:$I$4003,'Activation Detail'!$A$4:$A$4003,$A110,'Activation Detail'!$N$4:$N$4003,N$2)</f>
        <v>17356.1305</v>
      </c>
      <c r="R110" s="51" t="n">
        <f aca="false">IFERROR(P110/Q110,0)</f>
        <v>0.992382412988567</v>
      </c>
      <c r="S110" s="49" t="n">
        <f aca="false">IFERROR(Q110/N110,0)</f>
        <v>192.718046487794</v>
      </c>
      <c r="T110" s="48" t="n">
        <f aca="false">SUMIFS('Activation Detail'!$H$4:$H$4003,'Activation Detail'!$A$4:$A$4003,$A110,'Activation Detail'!$N$4:$N$4003,T$2)</f>
        <v>138.150749660688</v>
      </c>
      <c r="U110" s="50" t="n">
        <f aca="false">T110*'Model Inputs &amp; Assumptions'!$D$41*'Model Inputs &amp; Assumptions'!$H$41</f>
        <v>994685.397556955</v>
      </c>
      <c r="V110" s="50" t="n">
        <f aca="false">T110*'Model Inputs &amp; Assumptions'!$G$41*'Model Inputs &amp; Assumptions'!$H$41</f>
        <v>21932.8130161309</v>
      </c>
      <c r="W110" s="50" t="n">
        <f aca="false">SUMIFS('Activation Detail'!$I$4:$I$4003,'Activation Detail'!$A$4:$A$4003,$A110,'Activation Detail'!$N$4:$N$4003,T$2)</f>
        <v>17785.668178</v>
      </c>
      <c r="X110" s="51" t="n">
        <f aca="false">IFERROR(V110/W110,0)</f>
        <v>1.23317340662302</v>
      </c>
      <c r="Y110" s="49" t="n">
        <f aca="false">IFERROR(W110/T110,0)</f>
        <v>128.741018211507</v>
      </c>
      <c r="Z110" s="48" t="n">
        <f aca="false">SUMIFS('Activation Detail'!$H$4:$H$4003,'Activation Detail'!$A$4:$A$4003,$A110,'Activation Detail'!$N$4:$N$4003,Z$2)</f>
        <v>409.621290959049</v>
      </c>
      <c r="AA110" s="50" t="n">
        <f aca="false">Z110*'Model Inputs &amp; Assumptions'!$D$42*'Model Inputs &amp; Assumptions'!$H$42</f>
        <v>2211954.97117886</v>
      </c>
      <c r="AB110" s="50" t="n">
        <f aca="false">Z110*'Model Inputs &amp; Assumptions'!$G$42*'Model Inputs &amp; Assumptions'!$H$42</f>
        <v>46451.0543947561</v>
      </c>
      <c r="AC110" s="50" t="n">
        <f aca="false">SUMIFS('Activation Detail'!$I$4:$I$4003,'Activation Detail'!$A$4:$A$4003,$A110,'Activation Detail'!$N$4:$N$4003,Z$2)</f>
        <v>41071.24</v>
      </c>
      <c r="AD110" s="51" t="n">
        <f aca="false">IFERROR(AB110/AC110,0)</f>
        <v>1.13098738666658</v>
      </c>
      <c r="AE110" s="49" t="n">
        <f aca="false">IFERROR(AC110/Z110,0)</f>
        <v>100.26637019731</v>
      </c>
    </row>
    <row r="111" customFormat="false" ht="15" hidden="false" customHeight="false" outlineLevel="0" collapsed="false">
      <c r="A111" s="43" t="n">
        <v>108</v>
      </c>
      <c r="B111" s="45" t="n">
        <f aca="false">SUM('Activation Detail'!C111,'Activation Detail'!C611,'Activation Detail'!C1111,'Activation Detail'!C1611,'Activation Detail'!C2111,'Activation Detail'!C2611,'Activation Detail'!C3111,'Activation Detail'!C3611)</f>
        <v>4443195</v>
      </c>
      <c r="C111" s="45" t="n">
        <f aca="false">SUM('Activation Detail'!E111,'Activation Detail'!E611,'Activation Detail'!E1111,'Activation Detail'!E1611,'Activation Detail'!E2111,'Activation Detail'!E2611,'Activation Detail'!E3111,'Activation Detail'!E3611)</f>
        <v>365462</v>
      </c>
      <c r="D111" s="45" t="n">
        <f aca="false">SUM('Activation Detail'!G111,'Activation Detail'!G611,'Activation Detail'!G1111,'Activation Detail'!G1611,'Activation Detail'!G2111,'Activation Detail'!G2611,'Activation Detail'!G3111,'Activation Detail'!G3611)</f>
        <v>15336</v>
      </c>
      <c r="E111" s="48" t="n">
        <f aca="false">SUM('Activation Detail'!H111,'Activation Detail'!H611,'Activation Detail'!H1111,'Activation Detail'!H1611,'Activation Detail'!H2111,'Activation Detail'!H2611,'Activation Detail'!H3111,'Activation Detail'!H3611)</f>
        <v>513.048462062579</v>
      </c>
      <c r="F111" s="50" t="n">
        <f aca="false">SUM('Activation Detail'!I111,'Activation Detail'!I611,'Activation Detail'!I1111,'Activation Detail'!I1611,'Activation Detail'!I2111,'Activation Detail'!I2611,'Activation Detail'!I3111,'Activation Detail'!I3611)</f>
        <v>69747.860638</v>
      </c>
      <c r="G111" s="50" t="n">
        <f aca="false">SUM('Activation Detail'!J111,'Activation Detail'!J611,'Activation Detail'!J1111,'Activation Detail'!J1611,'Activation Detail'!J2111,'Activation Detail'!J2611,'Activation Detail'!J3111,'Activation Detail'!J3611)</f>
        <v>3341417.90415067</v>
      </c>
      <c r="H111" s="50" t="n">
        <f aca="false">SUM('Activation Detail'!K111,'Activation Detail'!K611,'Activation Detail'!K1111,'Activation Detail'!K1611,'Activation Detail'!K2111,'Activation Detail'!K2611,'Activation Detail'!K3111,'Activation Detail'!K3611)</f>
        <v>72542.6667499479</v>
      </c>
      <c r="I111" s="51" t="n">
        <f aca="false">IFERROR(H111/F111,0)</f>
        <v>1.0400701338562</v>
      </c>
      <c r="J111" s="49" t="n">
        <f aca="false">IFERROR(F111/E111,0)</f>
        <v>135.947899263934</v>
      </c>
      <c r="K111" s="46" t="n">
        <f aca="false">IFERROR(C111/B111,0)</f>
        <v>0.0822520731140542</v>
      </c>
      <c r="L111" s="47" t="n">
        <f aca="false">IFERROR(D111/B111,0)</f>
        <v>0.00345157032270697</v>
      </c>
      <c r="N111" s="48" t="n">
        <f aca="false">SUMIFS('Activation Detail'!$H$4:$H$4003,'Activation Detail'!$A$4:$A$4003,$A111,'Activation Detail'!$N$4:$N$4003,N$2)</f>
        <v>93.0567224801848</v>
      </c>
      <c r="O111" s="50" t="n">
        <f aca="false">N111*'Model Inputs &amp; Assumptions'!$D$40*'Model Inputs &amp; Assumptions'!$H$40</f>
        <v>790982.14108157</v>
      </c>
      <c r="P111" s="50" t="n">
        <f aca="false">N111*'Model Inputs &amp; Assumptions'!$G$40*'Model Inputs &amp; Assumptions'!$H$40</f>
        <v>17797.0981743353</v>
      </c>
      <c r="Q111" s="50" t="n">
        <f aca="false">SUMIFS('Activation Detail'!$I$4:$I$4003,'Activation Detail'!$A$4:$A$4003,$A111,'Activation Detail'!$N$4:$N$4003,N$2)</f>
        <v>18092.1515</v>
      </c>
      <c r="R111" s="51" t="n">
        <f aca="false">IFERROR(P111/Q111,0)</f>
        <v>0.983691639677865</v>
      </c>
      <c r="S111" s="49" t="n">
        <f aca="false">IFERROR(Q111/N111,0)</f>
        <v>194.42068254502</v>
      </c>
      <c r="T111" s="48" t="n">
        <f aca="false">SUMIFS('Activation Detail'!$H$4:$H$4003,'Activation Detail'!$A$4:$A$4003,$A111,'Activation Detail'!$N$4:$N$4003,T$2)</f>
        <v>156.933538513427</v>
      </c>
      <c r="U111" s="50" t="n">
        <f aca="false">T111*'Model Inputs &amp; Assumptions'!$D$41*'Model Inputs &amp; Assumptions'!$H$41</f>
        <v>1129921.47729667</v>
      </c>
      <c r="V111" s="50" t="n">
        <f aca="false">T111*'Model Inputs &amp; Assumptions'!$G$41*'Model Inputs &amp; Assumptions'!$H$41</f>
        <v>24914.7685743916</v>
      </c>
      <c r="W111" s="50" t="n">
        <f aca="false">SUMIFS('Activation Detail'!$I$4:$I$4003,'Activation Detail'!$A$4:$A$4003,$A111,'Activation Detail'!$N$4:$N$4003,T$2)</f>
        <v>16483.369138</v>
      </c>
      <c r="X111" s="51" t="n">
        <f aca="false">IFERROR(V111/W111,0)</f>
        <v>1.51150947150448</v>
      </c>
      <c r="Y111" s="49" t="n">
        <f aca="false">IFERROR(W111/T111,0)</f>
        <v>105.034075533763</v>
      </c>
      <c r="Z111" s="48" t="n">
        <f aca="false">SUMIFS('Activation Detail'!$H$4:$H$4003,'Activation Detail'!$A$4:$A$4003,$A111,'Activation Detail'!$N$4:$N$4003,Z$2)</f>
        <v>263.058201068968</v>
      </c>
      <c r="AA111" s="50" t="n">
        <f aca="false">Z111*'Model Inputs &amp; Assumptions'!$D$42*'Model Inputs &amp; Assumptions'!$H$42</f>
        <v>1420514.28577243</v>
      </c>
      <c r="AB111" s="50" t="n">
        <f aca="false">Z111*'Model Inputs &amp; Assumptions'!$G$42*'Model Inputs &amp; Assumptions'!$H$42</f>
        <v>29830.800001221</v>
      </c>
      <c r="AC111" s="50" t="n">
        <f aca="false">SUMIFS('Activation Detail'!$I$4:$I$4003,'Activation Detail'!$A$4:$A$4003,$A111,'Activation Detail'!$N$4:$N$4003,Z$2)</f>
        <v>35172.34</v>
      </c>
      <c r="AD111" s="51" t="n">
        <f aca="false">IFERROR(AB111/AC111,0)</f>
        <v>0.848132367684975</v>
      </c>
      <c r="AE111" s="49" t="n">
        <f aca="false">IFERROR(AC111/Z111,0)</f>
        <v>133.705544465343</v>
      </c>
    </row>
    <row r="112" customFormat="false" ht="15" hidden="false" customHeight="false" outlineLevel="0" collapsed="false">
      <c r="A112" s="43" t="n">
        <v>109</v>
      </c>
      <c r="B112" s="45" t="n">
        <f aca="false">SUM('Activation Detail'!C112,'Activation Detail'!C612,'Activation Detail'!C1112,'Activation Detail'!C1612,'Activation Detail'!C2112,'Activation Detail'!C2612,'Activation Detail'!C3112,'Activation Detail'!C3612)</f>
        <v>3914903</v>
      </c>
      <c r="C112" s="45" t="n">
        <f aca="false">SUM('Activation Detail'!E112,'Activation Detail'!E612,'Activation Detail'!E1112,'Activation Detail'!E1612,'Activation Detail'!E2112,'Activation Detail'!E2612,'Activation Detail'!E3112,'Activation Detail'!E3612)</f>
        <v>335655</v>
      </c>
      <c r="D112" s="45" t="n">
        <f aca="false">SUM('Activation Detail'!G112,'Activation Detail'!G612,'Activation Detail'!G1112,'Activation Detail'!G1612,'Activation Detail'!G2112,'Activation Detail'!G2612,'Activation Detail'!G3112,'Activation Detail'!G3612)</f>
        <v>12924</v>
      </c>
      <c r="E112" s="48" t="n">
        <f aca="false">SUM('Activation Detail'!H112,'Activation Detail'!H612,'Activation Detail'!H1112,'Activation Detail'!H1612,'Activation Detail'!H2112,'Activation Detail'!H2612,'Activation Detail'!H3112,'Activation Detail'!H3612)</f>
        <v>561.649837389784</v>
      </c>
      <c r="F112" s="50" t="n">
        <f aca="false">SUM('Activation Detail'!I112,'Activation Detail'!I612,'Activation Detail'!I1112,'Activation Detail'!I1612,'Activation Detail'!I2112,'Activation Detail'!I2612,'Activation Detail'!I3112,'Activation Detail'!I3612)</f>
        <v>74552.83929</v>
      </c>
      <c r="G112" s="50" t="n">
        <f aca="false">SUM('Activation Detail'!J112,'Activation Detail'!J612,'Activation Detail'!J1112,'Activation Detail'!J1612,'Activation Detail'!J2112,'Activation Detail'!J2612,'Activation Detail'!J3112,'Activation Detail'!J3612)</f>
        <v>3895611.56246979</v>
      </c>
      <c r="H112" s="50" t="n">
        <f aca="false">SUM('Activation Detail'!K112,'Activation Detail'!K612,'Activation Detail'!K1112,'Activation Detail'!K1612,'Activation Detail'!K2112,'Activation Detail'!K2612,'Activation Detail'!K3112,'Activation Detail'!K3612)</f>
        <v>85396.4000502933</v>
      </c>
      <c r="I112" s="51" t="n">
        <f aca="false">IFERROR(H112/F112,0)</f>
        <v>1.14544799183454</v>
      </c>
      <c r="J112" s="49" t="n">
        <f aca="false">IFERROR(F112/E112,0)</f>
        <v>132.739002714712</v>
      </c>
      <c r="K112" s="46" t="n">
        <f aca="false">IFERROR(C112/B112,0)</f>
        <v>0.0857377564654859</v>
      </c>
      <c r="L112" s="47" t="n">
        <f aca="false">IFERROR(D112/B112,0)</f>
        <v>0.00330123121824474</v>
      </c>
      <c r="N112" s="48" t="n">
        <f aca="false">SUMIFS('Activation Detail'!$H$4:$H$4003,'Activation Detail'!$A$4:$A$4003,$A112,'Activation Detail'!$N$4:$N$4003,N$2)</f>
        <v>128.863007204383</v>
      </c>
      <c r="O112" s="50" t="n">
        <f aca="false">N112*'Model Inputs &amp; Assumptions'!$D$40*'Model Inputs &amp; Assumptions'!$H$40</f>
        <v>1095335.56123726</v>
      </c>
      <c r="P112" s="50" t="n">
        <f aca="false">N112*'Model Inputs &amp; Assumptions'!$G$40*'Model Inputs &amp; Assumptions'!$H$40</f>
        <v>24645.0501278383</v>
      </c>
      <c r="Q112" s="50" t="n">
        <f aca="false">SUMIFS('Activation Detail'!$I$4:$I$4003,'Activation Detail'!$A$4:$A$4003,$A112,'Activation Detail'!$N$4:$N$4003,N$2)</f>
        <v>18825.631</v>
      </c>
      <c r="R112" s="51" t="n">
        <f aca="false">IFERROR(P112/Q112,0)</f>
        <v>1.30912212864675</v>
      </c>
      <c r="S112" s="49" t="n">
        <f aca="false">IFERROR(Q112/N112,0)</f>
        <v>146.090265999626</v>
      </c>
      <c r="T112" s="48" t="n">
        <f aca="false">SUMIFS('Activation Detail'!$H$4:$H$4003,'Activation Detail'!$A$4:$A$4003,$A112,'Activation Detail'!$N$4:$N$4003,T$2)</f>
        <v>257.348399017431</v>
      </c>
      <c r="U112" s="50" t="n">
        <f aca="false">T112*'Model Inputs &amp; Assumptions'!$D$41*'Model Inputs &amp; Assumptions'!$H$41</f>
        <v>1852908.4729255</v>
      </c>
      <c r="V112" s="50" t="n">
        <f aca="false">T112*'Model Inputs &amp; Assumptions'!$G$41*'Model Inputs &amp; Assumptions'!$H$41</f>
        <v>40856.6318280073</v>
      </c>
      <c r="W112" s="50" t="n">
        <f aca="false">SUMIFS('Activation Detail'!$I$4:$I$4003,'Activation Detail'!$A$4:$A$4003,$A112,'Activation Detail'!$N$4:$N$4003,T$2)</f>
        <v>17371.08829</v>
      </c>
      <c r="X112" s="51" t="n">
        <f aca="false">IFERROR(V112/W112,0)</f>
        <v>2.35199033854011</v>
      </c>
      <c r="Y112" s="49" t="n">
        <f aca="false">IFERROR(W112/T112,0)</f>
        <v>67.5002772751791</v>
      </c>
      <c r="Z112" s="48" t="n">
        <f aca="false">SUMIFS('Activation Detail'!$H$4:$H$4003,'Activation Detail'!$A$4:$A$4003,$A112,'Activation Detail'!$N$4:$N$4003,Z$2)</f>
        <v>175.43843116797</v>
      </c>
      <c r="AA112" s="50" t="n">
        <f aca="false">Z112*'Model Inputs &amp; Assumptions'!$D$42*'Model Inputs &amp; Assumptions'!$H$42</f>
        <v>947367.528307037</v>
      </c>
      <c r="AB112" s="50" t="n">
        <f aca="false">Z112*'Model Inputs &amp; Assumptions'!$G$42*'Model Inputs &amp; Assumptions'!$H$42</f>
        <v>19894.7180944478</v>
      </c>
      <c r="AC112" s="50" t="n">
        <f aca="false">SUMIFS('Activation Detail'!$I$4:$I$4003,'Activation Detail'!$A$4:$A$4003,$A112,'Activation Detail'!$N$4:$N$4003,Z$2)</f>
        <v>38356.12</v>
      </c>
      <c r="AD112" s="51" t="n">
        <f aca="false">IFERROR(AB112/AC112,0)</f>
        <v>0.518684321939961</v>
      </c>
      <c r="AE112" s="49" t="n">
        <f aca="false">IFERROR(AC112/Z112,0)</f>
        <v>218.630090024441</v>
      </c>
    </row>
    <row r="113" customFormat="false" ht="15" hidden="false" customHeight="false" outlineLevel="0" collapsed="false">
      <c r="A113" s="43" t="n">
        <v>110</v>
      </c>
      <c r="B113" s="45" t="n">
        <f aca="false">SUM('Activation Detail'!C113,'Activation Detail'!C613,'Activation Detail'!C1113,'Activation Detail'!C1613,'Activation Detail'!C2113,'Activation Detail'!C2613,'Activation Detail'!C3113,'Activation Detail'!C3613)</f>
        <v>4203605</v>
      </c>
      <c r="C113" s="45" t="n">
        <f aca="false">SUM('Activation Detail'!E113,'Activation Detail'!E613,'Activation Detail'!E1113,'Activation Detail'!E1613,'Activation Detail'!E2113,'Activation Detail'!E2613,'Activation Detail'!E3113,'Activation Detail'!E3613)</f>
        <v>376797</v>
      </c>
      <c r="D113" s="45" t="n">
        <f aca="false">SUM('Activation Detail'!G113,'Activation Detail'!G613,'Activation Detail'!G1113,'Activation Detail'!G1613,'Activation Detail'!G2113,'Activation Detail'!G2613,'Activation Detail'!G3113,'Activation Detail'!G3613)</f>
        <v>17396</v>
      </c>
      <c r="E113" s="48" t="n">
        <f aca="false">SUM('Activation Detail'!H113,'Activation Detail'!H613,'Activation Detail'!H1113,'Activation Detail'!H1613,'Activation Detail'!H2113,'Activation Detail'!H2613,'Activation Detail'!H3113,'Activation Detail'!H3613)</f>
        <v>649.060482967577</v>
      </c>
      <c r="F113" s="50" t="n">
        <f aca="false">SUM('Activation Detail'!I113,'Activation Detail'!I613,'Activation Detail'!I1113,'Activation Detail'!I1613,'Activation Detail'!I2113,'Activation Detail'!I2613,'Activation Detail'!I3113,'Activation Detail'!I3613)</f>
        <v>75915.685114</v>
      </c>
      <c r="G113" s="50" t="n">
        <f aca="false">SUM('Activation Detail'!J113,'Activation Detail'!J613,'Activation Detail'!J1113,'Activation Detail'!J1613,'Activation Detail'!J2113,'Activation Detail'!J2613,'Activation Detail'!J3113,'Activation Detail'!J3613)</f>
        <v>4047837.97575223</v>
      </c>
      <c r="H113" s="50" t="n">
        <f aca="false">SUM('Activation Detail'!K113,'Activation Detail'!K613,'Activation Detail'!K1113,'Activation Detail'!K1613,'Activation Detail'!K2113,'Activation Detail'!K2613,'Activation Detail'!K3113,'Activation Detail'!K3613)</f>
        <v>87258.3952034313</v>
      </c>
      <c r="I113" s="51" t="n">
        <f aca="false">IFERROR(H113/F113,0)</f>
        <v>1.14941194395333</v>
      </c>
      <c r="J113" s="49" t="n">
        <f aca="false">IFERROR(F113/E113,0)</f>
        <v>116.962420461811</v>
      </c>
      <c r="K113" s="46" t="n">
        <f aca="false">IFERROR(C113/B113,0)</f>
        <v>0.0896366333183066</v>
      </c>
      <c r="L113" s="47" t="n">
        <f aca="false">IFERROR(D113/B113,0)</f>
        <v>0.00413835267585798</v>
      </c>
      <c r="N113" s="48" t="n">
        <f aca="false">SUMIFS('Activation Detail'!$H$4:$H$4003,'Activation Detail'!$A$4:$A$4003,$A113,'Activation Detail'!$N$4:$N$4003,N$2)</f>
        <v>97.8890067419463</v>
      </c>
      <c r="O113" s="50" t="n">
        <f aca="false">N113*'Model Inputs &amp; Assumptions'!$D$40*'Model Inputs &amp; Assumptions'!$H$40</f>
        <v>832056.557306544</v>
      </c>
      <c r="P113" s="50" t="n">
        <f aca="false">N113*'Model Inputs &amp; Assumptions'!$G$40*'Model Inputs &amp; Assumptions'!$H$40</f>
        <v>18721.2725393972</v>
      </c>
      <c r="Q113" s="50" t="n">
        <f aca="false">SUMIFS('Activation Detail'!$I$4:$I$4003,'Activation Detail'!$A$4:$A$4003,$A113,'Activation Detail'!$N$4:$N$4003,N$2)</f>
        <v>18228.5605</v>
      </c>
      <c r="R113" s="51" t="n">
        <f aca="false">IFERROR(P113/Q113,0)</f>
        <v>1.0270296735388</v>
      </c>
      <c r="S113" s="49" t="n">
        <f aca="false">IFERROR(Q113/N113,0)</f>
        <v>186.216625407732</v>
      </c>
      <c r="T113" s="48" t="n">
        <f aca="false">SUMIFS('Activation Detail'!$H$4:$H$4003,'Activation Detail'!$A$4:$A$4003,$A113,'Activation Detail'!$N$4:$N$4003,T$2)</f>
        <v>133.030803792936</v>
      </c>
      <c r="U113" s="50" t="n">
        <f aca="false">T113*'Model Inputs &amp; Assumptions'!$D$41*'Model Inputs &amp; Assumptions'!$H$41</f>
        <v>957821.787309137</v>
      </c>
      <c r="V113" s="50" t="n">
        <f aca="false">T113*'Model Inputs &amp; Assumptions'!$G$41*'Model Inputs &amp; Assumptions'!$H$41</f>
        <v>21119.9704101665</v>
      </c>
      <c r="W113" s="50" t="n">
        <f aca="false">SUMIFS('Activation Detail'!$I$4:$I$4003,'Activation Detail'!$A$4:$A$4003,$A113,'Activation Detail'!$N$4:$N$4003,T$2)</f>
        <v>18415.848614</v>
      </c>
      <c r="X113" s="51" t="n">
        <f aca="false">IFERROR(V113/W113,0)</f>
        <v>1.14683666513802</v>
      </c>
      <c r="Y113" s="49" t="n">
        <f aca="false">IFERROR(W113/T113,0)</f>
        <v>138.432965064727</v>
      </c>
      <c r="Z113" s="48" t="n">
        <f aca="false">SUMIFS('Activation Detail'!$H$4:$H$4003,'Activation Detail'!$A$4:$A$4003,$A113,'Activation Detail'!$N$4:$N$4003,Z$2)</f>
        <v>418.140672432695</v>
      </c>
      <c r="AA113" s="50" t="n">
        <f aca="false">Z113*'Model Inputs &amp; Assumptions'!$D$42*'Model Inputs &amp; Assumptions'!$H$42</f>
        <v>2257959.63113655</v>
      </c>
      <c r="AB113" s="50" t="n">
        <f aca="false">Z113*'Model Inputs &amp; Assumptions'!$G$42*'Model Inputs &amp; Assumptions'!$H$42</f>
        <v>47417.1522538676</v>
      </c>
      <c r="AC113" s="50" t="n">
        <f aca="false">SUMIFS('Activation Detail'!$I$4:$I$4003,'Activation Detail'!$A$4:$A$4003,$A113,'Activation Detail'!$N$4:$N$4003,Z$2)</f>
        <v>39271.276</v>
      </c>
      <c r="AD113" s="51" t="n">
        <f aca="false">IFERROR(AB113/AC113,0)</f>
        <v>1.20742581050505</v>
      </c>
      <c r="AE113" s="49" t="n">
        <f aca="false">IFERROR(AC113/Z113,0)</f>
        <v>93.9188139042399</v>
      </c>
    </row>
    <row r="114" customFormat="false" ht="15" hidden="false" customHeight="false" outlineLevel="0" collapsed="false">
      <c r="A114" s="43" t="n">
        <v>111</v>
      </c>
      <c r="B114" s="45" t="n">
        <f aca="false">SUM('Activation Detail'!C114,'Activation Detail'!C614,'Activation Detail'!C1114,'Activation Detail'!C1614,'Activation Detail'!C2114,'Activation Detail'!C2614,'Activation Detail'!C3114,'Activation Detail'!C3614)</f>
        <v>3736537</v>
      </c>
      <c r="C114" s="45" t="n">
        <f aca="false">SUM('Activation Detail'!E114,'Activation Detail'!E614,'Activation Detail'!E1114,'Activation Detail'!E1614,'Activation Detail'!E2114,'Activation Detail'!E2614,'Activation Detail'!E3114,'Activation Detail'!E3614)</f>
        <v>517750</v>
      </c>
      <c r="D114" s="45" t="n">
        <f aca="false">SUM('Activation Detail'!G114,'Activation Detail'!G614,'Activation Detail'!G1114,'Activation Detail'!G1614,'Activation Detail'!G2114,'Activation Detail'!G2614,'Activation Detail'!G3114,'Activation Detail'!G3614)</f>
        <v>15597</v>
      </c>
      <c r="E114" s="48" t="n">
        <f aca="false">SUM('Activation Detail'!H114,'Activation Detail'!H614,'Activation Detail'!H1114,'Activation Detail'!H1614,'Activation Detail'!H2114,'Activation Detail'!H2614,'Activation Detail'!H3114,'Activation Detail'!H3614)</f>
        <v>746.813358626261</v>
      </c>
      <c r="F114" s="50" t="n">
        <f aca="false">SUM('Activation Detail'!I114,'Activation Detail'!I614,'Activation Detail'!I1114,'Activation Detail'!I1614,'Activation Detail'!I2114,'Activation Detail'!I2614,'Activation Detail'!I3114,'Activation Detail'!I3614)</f>
        <v>72643.643214</v>
      </c>
      <c r="G114" s="50" t="n">
        <f aca="false">SUM('Activation Detail'!J114,'Activation Detail'!J614,'Activation Detail'!J1114,'Activation Detail'!J1614,'Activation Detail'!J2114,'Activation Detail'!J2614,'Activation Detail'!J3114,'Activation Detail'!J3614)</f>
        <v>4600333.45359106</v>
      </c>
      <c r="H114" s="50" t="n">
        <f aca="false">SUM('Activation Detail'!K114,'Activation Detail'!K614,'Activation Detail'!K1114,'Activation Detail'!K1614,'Activation Detail'!K2114,'Activation Detail'!K2614,'Activation Detail'!K3114,'Activation Detail'!K3614)</f>
        <v>98963.1278563555</v>
      </c>
      <c r="I114" s="51" t="n">
        <f aca="false">IFERROR(H114/F114,0)</f>
        <v>1.36230953567157</v>
      </c>
      <c r="J114" s="49" t="n">
        <f aca="false">IFERROR(F114/E114,0)</f>
        <v>97.2714833966356</v>
      </c>
      <c r="K114" s="46" t="n">
        <f aca="false">IFERROR(C114/B114,0)</f>
        <v>0.138564130369912</v>
      </c>
      <c r="L114" s="47" t="n">
        <f aca="false">IFERROR(D114/B114,0)</f>
        <v>0.00417418588388125</v>
      </c>
      <c r="N114" s="48" t="n">
        <f aca="false">SUMIFS('Activation Detail'!$H$4:$H$4003,'Activation Detail'!$A$4:$A$4003,$A114,'Activation Detail'!$N$4:$N$4003,N$2)</f>
        <v>102.030372205941</v>
      </c>
      <c r="O114" s="50" t="n">
        <f aca="false">N114*'Model Inputs &amp; Assumptions'!$D$40*'Model Inputs &amp; Assumptions'!$H$40</f>
        <v>867258.163750499</v>
      </c>
      <c r="P114" s="50" t="n">
        <f aca="false">N114*'Model Inputs &amp; Assumptions'!$G$40*'Model Inputs &amp; Assumptions'!$H$40</f>
        <v>19513.3086843862</v>
      </c>
      <c r="Q114" s="50" t="n">
        <f aca="false">SUMIFS('Activation Detail'!$I$4:$I$4003,'Activation Detail'!$A$4:$A$4003,$A114,'Activation Detail'!$N$4:$N$4003,N$2)</f>
        <v>17651.9975</v>
      </c>
      <c r="R114" s="51" t="n">
        <f aca="false">IFERROR(P114/Q114,0)</f>
        <v>1.10544479084513</v>
      </c>
      <c r="S114" s="49" t="n">
        <f aca="false">IFERROR(Q114/N114,0)</f>
        <v>173.007283207501</v>
      </c>
      <c r="T114" s="48" t="n">
        <f aca="false">SUMIFS('Activation Detail'!$H$4:$H$4003,'Activation Detail'!$A$4:$A$4003,$A114,'Activation Detail'!$N$4:$N$4003,T$2)</f>
        <v>139.581757317131</v>
      </c>
      <c r="U114" s="50" t="n">
        <f aca="false">T114*'Model Inputs &amp; Assumptions'!$D$41*'Model Inputs &amp; Assumptions'!$H$41</f>
        <v>1004988.65268334</v>
      </c>
      <c r="V114" s="50" t="n">
        <f aca="false">T114*'Model Inputs &amp; Assumptions'!$G$41*'Model Inputs &amp; Assumptions'!$H$41</f>
        <v>22159.9997916677</v>
      </c>
      <c r="W114" s="50" t="n">
        <f aca="false">SUMIFS('Activation Detail'!$I$4:$I$4003,'Activation Detail'!$A$4:$A$4003,$A114,'Activation Detail'!$N$4:$N$4003,T$2)</f>
        <v>17085.633714</v>
      </c>
      <c r="X114" s="51" t="n">
        <f aca="false">IFERROR(V114/W114,0)</f>
        <v>1.29699607065261</v>
      </c>
      <c r="Y114" s="49" t="n">
        <f aca="false">IFERROR(W114/T114,0)</f>
        <v>122.405922109014</v>
      </c>
      <c r="Z114" s="48" t="n">
        <f aca="false">SUMIFS('Activation Detail'!$H$4:$H$4003,'Activation Detail'!$A$4:$A$4003,$A114,'Activation Detail'!$N$4:$N$4003,Z$2)</f>
        <v>505.201229103189</v>
      </c>
      <c r="AA114" s="50" t="n">
        <f aca="false">Z114*'Model Inputs &amp; Assumptions'!$D$42*'Model Inputs &amp; Assumptions'!$H$42</f>
        <v>2728086.63715722</v>
      </c>
      <c r="AB114" s="50" t="n">
        <f aca="false">Z114*'Model Inputs &amp; Assumptions'!$G$42*'Model Inputs &amp; Assumptions'!$H$42</f>
        <v>57289.8193803016</v>
      </c>
      <c r="AC114" s="50" t="n">
        <f aca="false">SUMIFS('Activation Detail'!$I$4:$I$4003,'Activation Detail'!$A$4:$A$4003,$A114,'Activation Detail'!$N$4:$N$4003,Z$2)</f>
        <v>37906.012</v>
      </c>
      <c r="AD114" s="51" t="n">
        <f aca="false">IFERROR(AB114/AC114,0)</f>
        <v>1.51136498823199</v>
      </c>
      <c r="AE114" s="49" t="n">
        <f aca="false">IFERROR(AC114/Z114,0)</f>
        <v>75.0315118339857</v>
      </c>
    </row>
    <row r="115" customFormat="false" ht="15" hidden="false" customHeight="false" outlineLevel="0" collapsed="false">
      <c r="A115" s="43" t="n">
        <v>112</v>
      </c>
      <c r="B115" s="45" t="n">
        <f aca="false">SUM('Activation Detail'!C115,'Activation Detail'!C615,'Activation Detail'!C1115,'Activation Detail'!C1615,'Activation Detail'!C2115,'Activation Detail'!C2615,'Activation Detail'!C3115,'Activation Detail'!C3615)</f>
        <v>5168029</v>
      </c>
      <c r="C115" s="45" t="n">
        <f aca="false">SUM('Activation Detail'!E115,'Activation Detail'!E615,'Activation Detail'!E1115,'Activation Detail'!E1615,'Activation Detail'!E2115,'Activation Detail'!E2615,'Activation Detail'!E3115,'Activation Detail'!E3615)</f>
        <v>482327</v>
      </c>
      <c r="D115" s="45" t="n">
        <f aca="false">SUM('Activation Detail'!G115,'Activation Detail'!G615,'Activation Detail'!G1115,'Activation Detail'!G1615,'Activation Detail'!G2115,'Activation Detail'!G2615,'Activation Detail'!G3115,'Activation Detail'!G3615)</f>
        <v>22341</v>
      </c>
      <c r="E115" s="48" t="n">
        <f aca="false">SUM('Activation Detail'!H115,'Activation Detail'!H615,'Activation Detail'!H1115,'Activation Detail'!H1615,'Activation Detail'!H2115,'Activation Detail'!H2615,'Activation Detail'!H3115,'Activation Detail'!H3615)</f>
        <v>907.982721466751</v>
      </c>
      <c r="F115" s="50" t="n">
        <f aca="false">SUM('Activation Detail'!I115,'Activation Detail'!I615,'Activation Detail'!I1115,'Activation Detail'!I1615,'Activation Detail'!I2115,'Activation Detail'!I2615,'Activation Detail'!I3115,'Activation Detail'!I3615)</f>
        <v>83189.913372</v>
      </c>
      <c r="G115" s="50" t="n">
        <f aca="false">SUM('Activation Detail'!J115,'Activation Detail'!J615,'Activation Detail'!J1115,'Activation Detail'!J1615,'Activation Detail'!J2115,'Activation Detail'!J2615,'Activation Detail'!J3115,'Activation Detail'!J3615)</f>
        <v>5649396.87885146</v>
      </c>
      <c r="H115" s="50" t="n">
        <f aca="false">SUM('Activation Detail'!K115,'Activation Detail'!K615,'Activation Detail'!K1115,'Activation Detail'!K1615,'Activation Detail'!K2115,'Activation Detail'!K2615,'Activation Detail'!K3115,'Activation Detail'!K3615)</f>
        <v>121743.527965767</v>
      </c>
      <c r="I115" s="51" t="n">
        <f aca="false">IFERROR(H115/F115,0)</f>
        <v>1.46344097536641</v>
      </c>
      <c r="J115" s="49" t="n">
        <f aca="false">IFERROR(F115/E115,0)</f>
        <v>91.6205907945202</v>
      </c>
      <c r="K115" s="46" t="n">
        <f aca="false">IFERROR(C115/B115,0)</f>
        <v>0.09332900415226</v>
      </c>
      <c r="L115" s="47" t="n">
        <f aca="false">IFERROR(D115/B115,0)</f>
        <v>0.00432292465851101</v>
      </c>
      <c r="N115" s="48" t="n">
        <f aca="false">SUMIFS('Activation Detail'!$H$4:$H$4003,'Activation Detail'!$A$4:$A$4003,$A115,'Activation Detail'!$N$4:$N$4003,N$2)</f>
        <v>104.53799416424</v>
      </c>
      <c r="O115" s="50" t="n">
        <f aca="false">N115*'Model Inputs &amp; Assumptions'!$D$40*'Model Inputs &amp; Assumptions'!$H$40</f>
        <v>888572.950396044</v>
      </c>
      <c r="P115" s="50" t="n">
        <f aca="false">N115*'Model Inputs &amp; Assumptions'!$G$40*'Model Inputs &amp; Assumptions'!$H$40</f>
        <v>19992.891383911</v>
      </c>
      <c r="Q115" s="50" t="n">
        <f aca="false">SUMIFS('Activation Detail'!$I$4:$I$4003,'Activation Detail'!$A$4:$A$4003,$A115,'Activation Detail'!$N$4:$N$4003,N$2)</f>
        <v>20449.0775</v>
      </c>
      <c r="R115" s="51" t="n">
        <f aca="false">IFERROR(P115/Q115,0)</f>
        <v>0.977691604127912</v>
      </c>
      <c r="S115" s="49" t="n">
        <f aca="false">IFERROR(Q115/N115,0)</f>
        <v>195.613830774984</v>
      </c>
      <c r="T115" s="48" t="n">
        <f aca="false">SUMIFS('Activation Detail'!$H$4:$H$4003,'Activation Detail'!$A$4:$A$4003,$A115,'Activation Detail'!$N$4:$N$4003,T$2)</f>
        <v>234.568000567699</v>
      </c>
      <c r="U115" s="50" t="n">
        <f aca="false">T115*'Model Inputs &amp; Assumptions'!$D$41*'Model Inputs &amp; Assumptions'!$H$41</f>
        <v>1688889.60408744</v>
      </c>
      <c r="V115" s="50" t="n">
        <f aca="false">T115*'Model Inputs &amp; Assumptions'!$G$41*'Model Inputs &amp; Assumptions'!$H$41</f>
        <v>37240.015770128</v>
      </c>
      <c r="W115" s="50" t="n">
        <f aca="false">SUMIFS('Activation Detail'!$I$4:$I$4003,'Activation Detail'!$A$4:$A$4003,$A115,'Activation Detail'!$N$4:$N$4003,T$2)</f>
        <v>22120.063872</v>
      </c>
      <c r="X115" s="51" t="n">
        <f aca="false">IFERROR(V115/W115,0)</f>
        <v>1.68354015547248</v>
      </c>
      <c r="Y115" s="49" t="n">
        <f aca="false">IFERROR(W115/T115,0)</f>
        <v>94.3012849939685</v>
      </c>
      <c r="Z115" s="48" t="n">
        <f aca="false">SUMIFS('Activation Detail'!$H$4:$H$4003,'Activation Detail'!$A$4:$A$4003,$A115,'Activation Detail'!$N$4:$N$4003,Z$2)</f>
        <v>568.876726734811</v>
      </c>
      <c r="AA115" s="50" t="n">
        <f aca="false">Z115*'Model Inputs &amp; Assumptions'!$D$42*'Model Inputs &amp; Assumptions'!$H$42</f>
        <v>3071934.32436798</v>
      </c>
      <c r="AB115" s="50" t="n">
        <f aca="false">Z115*'Model Inputs &amp; Assumptions'!$G$42*'Model Inputs &amp; Assumptions'!$H$42</f>
        <v>64510.6208117276</v>
      </c>
      <c r="AC115" s="50" t="n">
        <f aca="false">SUMIFS('Activation Detail'!$I$4:$I$4003,'Activation Detail'!$A$4:$A$4003,$A115,'Activation Detail'!$N$4:$N$4003,Z$2)</f>
        <v>40620.772</v>
      </c>
      <c r="AD115" s="51" t="n">
        <f aca="false">IFERROR(AB115/AC115,0)</f>
        <v>1.58811902471296</v>
      </c>
      <c r="AE115" s="49" t="n">
        <f aca="false">IFERROR(AC115/Z115,0)</f>
        <v>71.4052273383578</v>
      </c>
    </row>
    <row r="116" customFormat="false" ht="15" hidden="false" customHeight="false" outlineLevel="0" collapsed="false">
      <c r="A116" s="43" t="n">
        <v>113</v>
      </c>
      <c r="B116" s="45" t="n">
        <f aca="false">SUM('Activation Detail'!C116,'Activation Detail'!C616,'Activation Detail'!C1116,'Activation Detail'!C1616,'Activation Detail'!C2116,'Activation Detail'!C2616,'Activation Detail'!C3116,'Activation Detail'!C3616)</f>
        <v>3992373</v>
      </c>
      <c r="C116" s="45" t="n">
        <f aca="false">SUM('Activation Detail'!E116,'Activation Detail'!E616,'Activation Detail'!E1116,'Activation Detail'!E1616,'Activation Detail'!E2116,'Activation Detail'!E2616,'Activation Detail'!E3116,'Activation Detail'!E3616)</f>
        <v>412170</v>
      </c>
      <c r="D116" s="45" t="n">
        <f aca="false">SUM('Activation Detail'!G116,'Activation Detail'!G616,'Activation Detail'!G1116,'Activation Detail'!G1616,'Activation Detail'!G2116,'Activation Detail'!G2616,'Activation Detail'!G3116,'Activation Detail'!G3616)</f>
        <v>16129</v>
      </c>
      <c r="E116" s="48" t="n">
        <f aca="false">SUM('Activation Detail'!H116,'Activation Detail'!H616,'Activation Detail'!H1116,'Activation Detail'!H1616,'Activation Detail'!H2116,'Activation Detail'!H2616,'Activation Detail'!H3116,'Activation Detail'!H3616)</f>
        <v>854.053880543774</v>
      </c>
      <c r="F116" s="50" t="n">
        <f aca="false">SUM('Activation Detail'!I116,'Activation Detail'!I616,'Activation Detail'!I1116,'Activation Detail'!I1616,'Activation Detail'!I2116,'Activation Detail'!I2616,'Activation Detail'!I3116,'Activation Detail'!I3616)</f>
        <v>69991.1139</v>
      </c>
      <c r="G116" s="50" t="n">
        <f aca="false">SUM('Activation Detail'!J116,'Activation Detail'!J616,'Activation Detail'!J1116,'Activation Detail'!J1616,'Activation Detail'!J2116,'Activation Detail'!J2616,'Activation Detail'!J3116,'Activation Detail'!J3616)</f>
        <v>5188815.91448097</v>
      </c>
      <c r="H116" s="50" t="n">
        <f aca="false">SUM('Activation Detail'!K116,'Activation Detail'!K616,'Activation Detail'!K1116,'Activation Detail'!K1616,'Activation Detail'!K2116,'Activation Detail'!K2616,'Activation Detail'!K3116,'Activation Detail'!K3616)</f>
        <v>111364.557858345</v>
      </c>
      <c r="I116" s="51" t="n">
        <f aca="false">IFERROR(H116/F116,0)</f>
        <v>1.59112423924925</v>
      </c>
      <c r="J116" s="49" t="n">
        <f aca="false">IFERROR(F116/E116,0)</f>
        <v>81.9516373550541</v>
      </c>
      <c r="K116" s="46" t="n">
        <f aca="false">IFERROR(C116/B116,0)</f>
        <v>0.103239351633728</v>
      </c>
      <c r="L116" s="47" t="n">
        <f aca="false">IFERROR(D116/B116,0)</f>
        <v>0.00403995318072735</v>
      </c>
      <c r="N116" s="48" t="n">
        <f aca="false">SUMIFS('Activation Detail'!$H$4:$H$4003,'Activation Detail'!$A$4:$A$4003,$A116,'Activation Detail'!$N$4:$N$4003,N$2)</f>
        <v>87.633984601022</v>
      </c>
      <c r="O116" s="50" t="n">
        <f aca="false">N116*'Model Inputs &amp; Assumptions'!$D$40*'Model Inputs &amp; Assumptions'!$H$40</f>
        <v>744888.869108687</v>
      </c>
      <c r="P116" s="50" t="n">
        <f aca="false">N116*'Model Inputs &amp; Assumptions'!$G$40*'Model Inputs &amp; Assumptions'!$H$40</f>
        <v>16759.9995549455</v>
      </c>
      <c r="Q116" s="50" t="n">
        <f aca="false">SUMIFS('Activation Detail'!$I$4:$I$4003,'Activation Detail'!$A$4:$A$4003,$A116,'Activation Detail'!$N$4:$N$4003,N$2)</f>
        <v>18150.4825</v>
      </c>
      <c r="R116" s="51" t="n">
        <f aca="false">IFERROR(P116/Q116,0)</f>
        <v>0.923391405983035</v>
      </c>
      <c r="S116" s="49" t="n">
        <f aca="false">IFERROR(Q116/N116,0)</f>
        <v>207.116937368934</v>
      </c>
      <c r="T116" s="48" t="n">
        <f aca="false">SUMIFS('Activation Detail'!$H$4:$H$4003,'Activation Detail'!$A$4:$A$4003,$A116,'Activation Detail'!$N$4:$N$4003,T$2)</f>
        <v>169.588670711901</v>
      </c>
      <c r="U116" s="50" t="n">
        <f aca="false">T116*'Model Inputs &amp; Assumptions'!$D$41*'Model Inputs &amp; Assumptions'!$H$41</f>
        <v>1221038.42912568</v>
      </c>
      <c r="V116" s="50" t="n">
        <f aca="false">T116*'Model Inputs &amp; Assumptions'!$G$41*'Model Inputs &amp; Assumptions'!$H$41</f>
        <v>26923.8973622213</v>
      </c>
      <c r="W116" s="50" t="n">
        <f aca="false">SUMIFS('Activation Detail'!$I$4:$I$4003,'Activation Detail'!$A$4:$A$4003,$A116,'Activation Detail'!$N$4:$N$4003,T$2)</f>
        <v>18468.2194</v>
      </c>
      <c r="X116" s="51" t="n">
        <f aca="false">IFERROR(V116/W116,0)</f>
        <v>1.45785020088192</v>
      </c>
      <c r="Y116" s="49" t="n">
        <f aca="false">IFERROR(W116/T116,0)</f>
        <v>108.900077596422</v>
      </c>
      <c r="Z116" s="48" t="n">
        <f aca="false">SUMIFS('Activation Detail'!$H$4:$H$4003,'Activation Detail'!$A$4:$A$4003,$A116,'Activation Detail'!$N$4:$N$4003,Z$2)</f>
        <v>596.831225230851</v>
      </c>
      <c r="AA116" s="50" t="n">
        <f aca="false">Z116*'Model Inputs &amp; Assumptions'!$D$42*'Model Inputs &amp; Assumptions'!$H$42</f>
        <v>3222888.6162466</v>
      </c>
      <c r="AB116" s="50" t="n">
        <f aca="false">Z116*'Model Inputs &amp; Assumptions'!$G$42*'Model Inputs &amp; Assumptions'!$H$42</f>
        <v>67680.6609411785</v>
      </c>
      <c r="AC116" s="50" t="n">
        <f aca="false">SUMIFS('Activation Detail'!$I$4:$I$4003,'Activation Detail'!$A$4:$A$4003,$A116,'Activation Detail'!$N$4:$N$4003,Z$2)</f>
        <v>33372.412</v>
      </c>
      <c r="AD116" s="51" t="n">
        <f aca="false">IFERROR(AB116/AC116,0)</f>
        <v>2.02804223264349</v>
      </c>
      <c r="AE116" s="49" t="n">
        <f aca="false">IFERROR(AC116/Z116,0)</f>
        <v>55.9159953252978</v>
      </c>
    </row>
    <row r="117" customFormat="false" ht="15" hidden="false" customHeight="false" outlineLevel="0" collapsed="false">
      <c r="A117" s="43" t="n">
        <v>114</v>
      </c>
      <c r="B117" s="45" t="n">
        <f aca="false">SUM('Activation Detail'!C117,'Activation Detail'!C617,'Activation Detail'!C1117,'Activation Detail'!C1617,'Activation Detail'!C2117,'Activation Detail'!C2617,'Activation Detail'!C3117,'Activation Detail'!C3617)</f>
        <v>4349142</v>
      </c>
      <c r="C117" s="45" t="n">
        <f aca="false">SUM('Activation Detail'!E117,'Activation Detail'!E617,'Activation Detail'!E1117,'Activation Detail'!E1617,'Activation Detail'!E2117,'Activation Detail'!E2617,'Activation Detail'!E3117,'Activation Detail'!E3617)</f>
        <v>323210</v>
      </c>
      <c r="D117" s="45" t="n">
        <f aca="false">SUM('Activation Detail'!G117,'Activation Detail'!G617,'Activation Detail'!G1117,'Activation Detail'!G1617,'Activation Detail'!G2117,'Activation Detail'!G2617,'Activation Detail'!G3117,'Activation Detail'!G3617)</f>
        <v>15686</v>
      </c>
      <c r="E117" s="48" t="n">
        <f aca="false">SUM('Activation Detail'!H117,'Activation Detail'!H617,'Activation Detail'!H1117,'Activation Detail'!H1617,'Activation Detail'!H2117,'Activation Detail'!H2617,'Activation Detail'!H3117,'Activation Detail'!H3617)</f>
        <v>588.775075766949</v>
      </c>
      <c r="F117" s="50" t="n">
        <f aca="false">SUM('Activation Detail'!I117,'Activation Detail'!I617,'Activation Detail'!I1117,'Activation Detail'!I1617,'Activation Detail'!I2117,'Activation Detail'!I2617,'Activation Detail'!I3117,'Activation Detail'!I3617)</f>
        <v>69446.244434</v>
      </c>
      <c r="G117" s="50" t="n">
        <f aca="false">SUM('Activation Detail'!J117,'Activation Detail'!J617,'Activation Detail'!J1117,'Activation Detail'!J1617,'Activation Detail'!J2117,'Activation Detail'!J2617,'Activation Detail'!J3117,'Activation Detail'!J3617)</f>
        <v>3715862.27327539</v>
      </c>
      <c r="H117" s="50" t="n">
        <f aca="false">SUM('Activation Detail'!K117,'Activation Detail'!K617,'Activation Detail'!K1117,'Activation Detail'!K1617,'Activation Detail'!K2117,'Activation Detail'!K2617,'Activation Detail'!K3117,'Activation Detail'!K3617)</f>
        <v>80263.273716072</v>
      </c>
      <c r="I117" s="51" t="n">
        <f aca="false">IFERROR(H117/F117,0)</f>
        <v>1.15576118435536</v>
      </c>
      <c r="J117" s="49" t="n">
        <f aca="false">IFERROR(F117/E117,0)</f>
        <v>117.950380870892</v>
      </c>
      <c r="K117" s="46" t="n">
        <f aca="false">IFERROR(C117/B117,0)</f>
        <v>0.0743158075776785</v>
      </c>
      <c r="L117" s="47" t="n">
        <f aca="false">IFERROR(D117/B117,0)</f>
        <v>0.00360668839968895</v>
      </c>
      <c r="N117" s="48" t="n">
        <f aca="false">SUMIFS('Activation Detail'!$H$4:$H$4003,'Activation Detail'!$A$4:$A$4003,$A117,'Activation Detail'!$N$4:$N$4003,N$2)</f>
        <v>85.3216743458464</v>
      </c>
      <c r="O117" s="50" t="n">
        <f aca="false">N117*'Model Inputs &amp; Assumptions'!$D$40*'Model Inputs &amp; Assumptions'!$H$40</f>
        <v>725234.231939695</v>
      </c>
      <c r="P117" s="50" t="n">
        <f aca="false">N117*'Model Inputs &amp; Assumptions'!$G$40*'Model Inputs &amp; Assumptions'!$H$40</f>
        <v>16317.7702186431</v>
      </c>
      <c r="Q117" s="50" t="n">
        <f aca="false">SUMIFS('Activation Detail'!$I$4:$I$4003,'Activation Detail'!$A$4:$A$4003,$A117,'Activation Detail'!$N$4:$N$4003,N$2)</f>
        <v>18394.2975</v>
      </c>
      <c r="R117" s="51" t="n">
        <f aca="false">IFERROR(P117/Q117,0)</f>
        <v>0.887110269834612</v>
      </c>
      <c r="S117" s="49" t="n">
        <f aca="false">IFERROR(Q117/N117,0)</f>
        <v>215.587629298504</v>
      </c>
      <c r="T117" s="48" t="n">
        <f aca="false">SUMIFS('Activation Detail'!$H$4:$H$4003,'Activation Detail'!$A$4:$A$4003,$A117,'Activation Detail'!$N$4:$N$4003,T$2)</f>
        <v>151.099818700966</v>
      </c>
      <c r="U117" s="50" t="n">
        <f aca="false">T117*'Model Inputs &amp; Assumptions'!$D$41*'Model Inputs &amp; Assumptions'!$H$41</f>
        <v>1087918.69464695</v>
      </c>
      <c r="V117" s="50" t="n">
        <f aca="false">T117*'Model Inputs &amp; Assumptions'!$G$41*'Model Inputs &amp; Assumptions'!$H$41</f>
        <v>23988.6072169653</v>
      </c>
      <c r="W117" s="50" t="n">
        <f aca="false">SUMIFS('Activation Detail'!$I$4:$I$4003,'Activation Detail'!$A$4:$A$4003,$A117,'Activation Detail'!$N$4:$N$4003,T$2)</f>
        <v>16661.622934</v>
      </c>
      <c r="X117" s="51" t="n">
        <f aca="false">IFERROR(V117/W117,0)</f>
        <v>1.43975213651089</v>
      </c>
      <c r="Y117" s="49" t="n">
        <f aca="false">IFERROR(W117/T117,0)</f>
        <v>110.268980315418</v>
      </c>
      <c r="Z117" s="48" t="n">
        <f aca="false">SUMIFS('Activation Detail'!$H$4:$H$4003,'Activation Detail'!$A$4:$A$4003,$A117,'Activation Detail'!$N$4:$N$4003,Z$2)</f>
        <v>352.353582720137</v>
      </c>
      <c r="AA117" s="50" t="n">
        <f aca="false">Z117*'Model Inputs &amp; Assumptions'!$D$42*'Model Inputs &amp; Assumptions'!$H$42</f>
        <v>1902709.34668874</v>
      </c>
      <c r="AB117" s="50" t="n">
        <f aca="false">Z117*'Model Inputs &amp; Assumptions'!$G$42*'Model Inputs &amp; Assumptions'!$H$42</f>
        <v>39956.8962804635</v>
      </c>
      <c r="AC117" s="50" t="n">
        <f aca="false">SUMIFS('Activation Detail'!$I$4:$I$4003,'Activation Detail'!$A$4:$A$4003,$A117,'Activation Detail'!$N$4:$N$4003,Z$2)</f>
        <v>34390.324</v>
      </c>
      <c r="AD117" s="51" t="n">
        <f aca="false">IFERROR(AB117/AC117,0)</f>
        <v>1.16186449073476</v>
      </c>
      <c r="AE117" s="49" t="n">
        <f aca="false">IFERROR(AC117/Z117,0)</f>
        <v>97.6017434944464</v>
      </c>
    </row>
    <row r="118" customFormat="false" ht="15" hidden="false" customHeight="false" outlineLevel="0" collapsed="false">
      <c r="A118" s="43" t="n">
        <v>115</v>
      </c>
      <c r="B118" s="45" t="n">
        <f aca="false">SUM('Activation Detail'!C118,'Activation Detail'!C618,'Activation Detail'!C1118,'Activation Detail'!C1618,'Activation Detail'!C2118,'Activation Detail'!C2618,'Activation Detail'!C3118,'Activation Detail'!C3618)</f>
        <v>3910977</v>
      </c>
      <c r="C118" s="45" t="n">
        <f aca="false">SUM('Activation Detail'!E118,'Activation Detail'!E618,'Activation Detail'!E1118,'Activation Detail'!E1618,'Activation Detail'!E2118,'Activation Detail'!E2618,'Activation Detail'!E3118,'Activation Detail'!E3618)</f>
        <v>317458</v>
      </c>
      <c r="D118" s="45" t="n">
        <f aca="false">SUM('Activation Detail'!G118,'Activation Detail'!G618,'Activation Detail'!G1118,'Activation Detail'!G1618,'Activation Detail'!G2118,'Activation Detail'!G2618,'Activation Detail'!G3118,'Activation Detail'!G3618)</f>
        <v>17262</v>
      </c>
      <c r="E118" s="48" t="n">
        <f aca="false">SUM('Activation Detail'!H118,'Activation Detail'!H618,'Activation Detail'!H1118,'Activation Detail'!H1618,'Activation Detail'!H2118,'Activation Detail'!H2618,'Activation Detail'!H3118,'Activation Detail'!H3618)</f>
        <v>700.015906311459</v>
      </c>
      <c r="F118" s="50" t="n">
        <f aca="false">SUM('Activation Detail'!I118,'Activation Detail'!I618,'Activation Detail'!I1118,'Activation Detail'!I1618,'Activation Detail'!I2118,'Activation Detail'!I2618,'Activation Detail'!I3118,'Activation Detail'!I3618)</f>
        <v>75534.653718</v>
      </c>
      <c r="G118" s="50" t="n">
        <f aca="false">SUM('Activation Detail'!J118,'Activation Detail'!J618,'Activation Detail'!J1118,'Activation Detail'!J1618,'Activation Detail'!J2118,'Activation Detail'!J2618,'Activation Detail'!J3118,'Activation Detail'!J3618)</f>
        <v>4315406.89180446</v>
      </c>
      <c r="H118" s="50" t="n">
        <f aca="false">SUM('Activation Detail'!K118,'Activation Detail'!K618,'Activation Detail'!K1118,'Activation Detail'!K1618,'Activation Detail'!K2118,'Activation Detail'!K2618,'Activation Detail'!K3118,'Activation Detail'!K3618)</f>
        <v>92841.2899064419</v>
      </c>
      <c r="I118" s="51" t="n">
        <f aca="false">IFERROR(H118/F118,0)</f>
        <v>1.22912180484807</v>
      </c>
      <c r="J118" s="49" t="n">
        <f aca="false">IFERROR(F118/E118,0)</f>
        <v>107.904196228924</v>
      </c>
      <c r="K118" s="46" t="n">
        <f aca="false">IFERROR(C118/B118,0)</f>
        <v>0.0811710219722591</v>
      </c>
      <c r="L118" s="47" t="n">
        <f aca="false">IFERROR(D118/B118,0)</f>
        <v>0.00441373089128369</v>
      </c>
      <c r="N118" s="48" t="n">
        <f aca="false">SUMIFS('Activation Detail'!$H$4:$H$4003,'Activation Detail'!$A$4:$A$4003,$A118,'Activation Detail'!$N$4:$N$4003,N$2)</f>
        <v>113.344488468571</v>
      </c>
      <c r="O118" s="50" t="n">
        <f aca="false">N118*'Model Inputs &amp; Assumptions'!$D$40*'Model Inputs &amp; Assumptions'!$H$40</f>
        <v>963428.151982854</v>
      </c>
      <c r="P118" s="50" t="n">
        <f aca="false">N118*'Model Inputs &amp; Assumptions'!$G$40*'Model Inputs &amp; Assumptions'!$H$40</f>
        <v>21677.1334196142</v>
      </c>
      <c r="Q118" s="50" t="n">
        <f aca="false">SUMIFS('Activation Detail'!$I$4:$I$4003,'Activation Detail'!$A$4:$A$4003,$A118,'Activation Detail'!$N$4:$N$4003,N$2)</f>
        <v>18231.765</v>
      </c>
      <c r="R118" s="51" t="n">
        <f aca="false">IFERROR(P118/Q118,0)</f>
        <v>1.18897613147242</v>
      </c>
      <c r="S118" s="49" t="n">
        <f aca="false">IFERROR(Q118/N118,0)</f>
        <v>160.852682352132</v>
      </c>
      <c r="T118" s="48" t="n">
        <f aca="false">SUMIFS('Activation Detail'!$H$4:$H$4003,'Activation Detail'!$A$4:$A$4003,$A118,'Activation Detail'!$N$4:$N$4003,T$2)</f>
        <v>102.196157483336</v>
      </c>
      <c r="U118" s="50" t="n">
        <f aca="false">T118*'Model Inputs &amp; Assumptions'!$D$41*'Model Inputs &amp; Assumptions'!$H$41</f>
        <v>735812.333880016</v>
      </c>
      <c r="V118" s="50" t="n">
        <f aca="false">T118*'Model Inputs &amp; Assumptions'!$G$41*'Model Inputs &amp; Assumptions'!$H$41</f>
        <v>16224.6619620543</v>
      </c>
      <c r="W118" s="50" t="n">
        <f aca="false">SUMIFS('Activation Detail'!$I$4:$I$4003,'Activation Detail'!$A$4:$A$4003,$A118,'Activation Detail'!$N$4:$N$4003,T$2)</f>
        <v>17170.036718</v>
      </c>
      <c r="X118" s="51" t="n">
        <f aca="false">IFERROR(V118/W118,0)</f>
        <v>0.944940434812549</v>
      </c>
      <c r="Y118" s="49" t="n">
        <f aca="false">IFERROR(W118/T118,0)</f>
        <v>168.010590034168</v>
      </c>
      <c r="Z118" s="48" t="n">
        <f aca="false">SUMIFS('Activation Detail'!$H$4:$H$4003,'Activation Detail'!$A$4:$A$4003,$A118,'Activation Detail'!$N$4:$N$4003,Z$2)</f>
        <v>484.475260359553</v>
      </c>
      <c r="AA118" s="50" t="n">
        <f aca="false">Z118*'Model Inputs &amp; Assumptions'!$D$42*'Model Inputs &amp; Assumptions'!$H$42</f>
        <v>2616166.40594159</v>
      </c>
      <c r="AB118" s="50" t="n">
        <f aca="false">Z118*'Model Inputs &amp; Assumptions'!$G$42*'Model Inputs &amp; Assumptions'!$H$42</f>
        <v>54939.4945247733</v>
      </c>
      <c r="AC118" s="50" t="n">
        <f aca="false">SUMIFS('Activation Detail'!$I$4:$I$4003,'Activation Detail'!$A$4:$A$4003,$A118,'Activation Detail'!$N$4:$N$4003,Z$2)</f>
        <v>40132.852</v>
      </c>
      <c r="AD118" s="51" t="n">
        <f aca="false">IFERROR(AB118/AC118,0)</f>
        <v>1.36894070037119</v>
      </c>
      <c r="AE118" s="49" t="n">
        <f aca="false">IFERROR(AC118/Z118,0)</f>
        <v>82.8377737393968</v>
      </c>
    </row>
    <row r="119" customFormat="false" ht="15" hidden="false" customHeight="false" outlineLevel="0" collapsed="false">
      <c r="A119" s="43" t="n">
        <v>116</v>
      </c>
      <c r="B119" s="45" t="n">
        <f aca="false">SUM('Activation Detail'!C119,'Activation Detail'!C619,'Activation Detail'!C1119,'Activation Detail'!C1619,'Activation Detail'!C2119,'Activation Detail'!C2619,'Activation Detail'!C3119,'Activation Detail'!C3619)</f>
        <v>4818900</v>
      </c>
      <c r="C119" s="45" t="n">
        <f aca="false">SUM('Activation Detail'!E119,'Activation Detail'!E619,'Activation Detail'!E1119,'Activation Detail'!E1619,'Activation Detail'!E2119,'Activation Detail'!E2619,'Activation Detail'!E3119,'Activation Detail'!E3619)</f>
        <v>392365</v>
      </c>
      <c r="D119" s="45" t="n">
        <f aca="false">SUM('Activation Detail'!G119,'Activation Detail'!G619,'Activation Detail'!G1119,'Activation Detail'!G1619,'Activation Detail'!G2119,'Activation Detail'!G2619,'Activation Detail'!G3119,'Activation Detail'!G3619)</f>
        <v>18557</v>
      </c>
      <c r="E119" s="48" t="n">
        <f aca="false">SUM('Activation Detail'!H119,'Activation Detail'!H619,'Activation Detail'!H1119,'Activation Detail'!H1619,'Activation Detail'!H2119,'Activation Detail'!H2619,'Activation Detail'!H3119,'Activation Detail'!H3619)</f>
        <v>764.650579286368</v>
      </c>
      <c r="F119" s="50" t="n">
        <f aca="false">SUM('Activation Detail'!I119,'Activation Detail'!I619,'Activation Detail'!I1119,'Activation Detail'!I1619,'Activation Detail'!I2119,'Activation Detail'!I2619,'Activation Detail'!I3119,'Activation Detail'!I3619)</f>
        <v>79767.042184</v>
      </c>
      <c r="G119" s="50" t="n">
        <f aca="false">SUM('Activation Detail'!J119,'Activation Detail'!J619,'Activation Detail'!J1119,'Activation Detail'!J1619,'Activation Detail'!J2119,'Activation Detail'!J2619,'Activation Detail'!J3119,'Activation Detail'!J3619)</f>
        <v>5005856.17620033</v>
      </c>
      <c r="H119" s="50" t="n">
        <f aca="false">SUM('Activation Detail'!K119,'Activation Detail'!K619,'Activation Detail'!K1119,'Activation Detail'!K1619,'Activation Detail'!K2119,'Activation Detail'!K2619,'Activation Detail'!K3119,'Activation Detail'!K3619)</f>
        <v>108758.071938643</v>
      </c>
      <c r="I119" s="51" t="n">
        <f aca="false">IFERROR(H119/F119,0)</f>
        <v>1.36344621739601</v>
      </c>
      <c r="J119" s="49" t="n">
        <f aca="false">IFERROR(F119/E119,0)</f>
        <v>104.318291707102</v>
      </c>
      <c r="K119" s="46" t="n">
        <f aca="false">IFERROR(C119/B119,0)</f>
        <v>0.081422108780012</v>
      </c>
      <c r="L119" s="47" t="n">
        <f aca="false">IFERROR(D119/B119,0)</f>
        <v>0.00385087883126855</v>
      </c>
      <c r="N119" s="48" t="n">
        <f aca="false">SUMIFS('Activation Detail'!$H$4:$H$4003,'Activation Detail'!$A$4:$A$4003,$A119,'Activation Detail'!$N$4:$N$4003,N$2)</f>
        <v>174.920605151855</v>
      </c>
      <c r="O119" s="50" t="n">
        <f aca="false">N119*'Model Inputs &amp; Assumptions'!$D$40*'Model Inputs &amp; Assumptions'!$H$40</f>
        <v>1486825.14379077</v>
      </c>
      <c r="P119" s="50" t="n">
        <f aca="false">N119*'Model Inputs &amp; Assumptions'!$G$40*'Model Inputs &amp; Assumptions'!$H$40</f>
        <v>33453.5657352923</v>
      </c>
      <c r="Q119" s="50" t="n">
        <f aca="false">SUMIFS('Activation Detail'!$I$4:$I$4003,'Activation Detail'!$A$4:$A$4003,$A119,'Activation Detail'!$N$4:$N$4003,N$2)</f>
        <v>17415.326</v>
      </c>
      <c r="R119" s="51" t="n">
        <f aca="false">IFERROR(P119/Q119,0)</f>
        <v>1.92092675929766</v>
      </c>
      <c r="S119" s="49" t="n">
        <f aca="false">IFERROR(Q119/N119,0)</f>
        <v>99.5613180327218</v>
      </c>
      <c r="T119" s="48" t="n">
        <f aca="false">SUMIFS('Activation Detail'!$H$4:$H$4003,'Activation Detail'!$A$4:$A$4003,$A119,'Activation Detail'!$N$4:$N$4003,T$2)</f>
        <v>185.827317823997</v>
      </c>
      <c r="U119" s="50" t="n">
        <f aca="false">T119*'Model Inputs &amp; Assumptions'!$D$41*'Model Inputs &amp; Assumptions'!$H$41</f>
        <v>1337956.68833278</v>
      </c>
      <c r="V119" s="50" t="n">
        <f aca="false">T119*'Model Inputs &amp; Assumptions'!$G$41*'Model Inputs &amp; Assumptions'!$H$41</f>
        <v>29501.9449777377</v>
      </c>
      <c r="W119" s="50" t="n">
        <f aca="false">SUMIFS('Activation Detail'!$I$4:$I$4003,'Activation Detail'!$A$4:$A$4003,$A119,'Activation Detail'!$N$4:$N$4003,T$2)</f>
        <v>19469.712184</v>
      </c>
      <c r="X119" s="51" t="n">
        <f aca="false">IFERROR(V119/W119,0)</f>
        <v>1.5152738108775</v>
      </c>
      <c r="Y119" s="49" t="n">
        <f aca="false">IFERROR(W119/T119,0)</f>
        <v>104.773143216975</v>
      </c>
      <c r="Z119" s="48" t="n">
        <f aca="false">SUMIFS('Activation Detail'!$H$4:$H$4003,'Activation Detail'!$A$4:$A$4003,$A119,'Activation Detail'!$N$4:$N$4003,Z$2)</f>
        <v>403.902656310516</v>
      </c>
      <c r="AA119" s="50" t="n">
        <f aca="false">Z119*'Model Inputs &amp; Assumptions'!$D$42*'Model Inputs &amp; Assumptions'!$H$42</f>
        <v>2181074.34407679</v>
      </c>
      <c r="AB119" s="50" t="n">
        <f aca="false">Z119*'Model Inputs &amp; Assumptions'!$G$42*'Model Inputs &amp; Assumptions'!$H$42</f>
        <v>45802.5612256125</v>
      </c>
      <c r="AC119" s="50" t="n">
        <f aca="false">SUMIFS('Activation Detail'!$I$4:$I$4003,'Activation Detail'!$A$4:$A$4003,$A119,'Activation Detail'!$N$4:$N$4003,Z$2)</f>
        <v>42882.004</v>
      </c>
      <c r="AD119" s="51" t="n">
        <f aca="false">IFERROR(AB119/AC119,0)</f>
        <v>1.06810682694802</v>
      </c>
      <c r="AE119" s="49" t="n">
        <f aca="false">IFERROR(AC119/Z119,0)</f>
        <v>106.169155686445</v>
      </c>
    </row>
    <row r="120" customFormat="false" ht="15" hidden="false" customHeight="false" outlineLevel="0" collapsed="false">
      <c r="A120" s="43" t="n">
        <v>117</v>
      </c>
      <c r="B120" s="45" t="n">
        <f aca="false">SUM('Activation Detail'!C120,'Activation Detail'!C620,'Activation Detail'!C1120,'Activation Detail'!C1620,'Activation Detail'!C2120,'Activation Detail'!C2620,'Activation Detail'!C3120,'Activation Detail'!C3620)</f>
        <v>4305248</v>
      </c>
      <c r="C120" s="45" t="n">
        <f aca="false">SUM('Activation Detail'!E120,'Activation Detail'!E620,'Activation Detail'!E1120,'Activation Detail'!E1620,'Activation Detail'!E2120,'Activation Detail'!E2620,'Activation Detail'!E3120,'Activation Detail'!E3620)</f>
        <v>287122</v>
      </c>
      <c r="D120" s="45" t="n">
        <f aca="false">SUM('Activation Detail'!G120,'Activation Detail'!G620,'Activation Detail'!G1120,'Activation Detail'!G1620,'Activation Detail'!G2120,'Activation Detail'!G2620,'Activation Detail'!G3120,'Activation Detail'!G3620)</f>
        <v>18346</v>
      </c>
      <c r="E120" s="48" t="n">
        <f aca="false">SUM('Activation Detail'!H120,'Activation Detail'!H620,'Activation Detail'!H1120,'Activation Detail'!H1620,'Activation Detail'!H2120,'Activation Detail'!H2620,'Activation Detail'!H3120,'Activation Detail'!H3620)</f>
        <v>721.151130779846</v>
      </c>
      <c r="F120" s="50" t="n">
        <f aca="false">SUM('Activation Detail'!I120,'Activation Detail'!I620,'Activation Detail'!I1120,'Activation Detail'!I1620,'Activation Detail'!I2120,'Activation Detail'!I2620,'Activation Detail'!I3120,'Activation Detail'!I3620)</f>
        <v>72325.218356</v>
      </c>
      <c r="G120" s="50" t="n">
        <f aca="false">SUM('Activation Detail'!J120,'Activation Detail'!J620,'Activation Detail'!J1120,'Activation Detail'!J1620,'Activation Detail'!J2120,'Activation Detail'!J2620,'Activation Detail'!J3120,'Activation Detail'!J3620)</f>
        <v>4301787.62658261</v>
      </c>
      <c r="H120" s="50" t="n">
        <f aca="false">SUM('Activation Detail'!K120,'Activation Detail'!K620,'Activation Detail'!K1120,'Activation Detail'!K1620,'Activation Detail'!K2120,'Activation Detail'!K2620,'Activation Detail'!K3120,'Activation Detail'!K3620)</f>
        <v>92032.0573934485</v>
      </c>
      <c r="I120" s="51" t="n">
        <f aca="false">IFERROR(H120/F120,0)</f>
        <v>1.27247534795467</v>
      </c>
      <c r="J120" s="49" t="n">
        <f aca="false">IFERROR(F120/E120,0)</f>
        <v>100.291347082529</v>
      </c>
      <c r="K120" s="46" t="n">
        <f aca="false">IFERROR(C120/B120,0)</f>
        <v>0.0666911639004304</v>
      </c>
      <c r="L120" s="47" t="n">
        <f aca="false">IFERROR(D120/B120,0)</f>
        <v>0.004261310846669</v>
      </c>
      <c r="N120" s="48" t="n">
        <f aca="false">SUMIFS('Activation Detail'!$H$4:$H$4003,'Activation Detail'!$A$4:$A$4003,$A120,'Activation Detail'!$N$4:$N$4003,N$2)</f>
        <v>64.0116679496321</v>
      </c>
      <c r="O120" s="50" t="n">
        <f aca="false">N120*'Model Inputs &amp; Assumptions'!$D$40*'Model Inputs &amp; Assumptions'!$H$40</f>
        <v>544099.177571873</v>
      </c>
      <c r="P120" s="50" t="n">
        <f aca="false">N120*'Model Inputs &amp; Assumptions'!$G$40*'Model Inputs &amp; Assumptions'!$H$40</f>
        <v>12242.2314953671</v>
      </c>
      <c r="Q120" s="50" t="n">
        <f aca="false">SUMIFS('Activation Detail'!$I$4:$I$4003,'Activation Detail'!$A$4:$A$4003,$A120,'Activation Detail'!$N$4:$N$4003,N$2)</f>
        <v>18121.9215</v>
      </c>
      <c r="R120" s="51" t="n">
        <f aca="false">IFERROR(P120/Q120,0)</f>
        <v>0.675548202510817</v>
      </c>
      <c r="S120" s="49" t="n">
        <f aca="false">IFERROR(Q120/N120,0)</f>
        <v>283.103410369799</v>
      </c>
      <c r="T120" s="48" t="n">
        <f aca="false">SUMIFS('Activation Detail'!$H$4:$H$4003,'Activation Detail'!$A$4:$A$4003,$A120,'Activation Detail'!$N$4:$N$4003,T$2)</f>
        <v>116.186305404214</v>
      </c>
      <c r="U120" s="50" t="n">
        <f aca="false">T120*'Model Inputs &amp; Assumptions'!$D$41*'Model Inputs &amp; Assumptions'!$H$41</f>
        <v>836541.398910339</v>
      </c>
      <c r="V120" s="50" t="n">
        <f aca="false">T120*'Model Inputs &amp; Assumptions'!$G$41*'Model Inputs &amp; Assumptions'!$H$41</f>
        <v>18445.737845973</v>
      </c>
      <c r="W120" s="50" t="n">
        <f aca="false">SUMIFS('Activation Detail'!$I$4:$I$4003,'Activation Detail'!$A$4:$A$4003,$A120,'Activation Detail'!$N$4:$N$4003,T$2)</f>
        <v>13702.788856</v>
      </c>
      <c r="X120" s="51" t="n">
        <f aca="false">IFERROR(V120/W120,0)</f>
        <v>1.34613019581749</v>
      </c>
      <c r="Y120" s="49" t="n">
        <f aca="false">IFERROR(W120/T120,0)</f>
        <v>117.938072032911</v>
      </c>
      <c r="Z120" s="48" t="n">
        <f aca="false">SUMIFS('Activation Detail'!$H$4:$H$4003,'Activation Detail'!$A$4:$A$4003,$A120,'Activation Detail'!$N$4:$N$4003,Z$2)</f>
        <v>540.953157426</v>
      </c>
      <c r="AA120" s="50" t="n">
        <f aca="false">Z120*'Model Inputs &amp; Assumptions'!$D$42*'Model Inputs &amp; Assumptions'!$H$42</f>
        <v>2921147.0501004</v>
      </c>
      <c r="AB120" s="50" t="n">
        <f aca="false">Z120*'Model Inputs &amp; Assumptions'!$G$42*'Model Inputs &amp; Assumptions'!$H$42</f>
        <v>61344.0880521084</v>
      </c>
      <c r="AC120" s="50" t="n">
        <f aca="false">SUMIFS('Activation Detail'!$I$4:$I$4003,'Activation Detail'!$A$4:$A$4003,$A120,'Activation Detail'!$N$4:$N$4003,Z$2)</f>
        <v>40500.508</v>
      </c>
      <c r="AD120" s="51" t="n">
        <f aca="false">IFERROR(AB120/AC120,0)</f>
        <v>1.51464984222194</v>
      </c>
      <c r="AE120" s="49" t="n">
        <f aca="false">IFERROR(AC120/Z120,0)</f>
        <v>74.8687893656306</v>
      </c>
    </row>
    <row r="121" customFormat="false" ht="15" hidden="false" customHeight="false" outlineLevel="0" collapsed="false">
      <c r="A121" s="43" t="n">
        <v>118</v>
      </c>
      <c r="B121" s="45" t="n">
        <f aca="false">SUM('Activation Detail'!C121,'Activation Detail'!C621,'Activation Detail'!C1121,'Activation Detail'!C1621,'Activation Detail'!C2121,'Activation Detail'!C2621,'Activation Detail'!C3121,'Activation Detail'!C3621)</f>
        <v>3848667</v>
      </c>
      <c r="C121" s="45" t="n">
        <f aca="false">SUM('Activation Detail'!E121,'Activation Detail'!E621,'Activation Detail'!E1121,'Activation Detail'!E1621,'Activation Detail'!E2121,'Activation Detail'!E2621,'Activation Detail'!E3121,'Activation Detail'!E3621)</f>
        <v>353183</v>
      </c>
      <c r="D121" s="45" t="n">
        <f aca="false">SUM('Activation Detail'!G121,'Activation Detail'!G621,'Activation Detail'!G1121,'Activation Detail'!G1621,'Activation Detail'!G2121,'Activation Detail'!G2621,'Activation Detail'!G3121,'Activation Detail'!G3621)</f>
        <v>15185</v>
      </c>
      <c r="E121" s="48" t="n">
        <f aca="false">SUM('Activation Detail'!H121,'Activation Detail'!H621,'Activation Detail'!H1121,'Activation Detail'!H1621,'Activation Detail'!H2121,'Activation Detail'!H2621,'Activation Detail'!H3121,'Activation Detail'!H3621)</f>
        <v>792.784625208286</v>
      </c>
      <c r="F121" s="50" t="n">
        <f aca="false">SUM('Activation Detail'!I121,'Activation Detail'!I621,'Activation Detail'!I1121,'Activation Detail'!I1621,'Activation Detail'!I2121,'Activation Detail'!I2621,'Activation Detail'!I3121,'Activation Detail'!I3621)</f>
        <v>74350.177706</v>
      </c>
      <c r="G121" s="50" t="n">
        <f aca="false">SUM('Activation Detail'!J121,'Activation Detail'!J621,'Activation Detail'!J1121,'Activation Detail'!J1621,'Activation Detail'!J2121,'Activation Detail'!J2621,'Activation Detail'!J3121,'Activation Detail'!J3621)</f>
        <v>4993062.87958613</v>
      </c>
      <c r="H121" s="50" t="n">
        <f aca="false">SUM('Activation Detail'!K121,'Activation Detail'!K621,'Activation Detail'!K1121,'Activation Detail'!K1621,'Activation Detail'!K2121,'Activation Detail'!K2621,'Activation Detail'!K3121,'Activation Detail'!K3621)</f>
        <v>107816.618269354</v>
      </c>
      <c r="I121" s="51" t="n">
        <f aca="false">IFERROR(H121/F121,0)</f>
        <v>1.45011917383289</v>
      </c>
      <c r="J121" s="49" t="n">
        <f aca="false">IFERROR(F121/E121,0)</f>
        <v>93.7835767015111</v>
      </c>
      <c r="K121" s="46" t="n">
        <f aca="false">IFERROR(C121/B121,0)</f>
        <v>0.0917676172035668</v>
      </c>
      <c r="L121" s="47" t="n">
        <f aca="false">IFERROR(D121/B121,0)</f>
        <v>0.00394552191706895</v>
      </c>
      <c r="N121" s="48" t="n">
        <f aca="false">SUMIFS('Activation Detail'!$H$4:$H$4003,'Activation Detail'!$A$4:$A$4003,$A121,'Activation Detail'!$N$4:$N$4003,N$2)</f>
        <v>104.485172196613</v>
      </c>
      <c r="O121" s="50" t="n">
        <f aca="false">N121*'Model Inputs &amp; Assumptions'!$D$40*'Model Inputs &amp; Assumptions'!$H$40</f>
        <v>888123.963671209</v>
      </c>
      <c r="P121" s="50" t="n">
        <f aca="false">N121*'Model Inputs &amp; Assumptions'!$G$40*'Model Inputs &amp; Assumptions'!$H$40</f>
        <v>19982.7891826022</v>
      </c>
      <c r="Q121" s="50" t="n">
        <f aca="false">SUMIFS('Activation Detail'!$I$4:$I$4003,'Activation Detail'!$A$4:$A$4003,$A121,'Activation Detail'!$N$4:$N$4003,N$2)</f>
        <v>18077.949</v>
      </c>
      <c r="R121" s="51" t="n">
        <f aca="false">IFERROR(P121/Q121,0)</f>
        <v>1.10536815778174</v>
      </c>
      <c r="S121" s="49" t="n">
        <f aca="false">IFERROR(Q121/N121,0)</f>
        <v>173.019277472043</v>
      </c>
      <c r="T121" s="48" t="n">
        <f aca="false">SUMIFS('Activation Detail'!$H$4:$H$4003,'Activation Detail'!$A$4:$A$4003,$A121,'Activation Detail'!$N$4:$N$4003,T$2)</f>
        <v>215.623260917716</v>
      </c>
      <c r="U121" s="50" t="n">
        <f aca="false">T121*'Model Inputs &amp; Assumptions'!$D$41*'Model Inputs &amp; Assumptions'!$H$41</f>
        <v>1552487.47860755</v>
      </c>
      <c r="V121" s="50" t="n">
        <f aca="false">T121*'Model Inputs &amp; Assumptions'!$G$41*'Model Inputs &amp; Assumptions'!$H$41</f>
        <v>34232.3489032966</v>
      </c>
      <c r="W121" s="50" t="n">
        <f aca="false">SUMIFS('Activation Detail'!$I$4:$I$4003,'Activation Detail'!$A$4:$A$4003,$A121,'Activation Detail'!$N$4:$N$4003,T$2)</f>
        <v>18339.120706</v>
      </c>
      <c r="X121" s="51" t="n">
        <f aca="false">IFERROR(V121/W121,0)</f>
        <v>1.86662978296974</v>
      </c>
      <c r="Y121" s="49" t="n">
        <f aca="false">IFERROR(W121/T121,0)</f>
        <v>85.0516805466476</v>
      </c>
      <c r="Z121" s="48" t="n">
        <f aca="false">SUMIFS('Activation Detail'!$H$4:$H$4003,'Activation Detail'!$A$4:$A$4003,$A121,'Activation Detail'!$N$4:$N$4003,Z$2)</f>
        <v>472.676192093957</v>
      </c>
      <c r="AA121" s="50" t="n">
        <f aca="false">Z121*'Model Inputs &amp; Assumptions'!$D$42*'Model Inputs &amp; Assumptions'!$H$42</f>
        <v>2552451.43730737</v>
      </c>
      <c r="AB121" s="50" t="n">
        <f aca="false">Z121*'Model Inputs &amp; Assumptions'!$G$42*'Model Inputs &amp; Assumptions'!$H$42</f>
        <v>53601.4801834548</v>
      </c>
      <c r="AC121" s="50" t="n">
        <f aca="false">SUMIFS('Activation Detail'!$I$4:$I$4003,'Activation Detail'!$A$4:$A$4003,$A121,'Activation Detail'!$N$4:$N$4003,Z$2)</f>
        <v>37933.108</v>
      </c>
      <c r="AD121" s="51" t="n">
        <f aca="false">IFERROR(AB121/AC121,0)</f>
        <v>1.41305268694183</v>
      </c>
      <c r="AE121" s="49" t="n">
        <f aca="false">IFERROR(AC121/Z121,0)</f>
        <v>80.2517846984342</v>
      </c>
    </row>
    <row r="122" customFormat="false" ht="15" hidden="false" customHeight="false" outlineLevel="0" collapsed="false">
      <c r="A122" s="43" t="n">
        <v>119</v>
      </c>
      <c r="B122" s="45" t="n">
        <f aca="false">SUM('Activation Detail'!C122,'Activation Detail'!C622,'Activation Detail'!C1122,'Activation Detail'!C1622,'Activation Detail'!C2122,'Activation Detail'!C2622,'Activation Detail'!C3122,'Activation Detail'!C3622)</f>
        <v>4321367</v>
      </c>
      <c r="C122" s="45" t="n">
        <f aca="false">SUM('Activation Detail'!E122,'Activation Detail'!E622,'Activation Detail'!E1122,'Activation Detail'!E1622,'Activation Detail'!E2122,'Activation Detail'!E2622,'Activation Detail'!E3122,'Activation Detail'!E3622)</f>
        <v>436520</v>
      </c>
      <c r="D122" s="45" t="n">
        <f aca="false">SUM('Activation Detail'!G122,'Activation Detail'!G622,'Activation Detail'!G1122,'Activation Detail'!G1622,'Activation Detail'!G2122,'Activation Detail'!G2622,'Activation Detail'!G3122,'Activation Detail'!G3622)</f>
        <v>14937</v>
      </c>
      <c r="E122" s="48" t="n">
        <f aca="false">SUM('Activation Detail'!H122,'Activation Detail'!H622,'Activation Detail'!H1122,'Activation Detail'!H1622,'Activation Detail'!H2122,'Activation Detail'!H2622,'Activation Detail'!H3122,'Activation Detail'!H3622)</f>
        <v>506.384871607378</v>
      </c>
      <c r="F122" s="50" t="n">
        <f aca="false">SUM('Activation Detail'!I122,'Activation Detail'!I622,'Activation Detail'!I1122,'Activation Detail'!I1622,'Activation Detail'!I2122,'Activation Detail'!I2622,'Activation Detail'!I3122,'Activation Detail'!I3622)</f>
        <v>77978.34769</v>
      </c>
      <c r="G122" s="50" t="n">
        <f aca="false">SUM('Activation Detail'!J122,'Activation Detail'!J622,'Activation Detail'!J1122,'Activation Detail'!J1622,'Activation Detail'!J2122,'Activation Detail'!J2622,'Activation Detail'!J3122,'Activation Detail'!J3622)</f>
        <v>3369651.8426367</v>
      </c>
      <c r="H122" s="50" t="n">
        <f aca="false">SUM('Activation Detail'!K122,'Activation Detail'!K622,'Activation Detail'!K1122,'Activation Detail'!K1622,'Activation Detail'!K2122,'Activation Detail'!K2622,'Activation Detail'!K3122,'Activation Detail'!K3622)</f>
        <v>73397.2018088651</v>
      </c>
      <c r="I122" s="51" t="n">
        <f aca="false">IFERROR(H122/F122,0)</f>
        <v>0.941251052159414</v>
      </c>
      <c r="J122" s="49" t="n">
        <f aca="false">IFERROR(F122/E122,0)</f>
        <v>153.99027905885</v>
      </c>
      <c r="K122" s="46" t="n">
        <f aca="false">IFERROR(C122/B122,0)</f>
        <v>0.101014331807504</v>
      </c>
      <c r="L122" s="47" t="n">
        <f aca="false">IFERROR(D122/B122,0)</f>
        <v>0.00345654511639488</v>
      </c>
      <c r="N122" s="48" t="n">
        <f aca="false">SUMIFS('Activation Detail'!$H$4:$H$4003,'Activation Detail'!$A$4:$A$4003,$A122,'Activation Detail'!$N$4:$N$4003,N$2)</f>
        <v>123.02125008992</v>
      </c>
      <c r="O122" s="50" t="n">
        <f aca="false">N122*'Model Inputs &amp; Assumptions'!$D$40*'Model Inputs &amp; Assumptions'!$H$40</f>
        <v>1045680.62576432</v>
      </c>
      <c r="P122" s="50" t="n">
        <f aca="false">N122*'Model Inputs &amp; Assumptions'!$G$40*'Model Inputs &amp; Assumptions'!$H$40</f>
        <v>23527.8140796972</v>
      </c>
      <c r="Q122" s="50" t="n">
        <f aca="false">SUMIFS('Activation Detail'!$I$4:$I$4003,'Activation Detail'!$A$4:$A$4003,$A122,'Activation Detail'!$N$4:$N$4003,N$2)</f>
        <v>17704.732</v>
      </c>
      <c r="R122" s="51" t="n">
        <f aca="false">IFERROR(P122/Q122,0)</f>
        <v>1.32889975853332</v>
      </c>
      <c r="S122" s="49" t="n">
        <f aca="false">IFERROR(Q122/N122,0)</f>
        <v>143.916046919204</v>
      </c>
      <c r="T122" s="48" t="n">
        <f aca="false">SUMIFS('Activation Detail'!$H$4:$H$4003,'Activation Detail'!$A$4:$A$4003,$A122,'Activation Detail'!$N$4:$N$4003,T$2)</f>
        <v>141.004255932278</v>
      </c>
      <c r="U122" s="50" t="n">
        <f aca="false">T122*'Model Inputs &amp; Assumptions'!$D$41*'Model Inputs &amp; Assumptions'!$H$41</f>
        <v>1015230.6427124</v>
      </c>
      <c r="V122" s="50" t="n">
        <f aca="false">T122*'Model Inputs &amp; Assumptions'!$G$41*'Model Inputs &amp; Assumptions'!$H$41</f>
        <v>22385.8356718084</v>
      </c>
      <c r="W122" s="50" t="n">
        <f aca="false">SUMIFS('Activation Detail'!$I$4:$I$4003,'Activation Detail'!$A$4:$A$4003,$A122,'Activation Detail'!$N$4:$N$4003,T$2)</f>
        <v>16711.28369</v>
      </c>
      <c r="X122" s="51" t="n">
        <f aca="false">IFERROR(V122/W122,0)</f>
        <v>1.33956409855002</v>
      </c>
      <c r="Y122" s="49" t="n">
        <f aca="false">IFERROR(W122/T122,0)</f>
        <v>118.516165200192</v>
      </c>
      <c r="Z122" s="48" t="n">
        <f aca="false">SUMIFS('Activation Detail'!$H$4:$H$4003,'Activation Detail'!$A$4:$A$4003,$A122,'Activation Detail'!$N$4:$N$4003,Z$2)</f>
        <v>242.359365585181</v>
      </c>
      <c r="AA122" s="50" t="n">
        <f aca="false">Z122*'Model Inputs &amp; Assumptions'!$D$42*'Model Inputs &amp; Assumptions'!$H$42</f>
        <v>1308740.57415998</v>
      </c>
      <c r="AB122" s="50" t="n">
        <f aca="false">Z122*'Model Inputs &amp; Assumptions'!$G$42*'Model Inputs &amp; Assumptions'!$H$42</f>
        <v>27483.5520573595</v>
      </c>
      <c r="AC122" s="50" t="n">
        <f aca="false">SUMIFS('Activation Detail'!$I$4:$I$4003,'Activation Detail'!$A$4:$A$4003,$A122,'Activation Detail'!$N$4:$N$4003,Z$2)</f>
        <v>43562.332</v>
      </c>
      <c r="AD122" s="51" t="n">
        <f aca="false">IFERROR(AB122/AC122,0)</f>
        <v>0.630901762957949</v>
      </c>
      <c r="AE122" s="49" t="n">
        <f aca="false">IFERROR(AC122/Z122,0)</f>
        <v>179.742721700967</v>
      </c>
    </row>
    <row r="123" customFormat="false" ht="15" hidden="false" customHeight="false" outlineLevel="0" collapsed="false">
      <c r="A123" s="43" t="n">
        <v>120</v>
      </c>
      <c r="B123" s="45" t="n">
        <f aca="false">SUM('Activation Detail'!C123,'Activation Detail'!C623,'Activation Detail'!C1123,'Activation Detail'!C1623,'Activation Detail'!C2123,'Activation Detail'!C2623,'Activation Detail'!C3123,'Activation Detail'!C3623)</f>
        <v>3578389</v>
      </c>
      <c r="C123" s="45" t="n">
        <f aca="false">SUM('Activation Detail'!E123,'Activation Detail'!E623,'Activation Detail'!E1123,'Activation Detail'!E1623,'Activation Detail'!E2123,'Activation Detail'!E2623,'Activation Detail'!E3123,'Activation Detail'!E3623)</f>
        <v>324768</v>
      </c>
      <c r="D123" s="45" t="n">
        <f aca="false">SUM('Activation Detail'!G123,'Activation Detail'!G623,'Activation Detail'!G1123,'Activation Detail'!G1623,'Activation Detail'!G2123,'Activation Detail'!G2623,'Activation Detail'!G3123,'Activation Detail'!G3623)</f>
        <v>13683</v>
      </c>
      <c r="E123" s="48" t="n">
        <f aca="false">SUM('Activation Detail'!H123,'Activation Detail'!H623,'Activation Detail'!H1123,'Activation Detail'!H1623,'Activation Detail'!H2123,'Activation Detail'!H2623,'Activation Detail'!H3123,'Activation Detail'!H3623)</f>
        <v>520.060706309934</v>
      </c>
      <c r="F123" s="50" t="n">
        <f aca="false">SUM('Activation Detail'!I123,'Activation Detail'!I623,'Activation Detail'!I1123,'Activation Detail'!I1623,'Activation Detail'!I2123,'Activation Detail'!I2623,'Activation Detail'!I3123,'Activation Detail'!I3623)</f>
        <v>70541.596086</v>
      </c>
      <c r="G123" s="50" t="n">
        <f aca="false">SUM('Activation Detail'!J123,'Activation Detail'!J623,'Activation Detail'!J1123,'Activation Detail'!J1623,'Activation Detail'!J2123,'Activation Detail'!J2623,'Activation Detail'!J3123,'Activation Detail'!J3623)</f>
        <v>3320662.91728075</v>
      </c>
      <c r="H123" s="50" t="n">
        <f aca="false">SUM('Activation Detail'!K123,'Activation Detail'!K623,'Activation Detail'!K1123,'Activation Detail'!K1623,'Activation Detail'!K2123,'Activation Detail'!K2623,'Activation Detail'!K3123,'Activation Detail'!K3623)</f>
        <v>71861.9019745227</v>
      </c>
      <c r="I123" s="51" t="n">
        <f aca="false">IFERROR(H123/F123,0)</f>
        <v>1.01871669995832</v>
      </c>
      <c r="J123" s="49" t="n">
        <f aca="false">IFERROR(F123/E123,0)</f>
        <v>135.641080416409</v>
      </c>
      <c r="K123" s="46" t="n">
        <f aca="false">IFERROR(C123/B123,0)</f>
        <v>0.0907581596075776</v>
      </c>
      <c r="L123" s="47" t="n">
        <f aca="false">IFERROR(D123/B123,0)</f>
        <v>0.00382378774359076</v>
      </c>
      <c r="N123" s="48" t="n">
        <f aca="false">SUMIFS('Activation Detail'!$H$4:$H$4003,'Activation Detail'!$A$4:$A$4003,$A123,'Activation Detail'!$N$4:$N$4003,N$2)</f>
        <v>88.2471179369662</v>
      </c>
      <c r="O123" s="50" t="n">
        <f aca="false">N123*'Model Inputs &amp; Assumptions'!$D$40*'Model Inputs &amp; Assumptions'!$H$40</f>
        <v>750100.502464213</v>
      </c>
      <c r="P123" s="50" t="n">
        <f aca="false">N123*'Model Inputs &amp; Assumptions'!$G$40*'Model Inputs &amp; Assumptions'!$H$40</f>
        <v>16877.2613054448</v>
      </c>
      <c r="Q123" s="50" t="n">
        <f aca="false">SUMIFS('Activation Detail'!$I$4:$I$4003,'Activation Detail'!$A$4:$A$4003,$A123,'Activation Detail'!$N$4:$N$4003,N$2)</f>
        <v>17382.904</v>
      </c>
      <c r="R123" s="51" t="n">
        <f aca="false">IFERROR(P123/Q123,0)</f>
        <v>0.970911494733261</v>
      </c>
      <c r="S123" s="49" t="n">
        <f aca="false">IFERROR(Q123/N123,0)</f>
        <v>196.979849386315</v>
      </c>
      <c r="T123" s="48" t="n">
        <f aca="false">SUMIFS('Activation Detail'!$H$4:$H$4003,'Activation Detail'!$A$4:$A$4003,$A123,'Activation Detail'!$N$4:$N$4003,T$2)</f>
        <v>132.649465334732</v>
      </c>
      <c r="U123" s="50" t="n">
        <f aca="false">T123*'Model Inputs &amp; Assumptions'!$D$41*'Model Inputs &amp; Assumptions'!$H$41</f>
        <v>955076.150410068</v>
      </c>
      <c r="V123" s="50" t="n">
        <f aca="false">T123*'Model Inputs &amp; Assumptions'!$G$41*'Model Inputs &amp; Assumptions'!$H$41</f>
        <v>21059.429116542</v>
      </c>
      <c r="W123" s="50" t="n">
        <f aca="false">SUMIFS('Activation Detail'!$I$4:$I$4003,'Activation Detail'!$A$4:$A$4003,$A123,'Activation Detail'!$N$4:$N$4003,T$2)</f>
        <v>17027.552086</v>
      </c>
      <c r="X123" s="51" t="n">
        <f aca="false">IFERROR(V123/W123,0)</f>
        <v>1.23678547627859</v>
      </c>
      <c r="Y123" s="49" t="n">
        <f aca="false">IFERROR(W123/T123,0)</f>
        <v>128.365026146409</v>
      </c>
      <c r="Z123" s="48" t="n">
        <f aca="false">SUMIFS('Activation Detail'!$H$4:$H$4003,'Activation Detail'!$A$4:$A$4003,$A123,'Activation Detail'!$N$4:$N$4003,Z$2)</f>
        <v>299.164123038236</v>
      </c>
      <c r="AA123" s="50" t="n">
        <f aca="false">Z123*'Model Inputs &amp; Assumptions'!$D$42*'Model Inputs &amp; Assumptions'!$H$42</f>
        <v>1615486.26440647</v>
      </c>
      <c r="AB123" s="50" t="n">
        <f aca="false">Z123*'Model Inputs &amp; Assumptions'!$G$42*'Model Inputs &amp; Assumptions'!$H$42</f>
        <v>33925.2115525359</v>
      </c>
      <c r="AC123" s="50" t="n">
        <f aca="false">SUMIFS('Activation Detail'!$I$4:$I$4003,'Activation Detail'!$A$4:$A$4003,$A123,'Activation Detail'!$N$4:$N$4003,Z$2)</f>
        <v>36131.14</v>
      </c>
      <c r="AD123" s="51" t="n">
        <f aca="false">IFERROR(AB123/AC123,0)</f>
        <v>0.938946613711495</v>
      </c>
      <c r="AE123" s="49" t="n">
        <f aca="false">IFERROR(AC123/Z123,0)</f>
        <v>120.773639676647</v>
      </c>
    </row>
    <row r="124" customFormat="false" ht="15" hidden="false" customHeight="false" outlineLevel="0" collapsed="false">
      <c r="A124" s="43" t="n">
        <v>121</v>
      </c>
      <c r="B124" s="45" t="n">
        <f aca="false">SUM('Activation Detail'!C124,'Activation Detail'!C624,'Activation Detail'!C1124,'Activation Detail'!C1624,'Activation Detail'!C2124,'Activation Detail'!C2624,'Activation Detail'!C3124,'Activation Detail'!C3624)</f>
        <v>4131075</v>
      </c>
      <c r="C124" s="45" t="n">
        <f aca="false">SUM('Activation Detail'!E124,'Activation Detail'!E624,'Activation Detail'!E1124,'Activation Detail'!E1624,'Activation Detail'!E2124,'Activation Detail'!E2624,'Activation Detail'!E3124,'Activation Detail'!E3624)</f>
        <v>665183</v>
      </c>
      <c r="D124" s="45" t="n">
        <f aca="false">SUM('Activation Detail'!G124,'Activation Detail'!G624,'Activation Detail'!G1124,'Activation Detail'!G1624,'Activation Detail'!G2124,'Activation Detail'!G2624,'Activation Detail'!G3124,'Activation Detail'!G3624)</f>
        <v>15512</v>
      </c>
      <c r="E124" s="48" t="n">
        <f aca="false">SUM('Activation Detail'!H124,'Activation Detail'!H624,'Activation Detail'!H1124,'Activation Detail'!H1624,'Activation Detail'!H2124,'Activation Detail'!H2624,'Activation Detail'!H3124,'Activation Detail'!H3624)</f>
        <v>602.335030842584</v>
      </c>
      <c r="F124" s="50" t="n">
        <f aca="false">SUM('Activation Detail'!I124,'Activation Detail'!I624,'Activation Detail'!I1124,'Activation Detail'!I1624,'Activation Detail'!I2124,'Activation Detail'!I2624,'Activation Detail'!I3124,'Activation Detail'!I3624)</f>
        <v>80876.973698</v>
      </c>
      <c r="G124" s="50" t="n">
        <f aca="false">SUM('Activation Detail'!J124,'Activation Detail'!J624,'Activation Detail'!J1124,'Activation Detail'!J1624,'Activation Detail'!J2124,'Activation Detail'!J2624,'Activation Detail'!J3124,'Activation Detail'!J3624)</f>
        <v>3736636.11339621</v>
      </c>
      <c r="H124" s="50" t="n">
        <f aca="false">SUM('Activation Detail'!K124,'Activation Detail'!K624,'Activation Detail'!K1124,'Activation Detail'!K1624,'Activation Detail'!K2124,'Activation Detail'!K2624,'Activation Detail'!K3124,'Activation Detail'!K3624)</f>
        <v>80486.7236819678</v>
      </c>
      <c r="I124" s="51" t="n">
        <f aca="false">IFERROR(H124/F124,0)</f>
        <v>0.995174769799258</v>
      </c>
      <c r="J124" s="49" t="n">
        <f aca="false">IFERROR(F124/E124,0)</f>
        <v>134.272405815189</v>
      </c>
      <c r="K124" s="46" t="n">
        <f aca="false">IFERROR(C124/B124,0)</f>
        <v>0.161019347264332</v>
      </c>
      <c r="L124" s="47" t="n">
        <f aca="false">IFERROR(D124/B124,0)</f>
        <v>0.00375495482410753</v>
      </c>
      <c r="N124" s="48" t="n">
        <f aca="false">SUMIFS('Activation Detail'!$H$4:$H$4003,'Activation Detail'!$A$4:$A$4003,$A124,'Activation Detail'!$N$4:$N$4003,N$2)</f>
        <v>57.5847263219568</v>
      </c>
      <c r="O124" s="50" t="n">
        <f aca="false">N124*'Model Inputs &amp; Assumptions'!$D$40*'Model Inputs &amp; Assumptions'!$H$40</f>
        <v>489470.173736633</v>
      </c>
      <c r="P124" s="50" t="n">
        <f aca="false">N124*'Model Inputs &amp; Assumptions'!$G$40*'Model Inputs &amp; Assumptions'!$H$40</f>
        <v>11013.0789090742</v>
      </c>
      <c r="Q124" s="50" t="n">
        <f aca="false">SUMIFS('Activation Detail'!$I$4:$I$4003,'Activation Detail'!$A$4:$A$4003,$A124,'Activation Detail'!$N$4:$N$4003,N$2)</f>
        <v>17849.0385</v>
      </c>
      <c r="R124" s="51" t="n">
        <f aca="false">IFERROR(P124/Q124,0)</f>
        <v>0.617012446304838</v>
      </c>
      <c r="S124" s="49" t="n">
        <f aca="false">IFERROR(Q124/N124,0)</f>
        <v>309.961332458295</v>
      </c>
      <c r="T124" s="48" t="n">
        <f aca="false">SUMIFS('Activation Detail'!$H$4:$H$4003,'Activation Detail'!$A$4:$A$4003,$A124,'Activation Detail'!$N$4:$N$4003,T$2)</f>
        <v>169.730164026773</v>
      </c>
      <c r="U124" s="50" t="n">
        <f aca="false">T124*'Model Inputs &amp; Assumptions'!$D$41*'Model Inputs &amp; Assumptions'!$H$41</f>
        <v>1222057.18099277</v>
      </c>
      <c r="V124" s="50" t="n">
        <f aca="false">T124*'Model Inputs &amp; Assumptions'!$G$41*'Model Inputs &amp; Assumptions'!$H$41</f>
        <v>26946.3608408905</v>
      </c>
      <c r="W124" s="50" t="n">
        <f aca="false">SUMIFS('Activation Detail'!$I$4:$I$4003,'Activation Detail'!$A$4:$A$4003,$A124,'Activation Detail'!$N$4:$N$4003,T$2)</f>
        <v>19358.815198</v>
      </c>
      <c r="X124" s="51" t="n">
        <f aca="false">IFERROR(V124/W124,0)</f>
        <v>1.39194266618519</v>
      </c>
      <c r="Y124" s="49" t="n">
        <f aca="false">IFERROR(W124/T124,0)</f>
        <v>114.056421903571</v>
      </c>
      <c r="Z124" s="48" t="n">
        <f aca="false">SUMIFS('Activation Detail'!$H$4:$H$4003,'Activation Detail'!$A$4:$A$4003,$A124,'Activation Detail'!$N$4:$N$4003,Z$2)</f>
        <v>375.020140493854</v>
      </c>
      <c r="AA124" s="50" t="n">
        <f aca="false">Z124*'Model Inputs &amp; Assumptions'!$D$42*'Model Inputs &amp; Assumptions'!$H$42</f>
        <v>2025108.75866681</v>
      </c>
      <c r="AB124" s="50" t="n">
        <f aca="false">Z124*'Model Inputs &amp; Assumptions'!$G$42*'Model Inputs &amp; Assumptions'!$H$42</f>
        <v>42527.283932003</v>
      </c>
      <c r="AC124" s="50" t="n">
        <f aca="false">SUMIFS('Activation Detail'!$I$4:$I$4003,'Activation Detail'!$A$4:$A$4003,$A124,'Activation Detail'!$N$4:$N$4003,Z$2)</f>
        <v>43669.12</v>
      </c>
      <c r="AD124" s="51" t="n">
        <f aca="false">IFERROR(AB124/AC124,0)</f>
        <v>0.973852551459774</v>
      </c>
      <c r="AE124" s="49" t="n">
        <f aca="false">IFERROR(AC124/Z124,0)</f>
        <v>116.444732654874</v>
      </c>
    </row>
    <row r="125" customFormat="false" ht="15" hidden="false" customHeight="false" outlineLevel="0" collapsed="false">
      <c r="A125" s="43" t="n">
        <v>122</v>
      </c>
      <c r="B125" s="45" t="n">
        <f aca="false">SUM('Activation Detail'!C125,'Activation Detail'!C625,'Activation Detail'!C1125,'Activation Detail'!C1625,'Activation Detail'!C2125,'Activation Detail'!C2625,'Activation Detail'!C3125,'Activation Detail'!C3625)</f>
        <v>4468078</v>
      </c>
      <c r="C125" s="45" t="n">
        <f aca="false">SUM('Activation Detail'!E125,'Activation Detail'!E625,'Activation Detail'!E1125,'Activation Detail'!E1625,'Activation Detail'!E2125,'Activation Detail'!E2625,'Activation Detail'!E3125,'Activation Detail'!E3625)</f>
        <v>456571</v>
      </c>
      <c r="D125" s="45" t="n">
        <f aca="false">SUM('Activation Detail'!G125,'Activation Detail'!G625,'Activation Detail'!G1125,'Activation Detail'!G1625,'Activation Detail'!G2125,'Activation Detail'!G2625,'Activation Detail'!G3125,'Activation Detail'!G3625)</f>
        <v>20172</v>
      </c>
      <c r="E125" s="48" t="n">
        <f aca="false">SUM('Activation Detail'!H125,'Activation Detail'!H625,'Activation Detail'!H1125,'Activation Detail'!H1625,'Activation Detail'!H2125,'Activation Detail'!H2625,'Activation Detail'!H3125,'Activation Detail'!H3625)</f>
        <v>742.908904729421</v>
      </c>
      <c r="F125" s="50" t="n">
        <f aca="false">SUM('Activation Detail'!I125,'Activation Detail'!I625,'Activation Detail'!I1125,'Activation Detail'!I1625,'Activation Detail'!I2125,'Activation Detail'!I2625,'Activation Detail'!I3125,'Activation Detail'!I3625)</f>
        <v>79249.696584</v>
      </c>
      <c r="G125" s="50" t="n">
        <f aca="false">SUM('Activation Detail'!J125,'Activation Detail'!J625,'Activation Detail'!J1125,'Activation Detail'!J1625,'Activation Detail'!J2125,'Activation Detail'!J2625,'Activation Detail'!J3125,'Activation Detail'!J3625)</f>
        <v>4523449.74641155</v>
      </c>
      <c r="H125" s="50" t="n">
        <f aca="false">SUM('Activation Detail'!K125,'Activation Detail'!K625,'Activation Detail'!K1125,'Activation Detail'!K1625,'Activation Detail'!K2125,'Activation Detail'!K2625,'Activation Detail'!K3125,'Activation Detail'!K3625)</f>
        <v>97126.0238853853</v>
      </c>
      <c r="I125" s="51" t="n">
        <f aca="false">IFERROR(H125/F125,0)</f>
        <v>1.22556966237009</v>
      </c>
      <c r="J125" s="49" t="n">
        <f aca="false">IFERROR(F125/E125,0)</f>
        <v>106.674850818842</v>
      </c>
      <c r="K125" s="46" t="n">
        <f aca="false">IFERROR(C125/B125,0)</f>
        <v>0.102185100618208</v>
      </c>
      <c r="L125" s="47" t="n">
        <f aca="false">IFERROR(D125/B125,0)</f>
        <v>0.00451469289479727</v>
      </c>
      <c r="N125" s="48" t="n">
        <f aca="false">SUMIFS('Activation Detail'!$H$4:$H$4003,'Activation Detail'!$A$4:$A$4003,$A125,'Activation Detail'!$N$4:$N$4003,N$2)</f>
        <v>58.2806108244078</v>
      </c>
      <c r="O125" s="50" t="n">
        <f aca="false">N125*'Model Inputs &amp; Assumptions'!$D$40*'Model Inputs &amp; Assumptions'!$H$40</f>
        <v>495385.192007466</v>
      </c>
      <c r="P125" s="50" t="n">
        <f aca="false">N125*'Model Inputs &amp; Assumptions'!$G$40*'Model Inputs &amp; Assumptions'!$H$40</f>
        <v>11146.166820168</v>
      </c>
      <c r="Q125" s="50" t="n">
        <f aca="false">SUMIFS('Activation Detail'!$I$4:$I$4003,'Activation Detail'!$A$4:$A$4003,$A125,'Activation Detail'!$N$4:$N$4003,N$2)</f>
        <v>18199.85</v>
      </c>
      <c r="R125" s="51" t="n">
        <f aca="false">IFERROR(P125/Q125,0)</f>
        <v>0.61243179587568</v>
      </c>
      <c r="S125" s="49" t="n">
        <f aca="false">IFERROR(Q125/N125,0)</f>
        <v>312.279671447403</v>
      </c>
      <c r="T125" s="48" t="n">
        <f aca="false">SUMIFS('Activation Detail'!$H$4:$H$4003,'Activation Detail'!$A$4:$A$4003,$A125,'Activation Detail'!$N$4:$N$4003,T$2)</f>
        <v>183.928759620564</v>
      </c>
      <c r="U125" s="50" t="n">
        <f aca="false">T125*'Model Inputs &amp; Assumptions'!$D$41*'Model Inputs &amp; Assumptions'!$H$41</f>
        <v>1324287.06926806</v>
      </c>
      <c r="V125" s="50" t="n">
        <f aca="false">T125*'Model Inputs &amp; Assumptions'!$G$41*'Model Inputs &amp; Assumptions'!$H$41</f>
        <v>29200.5298773608</v>
      </c>
      <c r="W125" s="50" t="n">
        <f aca="false">SUMIFS('Activation Detail'!$I$4:$I$4003,'Activation Detail'!$A$4:$A$4003,$A125,'Activation Detail'!$N$4:$N$4003,T$2)</f>
        <v>17428.858584</v>
      </c>
      <c r="X125" s="51" t="n">
        <f aca="false">IFERROR(V125/W125,0)</f>
        <v>1.67541263454667</v>
      </c>
      <c r="Y125" s="49" t="n">
        <f aca="false">IFERROR(W125/T125,0)</f>
        <v>94.7587458315646</v>
      </c>
      <c r="Z125" s="48" t="n">
        <f aca="false">SUMIFS('Activation Detail'!$H$4:$H$4003,'Activation Detail'!$A$4:$A$4003,$A125,'Activation Detail'!$N$4:$N$4003,Z$2)</f>
        <v>500.699534284449</v>
      </c>
      <c r="AA125" s="50" t="n">
        <f aca="false">Z125*'Model Inputs &amp; Assumptions'!$D$42*'Model Inputs &amp; Assumptions'!$H$42</f>
        <v>2703777.48513603</v>
      </c>
      <c r="AB125" s="50" t="n">
        <f aca="false">Z125*'Model Inputs &amp; Assumptions'!$G$42*'Model Inputs &amp; Assumptions'!$H$42</f>
        <v>56779.3271878565</v>
      </c>
      <c r="AC125" s="50" t="n">
        <f aca="false">SUMIFS('Activation Detail'!$I$4:$I$4003,'Activation Detail'!$A$4:$A$4003,$A125,'Activation Detail'!$N$4:$N$4003,Z$2)</f>
        <v>43620.988</v>
      </c>
      <c r="AD125" s="51" t="n">
        <f aca="false">IFERROR(AB125/AC125,0)</f>
        <v>1.30165156249685</v>
      </c>
      <c r="AE125" s="49" t="n">
        <f aca="false">IFERROR(AC125/Z125,0)</f>
        <v>87.1200890217301</v>
      </c>
    </row>
    <row r="126" customFormat="false" ht="15" hidden="false" customHeight="false" outlineLevel="0" collapsed="false">
      <c r="A126" s="43" t="n">
        <v>123</v>
      </c>
      <c r="B126" s="45" t="n">
        <f aca="false">SUM('Activation Detail'!C126,'Activation Detail'!C626,'Activation Detail'!C1126,'Activation Detail'!C1626,'Activation Detail'!C2126,'Activation Detail'!C2626,'Activation Detail'!C3126,'Activation Detail'!C3626)</f>
        <v>5366878</v>
      </c>
      <c r="C126" s="45" t="n">
        <f aca="false">SUM('Activation Detail'!E126,'Activation Detail'!E626,'Activation Detail'!E1126,'Activation Detail'!E1626,'Activation Detail'!E2126,'Activation Detail'!E2626,'Activation Detail'!E3126,'Activation Detail'!E3626)</f>
        <v>395888</v>
      </c>
      <c r="D126" s="45" t="n">
        <f aca="false">SUM('Activation Detail'!G126,'Activation Detail'!G626,'Activation Detail'!G1126,'Activation Detail'!G1626,'Activation Detail'!G2126,'Activation Detail'!G2626,'Activation Detail'!G3126,'Activation Detail'!G3626)</f>
        <v>17088</v>
      </c>
      <c r="E126" s="48" t="n">
        <f aca="false">SUM('Activation Detail'!H126,'Activation Detail'!H626,'Activation Detail'!H1126,'Activation Detail'!H1626,'Activation Detail'!H2126,'Activation Detail'!H2626,'Activation Detail'!H3126,'Activation Detail'!H3626)</f>
        <v>697.384845569112</v>
      </c>
      <c r="F126" s="50" t="n">
        <f aca="false">SUM('Activation Detail'!I126,'Activation Detail'!I626,'Activation Detail'!I1126,'Activation Detail'!I1626,'Activation Detail'!I2126,'Activation Detail'!I2626,'Activation Detail'!I3126,'Activation Detail'!I3626)</f>
        <v>89811.6542</v>
      </c>
      <c r="G126" s="50" t="n">
        <f aca="false">SUM('Activation Detail'!J126,'Activation Detail'!J626,'Activation Detail'!J1126,'Activation Detail'!J1626,'Activation Detail'!J2126,'Activation Detail'!J2626,'Activation Detail'!J3126,'Activation Detail'!J3626)</f>
        <v>4321838.77788169</v>
      </c>
      <c r="H126" s="50" t="n">
        <f aca="false">SUM('Activation Detail'!K126,'Activation Detail'!K626,'Activation Detail'!K1126,'Activation Detail'!K1626,'Activation Detail'!K2126,'Activation Detail'!K2626,'Activation Detail'!K3126,'Activation Detail'!K3626)</f>
        <v>93071.7172579281</v>
      </c>
      <c r="I126" s="51" t="n">
        <f aca="false">IFERROR(H126/F126,0)</f>
        <v>1.03629888667531</v>
      </c>
      <c r="J126" s="49" t="n">
        <f aca="false">IFERROR(F126/E126,0)</f>
        <v>128.783489877397</v>
      </c>
      <c r="K126" s="46" t="n">
        <f aca="false">IFERROR(C126/B126,0)</f>
        <v>0.0737650455255365</v>
      </c>
      <c r="L126" s="47" t="n">
        <f aca="false">IFERROR(D126/B126,0)</f>
        <v>0.00318397399754569</v>
      </c>
      <c r="N126" s="48" t="n">
        <f aca="false">SUMIFS('Activation Detail'!$H$4:$H$4003,'Activation Detail'!$A$4:$A$4003,$A126,'Activation Detail'!$N$4:$N$4003,N$2)</f>
        <v>81.2283228999219</v>
      </c>
      <c r="O126" s="50" t="n">
        <f aca="false">N126*'Model Inputs &amp; Assumptions'!$D$40*'Model Inputs &amp; Assumptions'!$H$40</f>
        <v>690440.744649336</v>
      </c>
      <c r="P126" s="50" t="n">
        <f aca="false">N126*'Model Inputs &amp; Assumptions'!$G$40*'Model Inputs &amp; Assumptions'!$H$40</f>
        <v>15534.9167546101</v>
      </c>
      <c r="Q126" s="50" t="n">
        <f aca="false">SUMIFS('Activation Detail'!$I$4:$I$4003,'Activation Detail'!$A$4:$A$4003,$A126,'Activation Detail'!$N$4:$N$4003,N$2)</f>
        <v>19329.1795</v>
      </c>
      <c r="R126" s="51" t="n">
        <f aca="false">IFERROR(P126/Q126,0)</f>
        <v>0.803702855292438</v>
      </c>
      <c r="S126" s="49" t="n">
        <f aca="false">IFERROR(Q126/N126,0)</f>
        <v>237.96108069121</v>
      </c>
      <c r="T126" s="48" t="n">
        <f aca="false">SUMIFS('Activation Detail'!$H$4:$H$4003,'Activation Detail'!$A$4:$A$4003,$A126,'Activation Detail'!$N$4:$N$4003,T$2)</f>
        <v>168.973783788181</v>
      </c>
      <c r="U126" s="50" t="n">
        <f aca="false">T126*'Model Inputs &amp; Assumptions'!$D$41*'Model Inputs &amp; Assumptions'!$H$41</f>
        <v>1216611.2432749</v>
      </c>
      <c r="V126" s="50" t="n">
        <f aca="false">T126*'Model Inputs &amp; Assumptions'!$G$41*'Model Inputs &amp; Assumptions'!$H$41</f>
        <v>26826.2779142116</v>
      </c>
      <c r="W126" s="50" t="n">
        <f aca="false">SUMIFS('Activation Detail'!$I$4:$I$4003,'Activation Detail'!$A$4:$A$4003,$A126,'Activation Detail'!$N$4:$N$4003,T$2)</f>
        <v>18056.4147</v>
      </c>
      <c r="X126" s="51" t="n">
        <f aca="false">IFERROR(V126/W126,0)</f>
        <v>1.48569239020699</v>
      </c>
      <c r="Y126" s="49" t="n">
        <f aca="false">IFERROR(W126/T126,0)</f>
        <v>106.859267131254</v>
      </c>
      <c r="Z126" s="48" t="n">
        <f aca="false">SUMIFS('Activation Detail'!$H$4:$H$4003,'Activation Detail'!$A$4:$A$4003,$A126,'Activation Detail'!$N$4:$N$4003,Z$2)</f>
        <v>447.182738881009</v>
      </c>
      <c r="AA126" s="50" t="n">
        <f aca="false">Z126*'Model Inputs &amp; Assumptions'!$D$42*'Model Inputs &amp; Assumptions'!$H$42</f>
        <v>2414786.78995745</v>
      </c>
      <c r="AB126" s="50" t="n">
        <f aca="false">Z126*'Model Inputs &amp; Assumptions'!$G$42*'Model Inputs &amp; Assumptions'!$H$42</f>
        <v>50710.5225891065</v>
      </c>
      <c r="AC126" s="50" t="n">
        <f aca="false">SUMIFS('Activation Detail'!$I$4:$I$4003,'Activation Detail'!$A$4:$A$4003,$A126,'Activation Detail'!$N$4:$N$4003,Z$2)</f>
        <v>52426.06</v>
      </c>
      <c r="AD126" s="51" t="n">
        <f aca="false">IFERROR(AB126/AC126,0)</f>
        <v>0.967277010500245</v>
      </c>
      <c r="AE126" s="49" t="n">
        <f aca="false">IFERROR(AC126/Z126,0)</f>
        <v>117.236322965386</v>
      </c>
    </row>
    <row r="127" customFormat="false" ht="15" hidden="false" customHeight="false" outlineLevel="0" collapsed="false">
      <c r="A127" s="43" t="n">
        <v>124</v>
      </c>
      <c r="B127" s="45" t="n">
        <f aca="false">SUM('Activation Detail'!C127,'Activation Detail'!C627,'Activation Detail'!C1127,'Activation Detail'!C1627,'Activation Detail'!C2127,'Activation Detail'!C2627,'Activation Detail'!C3127,'Activation Detail'!C3627)</f>
        <v>3494986</v>
      </c>
      <c r="C127" s="45" t="n">
        <f aca="false">SUM('Activation Detail'!E127,'Activation Detail'!E627,'Activation Detail'!E1127,'Activation Detail'!E1627,'Activation Detail'!E2127,'Activation Detail'!E2627,'Activation Detail'!E3127,'Activation Detail'!E3627)</f>
        <v>323218</v>
      </c>
      <c r="D127" s="45" t="n">
        <f aca="false">SUM('Activation Detail'!G127,'Activation Detail'!G627,'Activation Detail'!G1127,'Activation Detail'!G1627,'Activation Detail'!G2127,'Activation Detail'!G2627,'Activation Detail'!G3127,'Activation Detail'!G3627)</f>
        <v>12887</v>
      </c>
      <c r="E127" s="48" t="n">
        <f aca="false">SUM('Activation Detail'!H127,'Activation Detail'!H627,'Activation Detail'!H1127,'Activation Detail'!H1627,'Activation Detail'!H2127,'Activation Detail'!H2627,'Activation Detail'!H3127,'Activation Detail'!H3627)</f>
        <v>528.987675240695</v>
      </c>
      <c r="F127" s="50" t="n">
        <f aca="false">SUM('Activation Detail'!I127,'Activation Detail'!I627,'Activation Detail'!I1127,'Activation Detail'!I1627,'Activation Detail'!I2127,'Activation Detail'!I2627,'Activation Detail'!I3127,'Activation Detail'!I3627)</f>
        <v>73460.205116</v>
      </c>
      <c r="G127" s="50" t="n">
        <f aca="false">SUM('Activation Detail'!J127,'Activation Detail'!J627,'Activation Detail'!J1127,'Activation Detail'!J1627,'Activation Detail'!J2127,'Activation Detail'!J2627,'Activation Detail'!J3127,'Activation Detail'!J3627)</f>
        <v>3501564.43385244</v>
      </c>
      <c r="H127" s="50" t="n">
        <f aca="false">SUM('Activation Detail'!K127,'Activation Detail'!K627,'Activation Detail'!K1127,'Activation Detail'!K1627,'Activation Detail'!K2127,'Activation Detail'!K2627,'Activation Detail'!K3127,'Activation Detail'!K3627)</f>
        <v>76206.0858348225</v>
      </c>
      <c r="I127" s="51" t="n">
        <f aca="false">IFERROR(H127/F127,0)</f>
        <v>1.03737915943042</v>
      </c>
      <c r="J127" s="49" t="n">
        <f aca="false">IFERROR(F127/E127,0)</f>
        <v>138.86940765222</v>
      </c>
      <c r="K127" s="46" t="n">
        <f aca="false">IFERROR(C127/B127,0)</f>
        <v>0.0924804849003687</v>
      </c>
      <c r="L127" s="47" t="n">
        <f aca="false">IFERROR(D127/B127,0)</f>
        <v>0.00368728229526527</v>
      </c>
      <c r="N127" s="48" t="n">
        <f aca="false">SUMIFS('Activation Detail'!$H$4:$H$4003,'Activation Detail'!$A$4:$A$4003,$A127,'Activation Detail'!$N$4:$N$4003,N$2)</f>
        <v>132.95342148207</v>
      </c>
      <c r="O127" s="50" t="n">
        <f aca="false">N127*'Model Inputs &amp; Assumptions'!$D$40*'Model Inputs &amp; Assumptions'!$H$40</f>
        <v>1130104.0825976</v>
      </c>
      <c r="P127" s="50" t="n">
        <f aca="false">N127*'Model Inputs &amp; Assumptions'!$G$40*'Model Inputs &amp; Assumptions'!$H$40</f>
        <v>25427.3418584459</v>
      </c>
      <c r="Q127" s="50" t="n">
        <f aca="false">SUMIFS('Activation Detail'!$I$4:$I$4003,'Activation Detail'!$A$4:$A$4003,$A127,'Activation Detail'!$N$4:$N$4003,N$2)</f>
        <v>18248.236</v>
      </c>
      <c r="R127" s="51" t="n">
        <f aca="false">IFERROR(P127/Q127,0)</f>
        <v>1.39341368987369</v>
      </c>
      <c r="S127" s="49" t="n">
        <f aca="false">IFERROR(Q127/N127,0)</f>
        <v>137.252849882174</v>
      </c>
      <c r="T127" s="48" t="n">
        <f aca="false">SUMIFS('Activation Detail'!$H$4:$H$4003,'Activation Detail'!$A$4:$A$4003,$A127,'Activation Detail'!$N$4:$N$4003,T$2)</f>
        <v>129.375211643487</v>
      </c>
      <c r="U127" s="50" t="n">
        <f aca="false">T127*'Model Inputs &amp; Assumptions'!$D$41*'Model Inputs &amp; Assumptions'!$H$41</f>
        <v>931501.523833104</v>
      </c>
      <c r="V127" s="50" t="n">
        <f aca="false">T127*'Model Inputs &amp; Assumptions'!$G$41*'Model Inputs &amp; Assumptions'!$H$41</f>
        <v>20539.6086005199</v>
      </c>
      <c r="W127" s="50" t="n">
        <f aca="false">SUMIFS('Activation Detail'!$I$4:$I$4003,'Activation Detail'!$A$4:$A$4003,$A127,'Activation Detail'!$N$4:$N$4003,T$2)</f>
        <v>16358.077116</v>
      </c>
      <c r="X127" s="51" t="n">
        <f aca="false">IFERROR(V127/W127,0)</f>
        <v>1.2556248790654</v>
      </c>
      <c r="Y127" s="49" t="n">
        <f aca="false">IFERROR(W127/T127,0)</f>
        <v>126.439036568127</v>
      </c>
      <c r="Z127" s="48" t="n">
        <f aca="false">SUMIFS('Activation Detail'!$H$4:$H$4003,'Activation Detail'!$A$4:$A$4003,$A127,'Activation Detail'!$N$4:$N$4003,Z$2)</f>
        <v>266.659042115138</v>
      </c>
      <c r="AA127" s="50" t="n">
        <f aca="false">Z127*'Model Inputs &amp; Assumptions'!$D$42*'Model Inputs &amp; Assumptions'!$H$42</f>
        <v>1439958.82742175</v>
      </c>
      <c r="AB127" s="50" t="n">
        <f aca="false">Z127*'Model Inputs &amp; Assumptions'!$G$42*'Model Inputs &amp; Assumptions'!$H$42</f>
        <v>30239.1353758566</v>
      </c>
      <c r="AC127" s="50" t="n">
        <f aca="false">SUMIFS('Activation Detail'!$I$4:$I$4003,'Activation Detail'!$A$4:$A$4003,$A127,'Activation Detail'!$N$4:$N$4003,Z$2)</f>
        <v>38853.892</v>
      </c>
      <c r="AD127" s="51" t="n">
        <f aca="false">IFERROR(AB127/AC127,0)</f>
        <v>0.778278154884886</v>
      </c>
      <c r="AE127" s="49" t="n">
        <f aca="false">IFERROR(AC127/Z127,0)</f>
        <v>145.706261043358</v>
      </c>
    </row>
    <row r="128" customFormat="false" ht="15" hidden="false" customHeight="false" outlineLevel="0" collapsed="false">
      <c r="A128" s="43" t="n">
        <v>125</v>
      </c>
      <c r="B128" s="45" t="n">
        <f aca="false">SUM('Activation Detail'!C128,'Activation Detail'!C628,'Activation Detail'!C1128,'Activation Detail'!C1628,'Activation Detail'!C2128,'Activation Detail'!C2628,'Activation Detail'!C3128,'Activation Detail'!C3628)</f>
        <v>4092113</v>
      </c>
      <c r="C128" s="45" t="n">
        <f aca="false">SUM('Activation Detail'!E128,'Activation Detail'!E628,'Activation Detail'!E1128,'Activation Detail'!E1628,'Activation Detail'!E2128,'Activation Detail'!E2628,'Activation Detail'!E3128,'Activation Detail'!E3628)</f>
        <v>492811</v>
      </c>
      <c r="D128" s="45" t="n">
        <f aca="false">SUM('Activation Detail'!G128,'Activation Detail'!G628,'Activation Detail'!G1128,'Activation Detail'!G1628,'Activation Detail'!G2128,'Activation Detail'!G2628,'Activation Detail'!G3128,'Activation Detail'!G3628)</f>
        <v>17363</v>
      </c>
      <c r="E128" s="48" t="n">
        <f aca="false">SUM('Activation Detail'!H128,'Activation Detail'!H628,'Activation Detail'!H1128,'Activation Detail'!H1628,'Activation Detail'!H2128,'Activation Detail'!H2628,'Activation Detail'!H3128,'Activation Detail'!H3628)</f>
        <v>675.522512762374</v>
      </c>
      <c r="F128" s="50" t="n">
        <f aca="false">SUM('Activation Detail'!I128,'Activation Detail'!I628,'Activation Detail'!I1128,'Activation Detail'!I1628,'Activation Detail'!I2128,'Activation Detail'!I2628,'Activation Detail'!I3128,'Activation Detail'!I3628)</f>
        <v>74550.297218</v>
      </c>
      <c r="G128" s="50" t="n">
        <f aca="false">SUM('Activation Detail'!J128,'Activation Detail'!J628,'Activation Detail'!J1128,'Activation Detail'!J1628,'Activation Detail'!J2128,'Activation Detail'!J2628,'Activation Detail'!J3128,'Activation Detail'!J3628)</f>
        <v>4261921.74051478</v>
      </c>
      <c r="H128" s="50" t="n">
        <f aca="false">SUM('Activation Detail'!K128,'Activation Detail'!K628,'Activation Detail'!K1128,'Activation Detail'!K1628,'Activation Detail'!K2128,'Activation Detail'!K2628,'Activation Detail'!K3128,'Activation Detail'!K3628)</f>
        <v>92059.5402459128</v>
      </c>
      <c r="I128" s="51" t="n">
        <f aca="false">IFERROR(H128/F128,0)</f>
        <v>1.23486483194979</v>
      </c>
      <c r="J128" s="49" t="n">
        <f aca="false">IFERROR(F128/E128,0)</f>
        <v>110.359456286876</v>
      </c>
      <c r="K128" s="46" t="n">
        <f aca="false">IFERROR(C128/B128,0)</f>
        <v>0.120429470056179</v>
      </c>
      <c r="L128" s="47" t="n">
        <f aca="false">IFERROR(D128/B128,0)</f>
        <v>0.00424304020930018</v>
      </c>
      <c r="N128" s="48" t="n">
        <f aca="false">SUMIFS('Activation Detail'!$H$4:$H$4003,'Activation Detail'!$A$4:$A$4003,$A128,'Activation Detail'!$N$4:$N$4003,N$2)</f>
        <v>74.2112059589291</v>
      </c>
      <c r="O128" s="50" t="n">
        <f aca="false">N128*'Model Inputs &amp; Assumptions'!$D$40*'Model Inputs &amp; Assumptions'!$H$40</f>
        <v>630795.250650897</v>
      </c>
      <c r="P128" s="50" t="n">
        <f aca="false">N128*'Model Inputs &amp; Assumptions'!$G$40*'Model Inputs &amp; Assumptions'!$H$40</f>
        <v>14192.8931396452</v>
      </c>
      <c r="Q128" s="50" t="n">
        <f aca="false">SUMIFS('Activation Detail'!$I$4:$I$4003,'Activation Detail'!$A$4:$A$4003,$A128,'Activation Detail'!$N$4:$N$4003,N$2)</f>
        <v>17729.0745</v>
      </c>
      <c r="R128" s="51" t="n">
        <f aca="false">IFERROR(P128/Q128,0)</f>
        <v>0.800543375213703</v>
      </c>
      <c r="S128" s="49" t="n">
        <f aca="false">IFERROR(Q128/N128,0)</f>
        <v>238.900234417587</v>
      </c>
      <c r="T128" s="48" t="n">
        <f aca="false">SUMIFS('Activation Detail'!$H$4:$H$4003,'Activation Detail'!$A$4:$A$4003,$A128,'Activation Detail'!$N$4:$N$4003,T$2)</f>
        <v>213.358573958486</v>
      </c>
      <c r="U128" s="50" t="n">
        <f aca="false">T128*'Model Inputs &amp; Assumptions'!$D$41*'Model Inputs &amp; Assumptions'!$H$41</f>
        <v>1536181.7325011</v>
      </c>
      <c r="V128" s="50" t="n">
        <f aca="false">T128*'Model Inputs &amp; Assumptions'!$G$41*'Model Inputs &amp; Assumptions'!$H$41</f>
        <v>33872.8072016493</v>
      </c>
      <c r="W128" s="50" t="n">
        <f aca="false">SUMIFS('Activation Detail'!$I$4:$I$4003,'Activation Detail'!$A$4:$A$4003,$A128,'Activation Detail'!$N$4:$N$4003,T$2)</f>
        <v>20776.650718</v>
      </c>
      <c r="X128" s="51" t="n">
        <f aca="false">IFERROR(V128/W128,0)</f>
        <v>1.63033049269598</v>
      </c>
      <c r="Y128" s="49" t="n">
        <f aca="false">IFERROR(W128/T128,0)</f>
        <v>97.3790287989202</v>
      </c>
      <c r="Z128" s="48" t="n">
        <f aca="false">SUMIFS('Activation Detail'!$H$4:$H$4003,'Activation Detail'!$A$4:$A$4003,$A128,'Activation Detail'!$N$4:$N$4003,Z$2)</f>
        <v>387.952732844959</v>
      </c>
      <c r="AA128" s="50" t="n">
        <f aca="false">Z128*'Model Inputs &amp; Assumptions'!$D$42*'Model Inputs &amp; Assumptions'!$H$42</f>
        <v>2094944.75736278</v>
      </c>
      <c r="AB128" s="50" t="n">
        <f aca="false">Z128*'Model Inputs &amp; Assumptions'!$G$42*'Model Inputs &amp; Assumptions'!$H$42</f>
        <v>43993.8399046183</v>
      </c>
      <c r="AC128" s="50" t="n">
        <f aca="false">SUMIFS('Activation Detail'!$I$4:$I$4003,'Activation Detail'!$A$4:$A$4003,$A128,'Activation Detail'!$N$4:$N$4003,Z$2)</f>
        <v>36044.572</v>
      </c>
      <c r="AD128" s="51" t="n">
        <f aca="false">IFERROR(AB128/AC128,0)</f>
        <v>1.22053994439491</v>
      </c>
      <c r="AE128" s="49" t="n">
        <f aca="false">IFERROR(AC128/Z128,0)</f>
        <v>92.9096999412164</v>
      </c>
    </row>
    <row r="129" customFormat="false" ht="15" hidden="false" customHeight="false" outlineLevel="0" collapsed="false">
      <c r="A129" s="43" t="n">
        <v>126</v>
      </c>
      <c r="B129" s="45" t="n">
        <f aca="false">SUM('Activation Detail'!C129,'Activation Detail'!C629,'Activation Detail'!C1129,'Activation Detail'!C1629,'Activation Detail'!C2129,'Activation Detail'!C2629,'Activation Detail'!C3129,'Activation Detail'!C3629)</f>
        <v>4205929</v>
      </c>
      <c r="C129" s="45" t="n">
        <f aca="false">SUM('Activation Detail'!E129,'Activation Detail'!E629,'Activation Detail'!E1129,'Activation Detail'!E1629,'Activation Detail'!E2129,'Activation Detail'!E2629,'Activation Detail'!E3129,'Activation Detail'!E3629)</f>
        <v>286688</v>
      </c>
      <c r="D129" s="45" t="n">
        <f aca="false">SUM('Activation Detail'!G129,'Activation Detail'!G629,'Activation Detail'!G1129,'Activation Detail'!G1629,'Activation Detail'!G2129,'Activation Detail'!G2629,'Activation Detail'!G3129,'Activation Detail'!G3629)</f>
        <v>19592</v>
      </c>
      <c r="E129" s="48" t="n">
        <f aca="false">SUM('Activation Detail'!H129,'Activation Detail'!H629,'Activation Detail'!H1129,'Activation Detail'!H1629,'Activation Detail'!H2129,'Activation Detail'!H2629,'Activation Detail'!H3129,'Activation Detail'!H3629)</f>
        <v>1020.77475085394</v>
      </c>
      <c r="F129" s="50" t="n">
        <f aca="false">SUM('Activation Detail'!I129,'Activation Detail'!I629,'Activation Detail'!I1129,'Activation Detail'!I1629,'Activation Detail'!I2129,'Activation Detail'!I2629,'Activation Detail'!I3129,'Activation Detail'!I3629)</f>
        <v>71831.010188</v>
      </c>
      <c r="G129" s="50" t="n">
        <f aca="false">SUM('Activation Detail'!J129,'Activation Detail'!J629,'Activation Detail'!J1129,'Activation Detail'!J1629,'Activation Detail'!J2129,'Activation Detail'!J2629,'Activation Detail'!J3129,'Activation Detail'!J3629)</f>
        <v>6050423.09136272</v>
      </c>
      <c r="H129" s="50" t="n">
        <f aca="false">SUM('Activation Detail'!K129,'Activation Detail'!K629,'Activation Detail'!K1129,'Activation Detail'!K1629,'Activation Detail'!K2129,'Activation Detail'!K2629,'Activation Detail'!K3129,'Activation Detail'!K3629)</f>
        <v>129291.741962057</v>
      </c>
      <c r="I129" s="51" t="n">
        <f aca="false">IFERROR(H129/F129,0)</f>
        <v>1.79994325046617</v>
      </c>
      <c r="J129" s="49" t="n">
        <f aca="false">IFERROR(F129/E129,0)</f>
        <v>70.3691094709277</v>
      </c>
      <c r="K129" s="46" t="n">
        <f aca="false">IFERROR(C129/B129,0)</f>
        <v>0.0681628244318913</v>
      </c>
      <c r="L129" s="47" t="n">
        <f aca="false">IFERROR(D129/B129,0)</f>
        <v>0.00465818609871921</v>
      </c>
      <c r="N129" s="48" t="n">
        <f aca="false">SUMIFS('Activation Detail'!$H$4:$H$4003,'Activation Detail'!$A$4:$A$4003,$A129,'Activation Detail'!$N$4:$N$4003,N$2)</f>
        <v>102.772558947825</v>
      </c>
      <c r="O129" s="50" t="n">
        <f aca="false">N129*'Model Inputs &amp; Assumptions'!$D$40*'Model Inputs &amp; Assumptions'!$H$40</f>
        <v>873566.751056513</v>
      </c>
      <c r="P129" s="50" t="n">
        <f aca="false">N129*'Model Inputs &amp; Assumptions'!$G$40*'Model Inputs &amp; Assumptions'!$H$40</f>
        <v>19655.2518987715</v>
      </c>
      <c r="Q129" s="50" t="n">
        <f aca="false">SUMIFS('Activation Detail'!$I$4:$I$4003,'Activation Detail'!$A$4:$A$4003,$A129,'Activation Detail'!$N$4:$N$4003,N$2)</f>
        <v>18454.1755</v>
      </c>
      <c r="R129" s="51" t="n">
        <f aca="false">IFERROR(P129/Q129,0)</f>
        <v>1.06508426229996</v>
      </c>
      <c r="S129" s="49" t="n">
        <f aca="false">IFERROR(Q129/N129,0)</f>
        <v>179.563257828081</v>
      </c>
      <c r="T129" s="48" t="n">
        <f aca="false">SUMIFS('Activation Detail'!$H$4:$H$4003,'Activation Detail'!$A$4:$A$4003,$A129,'Activation Detail'!$N$4:$N$4003,T$2)</f>
        <v>122.024724451762</v>
      </c>
      <c r="U129" s="50" t="n">
        <f aca="false">T129*'Model Inputs &amp; Assumptions'!$D$41*'Model Inputs &amp; Assumptions'!$H$41</f>
        <v>878578.016052689</v>
      </c>
      <c r="V129" s="50" t="n">
        <f aca="false">T129*'Model Inputs &amp; Assumptions'!$G$41*'Model Inputs &amp; Assumptions'!$H$41</f>
        <v>19372.6452539618</v>
      </c>
      <c r="W129" s="50" t="n">
        <f aca="false">SUMIFS('Activation Detail'!$I$4:$I$4003,'Activation Detail'!$A$4:$A$4003,$A129,'Activation Detail'!$N$4:$N$4003,T$2)</f>
        <v>17005.166688</v>
      </c>
      <c r="X129" s="51" t="n">
        <f aca="false">IFERROR(V129/W129,0)</f>
        <v>1.13922113257687</v>
      </c>
      <c r="Y129" s="49" t="n">
        <f aca="false">IFERROR(W129/T129,0)</f>
        <v>139.358369907422</v>
      </c>
      <c r="Z129" s="48" t="n">
        <f aca="false">SUMIFS('Activation Detail'!$H$4:$H$4003,'Activation Detail'!$A$4:$A$4003,$A129,'Activation Detail'!$N$4:$N$4003,Z$2)</f>
        <v>795.977467454355</v>
      </c>
      <c r="AA129" s="50" t="n">
        <f aca="false">Z129*'Model Inputs &amp; Assumptions'!$D$42*'Model Inputs &amp; Assumptions'!$H$42</f>
        <v>4298278.32425352</v>
      </c>
      <c r="AB129" s="50" t="n">
        <f aca="false">Z129*'Model Inputs &amp; Assumptions'!$G$42*'Model Inputs &amp; Assumptions'!$H$42</f>
        <v>90263.8448093239</v>
      </c>
      <c r="AC129" s="50" t="n">
        <f aca="false">SUMIFS('Activation Detail'!$I$4:$I$4003,'Activation Detail'!$A$4:$A$4003,$A129,'Activation Detail'!$N$4:$N$4003,Z$2)</f>
        <v>36371.668</v>
      </c>
      <c r="AD129" s="51" t="n">
        <f aca="false">IFERROR(AB129/AC129,0)</f>
        <v>2.48170759749935</v>
      </c>
      <c r="AE129" s="49" t="n">
        <f aca="false">IFERROR(AC129/Z129,0)</f>
        <v>45.6943437310123</v>
      </c>
    </row>
    <row r="130" customFormat="false" ht="15" hidden="false" customHeight="false" outlineLevel="0" collapsed="false">
      <c r="A130" s="43" t="n">
        <v>127</v>
      </c>
      <c r="B130" s="45" t="n">
        <f aca="false">SUM('Activation Detail'!C130,'Activation Detail'!C630,'Activation Detail'!C1130,'Activation Detail'!C1630,'Activation Detail'!C2130,'Activation Detail'!C2630,'Activation Detail'!C3130,'Activation Detail'!C3630)</f>
        <v>4926643</v>
      </c>
      <c r="C130" s="45" t="n">
        <f aca="false">SUM('Activation Detail'!E130,'Activation Detail'!E630,'Activation Detail'!E1130,'Activation Detail'!E1630,'Activation Detail'!E2130,'Activation Detail'!E2630,'Activation Detail'!E3130,'Activation Detail'!E3630)</f>
        <v>503014</v>
      </c>
      <c r="D130" s="45" t="n">
        <f aca="false">SUM('Activation Detail'!G130,'Activation Detail'!G630,'Activation Detail'!G1130,'Activation Detail'!G1630,'Activation Detail'!G2130,'Activation Detail'!G2630,'Activation Detail'!G3130,'Activation Detail'!G3630)</f>
        <v>16227</v>
      </c>
      <c r="E130" s="48" t="n">
        <f aca="false">SUM('Activation Detail'!H130,'Activation Detail'!H630,'Activation Detail'!H1130,'Activation Detail'!H1630,'Activation Detail'!H2130,'Activation Detail'!H2630,'Activation Detail'!H3130,'Activation Detail'!H3630)</f>
        <v>575.318404241849</v>
      </c>
      <c r="F130" s="50" t="n">
        <f aca="false">SUM('Activation Detail'!I130,'Activation Detail'!I630,'Activation Detail'!I1130,'Activation Detail'!I1630,'Activation Detail'!I2130,'Activation Detail'!I2630,'Activation Detail'!I3130,'Activation Detail'!I3630)</f>
        <v>79063.749082</v>
      </c>
      <c r="G130" s="50" t="n">
        <f aca="false">SUM('Activation Detail'!J130,'Activation Detail'!J630,'Activation Detail'!J1130,'Activation Detail'!J1630,'Activation Detail'!J2130,'Activation Detail'!J2630,'Activation Detail'!J3130,'Activation Detail'!J3630)</f>
        <v>3700102.59114855</v>
      </c>
      <c r="H130" s="50" t="n">
        <f aca="false">SUM('Activation Detail'!K130,'Activation Detail'!K630,'Activation Detail'!K1130,'Activation Detail'!K1630,'Activation Detail'!K2130,'Activation Detail'!K2630,'Activation Detail'!K3130,'Activation Detail'!K3630)</f>
        <v>80168.2867072701</v>
      </c>
      <c r="I130" s="51" t="n">
        <f aca="false">IFERROR(H130/F130,0)</f>
        <v>1.01397021565629</v>
      </c>
      <c r="J130" s="49" t="n">
        <f aca="false">IFERROR(F130/E130,0)</f>
        <v>137.42607310849</v>
      </c>
      <c r="K130" s="46" t="n">
        <f aca="false">IFERROR(C130/B130,0)</f>
        <v>0.102100761106498</v>
      </c>
      <c r="L130" s="47" t="n">
        <f aca="false">IFERROR(D130/B130,0)</f>
        <v>0.00329372353547842</v>
      </c>
      <c r="N130" s="48" t="n">
        <f aca="false">SUMIFS('Activation Detail'!$H$4:$H$4003,'Activation Detail'!$A$4:$A$4003,$A130,'Activation Detail'!$N$4:$N$4003,N$2)</f>
        <v>96.5821535856315</v>
      </c>
      <c r="O130" s="50" t="n">
        <f aca="false">N130*'Model Inputs &amp; Assumptions'!$D$40*'Model Inputs &amp; Assumptions'!$H$40</f>
        <v>820948.305477867</v>
      </c>
      <c r="P130" s="50" t="n">
        <f aca="false">N130*'Model Inputs &amp; Assumptions'!$G$40*'Model Inputs &amp; Assumptions'!$H$40</f>
        <v>18471.336873252</v>
      </c>
      <c r="Q130" s="50" t="n">
        <f aca="false">SUMIFS('Activation Detail'!$I$4:$I$4003,'Activation Detail'!$A$4:$A$4003,$A130,'Activation Detail'!$N$4:$N$4003,N$2)</f>
        <v>17652.394</v>
      </c>
      <c r="R130" s="51" t="n">
        <f aca="false">IFERROR(P130/Q130,0)</f>
        <v>1.04639273705606</v>
      </c>
      <c r="S130" s="49" t="n">
        <f aca="false">IFERROR(Q130/N130,0)</f>
        <v>182.770764004026</v>
      </c>
      <c r="T130" s="48" t="n">
        <f aca="false">SUMIFS('Activation Detail'!$H$4:$H$4003,'Activation Detail'!$A$4:$A$4003,$A130,'Activation Detail'!$N$4:$N$4003,T$2)</f>
        <v>163.321406737279</v>
      </c>
      <c r="U130" s="50" t="n">
        <f aca="false">T130*'Model Inputs &amp; Assumptions'!$D$41*'Model Inputs &amp; Assumptions'!$H$41</f>
        <v>1175914.12850841</v>
      </c>
      <c r="V130" s="50" t="n">
        <f aca="false">T130*'Model Inputs &amp; Assumptions'!$G$41*'Model Inputs &amp; Assumptions'!$H$41</f>
        <v>25928.9065336104</v>
      </c>
      <c r="W130" s="50" t="n">
        <f aca="false">SUMIFS('Activation Detail'!$I$4:$I$4003,'Activation Detail'!$A$4:$A$4003,$A130,'Activation Detail'!$N$4:$N$4003,T$2)</f>
        <v>21952.819082</v>
      </c>
      <c r="X130" s="51" t="n">
        <f aca="false">IFERROR(V130/W130,0)</f>
        <v>1.18111967473328</v>
      </c>
      <c r="Y130" s="49" t="n">
        <f aca="false">IFERROR(W130/T130,0)</f>
        <v>134.414829755377</v>
      </c>
      <c r="Z130" s="48" t="n">
        <f aca="false">SUMIFS('Activation Detail'!$H$4:$H$4003,'Activation Detail'!$A$4:$A$4003,$A130,'Activation Detail'!$N$4:$N$4003,Z$2)</f>
        <v>315.414843918939</v>
      </c>
      <c r="AA130" s="50" t="n">
        <f aca="false">Z130*'Model Inputs &amp; Assumptions'!$D$42*'Model Inputs &amp; Assumptions'!$H$42</f>
        <v>1703240.15716227</v>
      </c>
      <c r="AB130" s="50" t="n">
        <f aca="false">Z130*'Model Inputs &amp; Assumptions'!$G$42*'Model Inputs &amp; Assumptions'!$H$42</f>
        <v>35768.0433004077</v>
      </c>
      <c r="AC130" s="50" t="n">
        <f aca="false">SUMIFS('Activation Detail'!$I$4:$I$4003,'Activation Detail'!$A$4:$A$4003,$A130,'Activation Detail'!$N$4:$N$4003,Z$2)</f>
        <v>39458.536</v>
      </c>
      <c r="AD130" s="51" t="n">
        <f aca="false">IFERROR(AB130/AC130,0)</f>
        <v>0.906471626327132</v>
      </c>
      <c r="AE130" s="49" t="n">
        <f aca="false">IFERROR(AC130/Z130,0)</f>
        <v>125.100440771078</v>
      </c>
    </row>
    <row r="131" customFormat="false" ht="15" hidden="false" customHeight="false" outlineLevel="0" collapsed="false">
      <c r="A131" s="43" t="n">
        <v>128</v>
      </c>
      <c r="B131" s="45" t="n">
        <f aca="false">SUM('Activation Detail'!C131,'Activation Detail'!C631,'Activation Detail'!C1131,'Activation Detail'!C1631,'Activation Detail'!C2131,'Activation Detail'!C2631,'Activation Detail'!C3131,'Activation Detail'!C3631)</f>
        <v>3508853</v>
      </c>
      <c r="C131" s="45" t="n">
        <f aca="false">SUM('Activation Detail'!E131,'Activation Detail'!E631,'Activation Detail'!E1131,'Activation Detail'!E1631,'Activation Detail'!E2131,'Activation Detail'!E2631,'Activation Detail'!E3131,'Activation Detail'!E3631)</f>
        <v>301560</v>
      </c>
      <c r="D131" s="45" t="n">
        <f aca="false">SUM('Activation Detail'!G131,'Activation Detail'!G631,'Activation Detail'!G1131,'Activation Detail'!G1631,'Activation Detail'!G2131,'Activation Detail'!G2631,'Activation Detail'!G3131,'Activation Detail'!G3631)</f>
        <v>11002</v>
      </c>
      <c r="E131" s="48" t="n">
        <f aca="false">SUM('Activation Detail'!H131,'Activation Detail'!H631,'Activation Detail'!H1131,'Activation Detail'!H1631,'Activation Detail'!H2131,'Activation Detail'!H2631,'Activation Detail'!H3131,'Activation Detail'!H3631)</f>
        <v>443.07980341941</v>
      </c>
      <c r="F131" s="50" t="n">
        <f aca="false">SUM('Activation Detail'!I131,'Activation Detail'!I631,'Activation Detail'!I1131,'Activation Detail'!I1631,'Activation Detail'!I2131,'Activation Detail'!I2631,'Activation Detail'!I3131,'Activation Detail'!I3631)</f>
        <v>68863.759078</v>
      </c>
      <c r="G131" s="50" t="n">
        <f aca="false">SUM('Activation Detail'!J131,'Activation Detail'!J631,'Activation Detail'!J1131,'Activation Detail'!J1631,'Activation Detail'!J2131,'Activation Detail'!J2631,'Activation Detail'!J3131,'Activation Detail'!J3631)</f>
        <v>2892568.93122744</v>
      </c>
      <c r="H131" s="50" t="n">
        <f aca="false">SUM('Activation Detail'!K131,'Activation Detail'!K631,'Activation Detail'!K1131,'Activation Detail'!K1631,'Activation Detail'!K2131,'Activation Detail'!K2631,'Activation Detail'!K3131,'Activation Detail'!K3631)</f>
        <v>62820.9617293319</v>
      </c>
      <c r="I131" s="51" t="n">
        <f aca="false">IFERROR(H131/F131,0)</f>
        <v>0.91224996384784</v>
      </c>
      <c r="J131" s="49" t="n">
        <f aca="false">IFERROR(F131/E131,0)</f>
        <v>155.420668120174</v>
      </c>
      <c r="K131" s="46" t="n">
        <f aca="false">IFERROR(C131/B131,0)</f>
        <v>0.0859426142958967</v>
      </c>
      <c r="L131" s="47" t="n">
        <f aca="false">IFERROR(D131/B131,0)</f>
        <v>0.00313549755432901</v>
      </c>
      <c r="N131" s="48" t="n">
        <f aca="false">SUMIFS('Activation Detail'!$H$4:$H$4003,'Activation Detail'!$A$4:$A$4003,$A131,'Activation Detail'!$N$4:$N$4003,N$2)</f>
        <v>84.1681335087146</v>
      </c>
      <c r="O131" s="50" t="n">
        <f aca="false">N131*'Model Inputs &amp; Assumptions'!$D$40*'Model Inputs &amp; Assumptions'!$H$40</f>
        <v>715429.134824074</v>
      </c>
      <c r="P131" s="50" t="n">
        <f aca="false">N131*'Model Inputs &amp; Assumptions'!$G$40*'Model Inputs &amp; Assumptions'!$H$40</f>
        <v>16097.1555335417</v>
      </c>
      <c r="Q131" s="50" t="n">
        <f aca="false">SUMIFS('Activation Detail'!$I$4:$I$4003,'Activation Detail'!$A$4:$A$4003,$A131,'Activation Detail'!$N$4:$N$4003,N$2)</f>
        <v>18487.02</v>
      </c>
      <c r="R131" s="51" t="n">
        <f aca="false">IFERROR(P131/Q131,0)</f>
        <v>0.87072743652258</v>
      </c>
      <c r="S131" s="49" t="n">
        <f aca="false">IFERROR(Q131/N131,0)</f>
        <v>219.643934459897</v>
      </c>
      <c r="T131" s="48" t="n">
        <f aca="false">SUMIFS('Activation Detail'!$H$4:$H$4003,'Activation Detail'!$A$4:$A$4003,$A131,'Activation Detail'!$N$4:$N$4003,T$2)</f>
        <v>132.787099380895</v>
      </c>
      <c r="U131" s="50" t="n">
        <f aca="false">T131*'Model Inputs &amp; Assumptions'!$D$41*'Model Inputs &amp; Assumptions'!$H$41</f>
        <v>956067.115542442</v>
      </c>
      <c r="V131" s="50" t="n">
        <f aca="false">T131*'Model Inputs &amp; Assumptions'!$G$41*'Model Inputs &amp; Assumptions'!$H$41</f>
        <v>21081.2798977108</v>
      </c>
      <c r="W131" s="50" t="n">
        <f aca="false">SUMIFS('Activation Detail'!$I$4:$I$4003,'Activation Detail'!$A$4:$A$4003,$A131,'Activation Detail'!$N$4:$N$4003,T$2)</f>
        <v>15545.235078</v>
      </c>
      <c r="X131" s="51" t="n">
        <f aca="false">IFERROR(V131/W131,0)</f>
        <v>1.35612486989956</v>
      </c>
      <c r="Y131" s="49" t="n">
        <f aca="false">IFERROR(W131/T131,0)</f>
        <v>117.068865503335</v>
      </c>
      <c r="Z131" s="48" t="n">
        <f aca="false">SUMIFS('Activation Detail'!$H$4:$H$4003,'Activation Detail'!$A$4:$A$4003,$A131,'Activation Detail'!$N$4:$N$4003,Z$2)</f>
        <v>226.1245705298</v>
      </c>
      <c r="AA131" s="50" t="n">
        <f aca="false">Z131*'Model Inputs &amp; Assumptions'!$D$42*'Model Inputs &amp; Assumptions'!$H$42</f>
        <v>1221072.68086092</v>
      </c>
      <c r="AB131" s="50" t="n">
        <f aca="false">Z131*'Model Inputs &amp; Assumptions'!$G$42*'Model Inputs &amp; Assumptions'!$H$42</f>
        <v>25642.5262980794</v>
      </c>
      <c r="AC131" s="50" t="n">
        <f aca="false">SUMIFS('Activation Detail'!$I$4:$I$4003,'Activation Detail'!$A$4:$A$4003,$A131,'Activation Detail'!$N$4:$N$4003,Z$2)</f>
        <v>34831.504</v>
      </c>
      <c r="AD131" s="51" t="n">
        <f aca="false">IFERROR(AB131/AC131,0)</f>
        <v>0.736187742512622</v>
      </c>
      <c r="AE131" s="49" t="n">
        <f aca="false">IFERROR(AC131/Z131,0)</f>
        <v>154.036794490715</v>
      </c>
    </row>
    <row r="132" customFormat="false" ht="15" hidden="false" customHeight="false" outlineLevel="0" collapsed="false">
      <c r="A132" s="43" t="n">
        <v>129</v>
      </c>
      <c r="B132" s="45" t="n">
        <f aca="false">SUM('Activation Detail'!C132,'Activation Detail'!C632,'Activation Detail'!C1132,'Activation Detail'!C1632,'Activation Detail'!C2132,'Activation Detail'!C2632,'Activation Detail'!C3132,'Activation Detail'!C3632)</f>
        <v>4115969</v>
      </c>
      <c r="C132" s="45" t="n">
        <f aca="false">SUM('Activation Detail'!E132,'Activation Detail'!E632,'Activation Detail'!E1132,'Activation Detail'!E1632,'Activation Detail'!E2132,'Activation Detail'!E2632,'Activation Detail'!E3132,'Activation Detail'!E3632)</f>
        <v>362869</v>
      </c>
      <c r="D132" s="45" t="n">
        <f aca="false">SUM('Activation Detail'!G132,'Activation Detail'!G632,'Activation Detail'!G1132,'Activation Detail'!G1632,'Activation Detail'!G2132,'Activation Detail'!G2632,'Activation Detail'!G3132,'Activation Detail'!G3632)</f>
        <v>16145</v>
      </c>
      <c r="E132" s="48" t="n">
        <f aca="false">SUM('Activation Detail'!H132,'Activation Detail'!H632,'Activation Detail'!H1132,'Activation Detail'!H1632,'Activation Detail'!H2132,'Activation Detail'!H2632,'Activation Detail'!H3132,'Activation Detail'!H3632)</f>
        <v>613.095737158416</v>
      </c>
      <c r="F132" s="50" t="n">
        <f aca="false">SUM('Activation Detail'!I132,'Activation Detail'!I632,'Activation Detail'!I1132,'Activation Detail'!I1632,'Activation Detail'!I2132,'Activation Detail'!I2632,'Activation Detail'!I3132,'Activation Detail'!I3632)</f>
        <v>74424.343176</v>
      </c>
      <c r="G132" s="50" t="n">
        <f aca="false">SUM('Activation Detail'!J132,'Activation Detail'!J632,'Activation Detail'!J1132,'Activation Detail'!J1632,'Activation Detail'!J2132,'Activation Detail'!J2632,'Activation Detail'!J3132,'Activation Detail'!J3632)</f>
        <v>3945623.08750197</v>
      </c>
      <c r="H132" s="50" t="n">
        <f aca="false">SUM('Activation Detail'!K132,'Activation Detail'!K632,'Activation Detail'!K1132,'Activation Detail'!K1632,'Activation Detail'!K2132,'Activation Detail'!K2632,'Activation Detail'!K3132,'Activation Detail'!K3632)</f>
        <v>85499.3130527745</v>
      </c>
      <c r="I132" s="51" t="n">
        <f aca="false">IFERROR(H132/F132,0)</f>
        <v>1.14880843288847</v>
      </c>
      <c r="J132" s="49" t="n">
        <f aca="false">IFERROR(F132/E132,0)</f>
        <v>121.391062872078</v>
      </c>
      <c r="K132" s="46" t="n">
        <f aca="false">IFERROR(C132/B132,0)</f>
        <v>0.0881612568024686</v>
      </c>
      <c r="L132" s="47" t="n">
        <f aca="false">IFERROR(D132/B132,0)</f>
        <v>0.00392252711329944</v>
      </c>
      <c r="N132" s="48" t="n">
        <f aca="false">SUMIFS('Activation Detail'!$H$4:$H$4003,'Activation Detail'!$A$4:$A$4003,$A132,'Activation Detail'!$N$4:$N$4003,N$2)</f>
        <v>93.9904945270273</v>
      </c>
      <c r="O132" s="50" t="n">
        <f aca="false">N132*'Model Inputs &amp; Assumptions'!$D$40*'Model Inputs &amp; Assumptions'!$H$40</f>
        <v>798919.203479732</v>
      </c>
      <c r="P132" s="50" t="n">
        <f aca="false">N132*'Model Inputs &amp; Assumptions'!$G$40*'Model Inputs &amp; Assumptions'!$H$40</f>
        <v>17975.682078294</v>
      </c>
      <c r="Q132" s="50" t="n">
        <f aca="false">SUMIFS('Activation Detail'!$I$4:$I$4003,'Activation Detail'!$A$4:$A$4003,$A132,'Activation Detail'!$N$4:$N$4003,N$2)</f>
        <v>18394.122</v>
      </c>
      <c r="R132" s="51" t="n">
        <f aca="false">IFERROR(P132/Q132,0)</f>
        <v>0.977251432729106</v>
      </c>
      <c r="S132" s="49" t="n">
        <f aca="false">IFERROR(Q132/N132,0)</f>
        <v>195.70193871797</v>
      </c>
      <c r="T132" s="48" t="n">
        <f aca="false">SUMIFS('Activation Detail'!$H$4:$H$4003,'Activation Detail'!$A$4:$A$4003,$A132,'Activation Detail'!$N$4:$N$4003,T$2)</f>
        <v>190.853096562632</v>
      </c>
      <c r="U132" s="50" t="n">
        <f aca="false">T132*'Model Inputs &amp; Assumptions'!$D$41*'Model Inputs &amp; Assumptions'!$H$41</f>
        <v>1374142.29525095</v>
      </c>
      <c r="V132" s="50" t="n">
        <f aca="false">T132*'Model Inputs &amp; Assumptions'!$G$41*'Model Inputs &amp; Assumptions'!$H$41</f>
        <v>30299.8376102834</v>
      </c>
      <c r="W132" s="50" t="n">
        <f aca="false">SUMIFS('Activation Detail'!$I$4:$I$4003,'Activation Detail'!$A$4:$A$4003,$A132,'Activation Detail'!$N$4:$N$4003,T$2)</f>
        <v>18310.269176</v>
      </c>
      <c r="X132" s="51" t="n">
        <f aca="false">IFERROR(V132/W132,0)</f>
        <v>1.65480022816915</v>
      </c>
      <c r="Y132" s="49" t="n">
        <f aca="false">IFERROR(W132/T132,0)</f>
        <v>95.9390730660278</v>
      </c>
      <c r="Z132" s="48" t="n">
        <f aca="false">SUMIFS('Activation Detail'!$H$4:$H$4003,'Activation Detail'!$A$4:$A$4003,$A132,'Activation Detail'!$N$4:$N$4003,Z$2)</f>
        <v>328.252146068757</v>
      </c>
      <c r="AA132" s="50" t="n">
        <f aca="false">Z132*'Model Inputs &amp; Assumptions'!$D$42*'Model Inputs &amp; Assumptions'!$H$42</f>
        <v>1772561.58877129</v>
      </c>
      <c r="AB132" s="50" t="n">
        <f aca="false">Z132*'Model Inputs &amp; Assumptions'!$G$42*'Model Inputs &amp; Assumptions'!$H$42</f>
        <v>37223.793364197</v>
      </c>
      <c r="AC132" s="50" t="n">
        <f aca="false">SUMIFS('Activation Detail'!$I$4:$I$4003,'Activation Detail'!$A$4:$A$4003,$A132,'Activation Detail'!$N$4:$N$4003,Z$2)</f>
        <v>37719.952</v>
      </c>
      <c r="AD132" s="51" t="n">
        <f aca="false">IFERROR(AB132/AC132,0)</f>
        <v>0.986846254846693</v>
      </c>
      <c r="AE132" s="49" t="n">
        <f aca="false">IFERROR(AC132/Z132,0)</f>
        <v>114.911516807263</v>
      </c>
    </row>
    <row r="133" customFormat="false" ht="15" hidden="false" customHeight="false" outlineLevel="0" collapsed="false">
      <c r="A133" s="43" t="n">
        <v>130</v>
      </c>
      <c r="B133" s="45" t="n">
        <f aca="false">SUM('Activation Detail'!C133,'Activation Detail'!C633,'Activation Detail'!C1133,'Activation Detail'!C1633,'Activation Detail'!C2133,'Activation Detail'!C2633,'Activation Detail'!C3133,'Activation Detail'!C3633)</f>
        <v>5080177</v>
      </c>
      <c r="C133" s="45" t="n">
        <f aca="false">SUM('Activation Detail'!E133,'Activation Detail'!E633,'Activation Detail'!E1133,'Activation Detail'!E1633,'Activation Detail'!E2133,'Activation Detail'!E2633,'Activation Detail'!E3133,'Activation Detail'!E3633)</f>
        <v>379311</v>
      </c>
      <c r="D133" s="45" t="n">
        <f aca="false">SUM('Activation Detail'!G133,'Activation Detail'!G633,'Activation Detail'!G1133,'Activation Detail'!G1633,'Activation Detail'!G2133,'Activation Detail'!G2633,'Activation Detail'!G3133,'Activation Detail'!G3633)</f>
        <v>17877</v>
      </c>
      <c r="E133" s="48" t="n">
        <f aca="false">SUM('Activation Detail'!H133,'Activation Detail'!H633,'Activation Detail'!H1133,'Activation Detail'!H1633,'Activation Detail'!H2133,'Activation Detail'!H2633,'Activation Detail'!H3133,'Activation Detail'!H3633)</f>
        <v>886.487407030747</v>
      </c>
      <c r="F133" s="50" t="n">
        <f aca="false">SUM('Activation Detail'!I133,'Activation Detail'!I633,'Activation Detail'!I1133,'Activation Detail'!I1633,'Activation Detail'!I2133,'Activation Detail'!I2633,'Activation Detail'!I3133,'Activation Detail'!I3633)</f>
        <v>74297.646206</v>
      </c>
      <c r="G133" s="50" t="n">
        <f aca="false">SUM('Activation Detail'!J133,'Activation Detail'!J633,'Activation Detail'!J1133,'Activation Detail'!J1633,'Activation Detail'!J2133,'Activation Detail'!J2633,'Activation Detail'!J3133,'Activation Detail'!J3633)</f>
        <v>5604388.37753016</v>
      </c>
      <c r="H133" s="50" t="n">
        <f aca="false">SUM('Activation Detail'!K133,'Activation Detail'!K633,'Activation Detail'!K1133,'Activation Detail'!K1633,'Activation Detail'!K2133,'Activation Detail'!K2633,'Activation Detail'!K3133,'Activation Detail'!K3633)</f>
        <v>121097.562482576</v>
      </c>
      <c r="I133" s="51" t="n">
        <f aca="false">IFERROR(H133/F133,0)</f>
        <v>1.62989769752352</v>
      </c>
      <c r="J133" s="49" t="n">
        <f aca="false">IFERROR(F133/E133,0)</f>
        <v>83.8112821645791</v>
      </c>
      <c r="K133" s="46" t="n">
        <f aca="false">IFERROR(C133/B133,0)</f>
        <v>0.0746649181711582</v>
      </c>
      <c r="L133" s="47" t="n">
        <f aca="false">IFERROR(D133/B133,0)</f>
        <v>0.00351897187834203</v>
      </c>
      <c r="N133" s="48" t="n">
        <f aca="false">SUMIFS('Activation Detail'!$H$4:$H$4003,'Activation Detail'!$A$4:$A$4003,$A133,'Activation Detail'!$N$4:$N$4003,N$2)</f>
        <v>101.815702690073</v>
      </c>
      <c r="O133" s="50" t="n">
        <f aca="false">N133*'Model Inputs &amp; Assumptions'!$D$40*'Model Inputs &amp; Assumptions'!$H$40</f>
        <v>865433.472865616</v>
      </c>
      <c r="P133" s="50" t="n">
        <f aca="false">N133*'Model Inputs &amp; Assumptions'!$G$40*'Model Inputs &amp; Assumptions'!$H$40</f>
        <v>19472.2531394764</v>
      </c>
      <c r="Q133" s="50" t="n">
        <f aca="false">SUMIFS('Activation Detail'!$I$4:$I$4003,'Activation Detail'!$A$4:$A$4003,$A133,'Activation Detail'!$N$4:$N$4003,N$2)</f>
        <v>18295.53</v>
      </c>
      <c r="R133" s="51" t="n">
        <f aca="false">IFERROR(P133/Q133,0)</f>
        <v>1.0643175212457</v>
      </c>
      <c r="S133" s="49" t="n">
        <f aca="false">IFERROR(Q133/N133,0)</f>
        <v>179.692616331409</v>
      </c>
      <c r="T133" s="48" t="n">
        <f aca="false">SUMIFS('Activation Detail'!$H$4:$H$4003,'Activation Detail'!$A$4:$A$4003,$A133,'Activation Detail'!$N$4:$N$4003,T$2)</f>
        <v>278.737611791613</v>
      </c>
      <c r="U133" s="50" t="n">
        <f aca="false">T133*'Model Inputs &amp; Assumptions'!$D$41*'Model Inputs &amp; Assumptions'!$H$41</f>
        <v>2006910.80489961</v>
      </c>
      <c r="V133" s="50" t="n">
        <f aca="false">T133*'Model Inputs &amp; Assumptions'!$G$41*'Model Inputs &amp; Assumptions'!$H$41</f>
        <v>44252.3832480365</v>
      </c>
      <c r="W133" s="50" t="n">
        <f aca="false">SUMIFS('Activation Detail'!$I$4:$I$4003,'Activation Detail'!$A$4:$A$4003,$A133,'Activation Detail'!$N$4:$N$4003,T$2)</f>
        <v>16919.216206</v>
      </c>
      <c r="X133" s="51" t="n">
        <f aca="false">IFERROR(V133/W133,0)</f>
        <v>2.61551024050059</v>
      </c>
      <c r="Y133" s="49" t="n">
        <f aca="false">IFERROR(W133/T133,0)</f>
        <v>60.6994373570546</v>
      </c>
      <c r="Z133" s="48" t="n">
        <f aca="false">SUMIFS('Activation Detail'!$H$4:$H$4003,'Activation Detail'!$A$4:$A$4003,$A133,'Activation Detail'!$N$4:$N$4003,Z$2)</f>
        <v>505.934092549062</v>
      </c>
      <c r="AA133" s="50" t="n">
        <f aca="false">Z133*'Model Inputs &amp; Assumptions'!$D$42*'Model Inputs &amp; Assumptions'!$H$42</f>
        <v>2732044.09976493</v>
      </c>
      <c r="AB133" s="50" t="n">
        <f aca="false">Z133*'Model Inputs &amp; Assumptions'!$G$42*'Model Inputs &amp; Assumptions'!$H$42</f>
        <v>57372.9260950636</v>
      </c>
      <c r="AC133" s="50" t="n">
        <f aca="false">SUMIFS('Activation Detail'!$I$4:$I$4003,'Activation Detail'!$A$4:$A$4003,$A133,'Activation Detail'!$N$4:$N$4003,Z$2)</f>
        <v>39082.9</v>
      </c>
      <c r="AD133" s="51" t="n">
        <f aca="false">IFERROR(AB133/AC133,0)</f>
        <v>1.46798027001741</v>
      </c>
      <c r="AE133" s="49" t="n">
        <f aca="false">IFERROR(AC133/Z133,0)</f>
        <v>77.248994633051</v>
      </c>
    </row>
    <row r="134" customFormat="false" ht="15" hidden="false" customHeight="false" outlineLevel="0" collapsed="false">
      <c r="A134" s="43" t="n">
        <v>131</v>
      </c>
      <c r="B134" s="45" t="n">
        <f aca="false">SUM('Activation Detail'!C134,'Activation Detail'!C634,'Activation Detail'!C1134,'Activation Detail'!C1634,'Activation Detail'!C2134,'Activation Detail'!C2634,'Activation Detail'!C3134,'Activation Detail'!C3634)</f>
        <v>5201143</v>
      </c>
      <c r="C134" s="45" t="n">
        <f aca="false">SUM('Activation Detail'!E134,'Activation Detail'!E634,'Activation Detail'!E1134,'Activation Detail'!E1634,'Activation Detail'!E2134,'Activation Detail'!E2634,'Activation Detail'!E3134,'Activation Detail'!E3634)</f>
        <v>275693</v>
      </c>
      <c r="D134" s="45" t="n">
        <f aca="false">SUM('Activation Detail'!G134,'Activation Detail'!G634,'Activation Detail'!G1134,'Activation Detail'!G1634,'Activation Detail'!G2134,'Activation Detail'!G2634,'Activation Detail'!G3134,'Activation Detail'!G3634)</f>
        <v>19222</v>
      </c>
      <c r="E134" s="48" t="n">
        <f aca="false">SUM('Activation Detail'!H134,'Activation Detail'!H634,'Activation Detail'!H1134,'Activation Detail'!H1634,'Activation Detail'!H2134,'Activation Detail'!H2634,'Activation Detail'!H3134,'Activation Detail'!H3634)</f>
        <v>645.777393553666</v>
      </c>
      <c r="F134" s="50" t="n">
        <f aca="false">SUM('Activation Detail'!I134,'Activation Detail'!I634,'Activation Detail'!I1134,'Activation Detail'!I1634,'Activation Detail'!I2134,'Activation Detail'!I2634,'Activation Detail'!I3134,'Activation Detail'!I3634)</f>
        <v>82901.369222</v>
      </c>
      <c r="G134" s="50" t="n">
        <f aca="false">SUM('Activation Detail'!J134,'Activation Detail'!J634,'Activation Detail'!J1134,'Activation Detail'!J1634,'Activation Detail'!J2134,'Activation Detail'!J2634,'Activation Detail'!J3134,'Activation Detail'!J3634)</f>
        <v>3890491.31069487</v>
      </c>
      <c r="H134" s="50" t="n">
        <f aca="false">SUM('Activation Detail'!K134,'Activation Detail'!K634,'Activation Detail'!K1134,'Activation Detail'!K1634,'Activation Detail'!K2134,'Activation Detail'!K2634,'Activation Detail'!K3134,'Activation Detail'!K3634)</f>
        <v>83372.9571942446</v>
      </c>
      <c r="I134" s="51" t="n">
        <f aca="false">IFERROR(H134/F134,0)</f>
        <v>1.00568854262204</v>
      </c>
      <c r="J134" s="49" t="n">
        <f aca="false">IFERROR(F134/E134,0)</f>
        <v>128.374529752118</v>
      </c>
      <c r="K134" s="46" t="n">
        <f aca="false">IFERROR(C134/B134,0)</f>
        <v>0.0530062334375348</v>
      </c>
      <c r="L134" s="47" t="n">
        <f aca="false">IFERROR(D134/B134,0)</f>
        <v>0.00369572611251027</v>
      </c>
      <c r="N134" s="48" t="n">
        <f aca="false">SUMIFS('Activation Detail'!$H$4:$H$4003,'Activation Detail'!$A$4:$A$4003,$A134,'Activation Detail'!$N$4:$N$4003,N$2)</f>
        <v>78.4909239590776</v>
      </c>
      <c r="O134" s="50" t="n">
        <f aca="false">N134*'Model Inputs &amp; Assumptions'!$D$40*'Model Inputs &amp; Assumptions'!$H$40</f>
        <v>667172.85365216</v>
      </c>
      <c r="P134" s="50" t="n">
        <f aca="false">N134*'Model Inputs &amp; Assumptions'!$G$40*'Model Inputs &amp; Assumptions'!$H$40</f>
        <v>15011.3892071736</v>
      </c>
      <c r="Q134" s="50" t="n">
        <f aca="false">SUMIFS('Activation Detail'!$I$4:$I$4003,'Activation Detail'!$A$4:$A$4003,$A134,'Activation Detail'!$N$4:$N$4003,N$2)</f>
        <v>18214.358</v>
      </c>
      <c r="R134" s="51" t="n">
        <f aca="false">IFERROR(P134/Q134,0)</f>
        <v>0.824151430820322</v>
      </c>
      <c r="S134" s="49" t="n">
        <f aca="false">IFERROR(Q134/N134,0)</f>
        <v>232.056868250096</v>
      </c>
      <c r="T134" s="48" t="n">
        <f aca="false">SUMIFS('Activation Detail'!$H$4:$H$4003,'Activation Detail'!$A$4:$A$4003,$A134,'Activation Detail'!$N$4:$N$4003,T$2)</f>
        <v>88.8730673510721</v>
      </c>
      <c r="U134" s="50" t="n">
        <f aca="false">T134*'Model Inputs &amp; Assumptions'!$D$41*'Model Inputs &amp; Assumptions'!$H$41</f>
        <v>639886.084927719</v>
      </c>
      <c r="V134" s="50" t="n">
        <f aca="false">T134*'Model Inputs &amp; Assumptions'!$G$41*'Model Inputs &amp; Assumptions'!$H$41</f>
        <v>14109.4881726562</v>
      </c>
      <c r="W134" s="50" t="n">
        <f aca="false">SUMIFS('Activation Detail'!$I$4:$I$4003,'Activation Detail'!$A$4:$A$4003,$A134,'Activation Detail'!$N$4:$N$4003,T$2)</f>
        <v>15513.635222</v>
      </c>
      <c r="X134" s="51" t="n">
        <f aca="false">IFERROR(V134/W134,0)</f>
        <v>0.909489489133239</v>
      </c>
      <c r="Y134" s="49" t="n">
        <f aca="false">IFERROR(W134/T134,0)</f>
        <v>174.559466488504</v>
      </c>
      <c r="Z134" s="48" t="n">
        <f aca="false">SUMIFS('Activation Detail'!$H$4:$H$4003,'Activation Detail'!$A$4:$A$4003,$A134,'Activation Detail'!$N$4:$N$4003,Z$2)</f>
        <v>478.413402243516</v>
      </c>
      <c r="AA134" s="50" t="n">
        <f aca="false">Z134*'Model Inputs &amp; Assumptions'!$D$42*'Model Inputs &amp; Assumptions'!$H$42</f>
        <v>2583432.37211499</v>
      </c>
      <c r="AB134" s="50" t="n">
        <f aca="false">Z134*'Model Inputs &amp; Assumptions'!$G$42*'Model Inputs &amp; Assumptions'!$H$42</f>
        <v>54252.0798144148</v>
      </c>
      <c r="AC134" s="50" t="n">
        <f aca="false">SUMIFS('Activation Detail'!$I$4:$I$4003,'Activation Detail'!$A$4:$A$4003,$A134,'Activation Detail'!$N$4:$N$4003,Z$2)</f>
        <v>49173.376</v>
      </c>
      <c r="AD134" s="51" t="n">
        <f aca="false">IFERROR(AB134/AC134,0)</f>
        <v>1.10328157689264</v>
      </c>
      <c r="AE134" s="49" t="n">
        <f aca="false">IFERROR(AC134/Z134,0)</f>
        <v>102.784277717559</v>
      </c>
    </row>
    <row r="135" customFormat="false" ht="15" hidden="false" customHeight="false" outlineLevel="0" collapsed="false">
      <c r="A135" s="43" t="n">
        <v>132</v>
      </c>
      <c r="B135" s="45" t="n">
        <f aca="false">SUM('Activation Detail'!C135,'Activation Detail'!C635,'Activation Detail'!C1135,'Activation Detail'!C1635,'Activation Detail'!C2135,'Activation Detail'!C2635,'Activation Detail'!C3135,'Activation Detail'!C3635)</f>
        <v>3624299</v>
      </c>
      <c r="C135" s="45" t="n">
        <f aca="false">SUM('Activation Detail'!E135,'Activation Detail'!E635,'Activation Detail'!E1135,'Activation Detail'!E1635,'Activation Detail'!E2135,'Activation Detail'!E2635,'Activation Detail'!E3135,'Activation Detail'!E3635)</f>
        <v>407036</v>
      </c>
      <c r="D135" s="45" t="n">
        <f aca="false">SUM('Activation Detail'!G135,'Activation Detail'!G635,'Activation Detail'!G1135,'Activation Detail'!G1635,'Activation Detail'!G2135,'Activation Detail'!G2635,'Activation Detail'!G3135,'Activation Detail'!G3635)</f>
        <v>16250</v>
      </c>
      <c r="E135" s="48" t="n">
        <f aca="false">SUM('Activation Detail'!H135,'Activation Detail'!H635,'Activation Detail'!H1135,'Activation Detail'!H1635,'Activation Detail'!H2135,'Activation Detail'!H2635,'Activation Detail'!H3135,'Activation Detail'!H3635)</f>
        <v>513.641369915001</v>
      </c>
      <c r="F135" s="50" t="n">
        <f aca="false">SUM('Activation Detail'!I135,'Activation Detail'!I635,'Activation Detail'!I1135,'Activation Detail'!I1635,'Activation Detail'!I2135,'Activation Detail'!I2635,'Activation Detail'!I3135,'Activation Detail'!I3635)</f>
        <v>74307.842902</v>
      </c>
      <c r="G135" s="50" t="n">
        <f aca="false">SUM('Activation Detail'!J135,'Activation Detail'!J635,'Activation Detail'!J1135,'Activation Detail'!J1635,'Activation Detail'!J2135,'Activation Detail'!J2635,'Activation Detail'!J3135,'Activation Detail'!J3635)</f>
        <v>3277600.70727866</v>
      </c>
      <c r="H135" s="50" t="n">
        <f aca="false">SUM('Activation Detail'!K135,'Activation Detail'!K635,'Activation Detail'!K1135,'Activation Detail'!K1635,'Activation Detail'!K2135,'Activation Detail'!K2635,'Activation Detail'!K3135,'Activation Detail'!K3635)</f>
        <v>70920.6559428483</v>
      </c>
      <c r="I135" s="51" t="n">
        <f aca="false">IFERROR(H135/F135,0)</f>
        <v>0.954416831025242</v>
      </c>
      <c r="J135" s="49" t="n">
        <f aca="false">IFERROR(F135/E135,0)</f>
        <v>144.668726575308</v>
      </c>
      <c r="K135" s="46" t="n">
        <f aca="false">IFERROR(C135/B135,0)</f>
        <v>0.112307511052482</v>
      </c>
      <c r="L135" s="47" t="n">
        <f aca="false">IFERROR(D135/B135,0)</f>
        <v>0.00448362566112785</v>
      </c>
      <c r="N135" s="48" t="n">
        <f aca="false">SUMIFS('Activation Detail'!$H$4:$H$4003,'Activation Detail'!$A$4:$A$4003,$A135,'Activation Detail'!$N$4:$N$4003,N$2)</f>
        <v>94.4281885246604</v>
      </c>
      <c r="O135" s="50" t="n">
        <f aca="false">N135*'Model Inputs &amp; Assumptions'!$D$40*'Model Inputs &amp; Assumptions'!$H$40</f>
        <v>802639.602459613</v>
      </c>
      <c r="P135" s="50" t="n">
        <f aca="false">N135*'Model Inputs &amp; Assumptions'!$G$40*'Model Inputs &amp; Assumptions'!$H$40</f>
        <v>18059.3910553413</v>
      </c>
      <c r="Q135" s="50" t="n">
        <f aca="false">SUMIFS('Activation Detail'!$I$4:$I$4003,'Activation Detail'!$A$4:$A$4003,$A135,'Activation Detail'!$N$4:$N$4003,N$2)</f>
        <v>17802.167</v>
      </c>
      <c r="R135" s="51" t="n">
        <f aca="false">IFERROR(P135/Q135,0)</f>
        <v>1.0144490305782</v>
      </c>
      <c r="S135" s="49" t="n">
        <f aca="false">IFERROR(Q135/N135,0)</f>
        <v>188.52598231672</v>
      </c>
      <c r="T135" s="48" t="n">
        <f aca="false">SUMIFS('Activation Detail'!$H$4:$H$4003,'Activation Detail'!$A$4:$A$4003,$A135,'Activation Detail'!$N$4:$N$4003,T$2)</f>
        <v>117.338847395116</v>
      </c>
      <c r="U135" s="50" t="n">
        <f aca="false">T135*'Model Inputs &amp; Assumptions'!$D$41*'Model Inputs &amp; Assumptions'!$H$41</f>
        <v>844839.701244832</v>
      </c>
      <c r="V135" s="50" t="n">
        <f aca="false">T135*'Model Inputs &amp; Assumptions'!$G$41*'Model Inputs &amp; Assumptions'!$H$41</f>
        <v>18628.7154124486</v>
      </c>
      <c r="W135" s="50" t="n">
        <f aca="false">SUMIFS('Activation Detail'!$I$4:$I$4003,'Activation Detail'!$A$4:$A$4003,$A135,'Activation Detail'!$N$4:$N$4003,T$2)</f>
        <v>18177.503902</v>
      </c>
      <c r="X135" s="51" t="n">
        <f aca="false">IFERROR(V135/W135,0)</f>
        <v>1.02482252309674</v>
      </c>
      <c r="Y135" s="49" t="n">
        <f aca="false">IFERROR(W135/T135,0)</f>
        <v>154.914628066789</v>
      </c>
      <c r="Z135" s="48" t="n">
        <f aca="false">SUMIFS('Activation Detail'!$H$4:$H$4003,'Activation Detail'!$A$4:$A$4003,$A135,'Activation Detail'!$N$4:$N$4003,Z$2)</f>
        <v>301.874333995225</v>
      </c>
      <c r="AA135" s="50" t="n">
        <f aca="false">Z135*'Model Inputs &amp; Assumptions'!$D$42*'Model Inputs &amp; Assumptions'!$H$42</f>
        <v>1630121.40357421</v>
      </c>
      <c r="AB135" s="50" t="n">
        <f aca="false">Z135*'Model Inputs &amp; Assumptions'!$G$42*'Model Inputs &amp; Assumptions'!$H$42</f>
        <v>34232.5494750585</v>
      </c>
      <c r="AC135" s="50" t="n">
        <f aca="false">SUMIFS('Activation Detail'!$I$4:$I$4003,'Activation Detail'!$A$4:$A$4003,$A135,'Activation Detail'!$N$4:$N$4003,Z$2)</f>
        <v>38328.172</v>
      </c>
      <c r="AD135" s="51" t="n">
        <f aca="false">IFERROR(AB135/AC135,0)</f>
        <v>0.893143285702707</v>
      </c>
      <c r="AE135" s="49" t="n">
        <f aca="false">IFERROR(AC135/Z135,0)</f>
        <v>126.967309518292</v>
      </c>
    </row>
    <row r="136" customFormat="false" ht="15" hidden="false" customHeight="false" outlineLevel="0" collapsed="false">
      <c r="A136" s="43" t="n">
        <v>133</v>
      </c>
      <c r="B136" s="45" t="n">
        <f aca="false">SUM('Activation Detail'!C136,'Activation Detail'!C636,'Activation Detail'!C1136,'Activation Detail'!C1636,'Activation Detail'!C2136,'Activation Detail'!C2636,'Activation Detail'!C3136,'Activation Detail'!C3636)</f>
        <v>4187152</v>
      </c>
      <c r="C136" s="45" t="n">
        <f aca="false">SUM('Activation Detail'!E136,'Activation Detail'!E636,'Activation Detail'!E1136,'Activation Detail'!E1636,'Activation Detail'!E2136,'Activation Detail'!E2636,'Activation Detail'!E3136,'Activation Detail'!E3636)</f>
        <v>322120</v>
      </c>
      <c r="D136" s="45" t="n">
        <f aca="false">SUM('Activation Detail'!G136,'Activation Detail'!G636,'Activation Detail'!G1136,'Activation Detail'!G1636,'Activation Detail'!G2136,'Activation Detail'!G2636,'Activation Detail'!G3136,'Activation Detail'!G3636)</f>
        <v>15827</v>
      </c>
      <c r="E136" s="48" t="n">
        <f aca="false">SUM('Activation Detail'!H136,'Activation Detail'!H636,'Activation Detail'!H1136,'Activation Detail'!H1636,'Activation Detail'!H2136,'Activation Detail'!H2636,'Activation Detail'!H3136,'Activation Detail'!H3636)</f>
        <v>777.320801566692</v>
      </c>
      <c r="F136" s="50" t="n">
        <f aca="false">SUM('Activation Detail'!I136,'Activation Detail'!I636,'Activation Detail'!I1136,'Activation Detail'!I1636,'Activation Detail'!I2136,'Activation Detail'!I2636,'Activation Detail'!I3136,'Activation Detail'!I3636)</f>
        <v>75349.819136</v>
      </c>
      <c r="G136" s="50" t="n">
        <f aca="false">SUM('Activation Detail'!J136,'Activation Detail'!J636,'Activation Detail'!J1136,'Activation Detail'!J1636,'Activation Detail'!J2136,'Activation Detail'!J2636,'Activation Detail'!J3136,'Activation Detail'!J3636)</f>
        <v>4940723.32157545</v>
      </c>
      <c r="H136" s="50" t="n">
        <f aca="false">SUM('Activation Detail'!K136,'Activation Detail'!K636,'Activation Detail'!K1136,'Activation Detail'!K1636,'Activation Detail'!K2136,'Activation Detail'!K2636,'Activation Detail'!K3136,'Activation Detail'!K3636)</f>
        <v>106833.078530405</v>
      </c>
      <c r="I136" s="51" t="n">
        <f aca="false">IFERROR(H136/F136,0)</f>
        <v>1.41782793582531</v>
      </c>
      <c r="J136" s="49" t="n">
        <f aca="false">IFERROR(F136/E136,0)</f>
        <v>96.9352923324994</v>
      </c>
      <c r="K136" s="46" t="n">
        <f aca="false">IFERROR(C136/B136,0)</f>
        <v>0.0769305723795076</v>
      </c>
      <c r="L136" s="47" t="n">
        <f aca="false">IFERROR(D136/B136,0)</f>
        <v>0.00377989621585268</v>
      </c>
      <c r="N136" s="48" t="n">
        <f aca="false">SUMIFS('Activation Detail'!$H$4:$H$4003,'Activation Detail'!$A$4:$A$4003,$A136,'Activation Detail'!$N$4:$N$4003,N$2)</f>
        <v>161.160717642771</v>
      </c>
      <c r="O136" s="50" t="n">
        <f aca="false">N136*'Model Inputs &amp; Assumptions'!$D$40*'Model Inputs &amp; Assumptions'!$H$40</f>
        <v>1369866.09996355</v>
      </c>
      <c r="P136" s="50" t="n">
        <f aca="false">N136*'Model Inputs &amp; Assumptions'!$G$40*'Model Inputs &amp; Assumptions'!$H$40</f>
        <v>30821.9872491799</v>
      </c>
      <c r="Q136" s="50" t="n">
        <f aca="false">SUMIFS('Activation Detail'!$I$4:$I$4003,'Activation Detail'!$A$4:$A$4003,$A136,'Activation Detail'!$N$4:$N$4003,N$2)</f>
        <v>17849.3245</v>
      </c>
      <c r="R136" s="51" t="n">
        <f aca="false">IFERROR(P136/Q136,0)</f>
        <v>1.7267873217936</v>
      </c>
      <c r="S136" s="49" t="n">
        <f aca="false">IFERROR(Q136/N136,0)</f>
        <v>110.754808994862</v>
      </c>
      <c r="T136" s="48" t="n">
        <f aca="false">SUMIFS('Activation Detail'!$H$4:$H$4003,'Activation Detail'!$A$4:$A$4003,$A136,'Activation Detail'!$N$4:$N$4003,T$2)</f>
        <v>135.329315790405</v>
      </c>
      <c r="U136" s="50" t="n">
        <f aca="false">T136*'Model Inputs &amp; Assumptions'!$D$41*'Model Inputs &amp; Assumptions'!$H$41</f>
        <v>974371.073690919</v>
      </c>
      <c r="V136" s="50" t="n">
        <f aca="false">T136*'Model Inputs &amp; Assumptions'!$G$41*'Model Inputs &amp; Assumptions'!$H$41</f>
        <v>21484.8821748848</v>
      </c>
      <c r="W136" s="50" t="n">
        <f aca="false">SUMIFS('Activation Detail'!$I$4:$I$4003,'Activation Detail'!$A$4:$A$4003,$A136,'Activation Detail'!$N$4:$N$4003,T$2)</f>
        <v>15852.894636</v>
      </c>
      <c r="X136" s="51" t="n">
        <f aca="false">IFERROR(V136/W136,0)</f>
        <v>1.3552655630534</v>
      </c>
      <c r="Y136" s="49" t="n">
        <f aca="false">IFERROR(W136/T136,0)</f>
        <v>117.143093079348</v>
      </c>
      <c r="Z136" s="48" t="n">
        <f aca="false">SUMIFS('Activation Detail'!$H$4:$H$4003,'Activation Detail'!$A$4:$A$4003,$A136,'Activation Detail'!$N$4:$N$4003,Z$2)</f>
        <v>480.830768133516</v>
      </c>
      <c r="AA136" s="50" t="n">
        <f aca="false">Z136*'Model Inputs &amp; Assumptions'!$D$42*'Model Inputs &amp; Assumptions'!$H$42</f>
        <v>2596486.14792099</v>
      </c>
      <c r="AB136" s="50" t="n">
        <f aca="false">Z136*'Model Inputs &amp; Assumptions'!$G$42*'Model Inputs &amp; Assumptions'!$H$42</f>
        <v>54526.2091063407</v>
      </c>
      <c r="AC136" s="50" t="n">
        <f aca="false">SUMIFS('Activation Detail'!$I$4:$I$4003,'Activation Detail'!$A$4:$A$4003,$A136,'Activation Detail'!$N$4:$N$4003,Z$2)</f>
        <v>41647.6</v>
      </c>
      <c r="AD136" s="51" t="n">
        <f aca="false">IFERROR(AB136/AC136,0)</f>
        <v>1.3092281213405</v>
      </c>
      <c r="AE136" s="49" t="n">
        <f aca="false">IFERROR(AC136/Z136,0)</f>
        <v>86.6159213597484</v>
      </c>
    </row>
    <row r="137" customFormat="false" ht="15" hidden="false" customHeight="false" outlineLevel="0" collapsed="false">
      <c r="A137" s="43" t="n">
        <v>134</v>
      </c>
      <c r="B137" s="45" t="n">
        <f aca="false">SUM('Activation Detail'!C137,'Activation Detail'!C637,'Activation Detail'!C1137,'Activation Detail'!C1637,'Activation Detail'!C2137,'Activation Detail'!C2637,'Activation Detail'!C3137,'Activation Detail'!C3637)</f>
        <v>4773928</v>
      </c>
      <c r="C137" s="45" t="n">
        <f aca="false">SUM('Activation Detail'!E137,'Activation Detail'!E637,'Activation Detail'!E1137,'Activation Detail'!E1637,'Activation Detail'!E2137,'Activation Detail'!E2637,'Activation Detail'!E3137,'Activation Detail'!E3637)</f>
        <v>435223</v>
      </c>
      <c r="D137" s="45" t="n">
        <f aca="false">SUM('Activation Detail'!G137,'Activation Detail'!G637,'Activation Detail'!G1137,'Activation Detail'!G1637,'Activation Detail'!G2137,'Activation Detail'!G2637,'Activation Detail'!G3137,'Activation Detail'!G3637)</f>
        <v>17893</v>
      </c>
      <c r="E137" s="48" t="n">
        <f aca="false">SUM('Activation Detail'!H137,'Activation Detail'!H637,'Activation Detail'!H1137,'Activation Detail'!H1637,'Activation Detail'!H2137,'Activation Detail'!H2637,'Activation Detail'!H3137,'Activation Detail'!H3637)</f>
        <v>786.892068644426</v>
      </c>
      <c r="F137" s="50" t="n">
        <f aca="false">SUM('Activation Detail'!I137,'Activation Detail'!I637,'Activation Detail'!I1137,'Activation Detail'!I1637,'Activation Detail'!I2137,'Activation Detail'!I2637,'Activation Detail'!I3137,'Activation Detail'!I3637)</f>
        <v>80272.356816</v>
      </c>
      <c r="G137" s="50" t="n">
        <f aca="false">SUM('Activation Detail'!J137,'Activation Detail'!J637,'Activation Detail'!J1137,'Activation Detail'!J1637,'Activation Detail'!J2137,'Activation Detail'!J2637,'Activation Detail'!J3137,'Activation Detail'!J3637)</f>
        <v>5184268.60116883</v>
      </c>
      <c r="H137" s="50" t="n">
        <f aca="false">SUM('Activation Detail'!K137,'Activation Detail'!K637,'Activation Detail'!K1137,'Activation Detail'!K1637,'Activation Detail'!K2137,'Activation Detail'!K2637,'Activation Detail'!K3137,'Activation Detail'!K3637)</f>
        <v>112768.988355713</v>
      </c>
      <c r="I137" s="51" t="n">
        <f aca="false">IFERROR(H137/F137,0)</f>
        <v>1.40482966775476</v>
      </c>
      <c r="J137" s="49" t="n">
        <f aca="false">IFERROR(F137/E137,0)</f>
        <v>102.011902285767</v>
      </c>
      <c r="K137" s="46" t="n">
        <f aca="false">IFERROR(C137/B137,0)</f>
        <v>0.091166645160966</v>
      </c>
      <c r="L137" s="47" t="n">
        <f aca="false">IFERROR(D137/B137,0)</f>
        <v>0.00374806658164933</v>
      </c>
      <c r="N137" s="48" t="n">
        <f aca="false">SUMIFS('Activation Detail'!$H$4:$H$4003,'Activation Detail'!$A$4:$A$4003,$A137,'Activation Detail'!$N$4:$N$4003,N$2)</f>
        <v>103.215840318233</v>
      </c>
      <c r="O137" s="50" t="n">
        <f aca="false">N137*'Model Inputs &amp; Assumptions'!$D$40*'Model Inputs &amp; Assumptions'!$H$40</f>
        <v>877334.642704983</v>
      </c>
      <c r="P137" s="50" t="n">
        <f aca="false">N137*'Model Inputs &amp; Assumptions'!$G$40*'Model Inputs &amp; Assumptions'!$H$40</f>
        <v>19740.0294608621</v>
      </c>
      <c r="Q137" s="50" t="n">
        <f aca="false">SUMIFS('Activation Detail'!$I$4:$I$4003,'Activation Detail'!$A$4:$A$4003,$A137,'Activation Detail'!$N$4:$N$4003,N$2)</f>
        <v>18267.177</v>
      </c>
      <c r="R137" s="51" t="n">
        <f aca="false">IFERROR(P137/Q137,0)</f>
        <v>1.08062835657979</v>
      </c>
      <c r="S137" s="49" t="n">
        <f aca="false">IFERROR(Q137/N137,0)</f>
        <v>176.980364096043</v>
      </c>
      <c r="T137" s="48" t="n">
        <f aca="false">SUMIFS('Activation Detail'!$H$4:$H$4003,'Activation Detail'!$A$4:$A$4003,$A137,'Activation Detail'!$N$4:$N$4003,T$2)</f>
        <v>341.712403056891</v>
      </c>
      <c r="U137" s="50" t="n">
        <f aca="false">T137*'Model Inputs &amp; Assumptions'!$D$41*'Model Inputs &amp; Assumptions'!$H$41</f>
        <v>2460329.30200961</v>
      </c>
      <c r="V137" s="50" t="n">
        <f aca="false">T137*'Model Inputs &amp; Assumptions'!$G$41*'Model Inputs &amp; Assumptions'!$H$41</f>
        <v>54250.261109312</v>
      </c>
      <c r="W137" s="50" t="n">
        <f aca="false">SUMIFS('Activation Detail'!$I$4:$I$4003,'Activation Detail'!$A$4:$A$4003,$A137,'Activation Detail'!$N$4:$N$4003,T$2)</f>
        <v>19537.235816</v>
      </c>
      <c r="X137" s="51" t="n">
        <f aca="false">IFERROR(V137/W137,0)</f>
        <v>2.77676236394116</v>
      </c>
      <c r="Y137" s="49" t="n">
        <f aca="false">IFERROR(W137/T137,0)</f>
        <v>57.174500080254</v>
      </c>
      <c r="Z137" s="48" t="n">
        <f aca="false">SUMIFS('Activation Detail'!$H$4:$H$4003,'Activation Detail'!$A$4:$A$4003,$A137,'Activation Detail'!$N$4:$N$4003,Z$2)</f>
        <v>341.963825269302</v>
      </c>
      <c r="AA137" s="50" t="n">
        <f aca="false">Z137*'Model Inputs &amp; Assumptions'!$D$42*'Model Inputs &amp; Assumptions'!$H$42</f>
        <v>1846604.65645423</v>
      </c>
      <c r="AB137" s="50" t="n">
        <f aca="false">Z137*'Model Inputs &amp; Assumptions'!$G$42*'Model Inputs &amp; Assumptions'!$H$42</f>
        <v>38778.6977855389</v>
      </c>
      <c r="AC137" s="50" t="n">
        <f aca="false">SUMIFS('Activation Detail'!$I$4:$I$4003,'Activation Detail'!$A$4:$A$4003,$A137,'Activation Detail'!$N$4:$N$4003,Z$2)</f>
        <v>42467.944</v>
      </c>
      <c r="AD137" s="51" t="n">
        <f aca="false">IFERROR(AB137/AC137,0)</f>
        <v>0.9131286832614</v>
      </c>
      <c r="AE137" s="49" t="n">
        <f aca="false">IFERROR(AC137/Z137,0)</f>
        <v>124.188410767004</v>
      </c>
    </row>
    <row r="138" customFormat="false" ht="15" hidden="false" customHeight="false" outlineLevel="0" collapsed="false">
      <c r="A138" s="43" t="n">
        <v>135</v>
      </c>
      <c r="B138" s="45" t="n">
        <f aca="false">SUM('Activation Detail'!C138,'Activation Detail'!C638,'Activation Detail'!C1138,'Activation Detail'!C1638,'Activation Detail'!C2138,'Activation Detail'!C2638,'Activation Detail'!C3138,'Activation Detail'!C3638)</f>
        <v>4225998</v>
      </c>
      <c r="C138" s="45" t="n">
        <f aca="false">SUM('Activation Detail'!E138,'Activation Detail'!E638,'Activation Detail'!E1138,'Activation Detail'!E1638,'Activation Detail'!E2138,'Activation Detail'!E2638,'Activation Detail'!E3138,'Activation Detail'!E3638)</f>
        <v>283869</v>
      </c>
      <c r="D138" s="45" t="n">
        <f aca="false">SUM('Activation Detail'!G138,'Activation Detail'!G638,'Activation Detail'!G1138,'Activation Detail'!G1638,'Activation Detail'!G2138,'Activation Detail'!G2638,'Activation Detail'!G3138,'Activation Detail'!G3638)</f>
        <v>16897</v>
      </c>
      <c r="E138" s="48" t="n">
        <f aca="false">SUM('Activation Detail'!H138,'Activation Detail'!H638,'Activation Detail'!H1138,'Activation Detail'!H1638,'Activation Detail'!H2138,'Activation Detail'!H2638,'Activation Detail'!H3138,'Activation Detail'!H3638)</f>
        <v>658.360185619086</v>
      </c>
      <c r="F138" s="50" t="n">
        <f aca="false">SUM('Activation Detail'!I138,'Activation Detail'!I638,'Activation Detail'!I1138,'Activation Detail'!I1638,'Activation Detail'!I2138,'Activation Detail'!I2638,'Activation Detail'!I3138,'Activation Detail'!I3638)</f>
        <v>71316.168562</v>
      </c>
      <c r="G138" s="50" t="n">
        <f aca="false">SUM('Activation Detail'!J138,'Activation Detail'!J638,'Activation Detail'!J1138,'Activation Detail'!J1638,'Activation Detail'!J2138,'Activation Detail'!J2638,'Activation Detail'!J3138,'Activation Detail'!J3638)</f>
        <v>3956579.01987415</v>
      </c>
      <c r="H138" s="50" t="n">
        <f aca="false">SUM('Activation Detail'!K138,'Activation Detail'!K638,'Activation Detail'!K1138,'Activation Detail'!K1638,'Activation Detail'!K2138,'Activation Detail'!K2638,'Activation Detail'!K3138,'Activation Detail'!K3638)</f>
        <v>84760.4494516743</v>
      </c>
      <c r="I138" s="51" t="n">
        <f aca="false">IFERROR(H138/F138,0)</f>
        <v>1.18851658972658</v>
      </c>
      <c r="J138" s="49" t="n">
        <f aca="false">IFERROR(F138/E138,0)</f>
        <v>108.32393896198</v>
      </c>
      <c r="K138" s="46" t="n">
        <f aca="false">IFERROR(C138/B138,0)</f>
        <v>0.0671720620785907</v>
      </c>
      <c r="L138" s="47" t="n">
        <f aca="false">IFERROR(D138/B138,0)</f>
        <v>0.00399834547957666</v>
      </c>
      <c r="N138" s="48" t="n">
        <f aca="false">SUMIFS('Activation Detail'!$H$4:$H$4003,'Activation Detail'!$A$4:$A$4003,$A138,'Activation Detail'!$N$4:$N$4003,N$2)</f>
        <v>50.8623678278384</v>
      </c>
      <c r="O138" s="50" t="n">
        <f aca="false">N138*'Model Inputs &amp; Assumptions'!$D$40*'Model Inputs &amp; Assumptions'!$H$40</f>
        <v>432330.126536626</v>
      </c>
      <c r="P138" s="50" t="n">
        <f aca="false">N138*'Model Inputs &amp; Assumptions'!$G$40*'Model Inputs &amp; Assumptions'!$H$40</f>
        <v>9727.42784707409</v>
      </c>
      <c r="Q138" s="50" t="n">
        <f aca="false">SUMIFS('Activation Detail'!$I$4:$I$4003,'Activation Detail'!$A$4:$A$4003,$A138,'Activation Detail'!$N$4:$N$4003,N$2)</f>
        <v>17993.072</v>
      </c>
      <c r="R138" s="51" t="n">
        <f aca="false">IFERROR(P138/Q138,0)</f>
        <v>0.54062073708559</v>
      </c>
      <c r="S138" s="49" t="n">
        <f aca="false">IFERROR(Q138/N138,0)</f>
        <v>353.760014887704</v>
      </c>
      <c r="T138" s="48" t="n">
        <f aca="false">SUMIFS('Activation Detail'!$H$4:$H$4003,'Activation Detail'!$A$4:$A$4003,$A138,'Activation Detail'!$N$4:$N$4003,T$2)</f>
        <v>135.422598480438</v>
      </c>
      <c r="U138" s="50" t="n">
        <f aca="false">T138*'Model Inputs &amp; Assumptions'!$D$41*'Model Inputs &amp; Assumptions'!$H$41</f>
        <v>975042.709059155</v>
      </c>
      <c r="V138" s="50" t="n">
        <f aca="false">T138*'Model Inputs &amp; Assumptions'!$G$41*'Model Inputs &amp; Assumptions'!$H$41</f>
        <v>21499.6917347544</v>
      </c>
      <c r="W138" s="50" t="n">
        <f aca="false">SUMIFS('Activation Detail'!$I$4:$I$4003,'Activation Detail'!$A$4:$A$4003,$A138,'Activation Detail'!$N$4:$N$4003,T$2)</f>
        <v>14462.352562</v>
      </c>
      <c r="X138" s="51" t="n">
        <f aca="false">IFERROR(V138/W138,0)</f>
        <v>1.48659712467839</v>
      </c>
      <c r="Y138" s="49" t="n">
        <f aca="false">IFERROR(W138/T138,0)</f>
        <v>106.794233195053</v>
      </c>
      <c r="Z138" s="48" t="n">
        <f aca="false">SUMIFS('Activation Detail'!$H$4:$H$4003,'Activation Detail'!$A$4:$A$4003,$A138,'Activation Detail'!$N$4:$N$4003,Z$2)</f>
        <v>472.07521931081</v>
      </c>
      <c r="AA138" s="50" t="n">
        <f aca="false">Z138*'Model Inputs &amp; Assumptions'!$D$42*'Model Inputs &amp; Assumptions'!$H$42</f>
        <v>2549206.18427837</v>
      </c>
      <c r="AB138" s="50" t="n">
        <f aca="false">Z138*'Model Inputs &amp; Assumptions'!$G$42*'Model Inputs &amp; Assumptions'!$H$42</f>
        <v>53533.3298698458</v>
      </c>
      <c r="AC138" s="50" t="n">
        <f aca="false">SUMIFS('Activation Detail'!$I$4:$I$4003,'Activation Detail'!$A$4:$A$4003,$A138,'Activation Detail'!$N$4:$N$4003,Z$2)</f>
        <v>38860.744</v>
      </c>
      <c r="AD138" s="51" t="n">
        <f aca="false">IFERROR(AB138/AC138,0)</f>
        <v>1.37756832112751</v>
      </c>
      <c r="AE138" s="49" t="n">
        <f aca="false">IFERROR(AC138/Z138,0)</f>
        <v>82.318966152753</v>
      </c>
    </row>
    <row r="139" customFormat="false" ht="15" hidden="false" customHeight="false" outlineLevel="0" collapsed="false">
      <c r="A139" s="43" t="n">
        <v>136</v>
      </c>
      <c r="B139" s="45" t="n">
        <f aca="false">SUM('Activation Detail'!C139,'Activation Detail'!C639,'Activation Detail'!C1139,'Activation Detail'!C1639,'Activation Detail'!C2139,'Activation Detail'!C2639,'Activation Detail'!C3139,'Activation Detail'!C3639)</f>
        <v>3855611</v>
      </c>
      <c r="C139" s="45" t="n">
        <f aca="false">SUM('Activation Detail'!E139,'Activation Detail'!E639,'Activation Detail'!E1139,'Activation Detail'!E1639,'Activation Detail'!E2139,'Activation Detail'!E2639,'Activation Detail'!E3139,'Activation Detail'!E3639)</f>
        <v>209729</v>
      </c>
      <c r="D139" s="45" t="n">
        <f aca="false">SUM('Activation Detail'!G139,'Activation Detail'!G639,'Activation Detail'!G1139,'Activation Detail'!G1639,'Activation Detail'!G2139,'Activation Detail'!G2639,'Activation Detail'!G3139,'Activation Detail'!G3639)</f>
        <v>14759</v>
      </c>
      <c r="E139" s="48" t="n">
        <f aca="false">SUM('Activation Detail'!H139,'Activation Detail'!H639,'Activation Detail'!H1139,'Activation Detail'!H1639,'Activation Detail'!H2139,'Activation Detail'!H2639,'Activation Detail'!H3139,'Activation Detail'!H3639)</f>
        <v>666.181015304084</v>
      </c>
      <c r="F139" s="50" t="n">
        <f aca="false">SUM('Activation Detail'!I139,'Activation Detail'!I639,'Activation Detail'!I1139,'Activation Detail'!I1639,'Activation Detail'!I2139,'Activation Detail'!I2639,'Activation Detail'!I3139,'Activation Detail'!I3639)</f>
        <v>70879.699824</v>
      </c>
      <c r="G139" s="50" t="n">
        <f aca="false">SUM('Activation Detail'!J139,'Activation Detail'!J639,'Activation Detail'!J1139,'Activation Detail'!J1639,'Activation Detail'!J2139,'Activation Detail'!J2639,'Activation Detail'!J3139,'Activation Detail'!J3639)</f>
        <v>4220404.91113001</v>
      </c>
      <c r="H139" s="50" t="n">
        <f aca="false">SUM('Activation Detail'!K139,'Activation Detail'!K639,'Activation Detail'!K1139,'Activation Detail'!K1639,'Activation Detail'!K2139,'Activation Detail'!K2639,'Activation Detail'!K3139,'Activation Detail'!K3639)</f>
        <v>91211.8626540773</v>
      </c>
      <c r="I139" s="51" t="n">
        <f aca="false">IFERROR(H139/F139,0)</f>
        <v>1.28685452789111</v>
      </c>
      <c r="J139" s="49" t="n">
        <f aca="false">IFERROR(F139/E139,0)</f>
        <v>106.397057549961</v>
      </c>
      <c r="K139" s="46" t="n">
        <f aca="false">IFERROR(C139/B139,0)</f>
        <v>0.0543957883718041</v>
      </c>
      <c r="L139" s="47" t="n">
        <f aca="false">IFERROR(D139/B139,0)</f>
        <v>0.00382792766178953</v>
      </c>
      <c r="N139" s="48" t="n">
        <f aca="false">SUMIFS('Activation Detail'!$H$4:$H$4003,'Activation Detail'!$A$4:$A$4003,$A139,'Activation Detail'!$N$4:$N$4003,N$2)</f>
        <v>123.539552970882</v>
      </c>
      <c r="O139" s="50" t="n">
        <f aca="false">N139*'Model Inputs &amp; Assumptions'!$D$40*'Model Inputs &amp; Assumptions'!$H$40</f>
        <v>1050086.2002525</v>
      </c>
      <c r="P139" s="50" t="n">
        <f aca="false">N139*'Model Inputs &amp; Assumptions'!$G$40*'Model Inputs &amp; Assumptions'!$H$40</f>
        <v>23626.9395056812</v>
      </c>
      <c r="Q139" s="50" t="n">
        <f aca="false">SUMIFS('Activation Detail'!$I$4:$I$4003,'Activation Detail'!$A$4:$A$4003,$A139,'Activation Detail'!$N$4:$N$4003,N$2)</f>
        <v>19049.1725</v>
      </c>
      <c r="R139" s="51" t="n">
        <f aca="false">IFERROR(P139/Q139,0)</f>
        <v>1.24031316875739</v>
      </c>
      <c r="S139" s="49" t="n">
        <f aca="false">IFERROR(Q139/N139,0)</f>
        <v>154.194928198339</v>
      </c>
      <c r="T139" s="48" t="n">
        <f aca="false">SUMIFS('Activation Detail'!$H$4:$H$4003,'Activation Detail'!$A$4:$A$4003,$A139,'Activation Detail'!$N$4:$N$4003,T$2)</f>
        <v>133.36378571012</v>
      </c>
      <c r="U139" s="50" t="n">
        <f aca="false">T139*'Model Inputs &amp; Assumptions'!$D$41*'Model Inputs &amp; Assumptions'!$H$41</f>
        <v>960219.257112862</v>
      </c>
      <c r="V139" s="50" t="n">
        <f aca="false">T139*'Model Inputs &amp; Assumptions'!$G$41*'Model Inputs &amp; Assumptions'!$H$41</f>
        <v>21172.8346193386</v>
      </c>
      <c r="W139" s="50" t="n">
        <f aca="false">SUMIFS('Activation Detail'!$I$4:$I$4003,'Activation Detail'!$A$4:$A$4003,$A139,'Activation Detail'!$N$4:$N$4003,T$2)</f>
        <v>14674.827324</v>
      </c>
      <c r="X139" s="51" t="n">
        <f aca="false">IFERROR(V139/W139,0)</f>
        <v>1.44279957452797</v>
      </c>
      <c r="Y139" s="49" t="n">
        <f aca="false">IFERROR(W139/T139,0)</f>
        <v>110.036073480227</v>
      </c>
      <c r="Z139" s="48" t="n">
        <f aca="false">SUMIFS('Activation Detail'!$H$4:$H$4003,'Activation Detail'!$A$4:$A$4003,$A139,'Activation Detail'!$N$4:$N$4003,Z$2)</f>
        <v>409.277676623083</v>
      </c>
      <c r="AA139" s="50" t="n">
        <f aca="false">Z139*'Model Inputs &amp; Assumptions'!$D$42*'Model Inputs &amp; Assumptions'!$H$42</f>
        <v>2210099.45376465</v>
      </c>
      <c r="AB139" s="50" t="n">
        <f aca="false">Z139*'Model Inputs &amp; Assumptions'!$G$42*'Model Inputs &amp; Assumptions'!$H$42</f>
        <v>46412.0885290576</v>
      </c>
      <c r="AC139" s="50" t="n">
        <f aca="false">SUMIFS('Activation Detail'!$I$4:$I$4003,'Activation Detail'!$A$4:$A$4003,$A139,'Activation Detail'!$N$4:$N$4003,Z$2)</f>
        <v>37155.7</v>
      </c>
      <c r="AD139" s="51" t="n">
        <f aca="false">IFERROR(AB139/AC139,0)</f>
        <v>1.24912432087291</v>
      </c>
      <c r="AE139" s="49" t="n">
        <f aca="false">IFERROR(AC139/Z139,0)</f>
        <v>90.7835978413695</v>
      </c>
    </row>
    <row r="140" customFormat="false" ht="15" hidden="false" customHeight="false" outlineLevel="0" collapsed="false">
      <c r="A140" s="43" t="n">
        <v>137</v>
      </c>
      <c r="B140" s="45" t="n">
        <f aca="false">SUM('Activation Detail'!C140,'Activation Detail'!C640,'Activation Detail'!C1140,'Activation Detail'!C1640,'Activation Detail'!C2140,'Activation Detail'!C2640,'Activation Detail'!C3140,'Activation Detail'!C3640)</f>
        <v>3607130</v>
      </c>
      <c r="C140" s="45" t="n">
        <f aca="false">SUM('Activation Detail'!E140,'Activation Detail'!E640,'Activation Detail'!E1140,'Activation Detail'!E1640,'Activation Detail'!E2140,'Activation Detail'!E2640,'Activation Detail'!E3140,'Activation Detail'!E3640)</f>
        <v>313548</v>
      </c>
      <c r="D140" s="45" t="n">
        <f aca="false">SUM('Activation Detail'!G140,'Activation Detail'!G640,'Activation Detail'!G1140,'Activation Detail'!G1640,'Activation Detail'!G2140,'Activation Detail'!G2640,'Activation Detail'!G3140,'Activation Detail'!G3640)</f>
        <v>13654</v>
      </c>
      <c r="E140" s="48" t="n">
        <f aca="false">SUM('Activation Detail'!H140,'Activation Detail'!H640,'Activation Detail'!H1140,'Activation Detail'!H1640,'Activation Detail'!H2140,'Activation Detail'!H2640,'Activation Detail'!H3140,'Activation Detail'!H3640)</f>
        <v>645.307275064136</v>
      </c>
      <c r="F140" s="50" t="n">
        <f aca="false">SUM('Activation Detail'!I140,'Activation Detail'!I640,'Activation Detail'!I1140,'Activation Detail'!I1640,'Activation Detail'!I2140,'Activation Detail'!I2640,'Activation Detail'!I3140,'Activation Detail'!I3640)</f>
        <v>73508.214976</v>
      </c>
      <c r="G140" s="50" t="n">
        <f aca="false">SUM('Activation Detail'!J140,'Activation Detail'!J640,'Activation Detail'!J1140,'Activation Detail'!J1640,'Activation Detail'!J2140,'Activation Detail'!J2640,'Activation Detail'!J3140,'Activation Detail'!J3640)</f>
        <v>4022720.16544395</v>
      </c>
      <c r="H140" s="50" t="n">
        <f aca="false">SUM('Activation Detail'!K140,'Activation Detail'!K640,'Activation Detail'!K1140,'Activation Detail'!K1640,'Activation Detail'!K2140,'Activation Detail'!K2640,'Activation Detail'!K3140,'Activation Detail'!K3640)</f>
        <v>86714.3486877862</v>
      </c>
      <c r="I140" s="51" t="n">
        <f aca="false">IFERROR(H140/F140,0)</f>
        <v>1.17965520882391</v>
      </c>
      <c r="J140" s="49" t="n">
        <f aca="false">IFERROR(F140/E140,0)</f>
        <v>113.911957630873</v>
      </c>
      <c r="K140" s="46" t="n">
        <f aca="false">IFERROR(C140/B140,0)</f>
        <v>0.086924507849731</v>
      </c>
      <c r="L140" s="47" t="n">
        <f aca="false">IFERROR(D140/B140,0)</f>
        <v>0.00378528081882272</v>
      </c>
      <c r="N140" s="48" t="n">
        <f aca="false">SUMIFS('Activation Detail'!$H$4:$H$4003,'Activation Detail'!$A$4:$A$4003,$A140,'Activation Detail'!$N$4:$N$4003,N$2)</f>
        <v>83.8166035065811</v>
      </c>
      <c r="O140" s="50" t="n">
        <f aca="false">N140*'Model Inputs &amp; Assumptions'!$D$40*'Model Inputs &amp; Assumptions'!$H$40</f>
        <v>712441.12980594</v>
      </c>
      <c r="P140" s="50" t="n">
        <f aca="false">N140*'Model Inputs &amp; Assumptions'!$G$40*'Model Inputs &amp; Assumptions'!$H$40</f>
        <v>16029.9254206336</v>
      </c>
      <c r="Q140" s="50" t="n">
        <f aca="false">SUMIFS('Activation Detail'!$I$4:$I$4003,'Activation Detail'!$A$4:$A$4003,$A140,'Activation Detail'!$N$4:$N$4003,N$2)</f>
        <v>18400.96</v>
      </c>
      <c r="R140" s="51" t="n">
        <f aca="false">IFERROR(P140/Q140,0)</f>
        <v>0.871146147844115</v>
      </c>
      <c r="S140" s="49" t="n">
        <f aca="false">IFERROR(Q140/N140,0)</f>
        <v>219.538363882225</v>
      </c>
      <c r="T140" s="48" t="n">
        <f aca="false">SUMIFS('Activation Detail'!$H$4:$H$4003,'Activation Detail'!$A$4:$A$4003,$A140,'Activation Detail'!$N$4:$N$4003,T$2)</f>
        <v>154.57189401512</v>
      </c>
      <c r="U140" s="50" t="n">
        <f aca="false">T140*'Model Inputs &amp; Assumptions'!$D$41*'Model Inputs &amp; Assumptions'!$H$41</f>
        <v>1112917.63690887</v>
      </c>
      <c r="V140" s="50" t="n">
        <f aca="false">T140*'Model Inputs &amp; Assumptions'!$G$41*'Model Inputs &amp; Assumptions'!$H$41</f>
        <v>24539.8338938405</v>
      </c>
      <c r="W140" s="50" t="n">
        <f aca="false">SUMIFS('Activation Detail'!$I$4:$I$4003,'Activation Detail'!$A$4:$A$4003,$A140,'Activation Detail'!$N$4:$N$4003,T$2)</f>
        <v>15822.862976</v>
      </c>
      <c r="X140" s="51" t="n">
        <f aca="false">IFERROR(V140/W140,0)</f>
        <v>1.55090984046707</v>
      </c>
      <c r="Y140" s="49" t="n">
        <f aca="false">IFERROR(W140/T140,0)</f>
        <v>102.365718404487</v>
      </c>
      <c r="Z140" s="48" t="n">
        <f aca="false">SUMIFS('Activation Detail'!$H$4:$H$4003,'Activation Detail'!$A$4:$A$4003,$A140,'Activation Detail'!$N$4:$N$4003,Z$2)</f>
        <v>406.918777542434</v>
      </c>
      <c r="AA140" s="50" t="n">
        <f aca="false">Z140*'Model Inputs &amp; Assumptions'!$D$42*'Model Inputs &amp; Assumptions'!$H$42</f>
        <v>2197361.39872914</v>
      </c>
      <c r="AB140" s="50" t="n">
        <f aca="false">Z140*'Model Inputs &amp; Assumptions'!$G$42*'Model Inputs &amp; Assumptions'!$H$42</f>
        <v>46144.589373312</v>
      </c>
      <c r="AC140" s="50" t="n">
        <f aca="false">SUMIFS('Activation Detail'!$I$4:$I$4003,'Activation Detail'!$A$4:$A$4003,$A140,'Activation Detail'!$N$4:$N$4003,Z$2)</f>
        <v>39284.392</v>
      </c>
      <c r="AD140" s="51" t="n">
        <f aca="false">IFERROR(AB140/AC140,0)</f>
        <v>1.17462908356357</v>
      </c>
      <c r="AE140" s="49" t="n">
        <f aca="false">IFERROR(AC140/Z140,0)</f>
        <v>96.541113775226</v>
      </c>
    </row>
    <row r="141" customFormat="false" ht="15" hidden="false" customHeight="false" outlineLevel="0" collapsed="false">
      <c r="A141" s="43" t="n">
        <v>138</v>
      </c>
      <c r="B141" s="45" t="n">
        <f aca="false">SUM('Activation Detail'!C141,'Activation Detail'!C641,'Activation Detail'!C1141,'Activation Detail'!C1641,'Activation Detail'!C2141,'Activation Detail'!C2641,'Activation Detail'!C3141,'Activation Detail'!C3641)</f>
        <v>4033189</v>
      </c>
      <c r="C141" s="45" t="n">
        <f aca="false">SUM('Activation Detail'!E141,'Activation Detail'!E641,'Activation Detail'!E1141,'Activation Detail'!E1641,'Activation Detail'!E2141,'Activation Detail'!E2641,'Activation Detail'!E3141,'Activation Detail'!E3641)</f>
        <v>405876</v>
      </c>
      <c r="D141" s="45" t="n">
        <f aca="false">SUM('Activation Detail'!G141,'Activation Detail'!G641,'Activation Detail'!G1141,'Activation Detail'!G1641,'Activation Detail'!G2141,'Activation Detail'!G2641,'Activation Detail'!G3141,'Activation Detail'!G3641)</f>
        <v>13672</v>
      </c>
      <c r="E141" s="48" t="n">
        <f aca="false">SUM('Activation Detail'!H141,'Activation Detail'!H641,'Activation Detail'!H1141,'Activation Detail'!H1641,'Activation Detail'!H2141,'Activation Detail'!H2641,'Activation Detail'!H3141,'Activation Detail'!H3641)</f>
        <v>506.24354245282</v>
      </c>
      <c r="F141" s="50" t="n">
        <f aca="false">SUM('Activation Detail'!I141,'Activation Detail'!I641,'Activation Detail'!I1141,'Activation Detail'!I1641,'Activation Detail'!I2141,'Activation Detail'!I2641,'Activation Detail'!I3141,'Activation Detail'!I3641)</f>
        <v>73483.25726</v>
      </c>
      <c r="G141" s="50" t="n">
        <f aca="false">SUM('Activation Detail'!J141,'Activation Detail'!J641,'Activation Detail'!J1141,'Activation Detail'!J1641,'Activation Detail'!J2141,'Activation Detail'!J2641,'Activation Detail'!J3141,'Activation Detail'!J3641)</f>
        <v>3367088.30066357</v>
      </c>
      <c r="H141" s="50" t="n">
        <f aca="false">SUM('Activation Detail'!K141,'Activation Detail'!K641,'Activation Detail'!K1141,'Activation Detail'!K1641,'Activation Detail'!K2141,'Activation Detail'!K2641,'Activation Detail'!K3141,'Activation Detail'!K3641)</f>
        <v>73340.8769856474</v>
      </c>
      <c r="I141" s="51" t="n">
        <f aca="false">IFERROR(H141/F141,0)</f>
        <v>0.998062412042395</v>
      </c>
      <c r="J141" s="49" t="n">
        <f aca="false">IFERROR(F141/E141,0)</f>
        <v>145.153964639161</v>
      </c>
      <c r="K141" s="46" t="n">
        <f aca="false">IFERROR(C141/B141,0)</f>
        <v>0.100634014423822</v>
      </c>
      <c r="L141" s="47" t="n">
        <f aca="false">IFERROR(D141/B141,0)</f>
        <v>0.00338987337315459</v>
      </c>
      <c r="N141" s="48" t="n">
        <f aca="false">SUMIFS('Activation Detail'!$H$4:$H$4003,'Activation Detail'!$A$4:$A$4003,$A141,'Activation Detail'!$N$4:$N$4003,N$2)</f>
        <v>104.239437942589</v>
      </c>
      <c r="O141" s="50" t="n">
        <f aca="false">N141*'Model Inputs &amp; Assumptions'!$D$40*'Model Inputs &amp; Assumptions'!$H$40</f>
        <v>886035.222512007</v>
      </c>
      <c r="P141" s="50" t="n">
        <f aca="false">N141*'Model Inputs &amp; Assumptions'!$G$40*'Model Inputs &amp; Assumptions'!$H$40</f>
        <v>19935.7925065202</v>
      </c>
      <c r="Q141" s="50" t="n">
        <f aca="false">SUMIFS('Activation Detail'!$I$4:$I$4003,'Activation Detail'!$A$4:$A$4003,$A141,'Activation Detail'!$N$4:$N$4003,N$2)</f>
        <v>18184.8285</v>
      </c>
      <c r="R141" s="51" t="n">
        <f aca="false">IFERROR(P141/Q141,0)</f>
        <v>1.09628707834776</v>
      </c>
      <c r="S141" s="49" t="n">
        <f aca="false">IFERROR(Q141/N141,0)</f>
        <v>174.452480356</v>
      </c>
      <c r="T141" s="48" t="n">
        <f aca="false">SUMIFS('Activation Detail'!$H$4:$H$4003,'Activation Detail'!$A$4:$A$4003,$A141,'Activation Detail'!$N$4:$N$4003,T$2)</f>
        <v>172.350507664618</v>
      </c>
      <c r="U141" s="50" t="n">
        <f aca="false">T141*'Model Inputs &amp; Assumptions'!$D$41*'Model Inputs &amp; Assumptions'!$H$41</f>
        <v>1240923.65518525</v>
      </c>
      <c r="V141" s="50" t="n">
        <f aca="false">T141*'Model Inputs &amp; Assumptions'!$G$41*'Model Inputs &amp; Assumptions'!$H$41</f>
        <v>27362.3665968348</v>
      </c>
      <c r="W141" s="50" t="n">
        <f aca="false">SUMIFS('Activation Detail'!$I$4:$I$4003,'Activation Detail'!$A$4:$A$4003,$A141,'Activation Detail'!$N$4:$N$4003,T$2)</f>
        <v>17751.34876</v>
      </c>
      <c r="X141" s="51" t="n">
        <f aca="false">IFERROR(V141/W141,0)</f>
        <v>1.54142465267156</v>
      </c>
      <c r="Y141" s="49" t="n">
        <f aca="false">IFERROR(W141/T141,0)</f>
        <v>102.995627924363</v>
      </c>
      <c r="Z141" s="48" t="n">
        <f aca="false">SUMIFS('Activation Detail'!$H$4:$H$4003,'Activation Detail'!$A$4:$A$4003,$A141,'Activation Detail'!$N$4:$N$4003,Z$2)</f>
        <v>229.653596845613</v>
      </c>
      <c r="AA141" s="50" t="n">
        <f aca="false">Z141*'Model Inputs &amp; Assumptions'!$D$42*'Model Inputs &amp; Assumptions'!$H$42</f>
        <v>1240129.42296631</v>
      </c>
      <c r="AB141" s="50" t="n">
        <f aca="false">Z141*'Model Inputs &amp; Assumptions'!$G$42*'Model Inputs &amp; Assumptions'!$H$42</f>
        <v>26042.7178822925</v>
      </c>
      <c r="AC141" s="50" t="n">
        <f aca="false">SUMIFS('Activation Detail'!$I$4:$I$4003,'Activation Detail'!$A$4:$A$4003,$A141,'Activation Detail'!$N$4:$N$4003,Z$2)</f>
        <v>37547.08</v>
      </c>
      <c r="AD141" s="51" t="n">
        <f aca="false">IFERROR(AB141/AC141,0)</f>
        <v>0.693601683068096</v>
      </c>
      <c r="AE141" s="49" t="n">
        <f aca="false">IFERROR(AC141/Z141,0)</f>
        <v>163.494412958145</v>
      </c>
    </row>
    <row r="142" customFormat="false" ht="15" hidden="false" customHeight="false" outlineLevel="0" collapsed="false">
      <c r="A142" s="43" t="n">
        <v>139</v>
      </c>
      <c r="B142" s="45" t="n">
        <f aca="false">SUM('Activation Detail'!C142,'Activation Detail'!C642,'Activation Detail'!C1142,'Activation Detail'!C1642,'Activation Detail'!C2142,'Activation Detail'!C2642,'Activation Detail'!C3142,'Activation Detail'!C3642)</f>
        <v>3887346</v>
      </c>
      <c r="C142" s="45" t="n">
        <f aca="false">SUM('Activation Detail'!E142,'Activation Detail'!E642,'Activation Detail'!E1142,'Activation Detail'!E1642,'Activation Detail'!E2142,'Activation Detail'!E2642,'Activation Detail'!E3142,'Activation Detail'!E3642)</f>
        <v>345675</v>
      </c>
      <c r="D142" s="45" t="n">
        <f aca="false">SUM('Activation Detail'!G142,'Activation Detail'!G642,'Activation Detail'!G1142,'Activation Detail'!G1642,'Activation Detail'!G2142,'Activation Detail'!G2642,'Activation Detail'!G3142,'Activation Detail'!G3642)</f>
        <v>18173</v>
      </c>
      <c r="E142" s="48" t="n">
        <f aca="false">SUM('Activation Detail'!H142,'Activation Detail'!H642,'Activation Detail'!H1142,'Activation Detail'!H1642,'Activation Detail'!H2142,'Activation Detail'!H2642,'Activation Detail'!H3142,'Activation Detail'!H3642)</f>
        <v>823.8772828422</v>
      </c>
      <c r="F142" s="50" t="n">
        <f aca="false">SUM('Activation Detail'!I142,'Activation Detail'!I642,'Activation Detail'!I1142,'Activation Detail'!I1642,'Activation Detail'!I2142,'Activation Detail'!I2642,'Activation Detail'!I3142,'Activation Detail'!I3642)</f>
        <v>74593.44783</v>
      </c>
      <c r="G142" s="50" t="n">
        <f aca="false">SUM('Activation Detail'!J142,'Activation Detail'!J642,'Activation Detail'!J1142,'Activation Detail'!J1642,'Activation Detail'!J2142,'Activation Detail'!J2642,'Activation Detail'!J3142,'Activation Detail'!J3642)</f>
        <v>5046420.84176017</v>
      </c>
      <c r="H142" s="50" t="n">
        <f aca="false">SUM('Activation Detail'!K142,'Activation Detail'!K642,'Activation Detail'!K1142,'Activation Detail'!K1642,'Activation Detail'!K2142,'Activation Detail'!K2642,'Activation Detail'!K3142,'Activation Detail'!K3642)</f>
        <v>108464.605008808</v>
      </c>
      <c r="I142" s="51" t="n">
        <f aca="false">IFERROR(H142/F142,0)</f>
        <v>1.45407684138694</v>
      </c>
      <c r="J142" s="49" t="n">
        <f aca="false">IFERROR(F142/E142,0)</f>
        <v>90.5395128418502</v>
      </c>
      <c r="K142" s="46" t="n">
        <f aca="false">IFERROR(C142/B142,0)</f>
        <v>0.0889231367622023</v>
      </c>
      <c r="L142" s="47" t="n">
        <f aca="false">IFERROR(D142/B142,0)</f>
        <v>0.0046749118807536</v>
      </c>
      <c r="N142" s="48" t="n">
        <f aca="false">SUMIFS('Activation Detail'!$H$4:$H$4003,'Activation Detail'!$A$4:$A$4003,$A142,'Activation Detail'!$N$4:$N$4003,N$2)</f>
        <v>72.8275136568013</v>
      </c>
      <c r="O142" s="50" t="n">
        <f aca="false">N142*'Model Inputs &amp; Assumptions'!$D$40*'Model Inputs &amp; Assumptions'!$H$40</f>
        <v>619033.866082811</v>
      </c>
      <c r="P142" s="50" t="n">
        <f aca="false">N142*'Model Inputs &amp; Assumptions'!$G$40*'Model Inputs &amp; Assumptions'!$H$40</f>
        <v>13928.2619868632</v>
      </c>
      <c r="Q142" s="50" t="n">
        <f aca="false">SUMIFS('Activation Detail'!$I$4:$I$4003,'Activation Detail'!$A$4:$A$4003,$A142,'Activation Detail'!$N$4:$N$4003,N$2)</f>
        <v>18289.576</v>
      </c>
      <c r="R142" s="51" t="n">
        <f aca="false">IFERROR(P142/Q142,0)</f>
        <v>0.761540999466759</v>
      </c>
      <c r="S142" s="49" t="n">
        <f aca="false">IFERROR(Q142/N142,0)</f>
        <v>251.13552669379</v>
      </c>
      <c r="T142" s="48" t="n">
        <f aca="false">SUMIFS('Activation Detail'!$H$4:$H$4003,'Activation Detail'!$A$4:$A$4003,$A142,'Activation Detail'!$N$4:$N$4003,T$2)</f>
        <v>206.510123375672</v>
      </c>
      <c r="U142" s="50" t="n">
        <f aca="false">T142*'Model Inputs &amp; Assumptions'!$D$41*'Model Inputs &amp; Assumptions'!$H$41</f>
        <v>1486872.88830484</v>
      </c>
      <c r="V142" s="50" t="n">
        <f aca="false">T142*'Model Inputs &amp; Assumptions'!$G$41*'Model Inputs &amp; Assumptions'!$H$41</f>
        <v>32785.5471871216</v>
      </c>
      <c r="W142" s="50" t="n">
        <f aca="false">SUMIFS('Activation Detail'!$I$4:$I$4003,'Activation Detail'!$A$4:$A$4003,$A142,'Activation Detail'!$N$4:$N$4003,T$2)</f>
        <v>17044.46383</v>
      </c>
      <c r="X142" s="51" t="n">
        <f aca="false">IFERROR(V142/W142,0)</f>
        <v>1.9235305677035</v>
      </c>
      <c r="Y142" s="49" t="n">
        <f aca="false">IFERROR(W142/T142,0)</f>
        <v>82.5357302169331</v>
      </c>
      <c r="Z142" s="48" t="n">
        <f aca="false">SUMIFS('Activation Detail'!$H$4:$H$4003,'Activation Detail'!$A$4:$A$4003,$A142,'Activation Detail'!$N$4:$N$4003,Z$2)</f>
        <v>544.539645809727</v>
      </c>
      <c r="AA142" s="50" t="n">
        <f aca="false">Z142*'Model Inputs &amp; Assumptions'!$D$42*'Model Inputs &amp; Assumptions'!$H$42</f>
        <v>2940514.08737253</v>
      </c>
      <c r="AB142" s="50" t="n">
        <f aca="false">Z142*'Model Inputs &amp; Assumptions'!$G$42*'Model Inputs &amp; Assumptions'!$H$42</f>
        <v>61750.795834823</v>
      </c>
      <c r="AC142" s="50" t="n">
        <f aca="false">SUMIFS('Activation Detail'!$I$4:$I$4003,'Activation Detail'!$A$4:$A$4003,$A142,'Activation Detail'!$N$4:$N$4003,Z$2)</f>
        <v>39259.408</v>
      </c>
      <c r="AD142" s="51" t="n">
        <f aca="false">IFERROR(AB142/AC142,0)</f>
        <v>1.5728916705729</v>
      </c>
      <c r="AE142" s="49" t="n">
        <f aca="false">IFERROR(AC142/Z142,0)</f>
        <v>72.0965099641579</v>
      </c>
    </row>
    <row r="143" customFormat="false" ht="15" hidden="false" customHeight="false" outlineLevel="0" collapsed="false">
      <c r="A143" s="43" t="n">
        <v>140</v>
      </c>
      <c r="B143" s="45" t="n">
        <f aca="false">SUM('Activation Detail'!C143,'Activation Detail'!C643,'Activation Detail'!C1143,'Activation Detail'!C1643,'Activation Detail'!C2143,'Activation Detail'!C2643,'Activation Detail'!C3143,'Activation Detail'!C3643)</f>
        <v>4934093</v>
      </c>
      <c r="C143" s="45" t="n">
        <f aca="false">SUM('Activation Detail'!E143,'Activation Detail'!E643,'Activation Detail'!E1143,'Activation Detail'!E1643,'Activation Detail'!E2143,'Activation Detail'!E2643,'Activation Detail'!E3143,'Activation Detail'!E3643)</f>
        <v>394123</v>
      </c>
      <c r="D143" s="45" t="n">
        <f aca="false">SUM('Activation Detail'!G143,'Activation Detail'!G643,'Activation Detail'!G1143,'Activation Detail'!G1643,'Activation Detail'!G2143,'Activation Detail'!G2643,'Activation Detail'!G3143,'Activation Detail'!G3643)</f>
        <v>19246</v>
      </c>
      <c r="E143" s="48" t="n">
        <f aca="false">SUM('Activation Detail'!H143,'Activation Detail'!H643,'Activation Detail'!H1143,'Activation Detail'!H1643,'Activation Detail'!H2143,'Activation Detail'!H2643,'Activation Detail'!H3143,'Activation Detail'!H3643)</f>
        <v>772.779204630073</v>
      </c>
      <c r="F143" s="50" t="n">
        <f aca="false">SUM('Activation Detail'!I143,'Activation Detail'!I643,'Activation Detail'!I1143,'Activation Detail'!I1643,'Activation Detail'!I2143,'Activation Detail'!I2643,'Activation Detail'!I3143,'Activation Detail'!I3643)</f>
        <v>74092.175954</v>
      </c>
      <c r="G143" s="50" t="n">
        <f aca="false">SUM('Activation Detail'!J143,'Activation Detail'!J643,'Activation Detail'!J1143,'Activation Detail'!J1643,'Activation Detail'!J2143,'Activation Detail'!J2643,'Activation Detail'!J3143,'Activation Detail'!J3643)</f>
        <v>4709232.02626639</v>
      </c>
      <c r="H143" s="50" t="n">
        <f aca="false">SUM('Activation Detail'!K143,'Activation Detail'!K643,'Activation Detail'!K1143,'Activation Detail'!K1643,'Activation Detail'!K2143,'Activation Detail'!K2643,'Activation Detail'!K3143,'Activation Detail'!K3643)</f>
        <v>101122.679920355</v>
      </c>
      <c r="I143" s="51" t="n">
        <f aca="false">IFERROR(H143/F143,0)</f>
        <v>1.36482264987246</v>
      </c>
      <c r="J143" s="49" t="n">
        <f aca="false">IFERROR(F143/E143,0)</f>
        <v>95.8775488652903</v>
      </c>
      <c r="K143" s="46" t="n">
        <f aca="false">IFERROR(C143/B143,0)</f>
        <v>0.0798774972421476</v>
      </c>
      <c r="L143" s="47" t="n">
        <f aca="false">IFERROR(D143/B143,0)</f>
        <v>0.00390061557412882</v>
      </c>
      <c r="N143" s="48" t="n">
        <f aca="false">SUMIFS('Activation Detail'!$H$4:$H$4003,'Activation Detail'!$A$4:$A$4003,$A143,'Activation Detail'!$N$4:$N$4003,N$2)</f>
        <v>86.4251131412927</v>
      </c>
      <c r="O143" s="50" t="n">
        <f aca="false">N143*'Model Inputs &amp; Assumptions'!$D$40*'Model Inputs &amp; Assumptions'!$H$40</f>
        <v>734613.461700988</v>
      </c>
      <c r="P143" s="50" t="n">
        <f aca="false">N143*'Model Inputs &amp; Assumptions'!$G$40*'Model Inputs &amp; Assumptions'!$H$40</f>
        <v>16528.8028882722</v>
      </c>
      <c r="Q143" s="50" t="n">
        <f aca="false">SUMIFS('Activation Detail'!$I$4:$I$4003,'Activation Detail'!$A$4:$A$4003,$A143,'Activation Detail'!$N$4:$N$4003,N$2)</f>
        <v>17888.929</v>
      </c>
      <c r="R143" s="51" t="n">
        <f aca="false">IFERROR(P143/Q143,0)</f>
        <v>0.923968276036661</v>
      </c>
      <c r="S143" s="49" t="n">
        <f aca="false">IFERROR(Q143/N143,0)</f>
        <v>206.987626047468</v>
      </c>
      <c r="T143" s="48" t="n">
        <f aca="false">SUMIFS('Activation Detail'!$H$4:$H$4003,'Activation Detail'!$A$4:$A$4003,$A143,'Activation Detail'!$N$4:$N$4003,T$2)</f>
        <v>149.059150292213</v>
      </c>
      <c r="U143" s="50" t="n">
        <f aca="false">T143*'Model Inputs &amp; Assumptions'!$D$41*'Model Inputs &amp; Assumptions'!$H$41</f>
        <v>1073225.88210393</v>
      </c>
      <c r="V143" s="50" t="n">
        <f aca="false">T143*'Model Inputs &amp; Assumptions'!$G$41*'Model Inputs &amp; Assumptions'!$H$41</f>
        <v>23664.6307003917</v>
      </c>
      <c r="W143" s="50" t="n">
        <f aca="false">SUMIFS('Activation Detail'!$I$4:$I$4003,'Activation Detail'!$A$4:$A$4003,$A143,'Activation Detail'!$N$4:$N$4003,T$2)</f>
        <v>21188.262954</v>
      </c>
      <c r="X143" s="51" t="n">
        <f aca="false">IFERROR(V143/W143,0)</f>
        <v>1.11687450508652</v>
      </c>
      <c r="Y143" s="49" t="n">
        <f aca="false">IFERROR(W143/T143,0)</f>
        <v>142.146677426128</v>
      </c>
      <c r="Z143" s="48" t="n">
        <f aca="false">SUMIFS('Activation Detail'!$H$4:$H$4003,'Activation Detail'!$A$4:$A$4003,$A143,'Activation Detail'!$N$4:$N$4003,Z$2)</f>
        <v>537.294941196567</v>
      </c>
      <c r="AA143" s="50" t="n">
        <f aca="false">Z143*'Model Inputs &amp; Assumptions'!$D$42*'Model Inputs &amp; Assumptions'!$H$42</f>
        <v>2901392.68246146</v>
      </c>
      <c r="AB143" s="50" t="n">
        <f aca="false">Z143*'Model Inputs &amp; Assumptions'!$G$42*'Model Inputs &amp; Assumptions'!$H$42</f>
        <v>60929.2463316907</v>
      </c>
      <c r="AC143" s="50" t="n">
        <f aca="false">SUMIFS('Activation Detail'!$I$4:$I$4003,'Activation Detail'!$A$4:$A$4003,$A143,'Activation Detail'!$N$4:$N$4003,Z$2)</f>
        <v>35014.984</v>
      </c>
      <c r="AD143" s="51" t="n">
        <f aca="false">IFERROR(AB143/AC143,0)</f>
        <v>1.7400906518104</v>
      </c>
      <c r="AE143" s="49" t="n">
        <f aca="false">IFERROR(AC143/Z143,0)</f>
        <v>65.1690185692441</v>
      </c>
    </row>
    <row r="144" customFormat="false" ht="15" hidden="false" customHeight="false" outlineLevel="0" collapsed="false">
      <c r="A144" s="43" t="n">
        <v>141</v>
      </c>
      <c r="B144" s="45" t="n">
        <f aca="false">SUM('Activation Detail'!C144,'Activation Detail'!C644,'Activation Detail'!C1144,'Activation Detail'!C1644,'Activation Detail'!C2144,'Activation Detail'!C2644,'Activation Detail'!C3144,'Activation Detail'!C3644)</f>
        <v>4383315</v>
      </c>
      <c r="C144" s="45" t="n">
        <f aca="false">SUM('Activation Detail'!E144,'Activation Detail'!E644,'Activation Detail'!E1144,'Activation Detail'!E1644,'Activation Detail'!E2144,'Activation Detail'!E2644,'Activation Detail'!E3144,'Activation Detail'!E3644)</f>
        <v>423475</v>
      </c>
      <c r="D144" s="45" t="n">
        <f aca="false">SUM('Activation Detail'!G144,'Activation Detail'!G644,'Activation Detail'!G1144,'Activation Detail'!G1644,'Activation Detail'!G2144,'Activation Detail'!G2644,'Activation Detail'!G3144,'Activation Detail'!G3644)</f>
        <v>16450</v>
      </c>
      <c r="E144" s="48" t="n">
        <f aca="false">SUM('Activation Detail'!H144,'Activation Detail'!H644,'Activation Detail'!H1144,'Activation Detail'!H1644,'Activation Detail'!H2144,'Activation Detail'!H2644,'Activation Detail'!H3144,'Activation Detail'!H3644)</f>
        <v>552.432609936689</v>
      </c>
      <c r="F144" s="50" t="n">
        <f aca="false">SUM('Activation Detail'!I144,'Activation Detail'!I644,'Activation Detail'!I1144,'Activation Detail'!I1644,'Activation Detail'!I2144,'Activation Detail'!I2644,'Activation Detail'!I3144,'Activation Detail'!I3644)</f>
        <v>73977.911104</v>
      </c>
      <c r="G144" s="50" t="n">
        <f aca="false">SUM('Activation Detail'!J144,'Activation Detail'!J644,'Activation Detail'!J1144,'Activation Detail'!J1644,'Activation Detail'!J2144,'Activation Detail'!J2644,'Activation Detail'!J3144,'Activation Detail'!J3644)</f>
        <v>3494179.9540843</v>
      </c>
      <c r="H144" s="50" t="n">
        <f aca="false">SUM('Activation Detail'!K144,'Activation Detail'!K644,'Activation Detail'!K1144,'Activation Detail'!K1644,'Activation Detail'!K2144,'Activation Detail'!K2644,'Activation Detail'!K3144,'Activation Detail'!K3644)</f>
        <v>75498.7272239169</v>
      </c>
      <c r="I144" s="51" t="n">
        <f aca="false">IFERROR(H144/F144,0)</f>
        <v>1.02055770563431</v>
      </c>
      <c r="J144" s="49" t="n">
        <f aca="false">IFERROR(F144/E144,0)</f>
        <v>133.913005447811</v>
      </c>
      <c r="K144" s="46" t="n">
        <f aca="false">IFERROR(C144/B144,0)</f>
        <v>0.0966106702347424</v>
      </c>
      <c r="L144" s="47" t="n">
        <f aca="false">IFERROR(D144/B144,0)</f>
        <v>0.00375286740743022</v>
      </c>
      <c r="N144" s="48" t="n">
        <f aca="false">SUMIFS('Activation Detail'!$H$4:$H$4003,'Activation Detail'!$A$4:$A$4003,$A144,'Activation Detail'!$N$4:$N$4003,N$2)</f>
        <v>94.2075023832384</v>
      </c>
      <c r="O144" s="50" t="n">
        <f aca="false">N144*'Model Inputs &amp; Assumptions'!$D$40*'Model Inputs &amp; Assumptions'!$H$40</f>
        <v>800763.770257526</v>
      </c>
      <c r="P144" s="50" t="n">
        <f aca="false">N144*'Model Inputs &amp; Assumptions'!$G$40*'Model Inputs &amp; Assumptions'!$H$40</f>
        <v>18017.1848307943</v>
      </c>
      <c r="Q144" s="50" t="n">
        <f aca="false">SUMIFS('Activation Detail'!$I$4:$I$4003,'Activation Detail'!$A$4:$A$4003,$A144,'Activation Detail'!$N$4:$N$4003,N$2)</f>
        <v>18106.874</v>
      </c>
      <c r="R144" s="51" t="n">
        <f aca="false">IFERROR(P144/Q144,0)</f>
        <v>0.995046678448988</v>
      </c>
      <c r="S144" s="49" t="n">
        <f aca="false">IFERROR(Q144/N144,0)</f>
        <v>192.202038499448</v>
      </c>
      <c r="T144" s="48" t="n">
        <f aca="false">SUMIFS('Activation Detail'!$H$4:$H$4003,'Activation Detail'!$A$4:$A$4003,$A144,'Activation Detail'!$N$4:$N$4003,T$2)</f>
        <v>121.667001687857</v>
      </c>
      <c r="U144" s="50" t="n">
        <f aca="false">T144*'Model Inputs &amp; Assumptions'!$D$41*'Model Inputs &amp; Assumptions'!$H$41</f>
        <v>876002.412152573</v>
      </c>
      <c r="V144" s="50" t="n">
        <f aca="false">T144*'Model Inputs &amp; Assumptions'!$G$41*'Model Inputs &amp; Assumptions'!$H$41</f>
        <v>19315.8531879642</v>
      </c>
      <c r="W144" s="50" t="n">
        <f aca="false">SUMIFS('Activation Detail'!$I$4:$I$4003,'Activation Detail'!$A$4:$A$4003,$A144,'Activation Detail'!$N$4:$N$4003,T$2)</f>
        <v>19200.665104</v>
      </c>
      <c r="X144" s="51" t="n">
        <f aca="false">IFERROR(V144/W144,0)</f>
        <v>1.00599917155684</v>
      </c>
      <c r="Y144" s="49" t="n">
        <f aca="false">IFERROR(W144/T144,0)</f>
        <v>157.813251231918</v>
      </c>
      <c r="Z144" s="48" t="n">
        <f aca="false">SUMIFS('Activation Detail'!$H$4:$H$4003,'Activation Detail'!$A$4:$A$4003,$A144,'Activation Detail'!$N$4:$N$4003,Z$2)</f>
        <v>336.558105865593</v>
      </c>
      <c r="AA144" s="50" t="n">
        <f aca="false">Z144*'Model Inputs &amp; Assumptions'!$D$42*'Model Inputs &amp; Assumptions'!$H$42</f>
        <v>1817413.7716742</v>
      </c>
      <c r="AB144" s="50" t="n">
        <f aca="false">Z144*'Model Inputs &amp; Assumptions'!$G$42*'Model Inputs &amp; Assumptions'!$H$42</f>
        <v>38165.6892051583</v>
      </c>
      <c r="AC144" s="50" t="n">
        <f aca="false">SUMIFS('Activation Detail'!$I$4:$I$4003,'Activation Detail'!$A$4:$A$4003,$A144,'Activation Detail'!$N$4:$N$4003,Z$2)</f>
        <v>36670.372</v>
      </c>
      <c r="AD144" s="51" t="n">
        <f aca="false">IFERROR(AB144/AC144,0)</f>
        <v>1.04077725759527</v>
      </c>
      <c r="AE144" s="49" t="n">
        <f aca="false">IFERROR(AC144/Z144,0)</f>
        <v>108.957031076959</v>
      </c>
    </row>
    <row r="145" customFormat="false" ht="15" hidden="false" customHeight="false" outlineLevel="0" collapsed="false">
      <c r="A145" s="43" t="n">
        <v>142</v>
      </c>
      <c r="B145" s="45" t="n">
        <f aca="false">SUM('Activation Detail'!C145,'Activation Detail'!C645,'Activation Detail'!C1145,'Activation Detail'!C1645,'Activation Detail'!C2145,'Activation Detail'!C2645,'Activation Detail'!C3145,'Activation Detail'!C3645)</f>
        <v>4052925</v>
      </c>
      <c r="C145" s="45" t="n">
        <f aca="false">SUM('Activation Detail'!E145,'Activation Detail'!E645,'Activation Detail'!E1145,'Activation Detail'!E1645,'Activation Detail'!E2145,'Activation Detail'!E2645,'Activation Detail'!E3145,'Activation Detail'!E3645)</f>
        <v>516252</v>
      </c>
      <c r="D145" s="45" t="n">
        <f aca="false">SUM('Activation Detail'!G145,'Activation Detail'!G645,'Activation Detail'!G1145,'Activation Detail'!G1645,'Activation Detail'!G2145,'Activation Detail'!G2645,'Activation Detail'!G3145,'Activation Detail'!G3645)</f>
        <v>14614</v>
      </c>
      <c r="E145" s="48" t="n">
        <f aca="false">SUM('Activation Detail'!H145,'Activation Detail'!H645,'Activation Detail'!H1145,'Activation Detail'!H1645,'Activation Detail'!H2145,'Activation Detail'!H2645,'Activation Detail'!H3145,'Activation Detail'!H3645)</f>
        <v>620.481149343135</v>
      </c>
      <c r="F145" s="50" t="n">
        <f aca="false">SUM('Activation Detail'!I145,'Activation Detail'!I645,'Activation Detail'!I1145,'Activation Detail'!I1645,'Activation Detail'!I2145,'Activation Detail'!I2645,'Activation Detail'!I3145,'Activation Detail'!I3645)</f>
        <v>73360.721706</v>
      </c>
      <c r="G145" s="50" t="n">
        <f aca="false">SUM('Activation Detail'!J145,'Activation Detail'!J645,'Activation Detail'!J1145,'Activation Detail'!J1645,'Activation Detail'!J2145,'Activation Detail'!J2645,'Activation Detail'!J3145,'Activation Detail'!J3645)</f>
        <v>3855410.21532447</v>
      </c>
      <c r="H145" s="50" t="n">
        <f aca="false">SUM('Activation Detail'!K145,'Activation Detail'!K645,'Activation Detail'!K1145,'Activation Detail'!K1645,'Activation Detail'!K2145,'Activation Detail'!K2645,'Activation Detail'!K3145,'Activation Detail'!K3645)</f>
        <v>83061.1291543912</v>
      </c>
      <c r="I145" s="51" t="n">
        <f aca="false">IFERROR(H145/F145,0)</f>
        <v>1.13222889882772</v>
      </c>
      <c r="J145" s="49" t="n">
        <f aca="false">IFERROR(F145/E145,0)</f>
        <v>118.231991066388</v>
      </c>
      <c r="K145" s="46" t="n">
        <f aca="false">IFERROR(C145/B145,0)</f>
        <v>0.127377634671256</v>
      </c>
      <c r="L145" s="47" t="n">
        <f aca="false">IFERROR(D145/B145,0)</f>
        <v>0.00360579087942659</v>
      </c>
      <c r="N145" s="48" t="n">
        <f aca="false">SUMIFS('Activation Detail'!$H$4:$H$4003,'Activation Detail'!$A$4:$A$4003,$A145,'Activation Detail'!$N$4:$N$4003,N$2)</f>
        <v>84.0585358630733</v>
      </c>
      <c r="O145" s="50" t="n">
        <f aca="false">N145*'Model Inputs &amp; Assumptions'!$D$40*'Model Inputs &amp; Assumptions'!$H$40</f>
        <v>714497.554836123</v>
      </c>
      <c r="P145" s="50" t="n">
        <f aca="false">N145*'Model Inputs &amp; Assumptions'!$G$40*'Model Inputs &amp; Assumptions'!$H$40</f>
        <v>16076.1949838128</v>
      </c>
      <c r="Q145" s="50" t="n">
        <f aca="false">SUMIFS('Activation Detail'!$I$4:$I$4003,'Activation Detail'!$A$4:$A$4003,$A145,'Activation Detail'!$N$4:$N$4003,N$2)</f>
        <v>18258.2135</v>
      </c>
      <c r="R145" s="51" t="n">
        <f aca="false">IFERROR(P145/Q145,0)</f>
        <v>0.880491127120009</v>
      </c>
      <c r="S145" s="49" t="n">
        <f aca="false">IFERROR(Q145/N145,0)</f>
        <v>217.208321707407</v>
      </c>
      <c r="T145" s="48" t="n">
        <f aca="false">SUMIFS('Activation Detail'!$H$4:$H$4003,'Activation Detail'!$A$4:$A$4003,$A145,'Activation Detail'!$N$4:$N$4003,T$2)</f>
        <v>135.683637608894</v>
      </c>
      <c r="U145" s="50" t="n">
        <f aca="false">T145*'Model Inputs &amp; Assumptions'!$D$41*'Model Inputs &amp; Assumptions'!$H$41</f>
        <v>976922.190784033</v>
      </c>
      <c r="V145" s="50" t="n">
        <f aca="false">T145*'Model Inputs &amp; Assumptions'!$G$41*'Model Inputs &amp; Assumptions'!$H$41</f>
        <v>21541.1343067879</v>
      </c>
      <c r="W145" s="50" t="n">
        <f aca="false">SUMIFS('Activation Detail'!$I$4:$I$4003,'Activation Detail'!$A$4:$A$4003,$A145,'Activation Detail'!$N$4:$N$4003,T$2)</f>
        <v>17047.120206</v>
      </c>
      <c r="X145" s="51" t="n">
        <f aca="false">IFERROR(V145/W145,0)</f>
        <v>1.26362306632919</v>
      </c>
      <c r="Y145" s="49" t="n">
        <f aca="false">IFERROR(W145/T145,0)</f>
        <v>125.638732174458</v>
      </c>
      <c r="Z145" s="48" t="n">
        <f aca="false">SUMIFS('Activation Detail'!$H$4:$H$4003,'Activation Detail'!$A$4:$A$4003,$A145,'Activation Detail'!$N$4:$N$4003,Z$2)</f>
        <v>400.738975871168</v>
      </c>
      <c r="AA145" s="50" t="n">
        <f aca="false">Z145*'Model Inputs &amp; Assumptions'!$D$42*'Model Inputs &amp; Assumptions'!$H$42</f>
        <v>2163990.46970431</v>
      </c>
      <c r="AB145" s="50" t="n">
        <f aca="false">Z145*'Model Inputs &amp; Assumptions'!$G$42*'Model Inputs &amp; Assumptions'!$H$42</f>
        <v>45443.7998637905</v>
      </c>
      <c r="AC145" s="50" t="n">
        <f aca="false">SUMIFS('Activation Detail'!$I$4:$I$4003,'Activation Detail'!$A$4:$A$4003,$A145,'Activation Detail'!$N$4:$N$4003,Z$2)</f>
        <v>38055.388</v>
      </c>
      <c r="AD145" s="51" t="n">
        <f aca="false">IFERROR(AB145/AC145,0)</f>
        <v>1.19414890379755</v>
      </c>
      <c r="AE145" s="49" t="n">
        <f aca="false">IFERROR(AC145/Z145,0)</f>
        <v>94.9630315276203</v>
      </c>
    </row>
    <row r="146" customFormat="false" ht="15" hidden="false" customHeight="false" outlineLevel="0" collapsed="false">
      <c r="A146" s="43" t="n">
        <v>143</v>
      </c>
      <c r="B146" s="45" t="n">
        <f aca="false">SUM('Activation Detail'!C146,'Activation Detail'!C646,'Activation Detail'!C1146,'Activation Detail'!C1646,'Activation Detail'!C2146,'Activation Detail'!C2646,'Activation Detail'!C3146,'Activation Detail'!C3646)</f>
        <v>4297623</v>
      </c>
      <c r="C146" s="45" t="n">
        <f aca="false">SUM('Activation Detail'!E146,'Activation Detail'!E646,'Activation Detail'!E1146,'Activation Detail'!E1646,'Activation Detail'!E2146,'Activation Detail'!E2646,'Activation Detail'!E3146,'Activation Detail'!E3646)</f>
        <v>442246</v>
      </c>
      <c r="D146" s="45" t="n">
        <f aca="false">SUM('Activation Detail'!G146,'Activation Detail'!G646,'Activation Detail'!G1146,'Activation Detail'!G1646,'Activation Detail'!G2146,'Activation Detail'!G2646,'Activation Detail'!G3146,'Activation Detail'!G3646)</f>
        <v>22002</v>
      </c>
      <c r="E146" s="48" t="n">
        <f aca="false">SUM('Activation Detail'!H146,'Activation Detail'!H646,'Activation Detail'!H1146,'Activation Detail'!H1646,'Activation Detail'!H2146,'Activation Detail'!H2646,'Activation Detail'!H3146,'Activation Detail'!H3646)</f>
        <v>957.573408035832</v>
      </c>
      <c r="F146" s="50" t="n">
        <f aca="false">SUM('Activation Detail'!I146,'Activation Detail'!I646,'Activation Detail'!I1146,'Activation Detail'!I1646,'Activation Detail'!I2146,'Activation Detail'!I2646,'Activation Detail'!I3146,'Activation Detail'!I3646)</f>
        <v>69810.90506</v>
      </c>
      <c r="G146" s="50" t="n">
        <f aca="false">SUM('Activation Detail'!J146,'Activation Detail'!J646,'Activation Detail'!J1146,'Activation Detail'!J1646,'Activation Detail'!J2146,'Activation Detail'!J2646,'Activation Detail'!J3146,'Activation Detail'!J3646)</f>
        <v>5821792.84513999</v>
      </c>
      <c r="H146" s="50" t="n">
        <f aca="false">SUM('Activation Detail'!K146,'Activation Detail'!K646,'Activation Detail'!K1146,'Activation Detail'!K1646,'Activation Detail'!K2146,'Activation Detail'!K2646,'Activation Detail'!K3146,'Activation Detail'!K3646)</f>
        <v>124965.464159731</v>
      </c>
      <c r="I146" s="51" t="n">
        <f aca="false">IFERROR(H146/F146,0)</f>
        <v>1.79005649693738</v>
      </c>
      <c r="J146" s="49" t="n">
        <f aca="false">IFERROR(F146/E146,0)</f>
        <v>72.9039721384867</v>
      </c>
      <c r="K146" s="46" t="n">
        <f aca="false">IFERROR(C146/B146,0)</f>
        <v>0.102904791788391</v>
      </c>
      <c r="L146" s="47" t="n">
        <f aca="false">IFERROR(D146/B146,0)</f>
        <v>0.00511957423906192</v>
      </c>
      <c r="N146" s="48" t="n">
        <f aca="false">SUMIFS('Activation Detail'!$H$4:$H$4003,'Activation Detail'!$A$4:$A$4003,$A146,'Activation Detail'!$N$4:$N$4003,N$2)</f>
        <v>96.1134946063249</v>
      </c>
      <c r="O146" s="50" t="n">
        <f aca="false">N146*'Model Inputs &amp; Assumptions'!$D$40*'Model Inputs &amp; Assumptions'!$H$40</f>
        <v>816964.704153761</v>
      </c>
      <c r="P146" s="50" t="n">
        <f aca="false">N146*'Model Inputs &amp; Assumptions'!$G$40*'Model Inputs &amp; Assumptions'!$H$40</f>
        <v>18381.7058434596</v>
      </c>
      <c r="Q146" s="50" t="n">
        <f aca="false">SUMIFS('Activation Detail'!$I$4:$I$4003,'Activation Detail'!$A$4:$A$4003,$A146,'Activation Detail'!$N$4:$N$4003,N$2)</f>
        <v>17654.864</v>
      </c>
      <c r="R146" s="51" t="n">
        <f aca="false">IFERROR(P146/Q146,0)</f>
        <v>1.04116949546933</v>
      </c>
      <c r="S146" s="49" t="n">
        <f aca="false">IFERROR(Q146/N146,0)</f>
        <v>183.687671250674</v>
      </c>
      <c r="T146" s="48" t="n">
        <f aca="false">SUMIFS('Activation Detail'!$H$4:$H$4003,'Activation Detail'!$A$4:$A$4003,$A146,'Activation Detail'!$N$4:$N$4003,T$2)</f>
        <v>196.08033803716</v>
      </c>
      <c r="U146" s="50" t="n">
        <f aca="false">T146*'Model Inputs &amp; Assumptions'!$D$41*'Model Inputs &amp; Assumptions'!$H$41</f>
        <v>1411778.43386755</v>
      </c>
      <c r="V146" s="50" t="n">
        <f aca="false">T146*'Model Inputs &amp; Assumptions'!$G$41*'Model Inputs &amp; Assumptions'!$H$41</f>
        <v>31129.7144667795</v>
      </c>
      <c r="W146" s="50" t="n">
        <f aca="false">SUMIFS('Activation Detail'!$I$4:$I$4003,'Activation Detail'!$A$4:$A$4003,$A146,'Activation Detail'!$N$4:$N$4003,T$2)</f>
        <v>18680.51306</v>
      </c>
      <c r="X146" s="51" t="n">
        <f aca="false">IFERROR(V146/W146,0)</f>
        <v>1.66642716754052</v>
      </c>
      <c r="Y146" s="49" t="n">
        <f aca="false">IFERROR(W146/T146,0)</f>
        <v>95.2696902045314</v>
      </c>
      <c r="Z146" s="48" t="n">
        <f aca="false">SUMIFS('Activation Detail'!$H$4:$H$4003,'Activation Detail'!$A$4:$A$4003,$A146,'Activation Detail'!$N$4:$N$4003,Z$2)</f>
        <v>665.379575392347</v>
      </c>
      <c r="AA146" s="50" t="n">
        <f aca="false">Z146*'Model Inputs &amp; Assumptions'!$D$42*'Model Inputs &amp; Assumptions'!$H$42</f>
        <v>3593049.70711868</v>
      </c>
      <c r="AB146" s="50" t="n">
        <f aca="false">Z146*'Model Inputs &amp; Assumptions'!$G$42*'Model Inputs &amp; Assumptions'!$H$42</f>
        <v>75454.0438494922</v>
      </c>
      <c r="AC146" s="50" t="n">
        <f aca="false">SUMIFS('Activation Detail'!$I$4:$I$4003,'Activation Detail'!$A$4:$A$4003,$A146,'Activation Detail'!$N$4:$N$4003,Z$2)</f>
        <v>33475.528</v>
      </c>
      <c r="AD146" s="51" t="n">
        <f aca="false">IFERROR(AB146/AC146,0)</f>
        <v>2.25400608616217</v>
      </c>
      <c r="AE146" s="49" t="n">
        <f aca="false">IFERROR(AC146/Z146,0)</f>
        <v>50.3104231599848</v>
      </c>
    </row>
    <row r="147" customFormat="false" ht="15" hidden="false" customHeight="false" outlineLevel="0" collapsed="false">
      <c r="A147" s="43" t="n">
        <v>144</v>
      </c>
      <c r="B147" s="45" t="n">
        <f aca="false">SUM('Activation Detail'!C147,'Activation Detail'!C647,'Activation Detail'!C1147,'Activation Detail'!C1647,'Activation Detail'!C2147,'Activation Detail'!C2647,'Activation Detail'!C3147,'Activation Detail'!C3647)</f>
        <v>5354381</v>
      </c>
      <c r="C147" s="45" t="n">
        <f aca="false">SUM('Activation Detail'!E147,'Activation Detail'!E647,'Activation Detail'!E1147,'Activation Detail'!E1647,'Activation Detail'!E2147,'Activation Detail'!E2647,'Activation Detail'!E3147,'Activation Detail'!E3647)</f>
        <v>364395</v>
      </c>
      <c r="D147" s="45" t="n">
        <f aca="false">SUM('Activation Detail'!G147,'Activation Detail'!G647,'Activation Detail'!G1147,'Activation Detail'!G1647,'Activation Detail'!G2147,'Activation Detail'!G2647,'Activation Detail'!G3147,'Activation Detail'!G3647)</f>
        <v>21855</v>
      </c>
      <c r="E147" s="48" t="n">
        <f aca="false">SUM('Activation Detail'!H147,'Activation Detail'!H647,'Activation Detail'!H1147,'Activation Detail'!H1647,'Activation Detail'!H2147,'Activation Detail'!H2647,'Activation Detail'!H3147,'Activation Detail'!H3647)</f>
        <v>867.542062410386</v>
      </c>
      <c r="F147" s="50" t="n">
        <f aca="false">SUM('Activation Detail'!I147,'Activation Detail'!I647,'Activation Detail'!I1147,'Activation Detail'!I1647,'Activation Detail'!I2147,'Activation Detail'!I2647,'Activation Detail'!I3147,'Activation Detail'!I3647)</f>
        <v>86199.830502</v>
      </c>
      <c r="G147" s="50" t="n">
        <f aca="false">SUM('Activation Detail'!J147,'Activation Detail'!J647,'Activation Detail'!J1147,'Activation Detail'!J1647,'Activation Detail'!J2147,'Activation Detail'!J2647,'Activation Detail'!J3147,'Activation Detail'!J3647)</f>
        <v>5250535.58072441</v>
      </c>
      <c r="H147" s="50" t="n">
        <f aca="false">SUM('Activation Detail'!K147,'Activation Detail'!K647,'Activation Detail'!K1147,'Activation Detail'!K1647,'Activation Detail'!K2147,'Activation Detail'!K2647,'Activation Detail'!K3147,'Activation Detail'!K3647)</f>
        <v>112618.913599188</v>
      </c>
      <c r="I147" s="51" t="n">
        <f aca="false">IFERROR(H147/F147,0)</f>
        <v>1.30648648545284</v>
      </c>
      <c r="J147" s="49" t="n">
        <f aca="false">IFERROR(F147/E147,0)</f>
        <v>99.3609811407896</v>
      </c>
      <c r="K147" s="46" t="n">
        <f aca="false">IFERROR(C147/B147,0)</f>
        <v>0.0680554857788417</v>
      </c>
      <c r="L147" s="47" t="n">
        <f aca="false">IFERROR(D147/B147,0)</f>
        <v>0.00408170430905085</v>
      </c>
      <c r="N147" s="48" t="n">
        <f aca="false">SUMIFS('Activation Detail'!$H$4:$H$4003,'Activation Detail'!$A$4:$A$4003,$A147,'Activation Detail'!$N$4:$N$4003,N$2)</f>
        <v>69.3668874045608</v>
      </c>
      <c r="O147" s="50" t="n">
        <f aca="false">N147*'Model Inputs &amp; Assumptions'!$D$40*'Model Inputs &amp; Assumptions'!$H$40</f>
        <v>589618.542938767</v>
      </c>
      <c r="P147" s="50" t="n">
        <f aca="false">N147*'Model Inputs &amp; Assumptions'!$G$40*'Model Inputs &amp; Assumptions'!$H$40</f>
        <v>13266.4172161223</v>
      </c>
      <c r="Q147" s="50" t="n">
        <f aca="false">SUMIFS('Activation Detail'!$I$4:$I$4003,'Activation Detail'!$A$4:$A$4003,$A147,'Activation Detail'!$N$4:$N$4003,N$2)</f>
        <v>18452.6025</v>
      </c>
      <c r="R147" s="51" t="n">
        <f aca="false">IFERROR(P147/Q147,0)</f>
        <v>0.71894559133988</v>
      </c>
      <c r="S147" s="49" t="n">
        <f aca="false">IFERROR(Q147/N147,0)</f>
        <v>266.014566754033</v>
      </c>
      <c r="T147" s="48" t="n">
        <f aca="false">SUMIFS('Activation Detail'!$H$4:$H$4003,'Activation Detail'!$A$4:$A$4003,$A147,'Activation Detail'!$N$4:$N$4003,T$2)</f>
        <v>194.87282930788</v>
      </c>
      <c r="U147" s="50" t="n">
        <f aca="false">T147*'Model Inputs &amp; Assumptions'!$D$41*'Model Inputs &amp; Assumptions'!$H$41</f>
        <v>1403084.37101674</v>
      </c>
      <c r="V147" s="50" t="n">
        <f aca="false">T147*'Model Inputs &amp; Assumptions'!$G$41*'Model Inputs &amp; Assumptions'!$H$41</f>
        <v>30938.0103809191</v>
      </c>
      <c r="W147" s="50" t="n">
        <f aca="false">SUMIFS('Activation Detail'!$I$4:$I$4003,'Activation Detail'!$A$4:$A$4003,$A147,'Activation Detail'!$N$4:$N$4003,T$2)</f>
        <v>19635.924002</v>
      </c>
      <c r="X147" s="51" t="n">
        <f aca="false">IFERROR(V147/W147,0)</f>
        <v>1.57558210032632</v>
      </c>
      <c r="Y147" s="49" t="n">
        <f aca="false">IFERROR(W147/T147,0)</f>
        <v>100.762759342797</v>
      </c>
      <c r="Z147" s="48" t="n">
        <f aca="false">SUMIFS('Activation Detail'!$H$4:$H$4003,'Activation Detail'!$A$4:$A$4003,$A147,'Activation Detail'!$N$4:$N$4003,Z$2)</f>
        <v>603.302345697944</v>
      </c>
      <c r="AA147" s="50" t="n">
        <f aca="false">Z147*'Model Inputs &amp; Assumptions'!$D$42*'Model Inputs &amp; Assumptions'!$H$42</f>
        <v>3257832.6667689</v>
      </c>
      <c r="AB147" s="50" t="n">
        <f aca="false">Z147*'Model Inputs &amp; Assumptions'!$G$42*'Model Inputs &amp; Assumptions'!$H$42</f>
        <v>68414.4860021469</v>
      </c>
      <c r="AC147" s="50" t="n">
        <f aca="false">SUMIFS('Activation Detail'!$I$4:$I$4003,'Activation Detail'!$A$4:$A$4003,$A147,'Activation Detail'!$N$4:$N$4003,Z$2)</f>
        <v>48111.304</v>
      </c>
      <c r="AD147" s="51" t="n">
        <f aca="false">IFERROR(AB147/AC147,0)</f>
        <v>1.42200440050735</v>
      </c>
      <c r="AE147" s="49" t="n">
        <f aca="false">IFERROR(AC147/Z147,0)</f>
        <v>79.7465886600214</v>
      </c>
    </row>
    <row r="148" customFormat="false" ht="15" hidden="false" customHeight="false" outlineLevel="0" collapsed="false">
      <c r="A148" s="43" t="n">
        <v>145</v>
      </c>
      <c r="B148" s="45" t="n">
        <f aca="false">SUM('Activation Detail'!C148,'Activation Detail'!C648,'Activation Detail'!C1148,'Activation Detail'!C1648,'Activation Detail'!C2148,'Activation Detail'!C2648,'Activation Detail'!C3148,'Activation Detail'!C3648)</f>
        <v>3940091</v>
      </c>
      <c r="C148" s="45" t="n">
        <f aca="false">SUM('Activation Detail'!E148,'Activation Detail'!E648,'Activation Detail'!E1148,'Activation Detail'!E1648,'Activation Detail'!E2148,'Activation Detail'!E2648,'Activation Detail'!E3148,'Activation Detail'!E3648)</f>
        <v>506123</v>
      </c>
      <c r="D148" s="45" t="n">
        <f aca="false">SUM('Activation Detail'!G148,'Activation Detail'!G648,'Activation Detail'!G1148,'Activation Detail'!G1648,'Activation Detail'!G2148,'Activation Detail'!G2648,'Activation Detail'!G3148,'Activation Detail'!G3648)</f>
        <v>14929</v>
      </c>
      <c r="E148" s="48" t="n">
        <f aca="false">SUM('Activation Detail'!H148,'Activation Detail'!H648,'Activation Detail'!H1148,'Activation Detail'!H1648,'Activation Detail'!H2148,'Activation Detail'!H2648,'Activation Detail'!H3148,'Activation Detail'!H3648)</f>
        <v>594.443192745241</v>
      </c>
      <c r="F148" s="50" t="n">
        <f aca="false">SUM('Activation Detail'!I148,'Activation Detail'!I648,'Activation Detail'!I1148,'Activation Detail'!I1648,'Activation Detail'!I2148,'Activation Detail'!I2648,'Activation Detail'!I3148,'Activation Detail'!I3648)</f>
        <v>73034.925034</v>
      </c>
      <c r="G148" s="50" t="n">
        <f aca="false">SUM('Activation Detail'!J148,'Activation Detail'!J648,'Activation Detail'!J1148,'Activation Detail'!J1648,'Activation Detail'!J2148,'Activation Detail'!J2648,'Activation Detail'!J3148,'Activation Detail'!J3648)</f>
        <v>3790867.24860696</v>
      </c>
      <c r="H148" s="50" t="n">
        <f aca="false">SUM('Activation Detail'!K148,'Activation Detail'!K648,'Activation Detail'!K1148,'Activation Detail'!K1648,'Activation Detail'!K2148,'Activation Detail'!K2648,'Activation Detail'!K3148,'Activation Detail'!K3648)</f>
        <v>82022.2714092204</v>
      </c>
      <c r="I148" s="51" t="n">
        <f aca="false">IFERROR(H148/F148,0)</f>
        <v>1.12305546108299</v>
      </c>
      <c r="J148" s="49" t="n">
        <f aca="false">IFERROR(F148/E148,0)</f>
        <v>122.862749418851</v>
      </c>
      <c r="K148" s="46" t="n">
        <f aca="false">IFERROR(C148/B148,0)</f>
        <v>0.128454647367282</v>
      </c>
      <c r="L148" s="47" t="n">
        <f aca="false">IFERROR(D148/B148,0)</f>
        <v>0.00378899878200783</v>
      </c>
      <c r="N148" s="48" t="n">
        <f aca="false">SUMIFS('Activation Detail'!$H$4:$H$4003,'Activation Detail'!$A$4:$A$4003,$A148,'Activation Detail'!$N$4:$N$4003,N$2)</f>
        <v>94.8579415287811</v>
      </c>
      <c r="O148" s="50" t="n">
        <f aca="false">N148*'Model Inputs &amp; Assumptions'!$D$40*'Model Inputs &amp; Assumptions'!$H$40</f>
        <v>806292.502994639</v>
      </c>
      <c r="P148" s="50" t="n">
        <f aca="false">N148*'Model Inputs &amp; Assumptions'!$G$40*'Model Inputs &amp; Assumptions'!$H$40</f>
        <v>18141.5813173794</v>
      </c>
      <c r="Q148" s="50" t="n">
        <f aca="false">SUMIFS('Activation Detail'!$I$4:$I$4003,'Activation Detail'!$A$4:$A$4003,$A148,'Activation Detail'!$N$4:$N$4003,N$2)</f>
        <v>17096.085</v>
      </c>
      <c r="R148" s="51" t="n">
        <f aca="false">IFERROR(P148/Q148,0)</f>
        <v>1.0611541365979</v>
      </c>
      <c r="S148" s="49" t="n">
        <f aca="false">IFERROR(Q148/N148,0)</f>
        <v>180.228294273209</v>
      </c>
      <c r="T148" s="48" t="n">
        <f aca="false">SUMIFS('Activation Detail'!$H$4:$H$4003,'Activation Detail'!$A$4:$A$4003,$A148,'Activation Detail'!$N$4:$N$4003,T$2)</f>
        <v>159.341327246351</v>
      </c>
      <c r="U148" s="50" t="n">
        <f aca="false">T148*'Model Inputs &amp; Assumptions'!$D$41*'Model Inputs &amp; Assumptions'!$H$41</f>
        <v>1147257.55617373</v>
      </c>
      <c r="V148" s="50" t="n">
        <f aca="false">T148*'Model Inputs &amp; Assumptions'!$G$41*'Model Inputs &amp; Assumptions'!$H$41</f>
        <v>25297.0291136307</v>
      </c>
      <c r="W148" s="50" t="n">
        <f aca="false">SUMIFS('Activation Detail'!$I$4:$I$4003,'Activation Detail'!$A$4:$A$4003,$A148,'Activation Detail'!$N$4:$N$4003,T$2)</f>
        <v>17835.776034</v>
      </c>
      <c r="X148" s="51" t="n">
        <f aca="false">IFERROR(V148/W148,0)</f>
        <v>1.41833072277918</v>
      </c>
      <c r="Y148" s="49" t="n">
        <f aca="false">IFERROR(W148/T148,0)</f>
        <v>111.934401088707</v>
      </c>
      <c r="Z148" s="48" t="n">
        <f aca="false">SUMIFS('Activation Detail'!$H$4:$H$4003,'Activation Detail'!$A$4:$A$4003,$A148,'Activation Detail'!$N$4:$N$4003,Z$2)</f>
        <v>340.243923970109</v>
      </c>
      <c r="AA148" s="50" t="n">
        <f aca="false">Z148*'Model Inputs &amp; Assumptions'!$D$42*'Model Inputs &amp; Assumptions'!$H$42</f>
        <v>1837317.18943859</v>
      </c>
      <c r="AB148" s="50" t="n">
        <f aca="false">Z148*'Model Inputs &amp; Assumptions'!$G$42*'Model Inputs &amp; Assumptions'!$H$42</f>
        <v>38583.6609782103</v>
      </c>
      <c r="AC148" s="50" t="n">
        <f aca="false">SUMIFS('Activation Detail'!$I$4:$I$4003,'Activation Detail'!$A$4:$A$4003,$A148,'Activation Detail'!$N$4:$N$4003,Z$2)</f>
        <v>38103.064</v>
      </c>
      <c r="AD148" s="51" t="n">
        <f aca="false">IFERROR(AB148/AC148,0)</f>
        <v>1.01261307957308</v>
      </c>
      <c r="AE148" s="49" t="n">
        <f aca="false">IFERROR(AC148/Z148,0)</f>
        <v>111.987492841599</v>
      </c>
    </row>
    <row r="149" customFormat="false" ht="15" hidden="false" customHeight="false" outlineLevel="0" collapsed="false">
      <c r="A149" s="43" t="n">
        <v>146</v>
      </c>
      <c r="B149" s="45" t="n">
        <f aca="false">SUM('Activation Detail'!C149,'Activation Detail'!C649,'Activation Detail'!C1149,'Activation Detail'!C1649,'Activation Detail'!C2149,'Activation Detail'!C2649,'Activation Detail'!C3149,'Activation Detail'!C3649)</f>
        <v>3141467</v>
      </c>
      <c r="C149" s="45" t="n">
        <f aca="false">SUM('Activation Detail'!E149,'Activation Detail'!E649,'Activation Detail'!E1149,'Activation Detail'!E1649,'Activation Detail'!E2149,'Activation Detail'!E2649,'Activation Detail'!E3149,'Activation Detail'!E3649)</f>
        <v>335384</v>
      </c>
      <c r="D149" s="45" t="n">
        <f aca="false">SUM('Activation Detail'!G149,'Activation Detail'!G649,'Activation Detail'!G1149,'Activation Detail'!G1649,'Activation Detail'!G2149,'Activation Detail'!G2649,'Activation Detail'!G3149,'Activation Detail'!G3649)</f>
        <v>14396</v>
      </c>
      <c r="E149" s="48" t="n">
        <f aca="false">SUM('Activation Detail'!H149,'Activation Detail'!H649,'Activation Detail'!H1149,'Activation Detail'!H1649,'Activation Detail'!H2149,'Activation Detail'!H2649,'Activation Detail'!H3149,'Activation Detail'!H3649)</f>
        <v>645.526751484028</v>
      </c>
      <c r="F149" s="50" t="n">
        <f aca="false">SUM('Activation Detail'!I149,'Activation Detail'!I649,'Activation Detail'!I1149,'Activation Detail'!I1649,'Activation Detail'!I2149,'Activation Detail'!I2649,'Activation Detail'!I3149,'Activation Detail'!I3649)</f>
        <v>66348.152312</v>
      </c>
      <c r="G149" s="50" t="n">
        <f aca="false">SUM('Activation Detail'!J149,'Activation Detail'!J649,'Activation Detail'!J1149,'Activation Detail'!J1649,'Activation Detail'!J2149,'Activation Detail'!J2649,'Activation Detail'!J3149,'Activation Detail'!J3649)</f>
        <v>4245514.95362385</v>
      </c>
      <c r="H149" s="50" t="n">
        <f aca="false">SUM('Activation Detail'!K149,'Activation Detail'!K649,'Activation Detail'!K1149,'Activation Detail'!K1649,'Activation Detail'!K2149,'Activation Detail'!K2649,'Activation Detail'!K3149,'Activation Detail'!K3649)</f>
        <v>92311.6052247278</v>
      </c>
      <c r="I149" s="51" t="n">
        <f aca="false">IFERROR(H149/F149,0)</f>
        <v>1.39132141601526</v>
      </c>
      <c r="J149" s="49" t="n">
        <f aca="false">IFERROR(F149/E149,0)</f>
        <v>102.781414030433</v>
      </c>
      <c r="K149" s="46" t="n">
        <f aca="false">IFERROR(C149/B149,0)</f>
        <v>0.106760312936599</v>
      </c>
      <c r="L149" s="47" t="n">
        <f aca="false">IFERROR(D149/B149,0)</f>
        <v>0.00458257240964174</v>
      </c>
      <c r="N149" s="48" t="n">
        <f aca="false">SUMIFS('Activation Detail'!$H$4:$H$4003,'Activation Detail'!$A$4:$A$4003,$A149,'Activation Detail'!$N$4:$N$4003,N$2)</f>
        <v>128.981047908812</v>
      </c>
      <c r="O149" s="50" t="n">
        <f aca="false">N149*'Model Inputs &amp; Assumptions'!$D$40*'Model Inputs &amp; Assumptions'!$H$40</f>
        <v>1096338.9072249</v>
      </c>
      <c r="P149" s="50" t="n">
        <f aca="false">N149*'Model Inputs &amp; Assumptions'!$G$40*'Model Inputs &amp; Assumptions'!$H$40</f>
        <v>24667.6254125603</v>
      </c>
      <c r="Q149" s="50" t="n">
        <f aca="false">SUMIFS('Activation Detail'!$I$4:$I$4003,'Activation Detail'!$A$4:$A$4003,$A149,'Activation Detail'!$N$4:$N$4003,N$2)</f>
        <v>18548.6725</v>
      </c>
      <c r="R149" s="51" t="n">
        <f aca="false">IFERROR(P149/Q149,0)</f>
        <v>1.32988629847016</v>
      </c>
      <c r="S149" s="49" t="n">
        <f aca="false">IFERROR(Q149/N149,0)</f>
        <v>143.809286718726</v>
      </c>
      <c r="T149" s="48" t="n">
        <f aca="false">SUMIFS('Activation Detail'!$H$4:$H$4003,'Activation Detail'!$A$4:$A$4003,$A149,'Activation Detail'!$N$4:$N$4003,T$2)</f>
        <v>199.905137273767</v>
      </c>
      <c r="U149" s="50" t="n">
        <f aca="false">T149*'Model Inputs &amp; Assumptions'!$D$41*'Model Inputs &amp; Assumptions'!$H$41</f>
        <v>1439316.98837113</v>
      </c>
      <c r="V149" s="50" t="n">
        <f aca="false">T149*'Model Inputs &amp; Assumptions'!$G$41*'Model Inputs &amp; Assumptions'!$H$41</f>
        <v>31736.9395935833</v>
      </c>
      <c r="W149" s="50" t="n">
        <f aca="false">SUMIFS('Activation Detail'!$I$4:$I$4003,'Activation Detail'!$A$4:$A$4003,$A149,'Activation Detail'!$N$4:$N$4003,T$2)</f>
        <v>17044.435812</v>
      </c>
      <c r="X149" s="51" t="n">
        <f aca="false">IFERROR(V149/W149,0)</f>
        <v>1.86201174058452</v>
      </c>
      <c r="Y149" s="49" t="n">
        <f aca="false">IFERROR(W149/T149,0)</f>
        <v>85.2626202830289</v>
      </c>
      <c r="Z149" s="48" t="n">
        <f aca="false">SUMIFS('Activation Detail'!$H$4:$H$4003,'Activation Detail'!$A$4:$A$4003,$A149,'Activation Detail'!$N$4:$N$4003,Z$2)</f>
        <v>316.640566301449</v>
      </c>
      <c r="AA149" s="50" t="n">
        <f aca="false">Z149*'Model Inputs &amp; Assumptions'!$D$42*'Model Inputs &amp; Assumptions'!$H$42</f>
        <v>1709859.05802782</v>
      </c>
      <c r="AB149" s="50" t="n">
        <f aca="false">Z149*'Model Inputs &amp; Assumptions'!$G$42*'Model Inputs &amp; Assumptions'!$H$42</f>
        <v>35907.0402185843</v>
      </c>
      <c r="AC149" s="50" t="n">
        <f aca="false">SUMIFS('Activation Detail'!$I$4:$I$4003,'Activation Detail'!$A$4:$A$4003,$A149,'Activation Detail'!$N$4:$N$4003,Z$2)</f>
        <v>30755.044</v>
      </c>
      <c r="AD149" s="51" t="n">
        <f aca="false">IFERROR(AB149/AC149,0)</f>
        <v>1.16751711421984</v>
      </c>
      <c r="AE149" s="49" t="n">
        <f aca="false">IFERROR(AC149/Z149,0)</f>
        <v>97.1291971816414</v>
      </c>
    </row>
    <row r="150" customFormat="false" ht="15" hidden="false" customHeight="false" outlineLevel="0" collapsed="false">
      <c r="A150" s="43" t="n">
        <v>147</v>
      </c>
      <c r="B150" s="45" t="n">
        <f aca="false">SUM('Activation Detail'!C150,'Activation Detail'!C650,'Activation Detail'!C1150,'Activation Detail'!C1650,'Activation Detail'!C2150,'Activation Detail'!C2650,'Activation Detail'!C3150,'Activation Detail'!C3650)</f>
        <v>4142566</v>
      </c>
      <c r="C150" s="45" t="n">
        <f aca="false">SUM('Activation Detail'!E150,'Activation Detail'!E650,'Activation Detail'!E1150,'Activation Detail'!E1650,'Activation Detail'!E2150,'Activation Detail'!E2650,'Activation Detail'!E3150,'Activation Detail'!E3650)</f>
        <v>332392</v>
      </c>
      <c r="D150" s="45" t="n">
        <f aca="false">SUM('Activation Detail'!G150,'Activation Detail'!G650,'Activation Detail'!G1150,'Activation Detail'!G1650,'Activation Detail'!G2150,'Activation Detail'!G2650,'Activation Detail'!G3150,'Activation Detail'!G3650)</f>
        <v>16067</v>
      </c>
      <c r="E150" s="48" t="n">
        <f aca="false">SUM('Activation Detail'!H150,'Activation Detail'!H650,'Activation Detail'!H1150,'Activation Detail'!H1650,'Activation Detail'!H2150,'Activation Detail'!H2650,'Activation Detail'!H3150,'Activation Detail'!H3650)</f>
        <v>700.888033060271</v>
      </c>
      <c r="F150" s="50" t="n">
        <f aca="false">SUM('Activation Detail'!I150,'Activation Detail'!I650,'Activation Detail'!I1150,'Activation Detail'!I1650,'Activation Detail'!I2150,'Activation Detail'!I2650,'Activation Detail'!I3150,'Activation Detail'!I3650)</f>
        <v>74365.204246</v>
      </c>
      <c r="G150" s="50" t="n">
        <f aca="false">SUM('Activation Detail'!J150,'Activation Detail'!J650,'Activation Detail'!J1150,'Activation Detail'!J1650,'Activation Detail'!J2150,'Activation Detail'!J2650,'Activation Detail'!J3150,'Activation Detail'!J3650)</f>
        <v>4465111.603168</v>
      </c>
      <c r="H150" s="50" t="n">
        <f aca="false">SUM('Activation Detail'!K150,'Activation Detail'!K650,'Activation Detail'!K1150,'Activation Detail'!K1650,'Activation Detail'!K2150,'Activation Detail'!K2650,'Activation Detail'!K3150,'Activation Detail'!K3650)</f>
        <v>96596.7663078591</v>
      </c>
      <c r="I150" s="51" t="n">
        <f aca="false">IFERROR(H150/F150,0)</f>
        <v>1.29895113295618</v>
      </c>
      <c r="J150" s="49" t="n">
        <f aca="false">IFERROR(F150/E150,0)</f>
        <v>106.101403845206</v>
      </c>
      <c r="K150" s="46" t="n">
        <f aca="false">IFERROR(C150/B150,0)</f>
        <v>0.0802381905321484</v>
      </c>
      <c r="L150" s="47" t="n">
        <f aca="false">IFERROR(D150/B150,0)</f>
        <v>0.00387851394522139</v>
      </c>
      <c r="N150" s="48" t="n">
        <f aca="false">SUMIFS('Activation Detail'!$H$4:$H$4003,'Activation Detail'!$A$4:$A$4003,$A150,'Activation Detail'!$N$4:$N$4003,N$2)</f>
        <v>103.35371173198</v>
      </c>
      <c r="O150" s="50" t="n">
        <f aca="false">N150*'Model Inputs &amp; Assumptions'!$D$40*'Model Inputs &amp; Assumptions'!$H$40</f>
        <v>878506.54972183</v>
      </c>
      <c r="P150" s="50" t="n">
        <f aca="false">N150*'Model Inputs &amp; Assumptions'!$G$40*'Model Inputs &amp; Assumptions'!$H$40</f>
        <v>19766.3973687412</v>
      </c>
      <c r="Q150" s="50" t="n">
        <f aca="false">SUMIFS('Activation Detail'!$I$4:$I$4003,'Activation Detail'!$A$4:$A$4003,$A150,'Activation Detail'!$N$4:$N$4003,N$2)</f>
        <v>18148.7405</v>
      </c>
      <c r="R150" s="51" t="n">
        <f aca="false">IFERROR(P150/Q150,0)</f>
        <v>1.08913328551594</v>
      </c>
      <c r="S150" s="49" t="n">
        <f aca="false">IFERROR(Q150/N150,0)</f>
        <v>175.598342777121</v>
      </c>
      <c r="T150" s="48" t="n">
        <f aca="false">SUMIFS('Activation Detail'!$H$4:$H$4003,'Activation Detail'!$A$4:$A$4003,$A150,'Activation Detail'!$N$4:$N$4003,T$2)</f>
        <v>199.95539904078</v>
      </c>
      <c r="U150" s="50" t="n">
        <f aca="false">T150*'Model Inputs &amp; Assumptions'!$D$41*'Model Inputs &amp; Assumptions'!$H$41</f>
        <v>1439678.87309361</v>
      </c>
      <c r="V150" s="50" t="n">
        <f aca="false">T150*'Model Inputs &amp; Assumptions'!$G$41*'Model Inputs &amp; Assumptions'!$H$41</f>
        <v>31744.9191517142</v>
      </c>
      <c r="W150" s="50" t="n">
        <f aca="false">SUMIFS('Activation Detail'!$I$4:$I$4003,'Activation Detail'!$A$4:$A$4003,$A150,'Activation Detail'!$N$4:$N$4003,T$2)</f>
        <v>17191.067746</v>
      </c>
      <c r="X150" s="51" t="n">
        <f aca="false">IFERROR(V150/W150,0)</f>
        <v>1.8465938021273</v>
      </c>
      <c r="Y150" s="49" t="n">
        <f aca="false">IFERROR(W150/T150,0)</f>
        <v>85.9745114583978</v>
      </c>
      <c r="Z150" s="48" t="n">
        <f aca="false">SUMIFS('Activation Detail'!$H$4:$H$4003,'Activation Detail'!$A$4:$A$4003,$A150,'Activation Detail'!$N$4:$N$4003,Z$2)</f>
        <v>397.578922287511</v>
      </c>
      <c r="AA150" s="50" t="n">
        <f aca="false">Z150*'Model Inputs &amp; Assumptions'!$D$42*'Model Inputs &amp; Assumptions'!$H$42</f>
        <v>2146926.18035256</v>
      </c>
      <c r="AB150" s="50" t="n">
        <f aca="false">Z150*'Model Inputs &amp; Assumptions'!$G$42*'Model Inputs &amp; Assumptions'!$H$42</f>
        <v>45085.4497874037</v>
      </c>
      <c r="AC150" s="50" t="n">
        <f aca="false">SUMIFS('Activation Detail'!$I$4:$I$4003,'Activation Detail'!$A$4:$A$4003,$A150,'Activation Detail'!$N$4:$N$4003,Z$2)</f>
        <v>39025.396</v>
      </c>
      <c r="AD150" s="51" t="n">
        <f aca="false">IFERROR(AB150/AC150,0)</f>
        <v>1.15528487622275</v>
      </c>
      <c r="AE150" s="49" t="n">
        <f aca="false">IFERROR(AC150/Z150,0)</f>
        <v>98.157607992555</v>
      </c>
    </row>
    <row r="151" customFormat="false" ht="15" hidden="false" customHeight="false" outlineLevel="0" collapsed="false">
      <c r="A151" s="43" t="n">
        <v>148</v>
      </c>
      <c r="B151" s="45" t="n">
        <f aca="false">SUM('Activation Detail'!C151,'Activation Detail'!C651,'Activation Detail'!C1151,'Activation Detail'!C1651,'Activation Detail'!C2151,'Activation Detail'!C2651,'Activation Detail'!C3151,'Activation Detail'!C3651)</f>
        <v>3938930</v>
      </c>
      <c r="C151" s="45" t="n">
        <f aca="false">SUM('Activation Detail'!E151,'Activation Detail'!E651,'Activation Detail'!E1151,'Activation Detail'!E1651,'Activation Detail'!E2151,'Activation Detail'!E2651,'Activation Detail'!E3151,'Activation Detail'!E3651)</f>
        <v>668181</v>
      </c>
      <c r="D151" s="45" t="n">
        <f aca="false">SUM('Activation Detail'!G151,'Activation Detail'!G651,'Activation Detail'!G1151,'Activation Detail'!G1651,'Activation Detail'!G2151,'Activation Detail'!G2651,'Activation Detail'!G3151,'Activation Detail'!G3651)</f>
        <v>15083</v>
      </c>
      <c r="E151" s="48" t="n">
        <f aca="false">SUM('Activation Detail'!H151,'Activation Detail'!H651,'Activation Detail'!H1151,'Activation Detail'!H1651,'Activation Detail'!H2151,'Activation Detail'!H2651,'Activation Detail'!H3151,'Activation Detail'!H3651)</f>
        <v>705.212205687141</v>
      </c>
      <c r="F151" s="50" t="n">
        <f aca="false">SUM('Activation Detail'!I151,'Activation Detail'!I651,'Activation Detail'!I1151,'Activation Detail'!I1651,'Activation Detail'!I2151,'Activation Detail'!I2651,'Activation Detail'!I3151,'Activation Detail'!I3651)</f>
        <v>76068.897686</v>
      </c>
      <c r="G151" s="50" t="n">
        <f aca="false">SUM('Activation Detail'!J151,'Activation Detail'!J651,'Activation Detail'!J1151,'Activation Detail'!J1651,'Activation Detail'!J2151,'Activation Detail'!J2651,'Activation Detail'!J3151,'Activation Detail'!J3651)</f>
        <v>4519237.12494955</v>
      </c>
      <c r="H151" s="50" t="n">
        <f aca="false">SUM('Activation Detail'!K151,'Activation Detail'!K651,'Activation Detail'!K1151,'Activation Detail'!K1651,'Activation Detail'!K2151,'Activation Detail'!K2651,'Activation Detail'!K3151,'Activation Detail'!K3651)</f>
        <v>97863.4626577473</v>
      </c>
      <c r="I151" s="51" t="n">
        <f aca="false">IFERROR(H151/F151,0)</f>
        <v>1.28651085574701</v>
      </c>
      <c r="J151" s="49" t="n">
        <f aca="false">IFERROR(F151/E151,0)</f>
        <v>107.866677678785</v>
      </c>
      <c r="K151" s="46" t="n">
        <f aca="false">IFERROR(C151/B151,0)</f>
        <v>0.16963515472476</v>
      </c>
      <c r="L151" s="47" t="n">
        <f aca="false">IFERROR(D151/B151,0)</f>
        <v>0.00382921250187234</v>
      </c>
      <c r="N151" s="48" t="n">
        <f aca="false">SUMIFS('Activation Detail'!$H$4:$H$4003,'Activation Detail'!$A$4:$A$4003,$A151,'Activation Detail'!$N$4:$N$4003,N$2)</f>
        <v>100.370614803454</v>
      </c>
      <c r="O151" s="50" t="n">
        <f aca="false">N151*'Model Inputs &amp; Assumptions'!$D$40*'Model Inputs &amp; Assumptions'!$H$40</f>
        <v>853150.225829358</v>
      </c>
      <c r="P151" s="50" t="n">
        <f aca="false">N151*'Model Inputs &amp; Assumptions'!$G$40*'Model Inputs &amp; Assumptions'!$H$40</f>
        <v>19195.8800811606</v>
      </c>
      <c r="Q151" s="50" t="n">
        <f aca="false">SUMIFS('Activation Detail'!$I$4:$I$4003,'Activation Detail'!$A$4:$A$4003,$A151,'Activation Detail'!$N$4:$N$4003,N$2)</f>
        <v>17799.8465</v>
      </c>
      <c r="R151" s="51" t="n">
        <f aca="false">IFERROR(P151/Q151,0)</f>
        <v>1.07842952921872</v>
      </c>
      <c r="S151" s="49" t="n">
        <f aca="false">IFERROR(Q151/N151,0)</f>
        <v>177.341212214907</v>
      </c>
      <c r="T151" s="48" t="n">
        <f aca="false">SUMIFS('Activation Detail'!$H$4:$H$4003,'Activation Detail'!$A$4:$A$4003,$A151,'Activation Detail'!$N$4:$N$4003,T$2)</f>
        <v>222.190171304601</v>
      </c>
      <c r="U151" s="50" t="n">
        <f aca="false">T151*'Model Inputs &amp; Assumptions'!$D$41*'Model Inputs &amp; Assumptions'!$H$41</f>
        <v>1599769.23339313</v>
      </c>
      <c r="V151" s="50" t="n">
        <f aca="false">T151*'Model Inputs &amp; Assumptions'!$G$41*'Model Inputs &amp; Assumptions'!$H$41</f>
        <v>35274.9115963184</v>
      </c>
      <c r="W151" s="50" t="n">
        <f aca="false">SUMIFS('Activation Detail'!$I$4:$I$4003,'Activation Detail'!$A$4:$A$4003,$A151,'Activation Detail'!$N$4:$N$4003,T$2)</f>
        <v>22928.531186</v>
      </c>
      <c r="X151" s="51" t="n">
        <f aca="false">IFERROR(V151/W151,0)</f>
        <v>1.53847236485244</v>
      </c>
      <c r="Y151" s="49" t="n">
        <f aca="false">IFERROR(W151/T151,0)</f>
        <v>103.193273813031</v>
      </c>
      <c r="Z151" s="48" t="n">
        <f aca="false">SUMIFS('Activation Detail'!$H$4:$H$4003,'Activation Detail'!$A$4:$A$4003,$A151,'Activation Detail'!$N$4:$N$4003,Z$2)</f>
        <v>382.651419579086</v>
      </c>
      <c r="AA151" s="50" t="n">
        <f aca="false">Z151*'Model Inputs &amp; Assumptions'!$D$42*'Model Inputs &amp; Assumptions'!$H$42</f>
        <v>2066317.66572706</v>
      </c>
      <c r="AB151" s="50" t="n">
        <f aca="false">Z151*'Model Inputs &amp; Assumptions'!$G$42*'Model Inputs &amp; Assumptions'!$H$42</f>
        <v>43392.6709802683</v>
      </c>
      <c r="AC151" s="50" t="n">
        <f aca="false">SUMIFS('Activation Detail'!$I$4:$I$4003,'Activation Detail'!$A$4:$A$4003,$A151,'Activation Detail'!$N$4:$N$4003,Z$2)</f>
        <v>35340.52</v>
      </c>
      <c r="AD151" s="51" t="n">
        <f aca="false">IFERROR(AB151/AC151,0)</f>
        <v>1.22784472272248</v>
      </c>
      <c r="AE151" s="49" t="n">
        <f aca="false">IFERROR(AC151/Z151,0)</f>
        <v>92.3569551600628</v>
      </c>
    </row>
    <row r="152" customFormat="false" ht="15" hidden="false" customHeight="false" outlineLevel="0" collapsed="false">
      <c r="A152" s="43" t="n">
        <v>149</v>
      </c>
      <c r="B152" s="45" t="n">
        <f aca="false">SUM('Activation Detail'!C152,'Activation Detail'!C652,'Activation Detail'!C1152,'Activation Detail'!C1652,'Activation Detail'!C2152,'Activation Detail'!C2652,'Activation Detail'!C3152,'Activation Detail'!C3652)</f>
        <v>4024492</v>
      </c>
      <c r="C152" s="45" t="n">
        <f aca="false">SUM('Activation Detail'!E152,'Activation Detail'!E652,'Activation Detail'!E1152,'Activation Detail'!E1652,'Activation Detail'!E2152,'Activation Detail'!E2652,'Activation Detail'!E3152,'Activation Detail'!E3652)</f>
        <v>534254</v>
      </c>
      <c r="D152" s="45" t="n">
        <f aca="false">SUM('Activation Detail'!G152,'Activation Detail'!G652,'Activation Detail'!G1152,'Activation Detail'!G1652,'Activation Detail'!G2152,'Activation Detail'!G2652,'Activation Detail'!G3152,'Activation Detail'!G3652)</f>
        <v>16952</v>
      </c>
      <c r="E152" s="48" t="n">
        <f aca="false">SUM('Activation Detail'!H152,'Activation Detail'!H652,'Activation Detail'!H1152,'Activation Detail'!H1652,'Activation Detail'!H2152,'Activation Detail'!H2652,'Activation Detail'!H3152,'Activation Detail'!H3652)</f>
        <v>730.455758874034</v>
      </c>
      <c r="F152" s="50" t="n">
        <f aca="false">SUM('Activation Detail'!I152,'Activation Detail'!I652,'Activation Detail'!I1152,'Activation Detail'!I1652,'Activation Detail'!I2152,'Activation Detail'!I2652,'Activation Detail'!I3152,'Activation Detail'!I3652)</f>
        <v>75237.388012</v>
      </c>
      <c r="G152" s="50" t="n">
        <f aca="false">SUM('Activation Detail'!J152,'Activation Detail'!J652,'Activation Detail'!J1152,'Activation Detail'!J1652,'Activation Detail'!J2152,'Activation Detail'!J2652,'Activation Detail'!J3152,'Activation Detail'!J3652)</f>
        <v>4492915.66883218</v>
      </c>
      <c r="H152" s="50" t="n">
        <f aca="false">SUM('Activation Detail'!K152,'Activation Detail'!K652,'Activation Detail'!K1152,'Activation Detail'!K1652,'Activation Detail'!K2152,'Activation Detail'!K2652,'Activation Detail'!K3152,'Activation Detail'!K3652)</f>
        <v>96630.4852551863</v>
      </c>
      <c r="I152" s="51" t="n">
        <f aca="false">IFERROR(H152/F152,0)</f>
        <v>1.28434130700782</v>
      </c>
      <c r="J152" s="49" t="n">
        <f aca="false">IFERROR(F152/E152,0)</f>
        <v>103.000609000571</v>
      </c>
      <c r="K152" s="46" t="n">
        <f aca="false">IFERROR(C152/B152,0)</f>
        <v>0.132750667661906</v>
      </c>
      <c r="L152" s="47" t="n">
        <f aca="false">IFERROR(D152/B152,0)</f>
        <v>0.00421220864645774</v>
      </c>
      <c r="N152" s="48" t="n">
        <f aca="false">SUMIFS('Activation Detail'!$H$4:$H$4003,'Activation Detail'!$A$4:$A$4003,$A152,'Activation Detail'!$N$4:$N$4003,N$2)</f>
        <v>89.8258819314578</v>
      </c>
      <c r="O152" s="50" t="n">
        <f aca="false">N152*'Model Inputs &amp; Assumptions'!$D$40*'Model Inputs &amp; Assumptions'!$H$40</f>
        <v>763519.996417392</v>
      </c>
      <c r="P152" s="50" t="n">
        <f aca="false">N152*'Model Inputs &amp; Assumptions'!$G$40*'Model Inputs &amp; Assumptions'!$H$40</f>
        <v>17179.1999193913</v>
      </c>
      <c r="Q152" s="50" t="n">
        <f aca="false">SUMIFS('Activation Detail'!$I$4:$I$4003,'Activation Detail'!$A$4:$A$4003,$A152,'Activation Detail'!$N$4:$N$4003,N$2)</f>
        <v>17482.978</v>
      </c>
      <c r="R152" s="51" t="n">
        <f aca="false">IFERROR(P152/Q152,0)</f>
        <v>0.982624351491566</v>
      </c>
      <c r="S152" s="49" t="n">
        <f aca="false">IFERROR(Q152/N152,0)</f>
        <v>194.631854695738</v>
      </c>
      <c r="T152" s="48" t="n">
        <f aca="false">SUMIFS('Activation Detail'!$H$4:$H$4003,'Activation Detail'!$A$4:$A$4003,$A152,'Activation Detail'!$N$4:$N$4003,T$2)</f>
        <v>149.996853847154</v>
      </c>
      <c r="U152" s="50" t="n">
        <f aca="false">T152*'Model Inputs &amp; Assumptions'!$D$41*'Model Inputs &amp; Assumptions'!$H$41</f>
        <v>1079977.34769951</v>
      </c>
      <c r="V152" s="50" t="n">
        <f aca="false">T152*'Model Inputs &amp; Assumptions'!$G$41*'Model Inputs &amp; Assumptions'!$H$41</f>
        <v>23813.5005167741</v>
      </c>
      <c r="W152" s="50" t="n">
        <f aca="false">SUMIFS('Activation Detail'!$I$4:$I$4003,'Activation Detail'!$A$4:$A$4003,$A152,'Activation Detail'!$N$4:$N$4003,T$2)</f>
        <v>19977.422012</v>
      </c>
      <c r="X152" s="51" t="n">
        <f aca="false">IFERROR(V152/W152,0)</f>
        <v>1.19202069728866</v>
      </c>
      <c r="Y152" s="49" t="n">
        <f aca="false">IFERROR(W152/T152,0)</f>
        <v>133.185606895175</v>
      </c>
      <c r="Z152" s="48" t="n">
        <f aca="false">SUMIFS('Activation Detail'!$H$4:$H$4003,'Activation Detail'!$A$4:$A$4003,$A152,'Activation Detail'!$N$4:$N$4003,Z$2)</f>
        <v>490.633023095422</v>
      </c>
      <c r="AA152" s="50" t="n">
        <f aca="false">Z152*'Model Inputs &amp; Assumptions'!$D$42*'Model Inputs &amp; Assumptions'!$H$42</f>
        <v>2649418.32471528</v>
      </c>
      <c r="AB152" s="50" t="n">
        <f aca="false">Z152*'Model Inputs &amp; Assumptions'!$G$42*'Model Inputs &amp; Assumptions'!$H$42</f>
        <v>55637.7848190209</v>
      </c>
      <c r="AC152" s="50" t="n">
        <f aca="false">SUMIFS('Activation Detail'!$I$4:$I$4003,'Activation Detail'!$A$4:$A$4003,$A152,'Activation Detail'!$N$4:$N$4003,Z$2)</f>
        <v>37776.988</v>
      </c>
      <c r="AD152" s="51" t="n">
        <f aca="false">IFERROR(AB152/AC152,0)</f>
        <v>1.47279568236146</v>
      </c>
      <c r="AE152" s="49" t="n">
        <f aca="false">IFERROR(AC152/Z152,0)</f>
        <v>76.9964234401989</v>
      </c>
    </row>
    <row r="153" customFormat="false" ht="15" hidden="false" customHeight="false" outlineLevel="0" collapsed="false">
      <c r="A153" s="43" t="n">
        <v>150</v>
      </c>
      <c r="B153" s="45" t="n">
        <f aca="false">SUM('Activation Detail'!C153,'Activation Detail'!C653,'Activation Detail'!C1153,'Activation Detail'!C1653,'Activation Detail'!C2153,'Activation Detail'!C2653,'Activation Detail'!C3153,'Activation Detail'!C3653)</f>
        <v>3860824</v>
      </c>
      <c r="C153" s="45" t="n">
        <f aca="false">SUM('Activation Detail'!E153,'Activation Detail'!E653,'Activation Detail'!E1153,'Activation Detail'!E1653,'Activation Detail'!E2153,'Activation Detail'!E2653,'Activation Detail'!E3153,'Activation Detail'!E3653)</f>
        <v>291860</v>
      </c>
      <c r="D153" s="45" t="n">
        <f aca="false">SUM('Activation Detail'!G153,'Activation Detail'!G653,'Activation Detail'!G1153,'Activation Detail'!G1653,'Activation Detail'!G2153,'Activation Detail'!G2653,'Activation Detail'!G3153,'Activation Detail'!G3653)</f>
        <v>13950</v>
      </c>
      <c r="E153" s="48" t="n">
        <f aca="false">SUM('Activation Detail'!H153,'Activation Detail'!H653,'Activation Detail'!H1153,'Activation Detail'!H1653,'Activation Detail'!H2153,'Activation Detail'!H2653,'Activation Detail'!H3153,'Activation Detail'!H3653)</f>
        <v>509.118707248922</v>
      </c>
      <c r="F153" s="50" t="n">
        <f aca="false">SUM('Activation Detail'!I153,'Activation Detail'!I653,'Activation Detail'!I1153,'Activation Detail'!I1653,'Activation Detail'!I2153,'Activation Detail'!I2653,'Activation Detail'!I3153,'Activation Detail'!I3653)</f>
        <v>74210.012012</v>
      </c>
      <c r="G153" s="50" t="n">
        <f aca="false">SUM('Activation Detail'!J153,'Activation Detail'!J653,'Activation Detail'!J1153,'Activation Detail'!J1653,'Activation Detail'!J2153,'Activation Detail'!J2653,'Activation Detail'!J3153,'Activation Detail'!J3653)</f>
        <v>3238953.24909095</v>
      </c>
      <c r="H153" s="50" t="n">
        <f aca="false">SUM('Activation Detail'!K153,'Activation Detail'!K653,'Activation Detail'!K1153,'Activation Detail'!K1653,'Activation Detail'!K2153,'Activation Detail'!K2653,'Activation Detail'!K3153,'Activation Detail'!K3653)</f>
        <v>70044.5208069109</v>
      </c>
      <c r="I153" s="51" t="n">
        <f aca="false">IFERROR(H153/F153,0)</f>
        <v>0.943868878441691</v>
      </c>
      <c r="J153" s="49" t="n">
        <f aca="false">IFERROR(F153/E153,0)</f>
        <v>145.76170734916</v>
      </c>
      <c r="K153" s="46" t="n">
        <f aca="false">IFERROR(C153/B153,0)</f>
        <v>0.0755952615296631</v>
      </c>
      <c r="L153" s="47" t="n">
        <f aca="false">IFERROR(D153/B153,0)</f>
        <v>0.00361321831816213</v>
      </c>
      <c r="N153" s="48" t="n">
        <f aca="false">SUMIFS('Activation Detail'!$H$4:$H$4003,'Activation Detail'!$A$4:$A$4003,$A153,'Activation Detail'!$N$4:$N$4003,N$2)</f>
        <v>112.180702871985</v>
      </c>
      <c r="O153" s="50" t="n">
        <f aca="false">N153*'Model Inputs &amp; Assumptions'!$D$40*'Model Inputs &amp; Assumptions'!$H$40</f>
        <v>953535.974411875</v>
      </c>
      <c r="P153" s="50" t="n">
        <f aca="false">N153*'Model Inputs &amp; Assumptions'!$G$40*'Model Inputs &amp; Assumptions'!$H$40</f>
        <v>21454.5594242672</v>
      </c>
      <c r="Q153" s="50" t="n">
        <f aca="false">SUMIFS('Activation Detail'!$I$4:$I$4003,'Activation Detail'!$A$4:$A$4003,$A153,'Activation Detail'!$N$4:$N$4003,N$2)</f>
        <v>17904.165</v>
      </c>
      <c r="R153" s="51" t="n">
        <f aca="false">IFERROR(P153/Q153,0)</f>
        <v>1.19829991648687</v>
      </c>
      <c r="S153" s="49" t="n">
        <f aca="false">IFERROR(Q153/N153,0)</f>
        <v>159.601112683625</v>
      </c>
      <c r="T153" s="48" t="n">
        <f aca="false">SUMIFS('Activation Detail'!$H$4:$H$4003,'Activation Detail'!$A$4:$A$4003,$A153,'Activation Detail'!$N$4:$N$4003,T$2)</f>
        <v>78.8622505797851</v>
      </c>
      <c r="U153" s="50" t="n">
        <f aca="false">T153*'Model Inputs &amp; Assumptions'!$D$41*'Model Inputs &amp; Assumptions'!$H$41</f>
        <v>567808.204174453</v>
      </c>
      <c r="V153" s="50" t="n">
        <f aca="false">T153*'Model Inputs &amp; Assumptions'!$G$41*'Model Inputs &amp; Assumptions'!$H$41</f>
        <v>12520.1709020467</v>
      </c>
      <c r="W153" s="50" t="n">
        <f aca="false">SUMIFS('Activation Detail'!$I$4:$I$4003,'Activation Detail'!$A$4:$A$4003,$A153,'Activation Detail'!$N$4:$N$4003,T$2)</f>
        <v>14824.699012</v>
      </c>
      <c r="X153" s="51" t="n">
        <f aca="false">IFERROR(V153/W153,0)</f>
        <v>0.844548067513013</v>
      </c>
      <c r="Y153" s="49" t="n">
        <f aca="false">IFERROR(W153/T153,0)</f>
        <v>187.982195575332</v>
      </c>
      <c r="Z153" s="48" t="n">
        <f aca="false">SUMIFS('Activation Detail'!$H$4:$H$4003,'Activation Detail'!$A$4:$A$4003,$A153,'Activation Detail'!$N$4:$N$4003,Z$2)</f>
        <v>318.075753797152</v>
      </c>
      <c r="AA153" s="50" t="n">
        <f aca="false">Z153*'Model Inputs &amp; Assumptions'!$D$42*'Model Inputs &amp; Assumptions'!$H$42</f>
        <v>1717609.07050462</v>
      </c>
      <c r="AB153" s="50" t="n">
        <f aca="false">Z153*'Model Inputs &amp; Assumptions'!$G$42*'Model Inputs &amp; Assumptions'!$H$42</f>
        <v>36069.790480597</v>
      </c>
      <c r="AC153" s="50" t="n">
        <f aca="false">SUMIFS('Activation Detail'!$I$4:$I$4003,'Activation Detail'!$A$4:$A$4003,$A153,'Activation Detail'!$N$4:$N$4003,Z$2)</f>
        <v>41481.148</v>
      </c>
      <c r="AD153" s="51" t="n">
        <f aca="false">IFERROR(AB153/AC153,0)</f>
        <v>0.869546582476382</v>
      </c>
      <c r="AE153" s="49" t="n">
        <f aca="false">IFERROR(AC153/Z153,0)</f>
        <v>130.412794766036</v>
      </c>
    </row>
    <row r="154" customFormat="false" ht="15" hidden="false" customHeight="false" outlineLevel="0" collapsed="false">
      <c r="A154" s="43" t="n">
        <v>151</v>
      </c>
      <c r="B154" s="45" t="n">
        <f aca="false">SUM('Activation Detail'!C154,'Activation Detail'!C654,'Activation Detail'!C1154,'Activation Detail'!C1654,'Activation Detail'!C2154,'Activation Detail'!C2654,'Activation Detail'!C3154,'Activation Detail'!C3654)</f>
        <v>4355099</v>
      </c>
      <c r="C154" s="45" t="n">
        <f aca="false">SUM('Activation Detail'!E154,'Activation Detail'!E654,'Activation Detail'!E1154,'Activation Detail'!E1654,'Activation Detail'!E2154,'Activation Detail'!E2654,'Activation Detail'!E3154,'Activation Detail'!E3654)</f>
        <v>404385</v>
      </c>
      <c r="D154" s="45" t="n">
        <f aca="false">SUM('Activation Detail'!G154,'Activation Detail'!G654,'Activation Detail'!G1154,'Activation Detail'!G1654,'Activation Detail'!G2154,'Activation Detail'!G2654,'Activation Detail'!G3154,'Activation Detail'!G3654)</f>
        <v>15303</v>
      </c>
      <c r="E154" s="48" t="n">
        <f aca="false">SUM('Activation Detail'!H154,'Activation Detail'!H654,'Activation Detail'!H1154,'Activation Detail'!H1654,'Activation Detail'!H2154,'Activation Detail'!H2654,'Activation Detail'!H3154,'Activation Detail'!H3654)</f>
        <v>579.305141675663</v>
      </c>
      <c r="F154" s="50" t="n">
        <f aca="false">SUM('Activation Detail'!I154,'Activation Detail'!I654,'Activation Detail'!I1154,'Activation Detail'!I1654,'Activation Detail'!I2154,'Activation Detail'!I2654,'Activation Detail'!I3154,'Activation Detail'!I3654)</f>
        <v>78144.813252</v>
      </c>
      <c r="G154" s="50" t="n">
        <f aca="false">SUM('Activation Detail'!J154,'Activation Detail'!J654,'Activation Detail'!J1154,'Activation Detail'!J1654,'Activation Detail'!J2154,'Activation Detail'!J2654,'Activation Detail'!J3154,'Activation Detail'!J3654)</f>
        <v>3691512.74086344</v>
      </c>
      <c r="H154" s="50" t="n">
        <f aca="false">SUM('Activation Detail'!K154,'Activation Detail'!K654,'Activation Detail'!K1154,'Activation Detail'!K1654,'Activation Detail'!K2154,'Activation Detail'!K2654,'Activation Detail'!K3154,'Activation Detail'!K3654)</f>
        <v>79862.32667593</v>
      </c>
      <c r="I154" s="51" t="n">
        <f aca="false">IFERROR(H154/F154,0)</f>
        <v>1.02197859784233</v>
      </c>
      <c r="J154" s="49" t="n">
        <f aca="false">IFERROR(F154/E154,0)</f>
        <v>134.894043967853</v>
      </c>
      <c r="K154" s="46" t="n">
        <f aca="false">IFERROR(C154/B154,0)</f>
        <v>0.0928532279059558</v>
      </c>
      <c r="L154" s="47" t="n">
        <f aca="false">IFERROR(D154/B154,0)</f>
        <v>0.00351381220036559</v>
      </c>
      <c r="N154" s="48" t="n">
        <f aca="false">SUMIFS('Activation Detail'!$H$4:$H$4003,'Activation Detail'!$A$4:$A$4003,$A154,'Activation Detail'!$N$4:$N$4003,N$2)</f>
        <v>93.1621504620845</v>
      </c>
      <c r="O154" s="50" t="n">
        <f aca="false">N154*'Model Inputs &amp; Assumptions'!$D$40*'Model Inputs &amp; Assumptions'!$H$40</f>
        <v>791878.278927719</v>
      </c>
      <c r="P154" s="50" t="n">
        <f aca="false">N154*'Model Inputs &amp; Assumptions'!$G$40*'Model Inputs &amp; Assumptions'!$H$40</f>
        <v>17817.2612758737</v>
      </c>
      <c r="Q154" s="50" t="n">
        <f aca="false">SUMIFS('Activation Detail'!$I$4:$I$4003,'Activation Detail'!$A$4:$A$4003,$A154,'Activation Detail'!$N$4:$N$4003,N$2)</f>
        <v>17670.958</v>
      </c>
      <c r="R154" s="51" t="n">
        <f aca="false">IFERROR(P154/Q154,0)</f>
        <v>1.00827930641189</v>
      </c>
      <c r="S154" s="49" t="n">
        <f aca="false">IFERROR(Q154/N154,0)</f>
        <v>189.679584599024</v>
      </c>
      <c r="T154" s="48" t="n">
        <f aca="false">SUMIFS('Activation Detail'!$H$4:$H$4003,'Activation Detail'!$A$4:$A$4003,$A154,'Activation Detail'!$N$4:$N$4003,T$2)</f>
        <v>152.479060768001</v>
      </c>
      <c r="U154" s="50" t="n">
        <f aca="false">T154*'Model Inputs &amp; Assumptions'!$D$41*'Model Inputs &amp; Assumptions'!$H$41</f>
        <v>1097849.23752961</v>
      </c>
      <c r="V154" s="50" t="n">
        <f aca="false">T154*'Model Inputs &amp; Assumptions'!$G$41*'Model Inputs &amp; Assumptions'!$H$41</f>
        <v>24207.5756875278</v>
      </c>
      <c r="W154" s="50" t="n">
        <f aca="false">SUMIFS('Activation Detail'!$I$4:$I$4003,'Activation Detail'!$A$4:$A$4003,$A154,'Activation Detail'!$N$4:$N$4003,T$2)</f>
        <v>17878.243252</v>
      </c>
      <c r="X154" s="51" t="n">
        <f aca="false">IFERROR(V154/W154,0)</f>
        <v>1.35402429345622</v>
      </c>
      <c r="Y154" s="49" t="n">
        <f aca="false">IFERROR(W154/T154,0)</f>
        <v>117.250481226416</v>
      </c>
      <c r="Z154" s="48" t="n">
        <f aca="false">SUMIFS('Activation Detail'!$H$4:$H$4003,'Activation Detail'!$A$4:$A$4003,$A154,'Activation Detail'!$N$4:$N$4003,Z$2)</f>
        <v>333.663930445578</v>
      </c>
      <c r="AA154" s="50" t="n">
        <f aca="false">Z154*'Model Inputs &amp; Assumptions'!$D$42*'Model Inputs &amp; Assumptions'!$H$42</f>
        <v>1801785.22440612</v>
      </c>
      <c r="AB154" s="50" t="n">
        <f aca="false">Z154*'Model Inputs &amp; Assumptions'!$G$42*'Model Inputs &amp; Assumptions'!$H$42</f>
        <v>37837.4897125285</v>
      </c>
      <c r="AC154" s="50" t="n">
        <f aca="false">SUMIFS('Activation Detail'!$I$4:$I$4003,'Activation Detail'!$A$4:$A$4003,$A154,'Activation Detail'!$N$4:$N$4003,Z$2)</f>
        <v>42595.612</v>
      </c>
      <c r="AD154" s="51" t="n">
        <f aca="false">IFERROR(AB154/AC154,0)</f>
        <v>0.888295482467267</v>
      </c>
      <c r="AE154" s="49" t="n">
        <f aca="false">IFERROR(AC154/Z154,0)</f>
        <v>127.660223696093</v>
      </c>
    </row>
    <row r="155" customFormat="false" ht="15" hidden="false" customHeight="false" outlineLevel="0" collapsed="false">
      <c r="A155" s="43" t="n">
        <v>152</v>
      </c>
      <c r="B155" s="45" t="n">
        <f aca="false">SUM('Activation Detail'!C155,'Activation Detail'!C655,'Activation Detail'!C1155,'Activation Detail'!C1655,'Activation Detail'!C2155,'Activation Detail'!C2655,'Activation Detail'!C3155,'Activation Detail'!C3655)</f>
        <v>3885021</v>
      </c>
      <c r="C155" s="45" t="n">
        <f aca="false">SUM('Activation Detail'!E155,'Activation Detail'!E655,'Activation Detail'!E1155,'Activation Detail'!E1655,'Activation Detail'!E2155,'Activation Detail'!E2655,'Activation Detail'!E3155,'Activation Detail'!E3655)</f>
        <v>443603</v>
      </c>
      <c r="D155" s="45" t="n">
        <f aca="false">SUM('Activation Detail'!G155,'Activation Detail'!G655,'Activation Detail'!G1155,'Activation Detail'!G1655,'Activation Detail'!G2155,'Activation Detail'!G2655,'Activation Detail'!G3155,'Activation Detail'!G3655)</f>
        <v>14847</v>
      </c>
      <c r="E155" s="48" t="n">
        <f aca="false">SUM('Activation Detail'!H155,'Activation Detail'!H655,'Activation Detail'!H1155,'Activation Detail'!H1655,'Activation Detail'!H2155,'Activation Detail'!H2655,'Activation Detail'!H3155,'Activation Detail'!H3655)</f>
        <v>651.765809904875</v>
      </c>
      <c r="F155" s="50" t="n">
        <f aca="false">SUM('Activation Detail'!I155,'Activation Detail'!I655,'Activation Detail'!I1155,'Activation Detail'!I1655,'Activation Detail'!I2155,'Activation Detail'!I2655,'Activation Detail'!I3155,'Activation Detail'!I3655)</f>
        <v>74708.27852</v>
      </c>
      <c r="G155" s="50" t="n">
        <f aca="false">SUM('Activation Detail'!J155,'Activation Detail'!J655,'Activation Detail'!J1155,'Activation Detail'!J1655,'Activation Detail'!J2155,'Activation Detail'!J2655,'Activation Detail'!J3155,'Activation Detail'!J3655)</f>
        <v>4497666.07684555</v>
      </c>
      <c r="H155" s="50" t="n">
        <f aca="false">SUM('Activation Detail'!K155,'Activation Detail'!K655,'Activation Detail'!K1155,'Activation Detail'!K1655,'Activation Detail'!K2155,'Activation Detail'!K2655,'Activation Detail'!K3155,'Activation Detail'!K3655)</f>
        <v>98506.5131134528</v>
      </c>
      <c r="I155" s="51" t="n">
        <f aca="false">IFERROR(H155/F155,0)</f>
        <v>1.3185488283883</v>
      </c>
      <c r="J155" s="49" t="n">
        <f aca="false">IFERROR(F155/E155,0)</f>
        <v>114.624420895756</v>
      </c>
      <c r="K155" s="46" t="n">
        <f aca="false">IFERROR(C155/B155,0)</f>
        <v>0.114182909178612</v>
      </c>
      <c r="L155" s="47" t="n">
        <f aca="false">IFERROR(D155/B155,0)</f>
        <v>0.00382160096431911</v>
      </c>
      <c r="N155" s="48" t="n">
        <f aca="false">SUMIFS('Activation Detail'!$H$4:$H$4003,'Activation Detail'!$A$4:$A$4003,$A155,'Activation Detail'!$N$4:$N$4003,N$2)</f>
        <v>194.90168300922</v>
      </c>
      <c r="O155" s="50" t="n">
        <f aca="false">N155*'Model Inputs &amp; Assumptions'!$D$40*'Model Inputs &amp; Assumptions'!$H$40</f>
        <v>1656664.30557837</v>
      </c>
      <c r="P155" s="50" t="n">
        <f aca="false">N155*'Model Inputs &amp; Assumptions'!$G$40*'Model Inputs &amp; Assumptions'!$H$40</f>
        <v>37274.9468755132</v>
      </c>
      <c r="Q155" s="50" t="n">
        <f aca="false">SUMIFS('Activation Detail'!$I$4:$I$4003,'Activation Detail'!$A$4:$A$4003,$A155,'Activation Detail'!$N$4:$N$4003,N$2)</f>
        <v>17853.699</v>
      </c>
      <c r="R155" s="51" t="n">
        <f aca="false">IFERROR(P155/Q155,0)</f>
        <v>2.08779966972185</v>
      </c>
      <c r="S155" s="49" t="n">
        <f aca="false">IFERROR(Q155/N155,0)</f>
        <v>91.6036163687487</v>
      </c>
      <c r="T155" s="48" t="n">
        <f aca="false">SUMIFS('Activation Detail'!$H$4:$H$4003,'Activation Detail'!$A$4:$A$4003,$A155,'Activation Detail'!$N$4:$N$4003,T$2)</f>
        <v>207.74193668369</v>
      </c>
      <c r="U155" s="50" t="n">
        <f aca="false">T155*'Model Inputs &amp; Assumptions'!$D$41*'Model Inputs &amp; Assumptions'!$H$41</f>
        <v>1495741.94412257</v>
      </c>
      <c r="V155" s="50" t="n">
        <f aca="false">T155*'Model Inputs &amp; Assumptions'!$G$41*'Model Inputs &amp; Assumptions'!$H$41</f>
        <v>32981.1098679026</v>
      </c>
      <c r="W155" s="50" t="n">
        <f aca="false">SUMIFS('Activation Detail'!$I$4:$I$4003,'Activation Detail'!$A$4:$A$4003,$A155,'Activation Detail'!$N$4:$N$4003,T$2)</f>
        <v>20945.57152</v>
      </c>
      <c r="X155" s="51" t="n">
        <f aca="false">IFERROR(V155/W155,0)</f>
        <v>1.57461016694677</v>
      </c>
      <c r="Y155" s="49" t="n">
        <f aca="false">IFERROR(W155/T155,0)</f>
        <v>100.824955492217</v>
      </c>
      <c r="Z155" s="48" t="n">
        <f aca="false">SUMIFS('Activation Detail'!$H$4:$H$4003,'Activation Detail'!$A$4:$A$4003,$A155,'Activation Detail'!$N$4:$N$4003,Z$2)</f>
        <v>249.122190211966</v>
      </c>
      <c r="AA155" s="50" t="n">
        <f aca="false">Z155*'Model Inputs &amp; Assumptions'!$D$42*'Model Inputs &amp; Assumptions'!$H$42</f>
        <v>1345259.82714462</v>
      </c>
      <c r="AB155" s="50" t="n">
        <f aca="false">Z155*'Model Inputs &amp; Assumptions'!$G$42*'Model Inputs &amp; Assumptions'!$H$42</f>
        <v>28250.4563700369</v>
      </c>
      <c r="AC155" s="50" t="n">
        <f aca="false">SUMIFS('Activation Detail'!$I$4:$I$4003,'Activation Detail'!$A$4:$A$4003,$A155,'Activation Detail'!$N$4:$N$4003,Z$2)</f>
        <v>35909.008</v>
      </c>
      <c r="AD155" s="51" t="n">
        <f aca="false">IFERROR(AB155/AC155,0)</f>
        <v>0.786723386233252</v>
      </c>
      <c r="AE155" s="49" t="n">
        <f aca="false">IFERROR(AC155/Z155,0)</f>
        <v>144.142149559005</v>
      </c>
    </row>
    <row r="156" customFormat="false" ht="15" hidden="false" customHeight="false" outlineLevel="0" collapsed="false">
      <c r="A156" s="43" t="n">
        <v>153</v>
      </c>
      <c r="B156" s="45" t="n">
        <f aca="false">SUM('Activation Detail'!C156,'Activation Detail'!C656,'Activation Detail'!C1156,'Activation Detail'!C1656,'Activation Detail'!C2156,'Activation Detail'!C2656,'Activation Detail'!C3156,'Activation Detail'!C3656)</f>
        <v>4684201</v>
      </c>
      <c r="C156" s="45" t="n">
        <f aca="false">SUM('Activation Detail'!E156,'Activation Detail'!E656,'Activation Detail'!E1156,'Activation Detail'!E1656,'Activation Detail'!E2156,'Activation Detail'!E2656,'Activation Detail'!E3156,'Activation Detail'!E3656)</f>
        <v>502276</v>
      </c>
      <c r="D156" s="45" t="n">
        <f aca="false">SUM('Activation Detail'!G156,'Activation Detail'!G656,'Activation Detail'!G1156,'Activation Detail'!G1656,'Activation Detail'!G2156,'Activation Detail'!G2656,'Activation Detail'!G3156,'Activation Detail'!G3656)</f>
        <v>18484</v>
      </c>
      <c r="E156" s="48" t="n">
        <f aca="false">SUM('Activation Detail'!H156,'Activation Detail'!H656,'Activation Detail'!H1156,'Activation Detail'!H1656,'Activation Detail'!H2156,'Activation Detail'!H2656,'Activation Detail'!H3156,'Activation Detail'!H3656)</f>
        <v>1014.9591463673</v>
      </c>
      <c r="F156" s="50" t="n">
        <f aca="false">SUM('Activation Detail'!I156,'Activation Detail'!I656,'Activation Detail'!I1156,'Activation Detail'!I1656,'Activation Detail'!I2156,'Activation Detail'!I2656,'Activation Detail'!I3156,'Activation Detail'!I3656)</f>
        <v>82862.961428</v>
      </c>
      <c r="G156" s="50" t="n">
        <f aca="false">SUM('Activation Detail'!J156,'Activation Detail'!J656,'Activation Detail'!J1156,'Activation Detail'!J1656,'Activation Detail'!J2156,'Activation Detail'!J2656,'Activation Detail'!J3156,'Activation Detail'!J3656)</f>
        <v>6165010.55137668</v>
      </c>
      <c r="H156" s="50" t="n">
        <f aca="false">SUM('Activation Detail'!K156,'Activation Detail'!K656,'Activation Detail'!K1156,'Activation Detail'!K1656,'Activation Detail'!K2156,'Activation Detail'!K2656,'Activation Detail'!K3156,'Activation Detail'!K3656)</f>
        <v>132312.363132196</v>
      </c>
      <c r="I156" s="51" t="n">
        <f aca="false">IFERROR(H156/F156,0)</f>
        <v>1.59676121697826</v>
      </c>
      <c r="J156" s="49" t="n">
        <f aca="false">IFERROR(F156/E156,0)</f>
        <v>81.6416717112007</v>
      </c>
      <c r="K156" s="46" t="n">
        <f aca="false">IFERROR(C156/B156,0)</f>
        <v>0.107227678743931</v>
      </c>
      <c r="L156" s="47" t="n">
        <f aca="false">IFERROR(D156/B156,0)</f>
        <v>0.00394603049698337</v>
      </c>
      <c r="N156" s="48" t="n">
        <f aca="false">SUMIFS('Activation Detail'!$H$4:$H$4003,'Activation Detail'!$A$4:$A$4003,$A156,'Activation Detail'!$N$4:$N$4003,N$2)</f>
        <v>98.6271218010474</v>
      </c>
      <c r="O156" s="50" t="n">
        <f aca="false">N156*'Model Inputs &amp; Assumptions'!$D$40*'Model Inputs &amp; Assumptions'!$H$40</f>
        <v>838330.535308903</v>
      </c>
      <c r="P156" s="50" t="n">
        <f aca="false">N156*'Model Inputs &amp; Assumptions'!$G$40*'Model Inputs &amp; Assumptions'!$H$40</f>
        <v>18862.4370444503</v>
      </c>
      <c r="Q156" s="50" t="n">
        <f aca="false">SUMIFS('Activation Detail'!$I$4:$I$4003,'Activation Detail'!$A$4:$A$4003,$A156,'Activation Detail'!$N$4:$N$4003,N$2)</f>
        <v>18680.4405</v>
      </c>
      <c r="R156" s="51" t="n">
        <f aca="false">IFERROR(P156/Q156,0)</f>
        <v>1.00974262595415</v>
      </c>
      <c r="S156" s="49" t="n">
        <f aca="false">IFERROR(Q156/N156,0)</f>
        <v>189.404700845702</v>
      </c>
      <c r="T156" s="48" t="n">
        <f aca="false">SUMIFS('Activation Detail'!$H$4:$H$4003,'Activation Detail'!$A$4:$A$4003,$A156,'Activation Detail'!$N$4:$N$4003,T$2)</f>
        <v>210.270601894436</v>
      </c>
      <c r="U156" s="50" t="n">
        <f aca="false">T156*'Model Inputs &amp; Assumptions'!$D$41*'Model Inputs &amp; Assumptions'!$H$41</f>
        <v>1513948.33363994</v>
      </c>
      <c r="V156" s="50" t="n">
        <f aca="false">T156*'Model Inputs &amp; Assumptions'!$G$41*'Model Inputs &amp; Assumptions'!$H$41</f>
        <v>33382.5607567607</v>
      </c>
      <c r="W156" s="50" t="n">
        <f aca="false">SUMIFS('Activation Detail'!$I$4:$I$4003,'Activation Detail'!$A$4:$A$4003,$A156,'Activation Detail'!$N$4:$N$4003,T$2)</f>
        <v>22676.508928</v>
      </c>
      <c r="X156" s="51" t="n">
        <f aca="false">IFERROR(V156/W156,0)</f>
        <v>1.47212081289732</v>
      </c>
      <c r="Y156" s="49" t="n">
        <f aca="false">IFERROR(W156/T156,0)</f>
        <v>107.844409649735</v>
      </c>
      <c r="Z156" s="48" t="n">
        <f aca="false">SUMIFS('Activation Detail'!$H$4:$H$4003,'Activation Detail'!$A$4:$A$4003,$A156,'Activation Detail'!$N$4:$N$4003,Z$2)</f>
        <v>706.061422671821</v>
      </c>
      <c r="AA156" s="50" t="n">
        <f aca="false">Z156*'Model Inputs &amp; Assumptions'!$D$42*'Model Inputs &amp; Assumptions'!$H$42</f>
        <v>3812731.68242783</v>
      </c>
      <c r="AB156" s="50" t="n">
        <f aca="false">Z156*'Model Inputs &amp; Assumptions'!$G$42*'Model Inputs &amp; Assumptions'!$H$42</f>
        <v>80067.3653309845</v>
      </c>
      <c r="AC156" s="50" t="n">
        <f aca="false">SUMIFS('Activation Detail'!$I$4:$I$4003,'Activation Detail'!$A$4:$A$4003,$A156,'Activation Detail'!$N$4:$N$4003,Z$2)</f>
        <v>41506.012</v>
      </c>
      <c r="AD156" s="51" t="n">
        <f aca="false">IFERROR(AB156/AC156,0)</f>
        <v>1.92905464709509</v>
      </c>
      <c r="AE156" s="49" t="n">
        <f aca="false">IFERROR(AC156/Z156,0)</f>
        <v>58.7852708946146</v>
      </c>
    </row>
    <row r="157" customFormat="false" ht="15" hidden="false" customHeight="false" outlineLevel="0" collapsed="false">
      <c r="A157" s="43" t="n">
        <v>154</v>
      </c>
      <c r="B157" s="45" t="n">
        <f aca="false">SUM('Activation Detail'!C157,'Activation Detail'!C657,'Activation Detail'!C1157,'Activation Detail'!C1657,'Activation Detail'!C2157,'Activation Detail'!C2657,'Activation Detail'!C3157,'Activation Detail'!C3657)</f>
        <v>3953416</v>
      </c>
      <c r="C157" s="45" t="n">
        <f aca="false">SUM('Activation Detail'!E157,'Activation Detail'!E657,'Activation Detail'!E1157,'Activation Detail'!E1657,'Activation Detail'!E2157,'Activation Detail'!E2657,'Activation Detail'!E3157,'Activation Detail'!E3657)</f>
        <v>378862</v>
      </c>
      <c r="D157" s="45" t="n">
        <f aca="false">SUM('Activation Detail'!G157,'Activation Detail'!G657,'Activation Detail'!G1157,'Activation Detail'!G1657,'Activation Detail'!G2157,'Activation Detail'!G2657,'Activation Detail'!G3157,'Activation Detail'!G3657)</f>
        <v>19317</v>
      </c>
      <c r="E157" s="48" t="n">
        <f aca="false">SUM('Activation Detail'!H157,'Activation Detail'!H657,'Activation Detail'!H1157,'Activation Detail'!H1657,'Activation Detail'!H2157,'Activation Detail'!H2657,'Activation Detail'!H3157,'Activation Detail'!H3657)</f>
        <v>833.329743564092</v>
      </c>
      <c r="F157" s="50" t="n">
        <f aca="false">SUM('Activation Detail'!I157,'Activation Detail'!I657,'Activation Detail'!I1157,'Activation Detail'!I1657,'Activation Detail'!I2157,'Activation Detail'!I2657,'Activation Detail'!I3157,'Activation Detail'!I3657)</f>
        <v>75093.856688</v>
      </c>
      <c r="G157" s="50" t="n">
        <f aca="false">SUM('Activation Detail'!J157,'Activation Detail'!J657,'Activation Detail'!J1157,'Activation Detail'!J1657,'Activation Detail'!J2157,'Activation Detail'!J2657,'Activation Detail'!J3157,'Activation Detail'!J3657)</f>
        <v>5152004.58686409</v>
      </c>
      <c r="H157" s="50" t="n">
        <f aca="false">SUM('Activation Detail'!K157,'Activation Detail'!K657,'Activation Detail'!K1157,'Activation Detail'!K1657,'Activation Detail'!K2157,'Activation Detail'!K2657,'Activation Detail'!K3157,'Activation Detail'!K3657)</f>
        <v>110901.050697298</v>
      </c>
      <c r="I157" s="51" t="n">
        <f aca="false">IFERROR(H157/F157,0)</f>
        <v>1.47683253449173</v>
      </c>
      <c r="J157" s="49" t="n">
        <f aca="false">IFERROR(F157/E157,0)</f>
        <v>90.1130162075205</v>
      </c>
      <c r="K157" s="46" t="n">
        <f aca="false">IFERROR(C157/B157,0)</f>
        <v>0.0958315542811584</v>
      </c>
      <c r="L157" s="47" t="n">
        <f aca="false">IFERROR(D157/B157,0)</f>
        <v>0.0048861541512454</v>
      </c>
      <c r="N157" s="48" t="n">
        <f aca="false">SUMIFS('Activation Detail'!$H$4:$H$4003,'Activation Detail'!$A$4:$A$4003,$A157,'Activation Detail'!$N$4:$N$4003,N$2)</f>
        <v>109.430769050919</v>
      </c>
      <c r="O157" s="50" t="n">
        <f aca="false">N157*'Model Inputs &amp; Assumptions'!$D$40*'Model Inputs &amp; Assumptions'!$H$40</f>
        <v>930161.536932815</v>
      </c>
      <c r="P157" s="50" t="n">
        <f aca="false">N157*'Model Inputs &amp; Assumptions'!$G$40*'Model Inputs &amp; Assumptions'!$H$40</f>
        <v>20928.6345809883</v>
      </c>
      <c r="Q157" s="50" t="n">
        <f aca="false">SUMIFS('Activation Detail'!$I$4:$I$4003,'Activation Detail'!$A$4:$A$4003,$A157,'Activation Detail'!$N$4:$N$4003,N$2)</f>
        <v>19075.023</v>
      </c>
      <c r="R157" s="51" t="n">
        <f aca="false">IFERROR(P157/Q157,0)</f>
        <v>1.0971748018856</v>
      </c>
      <c r="S157" s="49" t="n">
        <f aca="false">IFERROR(Q157/N157,0)</f>
        <v>174.311330948649</v>
      </c>
      <c r="T157" s="48" t="n">
        <f aca="false">SUMIFS('Activation Detail'!$H$4:$H$4003,'Activation Detail'!$A$4:$A$4003,$A157,'Activation Detail'!$N$4:$N$4003,T$2)</f>
        <v>173.771437533414</v>
      </c>
      <c r="U157" s="50" t="n">
        <f aca="false">T157*'Model Inputs &amp; Assumptions'!$D$41*'Model Inputs &amp; Assumptions'!$H$41</f>
        <v>1251154.35024058</v>
      </c>
      <c r="V157" s="50" t="n">
        <f aca="false">T157*'Model Inputs &amp; Assumptions'!$G$41*'Model Inputs &amp; Assumptions'!$H$41</f>
        <v>27587.9534228048</v>
      </c>
      <c r="W157" s="50" t="n">
        <f aca="false">SUMIFS('Activation Detail'!$I$4:$I$4003,'Activation Detail'!$A$4:$A$4003,$A157,'Activation Detail'!$N$4:$N$4003,T$2)</f>
        <v>19727.661688</v>
      </c>
      <c r="X157" s="51" t="n">
        <f aca="false">IFERROR(V157/W157,0)</f>
        <v>1.39844011211861</v>
      </c>
      <c r="Y157" s="49" t="n">
        <f aca="false">IFERROR(W157/T157,0)</f>
        <v>113.526491856331</v>
      </c>
      <c r="Z157" s="48" t="n">
        <f aca="false">SUMIFS('Activation Detail'!$H$4:$H$4003,'Activation Detail'!$A$4:$A$4003,$A157,'Activation Detail'!$N$4:$N$4003,Z$2)</f>
        <v>550.127536979759</v>
      </c>
      <c r="AA157" s="50" t="n">
        <f aca="false">Z157*'Model Inputs &amp; Assumptions'!$D$42*'Model Inputs &amp; Assumptions'!$H$42</f>
        <v>2970688.6996907</v>
      </c>
      <c r="AB157" s="50" t="n">
        <f aca="false">Z157*'Model Inputs &amp; Assumptions'!$G$42*'Model Inputs &amp; Assumptions'!$H$42</f>
        <v>62384.4626935047</v>
      </c>
      <c r="AC157" s="50" t="n">
        <f aca="false">SUMIFS('Activation Detail'!$I$4:$I$4003,'Activation Detail'!$A$4:$A$4003,$A157,'Activation Detail'!$N$4:$N$4003,Z$2)</f>
        <v>36291.172</v>
      </c>
      <c r="AD157" s="51" t="n">
        <f aca="false">IFERROR(AB157/AC157,0)</f>
        <v>1.71899829229832</v>
      </c>
      <c r="AE157" s="49" t="n">
        <f aca="false">IFERROR(AC157/Z157,0)</f>
        <v>65.9686519225001</v>
      </c>
    </row>
    <row r="158" customFormat="false" ht="15" hidden="false" customHeight="false" outlineLevel="0" collapsed="false">
      <c r="A158" s="43" t="n">
        <v>155</v>
      </c>
      <c r="B158" s="45" t="n">
        <f aca="false">SUM('Activation Detail'!C158,'Activation Detail'!C658,'Activation Detail'!C1158,'Activation Detail'!C1658,'Activation Detail'!C2158,'Activation Detail'!C2658,'Activation Detail'!C3158,'Activation Detail'!C3658)</f>
        <v>5575150</v>
      </c>
      <c r="C158" s="45" t="n">
        <f aca="false">SUM('Activation Detail'!E158,'Activation Detail'!E658,'Activation Detail'!E1158,'Activation Detail'!E1658,'Activation Detail'!E2158,'Activation Detail'!E2658,'Activation Detail'!E3158,'Activation Detail'!E3658)</f>
        <v>649491</v>
      </c>
      <c r="D158" s="45" t="n">
        <f aca="false">SUM('Activation Detail'!G158,'Activation Detail'!G658,'Activation Detail'!G1158,'Activation Detail'!G1658,'Activation Detail'!G2158,'Activation Detail'!G2658,'Activation Detail'!G3158,'Activation Detail'!G3658)</f>
        <v>23541</v>
      </c>
      <c r="E158" s="48" t="n">
        <f aca="false">SUM('Activation Detail'!H158,'Activation Detail'!H658,'Activation Detail'!H1158,'Activation Detail'!H1658,'Activation Detail'!H2158,'Activation Detail'!H2658,'Activation Detail'!H3158,'Activation Detail'!H3658)</f>
        <v>656.059888298977</v>
      </c>
      <c r="F158" s="50" t="n">
        <f aca="false">SUM('Activation Detail'!I158,'Activation Detail'!I658,'Activation Detail'!I1158,'Activation Detail'!I1658,'Activation Detail'!I2158,'Activation Detail'!I2658,'Activation Detail'!I3158,'Activation Detail'!I3658)</f>
        <v>82212.518674</v>
      </c>
      <c r="G158" s="50" t="n">
        <f aca="false">SUM('Activation Detail'!J158,'Activation Detail'!J658,'Activation Detail'!J1158,'Activation Detail'!J1658,'Activation Detail'!J2158,'Activation Detail'!J2658,'Activation Detail'!J3158,'Activation Detail'!J3658)</f>
        <v>4103548.32344602</v>
      </c>
      <c r="H158" s="50" t="n">
        <f aca="false">SUM('Activation Detail'!K158,'Activation Detail'!K658,'Activation Detail'!K1158,'Activation Detail'!K1658,'Activation Detail'!K2158,'Activation Detail'!K2658,'Activation Detail'!K3158,'Activation Detail'!K3658)</f>
        <v>88509.9693673531</v>
      </c>
      <c r="I158" s="51" t="n">
        <f aca="false">IFERROR(H158/F158,0)</f>
        <v>1.07659965653558</v>
      </c>
      <c r="J158" s="49" t="n">
        <f aca="false">IFERROR(F158/E158,0)</f>
        <v>125.312521219914</v>
      </c>
      <c r="K158" s="46" t="n">
        <f aca="false">IFERROR(C158/B158,0)</f>
        <v>0.116497493340986</v>
      </c>
      <c r="L158" s="47" t="n">
        <f aca="false">IFERROR(D158/B158,0)</f>
        <v>0.00422248728733756</v>
      </c>
      <c r="N158" s="48" t="n">
        <f aca="false">SUMIFS('Activation Detail'!$H$4:$H$4003,'Activation Detail'!$A$4:$A$4003,$A158,'Activation Detail'!$N$4:$N$4003,N$2)</f>
        <v>74.1115439473206</v>
      </c>
      <c r="O158" s="50" t="n">
        <f aca="false">N158*'Model Inputs &amp; Assumptions'!$D$40*'Model Inputs &amp; Assumptions'!$H$40</f>
        <v>629948.123552225</v>
      </c>
      <c r="P158" s="50" t="n">
        <f aca="false">N158*'Model Inputs &amp; Assumptions'!$G$40*'Model Inputs &amp; Assumptions'!$H$40</f>
        <v>14173.8327799251</v>
      </c>
      <c r="Q158" s="50" t="n">
        <f aca="false">SUMIFS('Activation Detail'!$I$4:$I$4003,'Activation Detail'!$A$4:$A$4003,$A158,'Activation Detail'!$N$4:$N$4003,N$2)</f>
        <v>18020.229</v>
      </c>
      <c r="R158" s="51" t="n">
        <f aca="false">IFERROR(P158/Q158,0)</f>
        <v>0.786551201981122</v>
      </c>
      <c r="S158" s="49" t="n">
        <f aca="false">IFERROR(Q158/N158,0)</f>
        <v>243.150095655934</v>
      </c>
      <c r="T158" s="48" t="n">
        <f aca="false">SUMIFS('Activation Detail'!$H$4:$H$4003,'Activation Detail'!$A$4:$A$4003,$A158,'Activation Detail'!$N$4:$N$4003,T$2)</f>
        <v>183.932855774916</v>
      </c>
      <c r="U158" s="50" t="n">
        <f aca="false">T158*'Model Inputs &amp; Assumptions'!$D$41*'Model Inputs &amp; Assumptions'!$H$41</f>
        <v>1324316.5615794</v>
      </c>
      <c r="V158" s="50" t="n">
        <f aca="false">T158*'Model Inputs &amp; Assumptions'!$G$41*'Model Inputs &amp; Assumptions'!$H$41</f>
        <v>29201.1801828257</v>
      </c>
      <c r="W158" s="50" t="n">
        <f aca="false">SUMIFS('Activation Detail'!$I$4:$I$4003,'Activation Detail'!$A$4:$A$4003,$A158,'Activation Detail'!$N$4:$N$4003,T$2)</f>
        <v>25058.557674</v>
      </c>
      <c r="X158" s="51" t="n">
        <f aca="false">IFERROR(V158/W158,0)</f>
        <v>1.16531767561083</v>
      </c>
      <c r="Y158" s="49" t="n">
        <f aca="false">IFERROR(W158/T158,0)</f>
        <v>136.237528463457</v>
      </c>
      <c r="Z158" s="48" t="n">
        <f aca="false">SUMIFS('Activation Detail'!$H$4:$H$4003,'Activation Detail'!$A$4:$A$4003,$A158,'Activation Detail'!$N$4:$N$4003,Z$2)</f>
        <v>398.01548857674</v>
      </c>
      <c r="AA158" s="50" t="n">
        <f aca="false">Z158*'Model Inputs &amp; Assumptions'!$D$42*'Model Inputs &amp; Assumptions'!$H$42</f>
        <v>2149283.6383144</v>
      </c>
      <c r="AB158" s="50" t="n">
        <f aca="false">Z158*'Model Inputs &amp; Assumptions'!$G$42*'Model Inputs &amp; Assumptions'!$H$42</f>
        <v>45134.9564046023</v>
      </c>
      <c r="AC158" s="50" t="n">
        <f aca="false">SUMIFS('Activation Detail'!$I$4:$I$4003,'Activation Detail'!$A$4:$A$4003,$A158,'Activation Detail'!$N$4:$N$4003,Z$2)</f>
        <v>39133.732</v>
      </c>
      <c r="AD158" s="51" t="n">
        <f aca="false">IFERROR(AB158/AC158,0)</f>
        <v>1.15335170191798</v>
      </c>
      <c r="AE158" s="49" t="n">
        <f aca="false">IFERROR(AC158/Z158,0)</f>
        <v>98.3221334926889</v>
      </c>
    </row>
    <row r="159" customFormat="false" ht="15" hidden="false" customHeight="false" outlineLevel="0" collapsed="false">
      <c r="A159" s="43" t="n">
        <v>156</v>
      </c>
      <c r="B159" s="45" t="n">
        <f aca="false">SUM('Activation Detail'!C159,'Activation Detail'!C659,'Activation Detail'!C1159,'Activation Detail'!C1659,'Activation Detail'!C2159,'Activation Detail'!C2659,'Activation Detail'!C3159,'Activation Detail'!C3659)</f>
        <v>3923704</v>
      </c>
      <c r="C159" s="45" t="n">
        <f aca="false">SUM('Activation Detail'!E159,'Activation Detail'!E659,'Activation Detail'!E1159,'Activation Detail'!E1659,'Activation Detail'!E2159,'Activation Detail'!E2659,'Activation Detail'!E3159,'Activation Detail'!E3659)</f>
        <v>294771</v>
      </c>
      <c r="D159" s="45" t="n">
        <f aca="false">SUM('Activation Detail'!G159,'Activation Detail'!G659,'Activation Detail'!G1159,'Activation Detail'!G1659,'Activation Detail'!G2159,'Activation Detail'!G2659,'Activation Detail'!G3159,'Activation Detail'!G3659)</f>
        <v>15602</v>
      </c>
      <c r="E159" s="48" t="n">
        <f aca="false">SUM('Activation Detail'!H159,'Activation Detail'!H659,'Activation Detail'!H1159,'Activation Detail'!H1659,'Activation Detail'!H2159,'Activation Detail'!H2659,'Activation Detail'!H3159,'Activation Detail'!H3659)</f>
        <v>692.782678036787</v>
      </c>
      <c r="F159" s="50" t="n">
        <f aca="false">SUM('Activation Detail'!I159,'Activation Detail'!I659,'Activation Detail'!I1159,'Activation Detail'!I1659,'Activation Detail'!I2159,'Activation Detail'!I2659,'Activation Detail'!I3159,'Activation Detail'!I3659)</f>
        <v>77255.981696</v>
      </c>
      <c r="G159" s="50" t="n">
        <f aca="false">SUM('Activation Detail'!J159,'Activation Detail'!J659,'Activation Detail'!J1159,'Activation Detail'!J1659,'Activation Detail'!J2159,'Activation Detail'!J2659,'Activation Detail'!J3159,'Activation Detail'!J3659)</f>
        <v>4318966.79201708</v>
      </c>
      <c r="H159" s="50" t="n">
        <f aca="false">SUM('Activation Detail'!K159,'Activation Detail'!K659,'Activation Detail'!K1159,'Activation Detail'!K1659,'Activation Detail'!K2159,'Activation Detail'!K2659,'Activation Detail'!K3159,'Activation Detail'!K3659)</f>
        <v>93098.7848087551</v>
      </c>
      <c r="I159" s="51" t="n">
        <f aca="false">IFERROR(H159/F159,0)</f>
        <v>1.20506895084313</v>
      </c>
      <c r="J159" s="49" t="n">
        <f aca="false">IFERROR(F159/E159,0)</f>
        <v>111.515463860801</v>
      </c>
      <c r="K159" s="46" t="n">
        <f aca="false">IFERROR(C159/B159,0)</f>
        <v>0.0751256975551673</v>
      </c>
      <c r="L159" s="47" t="n">
        <f aca="false">IFERROR(D159/B159,0)</f>
        <v>0.00397634480072911</v>
      </c>
      <c r="N159" s="48" t="n">
        <f aca="false">SUMIFS('Activation Detail'!$H$4:$H$4003,'Activation Detail'!$A$4:$A$4003,$A159,'Activation Detail'!$N$4:$N$4003,N$2)</f>
        <v>99.508193337212</v>
      </c>
      <c r="O159" s="50" t="n">
        <f aca="false">N159*'Model Inputs &amp; Assumptions'!$D$40*'Model Inputs &amp; Assumptions'!$H$40</f>
        <v>845819.643366302</v>
      </c>
      <c r="P159" s="50" t="n">
        <f aca="false">N159*'Model Inputs &amp; Assumptions'!$G$40*'Model Inputs &amp; Assumptions'!$H$40</f>
        <v>19030.9419757418</v>
      </c>
      <c r="Q159" s="50" t="n">
        <f aca="false">SUMIFS('Activation Detail'!$I$4:$I$4003,'Activation Detail'!$A$4:$A$4003,$A159,'Activation Detail'!$N$4:$N$4003,N$2)</f>
        <v>17796.525</v>
      </c>
      <c r="R159" s="51" t="n">
        <f aca="false">IFERROR(P159/Q159,0)</f>
        <v>1.06936280963513</v>
      </c>
      <c r="S159" s="49" t="n">
        <f aca="false">IFERROR(Q159/N159,0)</f>
        <v>178.844820744472</v>
      </c>
      <c r="T159" s="48" t="n">
        <f aca="false">SUMIFS('Activation Detail'!$H$4:$H$4003,'Activation Detail'!$A$4:$A$4003,$A159,'Activation Detail'!$N$4:$N$4003,T$2)</f>
        <v>149.702739596153</v>
      </c>
      <c r="U159" s="50" t="n">
        <f aca="false">T159*'Model Inputs &amp; Assumptions'!$D$41*'Model Inputs &amp; Assumptions'!$H$41</f>
        <v>1077859.7250923</v>
      </c>
      <c r="V159" s="50" t="n">
        <f aca="false">T159*'Model Inputs &amp; Assumptions'!$G$41*'Model Inputs &amp; Assumptions'!$H$41</f>
        <v>23766.8069382853</v>
      </c>
      <c r="W159" s="50" t="n">
        <f aca="false">SUMIFS('Activation Detail'!$I$4:$I$4003,'Activation Detail'!$A$4:$A$4003,$A159,'Activation Detail'!$N$4:$N$4003,T$2)</f>
        <v>15119.032696</v>
      </c>
      <c r="X159" s="51" t="n">
        <f aca="false">IFERROR(V159/W159,0)</f>
        <v>1.57197933334539</v>
      </c>
      <c r="Y159" s="49" t="n">
        <f aca="false">IFERROR(W159/T159,0)</f>
        <v>100.993694148724</v>
      </c>
      <c r="Z159" s="48" t="n">
        <f aca="false">SUMIFS('Activation Detail'!$H$4:$H$4003,'Activation Detail'!$A$4:$A$4003,$A159,'Activation Detail'!$N$4:$N$4003,Z$2)</f>
        <v>443.571745103422</v>
      </c>
      <c r="AA159" s="50" t="n">
        <f aca="false">Z159*'Model Inputs &amp; Assumptions'!$D$42*'Model Inputs &amp; Assumptions'!$H$42</f>
        <v>2395287.42355848</v>
      </c>
      <c r="AB159" s="50" t="n">
        <f aca="false">Z159*'Model Inputs &amp; Assumptions'!$G$42*'Model Inputs &amp; Assumptions'!$H$42</f>
        <v>50301.035894728</v>
      </c>
      <c r="AC159" s="50" t="n">
        <f aca="false">SUMIFS('Activation Detail'!$I$4:$I$4003,'Activation Detail'!$A$4:$A$4003,$A159,'Activation Detail'!$N$4:$N$4003,Z$2)</f>
        <v>44340.424</v>
      </c>
      <c r="AD159" s="51" t="n">
        <f aca="false">IFERROR(AB159/AC159,0)</f>
        <v>1.1344283919055</v>
      </c>
      <c r="AE159" s="49" t="n">
        <f aca="false">IFERROR(AC159/Z159,0)</f>
        <v>99.9622372016995</v>
      </c>
    </row>
    <row r="160" customFormat="false" ht="15" hidden="false" customHeight="false" outlineLevel="0" collapsed="false">
      <c r="A160" s="43" t="n">
        <v>157</v>
      </c>
      <c r="B160" s="45" t="n">
        <f aca="false">SUM('Activation Detail'!C160,'Activation Detail'!C660,'Activation Detail'!C1160,'Activation Detail'!C1660,'Activation Detail'!C2160,'Activation Detail'!C2660,'Activation Detail'!C3160,'Activation Detail'!C3660)</f>
        <v>5572901</v>
      </c>
      <c r="C160" s="45" t="n">
        <f aca="false">SUM('Activation Detail'!E160,'Activation Detail'!E660,'Activation Detail'!E1160,'Activation Detail'!E1660,'Activation Detail'!E2160,'Activation Detail'!E2660,'Activation Detail'!E3160,'Activation Detail'!E3660)</f>
        <v>455026</v>
      </c>
      <c r="D160" s="45" t="n">
        <f aca="false">SUM('Activation Detail'!G160,'Activation Detail'!G660,'Activation Detail'!G1160,'Activation Detail'!G1660,'Activation Detail'!G2160,'Activation Detail'!G2660,'Activation Detail'!G3160,'Activation Detail'!G3660)</f>
        <v>18568</v>
      </c>
      <c r="E160" s="48" t="n">
        <f aca="false">SUM('Activation Detail'!H160,'Activation Detail'!H660,'Activation Detail'!H1160,'Activation Detail'!H1660,'Activation Detail'!H2160,'Activation Detail'!H2660,'Activation Detail'!H3160,'Activation Detail'!H3660)</f>
        <v>601.020241497075</v>
      </c>
      <c r="F160" s="50" t="n">
        <f aca="false">SUM('Activation Detail'!I160,'Activation Detail'!I660,'Activation Detail'!I1160,'Activation Detail'!I1660,'Activation Detail'!I2160,'Activation Detail'!I2660,'Activation Detail'!I3160,'Activation Detail'!I3660)</f>
        <v>76171.947574</v>
      </c>
      <c r="G160" s="50" t="n">
        <f aca="false">SUM('Activation Detail'!J160,'Activation Detail'!J660,'Activation Detail'!J1160,'Activation Detail'!J1660,'Activation Detail'!J2160,'Activation Detail'!J2660,'Activation Detail'!J3160,'Activation Detail'!J3660)</f>
        <v>3926745.21729972</v>
      </c>
      <c r="H160" s="50" t="n">
        <f aca="false">SUM('Activation Detail'!K160,'Activation Detail'!K660,'Activation Detail'!K1160,'Activation Detail'!K1660,'Activation Detail'!K2160,'Activation Detail'!K2660,'Activation Detail'!K3160,'Activation Detail'!K3660)</f>
        <v>85290.5843615111</v>
      </c>
      <c r="I160" s="51" t="n">
        <f aca="false">IFERROR(H160/F160,0)</f>
        <v>1.11971122017922</v>
      </c>
      <c r="J160" s="49" t="n">
        <f aca="false">IFERROR(F160/E160,0)</f>
        <v>126.737740786008</v>
      </c>
      <c r="K160" s="46" t="n">
        <f aca="false">IFERROR(C160/B160,0)</f>
        <v>0.0816497547686564</v>
      </c>
      <c r="L160" s="47" t="n">
        <f aca="false">IFERROR(D160/B160,0)</f>
        <v>0.00333183740389431</v>
      </c>
      <c r="N160" s="48" t="n">
        <f aca="false">SUMIFS('Activation Detail'!$H$4:$H$4003,'Activation Detail'!$A$4:$A$4003,$A160,'Activation Detail'!$N$4:$N$4003,N$2)</f>
        <v>119.466804770841</v>
      </c>
      <c r="O160" s="50" t="n">
        <f aca="false">N160*'Model Inputs &amp; Assumptions'!$D$40*'Model Inputs &amp; Assumptions'!$H$40</f>
        <v>1015467.84055215</v>
      </c>
      <c r="P160" s="50" t="n">
        <f aca="false">N160*'Model Inputs &amp; Assumptions'!$G$40*'Model Inputs &amp; Assumptions'!$H$40</f>
        <v>22848.0264124234</v>
      </c>
      <c r="Q160" s="50" t="n">
        <f aca="false">SUMIFS('Activation Detail'!$I$4:$I$4003,'Activation Detail'!$A$4:$A$4003,$A160,'Activation Detail'!$N$4:$N$4003,N$2)</f>
        <v>19551.4535</v>
      </c>
      <c r="R160" s="51" t="n">
        <f aca="false">IFERROR(P160/Q160,0)</f>
        <v>1.16861011957108</v>
      </c>
      <c r="S160" s="49" t="n">
        <f aca="false">IFERROR(Q160/N160,0)</f>
        <v>163.655950600698</v>
      </c>
      <c r="T160" s="48" t="n">
        <f aca="false">SUMIFS('Activation Detail'!$H$4:$H$4003,'Activation Detail'!$A$4:$A$4003,$A160,'Activation Detail'!$N$4:$N$4003,T$2)</f>
        <v>172.716010236614</v>
      </c>
      <c r="U160" s="50" t="n">
        <f aca="false">T160*'Model Inputs &amp; Assumptions'!$D$41*'Model Inputs &amp; Assumptions'!$H$41</f>
        <v>1243555.27370362</v>
      </c>
      <c r="V160" s="50" t="n">
        <f aca="false">T160*'Model Inputs &amp; Assumptions'!$G$41*'Model Inputs &amp; Assumptions'!$H$41</f>
        <v>27420.3937851648</v>
      </c>
      <c r="W160" s="50" t="n">
        <f aca="false">SUMIFS('Activation Detail'!$I$4:$I$4003,'Activation Detail'!$A$4:$A$4003,$A160,'Activation Detail'!$N$4:$N$4003,T$2)</f>
        <v>18242.366074</v>
      </c>
      <c r="X160" s="51" t="n">
        <f aca="false">IFERROR(V160/W160,0)</f>
        <v>1.50311608011451</v>
      </c>
      <c r="Y160" s="49" t="n">
        <f aca="false">IFERROR(W160/T160,0)</f>
        <v>105.620585196524</v>
      </c>
      <c r="Z160" s="48" t="n">
        <f aca="false">SUMIFS('Activation Detail'!$H$4:$H$4003,'Activation Detail'!$A$4:$A$4003,$A160,'Activation Detail'!$N$4:$N$4003,Z$2)</f>
        <v>308.83742648962</v>
      </c>
      <c r="AA160" s="50" t="n">
        <f aca="false">Z160*'Model Inputs &amp; Assumptions'!$D$42*'Model Inputs &amp; Assumptions'!$H$42</f>
        <v>1667722.10304395</v>
      </c>
      <c r="AB160" s="50" t="n">
        <f aca="false">Z160*'Model Inputs &amp; Assumptions'!$G$42*'Model Inputs &amp; Assumptions'!$H$42</f>
        <v>35022.1641639229</v>
      </c>
      <c r="AC160" s="50" t="n">
        <f aca="false">SUMIFS('Activation Detail'!$I$4:$I$4003,'Activation Detail'!$A$4:$A$4003,$A160,'Activation Detail'!$N$4:$N$4003,Z$2)</f>
        <v>38378.128</v>
      </c>
      <c r="AD160" s="51" t="n">
        <f aca="false">IFERROR(AB160/AC160,0)</f>
        <v>0.912555301392578</v>
      </c>
      <c r="AE160" s="49" t="n">
        <f aca="false">IFERROR(AC160/Z160,0)</f>
        <v>124.266441526283</v>
      </c>
    </row>
    <row r="161" customFormat="false" ht="15" hidden="false" customHeight="false" outlineLevel="0" collapsed="false">
      <c r="A161" s="43" t="n">
        <v>158</v>
      </c>
      <c r="B161" s="45" t="n">
        <f aca="false">SUM('Activation Detail'!C161,'Activation Detail'!C661,'Activation Detail'!C1161,'Activation Detail'!C1661,'Activation Detail'!C2161,'Activation Detail'!C2661,'Activation Detail'!C3161,'Activation Detail'!C3661)</f>
        <v>3313178</v>
      </c>
      <c r="C161" s="45" t="n">
        <f aca="false">SUM('Activation Detail'!E161,'Activation Detail'!E661,'Activation Detail'!E1161,'Activation Detail'!E1661,'Activation Detail'!E2161,'Activation Detail'!E2661,'Activation Detail'!E3161,'Activation Detail'!E3661)</f>
        <v>306755</v>
      </c>
      <c r="D161" s="45" t="n">
        <f aca="false">SUM('Activation Detail'!G161,'Activation Detail'!G661,'Activation Detail'!G1161,'Activation Detail'!G1661,'Activation Detail'!G2161,'Activation Detail'!G2661,'Activation Detail'!G3161,'Activation Detail'!G3661)</f>
        <v>13130</v>
      </c>
      <c r="E161" s="48" t="n">
        <f aca="false">SUM('Activation Detail'!H161,'Activation Detail'!H661,'Activation Detail'!H1161,'Activation Detail'!H1661,'Activation Detail'!H2161,'Activation Detail'!H2661,'Activation Detail'!H3161,'Activation Detail'!H3661)</f>
        <v>393.643324434431</v>
      </c>
      <c r="F161" s="50" t="n">
        <f aca="false">SUM('Activation Detail'!I161,'Activation Detail'!I661,'Activation Detail'!I1161,'Activation Detail'!I1661,'Activation Detail'!I2161,'Activation Detail'!I2661,'Activation Detail'!I3161,'Activation Detail'!I3661)</f>
        <v>69482.230074</v>
      </c>
      <c r="G161" s="50" t="n">
        <f aca="false">SUM('Activation Detail'!J161,'Activation Detail'!J661,'Activation Detail'!J1161,'Activation Detail'!J1661,'Activation Detail'!J2161,'Activation Detail'!J2661,'Activation Detail'!J3161,'Activation Detail'!J3661)</f>
        <v>2594911.88289436</v>
      </c>
      <c r="H161" s="50" t="n">
        <f aca="false">SUM('Activation Detail'!K161,'Activation Detail'!K661,'Activation Detail'!K1161,'Activation Detail'!K1661,'Activation Detail'!K2161,'Activation Detail'!K2661,'Activation Detail'!K3161,'Activation Detail'!K3661)</f>
        <v>56442.1158955852</v>
      </c>
      <c r="I161" s="51" t="n">
        <f aca="false">IFERROR(H161/F161,0)</f>
        <v>0.812324472537413</v>
      </c>
      <c r="J161" s="49" t="n">
        <f aca="false">IFERROR(F161/E161,0)</f>
        <v>176.510627161857</v>
      </c>
      <c r="K161" s="46" t="n">
        <f aca="false">IFERROR(C161/B161,0)</f>
        <v>0.0925863325182046</v>
      </c>
      <c r="L161" s="47" t="n">
        <f aca="false">IFERROR(D161/B161,0)</f>
        <v>0.00396296244874257</v>
      </c>
      <c r="N161" s="48" t="n">
        <f aca="false">SUMIFS('Activation Detail'!$H$4:$H$4003,'Activation Detail'!$A$4:$A$4003,$A161,'Activation Detail'!$N$4:$N$4003,N$2)</f>
        <v>80.8627969619729</v>
      </c>
      <c r="O161" s="50" t="n">
        <f aca="false">N161*'Model Inputs &amp; Assumptions'!$D$40*'Model Inputs &amp; Assumptions'!$H$40</f>
        <v>687333.77417677</v>
      </c>
      <c r="P161" s="50" t="n">
        <f aca="false">N161*'Model Inputs &amp; Assumptions'!$G$40*'Model Inputs &amp; Assumptions'!$H$40</f>
        <v>15465.0099189773</v>
      </c>
      <c r="Q161" s="50" t="n">
        <f aca="false">SUMIFS('Activation Detail'!$I$4:$I$4003,'Activation Detail'!$A$4:$A$4003,$A161,'Activation Detail'!$N$4:$N$4003,N$2)</f>
        <v>17757.4405</v>
      </c>
      <c r="R161" s="51" t="n">
        <f aca="false">IFERROR(P161/Q161,0)</f>
        <v>0.870903096590824</v>
      </c>
      <c r="S161" s="49" t="n">
        <f aca="false">IFERROR(Q161/N161,0)</f>
        <v>219.599632552294</v>
      </c>
      <c r="T161" s="48" t="n">
        <f aca="false">SUMIFS('Activation Detail'!$H$4:$H$4003,'Activation Detail'!$A$4:$A$4003,$A161,'Activation Detail'!$N$4:$N$4003,T$2)</f>
        <v>121.42403353684</v>
      </c>
      <c r="U161" s="50" t="n">
        <f aca="false">T161*'Model Inputs &amp; Assumptions'!$D$41*'Model Inputs &amp; Assumptions'!$H$41</f>
        <v>874253.041465251</v>
      </c>
      <c r="V161" s="50" t="n">
        <f aca="false">T161*'Model Inputs &amp; Assumptions'!$G$41*'Model Inputs &amp; Assumptions'!$H$41</f>
        <v>19277.2795643088</v>
      </c>
      <c r="W161" s="50" t="n">
        <f aca="false">SUMIFS('Activation Detail'!$I$4:$I$4003,'Activation Detail'!$A$4:$A$4003,$A161,'Activation Detail'!$N$4:$N$4003,T$2)</f>
        <v>16218.297574</v>
      </c>
      <c r="X161" s="51" t="n">
        <f aca="false">IFERROR(V161/W161,0)</f>
        <v>1.18861301418052</v>
      </c>
      <c r="Y161" s="49" t="n">
        <f aca="false">IFERROR(W161/T161,0)</f>
        <v>133.56744214134</v>
      </c>
      <c r="Z161" s="48" t="n">
        <f aca="false">SUMIFS('Activation Detail'!$H$4:$H$4003,'Activation Detail'!$A$4:$A$4003,$A161,'Activation Detail'!$N$4:$N$4003,Z$2)</f>
        <v>191.356493935618</v>
      </c>
      <c r="AA161" s="50" t="n">
        <f aca="false">Z161*'Model Inputs &amp; Assumptions'!$D$42*'Model Inputs &amp; Assumptions'!$H$42</f>
        <v>1033325.06725234</v>
      </c>
      <c r="AB161" s="50" t="n">
        <f aca="false">Z161*'Model Inputs &amp; Assumptions'!$G$42*'Model Inputs &amp; Assumptions'!$H$42</f>
        <v>21699.8264122991</v>
      </c>
      <c r="AC161" s="50" t="n">
        <f aca="false">SUMIFS('Activation Detail'!$I$4:$I$4003,'Activation Detail'!$A$4:$A$4003,$A161,'Activation Detail'!$N$4:$N$4003,Z$2)</f>
        <v>35506.492</v>
      </c>
      <c r="AD161" s="51" t="n">
        <f aca="false">IFERROR(AB161/AC161,0)</f>
        <v>0.611150952684909</v>
      </c>
      <c r="AE161" s="49" t="n">
        <f aca="false">IFERROR(AC161/Z161,0)</f>
        <v>185.551539274889</v>
      </c>
    </row>
    <row r="162" customFormat="false" ht="15" hidden="false" customHeight="false" outlineLevel="0" collapsed="false">
      <c r="A162" s="43" t="n">
        <v>159</v>
      </c>
      <c r="B162" s="45" t="n">
        <f aca="false">SUM('Activation Detail'!C162,'Activation Detail'!C662,'Activation Detail'!C1162,'Activation Detail'!C1662,'Activation Detail'!C2162,'Activation Detail'!C2662,'Activation Detail'!C3162,'Activation Detail'!C3662)</f>
        <v>3914614</v>
      </c>
      <c r="C162" s="45" t="n">
        <f aca="false">SUM('Activation Detail'!E162,'Activation Detail'!E662,'Activation Detail'!E1162,'Activation Detail'!E1662,'Activation Detail'!E2162,'Activation Detail'!E2662,'Activation Detail'!E3162,'Activation Detail'!E3662)</f>
        <v>312513</v>
      </c>
      <c r="D162" s="45" t="n">
        <f aca="false">SUM('Activation Detail'!G162,'Activation Detail'!G662,'Activation Detail'!G1162,'Activation Detail'!G1662,'Activation Detail'!G2162,'Activation Detail'!G2662,'Activation Detail'!G3162,'Activation Detail'!G3662)</f>
        <v>16152</v>
      </c>
      <c r="E162" s="48" t="n">
        <f aca="false">SUM('Activation Detail'!H162,'Activation Detail'!H662,'Activation Detail'!H1162,'Activation Detail'!H1662,'Activation Detail'!H2162,'Activation Detail'!H2662,'Activation Detail'!H3162,'Activation Detail'!H3662)</f>
        <v>547.238349671356</v>
      </c>
      <c r="F162" s="50" t="n">
        <f aca="false">SUM('Activation Detail'!I162,'Activation Detail'!I662,'Activation Detail'!I1162,'Activation Detail'!I1662,'Activation Detail'!I2162,'Activation Detail'!I2662,'Activation Detail'!I3162,'Activation Detail'!I3662)</f>
        <v>79022.544948</v>
      </c>
      <c r="G162" s="50" t="n">
        <f aca="false">SUM('Activation Detail'!J162,'Activation Detail'!J662,'Activation Detail'!J1162,'Activation Detail'!J1662,'Activation Detail'!J2162,'Activation Detail'!J2662,'Activation Detail'!J3162,'Activation Detail'!J3662)</f>
        <v>3615177.10460782</v>
      </c>
      <c r="H162" s="50" t="n">
        <f aca="false">SUM('Activation Detail'!K162,'Activation Detail'!K662,'Activation Detail'!K1162,'Activation Detail'!K1662,'Activation Detail'!K2162,'Activation Detail'!K2662,'Activation Detail'!K3162,'Activation Detail'!K3662)</f>
        <v>78664.4008693414</v>
      </c>
      <c r="I162" s="51" t="n">
        <f aca="false">IFERROR(H162/F162,0)</f>
        <v>0.995467824038137</v>
      </c>
      <c r="J162" s="49" t="n">
        <f aca="false">IFERROR(F162/E162,0)</f>
        <v>144.402425369964</v>
      </c>
      <c r="K162" s="46" t="n">
        <f aca="false">IFERROR(C162/B162,0)</f>
        <v>0.0798323921592269</v>
      </c>
      <c r="L162" s="47" t="n">
        <f aca="false">IFERROR(D162/B162,0)</f>
        <v>0.0041260773092826</v>
      </c>
      <c r="N162" s="48" t="n">
        <f aca="false">SUMIFS('Activation Detail'!$H$4:$H$4003,'Activation Detail'!$A$4:$A$4003,$A162,'Activation Detail'!$N$4:$N$4003,N$2)</f>
        <v>98.875541589946</v>
      </c>
      <c r="O162" s="50" t="n">
        <f aca="false">N162*'Model Inputs &amp; Assumptions'!$D$40*'Model Inputs &amp; Assumptions'!$H$40</f>
        <v>840442.103514541</v>
      </c>
      <c r="P162" s="50" t="n">
        <f aca="false">N162*'Model Inputs &amp; Assumptions'!$G$40*'Model Inputs &amp; Assumptions'!$H$40</f>
        <v>18909.9473290772</v>
      </c>
      <c r="Q162" s="50" t="n">
        <f aca="false">SUMIFS('Activation Detail'!$I$4:$I$4003,'Activation Detail'!$A$4:$A$4003,$A162,'Activation Detail'!$N$4:$N$4003,N$2)</f>
        <v>17651.7635</v>
      </c>
      <c r="R162" s="51" t="n">
        <f aca="false">IFERROR(P162/Q162,0)</f>
        <v>1.0712780810301</v>
      </c>
      <c r="S162" s="49" t="n">
        <f aca="false">IFERROR(Q162/N162,0)</f>
        <v>178.525075222393</v>
      </c>
      <c r="T162" s="48" t="n">
        <f aca="false">SUMIFS('Activation Detail'!$H$4:$H$4003,'Activation Detail'!$A$4:$A$4003,$A162,'Activation Detail'!$N$4:$N$4003,T$2)</f>
        <v>196.431020807593</v>
      </c>
      <c r="U162" s="50" t="n">
        <f aca="false">T162*'Model Inputs &amp; Assumptions'!$D$41*'Model Inputs &amp; Assumptions'!$H$41</f>
        <v>1414303.34981467</v>
      </c>
      <c r="V162" s="50" t="n">
        <f aca="false">T162*'Model Inputs &amp; Assumptions'!$G$41*'Model Inputs &amp; Assumptions'!$H$41</f>
        <v>31185.3888634135</v>
      </c>
      <c r="W162" s="50" t="n">
        <f aca="false">SUMIFS('Activation Detail'!$I$4:$I$4003,'Activation Detail'!$A$4:$A$4003,$A162,'Activation Detail'!$N$4:$N$4003,T$2)</f>
        <v>19074.293448</v>
      </c>
      <c r="X162" s="51" t="n">
        <f aca="false">IFERROR(V162/W162,0)</f>
        <v>1.63494333084633</v>
      </c>
      <c r="Y162" s="49" t="n">
        <f aca="false">IFERROR(W162/T162,0)</f>
        <v>97.1042830688312</v>
      </c>
      <c r="Z162" s="48" t="n">
        <f aca="false">SUMIFS('Activation Detail'!$H$4:$H$4003,'Activation Detail'!$A$4:$A$4003,$A162,'Activation Detail'!$N$4:$N$4003,Z$2)</f>
        <v>251.931787273816</v>
      </c>
      <c r="AA162" s="50" t="n">
        <f aca="false">Z162*'Model Inputs &amp; Assumptions'!$D$42*'Model Inputs &amp; Assumptions'!$H$42</f>
        <v>1360431.65127861</v>
      </c>
      <c r="AB162" s="50" t="n">
        <f aca="false">Z162*'Model Inputs &amp; Assumptions'!$G$42*'Model Inputs &amp; Assumptions'!$H$42</f>
        <v>28569.0646768508</v>
      </c>
      <c r="AC162" s="50" t="n">
        <f aca="false">SUMIFS('Activation Detail'!$I$4:$I$4003,'Activation Detail'!$A$4:$A$4003,$A162,'Activation Detail'!$N$4:$N$4003,Z$2)</f>
        <v>42296.488</v>
      </c>
      <c r="AD162" s="51" t="n">
        <f aca="false">IFERROR(AB162/AC162,0)</f>
        <v>0.675447679647794</v>
      </c>
      <c r="AE162" s="49" t="n">
        <f aca="false">IFERROR(AC162/Z162,0)</f>
        <v>167.888651359542</v>
      </c>
    </row>
    <row r="163" customFormat="false" ht="15" hidden="false" customHeight="false" outlineLevel="0" collapsed="false">
      <c r="A163" s="43" t="n">
        <v>160</v>
      </c>
      <c r="B163" s="45" t="n">
        <f aca="false">SUM('Activation Detail'!C163,'Activation Detail'!C663,'Activation Detail'!C1163,'Activation Detail'!C1663,'Activation Detail'!C2163,'Activation Detail'!C2663,'Activation Detail'!C3163,'Activation Detail'!C3663)</f>
        <v>5425476</v>
      </c>
      <c r="C163" s="45" t="n">
        <f aca="false">SUM('Activation Detail'!E163,'Activation Detail'!E663,'Activation Detail'!E1163,'Activation Detail'!E1663,'Activation Detail'!E2163,'Activation Detail'!E2663,'Activation Detail'!E3163,'Activation Detail'!E3663)</f>
        <v>388941</v>
      </c>
      <c r="D163" s="45" t="n">
        <f aca="false">SUM('Activation Detail'!G163,'Activation Detail'!G663,'Activation Detail'!G1163,'Activation Detail'!G1663,'Activation Detail'!G2163,'Activation Detail'!G2663,'Activation Detail'!G3163,'Activation Detail'!G3663)</f>
        <v>19698</v>
      </c>
      <c r="E163" s="48" t="n">
        <f aca="false">SUM('Activation Detail'!H163,'Activation Detail'!H663,'Activation Detail'!H1163,'Activation Detail'!H1663,'Activation Detail'!H2163,'Activation Detail'!H2663,'Activation Detail'!H3163,'Activation Detail'!H3663)</f>
        <v>806.435013352151</v>
      </c>
      <c r="F163" s="50" t="n">
        <f aca="false">SUM('Activation Detail'!I163,'Activation Detail'!I663,'Activation Detail'!I1163,'Activation Detail'!I1663,'Activation Detail'!I2163,'Activation Detail'!I2663,'Activation Detail'!I3163,'Activation Detail'!I3663)</f>
        <v>78777.272136</v>
      </c>
      <c r="G163" s="50" t="n">
        <f aca="false">SUM('Activation Detail'!J163,'Activation Detail'!J663,'Activation Detail'!J1163,'Activation Detail'!J1663,'Activation Detail'!J2163,'Activation Detail'!J2663,'Activation Detail'!J3163,'Activation Detail'!J3663)</f>
        <v>4783657.0626068</v>
      </c>
      <c r="H163" s="50" t="n">
        <f aca="false">SUM('Activation Detail'!K163,'Activation Detail'!K663,'Activation Detail'!K1163,'Activation Detail'!K1663,'Activation Detail'!K2163,'Activation Detail'!K2663,'Activation Detail'!K3163,'Activation Detail'!K3663)</f>
        <v>102238.547220562</v>
      </c>
      <c r="I163" s="51" t="n">
        <f aca="false">IFERROR(H163/F163,0)</f>
        <v>1.2978178153219</v>
      </c>
      <c r="J163" s="49" t="n">
        <f aca="false">IFERROR(F163/E163,0)</f>
        <v>97.6858281593483</v>
      </c>
      <c r="K163" s="46" t="n">
        <f aca="false">IFERROR(C163/B163,0)</f>
        <v>0.0716879035129821</v>
      </c>
      <c r="L163" s="47" t="n">
        <f aca="false">IFERROR(D163/B163,0)</f>
        <v>0.00363064918174921</v>
      </c>
      <c r="N163" s="48" t="n">
        <f aca="false">SUMIFS('Activation Detail'!$H$4:$H$4003,'Activation Detail'!$A$4:$A$4003,$A163,'Activation Detail'!$N$4:$N$4003,N$2)</f>
        <v>72.832052971579</v>
      </c>
      <c r="O163" s="50" t="n">
        <f aca="false">N163*'Model Inputs &amp; Assumptions'!$D$40*'Model Inputs &amp; Assumptions'!$H$40</f>
        <v>619072.450258422</v>
      </c>
      <c r="P163" s="50" t="n">
        <f aca="false">N163*'Model Inputs &amp; Assumptions'!$G$40*'Model Inputs &amp; Assumptions'!$H$40</f>
        <v>13929.1301308145</v>
      </c>
      <c r="Q163" s="50" t="n">
        <f aca="false">SUMIFS('Activation Detail'!$I$4:$I$4003,'Activation Detail'!$A$4:$A$4003,$A163,'Activation Detail'!$N$4:$N$4003,N$2)</f>
        <v>18094.9465</v>
      </c>
      <c r="R163" s="51" t="n">
        <f aca="false">IFERROR(P163/Q163,0)</f>
        <v>0.769780122357062</v>
      </c>
      <c r="S163" s="49" t="n">
        <f aca="false">IFERROR(Q163/N163,0)</f>
        <v>248.447568916685</v>
      </c>
      <c r="T163" s="48" t="n">
        <f aca="false">SUMIFS('Activation Detail'!$H$4:$H$4003,'Activation Detail'!$A$4:$A$4003,$A163,'Activation Detail'!$N$4:$N$4003,T$2)</f>
        <v>112.849236829604</v>
      </c>
      <c r="U163" s="50" t="n">
        <f aca="false">T163*'Model Inputs &amp; Assumptions'!$D$41*'Model Inputs &amp; Assumptions'!$H$41</f>
        <v>812514.505173148</v>
      </c>
      <c r="V163" s="50" t="n">
        <f aca="false">T163*'Model Inputs &amp; Assumptions'!$G$41*'Model Inputs &amp; Assumptions'!$H$41</f>
        <v>17915.9448390679</v>
      </c>
      <c r="W163" s="50" t="n">
        <f aca="false">SUMIFS('Activation Detail'!$I$4:$I$4003,'Activation Detail'!$A$4:$A$4003,$A163,'Activation Detail'!$N$4:$N$4003,T$2)</f>
        <v>19711.801636</v>
      </c>
      <c r="X163" s="51" t="n">
        <f aca="false">IFERROR(V163/W163,0)</f>
        <v>0.908894334972797</v>
      </c>
      <c r="Y163" s="49" t="n">
        <f aca="false">IFERROR(W163/T163,0)</f>
        <v>174.67376997652</v>
      </c>
      <c r="Z163" s="48" t="n">
        <f aca="false">SUMIFS('Activation Detail'!$H$4:$H$4003,'Activation Detail'!$A$4:$A$4003,$A163,'Activation Detail'!$N$4:$N$4003,Z$2)</f>
        <v>620.753723550968</v>
      </c>
      <c r="AA163" s="50" t="n">
        <f aca="false">Z163*'Model Inputs &amp; Assumptions'!$D$42*'Model Inputs &amp; Assumptions'!$H$42</f>
        <v>3352070.10717523</v>
      </c>
      <c r="AB163" s="50" t="n">
        <f aca="false">Z163*'Model Inputs &amp; Assumptions'!$G$42*'Model Inputs &amp; Assumptions'!$H$42</f>
        <v>70393.4722506798</v>
      </c>
      <c r="AC163" s="50" t="n">
        <f aca="false">SUMIFS('Activation Detail'!$I$4:$I$4003,'Activation Detail'!$A$4:$A$4003,$A163,'Activation Detail'!$N$4:$N$4003,Z$2)</f>
        <v>40970.524</v>
      </c>
      <c r="AD163" s="51" t="n">
        <f aca="false">IFERROR(AB163/AC163,0)</f>
        <v>1.71814918087647</v>
      </c>
      <c r="AE163" s="49" t="n">
        <f aca="false">IFERROR(AC163/Z163,0)</f>
        <v>66.0012537107818</v>
      </c>
    </row>
    <row r="164" customFormat="false" ht="15" hidden="false" customHeight="false" outlineLevel="0" collapsed="false">
      <c r="A164" s="43" t="n">
        <v>161</v>
      </c>
      <c r="B164" s="45" t="n">
        <f aca="false">SUM('Activation Detail'!C164,'Activation Detail'!C664,'Activation Detail'!C1164,'Activation Detail'!C1664,'Activation Detail'!C2164,'Activation Detail'!C2664,'Activation Detail'!C3164,'Activation Detail'!C3664)</f>
        <v>4867345</v>
      </c>
      <c r="C164" s="45" t="n">
        <f aca="false">SUM('Activation Detail'!E164,'Activation Detail'!E664,'Activation Detail'!E1164,'Activation Detail'!E1664,'Activation Detail'!E2164,'Activation Detail'!E2664,'Activation Detail'!E3164,'Activation Detail'!E3664)</f>
        <v>472996</v>
      </c>
      <c r="D164" s="45" t="n">
        <f aca="false">SUM('Activation Detail'!G164,'Activation Detail'!G664,'Activation Detail'!G1164,'Activation Detail'!G1664,'Activation Detail'!G2164,'Activation Detail'!G2664,'Activation Detail'!G3164,'Activation Detail'!G3664)</f>
        <v>19313</v>
      </c>
      <c r="E164" s="48" t="n">
        <f aca="false">SUM('Activation Detail'!H164,'Activation Detail'!H664,'Activation Detail'!H1164,'Activation Detail'!H1664,'Activation Detail'!H2164,'Activation Detail'!H2664,'Activation Detail'!H3164,'Activation Detail'!H3664)</f>
        <v>767.030282526816</v>
      </c>
      <c r="F164" s="50" t="n">
        <f aca="false">SUM('Activation Detail'!I164,'Activation Detail'!I664,'Activation Detail'!I1164,'Activation Detail'!I1664,'Activation Detail'!I2164,'Activation Detail'!I2664,'Activation Detail'!I3164,'Activation Detail'!I3664)</f>
        <v>74139.43937</v>
      </c>
      <c r="G164" s="50" t="n">
        <f aca="false">SUM('Activation Detail'!J164,'Activation Detail'!J664,'Activation Detail'!J1164,'Activation Detail'!J1664,'Activation Detail'!J2164,'Activation Detail'!J2664,'Activation Detail'!J3164,'Activation Detail'!J3664)</f>
        <v>4700142.50054747</v>
      </c>
      <c r="H164" s="50" t="n">
        <f aca="false">SUM('Activation Detail'!K164,'Activation Detail'!K664,'Activation Detail'!K1164,'Activation Detail'!K1664,'Activation Detail'!K2164,'Activation Detail'!K2664,'Activation Detail'!K3164,'Activation Detail'!K3664)</f>
        <v>101022.709821397</v>
      </c>
      <c r="I164" s="51" t="n">
        <f aca="false">IFERROR(H164/F164,0)</f>
        <v>1.36260417774719</v>
      </c>
      <c r="J164" s="49" t="n">
        <f aca="false">IFERROR(F164/E164,0)</f>
        <v>96.6577735702475</v>
      </c>
      <c r="K164" s="46" t="n">
        <f aca="false">IFERROR(C164/B164,0)</f>
        <v>0.0971774139700391</v>
      </c>
      <c r="L164" s="47" t="n">
        <f aca="false">IFERROR(D164/B164,0)</f>
        <v>0.00396787160145829</v>
      </c>
      <c r="N164" s="48" t="n">
        <f aca="false">SUMIFS('Activation Detail'!$H$4:$H$4003,'Activation Detail'!$A$4:$A$4003,$A164,'Activation Detail'!$N$4:$N$4003,N$2)</f>
        <v>91.2384618203169</v>
      </c>
      <c r="O164" s="50" t="n">
        <f aca="false">N164*'Model Inputs &amp; Assumptions'!$D$40*'Model Inputs &amp; Assumptions'!$H$40</f>
        <v>775526.925472694</v>
      </c>
      <c r="P164" s="50" t="n">
        <f aca="false">N164*'Model Inputs &amp; Assumptions'!$G$40*'Model Inputs &amp; Assumptions'!$H$40</f>
        <v>17449.3558231356</v>
      </c>
      <c r="Q164" s="50" t="n">
        <f aca="false">SUMIFS('Activation Detail'!$I$4:$I$4003,'Activation Detail'!$A$4:$A$4003,$A164,'Activation Detail'!$N$4:$N$4003,N$2)</f>
        <v>17836.162</v>
      </c>
      <c r="R164" s="51" t="n">
        <f aca="false">IFERROR(P164/Q164,0)</f>
        <v>0.97831337387133</v>
      </c>
      <c r="S164" s="49" t="n">
        <f aca="false">IFERROR(Q164/N164,0)</f>
        <v>195.489507869238</v>
      </c>
      <c r="T164" s="48" t="n">
        <f aca="false">SUMIFS('Activation Detail'!$H$4:$H$4003,'Activation Detail'!$A$4:$A$4003,$A164,'Activation Detail'!$N$4:$N$4003,T$2)</f>
        <v>152.966524033157</v>
      </c>
      <c r="U164" s="50" t="n">
        <f aca="false">T164*'Model Inputs &amp; Assumptions'!$D$41*'Model Inputs &amp; Assumptions'!$H$41</f>
        <v>1101358.97303873</v>
      </c>
      <c r="V164" s="50" t="n">
        <f aca="false">T164*'Model Inputs &amp; Assumptions'!$G$41*'Model Inputs &amp; Assumptions'!$H$41</f>
        <v>24284.9653555041</v>
      </c>
      <c r="W164" s="50" t="n">
        <f aca="false">SUMIFS('Activation Detail'!$I$4:$I$4003,'Activation Detail'!$A$4:$A$4003,$A164,'Activation Detail'!$N$4:$N$4003,T$2)</f>
        <v>17285.40537</v>
      </c>
      <c r="X164" s="51" t="n">
        <f aca="false">IFERROR(V164/W164,0)</f>
        <v>1.40494045905642</v>
      </c>
      <c r="Y164" s="49" t="n">
        <f aca="false">IFERROR(W164/T164,0)</f>
        <v>113.001230035489</v>
      </c>
      <c r="Z164" s="48" t="n">
        <f aca="false">SUMIFS('Activation Detail'!$H$4:$H$4003,'Activation Detail'!$A$4:$A$4003,$A164,'Activation Detail'!$N$4:$N$4003,Z$2)</f>
        <v>522.825296673342</v>
      </c>
      <c r="AA164" s="50" t="n">
        <f aca="false">Z164*'Model Inputs &amp; Assumptions'!$D$42*'Model Inputs &amp; Assumptions'!$H$42</f>
        <v>2823256.60203605</v>
      </c>
      <c r="AB164" s="50" t="n">
        <f aca="false">Z164*'Model Inputs &amp; Assumptions'!$G$42*'Model Inputs &amp; Assumptions'!$H$42</f>
        <v>59288.388642757</v>
      </c>
      <c r="AC164" s="50" t="n">
        <f aca="false">SUMIFS('Activation Detail'!$I$4:$I$4003,'Activation Detail'!$A$4:$A$4003,$A164,'Activation Detail'!$N$4:$N$4003,Z$2)</f>
        <v>39017.872</v>
      </c>
      <c r="AD164" s="51" t="n">
        <f aca="false">IFERROR(AB164/AC164,0)</f>
        <v>1.51951876418983</v>
      </c>
      <c r="AE164" s="49" t="n">
        <f aca="false">IFERROR(AC164/Z164,0)</f>
        <v>74.62889085181</v>
      </c>
    </row>
    <row r="165" customFormat="false" ht="15" hidden="false" customHeight="false" outlineLevel="0" collapsed="false">
      <c r="A165" s="43" t="n">
        <v>162</v>
      </c>
      <c r="B165" s="45" t="n">
        <f aca="false">SUM('Activation Detail'!C165,'Activation Detail'!C665,'Activation Detail'!C1165,'Activation Detail'!C1665,'Activation Detail'!C2165,'Activation Detail'!C2665,'Activation Detail'!C3165,'Activation Detail'!C3665)</f>
        <v>4524052</v>
      </c>
      <c r="C165" s="45" t="n">
        <f aca="false">SUM('Activation Detail'!E165,'Activation Detail'!E665,'Activation Detail'!E1165,'Activation Detail'!E1665,'Activation Detail'!E2165,'Activation Detail'!E2665,'Activation Detail'!E3165,'Activation Detail'!E3665)</f>
        <v>440677</v>
      </c>
      <c r="D165" s="45" t="n">
        <f aca="false">SUM('Activation Detail'!G165,'Activation Detail'!G665,'Activation Detail'!G1165,'Activation Detail'!G1665,'Activation Detail'!G2165,'Activation Detail'!G2665,'Activation Detail'!G3165,'Activation Detail'!G3665)</f>
        <v>16804</v>
      </c>
      <c r="E165" s="48" t="n">
        <f aca="false">SUM('Activation Detail'!H165,'Activation Detail'!H665,'Activation Detail'!H1165,'Activation Detail'!H1665,'Activation Detail'!H2165,'Activation Detail'!H2665,'Activation Detail'!H3165,'Activation Detail'!H3665)</f>
        <v>634.254004215295</v>
      </c>
      <c r="F165" s="50" t="n">
        <f aca="false">SUM('Activation Detail'!I165,'Activation Detail'!I665,'Activation Detail'!I1165,'Activation Detail'!I1665,'Activation Detail'!I2165,'Activation Detail'!I2665,'Activation Detail'!I3165,'Activation Detail'!I3665)</f>
        <v>81113.528824</v>
      </c>
      <c r="G165" s="50" t="n">
        <f aca="false">SUM('Activation Detail'!J165,'Activation Detail'!J665,'Activation Detail'!J1165,'Activation Detail'!J1665,'Activation Detail'!J2165,'Activation Detail'!J2665,'Activation Detail'!J3165,'Activation Detail'!J3665)</f>
        <v>4023451.52700981</v>
      </c>
      <c r="H165" s="50" t="n">
        <f aca="false">SUM('Activation Detail'!K165,'Activation Detail'!K665,'Activation Detail'!K1165,'Activation Detail'!K1665,'Activation Detail'!K2165,'Activation Detail'!K2665,'Activation Detail'!K3165,'Activation Detail'!K3665)</f>
        <v>86988.6919162515</v>
      </c>
      <c r="I165" s="51" t="n">
        <f aca="false">IFERROR(H165/F165,0)</f>
        <v>1.07243135858384</v>
      </c>
      <c r="J165" s="49" t="n">
        <f aca="false">IFERROR(F165/E165,0)</f>
        <v>127.888083141634</v>
      </c>
      <c r="K165" s="46" t="n">
        <f aca="false">IFERROR(C165/B165,0)</f>
        <v>0.0974075894795197</v>
      </c>
      <c r="L165" s="47" t="n">
        <f aca="false">IFERROR(D165/B165,0)</f>
        <v>0.0037143693308565</v>
      </c>
      <c r="N165" s="48" t="n">
        <f aca="false">SUMIFS('Activation Detail'!$H$4:$H$4003,'Activation Detail'!$A$4:$A$4003,$A165,'Activation Detail'!$N$4:$N$4003,N$2)</f>
        <v>64.465736269819</v>
      </c>
      <c r="O165" s="50" t="n">
        <f aca="false">N165*'Model Inputs &amp; Assumptions'!$D$40*'Model Inputs &amp; Assumptions'!$H$40</f>
        <v>547958.758293461</v>
      </c>
      <c r="P165" s="50" t="n">
        <f aca="false">N165*'Model Inputs &amp; Assumptions'!$G$40*'Model Inputs &amp; Assumptions'!$H$40</f>
        <v>12329.0720616029</v>
      </c>
      <c r="Q165" s="50" t="n">
        <f aca="false">SUMIFS('Activation Detail'!$I$4:$I$4003,'Activation Detail'!$A$4:$A$4003,$A165,'Activation Detail'!$N$4:$N$4003,N$2)</f>
        <v>18301.9325</v>
      </c>
      <c r="R165" s="51" t="n">
        <f aca="false">IFERROR(P165/Q165,0)</f>
        <v>0.673648646753717</v>
      </c>
      <c r="S165" s="49" t="n">
        <f aca="false">IFERROR(Q165/N165,0)</f>
        <v>283.901705913944</v>
      </c>
      <c r="T165" s="48" t="n">
        <f aca="false">SUMIFS('Activation Detail'!$H$4:$H$4003,'Activation Detail'!$A$4:$A$4003,$A165,'Activation Detail'!$N$4:$N$4003,T$2)</f>
        <v>221.464512117099</v>
      </c>
      <c r="U165" s="50" t="n">
        <f aca="false">T165*'Model Inputs &amp; Assumptions'!$D$41*'Model Inputs &amp; Assumptions'!$H$41</f>
        <v>1594544.48724311</v>
      </c>
      <c r="V165" s="50" t="n">
        <f aca="false">T165*'Model Inputs &amp; Assumptions'!$G$41*'Model Inputs &amp; Assumptions'!$H$41</f>
        <v>35159.7059437106</v>
      </c>
      <c r="W165" s="50" t="n">
        <f aca="false">SUMIFS('Activation Detail'!$I$4:$I$4003,'Activation Detail'!$A$4:$A$4003,$A165,'Activation Detail'!$N$4:$N$4003,T$2)</f>
        <v>17856.544324</v>
      </c>
      <c r="X165" s="51" t="n">
        <f aca="false">IFERROR(V165/W165,0)</f>
        <v>1.96900952982568</v>
      </c>
      <c r="Y165" s="49" t="n">
        <f aca="false">IFERROR(W165/T165,0)</f>
        <v>80.6293710594969</v>
      </c>
      <c r="Z165" s="48" t="n">
        <f aca="false">SUMIFS('Activation Detail'!$H$4:$H$4003,'Activation Detail'!$A$4:$A$4003,$A165,'Activation Detail'!$N$4:$N$4003,Z$2)</f>
        <v>348.323755828377</v>
      </c>
      <c r="AA165" s="50" t="n">
        <f aca="false">Z165*'Model Inputs &amp; Assumptions'!$D$42*'Model Inputs &amp; Assumptions'!$H$42</f>
        <v>1880948.28147324</v>
      </c>
      <c r="AB165" s="50" t="n">
        <f aca="false">Z165*'Model Inputs &amp; Assumptions'!$G$42*'Model Inputs &amp; Assumptions'!$H$42</f>
        <v>39499.913910938</v>
      </c>
      <c r="AC165" s="50" t="n">
        <f aca="false">SUMIFS('Activation Detail'!$I$4:$I$4003,'Activation Detail'!$A$4:$A$4003,$A165,'Activation Detail'!$N$4:$N$4003,Z$2)</f>
        <v>44955.052</v>
      </c>
      <c r="AD165" s="51" t="n">
        <f aca="false">IFERROR(AB165/AC165,0)</f>
        <v>0.878653502857432</v>
      </c>
      <c r="AE165" s="49" t="n">
        <f aca="false">IFERROR(AC165/Z165,0)</f>
        <v>129.061114115196</v>
      </c>
    </row>
    <row r="166" customFormat="false" ht="15" hidden="false" customHeight="false" outlineLevel="0" collapsed="false">
      <c r="A166" s="43" t="n">
        <v>163</v>
      </c>
      <c r="B166" s="45" t="n">
        <f aca="false">SUM('Activation Detail'!C166,'Activation Detail'!C666,'Activation Detail'!C1166,'Activation Detail'!C1666,'Activation Detail'!C2166,'Activation Detail'!C2666,'Activation Detail'!C3166,'Activation Detail'!C3666)</f>
        <v>4125542</v>
      </c>
      <c r="C166" s="45" t="n">
        <f aca="false">SUM('Activation Detail'!E166,'Activation Detail'!E666,'Activation Detail'!E1166,'Activation Detail'!E1666,'Activation Detail'!E2166,'Activation Detail'!E2666,'Activation Detail'!E3166,'Activation Detail'!E3666)</f>
        <v>332027</v>
      </c>
      <c r="D166" s="45" t="n">
        <f aca="false">SUM('Activation Detail'!G166,'Activation Detail'!G666,'Activation Detail'!G1166,'Activation Detail'!G1666,'Activation Detail'!G2166,'Activation Detail'!G2666,'Activation Detail'!G3166,'Activation Detail'!G3666)</f>
        <v>20762</v>
      </c>
      <c r="E166" s="48" t="n">
        <f aca="false">SUM('Activation Detail'!H166,'Activation Detail'!H666,'Activation Detail'!H1166,'Activation Detail'!H1666,'Activation Detail'!H2166,'Activation Detail'!H2666,'Activation Detail'!H3166,'Activation Detail'!H3666)</f>
        <v>961.593786704487</v>
      </c>
      <c r="F166" s="50" t="n">
        <f aca="false">SUM('Activation Detail'!I166,'Activation Detail'!I666,'Activation Detail'!I1166,'Activation Detail'!I1666,'Activation Detail'!I2166,'Activation Detail'!I2666,'Activation Detail'!I3166,'Activation Detail'!I3666)</f>
        <v>76848.222804</v>
      </c>
      <c r="G166" s="50" t="n">
        <f aca="false">SUM('Activation Detail'!J166,'Activation Detail'!J666,'Activation Detail'!J1166,'Activation Detail'!J1666,'Activation Detail'!J2166,'Activation Detail'!J2666,'Activation Detail'!J3166,'Activation Detail'!J3666)</f>
        <v>5603964.36007731</v>
      </c>
      <c r="H166" s="50" t="n">
        <f aca="false">SUM('Activation Detail'!K166,'Activation Detail'!K666,'Activation Detail'!K1166,'Activation Detail'!K1666,'Activation Detail'!K2166,'Activation Detail'!K2666,'Activation Detail'!K3166,'Activation Detail'!K3666)</f>
        <v>119392.302600049</v>
      </c>
      <c r="I166" s="51" t="n">
        <f aca="false">IFERROR(H166/F166,0)</f>
        <v>1.55361175891545</v>
      </c>
      <c r="J166" s="49" t="n">
        <f aca="false">IFERROR(F166/E166,0)</f>
        <v>79.917553406173</v>
      </c>
      <c r="K166" s="46" t="n">
        <f aca="false">IFERROR(C166/B166,0)</f>
        <v>0.0804808192475074</v>
      </c>
      <c r="L166" s="47" t="n">
        <f aca="false">IFERROR(D166/B166,0)</f>
        <v>0.00503255087452752</v>
      </c>
      <c r="N166" s="48" t="n">
        <f aca="false">SUMIFS('Activation Detail'!$H$4:$H$4003,'Activation Detail'!$A$4:$A$4003,$A166,'Activation Detail'!$N$4:$N$4003,N$2)</f>
        <v>69.0821905241668</v>
      </c>
      <c r="O166" s="50" t="n">
        <f aca="false">N166*'Model Inputs &amp; Assumptions'!$D$40*'Model Inputs &amp; Assumptions'!$H$40</f>
        <v>587198.619455418</v>
      </c>
      <c r="P166" s="50" t="n">
        <f aca="false">N166*'Model Inputs &amp; Assumptions'!$G$40*'Model Inputs &amp; Assumptions'!$H$40</f>
        <v>13211.9689377469</v>
      </c>
      <c r="Q166" s="50" t="n">
        <f aca="false">SUMIFS('Activation Detail'!$I$4:$I$4003,'Activation Detail'!$A$4:$A$4003,$A166,'Activation Detail'!$N$4:$N$4003,N$2)</f>
        <v>18484.5955</v>
      </c>
      <c r="R166" s="51" t="n">
        <f aca="false">IFERROR(P166/Q166,0)</f>
        <v>0.714755642759231</v>
      </c>
      <c r="S166" s="49" t="n">
        <f aca="false">IFERROR(Q166/N166,0)</f>
        <v>267.573963126337</v>
      </c>
      <c r="T166" s="48" t="n">
        <f aca="false">SUMIFS('Activation Detail'!$H$4:$H$4003,'Activation Detail'!$A$4:$A$4003,$A166,'Activation Detail'!$N$4:$N$4003,T$2)</f>
        <v>109.55728958231</v>
      </c>
      <c r="U166" s="50" t="n">
        <f aca="false">T166*'Model Inputs &amp; Assumptions'!$D$41*'Model Inputs &amp; Assumptions'!$H$41</f>
        <v>788812.484992629</v>
      </c>
      <c r="V166" s="50" t="n">
        <f aca="false">T166*'Model Inputs &amp; Assumptions'!$G$41*'Model Inputs &amp; Assumptions'!$H$41</f>
        <v>17393.3152940875</v>
      </c>
      <c r="W166" s="50" t="n">
        <f aca="false">SUMIFS('Activation Detail'!$I$4:$I$4003,'Activation Detail'!$A$4:$A$4003,$A166,'Activation Detail'!$N$4:$N$4003,T$2)</f>
        <v>15837.771304</v>
      </c>
      <c r="X166" s="51" t="n">
        <f aca="false">IFERROR(V166/W166,0)</f>
        <v>1.09821735395905</v>
      </c>
      <c r="Y166" s="49" t="n">
        <f aca="false">IFERROR(W166/T166,0)</f>
        <v>144.561547336393</v>
      </c>
      <c r="Z166" s="48" t="n">
        <f aca="false">SUMIFS('Activation Detail'!$H$4:$H$4003,'Activation Detail'!$A$4:$A$4003,$A166,'Activation Detail'!$N$4:$N$4003,Z$2)</f>
        <v>782.954306598011</v>
      </c>
      <c r="AA166" s="50" t="n">
        <f aca="false">Z166*'Model Inputs &amp; Assumptions'!$D$42*'Model Inputs &amp; Assumptions'!$H$42</f>
        <v>4227953.25562926</v>
      </c>
      <c r="AB166" s="50" t="n">
        <f aca="false">Z166*'Model Inputs &amp; Assumptions'!$G$42*'Model Inputs &amp; Assumptions'!$H$42</f>
        <v>88787.0183682144</v>
      </c>
      <c r="AC166" s="50" t="n">
        <f aca="false">SUMIFS('Activation Detail'!$I$4:$I$4003,'Activation Detail'!$A$4:$A$4003,$A166,'Activation Detail'!$N$4:$N$4003,Z$2)</f>
        <v>42525.856</v>
      </c>
      <c r="AD166" s="51" t="n">
        <f aca="false">IFERROR(AB166/AC166,0)</f>
        <v>2.08783612417383</v>
      </c>
      <c r="AE166" s="49" t="n">
        <f aca="false">IFERROR(AC166/Z166,0)</f>
        <v>54.3146076873601</v>
      </c>
    </row>
    <row r="167" customFormat="false" ht="15" hidden="false" customHeight="false" outlineLevel="0" collapsed="false">
      <c r="A167" s="43" t="n">
        <v>164</v>
      </c>
      <c r="B167" s="45" t="n">
        <f aca="false">SUM('Activation Detail'!C167,'Activation Detail'!C667,'Activation Detail'!C1167,'Activation Detail'!C1667,'Activation Detail'!C2167,'Activation Detail'!C2667,'Activation Detail'!C3167,'Activation Detail'!C3667)</f>
        <v>3595505</v>
      </c>
      <c r="C167" s="45" t="n">
        <f aca="false">SUM('Activation Detail'!E167,'Activation Detail'!E667,'Activation Detail'!E1167,'Activation Detail'!E1667,'Activation Detail'!E2167,'Activation Detail'!E2667,'Activation Detail'!E3167,'Activation Detail'!E3667)</f>
        <v>303087</v>
      </c>
      <c r="D167" s="45" t="n">
        <f aca="false">SUM('Activation Detail'!G167,'Activation Detail'!G667,'Activation Detail'!G1167,'Activation Detail'!G1667,'Activation Detail'!G2167,'Activation Detail'!G2667,'Activation Detail'!G3167,'Activation Detail'!G3667)</f>
        <v>12650</v>
      </c>
      <c r="E167" s="48" t="n">
        <f aca="false">SUM('Activation Detail'!H167,'Activation Detail'!H667,'Activation Detail'!H1167,'Activation Detail'!H1667,'Activation Detail'!H2167,'Activation Detail'!H2667,'Activation Detail'!H3167,'Activation Detail'!H3667)</f>
        <v>626.741307800367</v>
      </c>
      <c r="F167" s="50" t="n">
        <f aca="false">SUM('Activation Detail'!I167,'Activation Detail'!I667,'Activation Detail'!I1167,'Activation Detail'!I1667,'Activation Detail'!I2167,'Activation Detail'!I2667,'Activation Detail'!I3167,'Activation Detail'!I3667)</f>
        <v>71041.6952</v>
      </c>
      <c r="G167" s="50" t="n">
        <f aca="false">SUM('Activation Detail'!J167,'Activation Detail'!J667,'Activation Detail'!J1167,'Activation Detail'!J1667,'Activation Detail'!J2167,'Activation Detail'!J2667,'Activation Detail'!J3167,'Activation Detail'!J3667)</f>
        <v>4035233.6469029</v>
      </c>
      <c r="H167" s="50" t="n">
        <f aca="false">SUM('Activation Detail'!K167,'Activation Detail'!K667,'Activation Detail'!K1167,'Activation Detail'!K1667,'Activation Detail'!K2167,'Activation Detail'!K2667,'Activation Detail'!K3167,'Activation Detail'!K3667)</f>
        <v>87445.8171417311</v>
      </c>
      <c r="I167" s="51" t="n">
        <f aca="false">IFERROR(H167/F167,0)</f>
        <v>1.23090836860733</v>
      </c>
      <c r="J167" s="49" t="n">
        <f aca="false">IFERROR(F167/E167,0)</f>
        <v>113.350906212534</v>
      </c>
      <c r="K167" s="46" t="n">
        <f aca="false">IFERROR(C167/B167,0)</f>
        <v>0.0842960863633898</v>
      </c>
      <c r="L167" s="47" t="n">
        <f aca="false">IFERROR(D167/B167,0)</f>
        <v>0.00351828185470469</v>
      </c>
      <c r="N167" s="48" t="n">
        <f aca="false">SUMIFS('Activation Detail'!$H$4:$H$4003,'Activation Detail'!$A$4:$A$4003,$A167,'Activation Detail'!$N$4:$N$4003,N$2)</f>
        <v>102.140367813829</v>
      </c>
      <c r="O167" s="50" t="n">
        <f aca="false">N167*'Model Inputs &amp; Assumptions'!$D$40*'Model Inputs &amp; Assumptions'!$H$40</f>
        <v>868193.12641755</v>
      </c>
      <c r="P167" s="50" t="n">
        <f aca="false">N167*'Model Inputs &amp; Assumptions'!$G$40*'Model Inputs &amp; Assumptions'!$H$40</f>
        <v>19534.3453443949</v>
      </c>
      <c r="Q167" s="50" t="n">
        <f aca="false">SUMIFS('Activation Detail'!$I$4:$I$4003,'Activation Detail'!$A$4:$A$4003,$A167,'Activation Detail'!$N$4:$N$4003,N$2)</f>
        <v>18062.2255</v>
      </c>
      <c r="R167" s="51" t="n">
        <f aca="false">IFERROR(P167/Q167,0)</f>
        <v>1.08150268328755</v>
      </c>
      <c r="S167" s="49" t="n">
        <f aca="false">IFERROR(Q167/N167,0)</f>
        <v>176.837286634036</v>
      </c>
      <c r="T167" s="48" t="n">
        <f aca="false">SUMIFS('Activation Detail'!$H$4:$H$4003,'Activation Detail'!$A$4:$A$4003,$A167,'Activation Detail'!$N$4:$N$4003,T$2)</f>
        <v>185.664135865584</v>
      </c>
      <c r="U167" s="50" t="n">
        <f aca="false">T167*'Model Inputs &amp; Assumptions'!$D$41*'Model Inputs &amp; Assumptions'!$H$41</f>
        <v>1336781.7782322</v>
      </c>
      <c r="V167" s="50" t="n">
        <f aca="false">T167*'Model Inputs &amp; Assumptions'!$G$41*'Model Inputs &amp; Assumptions'!$H$41</f>
        <v>29476.0382100201</v>
      </c>
      <c r="W167" s="50" t="n">
        <f aca="false">SUMIFS('Activation Detail'!$I$4:$I$4003,'Activation Detail'!$A$4:$A$4003,$A167,'Activation Detail'!$N$4:$N$4003,T$2)</f>
        <v>16321.7697</v>
      </c>
      <c r="X167" s="51" t="n">
        <f aca="false">IFERROR(V167/W167,0)</f>
        <v>1.80593396131671</v>
      </c>
      <c r="Y167" s="49" t="n">
        <f aca="false">IFERROR(W167/T167,0)</f>
        <v>87.9101912919605</v>
      </c>
      <c r="Z167" s="48" t="n">
        <f aca="false">SUMIFS('Activation Detail'!$H$4:$H$4003,'Activation Detail'!$A$4:$A$4003,$A167,'Activation Detail'!$N$4:$N$4003,Z$2)</f>
        <v>338.936804120954</v>
      </c>
      <c r="AA167" s="50" t="n">
        <f aca="false">Z167*'Model Inputs &amp; Assumptions'!$D$42*'Model Inputs &amp; Assumptions'!$H$42</f>
        <v>1830258.74225315</v>
      </c>
      <c r="AB167" s="50" t="n">
        <f aca="false">Z167*'Model Inputs &amp; Assumptions'!$G$42*'Model Inputs &amp; Assumptions'!$H$42</f>
        <v>38435.4335873162</v>
      </c>
      <c r="AC167" s="50" t="n">
        <f aca="false">SUMIFS('Activation Detail'!$I$4:$I$4003,'Activation Detail'!$A$4:$A$4003,$A167,'Activation Detail'!$N$4:$N$4003,Z$2)</f>
        <v>36657.7</v>
      </c>
      <c r="AD167" s="51" t="n">
        <f aca="false">IFERROR(AB167/AC167,0)</f>
        <v>1.04849550264518</v>
      </c>
      <c r="AE167" s="49" t="n">
        <f aca="false">IFERROR(AC167/Z167,0)</f>
        <v>108.154970349335</v>
      </c>
    </row>
    <row r="168" customFormat="false" ht="15" hidden="false" customHeight="false" outlineLevel="0" collapsed="false">
      <c r="A168" s="43" t="n">
        <v>165</v>
      </c>
      <c r="B168" s="45" t="n">
        <f aca="false">SUM('Activation Detail'!C168,'Activation Detail'!C668,'Activation Detail'!C1168,'Activation Detail'!C1668,'Activation Detail'!C2168,'Activation Detail'!C2668,'Activation Detail'!C3168,'Activation Detail'!C3668)</f>
        <v>4700760</v>
      </c>
      <c r="C168" s="45" t="n">
        <f aca="false">SUM('Activation Detail'!E168,'Activation Detail'!E668,'Activation Detail'!E1168,'Activation Detail'!E1668,'Activation Detail'!E2168,'Activation Detail'!E2668,'Activation Detail'!E3168,'Activation Detail'!E3668)</f>
        <v>374094</v>
      </c>
      <c r="D168" s="45" t="n">
        <f aca="false">SUM('Activation Detail'!G168,'Activation Detail'!G668,'Activation Detail'!G1168,'Activation Detail'!G1668,'Activation Detail'!G2168,'Activation Detail'!G2668,'Activation Detail'!G3168,'Activation Detail'!G3668)</f>
        <v>15889</v>
      </c>
      <c r="E168" s="48" t="n">
        <f aca="false">SUM('Activation Detail'!H168,'Activation Detail'!H668,'Activation Detail'!H1168,'Activation Detail'!H1668,'Activation Detail'!H2168,'Activation Detail'!H2668,'Activation Detail'!H3168,'Activation Detail'!H3668)</f>
        <v>863.496725323733</v>
      </c>
      <c r="F168" s="50" t="n">
        <f aca="false">SUM('Activation Detail'!I168,'Activation Detail'!I668,'Activation Detail'!I1168,'Activation Detail'!I1668,'Activation Detail'!I2168,'Activation Detail'!I2668,'Activation Detail'!I3168,'Activation Detail'!I3668)</f>
        <v>75863.442042</v>
      </c>
      <c r="G168" s="50" t="n">
        <f aca="false">SUM('Activation Detail'!J168,'Activation Detail'!J668,'Activation Detail'!J1168,'Activation Detail'!J1668,'Activation Detail'!J2168,'Activation Detail'!J2668,'Activation Detail'!J3168,'Activation Detail'!J3668)</f>
        <v>5247810.82284439</v>
      </c>
      <c r="H168" s="50" t="n">
        <f aca="false">SUM('Activation Detail'!K168,'Activation Detail'!K668,'Activation Detail'!K1168,'Activation Detail'!K1668,'Activation Detail'!K2168,'Activation Detail'!K2668,'Activation Detail'!K3168,'Activation Detail'!K3668)</f>
        <v>112635.486471483</v>
      </c>
      <c r="I168" s="51" t="n">
        <f aca="false">IFERROR(H168/F168,0)</f>
        <v>1.48471363069877</v>
      </c>
      <c r="J168" s="49" t="n">
        <f aca="false">IFERROR(F168/E168,0)</f>
        <v>87.8560853992331</v>
      </c>
      <c r="K168" s="46" t="n">
        <f aca="false">IFERROR(C168/B168,0)</f>
        <v>0.0795815995711332</v>
      </c>
      <c r="L168" s="47" t="n">
        <f aca="false">IFERROR(D168/B168,0)</f>
        <v>0.00338009172984794</v>
      </c>
      <c r="N168" s="48" t="n">
        <f aca="false">SUMIFS('Activation Detail'!$H$4:$H$4003,'Activation Detail'!$A$4:$A$4003,$A168,'Activation Detail'!$N$4:$N$4003,N$2)</f>
        <v>93.4834587153987</v>
      </c>
      <c r="O168" s="50" t="n">
        <f aca="false">N168*'Model Inputs &amp; Assumptions'!$D$40*'Model Inputs &amp; Assumptions'!$H$40</f>
        <v>794609.399080889</v>
      </c>
      <c r="P168" s="50" t="n">
        <f aca="false">N168*'Model Inputs &amp; Assumptions'!$G$40*'Model Inputs &amp; Assumptions'!$H$40</f>
        <v>17878.71147932</v>
      </c>
      <c r="Q168" s="50" t="n">
        <f aca="false">SUMIFS('Activation Detail'!$I$4:$I$4003,'Activation Detail'!$A$4:$A$4003,$A168,'Activation Detail'!$N$4:$N$4003,N$2)</f>
        <v>18406.836</v>
      </c>
      <c r="R168" s="51" t="n">
        <f aca="false">IFERROR(P168/Q168,0)</f>
        <v>0.971308240010396</v>
      </c>
      <c r="S168" s="49" t="n">
        <f aca="false">IFERROR(Q168/N168,0)</f>
        <v>196.89939004116</v>
      </c>
      <c r="T168" s="48" t="n">
        <f aca="false">SUMIFS('Activation Detail'!$H$4:$H$4003,'Activation Detail'!$A$4:$A$4003,$A168,'Activation Detail'!$N$4:$N$4003,T$2)</f>
        <v>163.960991154721</v>
      </c>
      <c r="U168" s="50" t="n">
        <f aca="false">T168*'Model Inputs &amp; Assumptions'!$D$41*'Model Inputs &amp; Assumptions'!$H$41</f>
        <v>1180519.13631399</v>
      </c>
      <c r="V168" s="50" t="n">
        <f aca="false">T168*'Model Inputs &amp; Assumptions'!$G$41*'Model Inputs &amp; Assumptions'!$H$41</f>
        <v>26030.4469557234</v>
      </c>
      <c r="W168" s="50" t="n">
        <f aca="false">SUMIFS('Activation Detail'!$I$4:$I$4003,'Activation Detail'!$A$4:$A$4003,$A168,'Activation Detail'!$N$4:$N$4003,T$2)</f>
        <v>16745.282042</v>
      </c>
      <c r="X168" s="51" t="n">
        <f aca="false">IFERROR(V168/W168,0)</f>
        <v>1.55449438775857</v>
      </c>
      <c r="Y168" s="49" t="n">
        <f aca="false">IFERROR(W168/T168,0)</f>
        <v>102.129670747101</v>
      </c>
      <c r="Z168" s="48" t="n">
        <f aca="false">SUMIFS('Activation Detail'!$H$4:$H$4003,'Activation Detail'!$A$4:$A$4003,$A168,'Activation Detail'!$N$4:$N$4003,Z$2)</f>
        <v>606.052275453613</v>
      </c>
      <c r="AA168" s="50" t="n">
        <f aca="false">Z168*'Model Inputs &amp; Assumptions'!$D$42*'Model Inputs &amp; Assumptions'!$H$42</f>
        <v>3272682.28744951</v>
      </c>
      <c r="AB168" s="50" t="n">
        <f aca="false">Z168*'Model Inputs &amp; Assumptions'!$G$42*'Model Inputs &amp; Assumptions'!$H$42</f>
        <v>68726.3280364398</v>
      </c>
      <c r="AC168" s="50" t="n">
        <f aca="false">SUMIFS('Activation Detail'!$I$4:$I$4003,'Activation Detail'!$A$4:$A$4003,$A168,'Activation Detail'!$N$4:$N$4003,Z$2)</f>
        <v>40711.324</v>
      </c>
      <c r="AD168" s="51" t="n">
        <f aca="false">IFERROR(AB168/AC168,0)</f>
        <v>1.68813787624396</v>
      </c>
      <c r="AE168" s="49" t="n">
        <f aca="false">IFERROR(AC168/Z168,0)</f>
        <v>67.1746079486769</v>
      </c>
    </row>
    <row r="169" customFormat="false" ht="15" hidden="false" customHeight="false" outlineLevel="0" collapsed="false">
      <c r="A169" s="43" t="n">
        <v>166</v>
      </c>
      <c r="B169" s="45" t="n">
        <f aca="false">SUM('Activation Detail'!C169,'Activation Detail'!C669,'Activation Detail'!C1169,'Activation Detail'!C1669,'Activation Detail'!C2169,'Activation Detail'!C2669,'Activation Detail'!C3169,'Activation Detail'!C3669)</f>
        <v>4340113</v>
      </c>
      <c r="C169" s="45" t="n">
        <f aca="false">SUM('Activation Detail'!E169,'Activation Detail'!E669,'Activation Detail'!E1169,'Activation Detail'!E1669,'Activation Detail'!E2169,'Activation Detail'!E2669,'Activation Detail'!E3169,'Activation Detail'!E3669)</f>
        <v>254065</v>
      </c>
      <c r="D169" s="45" t="n">
        <f aca="false">SUM('Activation Detail'!G169,'Activation Detail'!G669,'Activation Detail'!G1169,'Activation Detail'!G1669,'Activation Detail'!G2169,'Activation Detail'!G2669,'Activation Detail'!G3169,'Activation Detail'!G3669)</f>
        <v>17295</v>
      </c>
      <c r="E169" s="48" t="n">
        <f aca="false">SUM('Activation Detail'!H169,'Activation Detail'!H669,'Activation Detail'!H1169,'Activation Detail'!H1669,'Activation Detail'!H2169,'Activation Detail'!H2669,'Activation Detail'!H3169,'Activation Detail'!H3669)</f>
        <v>808.646231427314</v>
      </c>
      <c r="F169" s="50" t="n">
        <f aca="false">SUM('Activation Detail'!I169,'Activation Detail'!I669,'Activation Detail'!I1169,'Activation Detail'!I1669,'Activation Detail'!I2169,'Activation Detail'!I2669,'Activation Detail'!I3169,'Activation Detail'!I3669)</f>
        <v>69456.019514</v>
      </c>
      <c r="G169" s="50" t="n">
        <f aca="false">SUM('Activation Detail'!J169,'Activation Detail'!J669,'Activation Detail'!J1169,'Activation Detail'!J1669,'Activation Detail'!J2169,'Activation Detail'!J2669,'Activation Detail'!J3169,'Activation Detail'!J3669)</f>
        <v>4867622.69542189</v>
      </c>
      <c r="H169" s="50" t="n">
        <f aca="false">SUM('Activation Detail'!K169,'Activation Detail'!K669,'Activation Detail'!K1169,'Activation Detail'!K1669,'Activation Detail'!K2169,'Activation Detail'!K2669,'Activation Detail'!K3169,'Activation Detail'!K3669)</f>
        <v>104302.600833364</v>
      </c>
      <c r="I169" s="51" t="n">
        <f aca="false">IFERROR(H169/F169,0)</f>
        <v>1.50170714594924</v>
      </c>
      <c r="J169" s="49" t="n">
        <f aca="false">IFERROR(F169/E169,0)</f>
        <v>85.8917247303626</v>
      </c>
      <c r="K169" s="46" t="n">
        <f aca="false">IFERROR(C169/B169,0)</f>
        <v>0.058538798413774</v>
      </c>
      <c r="L169" s="47" t="n">
        <f aca="false">IFERROR(D169/B169,0)</f>
        <v>0.00398491928666373</v>
      </c>
      <c r="N169" s="48" t="n">
        <f aca="false">SUMIFS('Activation Detail'!$H$4:$H$4003,'Activation Detail'!$A$4:$A$4003,$A169,'Activation Detail'!$N$4:$N$4003,N$2)</f>
        <v>79.2391203574789</v>
      </c>
      <c r="O169" s="50" t="n">
        <f aca="false">N169*'Model Inputs &amp; Assumptions'!$D$40*'Model Inputs &amp; Assumptions'!$H$40</f>
        <v>673532.523038571</v>
      </c>
      <c r="P169" s="50" t="n">
        <f aca="false">N169*'Model Inputs &amp; Assumptions'!$G$40*'Model Inputs &amp; Assumptions'!$H$40</f>
        <v>15154.4817683678</v>
      </c>
      <c r="Q169" s="50" t="n">
        <f aca="false">SUMIFS('Activation Detail'!$I$4:$I$4003,'Activation Detail'!$A$4:$A$4003,$A169,'Activation Detail'!$N$4:$N$4003,N$2)</f>
        <v>18658.8995</v>
      </c>
      <c r="R169" s="51" t="n">
        <f aca="false">IFERROR(P169/Q169,0)</f>
        <v>0.812185186396863</v>
      </c>
      <c r="S169" s="49" t="n">
        <f aca="false">IFERROR(Q169/N169,0)</f>
        <v>235.475853540806</v>
      </c>
      <c r="T169" s="48" t="n">
        <f aca="false">SUMIFS('Activation Detail'!$H$4:$H$4003,'Activation Detail'!$A$4:$A$4003,$A169,'Activation Detail'!$N$4:$N$4003,T$2)</f>
        <v>141.828762559003</v>
      </c>
      <c r="U169" s="50" t="n">
        <f aca="false">T169*'Model Inputs &amp; Assumptions'!$D$41*'Model Inputs &amp; Assumptions'!$H$41</f>
        <v>1021167.09042482</v>
      </c>
      <c r="V169" s="50" t="n">
        <f aca="false">T169*'Model Inputs &amp; Assumptions'!$G$41*'Model Inputs &amp; Assumptions'!$H$41</f>
        <v>22516.7343438674</v>
      </c>
      <c r="W169" s="50" t="n">
        <f aca="false">SUMIFS('Activation Detail'!$I$4:$I$4003,'Activation Detail'!$A$4:$A$4003,$A169,'Activation Detail'!$N$4:$N$4003,T$2)</f>
        <v>13007.736014</v>
      </c>
      <c r="X169" s="51" t="n">
        <f aca="false">IFERROR(V169/W169,0)</f>
        <v>1.73102639226634</v>
      </c>
      <c r="Y169" s="49" t="n">
        <f aca="false">IFERROR(W169/T169,0)</f>
        <v>91.7143728768594</v>
      </c>
      <c r="Z169" s="48" t="n">
        <f aca="false">SUMIFS('Activation Detail'!$H$4:$H$4003,'Activation Detail'!$A$4:$A$4003,$A169,'Activation Detail'!$N$4:$N$4003,Z$2)</f>
        <v>587.578348510832</v>
      </c>
      <c r="AA169" s="50" t="n">
        <f aca="false">Z169*'Model Inputs &amp; Assumptions'!$D$42*'Model Inputs &amp; Assumptions'!$H$42</f>
        <v>3172923.08195849</v>
      </c>
      <c r="AB169" s="50" t="n">
        <f aca="false">Z169*'Model Inputs &amp; Assumptions'!$G$42*'Model Inputs &amp; Assumptions'!$H$42</f>
        <v>66631.3847211283</v>
      </c>
      <c r="AC169" s="50" t="n">
        <f aca="false">SUMIFS('Activation Detail'!$I$4:$I$4003,'Activation Detail'!$A$4:$A$4003,$A169,'Activation Detail'!$N$4:$N$4003,Z$2)</f>
        <v>37789.384</v>
      </c>
      <c r="AD169" s="51" t="n">
        <f aca="false">IFERROR(AB169/AC169,0)</f>
        <v>1.76323024268213</v>
      </c>
      <c r="AE169" s="49" t="n">
        <f aca="false">IFERROR(AC169/Z169,0)</f>
        <v>64.3137789126744</v>
      </c>
    </row>
    <row r="170" customFormat="false" ht="15" hidden="false" customHeight="false" outlineLevel="0" collapsed="false">
      <c r="A170" s="43" t="n">
        <v>167</v>
      </c>
      <c r="B170" s="45" t="n">
        <f aca="false">SUM('Activation Detail'!C170,'Activation Detail'!C670,'Activation Detail'!C1170,'Activation Detail'!C1670,'Activation Detail'!C2170,'Activation Detail'!C2670,'Activation Detail'!C3170,'Activation Detail'!C3670)</f>
        <v>4408797</v>
      </c>
      <c r="C170" s="45" t="n">
        <f aca="false">SUM('Activation Detail'!E170,'Activation Detail'!E670,'Activation Detail'!E1170,'Activation Detail'!E1670,'Activation Detail'!E2170,'Activation Detail'!E2670,'Activation Detail'!E3170,'Activation Detail'!E3670)</f>
        <v>390572</v>
      </c>
      <c r="D170" s="45" t="n">
        <f aca="false">SUM('Activation Detail'!G170,'Activation Detail'!G670,'Activation Detail'!G1170,'Activation Detail'!G1670,'Activation Detail'!G2170,'Activation Detail'!G2670,'Activation Detail'!G3170,'Activation Detail'!G3670)</f>
        <v>20868</v>
      </c>
      <c r="E170" s="48" t="n">
        <f aca="false">SUM('Activation Detail'!H170,'Activation Detail'!H670,'Activation Detail'!H1170,'Activation Detail'!H1670,'Activation Detail'!H2170,'Activation Detail'!H2670,'Activation Detail'!H3170,'Activation Detail'!H3670)</f>
        <v>812.86391898036</v>
      </c>
      <c r="F170" s="50" t="n">
        <f aca="false">SUM('Activation Detail'!I170,'Activation Detail'!I670,'Activation Detail'!I1170,'Activation Detail'!I1670,'Activation Detail'!I2170,'Activation Detail'!I2670,'Activation Detail'!I3170,'Activation Detail'!I3670)</f>
        <v>74104.157268</v>
      </c>
      <c r="G170" s="50" t="n">
        <f aca="false">SUM('Activation Detail'!J170,'Activation Detail'!J670,'Activation Detail'!J1170,'Activation Detail'!J1670,'Activation Detail'!J2170,'Activation Detail'!J2670,'Activation Detail'!J3170,'Activation Detail'!J3670)</f>
        <v>5081141.94047385</v>
      </c>
      <c r="H170" s="50" t="n">
        <f aca="false">SUM('Activation Detail'!K170,'Activation Detail'!K670,'Activation Detail'!K1170,'Activation Detail'!K1670,'Activation Detail'!K2170,'Activation Detail'!K2670,'Activation Detail'!K3170,'Activation Detail'!K3670)</f>
        <v>109577.708217529</v>
      </c>
      <c r="I170" s="51" t="n">
        <f aca="false">IFERROR(H170/F170,0)</f>
        <v>1.47869852728016</v>
      </c>
      <c r="J170" s="49" t="n">
        <f aca="false">IFERROR(F170/E170,0)</f>
        <v>91.1642841288303</v>
      </c>
      <c r="K170" s="46" t="n">
        <f aca="false">IFERROR(C170/B170,0)</f>
        <v>0.0885892455470279</v>
      </c>
      <c r="L170" s="47" t="n">
        <f aca="false">IFERROR(D170/B170,0)</f>
        <v>0.00473326397200869</v>
      </c>
      <c r="N170" s="48" t="n">
        <f aca="false">SUMIFS('Activation Detail'!$H$4:$H$4003,'Activation Detail'!$A$4:$A$4003,$A170,'Activation Detail'!$N$4:$N$4003,N$2)</f>
        <v>115.98148124866</v>
      </c>
      <c r="O170" s="50" t="n">
        <f aca="false">N170*'Model Inputs &amp; Assumptions'!$D$40*'Model Inputs &amp; Assumptions'!$H$40</f>
        <v>985842.590613606</v>
      </c>
      <c r="P170" s="50" t="n">
        <f aca="false">N170*'Model Inputs &amp; Assumptions'!$G$40*'Model Inputs &amp; Assumptions'!$H$40</f>
        <v>22181.4582888061</v>
      </c>
      <c r="Q170" s="50" t="n">
        <f aca="false">SUMIFS('Activation Detail'!$I$4:$I$4003,'Activation Detail'!$A$4:$A$4003,$A170,'Activation Detail'!$N$4:$N$4003,N$2)</f>
        <v>17333.3545</v>
      </c>
      <c r="R170" s="51" t="n">
        <f aca="false">IFERROR(P170/Q170,0)</f>
        <v>1.27969795395381</v>
      </c>
      <c r="S170" s="49" t="n">
        <f aca="false">IFERROR(Q170/N170,0)</f>
        <v>149.449328577189</v>
      </c>
      <c r="T170" s="48" t="n">
        <f aca="false">SUMIFS('Activation Detail'!$H$4:$H$4003,'Activation Detail'!$A$4:$A$4003,$A170,'Activation Detail'!$N$4:$N$4003,T$2)</f>
        <v>184.518992282811</v>
      </c>
      <c r="U170" s="50" t="n">
        <f aca="false">T170*'Model Inputs &amp; Assumptions'!$D$41*'Model Inputs &amp; Assumptions'!$H$41</f>
        <v>1328536.74443624</v>
      </c>
      <c r="V170" s="50" t="n">
        <f aca="false">T170*'Model Inputs &amp; Assumptions'!$G$41*'Model Inputs &amp; Assumptions'!$H$41</f>
        <v>29294.2352148191</v>
      </c>
      <c r="W170" s="50" t="n">
        <f aca="false">SUMIFS('Activation Detail'!$I$4:$I$4003,'Activation Detail'!$A$4:$A$4003,$A170,'Activation Detail'!$N$4:$N$4003,T$2)</f>
        <v>19965.178768</v>
      </c>
      <c r="X170" s="51" t="n">
        <f aca="false">IFERROR(V170/W170,0)</f>
        <v>1.46726636186056</v>
      </c>
      <c r="Y170" s="49" t="n">
        <f aca="false">IFERROR(W170/T170,0)</f>
        <v>108.201212899534</v>
      </c>
      <c r="Z170" s="48" t="n">
        <f aca="false">SUMIFS('Activation Detail'!$H$4:$H$4003,'Activation Detail'!$A$4:$A$4003,$A170,'Activation Detail'!$N$4:$N$4003,Z$2)</f>
        <v>512.363445448889</v>
      </c>
      <c r="AA170" s="50" t="n">
        <f aca="false">Z170*'Model Inputs &amp; Assumptions'!$D$42*'Model Inputs &amp; Assumptions'!$H$42</f>
        <v>2766762.605424</v>
      </c>
      <c r="AB170" s="50" t="n">
        <f aca="false">Z170*'Model Inputs &amp; Assumptions'!$G$42*'Model Inputs &amp; Assumptions'!$H$42</f>
        <v>58102.014713904</v>
      </c>
      <c r="AC170" s="50" t="n">
        <f aca="false">SUMIFS('Activation Detail'!$I$4:$I$4003,'Activation Detail'!$A$4:$A$4003,$A170,'Activation Detail'!$N$4:$N$4003,Z$2)</f>
        <v>36805.624</v>
      </c>
      <c r="AD170" s="51" t="n">
        <f aca="false">IFERROR(AB170/AC170,0)</f>
        <v>1.578617841499</v>
      </c>
      <c r="AE170" s="49" t="n">
        <f aca="false">IFERROR(AC170/Z170,0)</f>
        <v>71.8349919904104</v>
      </c>
    </row>
    <row r="171" customFormat="false" ht="15" hidden="false" customHeight="false" outlineLevel="0" collapsed="false">
      <c r="A171" s="43" t="n">
        <v>168</v>
      </c>
      <c r="B171" s="45" t="n">
        <f aca="false">SUM('Activation Detail'!C171,'Activation Detail'!C671,'Activation Detail'!C1171,'Activation Detail'!C1671,'Activation Detail'!C2171,'Activation Detail'!C2671,'Activation Detail'!C3171,'Activation Detail'!C3671)</f>
        <v>5988124</v>
      </c>
      <c r="C171" s="45" t="n">
        <f aca="false">SUM('Activation Detail'!E171,'Activation Detail'!E671,'Activation Detail'!E1171,'Activation Detail'!E1671,'Activation Detail'!E2171,'Activation Detail'!E2671,'Activation Detail'!E3171,'Activation Detail'!E3671)</f>
        <v>452680</v>
      </c>
      <c r="D171" s="45" t="n">
        <f aca="false">SUM('Activation Detail'!G171,'Activation Detail'!G671,'Activation Detail'!G1171,'Activation Detail'!G1671,'Activation Detail'!G2171,'Activation Detail'!G2671,'Activation Detail'!G3171,'Activation Detail'!G3671)</f>
        <v>22084</v>
      </c>
      <c r="E171" s="48" t="n">
        <f aca="false">SUM('Activation Detail'!H171,'Activation Detail'!H671,'Activation Detail'!H1171,'Activation Detail'!H1671,'Activation Detail'!H2171,'Activation Detail'!H2671,'Activation Detail'!H3171,'Activation Detail'!H3671)</f>
        <v>1224.87204497178</v>
      </c>
      <c r="F171" s="50" t="n">
        <f aca="false">SUM('Activation Detail'!I171,'Activation Detail'!I671,'Activation Detail'!I1171,'Activation Detail'!I1671,'Activation Detail'!I2171,'Activation Detail'!I2671,'Activation Detail'!I3171,'Activation Detail'!I3671)</f>
        <v>74988.178496</v>
      </c>
      <c r="G171" s="50" t="n">
        <f aca="false">SUM('Activation Detail'!J171,'Activation Detail'!J671,'Activation Detail'!J1171,'Activation Detail'!J1671,'Activation Detail'!J2171,'Activation Detail'!J2671,'Activation Detail'!J3171,'Activation Detail'!J3671)</f>
        <v>7173228.23109172</v>
      </c>
      <c r="H171" s="50" t="n">
        <f aca="false">SUM('Activation Detail'!K171,'Activation Detail'!K671,'Activation Detail'!K1171,'Activation Detail'!K1671,'Activation Detail'!K2171,'Activation Detail'!K2671,'Activation Detail'!K3171,'Activation Detail'!K3671)</f>
        <v>152968.175663917</v>
      </c>
      <c r="I171" s="51" t="n">
        <f aca="false">IFERROR(H171/F171,0)</f>
        <v>2.03989720422502</v>
      </c>
      <c r="J171" s="49" t="n">
        <f aca="false">IFERROR(F171/E171,0)</f>
        <v>61.2212343353199</v>
      </c>
      <c r="K171" s="46" t="n">
        <f aca="false">IFERROR(C171/B171,0)</f>
        <v>0.0755962969370708</v>
      </c>
      <c r="L171" s="47" t="n">
        <f aca="false">IFERROR(D171/B171,0)</f>
        <v>0.0036879663814577</v>
      </c>
      <c r="N171" s="48" t="n">
        <f aca="false">SUMIFS('Activation Detail'!$H$4:$H$4003,'Activation Detail'!$A$4:$A$4003,$A171,'Activation Detail'!$N$4:$N$4003,N$2)</f>
        <v>63.2510356818162</v>
      </c>
      <c r="O171" s="50" t="n">
        <f aca="false">N171*'Model Inputs &amp; Assumptions'!$D$40*'Model Inputs &amp; Assumptions'!$H$40</f>
        <v>537633.803295438</v>
      </c>
      <c r="P171" s="50" t="n">
        <f aca="false">N171*'Model Inputs &amp; Assumptions'!$G$40*'Model Inputs &amp; Assumptions'!$H$40</f>
        <v>12096.7605741474</v>
      </c>
      <c r="Q171" s="50" t="n">
        <f aca="false">SUMIFS('Activation Detail'!$I$4:$I$4003,'Activation Detail'!$A$4:$A$4003,$A171,'Activation Detail'!$N$4:$N$4003,N$2)</f>
        <v>17858.301</v>
      </c>
      <c r="R171" s="51" t="n">
        <f aca="false">IFERROR(P171/Q171,0)</f>
        <v>0.677374660341281</v>
      </c>
      <c r="S171" s="49" t="n">
        <f aca="false">IFERROR(Q171/N171,0)</f>
        <v>282.340056688337</v>
      </c>
      <c r="T171" s="48" t="n">
        <f aca="false">SUMIFS('Activation Detail'!$H$4:$H$4003,'Activation Detail'!$A$4:$A$4003,$A171,'Activation Detail'!$N$4:$N$4003,T$2)</f>
        <v>201.578320905813</v>
      </c>
      <c r="U171" s="50" t="n">
        <f aca="false">T171*'Model Inputs &amp; Assumptions'!$D$41*'Model Inputs &amp; Assumptions'!$H$41</f>
        <v>1451363.91052185</v>
      </c>
      <c r="V171" s="50" t="n">
        <f aca="false">T171*'Model Inputs &amp; Assumptions'!$G$41*'Model Inputs &amp; Assumptions'!$H$41</f>
        <v>32002.5742270069</v>
      </c>
      <c r="W171" s="50" t="n">
        <f aca="false">SUMIFS('Activation Detail'!$I$4:$I$4003,'Activation Detail'!$A$4:$A$4003,$A171,'Activation Detail'!$N$4:$N$4003,T$2)</f>
        <v>18026.781496</v>
      </c>
      <c r="X171" s="51" t="n">
        <f aca="false">IFERROR(V171/W171,0)</f>
        <v>1.77527942157107</v>
      </c>
      <c r="Y171" s="49" t="n">
        <f aca="false">IFERROR(W171/T171,0)</f>
        <v>89.4281756837481</v>
      </c>
      <c r="Z171" s="48" t="n">
        <f aca="false">SUMIFS('Activation Detail'!$H$4:$H$4003,'Activation Detail'!$A$4:$A$4003,$A171,'Activation Detail'!$N$4:$N$4003,Z$2)</f>
        <v>960.042688384153</v>
      </c>
      <c r="AA171" s="50" t="n">
        <f aca="false">Z171*'Model Inputs &amp; Assumptions'!$D$42*'Model Inputs &amp; Assumptions'!$H$42</f>
        <v>5184230.51727443</v>
      </c>
      <c r="AB171" s="50" t="n">
        <f aca="false">Z171*'Model Inputs &amp; Assumptions'!$G$42*'Model Inputs &amp; Assumptions'!$H$42</f>
        <v>108868.840862763</v>
      </c>
      <c r="AC171" s="50" t="n">
        <f aca="false">SUMIFS('Activation Detail'!$I$4:$I$4003,'Activation Detail'!$A$4:$A$4003,$A171,'Activation Detail'!$N$4:$N$4003,Z$2)</f>
        <v>39103.096</v>
      </c>
      <c r="AD171" s="51" t="n">
        <f aca="false">IFERROR(AB171/AC171,0)</f>
        <v>2.78414887820553</v>
      </c>
      <c r="AE171" s="49" t="n">
        <f aca="false">IFERROR(AC171/Z171,0)</f>
        <v>40.7305804972218</v>
      </c>
    </row>
    <row r="172" customFormat="false" ht="15" hidden="false" customHeight="false" outlineLevel="0" collapsed="false">
      <c r="A172" s="43" t="n">
        <v>169</v>
      </c>
      <c r="B172" s="45" t="n">
        <f aca="false">SUM('Activation Detail'!C172,'Activation Detail'!C672,'Activation Detail'!C1172,'Activation Detail'!C1672,'Activation Detail'!C2172,'Activation Detail'!C2672,'Activation Detail'!C3172,'Activation Detail'!C3672)</f>
        <v>3799781</v>
      </c>
      <c r="C172" s="45" t="n">
        <f aca="false">SUM('Activation Detail'!E172,'Activation Detail'!E672,'Activation Detail'!E1172,'Activation Detail'!E1672,'Activation Detail'!E2172,'Activation Detail'!E2672,'Activation Detail'!E3172,'Activation Detail'!E3672)</f>
        <v>473262</v>
      </c>
      <c r="D172" s="45" t="n">
        <f aca="false">SUM('Activation Detail'!G172,'Activation Detail'!G672,'Activation Detail'!G1172,'Activation Detail'!G1672,'Activation Detail'!G2172,'Activation Detail'!G2672,'Activation Detail'!G3172,'Activation Detail'!G3672)</f>
        <v>14497</v>
      </c>
      <c r="E172" s="48" t="n">
        <f aca="false">SUM('Activation Detail'!H172,'Activation Detail'!H672,'Activation Detail'!H1172,'Activation Detail'!H1672,'Activation Detail'!H2172,'Activation Detail'!H2672,'Activation Detail'!H3172,'Activation Detail'!H3672)</f>
        <v>428.404782202838</v>
      </c>
      <c r="F172" s="50" t="n">
        <f aca="false">SUM('Activation Detail'!I172,'Activation Detail'!I672,'Activation Detail'!I1172,'Activation Detail'!I1672,'Activation Detail'!I2172,'Activation Detail'!I2672,'Activation Detail'!I3172,'Activation Detail'!I3672)</f>
        <v>72162.305026</v>
      </c>
      <c r="G172" s="50" t="n">
        <f aca="false">SUM('Activation Detail'!J172,'Activation Detail'!J672,'Activation Detail'!J1172,'Activation Detail'!J1672,'Activation Detail'!J2172,'Activation Detail'!J2672,'Activation Detail'!J3172,'Activation Detail'!J3672)</f>
        <v>2808084.03121736</v>
      </c>
      <c r="H172" s="50" t="n">
        <f aca="false">SUM('Activation Detail'!K172,'Activation Detail'!K672,'Activation Detail'!K1172,'Activation Detail'!K1672,'Activation Detail'!K2172,'Activation Detail'!K2672,'Activation Detail'!K3172,'Activation Detail'!K3672)</f>
        <v>61022.3126941373</v>
      </c>
      <c r="I172" s="51" t="n">
        <f aca="false">IFERROR(H172/F172,0)</f>
        <v>0.845625880051241</v>
      </c>
      <c r="J172" s="49" t="n">
        <f aca="false">IFERROR(F172/E172,0)</f>
        <v>168.44420983105</v>
      </c>
      <c r="K172" s="46" t="n">
        <f aca="false">IFERROR(C172/B172,0)</f>
        <v>0.124549809581131</v>
      </c>
      <c r="L172" s="47" t="n">
        <f aca="false">IFERROR(D172/B172,0)</f>
        <v>0.00381521987714555</v>
      </c>
      <c r="N172" s="48" t="n">
        <f aca="false">SUMIFS('Activation Detail'!$H$4:$H$4003,'Activation Detail'!$A$4:$A$4003,$A172,'Activation Detail'!$N$4:$N$4003,N$2)</f>
        <v>93.2756747401355</v>
      </c>
      <c r="O172" s="50" t="n">
        <f aca="false">N172*'Model Inputs &amp; Assumptions'!$D$40*'Model Inputs &amp; Assumptions'!$H$40</f>
        <v>792843.235291152</v>
      </c>
      <c r="P172" s="50" t="n">
        <f aca="false">N172*'Model Inputs &amp; Assumptions'!$G$40*'Model Inputs &amp; Assumptions'!$H$40</f>
        <v>17838.9727940509</v>
      </c>
      <c r="Q172" s="50" t="n">
        <f aca="false">SUMIFS('Activation Detail'!$I$4:$I$4003,'Activation Detail'!$A$4:$A$4003,$A172,'Activation Detail'!$N$4:$N$4003,N$2)</f>
        <v>17828.0435</v>
      </c>
      <c r="R172" s="51" t="n">
        <f aca="false">IFERROR(P172/Q172,0)</f>
        <v>1.00061303945388</v>
      </c>
      <c r="S172" s="49" t="n">
        <f aca="false">IFERROR(Q172/N172,0)</f>
        <v>191.132828035483</v>
      </c>
      <c r="T172" s="48" t="n">
        <f aca="false">SUMIFS('Activation Detail'!$H$4:$H$4003,'Activation Detail'!$A$4:$A$4003,$A172,'Activation Detail'!$N$4:$N$4003,T$2)</f>
        <v>114.190897570899</v>
      </c>
      <c r="U172" s="50" t="n">
        <f aca="false">T172*'Model Inputs &amp; Assumptions'!$D$41*'Model Inputs &amp; Assumptions'!$H$41</f>
        <v>822174.462510475</v>
      </c>
      <c r="V172" s="50" t="n">
        <f aca="false">T172*'Model Inputs &amp; Assumptions'!$G$41*'Model Inputs &amp; Assumptions'!$H$41</f>
        <v>18128.946898356</v>
      </c>
      <c r="W172" s="50" t="n">
        <f aca="false">SUMIFS('Activation Detail'!$I$4:$I$4003,'Activation Detail'!$A$4:$A$4003,$A172,'Activation Detail'!$N$4:$N$4003,T$2)</f>
        <v>19075.677526</v>
      </c>
      <c r="X172" s="51" t="n">
        <f aca="false">IFERROR(V172/W172,0)</f>
        <v>0.95036975088546</v>
      </c>
      <c r="Y172" s="49" t="n">
        <f aca="false">IFERROR(W172/T172,0)</f>
        <v>167.050771399325</v>
      </c>
      <c r="Z172" s="48" t="n">
        <f aca="false">SUMIFS('Activation Detail'!$H$4:$H$4003,'Activation Detail'!$A$4:$A$4003,$A172,'Activation Detail'!$N$4:$N$4003,Z$2)</f>
        <v>220.938209891803</v>
      </c>
      <c r="AA172" s="50" t="n">
        <f aca="false">Z172*'Model Inputs &amp; Assumptions'!$D$42*'Model Inputs &amp; Assumptions'!$H$42</f>
        <v>1193066.33341573</v>
      </c>
      <c r="AB172" s="50" t="n">
        <f aca="false">Z172*'Model Inputs &amp; Assumptions'!$G$42*'Model Inputs &amp; Assumptions'!$H$42</f>
        <v>25054.3930017304</v>
      </c>
      <c r="AC172" s="50" t="n">
        <f aca="false">SUMIFS('Activation Detail'!$I$4:$I$4003,'Activation Detail'!$A$4:$A$4003,$A172,'Activation Detail'!$N$4:$N$4003,Z$2)</f>
        <v>35258.584</v>
      </c>
      <c r="AD172" s="51" t="n">
        <f aca="false">IFERROR(AB172/AC172,0)</f>
        <v>0.710589880799819</v>
      </c>
      <c r="AE172" s="49" t="n">
        <f aca="false">IFERROR(AC172/Z172,0)</f>
        <v>159.585723163353</v>
      </c>
    </row>
    <row r="173" customFormat="false" ht="15" hidden="false" customHeight="false" outlineLevel="0" collapsed="false">
      <c r="A173" s="43" t="n">
        <v>170</v>
      </c>
      <c r="B173" s="45" t="n">
        <f aca="false">SUM('Activation Detail'!C173,'Activation Detail'!C673,'Activation Detail'!C1173,'Activation Detail'!C1673,'Activation Detail'!C2173,'Activation Detail'!C2673,'Activation Detail'!C3173,'Activation Detail'!C3673)</f>
        <v>4213443</v>
      </c>
      <c r="C173" s="45" t="n">
        <f aca="false">SUM('Activation Detail'!E173,'Activation Detail'!E673,'Activation Detail'!E1173,'Activation Detail'!E1673,'Activation Detail'!E2173,'Activation Detail'!E2673,'Activation Detail'!E3173,'Activation Detail'!E3673)</f>
        <v>311774</v>
      </c>
      <c r="D173" s="45" t="n">
        <f aca="false">SUM('Activation Detail'!G173,'Activation Detail'!G673,'Activation Detail'!G1173,'Activation Detail'!G1673,'Activation Detail'!G2173,'Activation Detail'!G2673,'Activation Detail'!G3173,'Activation Detail'!G3673)</f>
        <v>14716</v>
      </c>
      <c r="E173" s="48" t="n">
        <f aca="false">SUM('Activation Detail'!H173,'Activation Detail'!H673,'Activation Detail'!H1173,'Activation Detail'!H1673,'Activation Detail'!H2173,'Activation Detail'!H2673,'Activation Detail'!H3173,'Activation Detail'!H3673)</f>
        <v>599.924628543842</v>
      </c>
      <c r="F173" s="50" t="n">
        <f aca="false">SUM('Activation Detail'!I173,'Activation Detail'!I673,'Activation Detail'!I1173,'Activation Detail'!I1673,'Activation Detail'!I2173,'Activation Detail'!I2673,'Activation Detail'!I3173,'Activation Detail'!I3673)</f>
        <v>73026.264216</v>
      </c>
      <c r="G173" s="50" t="n">
        <f aca="false">SUM('Activation Detail'!J173,'Activation Detail'!J673,'Activation Detail'!J1173,'Activation Detail'!J1673,'Activation Detail'!J2173,'Activation Detail'!J2673,'Activation Detail'!J3173,'Activation Detail'!J3673)</f>
        <v>3701015.7329146</v>
      </c>
      <c r="H173" s="50" t="n">
        <f aca="false">SUM('Activation Detail'!K173,'Activation Detail'!K673,'Activation Detail'!K1173,'Activation Detail'!K1673,'Activation Detail'!K2173,'Activation Detail'!K2673,'Activation Detail'!K3173,'Activation Detail'!K3673)</f>
        <v>79643.6491651222</v>
      </c>
      <c r="I173" s="51" t="n">
        <f aca="false">IFERROR(H173/F173,0)</f>
        <v>1.09061650654276</v>
      </c>
      <c r="J173" s="49" t="n">
        <f aca="false">IFERROR(F173/E173,0)</f>
        <v>121.72573143605</v>
      </c>
      <c r="K173" s="46" t="n">
        <f aca="false">IFERROR(C173/B173,0)</f>
        <v>0.0739950676916716</v>
      </c>
      <c r="L173" s="47" t="n">
        <f aca="false">IFERROR(D173/B173,0)</f>
        <v>0.0034926306111178</v>
      </c>
      <c r="N173" s="48" t="n">
        <f aca="false">SUMIFS('Activation Detail'!$H$4:$H$4003,'Activation Detail'!$A$4:$A$4003,$A173,'Activation Detail'!$N$4:$N$4003,N$2)</f>
        <v>57.9878850049228</v>
      </c>
      <c r="O173" s="50" t="n">
        <f aca="false">N173*'Model Inputs &amp; Assumptions'!$D$40*'Model Inputs &amp; Assumptions'!$H$40</f>
        <v>492897.022541843</v>
      </c>
      <c r="P173" s="50" t="n">
        <f aca="false">N173*'Model Inputs &amp; Assumptions'!$G$40*'Model Inputs &amp; Assumptions'!$H$40</f>
        <v>11090.1830071915</v>
      </c>
      <c r="Q173" s="50" t="n">
        <f aca="false">SUMIFS('Activation Detail'!$I$4:$I$4003,'Activation Detail'!$A$4:$A$4003,$A173,'Activation Detail'!$N$4:$N$4003,N$2)</f>
        <v>18315.732</v>
      </c>
      <c r="R173" s="51" t="n">
        <f aca="false">IFERROR(P173/Q173,0)</f>
        <v>0.605500397537564</v>
      </c>
      <c r="S173" s="49" t="n">
        <f aca="false">IFERROR(Q173/N173,0)</f>
        <v>315.854458193209</v>
      </c>
      <c r="T173" s="48" t="n">
        <f aca="false">SUMIFS('Activation Detail'!$H$4:$H$4003,'Activation Detail'!$A$4:$A$4003,$A173,'Activation Detail'!$N$4:$N$4003,T$2)</f>
        <v>156.47794181255</v>
      </c>
      <c r="U173" s="50" t="n">
        <f aca="false">T173*'Model Inputs &amp; Assumptions'!$D$41*'Model Inputs &amp; Assumptions'!$H$41</f>
        <v>1126641.18105036</v>
      </c>
      <c r="V173" s="50" t="n">
        <f aca="false">T173*'Model Inputs &amp; Assumptions'!$G$41*'Model Inputs &amp; Assumptions'!$H$41</f>
        <v>24842.4380421605</v>
      </c>
      <c r="W173" s="50" t="n">
        <f aca="false">SUMIFS('Activation Detail'!$I$4:$I$4003,'Activation Detail'!$A$4:$A$4003,$A173,'Activation Detail'!$N$4:$N$4003,T$2)</f>
        <v>16101.464216</v>
      </c>
      <c r="X173" s="51" t="n">
        <f aca="false">IFERROR(V173/W173,0)</f>
        <v>1.54286825774979</v>
      </c>
      <c r="Y173" s="49" t="n">
        <f aca="false">IFERROR(W173/T173,0)</f>
        <v>102.89925870375</v>
      </c>
      <c r="Z173" s="48" t="n">
        <f aca="false">SUMIFS('Activation Detail'!$H$4:$H$4003,'Activation Detail'!$A$4:$A$4003,$A173,'Activation Detail'!$N$4:$N$4003,Z$2)</f>
        <v>385.458801726369</v>
      </c>
      <c r="AA173" s="50" t="n">
        <f aca="false">Z173*'Model Inputs &amp; Assumptions'!$D$42*'Model Inputs &amp; Assumptions'!$H$42</f>
        <v>2081477.52932239</v>
      </c>
      <c r="AB173" s="50" t="n">
        <f aca="false">Z173*'Model Inputs &amp; Assumptions'!$G$42*'Model Inputs &amp; Assumptions'!$H$42</f>
        <v>43711.0281157702</v>
      </c>
      <c r="AC173" s="50" t="n">
        <f aca="false">SUMIFS('Activation Detail'!$I$4:$I$4003,'Activation Detail'!$A$4:$A$4003,$A173,'Activation Detail'!$N$4:$N$4003,Z$2)</f>
        <v>38609.068</v>
      </c>
      <c r="AD173" s="51" t="n">
        <f aca="false">IFERROR(AB173/AC173,0)</f>
        <v>1.13214408894227</v>
      </c>
      <c r="AE173" s="49" t="n">
        <f aca="false">IFERROR(AC173/Z173,0)</f>
        <v>100.163928874059</v>
      </c>
    </row>
    <row r="174" customFormat="false" ht="15" hidden="false" customHeight="false" outlineLevel="0" collapsed="false">
      <c r="A174" s="43" t="n">
        <v>171</v>
      </c>
      <c r="B174" s="45" t="n">
        <f aca="false">SUM('Activation Detail'!C174,'Activation Detail'!C674,'Activation Detail'!C1174,'Activation Detail'!C1674,'Activation Detail'!C2174,'Activation Detail'!C2674,'Activation Detail'!C3174,'Activation Detail'!C3674)</f>
        <v>4060670</v>
      </c>
      <c r="C174" s="45" t="n">
        <f aca="false">SUM('Activation Detail'!E174,'Activation Detail'!E674,'Activation Detail'!E1174,'Activation Detail'!E1674,'Activation Detail'!E2174,'Activation Detail'!E2674,'Activation Detail'!E3174,'Activation Detail'!E3674)</f>
        <v>504307</v>
      </c>
      <c r="D174" s="45" t="n">
        <f aca="false">SUM('Activation Detail'!G174,'Activation Detail'!G674,'Activation Detail'!G1174,'Activation Detail'!G1674,'Activation Detail'!G2174,'Activation Detail'!G2674,'Activation Detail'!G3174,'Activation Detail'!G3674)</f>
        <v>16355</v>
      </c>
      <c r="E174" s="48" t="n">
        <f aca="false">SUM('Activation Detail'!H174,'Activation Detail'!H674,'Activation Detail'!H1174,'Activation Detail'!H1674,'Activation Detail'!H2174,'Activation Detail'!H2674,'Activation Detail'!H3174,'Activation Detail'!H3674)</f>
        <v>582.074848617659</v>
      </c>
      <c r="F174" s="50" t="n">
        <f aca="false">SUM('Activation Detail'!I174,'Activation Detail'!I674,'Activation Detail'!I1174,'Activation Detail'!I1674,'Activation Detail'!I2174,'Activation Detail'!I2674,'Activation Detail'!I3174,'Activation Detail'!I3674)</f>
        <v>84027.558714</v>
      </c>
      <c r="G174" s="50" t="n">
        <f aca="false">SUM('Activation Detail'!J174,'Activation Detail'!J674,'Activation Detail'!J1174,'Activation Detail'!J1674,'Activation Detail'!J2174,'Activation Detail'!J2674,'Activation Detail'!J3174,'Activation Detail'!J3674)</f>
        <v>3771389.3744452</v>
      </c>
      <c r="H174" s="50" t="n">
        <f aca="false">SUM('Activation Detail'!K174,'Activation Detail'!K674,'Activation Detail'!K1174,'Activation Detail'!K1674,'Activation Detail'!K2174,'Activation Detail'!K2674,'Activation Detail'!K3174,'Activation Detail'!K3674)</f>
        <v>81817.3668186287</v>
      </c>
      <c r="I174" s="51" t="n">
        <f aca="false">IFERROR(H174/F174,0)</f>
        <v>0.973696821266771</v>
      </c>
      <c r="J174" s="49" t="n">
        <f aca="false">IFERROR(F174/E174,0)</f>
        <v>144.358683275103</v>
      </c>
      <c r="K174" s="46" t="n">
        <f aca="false">IFERROR(C174/B174,0)</f>
        <v>0.124193051885526</v>
      </c>
      <c r="L174" s="47" t="n">
        <f aca="false">IFERROR(D174/B174,0)</f>
        <v>0.00402766045997335</v>
      </c>
      <c r="N174" s="48" t="n">
        <f aca="false">SUMIFS('Activation Detail'!$H$4:$H$4003,'Activation Detail'!$A$4:$A$4003,$A174,'Activation Detail'!$N$4:$N$4003,N$2)</f>
        <v>74.7698175619552</v>
      </c>
      <c r="O174" s="50" t="n">
        <f aca="false">N174*'Model Inputs &amp; Assumptions'!$D$40*'Model Inputs &amp; Assumptions'!$H$40</f>
        <v>635543.449276619</v>
      </c>
      <c r="P174" s="50" t="n">
        <f aca="false">N174*'Model Inputs &amp; Assumptions'!$G$40*'Model Inputs &amp; Assumptions'!$H$40</f>
        <v>14299.7276087239</v>
      </c>
      <c r="Q174" s="50" t="n">
        <f aca="false">SUMIFS('Activation Detail'!$I$4:$I$4003,'Activation Detail'!$A$4:$A$4003,$A174,'Activation Detail'!$N$4:$N$4003,N$2)</f>
        <v>17876.215</v>
      </c>
      <c r="R174" s="51" t="n">
        <f aca="false">IFERROR(P174/Q174,0)</f>
        <v>0.799930388436475</v>
      </c>
      <c r="S174" s="49" t="n">
        <f aca="false">IFERROR(Q174/N174,0)</f>
        <v>239.08330370323</v>
      </c>
      <c r="T174" s="48" t="n">
        <f aca="false">SUMIFS('Activation Detail'!$H$4:$H$4003,'Activation Detail'!$A$4:$A$4003,$A174,'Activation Detail'!$N$4:$N$4003,T$2)</f>
        <v>220.221531926544</v>
      </c>
      <c r="U174" s="50" t="n">
        <f aca="false">T174*'Model Inputs &amp; Assumptions'!$D$41*'Model Inputs &amp; Assumptions'!$H$41</f>
        <v>1585595.02987111</v>
      </c>
      <c r="V174" s="50" t="n">
        <f aca="false">T174*'Model Inputs &amp; Assumptions'!$G$41*'Model Inputs &amp; Assumptions'!$H$41</f>
        <v>34962.3704086581</v>
      </c>
      <c r="W174" s="50" t="n">
        <f aca="false">SUMIFS('Activation Detail'!$I$4:$I$4003,'Activation Detail'!$A$4:$A$4003,$A174,'Activation Detail'!$N$4:$N$4003,T$2)</f>
        <v>21777.931714</v>
      </c>
      <c r="X174" s="51" t="n">
        <f aca="false">IFERROR(V174/W174,0)</f>
        <v>1.60540361994902</v>
      </c>
      <c r="Y174" s="49" t="n">
        <f aca="false">IFERROR(W174/T174,0)</f>
        <v>98.8910190728497</v>
      </c>
      <c r="Z174" s="48" t="n">
        <f aca="false">SUMIFS('Activation Detail'!$H$4:$H$4003,'Activation Detail'!$A$4:$A$4003,$A174,'Activation Detail'!$N$4:$N$4003,Z$2)</f>
        <v>287.08349912916</v>
      </c>
      <c r="AA174" s="50" t="n">
        <f aca="false">Z174*'Model Inputs &amp; Assumptions'!$D$42*'Model Inputs &amp; Assumptions'!$H$42</f>
        <v>1550250.89529746</v>
      </c>
      <c r="AB174" s="50" t="n">
        <f aca="false">Z174*'Model Inputs &amp; Assumptions'!$G$42*'Model Inputs &amp; Assumptions'!$H$42</f>
        <v>32555.2688012467</v>
      </c>
      <c r="AC174" s="50" t="n">
        <f aca="false">SUMIFS('Activation Detail'!$I$4:$I$4003,'Activation Detail'!$A$4:$A$4003,$A174,'Activation Detail'!$N$4:$N$4003,Z$2)</f>
        <v>44373.412</v>
      </c>
      <c r="AD174" s="51" t="n">
        <f aca="false">IFERROR(AB174/AC174,0)</f>
        <v>0.733666115223385</v>
      </c>
      <c r="AE174" s="49" t="n">
        <f aca="false">IFERROR(AC174/Z174,0)</f>
        <v>154.566222491374</v>
      </c>
    </row>
    <row r="175" customFormat="false" ht="15" hidden="false" customHeight="false" outlineLevel="0" collapsed="false">
      <c r="A175" s="43" t="n">
        <v>172</v>
      </c>
      <c r="B175" s="45" t="n">
        <f aca="false">SUM('Activation Detail'!C175,'Activation Detail'!C675,'Activation Detail'!C1175,'Activation Detail'!C1675,'Activation Detail'!C2175,'Activation Detail'!C2675,'Activation Detail'!C3175,'Activation Detail'!C3675)</f>
        <v>4150080</v>
      </c>
      <c r="C175" s="45" t="n">
        <f aca="false">SUM('Activation Detail'!E175,'Activation Detail'!E675,'Activation Detail'!E1175,'Activation Detail'!E1675,'Activation Detail'!E2175,'Activation Detail'!E2675,'Activation Detail'!E3175,'Activation Detail'!E3675)</f>
        <v>333198</v>
      </c>
      <c r="D175" s="45" t="n">
        <f aca="false">SUM('Activation Detail'!G175,'Activation Detail'!G675,'Activation Detail'!G1175,'Activation Detail'!G1675,'Activation Detail'!G2175,'Activation Detail'!G2675,'Activation Detail'!G3175,'Activation Detail'!G3675)</f>
        <v>15718</v>
      </c>
      <c r="E175" s="48" t="n">
        <f aca="false">SUM('Activation Detail'!H175,'Activation Detail'!H675,'Activation Detail'!H1175,'Activation Detail'!H1675,'Activation Detail'!H2175,'Activation Detail'!H2675,'Activation Detail'!H3175,'Activation Detail'!H3675)</f>
        <v>679.224534253112</v>
      </c>
      <c r="F175" s="50" t="n">
        <f aca="false">SUM('Activation Detail'!I175,'Activation Detail'!I675,'Activation Detail'!I1175,'Activation Detail'!I1675,'Activation Detail'!I2175,'Activation Detail'!I2675,'Activation Detail'!I3175,'Activation Detail'!I3675)</f>
        <v>73261.927476</v>
      </c>
      <c r="G175" s="50" t="n">
        <f aca="false">SUM('Activation Detail'!J175,'Activation Detail'!J675,'Activation Detail'!J1175,'Activation Detail'!J1675,'Activation Detail'!J2175,'Activation Detail'!J2675,'Activation Detail'!J3175,'Activation Detail'!J3675)</f>
        <v>4168439.6778677</v>
      </c>
      <c r="H175" s="50" t="n">
        <f aca="false">SUM('Activation Detail'!K175,'Activation Detail'!K675,'Activation Detail'!K1175,'Activation Detail'!K1675,'Activation Detail'!K2175,'Activation Detail'!K2675,'Activation Detail'!K3175,'Activation Detail'!K3675)</f>
        <v>89620.7487021336</v>
      </c>
      <c r="I175" s="51" t="n">
        <f aca="false">IFERROR(H175/F175,0)</f>
        <v>1.22329225819909</v>
      </c>
      <c r="J175" s="49" t="n">
        <f aca="false">IFERROR(F175/E175,0)</f>
        <v>107.861132484798</v>
      </c>
      <c r="K175" s="46" t="n">
        <f aca="false">IFERROR(C175/B175,0)</f>
        <v>0.0802871269951423</v>
      </c>
      <c r="L175" s="47" t="n">
        <f aca="false">IFERROR(D175/B175,0)</f>
        <v>0.00378739686945794</v>
      </c>
      <c r="N175" s="48" t="n">
        <f aca="false">SUMIFS('Activation Detail'!$H$4:$H$4003,'Activation Detail'!$A$4:$A$4003,$A175,'Activation Detail'!$N$4:$N$4003,N$2)</f>
        <v>70.8101602663036</v>
      </c>
      <c r="O175" s="50" t="n">
        <f aca="false">N175*'Model Inputs &amp; Assumptions'!$D$40*'Model Inputs &amp; Assumptions'!$H$40</f>
        <v>601886.362263581</v>
      </c>
      <c r="P175" s="50" t="n">
        <f aca="false">N175*'Model Inputs &amp; Assumptions'!$G$40*'Model Inputs &amp; Assumptions'!$H$40</f>
        <v>13542.4431509306</v>
      </c>
      <c r="Q175" s="50" t="n">
        <f aca="false">SUMIFS('Activation Detail'!$I$4:$I$4003,'Activation Detail'!$A$4:$A$4003,$A175,'Activation Detail'!$N$4:$N$4003,N$2)</f>
        <v>18256.504</v>
      </c>
      <c r="R175" s="51" t="n">
        <f aca="false">IFERROR(P175/Q175,0)</f>
        <v>0.741787318696426</v>
      </c>
      <c r="S175" s="49" t="n">
        <f aca="false">IFERROR(Q175/N175,0)</f>
        <v>257.823226657597</v>
      </c>
      <c r="T175" s="48" t="n">
        <f aca="false">SUMIFS('Activation Detail'!$H$4:$H$4003,'Activation Detail'!$A$4:$A$4003,$A175,'Activation Detail'!$N$4:$N$4003,T$2)</f>
        <v>156.175386708532</v>
      </c>
      <c r="U175" s="50" t="n">
        <f aca="false">T175*'Model Inputs &amp; Assumptions'!$D$41*'Model Inputs &amp; Assumptions'!$H$41</f>
        <v>1124462.78430143</v>
      </c>
      <c r="V175" s="50" t="n">
        <f aca="false">T175*'Model Inputs &amp; Assumptions'!$G$41*'Model Inputs &amp; Assumptions'!$H$41</f>
        <v>24794.4043938465</v>
      </c>
      <c r="W175" s="50" t="n">
        <f aca="false">SUMIFS('Activation Detail'!$I$4:$I$4003,'Activation Detail'!$A$4:$A$4003,$A175,'Activation Detail'!$N$4:$N$4003,T$2)</f>
        <v>17075.927476</v>
      </c>
      <c r="X175" s="51" t="n">
        <f aca="false">IFERROR(V175/W175,0)</f>
        <v>1.45200923514665</v>
      </c>
      <c r="Y175" s="49" t="n">
        <f aca="false">IFERROR(W175/T175,0)</f>
        <v>109.33814755246</v>
      </c>
      <c r="Z175" s="48" t="n">
        <f aca="false">SUMIFS('Activation Detail'!$H$4:$H$4003,'Activation Detail'!$A$4:$A$4003,$A175,'Activation Detail'!$N$4:$N$4003,Z$2)</f>
        <v>452.238987278277</v>
      </c>
      <c r="AA175" s="50" t="n">
        <f aca="false">Z175*'Model Inputs &amp; Assumptions'!$D$42*'Model Inputs &amp; Assumptions'!$H$42</f>
        <v>2442090.53130269</v>
      </c>
      <c r="AB175" s="50" t="n">
        <f aca="false">Z175*'Model Inputs &amp; Assumptions'!$G$42*'Model Inputs &amp; Assumptions'!$H$42</f>
        <v>51283.9011573566</v>
      </c>
      <c r="AC175" s="50" t="n">
        <f aca="false">SUMIFS('Activation Detail'!$I$4:$I$4003,'Activation Detail'!$A$4:$A$4003,$A175,'Activation Detail'!$N$4:$N$4003,Z$2)</f>
        <v>37929.496</v>
      </c>
      <c r="AD175" s="51" t="n">
        <f aca="false">IFERROR(AB175/AC175,0)</f>
        <v>1.35208496198728</v>
      </c>
      <c r="AE175" s="49" t="n">
        <f aca="false">IFERROR(AC175/Z175,0)</f>
        <v>83.8704690815629</v>
      </c>
    </row>
    <row r="176" customFormat="false" ht="15" hidden="false" customHeight="false" outlineLevel="0" collapsed="false">
      <c r="A176" s="43" t="n">
        <v>173</v>
      </c>
      <c r="B176" s="45" t="n">
        <f aca="false">SUM('Activation Detail'!C176,'Activation Detail'!C676,'Activation Detail'!C1176,'Activation Detail'!C1676,'Activation Detail'!C2176,'Activation Detail'!C2676,'Activation Detail'!C3176,'Activation Detail'!C3676)</f>
        <v>4010422</v>
      </c>
      <c r="C176" s="45" t="n">
        <f aca="false">SUM('Activation Detail'!E176,'Activation Detail'!E676,'Activation Detail'!E1176,'Activation Detail'!E1676,'Activation Detail'!E2176,'Activation Detail'!E2676,'Activation Detail'!E3176,'Activation Detail'!E3676)</f>
        <v>320912</v>
      </c>
      <c r="D176" s="45" t="n">
        <f aca="false">SUM('Activation Detail'!G176,'Activation Detail'!G676,'Activation Detail'!G1176,'Activation Detail'!G1676,'Activation Detail'!G2176,'Activation Detail'!G2676,'Activation Detail'!G3176,'Activation Detail'!G3676)</f>
        <v>20705</v>
      </c>
      <c r="E176" s="48" t="n">
        <f aca="false">SUM('Activation Detail'!H176,'Activation Detail'!H676,'Activation Detail'!H1176,'Activation Detail'!H1676,'Activation Detail'!H2176,'Activation Detail'!H2676,'Activation Detail'!H3176,'Activation Detail'!H3676)</f>
        <v>703.120180114091</v>
      </c>
      <c r="F176" s="50" t="n">
        <f aca="false">SUM('Activation Detail'!I176,'Activation Detail'!I676,'Activation Detail'!I1176,'Activation Detail'!I1676,'Activation Detail'!I2176,'Activation Detail'!I2676,'Activation Detail'!I3176,'Activation Detail'!I3676)</f>
        <v>75717.801152</v>
      </c>
      <c r="G176" s="50" t="n">
        <f aca="false">SUM('Activation Detail'!J176,'Activation Detail'!J676,'Activation Detail'!J1176,'Activation Detail'!J1676,'Activation Detail'!J2176,'Activation Detail'!J2676,'Activation Detail'!J3176,'Activation Detail'!J3676)</f>
        <v>4351127.30606964</v>
      </c>
      <c r="H176" s="50" t="n">
        <f aca="false">SUM('Activation Detail'!K176,'Activation Detail'!K676,'Activation Detail'!K1176,'Activation Detail'!K1676,'Activation Detail'!K2176,'Activation Detail'!K2676,'Activation Detail'!K3176,'Activation Detail'!K3676)</f>
        <v>93676.6029152261</v>
      </c>
      <c r="I176" s="51" t="n">
        <f aca="false">IFERROR(H176/F176,0)</f>
        <v>1.23718070902739</v>
      </c>
      <c r="J176" s="49" t="n">
        <f aca="false">IFERROR(F176/E176,0)</f>
        <v>107.688277613812</v>
      </c>
      <c r="K176" s="46" t="n">
        <f aca="false">IFERROR(C176/B176,0)</f>
        <v>0.0800195091688605</v>
      </c>
      <c r="L176" s="47" t="n">
        <f aca="false">IFERROR(D176/B176,0)</f>
        <v>0.00516279832895391</v>
      </c>
      <c r="N176" s="48" t="n">
        <f aca="false">SUMIFS('Activation Detail'!$H$4:$H$4003,'Activation Detail'!$A$4:$A$4003,$A176,'Activation Detail'!$N$4:$N$4003,N$2)</f>
        <v>92.7389360786818</v>
      </c>
      <c r="O176" s="50" t="n">
        <f aca="false">N176*'Model Inputs &amp; Assumptions'!$D$40*'Model Inputs &amp; Assumptions'!$H$40</f>
        <v>788280.956668795</v>
      </c>
      <c r="P176" s="50" t="n">
        <f aca="false">N176*'Model Inputs &amp; Assumptions'!$G$40*'Model Inputs &amp; Assumptions'!$H$40</f>
        <v>17736.3215250479</v>
      </c>
      <c r="Q176" s="50" t="n">
        <f aca="false">SUMIFS('Activation Detail'!$I$4:$I$4003,'Activation Detail'!$A$4:$A$4003,$A176,'Activation Detail'!$N$4:$N$4003,N$2)</f>
        <v>18649.4355</v>
      </c>
      <c r="R176" s="51" t="n">
        <f aca="false">IFERROR(P176/Q176,0)</f>
        <v>0.95103798316297</v>
      </c>
      <c r="S176" s="49" t="n">
        <f aca="false">IFERROR(Q176/N176,0)</f>
        <v>201.096069122223</v>
      </c>
      <c r="T176" s="48" t="n">
        <f aca="false">SUMIFS('Activation Detail'!$H$4:$H$4003,'Activation Detail'!$A$4:$A$4003,$A176,'Activation Detail'!$N$4:$N$4003,T$2)</f>
        <v>148.215350894242</v>
      </c>
      <c r="U176" s="50" t="n">
        <f aca="false">T176*'Model Inputs &amp; Assumptions'!$D$41*'Model Inputs &amp; Assumptions'!$H$41</f>
        <v>1067150.52643854</v>
      </c>
      <c r="V176" s="50" t="n">
        <f aca="false">T176*'Model Inputs &amp; Assumptions'!$G$41*'Model Inputs &amp; Assumptions'!$H$41</f>
        <v>23530.6691079698</v>
      </c>
      <c r="W176" s="50" t="n">
        <f aca="false">SUMIFS('Activation Detail'!$I$4:$I$4003,'Activation Detail'!$A$4:$A$4003,$A176,'Activation Detail'!$N$4:$N$4003,T$2)</f>
        <v>16818.333652</v>
      </c>
      <c r="X176" s="51" t="n">
        <f aca="false">IFERROR(V176/W176,0)</f>
        <v>1.39910823479065</v>
      </c>
      <c r="Y176" s="49" t="n">
        <f aca="false">IFERROR(W176/T176,0)</f>
        <v>113.472279021899</v>
      </c>
      <c r="Z176" s="48" t="n">
        <f aca="false">SUMIFS('Activation Detail'!$H$4:$H$4003,'Activation Detail'!$A$4:$A$4003,$A176,'Activation Detail'!$N$4:$N$4003,Z$2)</f>
        <v>462.165893141167</v>
      </c>
      <c r="AA176" s="50" t="n">
        <f aca="false">Z176*'Model Inputs &amp; Assumptions'!$D$42*'Model Inputs &amp; Assumptions'!$H$42</f>
        <v>2495695.8229623</v>
      </c>
      <c r="AB176" s="50" t="n">
        <f aca="false">Z176*'Model Inputs &amp; Assumptions'!$G$42*'Model Inputs &amp; Assumptions'!$H$42</f>
        <v>52409.6122822083</v>
      </c>
      <c r="AC176" s="50" t="n">
        <f aca="false">SUMIFS('Activation Detail'!$I$4:$I$4003,'Activation Detail'!$A$4:$A$4003,$A176,'Activation Detail'!$N$4:$N$4003,Z$2)</f>
        <v>40250.032</v>
      </c>
      <c r="AD176" s="51" t="n">
        <f aca="false">IFERROR(AB176/AC176,0)</f>
        <v>1.30210113329123</v>
      </c>
      <c r="AE176" s="49" t="n">
        <f aca="false">IFERROR(AC176/Z176,0)</f>
        <v>87.0900094475509</v>
      </c>
    </row>
    <row r="177" customFormat="false" ht="15" hidden="false" customHeight="false" outlineLevel="0" collapsed="false">
      <c r="A177" s="43" t="n">
        <v>174</v>
      </c>
      <c r="B177" s="45" t="n">
        <f aca="false">SUM('Activation Detail'!C177,'Activation Detail'!C677,'Activation Detail'!C1177,'Activation Detail'!C1677,'Activation Detail'!C2177,'Activation Detail'!C2677,'Activation Detail'!C3177,'Activation Detail'!C3677)</f>
        <v>4778362</v>
      </c>
      <c r="C177" s="45" t="n">
        <f aca="false">SUM('Activation Detail'!E177,'Activation Detail'!E677,'Activation Detail'!E1177,'Activation Detail'!E1677,'Activation Detail'!E2177,'Activation Detail'!E2677,'Activation Detail'!E3177,'Activation Detail'!E3677)</f>
        <v>447683</v>
      </c>
      <c r="D177" s="45" t="n">
        <f aca="false">SUM('Activation Detail'!G177,'Activation Detail'!G677,'Activation Detail'!G1177,'Activation Detail'!G1677,'Activation Detail'!G2177,'Activation Detail'!G2677,'Activation Detail'!G3177,'Activation Detail'!G3677)</f>
        <v>21037</v>
      </c>
      <c r="E177" s="48" t="n">
        <f aca="false">SUM('Activation Detail'!H177,'Activation Detail'!H677,'Activation Detail'!H1177,'Activation Detail'!H1677,'Activation Detail'!H2177,'Activation Detail'!H2677,'Activation Detail'!H3177,'Activation Detail'!H3677)</f>
        <v>898.296894969135</v>
      </c>
      <c r="F177" s="50" t="n">
        <f aca="false">SUM('Activation Detail'!I177,'Activation Detail'!I677,'Activation Detail'!I1177,'Activation Detail'!I1677,'Activation Detail'!I2177,'Activation Detail'!I2677,'Activation Detail'!I3177,'Activation Detail'!I3677)</f>
        <v>75106.922426</v>
      </c>
      <c r="G177" s="50" t="n">
        <f aca="false">SUM('Activation Detail'!J177,'Activation Detail'!J677,'Activation Detail'!J1177,'Activation Detail'!J1677,'Activation Detail'!J2177,'Activation Detail'!J2677,'Activation Detail'!J3177,'Activation Detail'!J3677)</f>
        <v>5538146.67309943</v>
      </c>
      <c r="H177" s="50" t="n">
        <f aca="false">SUM('Activation Detail'!K177,'Activation Detail'!K677,'Activation Detail'!K1177,'Activation Detail'!K1677,'Activation Detail'!K2177,'Activation Detail'!K2677,'Activation Detail'!K3177,'Activation Detail'!K3677)</f>
        <v>119158.542156711</v>
      </c>
      <c r="I177" s="51" t="n">
        <f aca="false">IFERROR(H177/F177,0)</f>
        <v>1.58651876961292</v>
      </c>
      <c r="J177" s="49" t="n">
        <f aca="false">IFERROR(F177/E177,0)</f>
        <v>83.6103551583362</v>
      </c>
      <c r="K177" s="46" t="n">
        <f aca="false">IFERROR(C177/B177,0)</f>
        <v>0.0936896367416282</v>
      </c>
      <c r="L177" s="47" t="n">
        <f aca="false">IFERROR(D177/B177,0)</f>
        <v>0.00440255468296458</v>
      </c>
      <c r="N177" s="48" t="n">
        <f aca="false">SUMIFS('Activation Detail'!$H$4:$H$4003,'Activation Detail'!$A$4:$A$4003,$A177,'Activation Detail'!$N$4:$N$4003,N$2)</f>
        <v>108.816398128712</v>
      </c>
      <c r="O177" s="50" t="n">
        <f aca="false">N177*'Model Inputs &amp; Assumptions'!$D$40*'Model Inputs &amp; Assumptions'!$H$40</f>
        <v>924939.38409405</v>
      </c>
      <c r="P177" s="50" t="n">
        <f aca="false">N177*'Model Inputs &amp; Assumptions'!$G$40*'Model Inputs &amp; Assumptions'!$H$40</f>
        <v>20811.1361421161</v>
      </c>
      <c r="Q177" s="50" t="n">
        <f aca="false">SUMIFS('Activation Detail'!$I$4:$I$4003,'Activation Detail'!$A$4:$A$4003,$A177,'Activation Detail'!$N$4:$N$4003,N$2)</f>
        <v>18687.857</v>
      </c>
      <c r="R177" s="51" t="n">
        <f aca="false">IFERROR(P177/Q177,0)</f>
        <v>1.11361811801728</v>
      </c>
      <c r="S177" s="49" t="n">
        <f aca="false">IFERROR(Q177/N177,0)</f>
        <v>171.737507594171</v>
      </c>
      <c r="T177" s="48" t="n">
        <f aca="false">SUMIFS('Activation Detail'!$H$4:$H$4003,'Activation Detail'!$A$4:$A$4003,$A177,'Activation Detail'!$N$4:$N$4003,T$2)</f>
        <v>194.45144781505</v>
      </c>
      <c r="U177" s="50" t="n">
        <f aca="false">T177*'Model Inputs &amp; Assumptions'!$D$41*'Model Inputs &amp; Assumptions'!$H$41</f>
        <v>1400050.42426836</v>
      </c>
      <c r="V177" s="50" t="n">
        <f aca="false">T177*'Model Inputs &amp; Assumptions'!$G$41*'Model Inputs &amp; Assumptions'!$H$41</f>
        <v>30871.1118551174</v>
      </c>
      <c r="W177" s="50" t="n">
        <f aca="false">SUMIFS('Activation Detail'!$I$4:$I$4003,'Activation Detail'!$A$4:$A$4003,$A177,'Activation Detail'!$N$4:$N$4003,T$2)</f>
        <v>18211.313426</v>
      </c>
      <c r="X177" s="51" t="n">
        <f aca="false">IFERROR(V177/W177,0)</f>
        <v>1.69516119639362</v>
      </c>
      <c r="Y177" s="49" t="n">
        <f aca="false">IFERROR(W177/T177,0)</f>
        <v>93.6548101370858</v>
      </c>
      <c r="Z177" s="48" t="n">
        <f aca="false">SUMIFS('Activation Detail'!$H$4:$H$4003,'Activation Detail'!$A$4:$A$4003,$A177,'Activation Detail'!$N$4:$N$4003,Z$2)</f>
        <v>595.029049025373</v>
      </c>
      <c r="AA177" s="50" t="n">
        <f aca="false">Z177*'Model Inputs &amp; Assumptions'!$D$42*'Model Inputs &amp; Assumptions'!$H$42</f>
        <v>3213156.86473701</v>
      </c>
      <c r="AB177" s="50" t="n">
        <f aca="false">Z177*'Model Inputs &amp; Assumptions'!$G$42*'Model Inputs &amp; Assumptions'!$H$42</f>
        <v>67476.2941594773</v>
      </c>
      <c r="AC177" s="50" t="n">
        <f aca="false">SUMIFS('Activation Detail'!$I$4:$I$4003,'Activation Detail'!$A$4:$A$4003,$A177,'Activation Detail'!$N$4:$N$4003,Z$2)</f>
        <v>38207.752</v>
      </c>
      <c r="AD177" s="51" t="n">
        <f aca="false">IFERROR(AB177/AC177,0)</f>
        <v>1.76603674980609</v>
      </c>
      <c r="AE177" s="49" t="n">
        <f aca="false">IFERROR(AC177/Z177,0)</f>
        <v>64.2115743131908</v>
      </c>
    </row>
    <row r="178" customFormat="false" ht="15" hidden="false" customHeight="false" outlineLevel="0" collapsed="false">
      <c r="A178" s="43" t="n">
        <v>175</v>
      </c>
      <c r="B178" s="45" t="n">
        <f aca="false">SUM('Activation Detail'!C178,'Activation Detail'!C678,'Activation Detail'!C1178,'Activation Detail'!C1678,'Activation Detail'!C2178,'Activation Detail'!C2678,'Activation Detail'!C3178,'Activation Detail'!C3678)</f>
        <v>3260021</v>
      </c>
      <c r="C178" s="45" t="n">
        <f aca="false">SUM('Activation Detail'!E178,'Activation Detail'!E678,'Activation Detail'!E1178,'Activation Detail'!E1678,'Activation Detail'!E2178,'Activation Detail'!E2678,'Activation Detail'!E3178,'Activation Detail'!E3678)</f>
        <v>381925</v>
      </c>
      <c r="D178" s="45" t="n">
        <f aca="false">SUM('Activation Detail'!G178,'Activation Detail'!G678,'Activation Detail'!G1178,'Activation Detail'!G1678,'Activation Detail'!G2178,'Activation Detail'!G2678,'Activation Detail'!G3178,'Activation Detail'!G3678)</f>
        <v>12176</v>
      </c>
      <c r="E178" s="48" t="n">
        <f aca="false">SUM('Activation Detail'!H178,'Activation Detail'!H678,'Activation Detail'!H1178,'Activation Detail'!H1678,'Activation Detail'!H2178,'Activation Detail'!H2678,'Activation Detail'!H3178,'Activation Detail'!H3678)</f>
        <v>560.710458070687</v>
      </c>
      <c r="F178" s="50" t="n">
        <f aca="false">SUM('Activation Detail'!I178,'Activation Detail'!I678,'Activation Detail'!I1178,'Activation Detail'!I1678,'Activation Detail'!I2178,'Activation Detail'!I2678,'Activation Detail'!I3178,'Activation Detail'!I3678)</f>
        <v>69984.913324</v>
      </c>
      <c r="G178" s="50" t="n">
        <f aca="false">SUM('Activation Detail'!J178,'Activation Detail'!J678,'Activation Detail'!J1178,'Activation Detail'!J1678,'Activation Detail'!J2178,'Activation Detail'!J2678,'Activation Detail'!J3178,'Activation Detail'!J3678)</f>
        <v>3690923.22436746</v>
      </c>
      <c r="H178" s="50" t="n">
        <f aca="false">SUM('Activation Detail'!K178,'Activation Detail'!K678,'Activation Detail'!K1178,'Activation Detail'!K1678,'Activation Detail'!K2178,'Activation Detail'!K2678,'Activation Detail'!K3178,'Activation Detail'!K3678)</f>
        <v>80269.1393179325</v>
      </c>
      <c r="I178" s="51" t="n">
        <f aca="false">IFERROR(H178/F178,0)</f>
        <v>1.14694918526684</v>
      </c>
      <c r="J178" s="49" t="n">
        <f aca="false">IFERROR(F178/E178,0)</f>
        <v>124.814710188939</v>
      </c>
      <c r="K178" s="46" t="n">
        <f aca="false">IFERROR(C178/B178,0)</f>
        <v>0.117154153301466</v>
      </c>
      <c r="L178" s="47" t="n">
        <f aca="false">IFERROR(D178/B178,0)</f>
        <v>0.00373494526569001</v>
      </c>
      <c r="N178" s="48" t="n">
        <f aca="false">SUMIFS('Activation Detail'!$H$4:$H$4003,'Activation Detail'!$A$4:$A$4003,$A178,'Activation Detail'!$N$4:$N$4003,N$2)</f>
        <v>93.3805447564229</v>
      </c>
      <c r="O178" s="50" t="n">
        <f aca="false">N178*'Model Inputs &amp; Assumptions'!$D$40*'Model Inputs &amp; Assumptions'!$H$40</f>
        <v>793734.630429594</v>
      </c>
      <c r="P178" s="50" t="n">
        <f aca="false">N178*'Model Inputs &amp; Assumptions'!$G$40*'Model Inputs &amp; Assumptions'!$H$40</f>
        <v>17859.0291846659</v>
      </c>
      <c r="Q178" s="50" t="n">
        <f aca="false">SUMIFS('Activation Detail'!$I$4:$I$4003,'Activation Detail'!$A$4:$A$4003,$A178,'Activation Detail'!$N$4:$N$4003,N$2)</f>
        <v>18008.789</v>
      </c>
      <c r="R178" s="51" t="n">
        <f aca="false">IFERROR(P178/Q178,0)</f>
        <v>0.991684070742673</v>
      </c>
      <c r="S178" s="49" t="n">
        <f aca="false">IFERROR(Q178/N178,0)</f>
        <v>192.853758210286</v>
      </c>
      <c r="T178" s="48" t="n">
        <f aca="false">SUMIFS('Activation Detail'!$H$4:$H$4003,'Activation Detail'!$A$4:$A$4003,$A178,'Activation Detail'!$N$4:$N$4003,T$2)</f>
        <v>207.559478911575</v>
      </c>
      <c r="U178" s="50" t="n">
        <f aca="false">T178*'Model Inputs &amp; Assumptions'!$D$41*'Model Inputs &amp; Assumptions'!$H$41</f>
        <v>1494428.24816334</v>
      </c>
      <c r="V178" s="50" t="n">
        <f aca="false">T178*'Model Inputs &amp; Assumptions'!$G$41*'Model Inputs &amp; Assumptions'!$H$41</f>
        <v>32952.1428720017</v>
      </c>
      <c r="W178" s="50" t="n">
        <f aca="false">SUMIFS('Activation Detail'!$I$4:$I$4003,'Activation Detail'!$A$4:$A$4003,$A178,'Activation Detail'!$N$4:$N$4003,T$2)</f>
        <v>15323.068324</v>
      </c>
      <c r="X178" s="51" t="n">
        <f aca="false">IFERROR(V178/W178,0)</f>
        <v>2.15049245851041</v>
      </c>
      <c r="Y178" s="49" t="n">
        <f aca="false">IFERROR(W178/T178,0)</f>
        <v>73.8249508254351</v>
      </c>
      <c r="Z178" s="48" t="n">
        <f aca="false">SUMIFS('Activation Detail'!$H$4:$H$4003,'Activation Detail'!$A$4:$A$4003,$A178,'Activation Detail'!$N$4:$N$4003,Z$2)</f>
        <v>259.770434402688</v>
      </c>
      <c r="AA178" s="50" t="n">
        <f aca="false">Z178*'Model Inputs &amp; Assumptions'!$D$42*'Model Inputs &amp; Assumptions'!$H$42</f>
        <v>1402760.34577452</v>
      </c>
      <c r="AB178" s="50" t="n">
        <f aca="false">Z178*'Model Inputs &amp; Assumptions'!$G$42*'Model Inputs &amp; Assumptions'!$H$42</f>
        <v>29457.9672612649</v>
      </c>
      <c r="AC178" s="50" t="n">
        <f aca="false">SUMIFS('Activation Detail'!$I$4:$I$4003,'Activation Detail'!$A$4:$A$4003,$A178,'Activation Detail'!$N$4:$N$4003,Z$2)</f>
        <v>36653.056</v>
      </c>
      <c r="AD178" s="51" t="n">
        <f aca="false">IFERROR(AB178/AC178,0)</f>
        <v>0.803697439614991</v>
      </c>
      <c r="AE178" s="49" t="n">
        <f aca="false">IFERROR(AC178/Z178,0)</f>
        <v>141.097873914248</v>
      </c>
    </row>
    <row r="179" customFormat="false" ht="15" hidden="false" customHeight="false" outlineLevel="0" collapsed="false">
      <c r="A179" s="43" t="n">
        <v>176</v>
      </c>
      <c r="B179" s="45" t="n">
        <f aca="false">SUM('Activation Detail'!C179,'Activation Detail'!C679,'Activation Detail'!C1179,'Activation Detail'!C1679,'Activation Detail'!C2179,'Activation Detail'!C2679,'Activation Detail'!C3179,'Activation Detail'!C3679)</f>
        <v>3918944</v>
      </c>
      <c r="C179" s="45" t="n">
        <f aca="false">SUM('Activation Detail'!E179,'Activation Detail'!E679,'Activation Detail'!E1179,'Activation Detail'!E1679,'Activation Detail'!E2179,'Activation Detail'!E2679,'Activation Detail'!E3179,'Activation Detail'!E3679)</f>
        <v>385524</v>
      </c>
      <c r="D179" s="45" t="n">
        <f aca="false">SUM('Activation Detail'!G179,'Activation Detail'!G679,'Activation Detail'!G1179,'Activation Detail'!G1679,'Activation Detail'!G2179,'Activation Detail'!G2679,'Activation Detail'!G3179,'Activation Detail'!G3679)</f>
        <v>18023</v>
      </c>
      <c r="E179" s="48" t="n">
        <f aca="false">SUM('Activation Detail'!H179,'Activation Detail'!H679,'Activation Detail'!H1179,'Activation Detail'!H1679,'Activation Detail'!H2179,'Activation Detail'!H2679,'Activation Detail'!H3179,'Activation Detail'!H3679)</f>
        <v>644.304154307119</v>
      </c>
      <c r="F179" s="50" t="n">
        <f aca="false">SUM('Activation Detail'!I179,'Activation Detail'!I679,'Activation Detail'!I1179,'Activation Detail'!I1679,'Activation Detail'!I2179,'Activation Detail'!I2679,'Activation Detail'!I3179,'Activation Detail'!I3679)</f>
        <v>77012.247574</v>
      </c>
      <c r="G179" s="50" t="n">
        <f aca="false">SUM('Activation Detail'!J179,'Activation Detail'!J679,'Activation Detail'!J1179,'Activation Detail'!J1679,'Activation Detail'!J2179,'Activation Detail'!J2679,'Activation Detail'!J3179,'Activation Detail'!J3679)</f>
        <v>4237019.513995</v>
      </c>
      <c r="H179" s="50" t="n">
        <f aca="false">SUM('Activation Detail'!K179,'Activation Detail'!K679,'Activation Detail'!K1179,'Activation Detail'!K1679,'Activation Detail'!K2179,'Activation Detail'!K2679,'Activation Detail'!K3179,'Activation Detail'!K3679)</f>
        <v>92128.7480625704</v>
      </c>
      <c r="I179" s="51" t="n">
        <f aca="false">IFERROR(H179/F179,0)</f>
        <v>1.19628696687556</v>
      </c>
      <c r="J179" s="49" t="n">
        <f aca="false">IFERROR(F179/E179,0)</f>
        <v>119.52778367046</v>
      </c>
      <c r="K179" s="46" t="n">
        <f aca="false">IFERROR(C179/B179,0)</f>
        <v>0.098374460058628</v>
      </c>
      <c r="L179" s="47" t="n">
        <f aca="false">IFERROR(D179/B179,0)</f>
        <v>0.00459894298055803</v>
      </c>
      <c r="N179" s="48" t="n">
        <f aca="false">SUMIFS('Activation Detail'!$H$4:$H$4003,'Activation Detail'!$A$4:$A$4003,$A179,'Activation Detail'!$N$4:$N$4003,N$2)</f>
        <v>116.020260807811</v>
      </c>
      <c r="O179" s="50" t="n">
        <f aca="false">N179*'Model Inputs &amp; Assumptions'!$D$40*'Model Inputs &amp; Assumptions'!$H$40</f>
        <v>986172.216866394</v>
      </c>
      <c r="P179" s="50" t="n">
        <f aca="false">N179*'Model Inputs &amp; Assumptions'!$G$40*'Model Inputs &amp; Assumptions'!$H$40</f>
        <v>22188.8748794939</v>
      </c>
      <c r="Q179" s="50" t="n">
        <f aca="false">SUMIFS('Activation Detail'!$I$4:$I$4003,'Activation Detail'!$A$4:$A$4003,$A179,'Activation Detail'!$N$4:$N$4003,N$2)</f>
        <v>17672.349</v>
      </c>
      <c r="R179" s="51" t="n">
        <f aca="false">IFERROR(P179/Q179,0)</f>
        <v>1.25557020628632</v>
      </c>
      <c r="S179" s="49" t="n">
        <f aca="false">IFERROR(Q179/N179,0)</f>
        <v>152.321231455206</v>
      </c>
      <c r="T179" s="48" t="n">
        <f aca="false">SUMIFS('Activation Detail'!$H$4:$H$4003,'Activation Detail'!$A$4:$A$4003,$A179,'Activation Detail'!$N$4:$N$4003,T$2)</f>
        <v>221.174595684636</v>
      </c>
      <c r="U179" s="50" t="n">
        <f aca="false">T179*'Model Inputs &amp; Assumptions'!$D$41*'Model Inputs &amp; Assumptions'!$H$41</f>
        <v>1592457.08892938</v>
      </c>
      <c r="V179" s="50" t="n">
        <f aca="false">T179*'Model Inputs &amp; Assumptions'!$G$41*'Model Inputs &amp; Assumptions'!$H$41</f>
        <v>35113.6788108928</v>
      </c>
      <c r="W179" s="50" t="n">
        <f aca="false">SUMIFS('Activation Detail'!$I$4:$I$4003,'Activation Detail'!$A$4:$A$4003,$A179,'Activation Detail'!$N$4:$N$4003,T$2)</f>
        <v>18765.278574</v>
      </c>
      <c r="X179" s="51" t="n">
        <f aca="false">IFERROR(V179/W179,0)</f>
        <v>1.87120477175032</v>
      </c>
      <c r="Y179" s="49" t="n">
        <f aca="false">IFERROR(W179/T179,0)</f>
        <v>84.8437340460052</v>
      </c>
      <c r="Z179" s="48" t="n">
        <f aca="false">SUMIFS('Activation Detail'!$H$4:$H$4003,'Activation Detail'!$A$4:$A$4003,$A179,'Activation Detail'!$N$4:$N$4003,Z$2)</f>
        <v>307.109297814672</v>
      </c>
      <c r="AA179" s="50" t="n">
        <f aca="false">Z179*'Model Inputs &amp; Assumptions'!$D$42*'Model Inputs &amp; Assumptions'!$H$42</f>
        <v>1658390.20819923</v>
      </c>
      <c r="AB179" s="50" t="n">
        <f aca="false">Z179*'Model Inputs &amp; Assumptions'!$G$42*'Model Inputs &amp; Assumptions'!$H$42</f>
        <v>34826.1943721838</v>
      </c>
      <c r="AC179" s="50" t="n">
        <f aca="false">SUMIFS('Activation Detail'!$I$4:$I$4003,'Activation Detail'!$A$4:$A$4003,$A179,'Activation Detail'!$N$4:$N$4003,Z$2)</f>
        <v>40574.62</v>
      </c>
      <c r="AD179" s="51" t="n">
        <f aca="false">IFERROR(AB179/AC179,0)</f>
        <v>0.858324597302052</v>
      </c>
      <c r="AE179" s="49" t="n">
        <f aca="false">IFERROR(AC179/Z179,0)</f>
        <v>132.117849536699</v>
      </c>
    </row>
    <row r="180" customFormat="false" ht="15" hidden="false" customHeight="false" outlineLevel="0" collapsed="false">
      <c r="A180" s="43" t="n">
        <v>177</v>
      </c>
      <c r="B180" s="45" t="n">
        <f aca="false">SUM('Activation Detail'!C180,'Activation Detail'!C680,'Activation Detail'!C1180,'Activation Detail'!C1680,'Activation Detail'!C2180,'Activation Detail'!C2680,'Activation Detail'!C3180,'Activation Detail'!C3680)</f>
        <v>3955590</v>
      </c>
      <c r="C180" s="45" t="n">
        <f aca="false">SUM('Activation Detail'!E180,'Activation Detail'!E680,'Activation Detail'!E1180,'Activation Detail'!E1680,'Activation Detail'!E2180,'Activation Detail'!E2680,'Activation Detail'!E3180,'Activation Detail'!E3680)</f>
        <v>383079</v>
      </c>
      <c r="D180" s="45" t="n">
        <f aca="false">SUM('Activation Detail'!G180,'Activation Detail'!G680,'Activation Detail'!G1180,'Activation Detail'!G1680,'Activation Detail'!G2180,'Activation Detail'!G2680,'Activation Detail'!G3180,'Activation Detail'!G3680)</f>
        <v>15529</v>
      </c>
      <c r="E180" s="48" t="n">
        <f aca="false">SUM('Activation Detail'!H180,'Activation Detail'!H680,'Activation Detail'!H1180,'Activation Detail'!H1680,'Activation Detail'!H2180,'Activation Detail'!H2680,'Activation Detail'!H3180,'Activation Detail'!H3680)</f>
        <v>564.71993337746</v>
      </c>
      <c r="F180" s="50" t="n">
        <f aca="false">SUM('Activation Detail'!I180,'Activation Detail'!I680,'Activation Detail'!I1180,'Activation Detail'!I1680,'Activation Detail'!I2180,'Activation Detail'!I2680,'Activation Detail'!I3180,'Activation Detail'!I3680)</f>
        <v>76805.036132</v>
      </c>
      <c r="G180" s="50" t="n">
        <f aca="false">SUM('Activation Detail'!J180,'Activation Detail'!J680,'Activation Detail'!J1180,'Activation Detail'!J1680,'Activation Detail'!J2180,'Activation Detail'!J2680,'Activation Detail'!J3180,'Activation Detail'!J3680)</f>
        <v>3637626.76910539</v>
      </c>
      <c r="H180" s="50" t="n">
        <f aca="false">SUM('Activation Detail'!K180,'Activation Detail'!K680,'Activation Detail'!K1180,'Activation Detail'!K1680,'Activation Detail'!K2180,'Activation Detail'!K2680,'Activation Detail'!K3180,'Activation Detail'!K3680)</f>
        <v>78842.3342309056</v>
      </c>
      <c r="I180" s="51" t="n">
        <f aca="false">IFERROR(H180/F180,0)</f>
        <v>1.02652557959096</v>
      </c>
      <c r="J180" s="49" t="n">
        <f aca="false">IFERROR(F180/E180,0)</f>
        <v>136.005534057647</v>
      </c>
      <c r="K180" s="46" t="n">
        <f aca="false">IFERROR(C180/B180,0)</f>
        <v>0.0968449712937893</v>
      </c>
      <c r="L180" s="47" t="n">
        <f aca="false">IFERROR(D180/B180,0)</f>
        <v>0.00392583660086106</v>
      </c>
      <c r="N180" s="48" t="n">
        <f aca="false">SUMIFS('Activation Detail'!$H$4:$H$4003,'Activation Detail'!$A$4:$A$4003,$A180,'Activation Detail'!$N$4:$N$4003,N$2)</f>
        <v>66.7120798126305</v>
      </c>
      <c r="O180" s="50" t="n">
        <f aca="false">N180*'Model Inputs &amp; Assumptions'!$D$40*'Model Inputs &amp; Assumptions'!$H$40</f>
        <v>567052.678407359</v>
      </c>
      <c r="P180" s="50" t="n">
        <f aca="false">N180*'Model Inputs &amp; Assumptions'!$G$40*'Model Inputs &amp; Assumptions'!$H$40</f>
        <v>12758.6852641656</v>
      </c>
      <c r="Q180" s="50" t="n">
        <f aca="false">SUMIFS('Activation Detail'!$I$4:$I$4003,'Activation Detail'!$A$4:$A$4003,$A180,'Activation Detail'!$N$4:$N$4003,N$2)</f>
        <v>17332.997</v>
      </c>
      <c r="R180" s="51" t="n">
        <f aca="false">IFERROR(P180/Q180,0)</f>
        <v>0.73609227903089</v>
      </c>
      <c r="S180" s="49" t="n">
        <f aca="false">IFERROR(Q180/N180,0)</f>
        <v>259.817967730612</v>
      </c>
      <c r="T180" s="48" t="n">
        <f aca="false">SUMIFS('Activation Detail'!$H$4:$H$4003,'Activation Detail'!$A$4:$A$4003,$A180,'Activation Detail'!$N$4:$N$4003,T$2)</f>
        <v>211.85093413775</v>
      </c>
      <c r="U180" s="50" t="n">
        <f aca="false">T180*'Model Inputs &amp; Assumptions'!$D$41*'Model Inputs &amp; Assumptions'!$H$41</f>
        <v>1525326.7257918</v>
      </c>
      <c r="V180" s="50" t="n">
        <f aca="false">T180*'Model Inputs &amp; Assumptions'!$G$41*'Model Inputs &amp; Assumptions'!$H$41</f>
        <v>33633.4543037093</v>
      </c>
      <c r="W180" s="50" t="n">
        <f aca="false">SUMIFS('Activation Detail'!$I$4:$I$4003,'Activation Detail'!$A$4:$A$4003,$A180,'Activation Detail'!$N$4:$N$4003,T$2)</f>
        <v>18771.707132</v>
      </c>
      <c r="X180" s="51" t="n">
        <f aca="false">IFERROR(V180/W180,0)</f>
        <v>1.79170994237251</v>
      </c>
      <c r="Y180" s="49" t="n">
        <f aca="false">IFERROR(W180/T180,0)</f>
        <v>88.6080923287041</v>
      </c>
      <c r="Z180" s="48" t="n">
        <f aca="false">SUMIFS('Activation Detail'!$H$4:$H$4003,'Activation Detail'!$A$4:$A$4003,$A180,'Activation Detail'!$N$4:$N$4003,Z$2)</f>
        <v>286.156919427079</v>
      </c>
      <c r="AA180" s="50" t="n">
        <f aca="false">Z180*'Model Inputs &amp; Assumptions'!$D$42*'Model Inputs &amp; Assumptions'!$H$42</f>
        <v>1545247.36490623</v>
      </c>
      <c r="AB180" s="50" t="n">
        <f aca="false">Z180*'Model Inputs &amp; Assumptions'!$G$42*'Model Inputs &amp; Assumptions'!$H$42</f>
        <v>32450.1946630307</v>
      </c>
      <c r="AC180" s="50" t="n">
        <f aca="false">SUMIFS('Activation Detail'!$I$4:$I$4003,'Activation Detail'!$A$4:$A$4003,$A180,'Activation Detail'!$N$4:$N$4003,Z$2)</f>
        <v>40700.332</v>
      </c>
      <c r="AD180" s="51" t="n">
        <f aca="false">IFERROR(AB180/AC180,0)</f>
        <v>0.797295576434873</v>
      </c>
      <c r="AE180" s="49" t="n">
        <f aca="false">IFERROR(AC180/Z180,0)</f>
        <v>142.230815461276</v>
      </c>
    </row>
    <row r="181" customFormat="false" ht="15" hidden="false" customHeight="false" outlineLevel="0" collapsed="false">
      <c r="A181" s="43" t="n">
        <v>178</v>
      </c>
      <c r="B181" s="45" t="n">
        <f aca="false">SUM('Activation Detail'!C181,'Activation Detail'!C681,'Activation Detail'!C1181,'Activation Detail'!C1681,'Activation Detail'!C2181,'Activation Detail'!C2681,'Activation Detail'!C3181,'Activation Detail'!C3681)</f>
        <v>3834752</v>
      </c>
      <c r="C181" s="45" t="n">
        <f aca="false">SUM('Activation Detail'!E181,'Activation Detail'!E681,'Activation Detail'!E1181,'Activation Detail'!E1681,'Activation Detail'!E2181,'Activation Detail'!E2681,'Activation Detail'!E3181,'Activation Detail'!E3681)</f>
        <v>333611</v>
      </c>
      <c r="D181" s="45" t="n">
        <f aca="false">SUM('Activation Detail'!G181,'Activation Detail'!G681,'Activation Detail'!G1181,'Activation Detail'!G1681,'Activation Detail'!G2181,'Activation Detail'!G2681,'Activation Detail'!G3181,'Activation Detail'!G3681)</f>
        <v>12400</v>
      </c>
      <c r="E181" s="48" t="n">
        <f aca="false">SUM('Activation Detail'!H181,'Activation Detail'!H681,'Activation Detail'!H1181,'Activation Detail'!H1681,'Activation Detail'!H2181,'Activation Detail'!H2681,'Activation Detail'!H3181,'Activation Detail'!H3681)</f>
        <v>535.938793443502</v>
      </c>
      <c r="F181" s="50" t="n">
        <f aca="false">SUM('Activation Detail'!I181,'Activation Detail'!I681,'Activation Detail'!I1181,'Activation Detail'!I1681,'Activation Detail'!I2181,'Activation Detail'!I2681,'Activation Detail'!I3181,'Activation Detail'!I3681)</f>
        <v>67360.631436</v>
      </c>
      <c r="G181" s="50" t="n">
        <f aca="false">SUM('Activation Detail'!J181,'Activation Detail'!J681,'Activation Detail'!J1181,'Activation Detail'!J1681,'Activation Detail'!J2181,'Activation Detail'!J2681,'Activation Detail'!J3181,'Activation Detail'!J3681)</f>
        <v>3355715.96700686</v>
      </c>
      <c r="H181" s="50" t="n">
        <f aca="false">SUM('Activation Detail'!K181,'Activation Detail'!K681,'Activation Detail'!K1181,'Activation Detail'!K1681,'Activation Detail'!K2181,'Activation Detail'!K2681,'Activation Detail'!K3181,'Activation Detail'!K3681)</f>
        <v>72388.1448647266</v>
      </c>
      <c r="I181" s="51" t="n">
        <f aca="false">IFERROR(H181/F181,0)</f>
        <v>1.07463578237837</v>
      </c>
      <c r="J181" s="49" t="n">
        <f aca="false">IFERROR(F181/E181,0)</f>
        <v>125.687172229493</v>
      </c>
      <c r="K181" s="46" t="n">
        <f aca="false">IFERROR(C181/B181,0)</f>
        <v>0.0869967601555459</v>
      </c>
      <c r="L181" s="47" t="n">
        <f aca="false">IFERROR(D181/B181,0)</f>
        <v>0.003233585900731</v>
      </c>
      <c r="N181" s="48" t="n">
        <f aca="false">SUMIFS('Activation Detail'!$H$4:$H$4003,'Activation Detail'!$A$4:$A$4003,$A181,'Activation Detail'!$N$4:$N$4003,N$2)</f>
        <v>77.0580316581877</v>
      </c>
      <c r="O181" s="50" t="n">
        <f aca="false">N181*'Model Inputs &amp; Assumptions'!$D$40*'Model Inputs &amp; Assumptions'!$H$40</f>
        <v>654993.269094596</v>
      </c>
      <c r="P181" s="50" t="n">
        <f aca="false">N181*'Model Inputs &amp; Assumptions'!$G$40*'Model Inputs &amp; Assumptions'!$H$40</f>
        <v>14737.3485546284</v>
      </c>
      <c r="Q181" s="50" t="n">
        <f aca="false">SUMIFS('Activation Detail'!$I$4:$I$4003,'Activation Detail'!$A$4:$A$4003,$A181,'Activation Detail'!$N$4:$N$4003,N$2)</f>
        <v>17164.27</v>
      </c>
      <c r="R181" s="51" t="n">
        <f aca="false">IFERROR(P181/Q181,0)</f>
        <v>0.858606194998587</v>
      </c>
      <c r="S181" s="49" t="n">
        <f aca="false">IFERROR(Q181/N181,0)</f>
        <v>222.744724081935</v>
      </c>
      <c r="T181" s="48" t="n">
        <f aca="false">SUMIFS('Activation Detail'!$H$4:$H$4003,'Activation Detail'!$A$4:$A$4003,$A181,'Activation Detail'!$N$4:$N$4003,T$2)</f>
        <v>123.759213484208</v>
      </c>
      <c r="U181" s="50" t="n">
        <f aca="false">T181*'Model Inputs &amp; Assumptions'!$D$41*'Model Inputs &amp; Assumptions'!$H$41</f>
        <v>891066.337086295</v>
      </c>
      <c r="V181" s="50" t="n">
        <f aca="false">T181*'Model Inputs &amp; Assumptions'!$G$41*'Model Inputs &amp; Assumptions'!$H$41</f>
        <v>19648.0127327528</v>
      </c>
      <c r="W181" s="50" t="n">
        <f aca="false">SUMIFS('Activation Detail'!$I$4:$I$4003,'Activation Detail'!$A$4:$A$4003,$A181,'Activation Detail'!$N$4:$N$4003,T$2)</f>
        <v>15792.093436</v>
      </c>
      <c r="X181" s="51" t="n">
        <f aca="false">IFERROR(V181/W181,0)</f>
        <v>1.24416771040392</v>
      </c>
      <c r="Y181" s="49" t="n">
        <f aca="false">IFERROR(W181/T181,0)</f>
        <v>127.603375873225</v>
      </c>
      <c r="Z181" s="48" t="n">
        <f aca="false">SUMIFS('Activation Detail'!$H$4:$H$4003,'Activation Detail'!$A$4:$A$4003,$A181,'Activation Detail'!$N$4:$N$4003,Z$2)</f>
        <v>335.121548301106</v>
      </c>
      <c r="AA181" s="50" t="n">
        <f aca="false">Z181*'Model Inputs &amp; Assumptions'!$D$42*'Model Inputs &amp; Assumptions'!$H$42</f>
        <v>1809656.36082597</v>
      </c>
      <c r="AB181" s="50" t="n">
        <f aca="false">Z181*'Model Inputs &amp; Assumptions'!$G$42*'Model Inputs &amp; Assumptions'!$H$42</f>
        <v>38002.7835773454</v>
      </c>
      <c r="AC181" s="50" t="n">
        <f aca="false">SUMIFS('Activation Detail'!$I$4:$I$4003,'Activation Detail'!$A$4:$A$4003,$A181,'Activation Detail'!$N$4:$N$4003,Z$2)</f>
        <v>34404.268</v>
      </c>
      <c r="AD181" s="51" t="n">
        <f aca="false">IFERROR(AB181/AC181,0)</f>
        <v>1.10459503388781</v>
      </c>
      <c r="AE181" s="49" t="n">
        <f aca="false">IFERROR(AC181/Z181,0)</f>
        <v>102.662058511045</v>
      </c>
    </row>
    <row r="182" customFormat="false" ht="15" hidden="false" customHeight="false" outlineLevel="0" collapsed="false">
      <c r="A182" s="43" t="n">
        <v>179</v>
      </c>
      <c r="B182" s="45" t="n">
        <f aca="false">SUM('Activation Detail'!C182,'Activation Detail'!C682,'Activation Detail'!C1182,'Activation Detail'!C1682,'Activation Detail'!C2182,'Activation Detail'!C2682,'Activation Detail'!C3182,'Activation Detail'!C3682)</f>
        <v>3834776</v>
      </c>
      <c r="C182" s="45" t="n">
        <f aca="false">SUM('Activation Detail'!E182,'Activation Detail'!E682,'Activation Detail'!E1182,'Activation Detail'!E1682,'Activation Detail'!E2182,'Activation Detail'!E2682,'Activation Detail'!E3182,'Activation Detail'!E3682)</f>
        <v>359125</v>
      </c>
      <c r="D182" s="45" t="n">
        <f aca="false">SUM('Activation Detail'!G182,'Activation Detail'!G682,'Activation Detail'!G1182,'Activation Detail'!G1682,'Activation Detail'!G2182,'Activation Detail'!G2682,'Activation Detail'!G3182,'Activation Detail'!G3682)</f>
        <v>13043</v>
      </c>
      <c r="E182" s="48" t="n">
        <f aca="false">SUM('Activation Detail'!H182,'Activation Detail'!H682,'Activation Detail'!H1182,'Activation Detail'!H1682,'Activation Detail'!H2182,'Activation Detail'!H2682,'Activation Detail'!H3182,'Activation Detail'!H3682)</f>
        <v>521.971769255566</v>
      </c>
      <c r="F182" s="50" t="n">
        <f aca="false">SUM('Activation Detail'!I182,'Activation Detail'!I682,'Activation Detail'!I1182,'Activation Detail'!I1682,'Activation Detail'!I2182,'Activation Detail'!I2682,'Activation Detail'!I3182,'Activation Detail'!I3682)</f>
        <v>73621.9844</v>
      </c>
      <c r="G182" s="50" t="n">
        <f aca="false">SUM('Activation Detail'!J182,'Activation Detail'!J682,'Activation Detail'!J1182,'Activation Detail'!J1682,'Activation Detail'!J2182,'Activation Detail'!J2682,'Activation Detail'!J3182,'Activation Detail'!J3682)</f>
        <v>3383694.28872491</v>
      </c>
      <c r="H182" s="50" t="n">
        <f aca="false">SUM('Activation Detail'!K182,'Activation Detail'!K682,'Activation Detail'!K1182,'Activation Detail'!K1682,'Activation Detail'!K2182,'Activation Detail'!K2682,'Activation Detail'!K3182,'Activation Detail'!K3682)</f>
        <v>73406.6002930712</v>
      </c>
      <c r="I182" s="51" t="n">
        <f aca="false">IFERROR(H182/F182,0)</f>
        <v>0.997074459365853</v>
      </c>
      <c r="J182" s="49" t="n">
        <f aca="false">IFERROR(F182/E182,0)</f>
        <v>141.045912320123</v>
      </c>
      <c r="K182" s="46" t="n">
        <f aca="false">IFERROR(C182/B182,0)</f>
        <v>0.0936495378087273</v>
      </c>
      <c r="L182" s="47" t="n">
        <f aca="false">IFERROR(D182/B182,0)</f>
        <v>0.0034012416892147</v>
      </c>
      <c r="N182" s="48" t="n">
        <f aca="false">SUMIFS('Activation Detail'!$H$4:$H$4003,'Activation Detail'!$A$4:$A$4003,$A182,'Activation Detail'!$N$4:$N$4003,N$2)</f>
        <v>89.5409484454294</v>
      </c>
      <c r="O182" s="50" t="n">
        <f aca="false">N182*'Model Inputs &amp; Assumptions'!$D$40*'Model Inputs &amp; Assumptions'!$H$40</f>
        <v>761098.06178615</v>
      </c>
      <c r="P182" s="50" t="n">
        <f aca="false">N182*'Model Inputs &amp; Assumptions'!$G$40*'Model Inputs &amp; Assumptions'!$H$40</f>
        <v>17124.7063901884</v>
      </c>
      <c r="Q182" s="50" t="n">
        <f aca="false">SUMIFS('Activation Detail'!$I$4:$I$4003,'Activation Detail'!$A$4:$A$4003,$A182,'Activation Detail'!$N$4:$N$4003,N$2)</f>
        <v>18507.3195</v>
      </c>
      <c r="R182" s="51" t="n">
        <f aca="false">IFERROR(P182/Q182,0)</f>
        <v>0.925293713667632</v>
      </c>
      <c r="S182" s="49" t="n">
        <f aca="false">IFERROR(Q182/N182,0)</f>
        <v>206.691126476947</v>
      </c>
      <c r="T182" s="48" t="n">
        <f aca="false">SUMIFS('Activation Detail'!$H$4:$H$4003,'Activation Detail'!$A$4:$A$4003,$A182,'Activation Detail'!$N$4:$N$4003,T$2)</f>
        <v>159.705441424457</v>
      </c>
      <c r="U182" s="50" t="n">
        <f aca="false">T182*'Model Inputs &amp; Assumptions'!$D$41*'Model Inputs &amp; Assumptions'!$H$41</f>
        <v>1149879.17825609</v>
      </c>
      <c r="V182" s="50" t="n">
        <f aca="false">T182*'Model Inputs &amp; Assumptions'!$G$41*'Model Inputs &amp; Assumptions'!$H$41</f>
        <v>25354.8358805468</v>
      </c>
      <c r="W182" s="50" t="n">
        <f aca="false">SUMIFS('Activation Detail'!$I$4:$I$4003,'Activation Detail'!$A$4:$A$4003,$A182,'Activation Detail'!$N$4:$N$4003,T$2)</f>
        <v>17709.8449</v>
      </c>
      <c r="X182" s="51" t="n">
        <f aca="false">IFERROR(V182/W182,0)</f>
        <v>1.43168028990174</v>
      </c>
      <c r="Y182" s="49" t="n">
        <f aca="false">IFERROR(W182/T182,0)</f>
        <v>110.890679378492</v>
      </c>
      <c r="Z182" s="48" t="n">
        <f aca="false">SUMIFS('Activation Detail'!$H$4:$H$4003,'Activation Detail'!$A$4:$A$4003,$A182,'Activation Detail'!$N$4:$N$4003,Z$2)</f>
        <v>272.725379385679</v>
      </c>
      <c r="AA182" s="50" t="n">
        <f aca="false">Z182*'Model Inputs &amp; Assumptions'!$D$42*'Model Inputs &amp; Assumptions'!$H$42</f>
        <v>1472717.04868267</v>
      </c>
      <c r="AB182" s="50" t="n">
        <f aca="false">Z182*'Model Inputs &amp; Assumptions'!$G$42*'Model Inputs &amp; Assumptions'!$H$42</f>
        <v>30927.058022336</v>
      </c>
      <c r="AC182" s="50" t="n">
        <f aca="false">SUMIFS('Activation Detail'!$I$4:$I$4003,'Activation Detail'!$A$4:$A$4003,$A182,'Activation Detail'!$N$4:$N$4003,Z$2)</f>
        <v>37404.82</v>
      </c>
      <c r="AD182" s="51" t="n">
        <f aca="false">IFERROR(AB182/AC182,0)</f>
        <v>0.826820126987272</v>
      </c>
      <c r="AE182" s="49" t="n">
        <f aca="false">IFERROR(AC182/Z182,0)</f>
        <v>137.151958810197</v>
      </c>
    </row>
    <row r="183" customFormat="false" ht="15" hidden="false" customHeight="false" outlineLevel="0" collapsed="false">
      <c r="A183" s="43" t="n">
        <v>180</v>
      </c>
      <c r="B183" s="45" t="n">
        <f aca="false">SUM('Activation Detail'!C183,'Activation Detail'!C683,'Activation Detail'!C1183,'Activation Detail'!C1683,'Activation Detail'!C2183,'Activation Detail'!C2683,'Activation Detail'!C3183,'Activation Detail'!C3683)</f>
        <v>4392304</v>
      </c>
      <c r="C183" s="45" t="n">
        <f aca="false">SUM('Activation Detail'!E183,'Activation Detail'!E683,'Activation Detail'!E1183,'Activation Detail'!E1683,'Activation Detail'!E2183,'Activation Detail'!E2683,'Activation Detail'!E3183,'Activation Detail'!E3683)</f>
        <v>466220</v>
      </c>
      <c r="D183" s="45" t="n">
        <f aca="false">SUM('Activation Detail'!G183,'Activation Detail'!G683,'Activation Detail'!G1183,'Activation Detail'!G1683,'Activation Detail'!G2183,'Activation Detail'!G2683,'Activation Detail'!G3183,'Activation Detail'!G3683)</f>
        <v>14725</v>
      </c>
      <c r="E183" s="48" t="n">
        <f aca="false">SUM('Activation Detail'!H183,'Activation Detail'!H683,'Activation Detail'!H1183,'Activation Detail'!H1683,'Activation Detail'!H2183,'Activation Detail'!H2683,'Activation Detail'!H3183,'Activation Detail'!H3683)</f>
        <v>572.036110829803</v>
      </c>
      <c r="F183" s="50" t="n">
        <f aca="false">SUM('Activation Detail'!I183,'Activation Detail'!I683,'Activation Detail'!I1183,'Activation Detail'!I1683,'Activation Detail'!I2183,'Activation Detail'!I2683,'Activation Detail'!I3183,'Activation Detail'!I3683)</f>
        <v>79210.838272</v>
      </c>
      <c r="G183" s="50" t="n">
        <f aca="false">SUM('Activation Detail'!J183,'Activation Detail'!J683,'Activation Detail'!J1183,'Activation Detail'!J1683,'Activation Detail'!J2183,'Activation Detail'!J2683,'Activation Detail'!J3183,'Activation Detail'!J3683)</f>
        <v>3634649.57725384</v>
      </c>
      <c r="H183" s="50" t="n">
        <f aca="false">SUM('Activation Detail'!K183,'Activation Detail'!K683,'Activation Detail'!K1183,'Activation Detail'!K1683,'Activation Detail'!K2183,'Activation Detail'!K2683,'Activation Detail'!K3183,'Activation Detail'!K3683)</f>
        <v>78595.6548308065</v>
      </c>
      <c r="I183" s="51" t="n">
        <f aca="false">IFERROR(H183/F183,0)</f>
        <v>0.992233595116352</v>
      </c>
      <c r="J183" s="49" t="n">
        <f aca="false">IFERROR(F183/E183,0)</f>
        <v>138.471744654539</v>
      </c>
      <c r="K183" s="46" t="n">
        <f aca="false">IFERROR(C183/B183,0)</f>
        <v>0.10614474772238</v>
      </c>
      <c r="L183" s="47" t="n">
        <f aca="false">IFERROR(D183/B183,0)</f>
        <v>0.0033524546570547</v>
      </c>
      <c r="N183" s="48" t="n">
        <f aca="false">SUMIFS('Activation Detail'!$H$4:$H$4003,'Activation Detail'!$A$4:$A$4003,$A183,'Activation Detail'!$N$4:$N$4003,N$2)</f>
        <v>87.9093421123533</v>
      </c>
      <c r="O183" s="50" t="n">
        <f aca="false">N183*'Model Inputs &amp; Assumptions'!$D$40*'Model Inputs &amp; Assumptions'!$H$40</f>
        <v>747229.407955003</v>
      </c>
      <c r="P183" s="50" t="n">
        <f aca="false">N183*'Model Inputs &amp; Assumptions'!$G$40*'Model Inputs &amp; Assumptions'!$H$40</f>
        <v>16812.6616789876</v>
      </c>
      <c r="Q183" s="50" t="n">
        <f aca="false">SUMIFS('Activation Detail'!$I$4:$I$4003,'Activation Detail'!$A$4:$A$4003,$A183,'Activation Detail'!$N$4:$N$4003,N$2)</f>
        <v>17355.3895</v>
      </c>
      <c r="R183" s="51" t="n">
        <f aca="false">IFERROR(P183/Q183,0)</f>
        <v>0.968728571547621</v>
      </c>
      <c r="S183" s="49" t="n">
        <f aca="false">IFERROR(Q183/N183,0)</f>
        <v>197.423721790783</v>
      </c>
      <c r="T183" s="48" t="n">
        <f aca="false">SUMIFS('Activation Detail'!$H$4:$H$4003,'Activation Detail'!$A$4:$A$4003,$A183,'Activation Detail'!$N$4:$N$4003,T$2)</f>
        <v>151.742010124781</v>
      </c>
      <c r="U183" s="50" t="n">
        <f aca="false">T183*'Model Inputs &amp; Assumptions'!$D$41*'Model Inputs &amp; Assumptions'!$H$41</f>
        <v>1092542.47289842</v>
      </c>
      <c r="V183" s="50" t="n">
        <f aca="false">T183*'Model Inputs &amp; Assumptions'!$G$41*'Model Inputs &amp; Assumptions'!$H$41</f>
        <v>24090.5615274102</v>
      </c>
      <c r="W183" s="50" t="n">
        <f aca="false">SUMIFS('Activation Detail'!$I$4:$I$4003,'Activation Detail'!$A$4:$A$4003,$A183,'Activation Detail'!$N$4:$N$4003,T$2)</f>
        <v>20427.328772</v>
      </c>
      <c r="X183" s="51" t="n">
        <f aca="false">IFERROR(V183/W183,0)</f>
        <v>1.17932999445485</v>
      </c>
      <c r="Y183" s="49" t="n">
        <f aca="false">IFERROR(W183/T183,0)</f>
        <v>134.618809617733</v>
      </c>
      <c r="Z183" s="48" t="n">
        <f aca="false">SUMIFS('Activation Detail'!$H$4:$H$4003,'Activation Detail'!$A$4:$A$4003,$A183,'Activation Detail'!$N$4:$N$4003,Z$2)</f>
        <v>332.384758592669</v>
      </c>
      <c r="AA183" s="50" t="n">
        <f aca="false">Z183*'Model Inputs &amp; Assumptions'!$D$42*'Model Inputs &amp; Assumptions'!$H$42</f>
        <v>1794877.69640041</v>
      </c>
      <c r="AB183" s="50" t="n">
        <f aca="false">Z183*'Model Inputs &amp; Assumptions'!$G$42*'Model Inputs &amp; Assumptions'!$H$42</f>
        <v>37692.4316244087</v>
      </c>
      <c r="AC183" s="50" t="n">
        <f aca="false">SUMIFS('Activation Detail'!$I$4:$I$4003,'Activation Detail'!$A$4:$A$4003,$A183,'Activation Detail'!$N$4:$N$4003,Z$2)</f>
        <v>41428.12</v>
      </c>
      <c r="AD183" s="51" t="n">
        <f aca="false">IFERROR(AB183/AC183,0)</f>
        <v>0.909827229051395</v>
      </c>
      <c r="AE183" s="49" t="n">
        <f aca="false">IFERROR(AC183/Z183,0)</f>
        <v>124.639048358921</v>
      </c>
    </row>
    <row r="184" customFormat="false" ht="15" hidden="false" customHeight="false" outlineLevel="0" collapsed="false">
      <c r="A184" s="43" t="n">
        <v>181</v>
      </c>
      <c r="B184" s="45" t="n">
        <f aca="false">SUM('Activation Detail'!C184,'Activation Detail'!C684,'Activation Detail'!C1184,'Activation Detail'!C1684,'Activation Detail'!C2184,'Activation Detail'!C2684,'Activation Detail'!C3184,'Activation Detail'!C3684)</f>
        <v>4395885</v>
      </c>
      <c r="C184" s="45" t="n">
        <f aca="false">SUM('Activation Detail'!E184,'Activation Detail'!E684,'Activation Detail'!E1184,'Activation Detail'!E1684,'Activation Detail'!E2184,'Activation Detail'!E2684,'Activation Detail'!E3184,'Activation Detail'!E3684)</f>
        <v>506760</v>
      </c>
      <c r="D184" s="45" t="n">
        <f aca="false">SUM('Activation Detail'!G184,'Activation Detail'!G684,'Activation Detail'!G1184,'Activation Detail'!G1684,'Activation Detail'!G2184,'Activation Detail'!G2684,'Activation Detail'!G3184,'Activation Detail'!G3684)</f>
        <v>17156</v>
      </c>
      <c r="E184" s="48" t="n">
        <f aca="false">SUM('Activation Detail'!H184,'Activation Detail'!H684,'Activation Detail'!H1184,'Activation Detail'!H1684,'Activation Detail'!H2184,'Activation Detail'!H2684,'Activation Detail'!H3184,'Activation Detail'!H3684)</f>
        <v>790.924223392387</v>
      </c>
      <c r="F184" s="50" t="n">
        <f aca="false">SUM('Activation Detail'!I184,'Activation Detail'!I684,'Activation Detail'!I1184,'Activation Detail'!I1684,'Activation Detail'!I2184,'Activation Detail'!I2684,'Activation Detail'!I3184,'Activation Detail'!I3684)</f>
        <v>71754.257356</v>
      </c>
      <c r="G184" s="50" t="n">
        <f aca="false">SUM('Activation Detail'!J184,'Activation Detail'!J684,'Activation Detail'!J1184,'Activation Detail'!J1684,'Activation Detail'!J2184,'Activation Detail'!J2684,'Activation Detail'!J3184,'Activation Detail'!J3684)</f>
        <v>4881712.43772054</v>
      </c>
      <c r="H184" s="50" t="n">
        <f aca="false">SUM('Activation Detail'!K184,'Activation Detail'!K684,'Activation Detail'!K1184,'Activation Detail'!K1684,'Activation Detail'!K2184,'Activation Detail'!K2684,'Activation Detail'!K3184,'Activation Detail'!K3684)</f>
        <v>105058.777299735</v>
      </c>
      <c r="I184" s="51" t="n">
        <f aca="false">IFERROR(H184/F184,0)</f>
        <v>1.46414695337865</v>
      </c>
      <c r="J184" s="49" t="n">
        <f aca="false">IFERROR(F184/E184,0)</f>
        <v>90.7220378814999</v>
      </c>
      <c r="K184" s="46" t="n">
        <f aca="false">IFERROR(C184/B184,0)</f>
        <v>0.115280540778478</v>
      </c>
      <c r="L184" s="47" t="n">
        <f aca="false">IFERROR(D184/B184,0)</f>
        <v>0.00390274085878043</v>
      </c>
      <c r="N184" s="48" t="n">
        <f aca="false">SUMIFS('Activation Detail'!$H$4:$H$4003,'Activation Detail'!$A$4:$A$4003,$A184,'Activation Detail'!$N$4:$N$4003,N$2)</f>
        <v>82.2768306794899</v>
      </c>
      <c r="O184" s="50" t="n">
        <f aca="false">N184*'Model Inputs &amp; Assumptions'!$D$40*'Model Inputs &amp; Assumptions'!$H$40</f>
        <v>699353.060775664</v>
      </c>
      <c r="P184" s="50" t="n">
        <f aca="false">N184*'Model Inputs &amp; Assumptions'!$G$40*'Model Inputs &amp; Assumptions'!$H$40</f>
        <v>15735.4438674525</v>
      </c>
      <c r="Q184" s="50" t="n">
        <f aca="false">SUMIFS('Activation Detail'!$I$4:$I$4003,'Activation Detail'!$A$4:$A$4003,$A184,'Activation Detail'!$N$4:$N$4003,N$2)</f>
        <v>18125.6135</v>
      </c>
      <c r="R184" s="51" t="n">
        <f aca="false">IFERROR(P184/Q184,0)</f>
        <v>0.868133035466769</v>
      </c>
      <c r="S184" s="49" t="n">
        <f aca="false">IFERROR(Q184/N184,0)</f>
        <v>220.300336684193</v>
      </c>
      <c r="T184" s="48" t="n">
        <f aca="false">SUMIFS('Activation Detail'!$H$4:$H$4003,'Activation Detail'!$A$4:$A$4003,$A184,'Activation Detail'!$N$4:$N$4003,T$2)</f>
        <v>197.590809052907</v>
      </c>
      <c r="U184" s="50" t="n">
        <f aca="false">T184*'Model Inputs &amp; Assumptions'!$D$41*'Model Inputs &amp; Assumptions'!$H$41</f>
        <v>1422653.82518093</v>
      </c>
      <c r="V184" s="50" t="n">
        <f aca="false">T184*'Model Inputs &amp; Assumptions'!$G$41*'Model Inputs &amp; Assumptions'!$H$41</f>
        <v>31369.5168452396</v>
      </c>
      <c r="W184" s="50" t="n">
        <f aca="false">SUMIFS('Activation Detail'!$I$4:$I$4003,'Activation Detail'!$A$4:$A$4003,$A184,'Activation Detail'!$N$4:$N$4003,T$2)</f>
        <v>17671.767856</v>
      </c>
      <c r="X184" s="51" t="n">
        <f aca="false">IFERROR(V184/W184,0)</f>
        <v>1.77512046903609</v>
      </c>
      <c r="Y184" s="49" t="n">
        <f aca="false">IFERROR(W184/T184,0)</f>
        <v>89.4361834981311</v>
      </c>
      <c r="Z184" s="48" t="n">
        <f aca="false">SUMIFS('Activation Detail'!$H$4:$H$4003,'Activation Detail'!$A$4:$A$4003,$A184,'Activation Detail'!$N$4:$N$4003,Z$2)</f>
        <v>511.05658365999</v>
      </c>
      <c r="AA184" s="50" t="n">
        <f aca="false">Z184*'Model Inputs &amp; Assumptions'!$D$42*'Model Inputs &amp; Assumptions'!$H$42</f>
        <v>2759705.55176394</v>
      </c>
      <c r="AB184" s="50" t="n">
        <f aca="false">Z184*'Model Inputs &amp; Assumptions'!$G$42*'Model Inputs &amp; Assumptions'!$H$42</f>
        <v>57953.8165870428</v>
      </c>
      <c r="AC184" s="50" t="n">
        <f aca="false">SUMIFS('Activation Detail'!$I$4:$I$4003,'Activation Detail'!$A$4:$A$4003,$A184,'Activation Detail'!$N$4:$N$4003,Z$2)</f>
        <v>35956.876</v>
      </c>
      <c r="AD184" s="51" t="n">
        <f aca="false">IFERROR(AB184/AC184,0)</f>
        <v>1.61175894666274</v>
      </c>
      <c r="AE184" s="49" t="n">
        <f aca="false">IFERROR(AC184/Z184,0)</f>
        <v>70.3579156391857</v>
      </c>
    </row>
    <row r="185" customFormat="false" ht="15" hidden="false" customHeight="false" outlineLevel="0" collapsed="false">
      <c r="A185" s="43" t="n">
        <v>182</v>
      </c>
      <c r="B185" s="45" t="n">
        <f aca="false">SUM('Activation Detail'!C185,'Activation Detail'!C685,'Activation Detail'!C1185,'Activation Detail'!C1685,'Activation Detail'!C2185,'Activation Detail'!C2685,'Activation Detail'!C3185,'Activation Detail'!C3685)</f>
        <v>4597762</v>
      </c>
      <c r="C185" s="45" t="n">
        <f aca="false">SUM('Activation Detail'!E185,'Activation Detail'!E685,'Activation Detail'!E1185,'Activation Detail'!E1685,'Activation Detail'!E2185,'Activation Detail'!E2685,'Activation Detail'!E3185,'Activation Detail'!E3685)</f>
        <v>625843</v>
      </c>
      <c r="D185" s="45" t="n">
        <f aca="false">SUM('Activation Detail'!G185,'Activation Detail'!G685,'Activation Detail'!G1185,'Activation Detail'!G1685,'Activation Detail'!G2185,'Activation Detail'!G2685,'Activation Detail'!G3185,'Activation Detail'!G3685)</f>
        <v>19649</v>
      </c>
      <c r="E185" s="48" t="n">
        <f aca="false">SUM('Activation Detail'!H185,'Activation Detail'!H685,'Activation Detail'!H1185,'Activation Detail'!H1685,'Activation Detail'!H2185,'Activation Detail'!H2685,'Activation Detail'!H3185,'Activation Detail'!H3685)</f>
        <v>941.447156294763</v>
      </c>
      <c r="F185" s="50" t="n">
        <f aca="false">SUM('Activation Detail'!I185,'Activation Detail'!I685,'Activation Detail'!I1185,'Activation Detail'!I1685,'Activation Detail'!I2185,'Activation Detail'!I2685,'Activation Detail'!I3185,'Activation Detail'!I3685)</f>
        <v>82450.799782</v>
      </c>
      <c r="G185" s="50" t="n">
        <f aca="false">SUM('Activation Detail'!J185,'Activation Detail'!J685,'Activation Detail'!J1185,'Activation Detail'!J1685,'Activation Detail'!J2185,'Activation Detail'!J2685,'Activation Detail'!J3185,'Activation Detail'!J3685)</f>
        <v>5845780.59266323</v>
      </c>
      <c r="H185" s="50" t="n">
        <f aca="false">SUM('Activation Detail'!K185,'Activation Detail'!K685,'Activation Detail'!K1185,'Activation Detail'!K1685,'Activation Detail'!K2185,'Activation Detail'!K2685,'Activation Detail'!K3185,'Activation Detail'!K3685)</f>
        <v>125935.785021697</v>
      </c>
      <c r="I185" s="51" t="n">
        <f aca="false">IFERROR(H185/F185,0)</f>
        <v>1.52740525688861</v>
      </c>
      <c r="J185" s="49" t="n">
        <f aca="false">IFERROR(F185/E185,0)</f>
        <v>87.5787867972327</v>
      </c>
      <c r="K185" s="46" t="n">
        <f aca="false">IFERROR(C185/B185,0)</f>
        <v>0.136119050964361</v>
      </c>
      <c r="L185" s="47" t="n">
        <f aca="false">IFERROR(D185/B185,0)</f>
        <v>0.00427360093889157</v>
      </c>
      <c r="N185" s="48" t="n">
        <f aca="false">SUMIFS('Activation Detail'!$H$4:$H$4003,'Activation Detail'!$A$4:$A$4003,$A185,'Activation Detail'!$N$4:$N$4003,N$2)</f>
        <v>95.7941061159206</v>
      </c>
      <c r="O185" s="50" t="n">
        <f aca="false">N185*'Model Inputs &amp; Assumptions'!$D$40*'Model Inputs &amp; Assumptions'!$H$40</f>
        <v>814249.901985325</v>
      </c>
      <c r="P185" s="50" t="n">
        <f aca="false">N185*'Model Inputs &amp; Assumptions'!$G$40*'Model Inputs &amp; Assumptions'!$H$40</f>
        <v>18320.6227946698</v>
      </c>
      <c r="Q185" s="50" t="n">
        <f aca="false">SUMIFS('Activation Detail'!$I$4:$I$4003,'Activation Detail'!$A$4:$A$4003,$A185,'Activation Detail'!$N$4:$N$4003,N$2)</f>
        <v>17921.3445</v>
      </c>
      <c r="R185" s="51" t="n">
        <f aca="false">IFERROR(P185/Q185,0)</f>
        <v>1.0222794832536</v>
      </c>
      <c r="S185" s="49" t="n">
        <f aca="false">IFERROR(Q185/N185,0)</f>
        <v>187.081911681637</v>
      </c>
      <c r="T185" s="48" t="n">
        <f aca="false">SUMIFS('Activation Detail'!$H$4:$H$4003,'Activation Detail'!$A$4:$A$4003,$A185,'Activation Detail'!$N$4:$N$4003,T$2)</f>
        <v>258.335677617868</v>
      </c>
      <c r="U185" s="50" t="n">
        <f aca="false">T185*'Model Inputs &amp; Assumptions'!$D$41*'Model Inputs &amp; Assumptions'!$H$41</f>
        <v>1860016.87884865</v>
      </c>
      <c r="V185" s="50" t="n">
        <f aca="false">T185*'Model Inputs &amp; Assumptions'!$G$41*'Model Inputs &amp; Assumptions'!$H$41</f>
        <v>41013.3721786127</v>
      </c>
      <c r="W185" s="50" t="n">
        <f aca="false">SUMIFS('Activation Detail'!$I$4:$I$4003,'Activation Detail'!$A$4:$A$4003,$A185,'Activation Detail'!$N$4:$N$4003,T$2)</f>
        <v>21444.975282</v>
      </c>
      <c r="X185" s="51" t="n">
        <f aca="false">IFERROR(V185/W185,0)</f>
        <v>1.9124933295231</v>
      </c>
      <c r="Y185" s="49" t="n">
        <f aca="false">IFERROR(W185/T185,0)</f>
        <v>83.0120542379035</v>
      </c>
      <c r="Z185" s="48" t="n">
        <f aca="false">SUMIFS('Activation Detail'!$H$4:$H$4003,'Activation Detail'!$A$4:$A$4003,$A185,'Activation Detail'!$N$4:$N$4003,Z$2)</f>
        <v>587.317372560974</v>
      </c>
      <c r="AA185" s="50" t="n">
        <f aca="false">Z185*'Model Inputs &amp; Assumptions'!$D$42*'Model Inputs &amp; Assumptions'!$H$42</f>
        <v>3171513.81182926</v>
      </c>
      <c r="AB185" s="50" t="n">
        <f aca="false">Z185*'Model Inputs &amp; Assumptions'!$G$42*'Model Inputs &amp; Assumptions'!$H$42</f>
        <v>66601.7900484144</v>
      </c>
      <c r="AC185" s="50" t="n">
        <f aca="false">SUMIFS('Activation Detail'!$I$4:$I$4003,'Activation Detail'!$A$4:$A$4003,$A185,'Activation Detail'!$N$4:$N$4003,Z$2)</f>
        <v>43084.48</v>
      </c>
      <c r="AD185" s="51" t="n">
        <f aca="false">IFERROR(AB185/AC185,0)</f>
        <v>1.54584179844841</v>
      </c>
      <c r="AE185" s="49" t="n">
        <f aca="false">IFERROR(AC185/Z185,0)</f>
        <v>73.3580888508914</v>
      </c>
    </row>
    <row r="186" customFormat="false" ht="15" hidden="false" customHeight="false" outlineLevel="0" collapsed="false">
      <c r="A186" s="43" t="n">
        <v>183</v>
      </c>
      <c r="B186" s="45" t="n">
        <f aca="false">SUM('Activation Detail'!C186,'Activation Detail'!C686,'Activation Detail'!C1186,'Activation Detail'!C1686,'Activation Detail'!C2186,'Activation Detail'!C2686,'Activation Detail'!C3186,'Activation Detail'!C3686)</f>
        <v>3477676</v>
      </c>
      <c r="C186" s="45" t="n">
        <f aca="false">SUM('Activation Detail'!E186,'Activation Detail'!E686,'Activation Detail'!E1186,'Activation Detail'!E1686,'Activation Detail'!E2186,'Activation Detail'!E2686,'Activation Detail'!E3186,'Activation Detail'!E3686)</f>
        <v>356775</v>
      </c>
      <c r="D186" s="45" t="n">
        <f aca="false">SUM('Activation Detail'!G186,'Activation Detail'!G686,'Activation Detail'!G1186,'Activation Detail'!G1686,'Activation Detail'!G2186,'Activation Detail'!G2686,'Activation Detail'!G3186,'Activation Detail'!G3686)</f>
        <v>12860</v>
      </c>
      <c r="E186" s="48" t="n">
        <f aca="false">SUM('Activation Detail'!H186,'Activation Detail'!H686,'Activation Detail'!H1186,'Activation Detail'!H1686,'Activation Detail'!H2186,'Activation Detail'!H2686,'Activation Detail'!H3186,'Activation Detail'!H3686)</f>
        <v>682.162576006256</v>
      </c>
      <c r="F186" s="50" t="n">
        <f aca="false">SUM('Activation Detail'!I186,'Activation Detail'!I686,'Activation Detail'!I1186,'Activation Detail'!I1686,'Activation Detail'!I2186,'Activation Detail'!I2686,'Activation Detail'!I3186,'Activation Detail'!I3686)</f>
        <v>68453.71602</v>
      </c>
      <c r="G186" s="50" t="n">
        <f aca="false">SUM('Activation Detail'!J186,'Activation Detail'!J686,'Activation Detail'!J1186,'Activation Detail'!J1686,'Activation Detail'!J2186,'Activation Detail'!J2686,'Activation Detail'!J3186,'Activation Detail'!J3686)</f>
        <v>4284803.88764456</v>
      </c>
      <c r="H186" s="50" t="n">
        <f aca="false">SUM('Activation Detail'!K186,'Activation Detail'!K686,'Activation Detail'!K1186,'Activation Detail'!K1686,'Activation Detail'!K2186,'Activation Detail'!K2686,'Activation Detail'!K3186,'Activation Detail'!K3686)</f>
        <v>92482.3311943284</v>
      </c>
      <c r="I186" s="51" t="n">
        <f aca="false">IFERROR(H186/F186,0)</f>
        <v>1.35101987987486</v>
      </c>
      <c r="J186" s="49" t="n">
        <f aca="false">IFERROR(F186/E186,0)</f>
        <v>100.348096520868</v>
      </c>
      <c r="K186" s="46" t="n">
        <f aca="false">IFERROR(C186/B186,0)</f>
        <v>0.102590063019097</v>
      </c>
      <c r="L186" s="47" t="n">
        <f aca="false">IFERROR(D186/B186,0)</f>
        <v>0.00369787179714269</v>
      </c>
      <c r="N186" s="48" t="n">
        <f aca="false">SUMIFS('Activation Detail'!$H$4:$H$4003,'Activation Detail'!$A$4:$A$4003,$A186,'Activation Detail'!$N$4:$N$4003,N$2)</f>
        <v>86.2205573799576</v>
      </c>
      <c r="O186" s="50" t="n">
        <f aca="false">N186*'Model Inputs &amp; Assumptions'!$D$40*'Model Inputs &amp; Assumptions'!$H$40</f>
        <v>732874.737729639</v>
      </c>
      <c r="P186" s="50" t="n">
        <f aca="false">N186*'Model Inputs &amp; Assumptions'!$G$40*'Model Inputs &amp; Assumptions'!$H$40</f>
        <v>16489.6815989169</v>
      </c>
      <c r="Q186" s="50" t="n">
        <f aca="false">SUMIFS('Activation Detail'!$I$4:$I$4003,'Activation Detail'!$A$4:$A$4003,$A186,'Activation Detail'!$N$4:$N$4003,N$2)</f>
        <v>18311.0715</v>
      </c>
      <c r="R186" s="51" t="n">
        <f aca="false">IFERROR(P186/Q186,0)</f>
        <v>0.900530676149502</v>
      </c>
      <c r="S186" s="49" t="n">
        <f aca="false">IFERROR(Q186/N186,0)</f>
        <v>212.374775302212</v>
      </c>
      <c r="T186" s="48" t="n">
        <f aca="false">SUMIFS('Activation Detail'!$H$4:$H$4003,'Activation Detail'!$A$4:$A$4003,$A186,'Activation Detail'!$N$4:$N$4003,T$2)</f>
        <v>185.467916296061</v>
      </c>
      <c r="U186" s="50" t="n">
        <f aca="false">T186*'Model Inputs &amp; Assumptions'!$D$41*'Model Inputs &amp; Assumptions'!$H$41</f>
        <v>1335368.99733164</v>
      </c>
      <c r="V186" s="50" t="n">
        <f aca="false">T186*'Model Inputs &amp; Assumptions'!$G$41*'Model Inputs &amp; Assumptions'!$H$41</f>
        <v>29444.8863911626</v>
      </c>
      <c r="W186" s="50" t="n">
        <f aca="false">SUMIFS('Activation Detail'!$I$4:$I$4003,'Activation Detail'!$A$4:$A$4003,$A186,'Activation Detail'!$N$4:$N$4003,T$2)</f>
        <v>17106.48452</v>
      </c>
      <c r="X186" s="51" t="n">
        <f aca="false">IFERROR(V186/W186,0)</f>
        <v>1.72127045488143</v>
      </c>
      <c r="Y186" s="49" t="n">
        <f aca="false">IFERROR(W186/T186,0)</f>
        <v>92.2341980307423</v>
      </c>
      <c r="Z186" s="48" t="n">
        <f aca="false">SUMIFS('Activation Detail'!$H$4:$H$4003,'Activation Detail'!$A$4:$A$4003,$A186,'Activation Detail'!$N$4:$N$4003,Z$2)</f>
        <v>410.474102330238</v>
      </c>
      <c r="AA186" s="50" t="n">
        <f aca="false">Z186*'Model Inputs &amp; Assumptions'!$D$42*'Model Inputs &amp; Assumptions'!$H$42</f>
        <v>2216560.15258328</v>
      </c>
      <c r="AB186" s="50" t="n">
        <f aca="false">Z186*'Model Inputs &amp; Assumptions'!$G$42*'Model Inputs &amp; Assumptions'!$H$42</f>
        <v>46547.7632042489</v>
      </c>
      <c r="AC186" s="50" t="n">
        <f aca="false">SUMIFS('Activation Detail'!$I$4:$I$4003,'Activation Detail'!$A$4:$A$4003,$A186,'Activation Detail'!$N$4:$N$4003,Z$2)</f>
        <v>33036.16</v>
      </c>
      <c r="AD186" s="51" t="n">
        <f aca="false">IFERROR(AB186/AC186,0)</f>
        <v>1.40899436266954</v>
      </c>
      <c r="AE186" s="49" t="n">
        <f aca="false">IFERROR(AC186/Z186,0)</f>
        <v>80.4829337891371</v>
      </c>
    </row>
    <row r="187" customFormat="false" ht="15" hidden="false" customHeight="false" outlineLevel="0" collapsed="false">
      <c r="A187" s="43" t="n">
        <v>184</v>
      </c>
      <c r="B187" s="45" t="n">
        <f aca="false">SUM('Activation Detail'!C187,'Activation Detail'!C687,'Activation Detail'!C1187,'Activation Detail'!C1687,'Activation Detail'!C2187,'Activation Detail'!C2687,'Activation Detail'!C3187,'Activation Detail'!C3687)</f>
        <v>3998520</v>
      </c>
      <c r="C187" s="45" t="n">
        <f aca="false">SUM('Activation Detail'!E187,'Activation Detail'!E687,'Activation Detail'!E1187,'Activation Detail'!E1687,'Activation Detail'!E2187,'Activation Detail'!E2687,'Activation Detail'!E3187,'Activation Detail'!E3687)</f>
        <v>743492</v>
      </c>
      <c r="D187" s="45" t="n">
        <f aca="false">SUM('Activation Detail'!G187,'Activation Detail'!G687,'Activation Detail'!G1187,'Activation Detail'!G1687,'Activation Detail'!G2187,'Activation Detail'!G2687,'Activation Detail'!G3187,'Activation Detail'!G3687)</f>
        <v>19883</v>
      </c>
      <c r="E187" s="48" t="n">
        <f aca="false">SUM('Activation Detail'!H187,'Activation Detail'!H687,'Activation Detail'!H1187,'Activation Detail'!H1687,'Activation Detail'!H2187,'Activation Detail'!H2687,'Activation Detail'!H3187,'Activation Detail'!H3687)</f>
        <v>684.177411783475</v>
      </c>
      <c r="F187" s="50" t="n">
        <f aca="false">SUM('Activation Detail'!I187,'Activation Detail'!I687,'Activation Detail'!I1187,'Activation Detail'!I1687,'Activation Detail'!I2187,'Activation Detail'!I2687,'Activation Detail'!I3187,'Activation Detail'!I3687)</f>
        <v>72210.966638</v>
      </c>
      <c r="G187" s="50" t="n">
        <f aca="false">SUM('Activation Detail'!J187,'Activation Detail'!J687,'Activation Detail'!J1187,'Activation Detail'!J1687,'Activation Detail'!J2187,'Activation Detail'!J2687,'Activation Detail'!J3187,'Activation Detail'!J3687)</f>
        <v>4332192.24257512</v>
      </c>
      <c r="H187" s="50" t="n">
        <f aca="false">SUM('Activation Detail'!K187,'Activation Detail'!K687,'Activation Detail'!K1187,'Activation Detail'!K1687,'Activation Detail'!K2187,'Activation Detail'!K2687,'Activation Detail'!K3187,'Activation Detail'!K3687)</f>
        <v>93623.7629345918</v>
      </c>
      <c r="I187" s="51" t="n">
        <f aca="false">IFERROR(H187/F187,0)</f>
        <v>1.29653108514578</v>
      </c>
      <c r="J187" s="49" t="n">
        <f aca="false">IFERROR(F187/E187,0)</f>
        <v>105.544213232303</v>
      </c>
      <c r="K187" s="46" t="n">
        <f aca="false">IFERROR(C187/B187,0)</f>
        <v>0.185941798465432</v>
      </c>
      <c r="L187" s="47" t="n">
        <f aca="false">IFERROR(D187/B187,0)</f>
        <v>0.00497258985824755</v>
      </c>
      <c r="N187" s="48" t="n">
        <f aca="false">SUMIFS('Activation Detail'!$H$4:$H$4003,'Activation Detail'!$A$4:$A$4003,$A187,'Activation Detail'!$N$4:$N$4003,N$2)</f>
        <v>112.362515006998</v>
      </c>
      <c r="O187" s="50" t="n">
        <f aca="false">N187*'Model Inputs &amp; Assumptions'!$D$40*'Model Inputs &amp; Assumptions'!$H$40</f>
        <v>955081.377559481</v>
      </c>
      <c r="P187" s="50" t="n">
        <f aca="false">N187*'Model Inputs &amp; Assumptions'!$G$40*'Model Inputs &amp; Assumptions'!$H$40</f>
        <v>21489.3309950883</v>
      </c>
      <c r="Q187" s="50" t="n">
        <f aca="false">SUMIFS('Activation Detail'!$I$4:$I$4003,'Activation Detail'!$A$4:$A$4003,$A187,'Activation Detail'!$N$4:$N$4003,N$2)</f>
        <v>18543.1605</v>
      </c>
      <c r="R187" s="51" t="n">
        <f aca="false">IFERROR(P187/Q187,0)</f>
        <v>1.1588817879826</v>
      </c>
      <c r="S187" s="49" t="n">
        <f aca="false">IFERROR(Q187/N187,0)</f>
        <v>165.02977437667</v>
      </c>
      <c r="T187" s="48" t="n">
        <f aca="false">SUMIFS('Activation Detail'!$H$4:$H$4003,'Activation Detail'!$A$4:$A$4003,$A187,'Activation Detail'!$N$4:$N$4003,T$2)</f>
        <v>160.728012457031</v>
      </c>
      <c r="U187" s="50" t="n">
        <f aca="false">T187*'Model Inputs &amp; Assumptions'!$D$41*'Model Inputs &amp; Assumptions'!$H$41</f>
        <v>1157241.68969062</v>
      </c>
      <c r="V187" s="50" t="n">
        <f aca="false">T187*'Model Inputs &amp; Assumptions'!$G$41*'Model Inputs &amp; Assumptions'!$H$41</f>
        <v>25517.1792576782</v>
      </c>
      <c r="W187" s="50" t="n">
        <f aca="false">SUMIFS('Activation Detail'!$I$4:$I$4003,'Activation Detail'!$A$4:$A$4003,$A187,'Activation Detail'!$N$4:$N$4003,T$2)</f>
        <v>22791.418138</v>
      </c>
      <c r="X187" s="51" t="n">
        <f aca="false">IFERROR(V187/W187,0)</f>
        <v>1.11959594190998</v>
      </c>
      <c r="Y187" s="49" t="n">
        <f aca="false">IFERROR(W187/T187,0)</f>
        <v>141.801157057753</v>
      </c>
      <c r="Z187" s="48" t="n">
        <f aca="false">SUMIFS('Activation Detail'!$H$4:$H$4003,'Activation Detail'!$A$4:$A$4003,$A187,'Activation Detail'!$N$4:$N$4003,Z$2)</f>
        <v>411.086884319446</v>
      </c>
      <c r="AA187" s="50" t="n">
        <f aca="false">Z187*'Model Inputs &amp; Assumptions'!$D$42*'Model Inputs &amp; Assumptions'!$H$42</f>
        <v>2219869.17532501</v>
      </c>
      <c r="AB187" s="50" t="n">
        <f aca="false">Z187*'Model Inputs &amp; Assumptions'!$G$42*'Model Inputs &amp; Assumptions'!$H$42</f>
        <v>46617.2526818252</v>
      </c>
      <c r="AC187" s="50" t="n">
        <f aca="false">SUMIFS('Activation Detail'!$I$4:$I$4003,'Activation Detail'!$A$4:$A$4003,$A187,'Activation Detail'!$N$4:$N$4003,Z$2)</f>
        <v>30876.388</v>
      </c>
      <c r="AD187" s="51" t="n">
        <f aca="false">IFERROR(AB187/AC187,0)</f>
        <v>1.50980265832342</v>
      </c>
      <c r="AE187" s="49" t="n">
        <f aca="false">IFERROR(AC187/Z187,0)</f>
        <v>75.1091537525353</v>
      </c>
    </row>
    <row r="188" customFormat="false" ht="15" hidden="false" customHeight="false" outlineLevel="0" collapsed="false">
      <c r="A188" s="43" t="n">
        <v>185</v>
      </c>
      <c r="B188" s="45" t="n">
        <f aca="false">SUM('Activation Detail'!C188,'Activation Detail'!C688,'Activation Detail'!C1188,'Activation Detail'!C1688,'Activation Detail'!C2188,'Activation Detail'!C2688,'Activation Detail'!C3188,'Activation Detail'!C3688)</f>
        <v>3459762</v>
      </c>
      <c r="C188" s="45" t="n">
        <f aca="false">SUM('Activation Detail'!E188,'Activation Detail'!E688,'Activation Detail'!E1188,'Activation Detail'!E1688,'Activation Detail'!E2188,'Activation Detail'!E2688,'Activation Detail'!E3188,'Activation Detail'!E3688)</f>
        <v>413404</v>
      </c>
      <c r="D188" s="45" t="n">
        <f aca="false">SUM('Activation Detail'!G188,'Activation Detail'!G688,'Activation Detail'!G1188,'Activation Detail'!G1688,'Activation Detail'!G2188,'Activation Detail'!G2688,'Activation Detail'!G3188,'Activation Detail'!G3688)</f>
        <v>11567</v>
      </c>
      <c r="E188" s="48" t="n">
        <f aca="false">SUM('Activation Detail'!H188,'Activation Detail'!H688,'Activation Detail'!H1188,'Activation Detail'!H1688,'Activation Detail'!H2188,'Activation Detail'!H2688,'Activation Detail'!H3188,'Activation Detail'!H3688)</f>
        <v>405.375991479432</v>
      </c>
      <c r="F188" s="50" t="n">
        <f aca="false">SUM('Activation Detail'!I188,'Activation Detail'!I688,'Activation Detail'!I1188,'Activation Detail'!I1688,'Activation Detail'!I2188,'Activation Detail'!I2688,'Activation Detail'!I3188,'Activation Detail'!I3688)</f>
        <v>68198.488984</v>
      </c>
      <c r="G188" s="50" t="n">
        <f aca="false">SUM('Activation Detail'!J188,'Activation Detail'!J688,'Activation Detail'!J1188,'Activation Detail'!J1688,'Activation Detail'!J2188,'Activation Detail'!J2688,'Activation Detail'!J3188,'Activation Detail'!J3688)</f>
        <v>2799134.36983412</v>
      </c>
      <c r="H188" s="50" t="n">
        <f aca="false">SUM('Activation Detail'!K188,'Activation Detail'!K688,'Activation Detail'!K1188,'Activation Detail'!K1688,'Activation Detail'!K2188,'Activation Detail'!K2688,'Activation Detail'!K3188,'Activation Detail'!K3688)</f>
        <v>61309.6601254374</v>
      </c>
      <c r="I188" s="51" t="n">
        <f aca="false">IFERROR(H188/F188,0)</f>
        <v>0.898988541224443</v>
      </c>
      <c r="J188" s="49" t="n">
        <f aca="false">IFERROR(F188/E188,0)</f>
        <v>168.235145685633</v>
      </c>
      <c r="K188" s="46" t="n">
        <f aca="false">IFERROR(C188/B188,0)</f>
        <v>0.119489144050949</v>
      </c>
      <c r="L188" s="47" t="n">
        <f aca="false">IFERROR(D188/B188,0)</f>
        <v>0.00334329355603073</v>
      </c>
      <c r="N188" s="48" t="n">
        <f aca="false">SUMIFS('Activation Detail'!$H$4:$H$4003,'Activation Detail'!$A$4:$A$4003,$A188,'Activation Detail'!$N$4:$N$4003,N$2)</f>
        <v>128.14262084777</v>
      </c>
      <c r="O188" s="50" t="n">
        <f aca="false">N188*'Model Inputs &amp; Assumptions'!$D$40*'Model Inputs &amp; Assumptions'!$H$40</f>
        <v>1089212.27720605</v>
      </c>
      <c r="P188" s="50" t="n">
        <f aca="false">N188*'Model Inputs &amp; Assumptions'!$G$40*'Model Inputs &amp; Assumptions'!$H$40</f>
        <v>24507.2762371361</v>
      </c>
      <c r="Q188" s="50" t="n">
        <f aca="false">SUMIFS('Activation Detail'!$I$4:$I$4003,'Activation Detail'!$A$4:$A$4003,$A188,'Activation Detail'!$N$4:$N$4003,N$2)</f>
        <v>17560.7505</v>
      </c>
      <c r="R188" s="51" t="n">
        <f aca="false">IFERROR(P188/Q188,0)</f>
        <v>1.39557111964754</v>
      </c>
      <c r="S188" s="49" t="n">
        <f aca="false">IFERROR(Q188/N188,0)</f>
        <v>137.040669090588</v>
      </c>
      <c r="T188" s="48" t="n">
        <f aca="false">SUMIFS('Activation Detail'!$H$4:$H$4003,'Activation Detail'!$A$4:$A$4003,$A188,'Activation Detail'!$N$4:$N$4003,T$2)</f>
        <v>118.256606231721</v>
      </c>
      <c r="U188" s="50" t="n">
        <f aca="false">T188*'Model Inputs &amp; Assumptions'!$D$41*'Model Inputs &amp; Assumptions'!$H$41</f>
        <v>851447.564868393</v>
      </c>
      <c r="V188" s="50" t="n">
        <f aca="false">T188*'Model Inputs &amp; Assumptions'!$G$41*'Model Inputs &amp; Assumptions'!$H$41</f>
        <v>18774.4188053481</v>
      </c>
      <c r="W188" s="50" t="n">
        <f aca="false">SUMIFS('Activation Detail'!$I$4:$I$4003,'Activation Detail'!$A$4:$A$4003,$A188,'Activation Detail'!$N$4:$N$4003,T$2)</f>
        <v>16609.406484</v>
      </c>
      <c r="X188" s="51" t="n">
        <f aca="false">IFERROR(V188/W188,0)</f>
        <v>1.13034856624369</v>
      </c>
      <c r="Y188" s="49" t="n">
        <f aca="false">IFERROR(W188/T188,0)</f>
        <v>140.452250519131</v>
      </c>
      <c r="Z188" s="48" t="n">
        <f aca="false">SUMIFS('Activation Detail'!$H$4:$H$4003,'Activation Detail'!$A$4:$A$4003,$A188,'Activation Detail'!$N$4:$N$4003,Z$2)</f>
        <v>158.97676439994</v>
      </c>
      <c r="AA188" s="50" t="n">
        <f aca="false">Z188*'Model Inputs &amp; Assumptions'!$D$42*'Model Inputs &amp; Assumptions'!$H$42</f>
        <v>858474.527759676</v>
      </c>
      <c r="AB188" s="50" t="n">
        <f aca="false">Z188*'Model Inputs &amp; Assumptions'!$G$42*'Model Inputs &amp; Assumptions'!$H$42</f>
        <v>18027.9650829532</v>
      </c>
      <c r="AC188" s="50" t="n">
        <f aca="false">SUMIFS('Activation Detail'!$I$4:$I$4003,'Activation Detail'!$A$4:$A$4003,$A188,'Activation Detail'!$N$4:$N$4003,Z$2)</f>
        <v>34028.332</v>
      </c>
      <c r="AD188" s="51" t="n">
        <f aca="false">IFERROR(AB188/AC188,0)</f>
        <v>0.529792793926931</v>
      </c>
      <c r="AE188" s="49" t="n">
        <f aca="false">IFERROR(AC188/Z188,0)</f>
        <v>214.045946452869</v>
      </c>
    </row>
    <row r="189" customFormat="false" ht="15" hidden="false" customHeight="false" outlineLevel="0" collapsed="false">
      <c r="A189" s="43" t="n">
        <v>186</v>
      </c>
      <c r="B189" s="45" t="n">
        <f aca="false">SUM('Activation Detail'!C189,'Activation Detail'!C689,'Activation Detail'!C1189,'Activation Detail'!C1689,'Activation Detail'!C2189,'Activation Detail'!C2689,'Activation Detail'!C3189,'Activation Detail'!C3689)</f>
        <v>4974543</v>
      </c>
      <c r="C189" s="45" t="n">
        <f aca="false">SUM('Activation Detail'!E189,'Activation Detail'!E689,'Activation Detail'!E1189,'Activation Detail'!E1689,'Activation Detail'!E2189,'Activation Detail'!E2689,'Activation Detail'!E3189,'Activation Detail'!E3689)</f>
        <v>442378</v>
      </c>
      <c r="D189" s="45" t="n">
        <f aca="false">SUM('Activation Detail'!G189,'Activation Detail'!G689,'Activation Detail'!G1189,'Activation Detail'!G1689,'Activation Detail'!G2189,'Activation Detail'!G2689,'Activation Detail'!G3189,'Activation Detail'!G3689)</f>
        <v>17328</v>
      </c>
      <c r="E189" s="48" t="n">
        <f aca="false">SUM('Activation Detail'!H189,'Activation Detail'!H689,'Activation Detail'!H1189,'Activation Detail'!H1689,'Activation Detail'!H2189,'Activation Detail'!H2689,'Activation Detail'!H3189,'Activation Detail'!H3689)</f>
        <v>837.480933608381</v>
      </c>
      <c r="F189" s="50" t="n">
        <f aca="false">SUM('Activation Detail'!I189,'Activation Detail'!I689,'Activation Detail'!I1189,'Activation Detail'!I1689,'Activation Detail'!I2189,'Activation Detail'!I2689,'Activation Detail'!I3189,'Activation Detail'!I3689)</f>
        <v>75873.60195</v>
      </c>
      <c r="G189" s="50" t="n">
        <f aca="false">SUM('Activation Detail'!J189,'Activation Detail'!J689,'Activation Detail'!J1189,'Activation Detail'!J1689,'Activation Detail'!J2189,'Activation Detail'!J2689,'Activation Detail'!J3189,'Activation Detail'!J3689)</f>
        <v>5160245.91548802</v>
      </c>
      <c r="H189" s="50" t="n">
        <f aca="false">SUM('Activation Detail'!K189,'Activation Detail'!K689,'Activation Detail'!K1189,'Activation Detail'!K1689,'Activation Detail'!K2189,'Activation Detail'!K2689,'Activation Detail'!K3189,'Activation Detail'!K3689)</f>
        <v>111025.451309222</v>
      </c>
      <c r="I189" s="51" t="n">
        <f aca="false">IFERROR(H189/F189,0)</f>
        <v>1.46329485428129</v>
      </c>
      <c r="J189" s="49" t="n">
        <f aca="false">IFERROR(F189/E189,0)</f>
        <v>90.5974081381053</v>
      </c>
      <c r="K189" s="46" t="n">
        <f aca="false">IFERROR(C189/B189,0)</f>
        <v>0.0889283699025217</v>
      </c>
      <c r="L189" s="47" t="n">
        <f aca="false">IFERROR(D189/B189,0)</f>
        <v>0.00348333505208418</v>
      </c>
      <c r="N189" s="48" t="n">
        <f aca="false">SUMIFS('Activation Detail'!$H$4:$H$4003,'Activation Detail'!$A$4:$A$4003,$A189,'Activation Detail'!$N$4:$N$4003,N$2)</f>
        <v>69.1784697716127</v>
      </c>
      <c r="O189" s="50" t="n">
        <f aca="false">N189*'Model Inputs &amp; Assumptions'!$D$40*'Model Inputs &amp; Assumptions'!$H$40</f>
        <v>588016.993058708</v>
      </c>
      <c r="P189" s="50" t="n">
        <f aca="false">N189*'Model Inputs &amp; Assumptions'!$G$40*'Model Inputs &amp; Assumptions'!$H$40</f>
        <v>13230.3823438209</v>
      </c>
      <c r="Q189" s="50" t="n">
        <f aca="false">SUMIFS('Activation Detail'!$I$4:$I$4003,'Activation Detail'!$A$4:$A$4003,$A189,'Activation Detail'!$N$4:$N$4003,N$2)</f>
        <v>17713.338</v>
      </c>
      <c r="R189" s="51" t="n">
        <f aca="false">IFERROR(P189/Q189,0)</f>
        <v>0.746916382661525</v>
      </c>
      <c r="S189" s="49" t="n">
        <f aca="false">IFERROR(Q189/N189,0)</f>
        <v>256.052758300078</v>
      </c>
      <c r="T189" s="48" t="n">
        <f aca="false">SUMIFS('Activation Detail'!$H$4:$H$4003,'Activation Detail'!$A$4:$A$4003,$A189,'Activation Detail'!$N$4:$N$4003,T$2)</f>
        <v>235.219787617092</v>
      </c>
      <c r="U189" s="50" t="n">
        <f aca="false">T189*'Model Inputs &amp; Assumptions'!$D$41*'Model Inputs &amp; Assumptions'!$H$41</f>
        <v>1693582.47084306</v>
      </c>
      <c r="V189" s="50" t="n">
        <f aca="false">T189*'Model Inputs &amp; Assumptions'!$G$41*'Model Inputs &amp; Assumptions'!$H$41</f>
        <v>37343.4934820895</v>
      </c>
      <c r="W189" s="50" t="n">
        <f aca="false">SUMIFS('Activation Detail'!$I$4:$I$4003,'Activation Detail'!$A$4:$A$4003,$A189,'Activation Detail'!$N$4:$N$4003,T$2)</f>
        <v>19225.38395</v>
      </c>
      <c r="X189" s="51" t="n">
        <f aca="false">IFERROR(V189/W189,0)</f>
        <v>1.9424056018444</v>
      </c>
      <c r="Y189" s="49" t="n">
        <f aca="false">IFERROR(W189/T189,0)</f>
        <v>81.7337016786042</v>
      </c>
      <c r="Z189" s="48" t="n">
        <f aca="false">SUMIFS('Activation Detail'!$H$4:$H$4003,'Activation Detail'!$A$4:$A$4003,$A189,'Activation Detail'!$N$4:$N$4003,Z$2)</f>
        <v>533.082676219677</v>
      </c>
      <c r="AA189" s="50" t="n">
        <f aca="false">Z189*'Model Inputs &amp; Assumptions'!$D$42*'Model Inputs &amp; Assumptions'!$H$42</f>
        <v>2878646.45158626</v>
      </c>
      <c r="AB189" s="50" t="n">
        <f aca="false">Z189*'Model Inputs &amp; Assumptions'!$G$42*'Model Inputs &amp; Assumptions'!$H$42</f>
        <v>60451.5754833114</v>
      </c>
      <c r="AC189" s="50" t="n">
        <f aca="false">SUMIFS('Activation Detail'!$I$4:$I$4003,'Activation Detail'!$A$4:$A$4003,$A189,'Activation Detail'!$N$4:$N$4003,Z$2)</f>
        <v>38934.88</v>
      </c>
      <c r="AD189" s="51" t="n">
        <f aca="false">IFERROR(AB189/AC189,0)</f>
        <v>1.55263289583303</v>
      </c>
      <c r="AE189" s="49" t="n">
        <f aca="false">IFERROR(AC189/Z189,0)</f>
        <v>73.0372261880733</v>
      </c>
    </row>
    <row r="190" customFormat="false" ht="15" hidden="false" customHeight="false" outlineLevel="0" collapsed="false">
      <c r="A190" s="43" t="n">
        <v>187</v>
      </c>
      <c r="B190" s="45" t="n">
        <f aca="false">SUM('Activation Detail'!C190,'Activation Detail'!C690,'Activation Detail'!C1190,'Activation Detail'!C1690,'Activation Detail'!C2190,'Activation Detail'!C2690,'Activation Detail'!C3190,'Activation Detail'!C3690)</f>
        <v>3890855</v>
      </c>
      <c r="C190" s="45" t="n">
        <f aca="false">SUM('Activation Detail'!E190,'Activation Detail'!E690,'Activation Detail'!E1190,'Activation Detail'!E1690,'Activation Detail'!E2190,'Activation Detail'!E2690,'Activation Detail'!E3190,'Activation Detail'!E3690)</f>
        <v>452953</v>
      </c>
      <c r="D190" s="45" t="n">
        <f aca="false">SUM('Activation Detail'!G190,'Activation Detail'!G690,'Activation Detail'!G1190,'Activation Detail'!G1690,'Activation Detail'!G2190,'Activation Detail'!G2690,'Activation Detail'!G3190,'Activation Detail'!G3690)</f>
        <v>16991</v>
      </c>
      <c r="E190" s="48" t="n">
        <f aca="false">SUM('Activation Detail'!H190,'Activation Detail'!H690,'Activation Detail'!H1190,'Activation Detail'!H1690,'Activation Detail'!H2190,'Activation Detail'!H2690,'Activation Detail'!H3190,'Activation Detail'!H3690)</f>
        <v>768.400899734429</v>
      </c>
      <c r="F190" s="50" t="n">
        <f aca="false">SUM('Activation Detail'!I190,'Activation Detail'!I690,'Activation Detail'!I1190,'Activation Detail'!I1690,'Activation Detail'!I2190,'Activation Detail'!I2690,'Activation Detail'!I3190,'Activation Detail'!I3690)</f>
        <v>73847.208982</v>
      </c>
      <c r="G190" s="50" t="n">
        <f aca="false">SUM('Activation Detail'!J190,'Activation Detail'!J690,'Activation Detail'!J1190,'Activation Detail'!J1690,'Activation Detail'!J2190,'Activation Detail'!J2690,'Activation Detail'!J3190,'Activation Detail'!J3690)</f>
        <v>4865212.26769631</v>
      </c>
      <c r="H190" s="50" t="n">
        <f aca="false">SUM('Activation Detail'!K190,'Activation Detail'!K690,'Activation Detail'!K1190,'Activation Detail'!K1690,'Activation Detail'!K2190,'Activation Detail'!K2690,'Activation Detail'!K3190,'Activation Detail'!K3690)</f>
        <v>105151.869100716</v>
      </c>
      <c r="I190" s="51" t="n">
        <f aca="false">IFERROR(H190/F190,0)</f>
        <v>1.42391121547121</v>
      </c>
      <c r="J190" s="49" t="n">
        <f aca="false">IFERROR(F190/E190,0)</f>
        <v>96.1050527238096</v>
      </c>
      <c r="K190" s="46" t="n">
        <f aca="false">IFERROR(C190/B190,0)</f>
        <v>0.116414772588544</v>
      </c>
      <c r="L190" s="47" t="n">
        <f aca="false">IFERROR(D190/B190,0)</f>
        <v>0.00436690650255535</v>
      </c>
      <c r="N190" s="48" t="n">
        <f aca="false">SUMIFS('Activation Detail'!$H$4:$H$4003,'Activation Detail'!$A$4:$A$4003,$A190,'Activation Detail'!$N$4:$N$4003,N$2)</f>
        <v>89.435700941877</v>
      </c>
      <c r="O190" s="50" t="n">
        <f aca="false">N190*'Model Inputs &amp; Assumptions'!$D$40*'Model Inputs &amp; Assumptions'!$H$40</f>
        <v>760203.458005954</v>
      </c>
      <c r="P190" s="50" t="n">
        <f aca="false">N190*'Model Inputs &amp; Assumptions'!$G$40*'Model Inputs &amp; Assumptions'!$H$40</f>
        <v>17104.577805134</v>
      </c>
      <c r="Q190" s="50" t="n">
        <f aca="false">SUMIFS('Activation Detail'!$I$4:$I$4003,'Activation Detail'!$A$4:$A$4003,$A190,'Activation Detail'!$N$4:$N$4003,N$2)</f>
        <v>17792.9695</v>
      </c>
      <c r="R190" s="51" t="n">
        <f aca="false">IFERROR(P190/Q190,0)</f>
        <v>0.961311028220105</v>
      </c>
      <c r="S190" s="49" t="n">
        <f aca="false">IFERROR(Q190/N190,0)</f>
        <v>198.947057076943</v>
      </c>
      <c r="T190" s="48" t="n">
        <f aca="false">SUMIFS('Activation Detail'!$H$4:$H$4003,'Activation Detail'!$A$4:$A$4003,$A190,'Activation Detail'!$N$4:$N$4003,T$2)</f>
        <v>243.664853450317</v>
      </c>
      <c r="U190" s="50" t="n">
        <f aca="false">T190*'Model Inputs &amp; Assumptions'!$D$41*'Model Inputs &amp; Assumptions'!$H$41</f>
        <v>1754386.94484228</v>
      </c>
      <c r="V190" s="50" t="n">
        <f aca="false">T190*'Model Inputs &amp; Assumptions'!$G$41*'Model Inputs &amp; Assumptions'!$H$41</f>
        <v>38684.2321337724</v>
      </c>
      <c r="W190" s="50" t="n">
        <f aca="false">SUMIFS('Activation Detail'!$I$4:$I$4003,'Activation Detail'!$A$4:$A$4003,$A190,'Activation Detail'!$N$4:$N$4003,T$2)</f>
        <v>20216.283482</v>
      </c>
      <c r="X190" s="51" t="n">
        <f aca="false">IFERROR(V190/W190,0)</f>
        <v>1.91351848465202</v>
      </c>
      <c r="Y190" s="49" t="n">
        <f aca="false">IFERROR(W190/T190,0)</f>
        <v>82.9675810677475</v>
      </c>
      <c r="Z190" s="48" t="n">
        <f aca="false">SUMIFS('Activation Detail'!$H$4:$H$4003,'Activation Detail'!$A$4:$A$4003,$A190,'Activation Detail'!$N$4:$N$4003,Z$2)</f>
        <v>435.300345342235</v>
      </c>
      <c r="AA190" s="50" t="n">
        <f aca="false">Z190*'Model Inputs &amp; Assumptions'!$D$42*'Model Inputs &amp; Assumptions'!$H$42</f>
        <v>2350621.86484807</v>
      </c>
      <c r="AB190" s="50" t="n">
        <f aca="false">Z190*'Model Inputs &amp; Assumptions'!$G$42*'Model Inputs &amp; Assumptions'!$H$42</f>
        <v>49363.0591618094</v>
      </c>
      <c r="AC190" s="50" t="n">
        <f aca="false">SUMIFS('Activation Detail'!$I$4:$I$4003,'Activation Detail'!$A$4:$A$4003,$A190,'Activation Detail'!$N$4:$N$4003,Z$2)</f>
        <v>35837.956</v>
      </c>
      <c r="AD190" s="51" t="n">
        <f aca="false">IFERROR(AB190/AC190,0)</f>
        <v>1.37739605355309</v>
      </c>
      <c r="AE190" s="49" t="n">
        <f aca="false">IFERROR(AC190/Z190,0)</f>
        <v>82.3292615856393</v>
      </c>
    </row>
    <row r="191" customFormat="false" ht="15" hidden="false" customHeight="false" outlineLevel="0" collapsed="false">
      <c r="A191" s="43" t="n">
        <v>188</v>
      </c>
      <c r="B191" s="45" t="n">
        <f aca="false">SUM('Activation Detail'!C191,'Activation Detail'!C691,'Activation Detail'!C1191,'Activation Detail'!C1691,'Activation Detail'!C2191,'Activation Detail'!C2691,'Activation Detail'!C3191,'Activation Detail'!C3691)</f>
        <v>4048425</v>
      </c>
      <c r="C191" s="45" t="n">
        <f aca="false">SUM('Activation Detail'!E191,'Activation Detail'!E691,'Activation Detail'!E1191,'Activation Detail'!E1691,'Activation Detail'!E2191,'Activation Detail'!E2691,'Activation Detail'!E3191,'Activation Detail'!E3691)</f>
        <v>386171</v>
      </c>
      <c r="D191" s="45" t="n">
        <f aca="false">SUM('Activation Detail'!G191,'Activation Detail'!G691,'Activation Detail'!G1191,'Activation Detail'!G1691,'Activation Detail'!G2191,'Activation Detail'!G2691,'Activation Detail'!G3191,'Activation Detail'!G3691)</f>
        <v>15582</v>
      </c>
      <c r="E191" s="48" t="n">
        <f aca="false">SUM('Activation Detail'!H191,'Activation Detail'!H691,'Activation Detail'!H1191,'Activation Detail'!H1691,'Activation Detail'!H2191,'Activation Detail'!H2691,'Activation Detail'!H3191,'Activation Detail'!H3691)</f>
        <v>678.458096402732</v>
      </c>
      <c r="F191" s="50" t="n">
        <f aca="false">SUM('Activation Detail'!I191,'Activation Detail'!I691,'Activation Detail'!I1191,'Activation Detail'!I1691,'Activation Detail'!I2191,'Activation Detail'!I2691,'Activation Detail'!I3191,'Activation Detail'!I3691)</f>
        <v>76115.165526</v>
      </c>
      <c r="G191" s="50" t="n">
        <f aca="false">SUM('Activation Detail'!J191,'Activation Detail'!J691,'Activation Detail'!J1191,'Activation Detail'!J1691,'Activation Detail'!J2191,'Activation Detail'!J2691,'Activation Detail'!J3191,'Activation Detail'!J3691)</f>
        <v>4186106.53947585</v>
      </c>
      <c r="H191" s="50" t="n">
        <f aca="false">SUM('Activation Detail'!K191,'Activation Detail'!K691,'Activation Detail'!K1191,'Activation Detail'!K1691,'Activation Detail'!K2191,'Activation Detail'!K2691,'Activation Detail'!K3191,'Activation Detail'!K3691)</f>
        <v>90086.5115061564</v>
      </c>
      <c r="I191" s="51" t="n">
        <f aca="false">IFERROR(H191/F191,0)</f>
        <v>1.18355535173058</v>
      </c>
      <c r="J191" s="49" t="n">
        <f aca="false">IFERROR(F191/E191,0)</f>
        <v>112.188454864894</v>
      </c>
      <c r="K191" s="46" t="n">
        <f aca="false">IFERROR(C191/B191,0)</f>
        <v>0.0953879595151201</v>
      </c>
      <c r="L191" s="47" t="n">
        <f aca="false">IFERROR(D191/B191,0)</f>
        <v>0.00384890420348654</v>
      </c>
      <c r="N191" s="48" t="n">
        <f aca="false">SUMIFS('Activation Detail'!$H$4:$H$4003,'Activation Detail'!$A$4:$A$4003,$A191,'Activation Detail'!$N$4:$N$4003,N$2)</f>
        <v>59.050600818847</v>
      </c>
      <c r="O191" s="50" t="n">
        <f aca="false">N191*'Model Inputs &amp; Assumptions'!$D$40*'Model Inputs &amp; Assumptions'!$H$40</f>
        <v>501930.1069602</v>
      </c>
      <c r="P191" s="50" t="n">
        <f aca="false">N191*'Model Inputs &amp; Assumptions'!$G$40*'Model Inputs &amp; Assumptions'!$H$40</f>
        <v>11293.4274066045</v>
      </c>
      <c r="Q191" s="50" t="n">
        <f aca="false">SUMIFS('Activation Detail'!$I$4:$I$4003,'Activation Detail'!$A$4:$A$4003,$A191,'Activation Detail'!$N$4:$N$4003,N$2)</f>
        <v>17906.4205</v>
      </c>
      <c r="R191" s="51" t="n">
        <f aca="false">IFERROR(P191/Q191,0)</f>
        <v>0.630691511271306</v>
      </c>
      <c r="S191" s="49" t="n">
        <f aca="false">IFERROR(Q191/N191,0)</f>
        <v>303.238582701852</v>
      </c>
      <c r="T191" s="48" t="n">
        <f aca="false">SUMIFS('Activation Detail'!$H$4:$H$4003,'Activation Detail'!$A$4:$A$4003,$A191,'Activation Detail'!$N$4:$N$4003,T$2)</f>
        <v>188.542197979265</v>
      </c>
      <c r="U191" s="50" t="n">
        <f aca="false">T191*'Model Inputs &amp; Assumptions'!$D$41*'Model Inputs &amp; Assumptions'!$H$41</f>
        <v>1357503.82545071</v>
      </c>
      <c r="V191" s="50" t="n">
        <f aca="false">T191*'Model Inputs &amp; Assumptions'!$G$41*'Model Inputs &amp; Assumptions'!$H$41</f>
        <v>29932.9593511881</v>
      </c>
      <c r="W191" s="50" t="n">
        <f aca="false">SUMIFS('Activation Detail'!$I$4:$I$4003,'Activation Detail'!$A$4:$A$4003,$A191,'Activation Detail'!$N$4:$N$4003,T$2)</f>
        <v>17978.861026</v>
      </c>
      <c r="X191" s="51" t="n">
        <f aca="false">IFERROR(V191/W191,0)</f>
        <v>1.6648974208044</v>
      </c>
      <c r="Y191" s="49" t="n">
        <f aca="false">IFERROR(W191/T191,0)</f>
        <v>95.3572262267636</v>
      </c>
      <c r="Z191" s="48" t="n">
        <f aca="false">SUMIFS('Activation Detail'!$H$4:$H$4003,'Activation Detail'!$A$4:$A$4003,$A191,'Activation Detail'!$N$4:$N$4003,Z$2)</f>
        <v>430.86529760462</v>
      </c>
      <c r="AA191" s="50" t="n">
        <f aca="false">Z191*'Model Inputs &amp; Assumptions'!$D$42*'Model Inputs &amp; Assumptions'!$H$42</f>
        <v>2326672.60706495</v>
      </c>
      <c r="AB191" s="50" t="n">
        <f aca="false">Z191*'Model Inputs &amp; Assumptions'!$G$42*'Model Inputs &amp; Assumptions'!$H$42</f>
        <v>48860.1247483639</v>
      </c>
      <c r="AC191" s="50" t="n">
        <f aca="false">SUMIFS('Activation Detail'!$I$4:$I$4003,'Activation Detail'!$A$4:$A$4003,$A191,'Activation Detail'!$N$4:$N$4003,Z$2)</f>
        <v>40229.884</v>
      </c>
      <c r="AD191" s="51" t="n">
        <f aca="false">IFERROR(AB191/AC191,0)</f>
        <v>1.21452313281251</v>
      </c>
      <c r="AE191" s="49" t="n">
        <f aca="false">IFERROR(AC191/Z191,0)</f>
        <v>93.3699794893128</v>
      </c>
    </row>
    <row r="192" customFormat="false" ht="15" hidden="false" customHeight="false" outlineLevel="0" collapsed="false">
      <c r="A192" s="43" t="n">
        <v>189</v>
      </c>
      <c r="B192" s="45" t="n">
        <f aca="false">SUM('Activation Detail'!C192,'Activation Detail'!C692,'Activation Detail'!C1192,'Activation Detail'!C1692,'Activation Detail'!C2192,'Activation Detail'!C2692,'Activation Detail'!C3192,'Activation Detail'!C3692)</f>
        <v>3334022</v>
      </c>
      <c r="C192" s="45" t="n">
        <f aca="false">SUM('Activation Detail'!E192,'Activation Detail'!E692,'Activation Detail'!E1192,'Activation Detail'!E1692,'Activation Detail'!E2192,'Activation Detail'!E2692,'Activation Detail'!E3192,'Activation Detail'!E3692)</f>
        <v>391929</v>
      </c>
      <c r="D192" s="45" t="n">
        <f aca="false">SUM('Activation Detail'!G192,'Activation Detail'!G692,'Activation Detail'!G1192,'Activation Detail'!G1692,'Activation Detail'!G2192,'Activation Detail'!G2692,'Activation Detail'!G3192,'Activation Detail'!G3692)</f>
        <v>12066</v>
      </c>
      <c r="E192" s="48" t="n">
        <f aca="false">SUM('Activation Detail'!H192,'Activation Detail'!H692,'Activation Detail'!H1192,'Activation Detail'!H1692,'Activation Detail'!H2192,'Activation Detail'!H2692,'Activation Detail'!H3192,'Activation Detail'!H3692)</f>
        <v>538.892940462155</v>
      </c>
      <c r="F192" s="50" t="n">
        <f aca="false">SUM('Activation Detail'!I192,'Activation Detail'!I692,'Activation Detail'!I1192,'Activation Detail'!I1692,'Activation Detail'!I2192,'Activation Detail'!I2692,'Activation Detail'!I3192,'Activation Detail'!I3692)</f>
        <v>67605.584214</v>
      </c>
      <c r="G192" s="50" t="n">
        <f aca="false">SUM('Activation Detail'!J192,'Activation Detail'!J692,'Activation Detail'!J1192,'Activation Detail'!J1692,'Activation Detail'!J2192,'Activation Detail'!J2692,'Activation Detail'!J3192,'Activation Detail'!J3692)</f>
        <v>3394408.88309374</v>
      </c>
      <c r="H192" s="50" t="n">
        <f aca="false">SUM('Activation Detail'!K192,'Activation Detail'!K692,'Activation Detail'!K1192,'Activation Detail'!K1692,'Activation Detail'!K2192,'Activation Detail'!K2692,'Activation Detail'!K3192,'Activation Detail'!K3692)</f>
        <v>73297.3069408598</v>
      </c>
      <c r="I192" s="51" t="n">
        <f aca="false">IFERROR(H192/F192,0)</f>
        <v>1.08419012708836</v>
      </c>
      <c r="J192" s="49" t="n">
        <f aca="false">IFERROR(F192/E192,0)</f>
        <v>125.45271822641</v>
      </c>
      <c r="K192" s="46" t="n">
        <f aca="false">IFERROR(C192/B192,0)</f>
        <v>0.117554413258221</v>
      </c>
      <c r="L192" s="47" t="n">
        <f aca="false">IFERROR(D192/B192,0)</f>
        <v>0.00361905230379404</v>
      </c>
      <c r="N192" s="48" t="n">
        <f aca="false">SUMIFS('Activation Detail'!$H$4:$H$4003,'Activation Detail'!$A$4:$A$4003,$A192,'Activation Detail'!$N$4:$N$4003,N$2)</f>
        <v>72.9815682254411</v>
      </c>
      <c r="O192" s="50" t="n">
        <f aca="false">N192*'Model Inputs &amp; Assumptions'!$D$40*'Model Inputs &amp; Assumptions'!$H$40</f>
        <v>620343.32991625</v>
      </c>
      <c r="P192" s="50" t="n">
        <f aca="false">N192*'Model Inputs &amp; Assumptions'!$G$40*'Model Inputs &amp; Assumptions'!$H$40</f>
        <v>13957.7249231156</v>
      </c>
      <c r="Q192" s="50" t="n">
        <f aca="false">SUMIFS('Activation Detail'!$I$4:$I$4003,'Activation Detail'!$A$4:$A$4003,$A192,'Activation Detail'!$N$4:$N$4003,N$2)</f>
        <v>17351.1385</v>
      </c>
      <c r="R192" s="51" t="n">
        <f aca="false">IFERROR(P192/Q192,0)</f>
        <v>0.80442703648038</v>
      </c>
      <c r="S192" s="49" t="n">
        <f aca="false">IFERROR(Q192/N192,0)</f>
        <v>237.746857486017</v>
      </c>
      <c r="T192" s="48" t="n">
        <f aca="false">SUMIFS('Activation Detail'!$H$4:$H$4003,'Activation Detail'!$A$4:$A$4003,$A192,'Activation Detail'!$N$4:$N$4003,T$2)</f>
        <v>143.413412832911</v>
      </c>
      <c r="U192" s="50" t="n">
        <f aca="false">T192*'Model Inputs &amp; Assumptions'!$D$41*'Model Inputs &amp; Assumptions'!$H$41</f>
        <v>1032576.57239696</v>
      </c>
      <c r="V192" s="50" t="n">
        <f aca="false">T192*'Model Inputs &amp; Assumptions'!$G$41*'Model Inputs &amp; Assumptions'!$H$41</f>
        <v>22768.313421353</v>
      </c>
      <c r="W192" s="50" t="n">
        <f aca="false">SUMIFS('Activation Detail'!$I$4:$I$4003,'Activation Detail'!$A$4:$A$4003,$A192,'Activation Detail'!$N$4:$N$4003,T$2)</f>
        <v>16155.133714</v>
      </c>
      <c r="X192" s="51" t="n">
        <f aca="false">IFERROR(V192/W192,0)</f>
        <v>1.40935468714951</v>
      </c>
      <c r="Y192" s="49" t="n">
        <f aca="false">IFERROR(W192/T192,0)</f>
        <v>112.647299822801</v>
      </c>
      <c r="Z192" s="48" t="n">
        <f aca="false">SUMIFS('Activation Detail'!$H$4:$H$4003,'Activation Detail'!$A$4:$A$4003,$A192,'Activation Detail'!$N$4:$N$4003,Z$2)</f>
        <v>322.497959403803</v>
      </c>
      <c r="AA192" s="50" t="n">
        <f aca="false">Z192*'Model Inputs &amp; Assumptions'!$D$42*'Model Inputs &amp; Assumptions'!$H$42</f>
        <v>1741488.98078053</v>
      </c>
      <c r="AB192" s="50" t="n">
        <f aca="false">Z192*'Model Inputs &amp; Assumptions'!$G$42*'Model Inputs &amp; Assumptions'!$H$42</f>
        <v>36571.2685963912</v>
      </c>
      <c r="AC192" s="50" t="n">
        <f aca="false">SUMIFS('Activation Detail'!$I$4:$I$4003,'Activation Detail'!$A$4:$A$4003,$A192,'Activation Detail'!$N$4:$N$4003,Z$2)</f>
        <v>34099.312</v>
      </c>
      <c r="AD192" s="51" t="n">
        <f aca="false">IFERROR(AB192/AC192,0)</f>
        <v>1.07249285840111</v>
      </c>
      <c r="AE192" s="49" t="n">
        <f aca="false">IFERROR(AC192/Z192,0)</f>
        <v>105.734969805821</v>
      </c>
    </row>
    <row r="193" customFormat="false" ht="15" hidden="false" customHeight="false" outlineLevel="0" collapsed="false">
      <c r="A193" s="43" t="n">
        <v>190</v>
      </c>
      <c r="B193" s="45" t="n">
        <f aca="false">SUM('Activation Detail'!C193,'Activation Detail'!C693,'Activation Detail'!C1193,'Activation Detail'!C1693,'Activation Detail'!C2193,'Activation Detail'!C2693,'Activation Detail'!C3193,'Activation Detail'!C3693)</f>
        <v>3645906</v>
      </c>
      <c r="C193" s="45" t="n">
        <f aca="false">SUM('Activation Detail'!E193,'Activation Detail'!E693,'Activation Detail'!E1193,'Activation Detail'!E1693,'Activation Detail'!E2193,'Activation Detail'!E2693,'Activation Detail'!E3193,'Activation Detail'!E3693)</f>
        <v>317168</v>
      </c>
      <c r="D193" s="45" t="n">
        <f aca="false">SUM('Activation Detail'!G193,'Activation Detail'!G693,'Activation Detail'!G1193,'Activation Detail'!G1693,'Activation Detail'!G2193,'Activation Detail'!G2693,'Activation Detail'!G3193,'Activation Detail'!G3693)</f>
        <v>14357</v>
      </c>
      <c r="E193" s="48" t="n">
        <f aca="false">SUM('Activation Detail'!H193,'Activation Detail'!H693,'Activation Detail'!H1193,'Activation Detail'!H1693,'Activation Detail'!H2193,'Activation Detail'!H2693,'Activation Detail'!H3193,'Activation Detail'!H3693)</f>
        <v>580.495615350481</v>
      </c>
      <c r="F193" s="50" t="n">
        <f aca="false">SUM('Activation Detail'!I193,'Activation Detail'!I693,'Activation Detail'!I1193,'Activation Detail'!I1693,'Activation Detail'!I2193,'Activation Detail'!I2693,'Activation Detail'!I3193,'Activation Detail'!I3693)</f>
        <v>75052.691444</v>
      </c>
      <c r="G193" s="50" t="n">
        <f aca="false">SUM('Activation Detail'!J193,'Activation Detail'!J693,'Activation Detail'!J1193,'Activation Detail'!J1693,'Activation Detail'!J2193,'Activation Detail'!J2693,'Activation Detail'!J3193,'Activation Detail'!J3693)</f>
        <v>3846634.40244042</v>
      </c>
      <c r="H193" s="50" t="n">
        <f aca="false">SUM('Activation Detail'!K193,'Activation Detail'!K693,'Activation Detail'!K1193,'Activation Detail'!K1693,'Activation Detail'!K2193,'Activation Detail'!K2693,'Activation Detail'!K3193,'Activation Detail'!K3693)</f>
        <v>83739.6829512373</v>
      </c>
      <c r="I193" s="51" t="n">
        <f aca="false">IFERROR(H193/F193,0)</f>
        <v>1.11574523631466</v>
      </c>
      <c r="J193" s="49" t="n">
        <f aca="false">IFERROR(F193/E193,0)</f>
        <v>129.290712038688</v>
      </c>
      <c r="K193" s="46" t="n">
        <f aca="false">IFERROR(C193/B193,0)</f>
        <v>0.0869929175354494</v>
      </c>
      <c r="L193" s="47" t="n">
        <f aca="false">IFERROR(D193/B193,0)</f>
        <v>0.00393784151319315</v>
      </c>
      <c r="N193" s="48" t="n">
        <f aca="false">SUMIFS('Activation Detail'!$H$4:$H$4003,'Activation Detail'!$A$4:$A$4003,$A193,'Activation Detail'!$N$4:$N$4003,N$2)</f>
        <v>110.605311527373</v>
      </c>
      <c r="O193" s="50" t="n">
        <f aca="false">N193*'Model Inputs &amp; Assumptions'!$D$40*'Model Inputs &amp; Assumptions'!$H$40</f>
        <v>940145.147982673</v>
      </c>
      <c r="P193" s="50" t="n">
        <f aca="false">N193*'Model Inputs &amp; Assumptions'!$G$40*'Model Inputs &amp; Assumptions'!$H$40</f>
        <v>21153.2658296101</v>
      </c>
      <c r="Q193" s="50" t="n">
        <f aca="false">SUMIFS('Activation Detail'!$I$4:$I$4003,'Activation Detail'!$A$4:$A$4003,$A193,'Activation Detail'!$N$4:$N$4003,N$2)</f>
        <v>17727.248</v>
      </c>
      <c r="R193" s="51" t="n">
        <f aca="false">IFERROR(P193/Q193,0)</f>
        <v>1.19326281381127</v>
      </c>
      <c r="S193" s="49" t="n">
        <f aca="false">IFERROR(Q193/N193,0)</f>
        <v>160.274834501169</v>
      </c>
      <c r="T193" s="48" t="n">
        <f aca="false">SUMIFS('Activation Detail'!$H$4:$H$4003,'Activation Detail'!$A$4:$A$4003,$A193,'Activation Detail'!$N$4:$N$4003,T$2)</f>
        <v>205.045341007203</v>
      </c>
      <c r="U193" s="50" t="n">
        <f aca="false">T193*'Model Inputs &amp; Assumptions'!$D$41*'Model Inputs &amp; Assumptions'!$H$41</f>
        <v>1476326.45525186</v>
      </c>
      <c r="V193" s="50" t="n">
        <f aca="false">T193*'Model Inputs &amp; Assumptions'!$G$41*'Model Inputs &amp; Assumptions'!$H$41</f>
        <v>32552.9983383036</v>
      </c>
      <c r="W193" s="50" t="n">
        <f aca="false">SUMIFS('Activation Detail'!$I$4:$I$4003,'Activation Detail'!$A$4:$A$4003,$A193,'Activation Detail'!$N$4:$N$4003,T$2)</f>
        <v>19218.983444</v>
      </c>
      <c r="X193" s="51" t="n">
        <f aca="false">IFERROR(V193/W193,0)</f>
        <v>1.69379397371126</v>
      </c>
      <c r="Y193" s="49" t="n">
        <f aca="false">IFERROR(W193/T193,0)</f>
        <v>93.7304078678131</v>
      </c>
      <c r="Z193" s="48" t="n">
        <f aca="false">SUMIFS('Activation Detail'!$H$4:$H$4003,'Activation Detail'!$A$4:$A$4003,$A193,'Activation Detail'!$N$4:$N$4003,Z$2)</f>
        <v>264.844962815905</v>
      </c>
      <c r="AA193" s="50" t="n">
        <f aca="false">Z193*'Model Inputs &amp; Assumptions'!$D$42*'Model Inputs &amp; Assumptions'!$H$42</f>
        <v>1430162.79920588</v>
      </c>
      <c r="AB193" s="50" t="n">
        <f aca="false">Z193*'Model Inputs &amp; Assumptions'!$G$42*'Model Inputs &amp; Assumptions'!$H$42</f>
        <v>30033.4187833236</v>
      </c>
      <c r="AC193" s="50" t="n">
        <f aca="false">SUMIFS('Activation Detail'!$I$4:$I$4003,'Activation Detail'!$A$4:$A$4003,$A193,'Activation Detail'!$N$4:$N$4003,Z$2)</f>
        <v>38106.46</v>
      </c>
      <c r="AD193" s="51" t="n">
        <f aca="false">IFERROR(AB193/AC193,0)</f>
        <v>0.788145075226709</v>
      </c>
      <c r="AE193" s="49" t="n">
        <f aca="false">IFERROR(AC193/Z193,0)</f>
        <v>143.882139931383</v>
      </c>
    </row>
    <row r="194" customFormat="false" ht="15" hidden="false" customHeight="false" outlineLevel="0" collapsed="false">
      <c r="A194" s="43" t="n">
        <v>191</v>
      </c>
      <c r="B194" s="45" t="n">
        <f aca="false">SUM('Activation Detail'!C194,'Activation Detail'!C694,'Activation Detail'!C1194,'Activation Detail'!C1694,'Activation Detail'!C2194,'Activation Detail'!C2694,'Activation Detail'!C3194,'Activation Detail'!C3694)</f>
        <v>4655497</v>
      </c>
      <c r="C194" s="45" t="n">
        <f aca="false">SUM('Activation Detail'!E194,'Activation Detail'!E694,'Activation Detail'!E1194,'Activation Detail'!E1694,'Activation Detail'!E2194,'Activation Detail'!E2694,'Activation Detail'!E3194,'Activation Detail'!E3694)</f>
        <v>642166</v>
      </c>
      <c r="D194" s="45" t="n">
        <f aca="false">SUM('Activation Detail'!G194,'Activation Detail'!G694,'Activation Detail'!G1194,'Activation Detail'!G1694,'Activation Detail'!G2194,'Activation Detail'!G2694,'Activation Detail'!G3194,'Activation Detail'!G3694)</f>
        <v>18231</v>
      </c>
      <c r="E194" s="48" t="n">
        <f aca="false">SUM('Activation Detail'!H194,'Activation Detail'!H694,'Activation Detail'!H1194,'Activation Detail'!H1694,'Activation Detail'!H2194,'Activation Detail'!H2694,'Activation Detail'!H3194,'Activation Detail'!H3694)</f>
        <v>775.748881228283</v>
      </c>
      <c r="F194" s="50" t="n">
        <f aca="false">SUM('Activation Detail'!I194,'Activation Detail'!I694,'Activation Detail'!I1194,'Activation Detail'!I1694,'Activation Detail'!I2194,'Activation Detail'!I2694,'Activation Detail'!I3194,'Activation Detail'!I3694)</f>
        <v>78217.034396</v>
      </c>
      <c r="G194" s="50" t="n">
        <f aca="false">SUM('Activation Detail'!J194,'Activation Detail'!J694,'Activation Detail'!J1194,'Activation Detail'!J1694,'Activation Detail'!J2194,'Activation Detail'!J2694,'Activation Detail'!J3194,'Activation Detail'!J3694)</f>
        <v>4824956.83648443</v>
      </c>
      <c r="H194" s="50" t="n">
        <f aca="false">SUM('Activation Detail'!K194,'Activation Detail'!K694,'Activation Detail'!K1194,'Activation Detail'!K1694,'Activation Detail'!K2194,'Activation Detail'!K2694,'Activation Detail'!K3194,'Activation Detail'!K3694)</f>
        <v>103974.320171872</v>
      </c>
      <c r="I194" s="51" t="n">
        <f aca="false">IFERROR(H194/F194,0)</f>
        <v>1.32930532299994</v>
      </c>
      <c r="J194" s="49" t="n">
        <f aca="false">IFERROR(F194/E194,0)</f>
        <v>100.827775957801</v>
      </c>
      <c r="K194" s="46" t="n">
        <f aca="false">IFERROR(C194/B194,0)</f>
        <v>0.137937152574688</v>
      </c>
      <c r="L194" s="47" t="n">
        <f aca="false">IFERROR(D194/B194,0)</f>
        <v>0.00391601584105843</v>
      </c>
      <c r="N194" s="48" t="n">
        <f aca="false">SUMIFS('Activation Detail'!$H$4:$H$4003,'Activation Detail'!$A$4:$A$4003,$A194,'Activation Detail'!$N$4:$N$4003,N$2)</f>
        <v>76.3240047340796</v>
      </c>
      <c r="O194" s="50" t="n">
        <f aca="false">N194*'Model Inputs &amp; Assumptions'!$D$40*'Model Inputs &amp; Assumptions'!$H$40</f>
        <v>648754.040239676</v>
      </c>
      <c r="P194" s="50" t="n">
        <f aca="false">N194*'Model Inputs &amp; Assumptions'!$G$40*'Model Inputs &amp; Assumptions'!$H$40</f>
        <v>14596.9659053927</v>
      </c>
      <c r="Q194" s="50" t="n">
        <f aca="false">SUMIFS('Activation Detail'!$I$4:$I$4003,'Activation Detail'!$A$4:$A$4003,$A194,'Activation Detail'!$N$4:$N$4003,N$2)</f>
        <v>17362.442</v>
      </c>
      <c r="R194" s="51" t="n">
        <f aca="false">IFERROR(P194/Q194,0)</f>
        <v>0.840720787167653</v>
      </c>
      <c r="S194" s="49" t="n">
        <f aca="false">IFERROR(Q194/N194,0)</f>
        <v>227.483372505052</v>
      </c>
      <c r="T194" s="48" t="n">
        <f aca="false">SUMIFS('Activation Detail'!$H$4:$H$4003,'Activation Detail'!$A$4:$A$4003,$A194,'Activation Detail'!$N$4:$N$4003,T$2)</f>
        <v>221.838035097806</v>
      </c>
      <c r="U194" s="50" t="n">
        <f aca="false">T194*'Model Inputs &amp; Assumptions'!$D$41*'Model Inputs &amp; Assumptions'!$H$41</f>
        <v>1597233.8527042</v>
      </c>
      <c r="V194" s="50" t="n">
        <f aca="false">T194*'Model Inputs &amp; Assumptions'!$G$41*'Model Inputs &amp; Assumptions'!$H$41</f>
        <v>35219.0064521277</v>
      </c>
      <c r="W194" s="50" t="n">
        <f aca="false">SUMIFS('Activation Detail'!$I$4:$I$4003,'Activation Detail'!$A$4:$A$4003,$A194,'Activation Detail'!$N$4:$N$4003,T$2)</f>
        <v>21169.904396</v>
      </c>
      <c r="X194" s="51" t="n">
        <f aca="false">IFERROR(V194/W194,0)</f>
        <v>1.6636355929308</v>
      </c>
      <c r="Y194" s="49" t="n">
        <f aca="false">IFERROR(W194/T194,0)</f>
        <v>95.4295524059542</v>
      </c>
      <c r="Z194" s="48" t="n">
        <f aca="false">SUMIFS('Activation Detail'!$H$4:$H$4003,'Activation Detail'!$A$4:$A$4003,$A194,'Activation Detail'!$N$4:$N$4003,Z$2)</f>
        <v>477.586841396397</v>
      </c>
      <c r="AA194" s="50" t="n">
        <f aca="false">Z194*'Model Inputs &amp; Assumptions'!$D$42*'Model Inputs &amp; Assumptions'!$H$42</f>
        <v>2578968.94354054</v>
      </c>
      <c r="AB194" s="50" t="n">
        <f aca="false">Z194*'Model Inputs &amp; Assumptions'!$G$42*'Model Inputs &amp; Assumptions'!$H$42</f>
        <v>54158.3478143514</v>
      </c>
      <c r="AC194" s="50" t="n">
        <f aca="false">SUMIFS('Activation Detail'!$I$4:$I$4003,'Activation Detail'!$A$4:$A$4003,$A194,'Activation Detail'!$N$4:$N$4003,Z$2)</f>
        <v>39684.688</v>
      </c>
      <c r="AD194" s="51" t="n">
        <f aca="false">IFERROR(AB194/AC194,0)</f>
        <v>1.36471648244662</v>
      </c>
      <c r="AE194" s="49" t="n">
        <f aca="false">IFERROR(AC194/Z194,0)</f>
        <v>83.0941821679331</v>
      </c>
    </row>
    <row r="195" customFormat="false" ht="15" hidden="false" customHeight="false" outlineLevel="0" collapsed="false">
      <c r="A195" s="43" t="n">
        <v>192</v>
      </c>
      <c r="B195" s="45" t="n">
        <f aca="false">SUM('Activation Detail'!C195,'Activation Detail'!C695,'Activation Detail'!C1195,'Activation Detail'!C1695,'Activation Detail'!C2195,'Activation Detail'!C2695,'Activation Detail'!C3195,'Activation Detail'!C3695)</f>
        <v>3968990</v>
      </c>
      <c r="C195" s="45" t="n">
        <f aca="false">SUM('Activation Detail'!E195,'Activation Detail'!E695,'Activation Detail'!E1195,'Activation Detail'!E1695,'Activation Detail'!E2195,'Activation Detail'!E2695,'Activation Detail'!E3195,'Activation Detail'!E3695)</f>
        <v>315596</v>
      </c>
      <c r="D195" s="45" t="n">
        <f aca="false">SUM('Activation Detail'!G195,'Activation Detail'!G695,'Activation Detail'!G1195,'Activation Detail'!G1695,'Activation Detail'!G2195,'Activation Detail'!G2695,'Activation Detail'!G3195,'Activation Detail'!G3695)</f>
        <v>14665</v>
      </c>
      <c r="E195" s="48" t="n">
        <f aca="false">SUM('Activation Detail'!H195,'Activation Detail'!H695,'Activation Detail'!H1195,'Activation Detail'!H1695,'Activation Detail'!H2195,'Activation Detail'!H2695,'Activation Detail'!H3195,'Activation Detail'!H3695)</f>
        <v>675.828232383665</v>
      </c>
      <c r="F195" s="50" t="n">
        <f aca="false">SUM('Activation Detail'!I195,'Activation Detail'!I695,'Activation Detail'!I1195,'Activation Detail'!I1695,'Activation Detail'!I2195,'Activation Detail'!I2695,'Activation Detail'!I3195,'Activation Detail'!I3695)</f>
        <v>73682.409858</v>
      </c>
      <c r="G195" s="50" t="n">
        <f aca="false">SUM('Activation Detail'!J195,'Activation Detail'!J695,'Activation Detail'!J1195,'Activation Detail'!J1695,'Activation Detail'!J2195,'Activation Detail'!J2695,'Activation Detail'!J3195,'Activation Detail'!J3695)</f>
        <v>4254710.3334303</v>
      </c>
      <c r="H195" s="50" t="n">
        <f aca="false">SUM('Activation Detail'!K195,'Activation Detail'!K695,'Activation Detail'!K1195,'Activation Detail'!K1695,'Activation Detail'!K2195,'Activation Detail'!K2695,'Activation Detail'!K3195,'Activation Detail'!K3695)</f>
        <v>91869.2096839146</v>
      </c>
      <c r="I195" s="51" t="n">
        <f aca="false">IFERROR(H195/F195,0)</f>
        <v>1.24682688664722</v>
      </c>
      <c r="J195" s="49" t="n">
        <f aca="false">IFERROR(F195/E195,0)</f>
        <v>109.02535041799</v>
      </c>
      <c r="K195" s="46" t="n">
        <f aca="false">IFERROR(C195/B195,0)</f>
        <v>0.0795154434755442</v>
      </c>
      <c r="L195" s="47" t="n">
        <f aca="false">IFERROR(D195/B195,0)</f>
        <v>0.00369489467093643</v>
      </c>
      <c r="N195" s="48" t="n">
        <f aca="false">SUMIFS('Activation Detail'!$H$4:$H$4003,'Activation Detail'!$A$4:$A$4003,$A195,'Activation Detail'!$N$4:$N$4003,N$2)</f>
        <v>80.3941039539286</v>
      </c>
      <c r="O195" s="50" t="n">
        <f aca="false">N195*'Model Inputs &amp; Assumptions'!$D$40*'Model Inputs &amp; Assumptions'!$H$40</f>
        <v>683349.883608393</v>
      </c>
      <c r="P195" s="50" t="n">
        <f aca="false">N195*'Model Inputs &amp; Assumptions'!$G$40*'Model Inputs &amp; Assumptions'!$H$40</f>
        <v>15375.3723811888</v>
      </c>
      <c r="Q195" s="50" t="n">
        <f aca="false">SUMIFS('Activation Detail'!$I$4:$I$4003,'Activation Detail'!$A$4:$A$4003,$A195,'Activation Detail'!$N$4:$N$4003,N$2)</f>
        <v>18848.511</v>
      </c>
      <c r="R195" s="51" t="n">
        <f aca="false">IFERROR(P195/Q195,0)</f>
        <v>0.815734058843632</v>
      </c>
      <c r="S195" s="49" t="n">
        <f aca="false">IFERROR(Q195/N195,0)</f>
        <v>234.451409655632</v>
      </c>
      <c r="T195" s="48" t="n">
        <f aca="false">SUMIFS('Activation Detail'!$H$4:$H$4003,'Activation Detail'!$A$4:$A$4003,$A195,'Activation Detail'!$N$4:$N$4003,T$2)</f>
        <v>197.786753500742</v>
      </c>
      <c r="U195" s="50" t="n">
        <f aca="false">T195*'Model Inputs &amp; Assumptions'!$D$41*'Model Inputs &amp; Assumptions'!$H$41</f>
        <v>1424064.62520534</v>
      </c>
      <c r="V195" s="50" t="n">
        <f aca="false">T195*'Model Inputs &amp; Assumptions'!$G$41*'Model Inputs &amp; Assumptions'!$H$41</f>
        <v>31400.6249857778</v>
      </c>
      <c r="W195" s="50" t="n">
        <f aca="false">SUMIFS('Activation Detail'!$I$4:$I$4003,'Activation Detail'!$A$4:$A$4003,$A195,'Activation Detail'!$N$4:$N$4003,T$2)</f>
        <v>14931.578858</v>
      </c>
      <c r="X195" s="51" t="n">
        <f aca="false">IFERROR(V195/W195,0)</f>
        <v>2.10296749489114</v>
      </c>
      <c r="Y195" s="49" t="n">
        <f aca="false">IFERROR(W195/T195,0)</f>
        <v>75.4933209313433</v>
      </c>
      <c r="Z195" s="48" t="n">
        <f aca="false">SUMIFS('Activation Detail'!$H$4:$H$4003,'Activation Detail'!$A$4:$A$4003,$A195,'Activation Detail'!$N$4:$N$4003,Z$2)</f>
        <v>397.647374928994</v>
      </c>
      <c r="AA195" s="50" t="n">
        <f aca="false">Z195*'Model Inputs &amp; Assumptions'!$D$42*'Model Inputs &amp; Assumptions'!$H$42</f>
        <v>2147295.82461657</v>
      </c>
      <c r="AB195" s="50" t="n">
        <f aca="false">Z195*'Model Inputs &amp; Assumptions'!$G$42*'Model Inputs &amp; Assumptions'!$H$42</f>
        <v>45093.2123169479</v>
      </c>
      <c r="AC195" s="50" t="n">
        <f aca="false">SUMIFS('Activation Detail'!$I$4:$I$4003,'Activation Detail'!$A$4:$A$4003,$A195,'Activation Detail'!$N$4:$N$4003,Z$2)</f>
        <v>39902.32</v>
      </c>
      <c r="AD195" s="51" t="n">
        <f aca="false">IFERROR(AB195/AC195,0)</f>
        <v>1.1300899876736</v>
      </c>
      <c r="AE195" s="49" t="n">
        <f aca="false">IFERROR(AC195/Z195,0)</f>
        <v>100.345991236897</v>
      </c>
    </row>
    <row r="196" customFormat="false" ht="15" hidden="false" customHeight="false" outlineLevel="0" collapsed="false">
      <c r="A196" s="43" t="n">
        <v>193</v>
      </c>
      <c r="B196" s="45" t="n">
        <f aca="false">SUM('Activation Detail'!C196,'Activation Detail'!C696,'Activation Detail'!C1196,'Activation Detail'!C1696,'Activation Detail'!C2196,'Activation Detail'!C2696,'Activation Detail'!C3196,'Activation Detail'!C3696)</f>
        <v>3845396</v>
      </c>
      <c r="C196" s="45" t="n">
        <f aca="false">SUM('Activation Detail'!E196,'Activation Detail'!E696,'Activation Detail'!E1196,'Activation Detail'!E1696,'Activation Detail'!E2196,'Activation Detail'!E2696,'Activation Detail'!E3196,'Activation Detail'!E3696)</f>
        <v>373065</v>
      </c>
      <c r="D196" s="45" t="n">
        <f aca="false">SUM('Activation Detail'!G196,'Activation Detail'!G696,'Activation Detail'!G1196,'Activation Detail'!G1696,'Activation Detail'!G2196,'Activation Detail'!G2696,'Activation Detail'!G3196,'Activation Detail'!G3696)</f>
        <v>15905</v>
      </c>
      <c r="E196" s="48" t="n">
        <f aca="false">SUM('Activation Detail'!H196,'Activation Detail'!H696,'Activation Detail'!H1196,'Activation Detail'!H1696,'Activation Detail'!H2196,'Activation Detail'!H2696,'Activation Detail'!H3196,'Activation Detail'!H3696)</f>
        <v>638.755293458748</v>
      </c>
      <c r="F196" s="50" t="n">
        <f aca="false">SUM('Activation Detail'!I196,'Activation Detail'!I696,'Activation Detail'!I1196,'Activation Detail'!I1696,'Activation Detail'!I2196,'Activation Detail'!I2696,'Activation Detail'!I3196,'Activation Detail'!I3696)</f>
        <v>72563.318386</v>
      </c>
      <c r="G196" s="50" t="n">
        <f aca="false">SUM('Activation Detail'!J196,'Activation Detail'!J696,'Activation Detail'!J1196,'Activation Detail'!J1696,'Activation Detail'!J2196,'Activation Detail'!J2696,'Activation Detail'!J3196,'Activation Detail'!J3696)</f>
        <v>4266310.264987</v>
      </c>
      <c r="H196" s="50" t="n">
        <f aca="false">SUM('Activation Detail'!K196,'Activation Detail'!K696,'Activation Detail'!K1196,'Activation Detail'!K1696,'Activation Detail'!K2196,'Activation Detail'!K2696,'Activation Detail'!K3196,'Activation Detail'!K3696)</f>
        <v>92987.5258349085</v>
      </c>
      <c r="I196" s="51" t="n">
        <f aca="false">IFERROR(H196/F196,0)</f>
        <v>1.28146738466758</v>
      </c>
      <c r="J196" s="49" t="n">
        <f aca="false">IFERROR(F196/E196,0)</f>
        <v>113.601122572437</v>
      </c>
      <c r="K196" s="46" t="n">
        <f aca="false">IFERROR(C196/B196,0)</f>
        <v>0.0970160160357997</v>
      </c>
      <c r="L196" s="47" t="n">
        <f aca="false">IFERROR(D196/B196,0)</f>
        <v>0.00413611498009568</v>
      </c>
      <c r="N196" s="48" t="n">
        <f aca="false">SUMIFS('Activation Detail'!$H$4:$H$4003,'Activation Detail'!$A$4:$A$4003,$A196,'Activation Detail'!$N$4:$N$4003,N$2)</f>
        <v>135.269581923467</v>
      </c>
      <c r="O196" s="50" t="n">
        <f aca="false">N196*'Model Inputs &amp; Assumptions'!$D$40*'Model Inputs &amp; Assumptions'!$H$40</f>
        <v>1149791.44634947</v>
      </c>
      <c r="P196" s="50" t="n">
        <f aca="false">N196*'Model Inputs &amp; Assumptions'!$G$40*'Model Inputs &amp; Assumptions'!$H$40</f>
        <v>25870.3075428631</v>
      </c>
      <c r="Q196" s="50" t="n">
        <f aca="false">SUMIFS('Activation Detail'!$I$4:$I$4003,'Activation Detail'!$A$4:$A$4003,$A196,'Activation Detail'!$N$4:$N$4003,N$2)</f>
        <v>17878.555</v>
      </c>
      <c r="R196" s="51" t="n">
        <f aca="false">IFERROR(P196/Q196,0)</f>
        <v>1.44700215106104</v>
      </c>
      <c r="S196" s="49" t="n">
        <f aca="false">IFERROR(Q196/N196,0)</f>
        <v>132.1698104317</v>
      </c>
      <c r="T196" s="48" t="n">
        <f aca="false">SUMIFS('Activation Detail'!$H$4:$H$4003,'Activation Detail'!$A$4:$A$4003,$A196,'Activation Detail'!$N$4:$N$4003,T$2)</f>
        <v>220.94220908167</v>
      </c>
      <c r="U196" s="50" t="n">
        <f aca="false">T196*'Model Inputs &amp; Assumptions'!$D$41*'Model Inputs &amp; Assumptions'!$H$41</f>
        <v>1590783.90538803</v>
      </c>
      <c r="V196" s="50" t="n">
        <f aca="false">T196*'Model Inputs &amp; Assumptions'!$G$41*'Model Inputs &amp; Assumptions'!$H$41</f>
        <v>35076.785113806</v>
      </c>
      <c r="W196" s="50" t="n">
        <f aca="false">SUMIFS('Activation Detail'!$I$4:$I$4003,'Activation Detail'!$A$4:$A$4003,$A196,'Activation Detail'!$N$4:$N$4003,T$2)</f>
        <v>17714.271386</v>
      </c>
      <c r="X196" s="51" t="n">
        <f aca="false">IFERROR(V196/W196,0)</f>
        <v>1.98014269678221</v>
      </c>
      <c r="Y196" s="49" t="n">
        <f aca="false">IFERROR(W196/T196,0)</f>
        <v>80.1760399682253</v>
      </c>
      <c r="Z196" s="48" t="n">
        <f aca="false">SUMIFS('Activation Detail'!$H$4:$H$4003,'Activation Detail'!$A$4:$A$4003,$A196,'Activation Detail'!$N$4:$N$4003,Z$2)</f>
        <v>282.543502453611</v>
      </c>
      <c r="AA196" s="50" t="n">
        <f aca="false">Z196*'Model Inputs &amp; Assumptions'!$D$42*'Model Inputs &amp; Assumptions'!$H$42</f>
        <v>1525734.9132495</v>
      </c>
      <c r="AB196" s="50" t="n">
        <f aca="false">Z196*'Model Inputs &amp; Assumptions'!$G$42*'Model Inputs &amp; Assumptions'!$H$42</f>
        <v>32040.4331782395</v>
      </c>
      <c r="AC196" s="50" t="n">
        <f aca="false">SUMIFS('Activation Detail'!$I$4:$I$4003,'Activation Detail'!$A$4:$A$4003,$A196,'Activation Detail'!$N$4:$N$4003,Z$2)</f>
        <v>36970.492</v>
      </c>
      <c r="AD196" s="51" t="n">
        <f aca="false">IFERROR(AB196/AC196,0)</f>
        <v>0.866648817609445</v>
      </c>
      <c r="AE196" s="49" t="n">
        <f aca="false">IFERROR(AC196/Z196,0)</f>
        <v>130.848848686832</v>
      </c>
    </row>
    <row r="197" customFormat="false" ht="15" hidden="false" customHeight="false" outlineLevel="0" collapsed="false">
      <c r="A197" s="43" t="n">
        <v>194</v>
      </c>
      <c r="B197" s="45" t="n">
        <f aca="false">SUM('Activation Detail'!C197,'Activation Detail'!C697,'Activation Detail'!C1197,'Activation Detail'!C1697,'Activation Detail'!C2197,'Activation Detail'!C2697,'Activation Detail'!C3197,'Activation Detail'!C3697)</f>
        <v>4375696</v>
      </c>
      <c r="C197" s="45" t="n">
        <f aca="false">SUM('Activation Detail'!E197,'Activation Detail'!E697,'Activation Detail'!E1197,'Activation Detail'!E1697,'Activation Detail'!E2197,'Activation Detail'!E2697,'Activation Detail'!E3197,'Activation Detail'!E3697)</f>
        <v>408502</v>
      </c>
      <c r="D197" s="45" t="n">
        <f aca="false">SUM('Activation Detail'!G197,'Activation Detail'!G697,'Activation Detail'!G1197,'Activation Detail'!G1697,'Activation Detail'!G2197,'Activation Detail'!G2697,'Activation Detail'!G3197,'Activation Detail'!G3697)</f>
        <v>19253</v>
      </c>
      <c r="E197" s="48" t="n">
        <f aca="false">SUM('Activation Detail'!H197,'Activation Detail'!H697,'Activation Detail'!H1197,'Activation Detail'!H1697,'Activation Detail'!H2197,'Activation Detail'!H2697,'Activation Detail'!H3197,'Activation Detail'!H3697)</f>
        <v>816.852036734057</v>
      </c>
      <c r="F197" s="50" t="n">
        <f aca="false">SUM('Activation Detail'!I197,'Activation Detail'!I697,'Activation Detail'!I1197,'Activation Detail'!I1697,'Activation Detail'!I2197,'Activation Detail'!I2697,'Activation Detail'!I3197,'Activation Detail'!I3697)</f>
        <v>77317.594378</v>
      </c>
      <c r="G197" s="50" t="n">
        <f aca="false">SUM('Activation Detail'!J197,'Activation Detail'!J697,'Activation Detail'!J1197,'Activation Detail'!J1697,'Activation Detail'!J2197,'Activation Detail'!J2697,'Activation Detail'!J3197,'Activation Detail'!J3697)</f>
        <v>5030011.69806913</v>
      </c>
      <c r="H197" s="50" t="n">
        <f aca="false">SUM('Activation Detail'!K197,'Activation Detail'!K697,'Activation Detail'!K1197,'Activation Detail'!K1697,'Activation Detail'!K2197,'Activation Detail'!K2697,'Activation Detail'!K3197,'Activation Detail'!K3697)</f>
        <v>108208.427594118</v>
      </c>
      <c r="I197" s="51" t="n">
        <f aca="false">IFERROR(H197/F197,0)</f>
        <v>1.39953174260823</v>
      </c>
      <c r="J197" s="49" t="n">
        <f aca="false">IFERROR(F197/E197,0)</f>
        <v>94.6531206399774</v>
      </c>
      <c r="K197" s="46" t="n">
        <f aca="false">IFERROR(C197/B197,0)</f>
        <v>0.0933570339438572</v>
      </c>
      <c r="L197" s="47" t="n">
        <f aca="false">IFERROR(D197/B197,0)</f>
        <v>0.00439998573941151</v>
      </c>
      <c r="N197" s="48" t="n">
        <f aca="false">SUMIFS('Activation Detail'!$H$4:$H$4003,'Activation Detail'!$A$4:$A$4003,$A197,'Activation Detail'!$N$4:$N$4003,N$2)</f>
        <v>80.2333485009648</v>
      </c>
      <c r="O197" s="50" t="n">
        <f aca="false">N197*'Model Inputs &amp; Assumptions'!$D$40*'Model Inputs &amp; Assumptions'!$H$40</f>
        <v>681983.462258201</v>
      </c>
      <c r="P197" s="50" t="n">
        <f aca="false">N197*'Model Inputs &amp; Assumptions'!$G$40*'Model Inputs &amp; Assumptions'!$H$40</f>
        <v>15344.6279008095</v>
      </c>
      <c r="Q197" s="50" t="n">
        <f aca="false">SUMIFS('Activation Detail'!$I$4:$I$4003,'Activation Detail'!$A$4:$A$4003,$A197,'Activation Detail'!$N$4:$N$4003,N$2)</f>
        <v>17935.95</v>
      </c>
      <c r="R197" s="51" t="n">
        <f aca="false">IFERROR(P197/Q197,0)</f>
        <v>0.855523565844548</v>
      </c>
      <c r="S197" s="49" t="n">
        <f aca="false">IFERROR(Q197/N197,0)</f>
        <v>223.547319600955</v>
      </c>
      <c r="T197" s="48" t="n">
        <f aca="false">SUMIFS('Activation Detail'!$H$4:$H$4003,'Activation Detail'!$A$4:$A$4003,$A197,'Activation Detail'!$N$4:$N$4003,T$2)</f>
        <v>205.715177417903</v>
      </c>
      <c r="U197" s="50" t="n">
        <f aca="false">T197*'Model Inputs &amp; Assumptions'!$D$41*'Model Inputs &amp; Assumptions'!$H$41</f>
        <v>1481149.2774089</v>
      </c>
      <c r="V197" s="50" t="n">
        <f aca="false">T197*'Model Inputs &amp; Assumptions'!$G$41*'Model Inputs &amp; Assumptions'!$H$41</f>
        <v>32659.3415668663</v>
      </c>
      <c r="W197" s="50" t="n">
        <f aca="false">SUMIFS('Activation Detail'!$I$4:$I$4003,'Activation Detail'!$A$4:$A$4003,$A197,'Activation Detail'!$N$4:$N$4003,T$2)</f>
        <v>18566.388378</v>
      </c>
      <c r="X197" s="51" t="n">
        <f aca="false">IFERROR(V197/W197,0)</f>
        <v>1.75905732994175</v>
      </c>
      <c r="Y197" s="49" t="n">
        <f aca="false">IFERROR(W197/T197,0)</f>
        <v>90.2528856209916</v>
      </c>
      <c r="Z197" s="48" t="n">
        <f aca="false">SUMIFS('Activation Detail'!$H$4:$H$4003,'Activation Detail'!$A$4:$A$4003,$A197,'Activation Detail'!$N$4:$N$4003,Z$2)</f>
        <v>530.903510815189</v>
      </c>
      <c r="AA197" s="50" t="n">
        <f aca="false">Z197*'Model Inputs &amp; Assumptions'!$D$42*'Model Inputs &amp; Assumptions'!$H$42</f>
        <v>2866878.95840202</v>
      </c>
      <c r="AB197" s="50" t="n">
        <f aca="false">Z197*'Model Inputs &amp; Assumptions'!$G$42*'Model Inputs &amp; Assumptions'!$H$42</f>
        <v>60204.4581264425</v>
      </c>
      <c r="AC197" s="50" t="n">
        <f aca="false">SUMIFS('Activation Detail'!$I$4:$I$4003,'Activation Detail'!$A$4:$A$4003,$A197,'Activation Detail'!$N$4:$N$4003,Z$2)</f>
        <v>40815.256</v>
      </c>
      <c r="AD197" s="51" t="n">
        <f aca="false">IFERROR(AB197/AC197,0)</f>
        <v>1.47504791165447</v>
      </c>
      <c r="AE197" s="49" t="n">
        <f aca="false">IFERROR(AC197/Z197,0)</f>
        <v>76.8788587163968</v>
      </c>
    </row>
    <row r="198" customFormat="false" ht="15" hidden="false" customHeight="false" outlineLevel="0" collapsed="false">
      <c r="A198" s="43" t="n">
        <v>195</v>
      </c>
      <c r="B198" s="45" t="n">
        <f aca="false">SUM('Activation Detail'!C198,'Activation Detail'!C698,'Activation Detail'!C1198,'Activation Detail'!C1698,'Activation Detail'!C2198,'Activation Detail'!C2698,'Activation Detail'!C3198,'Activation Detail'!C3698)</f>
        <v>4855286</v>
      </c>
      <c r="C198" s="45" t="n">
        <f aca="false">SUM('Activation Detail'!E198,'Activation Detail'!E698,'Activation Detail'!E1198,'Activation Detail'!E1698,'Activation Detail'!E2198,'Activation Detail'!E2698,'Activation Detail'!E3198,'Activation Detail'!E3698)</f>
        <v>492148</v>
      </c>
      <c r="D198" s="45" t="n">
        <f aca="false">SUM('Activation Detail'!G198,'Activation Detail'!G698,'Activation Detail'!G1198,'Activation Detail'!G1698,'Activation Detail'!G2198,'Activation Detail'!G2698,'Activation Detail'!G3198,'Activation Detail'!G3698)</f>
        <v>18547</v>
      </c>
      <c r="E198" s="48" t="n">
        <f aca="false">SUM('Activation Detail'!H198,'Activation Detail'!H698,'Activation Detail'!H1198,'Activation Detail'!H1698,'Activation Detail'!H2198,'Activation Detail'!H2698,'Activation Detail'!H3198,'Activation Detail'!H3698)</f>
        <v>713.634205713256</v>
      </c>
      <c r="F198" s="50" t="n">
        <f aca="false">SUM('Activation Detail'!I198,'Activation Detail'!I698,'Activation Detail'!I1198,'Activation Detail'!I1698,'Activation Detail'!I2198,'Activation Detail'!I2698,'Activation Detail'!I3198,'Activation Detail'!I3698)</f>
        <v>79098.334652</v>
      </c>
      <c r="G198" s="50" t="n">
        <f aca="false">SUM('Activation Detail'!J198,'Activation Detail'!J698,'Activation Detail'!J1198,'Activation Detail'!J1698,'Activation Detail'!J2198,'Activation Detail'!J2698,'Activation Detail'!J3198,'Activation Detail'!J3698)</f>
        <v>4575511.4225406</v>
      </c>
      <c r="H198" s="50" t="n">
        <f aca="false">SUM('Activation Detail'!K198,'Activation Detail'!K698,'Activation Detail'!K1198,'Activation Detail'!K1698,'Activation Detail'!K2198,'Activation Detail'!K2698,'Activation Detail'!K3198,'Activation Detail'!K3698)</f>
        <v>99087.902971936</v>
      </c>
      <c r="I198" s="51" t="n">
        <f aca="false">IFERROR(H198/F198,0)</f>
        <v>1.25271794163407</v>
      </c>
      <c r="J198" s="49" t="n">
        <f aca="false">IFERROR(F198/E198,0)</f>
        <v>110.838765881385</v>
      </c>
      <c r="K198" s="46" t="n">
        <f aca="false">IFERROR(C198/B198,0)</f>
        <v>0.101363338843479</v>
      </c>
      <c r="L198" s="47" t="n">
        <f aca="false">IFERROR(D198/B198,0)</f>
        <v>0.00381996034837083</v>
      </c>
      <c r="N198" s="48" t="n">
        <f aca="false">SUMIFS('Activation Detail'!$H$4:$H$4003,'Activation Detail'!$A$4:$A$4003,$A198,'Activation Detail'!$N$4:$N$4003,N$2)</f>
        <v>110.226261149306</v>
      </c>
      <c r="O198" s="50" t="n">
        <f aca="false">N198*'Model Inputs &amp; Assumptions'!$D$40*'Model Inputs &amp; Assumptions'!$H$40</f>
        <v>936923.219769099</v>
      </c>
      <c r="P198" s="50" t="n">
        <f aca="false">N198*'Model Inputs &amp; Assumptions'!$G$40*'Model Inputs &amp; Assumptions'!$H$40</f>
        <v>21080.7724448047</v>
      </c>
      <c r="Q198" s="50" t="n">
        <f aca="false">SUMIFS('Activation Detail'!$I$4:$I$4003,'Activation Detail'!$A$4:$A$4003,$A198,'Activation Detail'!$N$4:$N$4003,N$2)</f>
        <v>18184.809</v>
      </c>
      <c r="R198" s="51" t="n">
        <f aca="false">IFERROR(P198/Q198,0)</f>
        <v>1.15925179334051</v>
      </c>
      <c r="S198" s="49" t="n">
        <f aca="false">IFERROR(Q198/N198,0)</f>
        <v>164.977100832332</v>
      </c>
      <c r="T198" s="48" t="n">
        <f aca="false">SUMIFS('Activation Detail'!$H$4:$H$4003,'Activation Detail'!$A$4:$A$4003,$A198,'Activation Detail'!$N$4:$N$4003,T$2)</f>
        <v>211.214056736757</v>
      </c>
      <c r="U198" s="50" t="n">
        <f aca="false">T198*'Model Inputs &amp; Assumptions'!$D$41*'Model Inputs &amp; Assumptions'!$H$41</f>
        <v>1520741.20850465</v>
      </c>
      <c r="V198" s="50" t="n">
        <f aca="false">T198*'Model Inputs &amp; Assumptions'!$G$41*'Model Inputs &amp; Assumptions'!$H$41</f>
        <v>33532.3436475276</v>
      </c>
      <c r="W198" s="50" t="n">
        <f aca="false">SUMIFS('Activation Detail'!$I$4:$I$4003,'Activation Detail'!$A$4:$A$4003,$A198,'Activation Detail'!$N$4:$N$4003,T$2)</f>
        <v>20519.169652</v>
      </c>
      <c r="X198" s="51" t="n">
        <f aca="false">IFERROR(V198/W198,0)</f>
        <v>1.63419593561668</v>
      </c>
      <c r="Y198" s="49" t="n">
        <f aca="false">IFERROR(W198/T198,0)</f>
        <v>97.1486934582848</v>
      </c>
      <c r="Z198" s="48" t="n">
        <f aca="false">SUMIFS('Activation Detail'!$H$4:$H$4003,'Activation Detail'!$A$4:$A$4003,$A198,'Activation Detail'!$N$4:$N$4003,Z$2)</f>
        <v>392.193887827193</v>
      </c>
      <c r="AA198" s="50" t="n">
        <f aca="false">Z198*'Model Inputs &amp; Assumptions'!$D$42*'Model Inputs &amp; Assumptions'!$H$42</f>
        <v>2117846.99426684</v>
      </c>
      <c r="AB198" s="50" t="n">
        <f aca="false">Z198*'Model Inputs &amp; Assumptions'!$G$42*'Model Inputs &amp; Assumptions'!$H$42</f>
        <v>44474.7868796037</v>
      </c>
      <c r="AC198" s="50" t="n">
        <f aca="false">SUMIFS('Activation Detail'!$I$4:$I$4003,'Activation Detail'!$A$4:$A$4003,$A198,'Activation Detail'!$N$4:$N$4003,Z$2)</f>
        <v>40394.356</v>
      </c>
      <c r="AD198" s="51" t="n">
        <f aca="false">IFERROR(AB198/AC198,0)</f>
        <v>1.10101487642491</v>
      </c>
      <c r="AE198" s="49" t="n">
        <f aca="false">IFERROR(AC198/Z198,0)</f>
        <v>102.995883550838</v>
      </c>
    </row>
    <row r="199" customFormat="false" ht="15" hidden="false" customHeight="false" outlineLevel="0" collapsed="false">
      <c r="A199" s="43" t="n">
        <v>196</v>
      </c>
      <c r="B199" s="45" t="n">
        <f aca="false">SUM('Activation Detail'!C199,'Activation Detail'!C699,'Activation Detail'!C1199,'Activation Detail'!C1699,'Activation Detail'!C2199,'Activation Detail'!C2699,'Activation Detail'!C3199,'Activation Detail'!C3699)</f>
        <v>3987175</v>
      </c>
      <c r="C199" s="45" t="n">
        <f aca="false">SUM('Activation Detail'!E199,'Activation Detail'!E699,'Activation Detail'!E1199,'Activation Detail'!E1699,'Activation Detail'!E2199,'Activation Detail'!E2699,'Activation Detail'!E3199,'Activation Detail'!E3699)</f>
        <v>401630</v>
      </c>
      <c r="D199" s="45" t="n">
        <f aca="false">SUM('Activation Detail'!G199,'Activation Detail'!G699,'Activation Detail'!G1199,'Activation Detail'!G1699,'Activation Detail'!G2199,'Activation Detail'!G2699,'Activation Detail'!G3199,'Activation Detail'!G3699)</f>
        <v>16193</v>
      </c>
      <c r="E199" s="48" t="n">
        <f aca="false">SUM('Activation Detail'!H199,'Activation Detail'!H699,'Activation Detail'!H1199,'Activation Detail'!H1699,'Activation Detail'!H2199,'Activation Detail'!H2699,'Activation Detail'!H3199,'Activation Detail'!H3699)</f>
        <v>640.261256388362</v>
      </c>
      <c r="F199" s="50" t="n">
        <f aca="false">SUM('Activation Detail'!I199,'Activation Detail'!I699,'Activation Detail'!I1199,'Activation Detail'!I1699,'Activation Detail'!I2199,'Activation Detail'!I2699,'Activation Detail'!I3199,'Activation Detail'!I3699)</f>
        <v>70280.556222</v>
      </c>
      <c r="G199" s="50" t="n">
        <f aca="false">SUM('Activation Detail'!J199,'Activation Detail'!J699,'Activation Detail'!J1199,'Activation Detail'!J1699,'Activation Detail'!J2199,'Activation Detail'!J2699,'Activation Detail'!J3199,'Activation Detail'!J3699)</f>
        <v>3919313.96602382</v>
      </c>
      <c r="H199" s="50" t="n">
        <f aca="false">SUM('Activation Detail'!K199,'Activation Detail'!K699,'Activation Detail'!K1199,'Activation Detail'!K1699,'Activation Detail'!K2199,'Activation Detail'!K2699,'Activation Detail'!K3199,'Activation Detail'!K3699)</f>
        <v>84227.9894915533</v>
      </c>
      <c r="I199" s="51" t="n">
        <f aca="false">IFERROR(H199/F199,0)</f>
        <v>1.19845365516881</v>
      </c>
      <c r="J199" s="49" t="n">
        <f aca="false">IFERROR(F199/E199,0)</f>
        <v>109.768560131913</v>
      </c>
      <c r="K199" s="46" t="n">
        <f aca="false">IFERROR(C199/B199,0)</f>
        <v>0.100730467060011</v>
      </c>
      <c r="L199" s="47" t="n">
        <f aca="false">IFERROR(D199/B199,0)</f>
        <v>0.00406127145159167</v>
      </c>
      <c r="N199" s="48" t="n">
        <f aca="false">SUMIFS('Activation Detail'!$H$4:$H$4003,'Activation Detail'!$A$4:$A$4003,$A199,'Activation Detail'!$N$4:$N$4003,N$2)</f>
        <v>65.1746568851645</v>
      </c>
      <c r="O199" s="50" t="n">
        <f aca="false">N199*'Model Inputs &amp; Assumptions'!$D$40*'Model Inputs &amp; Assumptions'!$H$40</f>
        <v>553984.583523898</v>
      </c>
      <c r="P199" s="50" t="n">
        <f aca="false">N199*'Model Inputs &amp; Assumptions'!$G$40*'Model Inputs &amp; Assumptions'!$H$40</f>
        <v>12464.6531292877</v>
      </c>
      <c r="Q199" s="50" t="n">
        <f aca="false">SUMIFS('Activation Detail'!$I$4:$I$4003,'Activation Detail'!$A$4:$A$4003,$A199,'Activation Detail'!$N$4:$N$4003,N$2)</f>
        <v>18445.329</v>
      </c>
      <c r="R199" s="51" t="n">
        <f aca="false">IFERROR(P199/Q199,0)</f>
        <v>0.675762038686743</v>
      </c>
      <c r="S199" s="49" t="n">
        <f aca="false">IFERROR(Q199/N199,0)</f>
        <v>283.013825949249</v>
      </c>
      <c r="T199" s="48" t="n">
        <f aca="false">SUMIFS('Activation Detail'!$H$4:$H$4003,'Activation Detail'!$A$4:$A$4003,$A199,'Activation Detail'!$N$4:$N$4003,T$2)</f>
        <v>144.367636212588</v>
      </c>
      <c r="U199" s="50" t="n">
        <f aca="false">T199*'Model Inputs &amp; Assumptions'!$D$41*'Model Inputs &amp; Assumptions'!$H$41</f>
        <v>1039446.98073063</v>
      </c>
      <c r="V199" s="50" t="n">
        <f aca="false">T199*'Model Inputs &amp; Assumptions'!$G$41*'Model Inputs &amp; Assumptions'!$H$41</f>
        <v>22919.8059251104</v>
      </c>
      <c r="W199" s="50" t="n">
        <f aca="false">SUMIFS('Activation Detail'!$I$4:$I$4003,'Activation Detail'!$A$4:$A$4003,$A199,'Activation Detail'!$N$4:$N$4003,T$2)</f>
        <v>17336.111222</v>
      </c>
      <c r="X199" s="51" t="n">
        <f aca="false">IFERROR(V199/W199,0)</f>
        <v>1.32208461468709</v>
      </c>
      <c r="Y199" s="49" t="n">
        <f aca="false">IFERROR(W199/T199,0)</f>
        <v>120.083085633347</v>
      </c>
      <c r="Z199" s="48" t="n">
        <f aca="false">SUMIFS('Activation Detail'!$H$4:$H$4003,'Activation Detail'!$A$4:$A$4003,$A199,'Activation Detail'!$N$4:$N$4003,Z$2)</f>
        <v>430.718963290609</v>
      </c>
      <c r="AA199" s="50" t="n">
        <f aca="false">Z199*'Model Inputs &amp; Assumptions'!$D$42*'Model Inputs &amp; Assumptions'!$H$42</f>
        <v>2325882.40176929</v>
      </c>
      <c r="AB199" s="50" t="n">
        <f aca="false">Z199*'Model Inputs &amp; Assumptions'!$G$42*'Model Inputs &amp; Assumptions'!$H$42</f>
        <v>48843.5304371551</v>
      </c>
      <c r="AC199" s="50" t="n">
        <f aca="false">SUMIFS('Activation Detail'!$I$4:$I$4003,'Activation Detail'!$A$4:$A$4003,$A199,'Activation Detail'!$N$4:$N$4003,Z$2)</f>
        <v>34499.116</v>
      </c>
      <c r="AD199" s="51" t="n">
        <f aca="false">IFERROR(AB199/AC199,0)</f>
        <v>1.41579078249875</v>
      </c>
      <c r="AE199" s="49" t="n">
        <f aca="false">IFERROR(AC199/Z199,0)</f>
        <v>80.0965802304905</v>
      </c>
    </row>
    <row r="200" customFormat="false" ht="15" hidden="false" customHeight="false" outlineLevel="0" collapsed="false">
      <c r="A200" s="43" t="n">
        <v>197</v>
      </c>
      <c r="B200" s="45" t="n">
        <f aca="false">SUM('Activation Detail'!C200,'Activation Detail'!C700,'Activation Detail'!C1200,'Activation Detail'!C1700,'Activation Detail'!C2200,'Activation Detail'!C2700,'Activation Detail'!C3200,'Activation Detail'!C3700)</f>
        <v>3183224</v>
      </c>
      <c r="C200" s="45" t="n">
        <f aca="false">SUM('Activation Detail'!E200,'Activation Detail'!E700,'Activation Detail'!E1200,'Activation Detail'!E1700,'Activation Detail'!E2200,'Activation Detail'!E2700,'Activation Detail'!E3200,'Activation Detail'!E3700)</f>
        <v>298413</v>
      </c>
      <c r="D200" s="45" t="n">
        <f aca="false">SUM('Activation Detail'!G200,'Activation Detail'!G700,'Activation Detail'!G1200,'Activation Detail'!G1700,'Activation Detail'!G2200,'Activation Detail'!G2700,'Activation Detail'!G3200,'Activation Detail'!G3700)</f>
        <v>12694</v>
      </c>
      <c r="E200" s="48" t="n">
        <f aca="false">SUM('Activation Detail'!H200,'Activation Detail'!H700,'Activation Detail'!H1200,'Activation Detail'!H1700,'Activation Detail'!H2200,'Activation Detail'!H2700,'Activation Detail'!H3200,'Activation Detail'!H3700)</f>
        <v>491.295189608959</v>
      </c>
      <c r="F200" s="50" t="n">
        <f aca="false">SUM('Activation Detail'!I200,'Activation Detail'!I700,'Activation Detail'!I1200,'Activation Detail'!I1700,'Activation Detail'!I2200,'Activation Detail'!I2700,'Activation Detail'!I3200,'Activation Detail'!I3700)</f>
        <v>69102.89852</v>
      </c>
      <c r="G200" s="50" t="n">
        <f aca="false">SUM('Activation Detail'!J200,'Activation Detail'!J700,'Activation Detail'!J1200,'Activation Detail'!J1700,'Activation Detail'!J2200,'Activation Detail'!J2700,'Activation Detail'!J3200,'Activation Detail'!J3700)</f>
        <v>3275723.6653433</v>
      </c>
      <c r="H200" s="50" t="n">
        <f aca="false">SUM('Activation Detail'!K200,'Activation Detail'!K700,'Activation Detail'!K1200,'Activation Detail'!K1700,'Activation Detail'!K2200,'Activation Detail'!K2700,'Activation Detail'!K3200,'Activation Detail'!K3700)</f>
        <v>71376.1708865408</v>
      </c>
      <c r="I200" s="51" t="n">
        <f aca="false">IFERROR(H200/F200,0)</f>
        <v>1.03289691771587</v>
      </c>
      <c r="J200" s="49" t="n">
        <f aca="false">IFERROR(F200/E200,0)</f>
        <v>140.65453922926</v>
      </c>
      <c r="K200" s="46" t="n">
        <f aca="false">IFERROR(C200/B200,0)</f>
        <v>0.0937455234064584</v>
      </c>
      <c r="L200" s="47" t="n">
        <f aca="false">IFERROR(D200/B200,0)</f>
        <v>0.00398778094158627</v>
      </c>
      <c r="N200" s="48" t="n">
        <f aca="false">SUMIFS('Activation Detail'!$H$4:$H$4003,'Activation Detail'!$A$4:$A$4003,$A200,'Activation Detail'!$N$4:$N$4003,N$2)</f>
        <v>109.224369552043</v>
      </c>
      <c r="O200" s="50" t="n">
        <f aca="false">N200*'Model Inputs &amp; Assumptions'!$D$40*'Model Inputs &amp; Assumptions'!$H$40</f>
        <v>928407.141192369</v>
      </c>
      <c r="P200" s="50" t="n">
        <f aca="false">N200*'Model Inputs &amp; Assumptions'!$G$40*'Model Inputs &amp; Assumptions'!$H$40</f>
        <v>20889.1606768283</v>
      </c>
      <c r="Q200" s="50" t="n">
        <f aca="false">SUMIFS('Activation Detail'!$I$4:$I$4003,'Activation Detail'!$A$4:$A$4003,$A200,'Activation Detail'!$N$4:$N$4003,N$2)</f>
        <v>17807.6595</v>
      </c>
      <c r="R200" s="51" t="n">
        <f aca="false">IFERROR(P200/Q200,0)</f>
        <v>1.1730435814335</v>
      </c>
      <c r="S200" s="49" t="n">
        <f aca="false">IFERROR(Q200/N200,0)</f>
        <v>163.037420797517</v>
      </c>
      <c r="T200" s="48" t="n">
        <f aca="false">SUMIFS('Activation Detail'!$H$4:$H$4003,'Activation Detail'!$A$4:$A$4003,$A200,'Activation Detail'!$N$4:$N$4003,T$2)</f>
        <v>157.852275468657</v>
      </c>
      <c r="U200" s="50" t="n">
        <f aca="false">T200*'Model Inputs &amp; Assumptions'!$D$41*'Model Inputs &amp; Assumptions'!$H$41</f>
        <v>1136536.38337433</v>
      </c>
      <c r="V200" s="50" t="n">
        <f aca="false">T200*'Model Inputs &amp; Assumptions'!$G$41*'Model Inputs &amp; Assumptions'!$H$41</f>
        <v>25060.627253404</v>
      </c>
      <c r="W200" s="50" t="n">
        <f aca="false">SUMIFS('Activation Detail'!$I$4:$I$4003,'Activation Detail'!$A$4:$A$4003,$A200,'Activation Detail'!$N$4:$N$4003,T$2)</f>
        <v>15284.97502</v>
      </c>
      <c r="X200" s="51" t="n">
        <f aca="false">IFERROR(V200/W200,0)</f>
        <v>1.63955958191706</v>
      </c>
      <c r="Y200" s="49" t="n">
        <f aca="false">IFERROR(W200/T200,0)</f>
        <v>96.8308817507985</v>
      </c>
      <c r="Z200" s="48" t="n">
        <f aca="false">SUMIFS('Activation Detail'!$H$4:$H$4003,'Activation Detail'!$A$4:$A$4003,$A200,'Activation Detail'!$N$4:$N$4003,Z$2)</f>
        <v>224.218544588259</v>
      </c>
      <c r="AA200" s="50" t="n">
        <f aca="false">Z200*'Model Inputs &amp; Assumptions'!$D$42*'Model Inputs &amp; Assumptions'!$H$42</f>
        <v>1210780.1407766</v>
      </c>
      <c r="AB200" s="50" t="n">
        <f aca="false">Z200*'Model Inputs &amp; Assumptions'!$G$42*'Model Inputs &amp; Assumptions'!$H$42</f>
        <v>25426.3829563085</v>
      </c>
      <c r="AC200" s="50" t="n">
        <f aca="false">SUMIFS('Activation Detail'!$I$4:$I$4003,'Activation Detail'!$A$4:$A$4003,$A200,'Activation Detail'!$N$4:$N$4003,Z$2)</f>
        <v>36010.264</v>
      </c>
      <c r="AD200" s="51" t="n">
        <f aca="false">IFERROR(AB200/AC200,0)</f>
        <v>0.706087102174773</v>
      </c>
      <c r="AE200" s="49" t="n">
        <f aca="false">IFERROR(AC200/Z200,0)</f>
        <v>160.603415146267</v>
      </c>
    </row>
    <row r="201" customFormat="false" ht="15" hidden="false" customHeight="false" outlineLevel="0" collapsed="false">
      <c r="A201" s="43" t="n">
        <v>198</v>
      </c>
      <c r="B201" s="45" t="n">
        <f aca="false">SUM('Activation Detail'!C201,'Activation Detail'!C701,'Activation Detail'!C1201,'Activation Detail'!C1701,'Activation Detail'!C2201,'Activation Detail'!C2701,'Activation Detail'!C3201,'Activation Detail'!C3701)</f>
        <v>3129386</v>
      </c>
      <c r="C201" s="45" t="n">
        <f aca="false">SUM('Activation Detail'!E201,'Activation Detail'!E701,'Activation Detail'!E1201,'Activation Detail'!E1701,'Activation Detail'!E2201,'Activation Detail'!E2701,'Activation Detail'!E3201,'Activation Detail'!E3701)</f>
        <v>233151</v>
      </c>
      <c r="D201" s="45" t="n">
        <f aca="false">SUM('Activation Detail'!G201,'Activation Detail'!G701,'Activation Detail'!G1201,'Activation Detail'!G1701,'Activation Detail'!G2201,'Activation Detail'!G2701,'Activation Detail'!G3201,'Activation Detail'!G3701)</f>
        <v>11511</v>
      </c>
      <c r="E201" s="48" t="n">
        <f aca="false">SUM('Activation Detail'!H201,'Activation Detail'!H701,'Activation Detail'!H1201,'Activation Detail'!H1701,'Activation Detail'!H2201,'Activation Detail'!H2701,'Activation Detail'!H3201,'Activation Detail'!H3701)</f>
        <v>497.273065495416</v>
      </c>
      <c r="F201" s="50" t="n">
        <f aca="false">SUM('Activation Detail'!I201,'Activation Detail'!I701,'Activation Detail'!I1201,'Activation Detail'!I1701,'Activation Detail'!I2201,'Activation Detail'!I2701,'Activation Detail'!I3201,'Activation Detail'!I3701)</f>
        <v>65416.502728</v>
      </c>
      <c r="G201" s="50" t="n">
        <f aca="false">SUM('Activation Detail'!J201,'Activation Detail'!J701,'Activation Detail'!J1201,'Activation Detail'!J1701,'Activation Detail'!J2201,'Activation Detail'!J2701,'Activation Detail'!J3201,'Activation Detail'!J3701)</f>
        <v>3224966.42646864</v>
      </c>
      <c r="H201" s="50" t="n">
        <f aca="false">SUM('Activation Detail'!K201,'Activation Detail'!K701,'Activation Detail'!K1201,'Activation Detail'!K1701,'Activation Detail'!K2201,'Activation Detail'!K2701,'Activation Detail'!K3201,'Activation Detail'!K3701)</f>
        <v>69963.9379502841</v>
      </c>
      <c r="I201" s="51" t="n">
        <f aca="false">IFERROR(H201/F201,0)</f>
        <v>1.06951510754392</v>
      </c>
      <c r="J201" s="49" t="n">
        <f aca="false">IFERROR(F201/E201,0)</f>
        <v>131.550464457245</v>
      </c>
      <c r="K201" s="46" t="n">
        <f aca="false">IFERROR(C201/B201,0)</f>
        <v>0.0745037524933006</v>
      </c>
      <c r="L201" s="47" t="n">
        <f aca="false">IFERROR(D201/B201,0)</f>
        <v>0.00367835735188948</v>
      </c>
      <c r="N201" s="48" t="n">
        <f aca="false">SUMIFS('Activation Detail'!$H$4:$H$4003,'Activation Detail'!$A$4:$A$4003,$A201,'Activation Detail'!$N$4:$N$4003,N$2)</f>
        <v>100.232856628228</v>
      </c>
      <c r="O201" s="50" t="n">
        <f aca="false">N201*'Model Inputs &amp; Assumptions'!$D$40*'Model Inputs &amp; Assumptions'!$H$40</f>
        <v>851979.281339934</v>
      </c>
      <c r="P201" s="50" t="n">
        <f aca="false">N201*'Model Inputs &amp; Assumptions'!$G$40*'Model Inputs &amp; Assumptions'!$H$40</f>
        <v>19169.5338301485</v>
      </c>
      <c r="Q201" s="50" t="n">
        <f aca="false">SUMIFS('Activation Detail'!$I$4:$I$4003,'Activation Detail'!$A$4:$A$4003,$A201,'Activation Detail'!$N$4:$N$4003,N$2)</f>
        <v>18017.33</v>
      </c>
      <c r="R201" s="51" t="n">
        <f aca="false">IFERROR(P201/Q201,0)</f>
        <v>1.06394975449462</v>
      </c>
      <c r="S201" s="49" t="n">
        <f aca="false">IFERROR(Q201/N201,0)</f>
        <v>179.754729198509</v>
      </c>
      <c r="T201" s="48" t="n">
        <f aca="false">SUMIFS('Activation Detail'!$H$4:$H$4003,'Activation Detail'!$A$4:$A$4003,$A201,'Activation Detail'!$N$4:$N$4003,T$2)</f>
        <v>127.205565136606</v>
      </c>
      <c r="U201" s="50" t="n">
        <f aca="false">T201*'Model Inputs &amp; Assumptions'!$D$41*'Model Inputs &amp; Assumptions'!$H$41</f>
        <v>915880.068983564</v>
      </c>
      <c r="V201" s="50" t="n">
        <f aca="false">T201*'Model Inputs &amp; Assumptions'!$G$41*'Model Inputs &amp; Assumptions'!$H$41</f>
        <v>20195.1555210876</v>
      </c>
      <c r="W201" s="50" t="n">
        <f aca="false">SUMIFS('Activation Detail'!$I$4:$I$4003,'Activation Detail'!$A$4:$A$4003,$A201,'Activation Detail'!$N$4:$N$4003,T$2)</f>
        <v>14701.664728</v>
      </c>
      <c r="X201" s="51" t="n">
        <f aca="false">IFERROR(V201/W201,0)</f>
        <v>1.37366454035814</v>
      </c>
      <c r="Y201" s="49" t="n">
        <f aca="false">IFERROR(W201/T201,0)</f>
        <v>115.574068730498</v>
      </c>
      <c r="Z201" s="48" t="n">
        <f aca="false">SUMIFS('Activation Detail'!$H$4:$H$4003,'Activation Detail'!$A$4:$A$4003,$A201,'Activation Detail'!$N$4:$N$4003,Z$2)</f>
        <v>269.834643730582</v>
      </c>
      <c r="AA201" s="50" t="n">
        <f aca="false">Z201*'Model Inputs &amp; Assumptions'!$D$42*'Model Inputs &amp; Assumptions'!$H$42</f>
        <v>1457107.07614514</v>
      </c>
      <c r="AB201" s="50" t="n">
        <f aca="false">Z201*'Model Inputs &amp; Assumptions'!$G$42*'Model Inputs &amp; Assumptions'!$H$42</f>
        <v>30599.248599048</v>
      </c>
      <c r="AC201" s="50" t="n">
        <f aca="false">SUMIFS('Activation Detail'!$I$4:$I$4003,'Activation Detail'!$A$4:$A$4003,$A201,'Activation Detail'!$N$4:$N$4003,Z$2)</f>
        <v>32697.508</v>
      </c>
      <c r="AD201" s="51" t="n">
        <f aca="false">IFERROR(AB201/AC201,0)</f>
        <v>0.935828155437655</v>
      </c>
      <c r="AE201" s="49" t="n">
        <f aca="false">IFERROR(AC201/Z201,0)</f>
        <v>121.176093432417</v>
      </c>
    </row>
    <row r="202" customFormat="false" ht="15" hidden="false" customHeight="false" outlineLevel="0" collapsed="false">
      <c r="A202" s="43" t="n">
        <v>199</v>
      </c>
      <c r="B202" s="45" t="n">
        <f aca="false">SUM('Activation Detail'!C202,'Activation Detail'!C702,'Activation Detail'!C1202,'Activation Detail'!C1702,'Activation Detail'!C2202,'Activation Detail'!C2702,'Activation Detail'!C3202,'Activation Detail'!C3702)</f>
        <v>4069995</v>
      </c>
      <c r="C202" s="45" t="n">
        <f aca="false">SUM('Activation Detail'!E202,'Activation Detail'!E702,'Activation Detail'!E1202,'Activation Detail'!E1702,'Activation Detail'!E2202,'Activation Detail'!E2702,'Activation Detail'!E3202,'Activation Detail'!E3702)</f>
        <v>331714</v>
      </c>
      <c r="D202" s="45" t="n">
        <f aca="false">SUM('Activation Detail'!G202,'Activation Detail'!G702,'Activation Detail'!G1202,'Activation Detail'!G1702,'Activation Detail'!G2202,'Activation Detail'!G2702,'Activation Detail'!G3202,'Activation Detail'!G3702)</f>
        <v>19636</v>
      </c>
      <c r="E202" s="48" t="n">
        <f aca="false">SUM('Activation Detail'!H202,'Activation Detail'!H702,'Activation Detail'!H1202,'Activation Detail'!H1702,'Activation Detail'!H2202,'Activation Detail'!H2702,'Activation Detail'!H3202,'Activation Detail'!H3702)</f>
        <v>806.432540533521</v>
      </c>
      <c r="F202" s="50" t="n">
        <f aca="false">SUM('Activation Detail'!I202,'Activation Detail'!I702,'Activation Detail'!I1202,'Activation Detail'!I1702,'Activation Detail'!I2202,'Activation Detail'!I2702,'Activation Detail'!I3202,'Activation Detail'!I3702)</f>
        <v>76606.912154</v>
      </c>
      <c r="G202" s="50" t="n">
        <f aca="false">SUM('Activation Detail'!J202,'Activation Detail'!J702,'Activation Detail'!J1202,'Activation Detail'!J1702,'Activation Detail'!J2202,'Activation Detail'!J2702,'Activation Detail'!J3202,'Activation Detail'!J3702)</f>
        <v>4808015.2065007</v>
      </c>
      <c r="H202" s="50" t="n">
        <f aca="false">SUM('Activation Detail'!K202,'Activation Detail'!K702,'Activation Detail'!K1202,'Activation Detail'!K1702,'Activation Detail'!K2202,'Activation Detail'!K2702,'Activation Detail'!K3202,'Activation Detail'!K3702)</f>
        <v>102849.045189304</v>
      </c>
      <c r="I202" s="51" t="n">
        <f aca="false">IFERROR(H202/F202,0)</f>
        <v>1.342555681954</v>
      </c>
      <c r="J202" s="49" t="n">
        <f aca="false">IFERROR(F202/E202,0)</f>
        <v>94.9948176735505</v>
      </c>
      <c r="K202" s="46" t="n">
        <f aca="false">IFERROR(C202/B202,0)</f>
        <v>0.081502311427901</v>
      </c>
      <c r="L202" s="47" t="n">
        <f aca="false">IFERROR(D202/B202,0)</f>
        <v>0.00482457595156751</v>
      </c>
      <c r="N202" s="48" t="n">
        <f aca="false">SUMIFS('Activation Detail'!$H$4:$H$4003,'Activation Detail'!$A$4:$A$4003,$A202,'Activation Detail'!$N$4:$N$4003,N$2)</f>
        <v>85.3629452357041</v>
      </c>
      <c r="O202" s="50" t="n">
        <f aca="false">N202*'Model Inputs &amp; Assumptions'!$D$40*'Model Inputs &amp; Assumptions'!$H$40</f>
        <v>725585.034503485</v>
      </c>
      <c r="P202" s="50" t="n">
        <f aca="false">N202*'Model Inputs &amp; Assumptions'!$G$40*'Model Inputs &amp; Assumptions'!$H$40</f>
        <v>16325.6632763284</v>
      </c>
      <c r="Q202" s="50" t="n">
        <f aca="false">SUMIFS('Activation Detail'!$I$4:$I$4003,'Activation Detail'!$A$4:$A$4003,$A202,'Activation Detail'!$N$4:$N$4003,N$2)</f>
        <v>18339.3335</v>
      </c>
      <c r="R202" s="51" t="n">
        <f aca="false">IFERROR(P202/Q202,0)</f>
        <v>0.890199378092361</v>
      </c>
      <c r="S202" s="49" t="n">
        <f aca="false">IFERROR(Q202/N202,0)</f>
        <v>214.839512031379</v>
      </c>
      <c r="T202" s="48" t="n">
        <f aca="false">SUMIFS('Activation Detail'!$H$4:$H$4003,'Activation Detail'!$A$4:$A$4003,$A202,'Activation Detail'!$N$4:$N$4003,T$2)</f>
        <v>104.807976327223</v>
      </c>
      <c r="U202" s="50" t="n">
        <f aca="false">T202*'Model Inputs &amp; Assumptions'!$D$41*'Model Inputs &amp; Assumptions'!$H$41</f>
        <v>754617.429556007</v>
      </c>
      <c r="V202" s="50" t="n">
        <f aca="false">T202*'Model Inputs &amp; Assumptions'!$G$41*'Model Inputs &amp; Assumptions'!$H$41</f>
        <v>16639.31432171</v>
      </c>
      <c r="W202" s="50" t="n">
        <f aca="false">SUMIFS('Activation Detail'!$I$4:$I$4003,'Activation Detail'!$A$4:$A$4003,$A202,'Activation Detail'!$N$4:$N$4003,T$2)</f>
        <v>15499.394654</v>
      </c>
      <c r="X202" s="51" t="n">
        <f aca="false">IFERROR(V202/W202,0)</f>
        <v>1.07354607667957</v>
      </c>
      <c r="Y202" s="49" t="n">
        <f aca="false">IFERROR(W202/T202,0)</f>
        <v>147.883731726763</v>
      </c>
      <c r="Z202" s="48" t="n">
        <f aca="false">SUMIFS('Activation Detail'!$H$4:$H$4003,'Activation Detail'!$A$4:$A$4003,$A202,'Activation Detail'!$N$4:$N$4003,Z$2)</f>
        <v>616.261618970594</v>
      </c>
      <c r="AA202" s="50" t="n">
        <f aca="false">Z202*'Model Inputs &amp; Assumptions'!$D$42*'Model Inputs &amp; Assumptions'!$H$42</f>
        <v>3327812.74244121</v>
      </c>
      <c r="AB202" s="50" t="n">
        <f aca="false">Z202*'Model Inputs &amp; Assumptions'!$G$42*'Model Inputs &amp; Assumptions'!$H$42</f>
        <v>69884.0675912654</v>
      </c>
      <c r="AC202" s="50" t="n">
        <f aca="false">SUMIFS('Activation Detail'!$I$4:$I$4003,'Activation Detail'!$A$4:$A$4003,$A202,'Activation Detail'!$N$4:$N$4003,Z$2)</f>
        <v>42768.184</v>
      </c>
      <c r="AD202" s="51" t="n">
        <f aca="false">IFERROR(AB202/AC202,0)</f>
        <v>1.63401998998287</v>
      </c>
      <c r="AE202" s="49" t="n">
        <f aca="false">IFERROR(AC202/Z202,0)</f>
        <v>69.3993957816814</v>
      </c>
    </row>
    <row r="203" customFormat="false" ht="15" hidden="false" customHeight="false" outlineLevel="0" collapsed="false">
      <c r="A203" s="43" t="n">
        <v>200</v>
      </c>
      <c r="B203" s="45" t="n">
        <f aca="false">SUM('Activation Detail'!C203,'Activation Detail'!C703,'Activation Detail'!C1203,'Activation Detail'!C1703,'Activation Detail'!C2203,'Activation Detail'!C2703,'Activation Detail'!C3203,'Activation Detail'!C3703)</f>
        <v>4521323</v>
      </c>
      <c r="C203" s="45" t="n">
        <f aca="false">SUM('Activation Detail'!E203,'Activation Detail'!E703,'Activation Detail'!E1203,'Activation Detail'!E1703,'Activation Detail'!E2203,'Activation Detail'!E2703,'Activation Detail'!E3203,'Activation Detail'!E3703)</f>
        <v>473224</v>
      </c>
      <c r="D203" s="45" t="n">
        <f aca="false">SUM('Activation Detail'!G203,'Activation Detail'!G703,'Activation Detail'!G1203,'Activation Detail'!G1703,'Activation Detail'!G2203,'Activation Detail'!G2703,'Activation Detail'!G3203,'Activation Detail'!G3703)</f>
        <v>16033</v>
      </c>
      <c r="E203" s="48" t="n">
        <f aca="false">SUM('Activation Detail'!H203,'Activation Detail'!H703,'Activation Detail'!H1203,'Activation Detail'!H1703,'Activation Detail'!H2203,'Activation Detail'!H2703,'Activation Detail'!H3203,'Activation Detail'!H3703)</f>
        <v>635.096701329068</v>
      </c>
      <c r="F203" s="50" t="n">
        <f aca="false">SUM('Activation Detail'!I203,'Activation Detail'!I703,'Activation Detail'!I1203,'Activation Detail'!I1703,'Activation Detail'!I2203,'Activation Detail'!I2703,'Activation Detail'!I3203,'Activation Detail'!I3703)</f>
        <v>75682.303286</v>
      </c>
      <c r="G203" s="50" t="n">
        <f aca="false">SUM('Activation Detail'!J203,'Activation Detail'!J703,'Activation Detail'!J1203,'Activation Detail'!J1703,'Activation Detail'!J2203,'Activation Detail'!J2703,'Activation Detail'!J3203,'Activation Detail'!J3703)</f>
        <v>4096519.57086998</v>
      </c>
      <c r="H203" s="50" t="n">
        <f aca="false">SUM('Activation Detail'!K203,'Activation Detail'!K703,'Activation Detail'!K1203,'Activation Detail'!K1703,'Activation Detail'!K2203,'Activation Detail'!K2703,'Activation Detail'!K3203,'Activation Detail'!K3703)</f>
        <v>88802.3030026532</v>
      </c>
      <c r="I203" s="51" t="n">
        <f aca="false">IFERROR(H203/F203,0)</f>
        <v>1.1733562424372</v>
      </c>
      <c r="J203" s="49" t="n">
        <f aca="false">IFERROR(F203/E203,0)</f>
        <v>119.166582234831</v>
      </c>
      <c r="K203" s="46" t="n">
        <f aca="false">IFERROR(C203/B203,0)</f>
        <v>0.104664939885958</v>
      </c>
      <c r="L203" s="47" t="n">
        <f aca="false">IFERROR(D203/B203,0)</f>
        <v>0.00354608595758365</v>
      </c>
      <c r="N203" s="48" t="n">
        <f aca="false">SUMIFS('Activation Detail'!$H$4:$H$4003,'Activation Detail'!$A$4:$A$4003,$A203,'Activation Detail'!$N$4:$N$4003,N$2)</f>
        <v>96.2851745448755</v>
      </c>
      <c r="O203" s="50" t="n">
        <f aca="false">N203*'Model Inputs &amp; Assumptions'!$D$40*'Model Inputs &amp; Assumptions'!$H$40</f>
        <v>818423.983631442</v>
      </c>
      <c r="P203" s="50" t="n">
        <f aca="false">N203*'Model Inputs &amp; Assumptions'!$G$40*'Model Inputs &amp; Assumptions'!$H$40</f>
        <v>18414.5396317074</v>
      </c>
      <c r="Q203" s="50" t="n">
        <f aca="false">SUMIFS('Activation Detail'!$I$4:$I$4003,'Activation Detail'!$A$4:$A$4003,$A203,'Activation Detail'!$N$4:$N$4003,N$2)</f>
        <v>18118.1125</v>
      </c>
      <c r="R203" s="51" t="n">
        <f aca="false">IFERROR(P203/Q203,0)</f>
        <v>1.01636081748071</v>
      </c>
      <c r="S203" s="49" t="n">
        <f aca="false">IFERROR(Q203/N203,0)</f>
        <v>188.171362680095</v>
      </c>
      <c r="T203" s="48" t="n">
        <f aca="false">SUMIFS('Activation Detail'!$H$4:$H$4003,'Activation Detail'!$A$4:$A$4003,$A203,'Activation Detail'!$N$4:$N$4003,T$2)</f>
        <v>204.729634779944</v>
      </c>
      <c r="U203" s="50" t="n">
        <f aca="false">T203*'Model Inputs &amp; Assumptions'!$D$41*'Model Inputs &amp; Assumptions'!$H$41</f>
        <v>1474053.3704156</v>
      </c>
      <c r="V203" s="50" t="n">
        <f aca="false">T203*'Model Inputs &amp; Assumptions'!$G$41*'Model Inputs &amp; Assumptions'!$H$41</f>
        <v>32502.8768176639</v>
      </c>
      <c r="W203" s="50" t="n">
        <f aca="false">SUMIFS('Activation Detail'!$I$4:$I$4003,'Activation Detail'!$A$4:$A$4003,$A203,'Activation Detail'!$N$4:$N$4003,T$2)</f>
        <v>23905.518786</v>
      </c>
      <c r="X203" s="51" t="n">
        <f aca="false">IFERROR(V203/W203,0)</f>
        <v>1.35963904856559</v>
      </c>
      <c r="Y203" s="49" t="n">
        <f aca="false">IFERROR(W203/T203,0)</f>
        <v>116.766284527861</v>
      </c>
      <c r="Z203" s="48" t="n">
        <f aca="false">SUMIFS('Activation Detail'!$H$4:$H$4003,'Activation Detail'!$A$4:$A$4003,$A203,'Activation Detail'!$N$4:$N$4003,Z$2)</f>
        <v>334.081892004249</v>
      </c>
      <c r="AA203" s="50" t="n">
        <f aca="false">Z203*'Model Inputs &amp; Assumptions'!$D$42*'Model Inputs &amp; Assumptions'!$H$42</f>
        <v>1804042.21682294</v>
      </c>
      <c r="AB203" s="50" t="n">
        <f aca="false">Z203*'Model Inputs &amp; Assumptions'!$G$42*'Model Inputs &amp; Assumptions'!$H$42</f>
        <v>37884.8865532818</v>
      </c>
      <c r="AC203" s="50" t="n">
        <f aca="false">SUMIFS('Activation Detail'!$I$4:$I$4003,'Activation Detail'!$A$4:$A$4003,$A203,'Activation Detail'!$N$4:$N$4003,Z$2)</f>
        <v>33658.672</v>
      </c>
      <c r="AD203" s="51" t="n">
        <f aca="false">IFERROR(AB203/AC203,0)</f>
        <v>1.12556094171754</v>
      </c>
      <c r="AE203" s="49" t="n">
        <f aca="false">IFERROR(AC203/Z203,0)</f>
        <v>100.74976467019</v>
      </c>
    </row>
    <row r="204" customFormat="false" ht="15" hidden="false" customHeight="false" outlineLevel="0" collapsed="false">
      <c r="A204" s="43" t="n">
        <v>201</v>
      </c>
      <c r="B204" s="45" t="n">
        <f aca="false">SUM('Activation Detail'!C204,'Activation Detail'!C704,'Activation Detail'!C1204,'Activation Detail'!C1704,'Activation Detail'!C2204,'Activation Detail'!C2704,'Activation Detail'!C3204,'Activation Detail'!C3704)</f>
        <v>4950469</v>
      </c>
      <c r="C204" s="45" t="n">
        <f aca="false">SUM('Activation Detail'!E204,'Activation Detail'!E704,'Activation Detail'!E1204,'Activation Detail'!E1704,'Activation Detail'!E2204,'Activation Detail'!E2704,'Activation Detail'!E3204,'Activation Detail'!E3704)</f>
        <v>509719</v>
      </c>
      <c r="D204" s="45" t="n">
        <f aca="false">SUM('Activation Detail'!G204,'Activation Detail'!G704,'Activation Detail'!G1204,'Activation Detail'!G1704,'Activation Detail'!G2204,'Activation Detail'!G2704,'Activation Detail'!G3204,'Activation Detail'!G3704)</f>
        <v>22330</v>
      </c>
      <c r="E204" s="48" t="n">
        <f aca="false">SUM('Activation Detail'!H204,'Activation Detail'!H704,'Activation Detail'!H1204,'Activation Detail'!H1704,'Activation Detail'!H2204,'Activation Detail'!H2704,'Activation Detail'!H3204,'Activation Detail'!H3704)</f>
        <v>729.369761199806</v>
      </c>
      <c r="F204" s="50" t="n">
        <f aca="false">SUM('Activation Detail'!I204,'Activation Detail'!I704,'Activation Detail'!I1204,'Activation Detail'!I1704,'Activation Detail'!I2204,'Activation Detail'!I2704,'Activation Detail'!I3204,'Activation Detail'!I3704)</f>
        <v>82524.31634</v>
      </c>
      <c r="G204" s="50" t="n">
        <f aca="false">SUM('Activation Detail'!J204,'Activation Detail'!J704,'Activation Detail'!J1204,'Activation Detail'!J1704,'Activation Detail'!J2204,'Activation Detail'!J2704,'Activation Detail'!J3204,'Activation Detail'!J3704)</f>
        <v>4637947.98984571</v>
      </c>
      <c r="H204" s="50" t="n">
        <f aca="false">SUM('Activation Detail'!K204,'Activation Detail'!K704,'Activation Detail'!K1204,'Activation Detail'!K1704,'Activation Detail'!K2204,'Activation Detail'!K2704,'Activation Detail'!K3204,'Activation Detail'!K3704)</f>
        <v>100309.449171003</v>
      </c>
      <c r="I204" s="51" t="n">
        <f aca="false">IFERROR(H204/F204,0)</f>
        <v>1.21551384633988</v>
      </c>
      <c r="J204" s="49" t="n">
        <f aca="false">IFERROR(F204/E204,0)</f>
        <v>113.144691115585</v>
      </c>
      <c r="K204" s="46" t="n">
        <f aca="false">IFERROR(C204/B204,0)</f>
        <v>0.102963779795409</v>
      </c>
      <c r="L204" s="47" t="n">
        <f aca="false">IFERROR(D204/B204,0)</f>
        <v>0.00451068373521781</v>
      </c>
      <c r="N204" s="48" t="n">
        <f aca="false">SUMIFS('Activation Detail'!$H$4:$H$4003,'Activation Detail'!$A$4:$A$4003,$A204,'Activation Detail'!$N$4:$N$4003,N$2)</f>
        <v>91.6073670280749</v>
      </c>
      <c r="O204" s="50" t="n">
        <f aca="false">N204*'Model Inputs &amp; Assumptions'!$D$40*'Model Inputs &amp; Assumptions'!$H$40</f>
        <v>778662.619738636</v>
      </c>
      <c r="P204" s="50" t="n">
        <f aca="false">N204*'Model Inputs &amp; Assumptions'!$G$40*'Model Inputs &amp; Assumptions'!$H$40</f>
        <v>17519.9089441193</v>
      </c>
      <c r="Q204" s="50" t="n">
        <f aca="false">SUMIFS('Activation Detail'!$I$4:$I$4003,'Activation Detail'!$A$4:$A$4003,$A204,'Activation Detail'!$N$4:$N$4003,N$2)</f>
        <v>18167.324</v>
      </c>
      <c r="R204" s="51" t="n">
        <f aca="false">IFERROR(P204/Q204,0)</f>
        <v>0.964363763431495</v>
      </c>
      <c r="S204" s="49" t="n">
        <f aca="false">IFERROR(Q204/N204,0)</f>
        <v>198.317281561343</v>
      </c>
      <c r="T204" s="48" t="n">
        <f aca="false">SUMIFS('Activation Detail'!$H$4:$H$4003,'Activation Detail'!$A$4:$A$4003,$A204,'Activation Detail'!$N$4:$N$4003,T$2)</f>
        <v>230.760245322073</v>
      </c>
      <c r="U204" s="50" t="n">
        <f aca="false">T204*'Model Inputs &amp; Assumptions'!$D$41*'Model Inputs &amp; Assumptions'!$H$41</f>
        <v>1661473.76631892</v>
      </c>
      <c r="V204" s="50" t="n">
        <f aca="false">T204*'Model Inputs &amp; Assumptions'!$G$41*'Model Inputs &amp; Assumptions'!$H$41</f>
        <v>36635.4965473323</v>
      </c>
      <c r="W204" s="50" t="n">
        <f aca="false">SUMIFS('Activation Detail'!$I$4:$I$4003,'Activation Detail'!$A$4:$A$4003,$A204,'Activation Detail'!$N$4:$N$4003,T$2)</f>
        <v>24964.26434</v>
      </c>
      <c r="X204" s="51" t="n">
        <f aca="false">IFERROR(V204/W204,0)</f>
        <v>1.46751757025067</v>
      </c>
      <c r="Y204" s="49" t="n">
        <f aca="false">IFERROR(W204/T204,0)</f>
        <v>108.182691109369</v>
      </c>
      <c r="Z204" s="48" t="n">
        <f aca="false">SUMIFS('Activation Detail'!$H$4:$H$4003,'Activation Detail'!$A$4:$A$4003,$A204,'Activation Detail'!$N$4:$N$4003,Z$2)</f>
        <v>407.002148849658</v>
      </c>
      <c r="AA204" s="50" t="n">
        <f aca="false">Z204*'Model Inputs &amp; Assumptions'!$D$42*'Model Inputs &amp; Assumptions'!$H$42</f>
        <v>2197811.60378815</v>
      </c>
      <c r="AB204" s="50" t="n">
        <f aca="false">Z204*'Model Inputs &amp; Assumptions'!$G$42*'Model Inputs &amp; Assumptions'!$H$42</f>
        <v>46154.0436795512</v>
      </c>
      <c r="AC204" s="50" t="n">
        <f aca="false">SUMIFS('Activation Detail'!$I$4:$I$4003,'Activation Detail'!$A$4:$A$4003,$A204,'Activation Detail'!$N$4:$N$4003,Z$2)</f>
        <v>39392.728</v>
      </c>
      <c r="AD204" s="51" t="n">
        <f aca="false">IFERROR(AB204/AC204,0)</f>
        <v>1.17163867604069</v>
      </c>
      <c r="AE204" s="49" t="n">
        <f aca="false">IFERROR(AC204/Z204,0)</f>
        <v>96.7875184721721</v>
      </c>
    </row>
    <row r="205" customFormat="false" ht="15" hidden="false" customHeight="false" outlineLevel="0" collapsed="false">
      <c r="A205" s="43" t="n">
        <v>202</v>
      </c>
      <c r="B205" s="45" t="n">
        <f aca="false">SUM('Activation Detail'!C205,'Activation Detail'!C705,'Activation Detail'!C1205,'Activation Detail'!C1705,'Activation Detail'!C2205,'Activation Detail'!C2705,'Activation Detail'!C3205,'Activation Detail'!C3705)</f>
        <v>4842451</v>
      </c>
      <c r="C205" s="45" t="n">
        <f aca="false">SUM('Activation Detail'!E205,'Activation Detail'!E705,'Activation Detail'!E1205,'Activation Detail'!E1705,'Activation Detail'!E2205,'Activation Detail'!E2705,'Activation Detail'!E3205,'Activation Detail'!E3705)</f>
        <v>390859</v>
      </c>
      <c r="D205" s="45" t="n">
        <f aca="false">SUM('Activation Detail'!G205,'Activation Detail'!G705,'Activation Detail'!G1205,'Activation Detail'!G1705,'Activation Detail'!G2205,'Activation Detail'!G2705,'Activation Detail'!G3205,'Activation Detail'!G3705)</f>
        <v>19238</v>
      </c>
      <c r="E205" s="48" t="n">
        <f aca="false">SUM('Activation Detail'!H205,'Activation Detail'!H705,'Activation Detail'!H1205,'Activation Detail'!H1705,'Activation Detail'!H2205,'Activation Detail'!H2705,'Activation Detail'!H3205,'Activation Detail'!H3705)</f>
        <v>726.154041637645</v>
      </c>
      <c r="F205" s="50" t="n">
        <f aca="false">SUM('Activation Detail'!I205,'Activation Detail'!I705,'Activation Detail'!I1205,'Activation Detail'!I1705,'Activation Detail'!I2205,'Activation Detail'!I2705,'Activation Detail'!I3205,'Activation Detail'!I3705)</f>
        <v>79194.47246</v>
      </c>
      <c r="G205" s="50" t="n">
        <f aca="false">SUM('Activation Detail'!J205,'Activation Detail'!J705,'Activation Detail'!J1205,'Activation Detail'!J1705,'Activation Detail'!J2205,'Activation Detail'!J2705,'Activation Detail'!J3205,'Activation Detail'!J3705)</f>
        <v>4449539.98460419</v>
      </c>
      <c r="H205" s="50" t="n">
        <f aca="false">SUM('Activation Detail'!K205,'Activation Detail'!K705,'Activation Detail'!K1205,'Activation Detail'!K1705,'Activation Detail'!K2205,'Activation Detail'!K2705,'Activation Detail'!K3205,'Activation Detail'!K3705)</f>
        <v>95638.3487725505</v>
      </c>
      <c r="I205" s="51" t="n">
        <f aca="false">IFERROR(H205/F205,0)</f>
        <v>1.20763919250622</v>
      </c>
      <c r="J205" s="49" t="n">
        <f aca="false">IFERROR(F205/E205,0)</f>
        <v>109.060155172308</v>
      </c>
      <c r="K205" s="46" t="n">
        <f aca="false">IFERROR(C205/B205,0)</f>
        <v>0.0807151171999469</v>
      </c>
      <c r="L205" s="47" t="n">
        <f aca="false">IFERROR(D205/B205,0)</f>
        <v>0.003972781552152</v>
      </c>
      <c r="N205" s="48" t="n">
        <f aca="false">SUMIFS('Activation Detail'!$H$4:$H$4003,'Activation Detail'!$A$4:$A$4003,$A205,'Activation Detail'!$N$4:$N$4003,N$2)</f>
        <v>77.3525004933645</v>
      </c>
      <c r="O205" s="50" t="n">
        <f aca="false">N205*'Model Inputs &amp; Assumptions'!$D$40*'Model Inputs &amp; Assumptions'!$H$40</f>
        <v>657496.254193598</v>
      </c>
      <c r="P205" s="50" t="n">
        <f aca="false">N205*'Model Inputs &amp; Assumptions'!$G$40*'Model Inputs &amp; Assumptions'!$H$40</f>
        <v>14793.665719356</v>
      </c>
      <c r="Q205" s="50" t="n">
        <f aca="false">SUMIFS('Activation Detail'!$I$4:$I$4003,'Activation Detail'!$A$4:$A$4003,$A205,'Activation Detail'!$N$4:$N$4003,N$2)</f>
        <v>17531.0975</v>
      </c>
      <c r="R205" s="51" t="n">
        <f aca="false">IFERROR(P205/Q205,0)</f>
        <v>0.84385280039404</v>
      </c>
      <c r="S205" s="49" t="n">
        <f aca="false">IFERROR(Q205/N205,0)</f>
        <v>226.639053530065</v>
      </c>
      <c r="T205" s="48" t="n">
        <f aca="false">SUMIFS('Activation Detail'!$H$4:$H$4003,'Activation Detail'!$A$4:$A$4003,$A205,'Activation Detail'!$N$4:$N$4003,T$2)</f>
        <v>160.286337906375</v>
      </c>
      <c r="U205" s="50" t="n">
        <f aca="false">T205*'Model Inputs &amp; Assumptions'!$D$41*'Model Inputs &amp; Assumptions'!$H$41</f>
        <v>1154061.6329259</v>
      </c>
      <c r="V205" s="50" t="n">
        <f aca="false">T205*'Model Inputs &amp; Assumptions'!$G$41*'Model Inputs &amp; Assumptions'!$H$41</f>
        <v>25447.0590060161</v>
      </c>
      <c r="W205" s="50" t="n">
        <f aca="false">SUMIFS('Activation Detail'!$I$4:$I$4003,'Activation Detail'!$A$4:$A$4003,$A205,'Activation Detail'!$N$4:$N$4003,T$2)</f>
        <v>18719.55896</v>
      </c>
      <c r="X205" s="51" t="n">
        <f aca="false">IFERROR(V205/W205,0)</f>
        <v>1.35938346947123</v>
      </c>
      <c r="Y205" s="49" t="n">
        <f aca="false">IFERROR(W205/T205,0)</f>
        <v>116.78823787798</v>
      </c>
      <c r="Z205" s="48" t="n">
        <f aca="false">SUMIFS('Activation Detail'!$H$4:$H$4003,'Activation Detail'!$A$4:$A$4003,$A205,'Activation Detail'!$N$4:$N$4003,Z$2)</f>
        <v>488.515203237905</v>
      </c>
      <c r="AA205" s="50" t="n">
        <f aca="false">Z205*'Model Inputs &amp; Assumptions'!$D$42*'Model Inputs &amp; Assumptions'!$H$42</f>
        <v>2637982.09748469</v>
      </c>
      <c r="AB205" s="50" t="n">
        <f aca="false">Z205*'Model Inputs &amp; Assumptions'!$G$42*'Model Inputs &amp; Assumptions'!$H$42</f>
        <v>55397.6240471785</v>
      </c>
      <c r="AC205" s="50" t="n">
        <f aca="false">SUMIFS('Activation Detail'!$I$4:$I$4003,'Activation Detail'!$A$4:$A$4003,$A205,'Activation Detail'!$N$4:$N$4003,Z$2)</f>
        <v>42943.816</v>
      </c>
      <c r="AD205" s="51" t="n">
        <f aca="false">IFERROR(AB205/AC205,0)</f>
        <v>1.29000236139188</v>
      </c>
      <c r="AE205" s="49" t="n">
        <f aca="false">IFERROR(AC205/Z205,0)</f>
        <v>87.9068158275649</v>
      </c>
    </row>
    <row r="206" customFormat="false" ht="15" hidden="false" customHeight="false" outlineLevel="0" collapsed="false">
      <c r="A206" s="43" t="n">
        <v>203</v>
      </c>
      <c r="B206" s="45" t="n">
        <f aca="false">SUM('Activation Detail'!C206,'Activation Detail'!C706,'Activation Detail'!C1206,'Activation Detail'!C1706,'Activation Detail'!C2206,'Activation Detail'!C2706,'Activation Detail'!C3206,'Activation Detail'!C3706)</f>
        <v>4592091</v>
      </c>
      <c r="C206" s="45" t="n">
        <f aca="false">SUM('Activation Detail'!E206,'Activation Detail'!E706,'Activation Detail'!E1206,'Activation Detail'!E1706,'Activation Detail'!E2206,'Activation Detail'!E2706,'Activation Detail'!E3206,'Activation Detail'!E3706)</f>
        <v>580855</v>
      </c>
      <c r="D206" s="45" t="n">
        <f aca="false">SUM('Activation Detail'!G206,'Activation Detail'!G706,'Activation Detail'!G1206,'Activation Detail'!G1706,'Activation Detail'!G2206,'Activation Detail'!G2706,'Activation Detail'!G3206,'Activation Detail'!G3706)</f>
        <v>17078</v>
      </c>
      <c r="E206" s="48" t="n">
        <f aca="false">SUM('Activation Detail'!H206,'Activation Detail'!H706,'Activation Detail'!H1206,'Activation Detail'!H1706,'Activation Detail'!H2206,'Activation Detail'!H2706,'Activation Detail'!H3206,'Activation Detail'!H3706)</f>
        <v>675.798611951513</v>
      </c>
      <c r="F206" s="50" t="n">
        <f aca="false">SUM('Activation Detail'!I206,'Activation Detail'!I706,'Activation Detail'!I1206,'Activation Detail'!I1706,'Activation Detail'!I2206,'Activation Detail'!I2706,'Activation Detail'!I3206,'Activation Detail'!I3706)</f>
        <v>79508.545286</v>
      </c>
      <c r="G206" s="50" t="n">
        <f aca="false">SUM('Activation Detail'!J206,'Activation Detail'!J706,'Activation Detail'!J1206,'Activation Detail'!J1706,'Activation Detail'!J2206,'Activation Detail'!J2706,'Activation Detail'!J3206,'Activation Detail'!J3706)</f>
        <v>4358383.40141477</v>
      </c>
      <c r="H206" s="50" t="n">
        <f aca="false">SUM('Activation Detail'!K206,'Activation Detail'!K706,'Activation Detail'!K1206,'Activation Detail'!K1706,'Activation Detail'!K2206,'Activation Detail'!K2706,'Activation Detail'!K3206,'Activation Detail'!K3706)</f>
        <v>94481.993556563</v>
      </c>
      <c r="I206" s="51" t="n">
        <f aca="false">IFERROR(H206/F206,0)</f>
        <v>1.18832501860903</v>
      </c>
      <c r="J206" s="49" t="n">
        <f aca="false">IFERROR(F206/E206,0)</f>
        <v>117.651240887285</v>
      </c>
      <c r="K206" s="46" t="n">
        <f aca="false">IFERROR(C206/B206,0)</f>
        <v>0.126490306921183</v>
      </c>
      <c r="L206" s="47" t="n">
        <f aca="false">IFERROR(D206/B206,0)</f>
        <v>0.00371900295529858</v>
      </c>
      <c r="N206" s="48" t="n">
        <f aca="false">SUMIFS('Activation Detail'!$H$4:$H$4003,'Activation Detail'!$A$4:$A$4003,$A206,'Activation Detail'!$N$4:$N$4003,N$2)</f>
        <v>82.0579260330809</v>
      </c>
      <c r="O206" s="50" t="n">
        <f aca="false">N206*'Model Inputs &amp; Assumptions'!$D$40*'Model Inputs &amp; Assumptions'!$H$40</f>
        <v>697492.371281188</v>
      </c>
      <c r="P206" s="50" t="n">
        <f aca="false">N206*'Model Inputs &amp; Assumptions'!$G$40*'Model Inputs &amp; Assumptions'!$H$40</f>
        <v>15693.5783538267</v>
      </c>
      <c r="Q206" s="50" t="n">
        <f aca="false">SUMIFS('Activation Detail'!$I$4:$I$4003,'Activation Detail'!$A$4:$A$4003,$A206,'Activation Detail'!$N$4:$N$4003,N$2)</f>
        <v>18289.8165</v>
      </c>
      <c r="R206" s="51" t="n">
        <f aca="false">IFERROR(P206/Q206,0)</f>
        <v>0.85805007140595</v>
      </c>
      <c r="S206" s="49" t="n">
        <f aca="false">IFERROR(Q206/N206,0)</f>
        <v>222.889090477703</v>
      </c>
      <c r="T206" s="48" t="n">
        <f aca="false">SUMIFS('Activation Detail'!$H$4:$H$4003,'Activation Detail'!$A$4:$A$4003,$A206,'Activation Detail'!$N$4:$N$4003,T$2)</f>
        <v>252.606292318917</v>
      </c>
      <c r="U206" s="50" t="n">
        <f aca="false">T206*'Model Inputs &amp; Assumptions'!$D$41*'Model Inputs &amp; Assumptions'!$H$41</f>
        <v>1818765.3046962</v>
      </c>
      <c r="V206" s="50" t="n">
        <f aca="false">T206*'Model Inputs &amp; Assumptions'!$G$41*'Model Inputs &amp; Assumptions'!$H$41</f>
        <v>40103.7749685513</v>
      </c>
      <c r="W206" s="50" t="n">
        <f aca="false">SUMIFS('Activation Detail'!$I$4:$I$4003,'Activation Detail'!$A$4:$A$4003,$A206,'Activation Detail'!$N$4:$N$4003,T$2)</f>
        <v>21409.336786</v>
      </c>
      <c r="X206" s="51" t="n">
        <f aca="false">IFERROR(V206/W206,0)</f>
        <v>1.87319090588439</v>
      </c>
      <c r="Y206" s="49" t="n">
        <f aca="false">IFERROR(W206/T206,0)</f>
        <v>84.7537746960419</v>
      </c>
      <c r="Z206" s="48" t="n">
        <f aca="false">SUMIFS('Activation Detail'!$H$4:$H$4003,'Activation Detail'!$A$4:$A$4003,$A206,'Activation Detail'!$N$4:$N$4003,Z$2)</f>
        <v>341.134393599515</v>
      </c>
      <c r="AA206" s="50" t="n">
        <f aca="false">Z206*'Model Inputs &amp; Assumptions'!$D$42*'Model Inputs &amp; Assumptions'!$H$42</f>
        <v>1842125.72543738</v>
      </c>
      <c r="AB206" s="50" t="n">
        <f aca="false">Z206*'Model Inputs &amp; Assumptions'!$G$42*'Model Inputs &amp; Assumptions'!$H$42</f>
        <v>38684.640234185</v>
      </c>
      <c r="AC206" s="50" t="n">
        <f aca="false">SUMIFS('Activation Detail'!$I$4:$I$4003,'Activation Detail'!$A$4:$A$4003,$A206,'Activation Detail'!$N$4:$N$4003,Z$2)</f>
        <v>39809.392</v>
      </c>
      <c r="AD206" s="51" t="n">
        <f aca="false">IFERROR(AB206/AC206,0)</f>
        <v>0.971746572622485</v>
      </c>
      <c r="AE206" s="49" t="n">
        <f aca="false">IFERROR(AC206/Z206,0)</f>
        <v>116.697092837656</v>
      </c>
    </row>
    <row r="207" customFormat="false" ht="15" hidden="false" customHeight="false" outlineLevel="0" collapsed="false">
      <c r="A207" s="43" t="n">
        <v>204</v>
      </c>
      <c r="B207" s="45" t="n">
        <f aca="false">SUM('Activation Detail'!C207,'Activation Detail'!C707,'Activation Detail'!C1207,'Activation Detail'!C1707,'Activation Detail'!C2207,'Activation Detail'!C2707,'Activation Detail'!C3207,'Activation Detail'!C3707)</f>
        <v>3849411</v>
      </c>
      <c r="C207" s="45" t="n">
        <f aca="false">SUM('Activation Detail'!E207,'Activation Detail'!E707,'Activation Detail'!E1207,'Activation Detail'!E1707,'Activation Detail'!E2207,'Activation Detail'!E2707,'Activation Detail'!E3207,'Activation Detail'!E3707)</f>
        <v>284223</v>
      </c>
      <c r="D207" s="45" t="n">
        <f aca="false">SUM('Activation Detail'!G207,'Activation Detail'!G707,'Activation Detail'!G1207,'Activation Detail'!G1707,'Activation Detail'!G2207,'Activation Detail'!G2707,'Activation Detail'!G3207,'Activation Detail'!G3707)</f>
        <v>15452</v>
      </c>
      <c r="E207" s="48" t="n">
        <f aca="false">SUM('Activation Detail'!H207,'Activation Detail'!H707,'Activation Detail'!H1207,'Activation Detail'!H1707,'Activation Detail'!H2207,'Activation Detail'!H2707,'Activation Detail'!H3207,'Activation Detail'!H3707)</f>
        <v>740.930425193254</v>
      </c>
      <c r="F207" s="50" t="n">
        <f aca="false">SUM('Activation Detail'!I207,'Activation Detail'!I707,'Activation Detail'!I1207,'Activation Detail'!I1707,'Activation Detail'!I2207,'Activation Detail'!I2707,'Activation Detail'!I3207,'Activation Detail'!I3707)</f>
        <v>76033.344398</v>
      </c>
      <c r="G207" s="50" t="n">
        <f aca="false">SUM('Activation Detail'!J207,'Activation Detail'!J707,'Activation Detail'!J1207,'Activation Detail'!J1707,'Activation Detail'!J2207,'Activation Detail'!J2707,'Activation Detail'!J3207,'Activation Detail'!J3707)</f>
        <v>4588079.00933126</v>
      </c>
      <c r="H207" s="50" t="n">
        <f aca="false">SUM('Activation Detail'!K207,'Activation Detail'!K707,'Activation Detail'!K1207,'Activation Detail'!K1707,'Activation Detail'!K2207,'Activation Detail'!K2707,'Activation Detail'!K3207,'Activation Detail'!K3707)</f>
        <v>98788.0211032856</v>
      </c>
      <c r="I207" s="51" t="n">
        <f aca="false">IFERROR(H207/F207,0)</f>
        <v>1.2992723374915</v>
      </c>
      <c r="J207" s="49" t="n">
        <f aca="false">IFERROR(F207/E207,0)</f>
        <v>102.618736945738</v>
      </c>
      <c r="K207" s="46" t="n">
        <f aca="false">IFERROR(C207/B207,0)</f>
        <v>0.0738354517093654</v>
      </c>
      <c r="L207" s="47" t="n">
        <f aca="false">IFERROR(D207/B207,0)</f>
        <v>0.00401412060182714</v>
      </c>
      <c r="N207" s="48" t="n">
        <f aca="false">SUMIFS('Activation Detail'!$H$4:$H$4003,'Activation Detail'!$A$4:$A$4003,$A207,'Activation Detail'!$N$4:$N$4003,N$2)</f>
        <v>100.99217955227</v>
      </c>
      <c r="O207" s="50" t="n">
        <f aca="false">N207*'Model Inputs &amp; Assumptions'!$D$40*'Model Inputs &amp; Assumptions'!$H$40</f>
        <v>858433.526194292</v>
      </c>
      <c r="P207" s="50" t="n">
        <f aca="false">N207*'Model Inputs &amp; Assumptions'!$G$40*'Model Inputs &amp; Assumptions'!$H$40</f>
        <v>19314.7543393716</v>
      </c>
      <c r="Q207" s="50" t="n">
        <f aca="false">SUMIFS('Activation Detail'!$I$4:$I$4003,'Activation Detail'!$A$4:$A$4003,$A207,'Activation Detail'!$N$4:$N$4003,N$2)</f>
        <v>17359.1465</v>
      </c>
      <c r="R207" s="51" t="n">
        <f aca="false">IFERROR(P207/Q207,0)</f>
        <v>1.11265575985384</v>
      </c>
      <c r="S207" s="49" t="n">
        <f aca="false">IFERROR(Q207/N207,0)</f>
        <v>171.88604679054</v>
      </c>
      <c r="T207" s="48" t="n">
        <f aca="false">SUMIFS('Activation Detail'!$H$4:$H$4003,'Activation Detail'!$A$4:$A$4003,$A207,'Activation Detail'!$N$4:$N$4003,T$2)</f>
        <v>152.210531486472</v>
      </c>
      <c r="U207" s="50" t="n">
        <f aca="false">T207*'Model Inputs &amp; Assumptions'!$D$41*'Model Inputs &amp; Assumptions'!$H$41</f>
        <v>1095915.8267026</v>
      </c>
      <c r="V207" s="50" t="n">
        <f aca="false">T207*'Model Inputs &amp; Assumptions'!$G$41*'Model Inputs &amp; Assumptions'!$H$41</f>
        <v>24164.9439787924</v>
      </c>
      <c r="W207" s="50" t="n">
        <f aca="false">SUMIFS('Activation Detail'!$I$4:$I$4003,'Activation Detail'!$A$4:$A$4003,$A207,'Activation Detail'!$N$4:$N$4003,T$2)</f>
        <v>15659.305898</v>
      </c>
      <c r="X207" s="51" t="n">
        <f aca="false">IFERROR(V207/W207,0)</f>
        <v>1.54316826915545</v>
      </c>
      <c r="Y207" s="49" t="n">
        <f aca="false">IFERROR(W207/T207,0)</f>
        <v>102.879253787979</v>
      </c>
      <c r="Z207" s="48" t="n">
        <f aca="false">SUMIFS('Activation Detail'!$H$4:$H$4003,'Activation Detail'!$A$4:$A$4003,$A207,'Activation Detail'!$N$4:$N$4003,Z$2)</f>
        <v>487.727714154512</v>
      </c>
      <c r="AA207" s="50" t="n">
        <f aca="false">Z207*'Model Inputs &amp; Assumptions'!$D$42*'Model Inputs &amp; Assumptions'!$H$42</f>
        <v>2633729.65643437</v>
      </c>
      <c r="AB207" s="50" t="n">
        <f aca="false">Z207*'Model Inputs &amp; Assumptions'!$G$42*'Model Inputs &amp; Assumptions'!$H$42</f>
        <v>55308.3227851217</v>
      </c>
      <c r="AC207" s="50" t="n">
        <f aca="false">SUMIFS('Activation Detail'!$I$4:$I$4003,'Activation Detail'!$A$4:$A$4003,$A207,'Activation Detail'!$N$4:$N$4003,Z$2)</f>
        <v>43014.892</v>
      </c>
      <c r="AD207" s="51" t="n">
        <f aca="false">IFERROR(AB207/AC207,0)</f>
        <v>1.28579476115206</v>
      </c>
      <c r="AE207" s="49" t="n">
        <f aca="false">IFERROR(AC207/Z207,0)</f>
        <v>88.1944797304934</v>
      </c>
    </row>
    <row r="208" customFormat="false" ht="15" hidden="false" customHeight="false" outlineLevel="0" collapsed="false">
      <c r="A208" s="43" t="n">
        <v>205</v>
      </c>
      <c r="B208" s="45" t="n">
        <f aca="false">SUM('Activation Detail'!C208,'Activation Detail'!C708,'Activation Detail'!C1208,'Activation Detail'!C1708,'Activation Detail'!C2208,'Activation Detail'!C2708,'Activation Detail'!C3208,'Activation Detail'!C3708)</f>
        <v>4216262</v>
      </c>
      <c r="C208" s="45" t="n">
        <f aca="false">SUM('Activation Detail'!E208,'Activation Detail'!E708,'Activation Detail'!E1208,'Activation Detail'!E1708,'Activation Detail'!E2208,'Activation Detail'!E2708,'Activation Detail'!E3208,'Activation Detail'!E3708)</f>
        <v>304106</v>
      </c>
      <c r="D208" s="45" t="n">
        <f aca="false">SUM('Activation Detail'!G208,'Activation Detail'!G708,'Activation Detail'!G1208,'Activation Detail'!G1708,'Activation Detail'!G2208,'Activation Detail'!G2708,'Activation Detail'!G3208,'Activation Detail'!G3708)</f>
        <v>21827</v>
      </c>
      <c r="E208" s="48" t="n">
        <f aca="false">SUM('Activation Detail'!H208,'Activation Detail'!H708,'Activation Detail'!H1208,'Activation Detail'!H1708,'Activation Detail'!H2208,'Activation Detail'!H2708,'Activation Detail'!H3208,'Activation Detail'!H3708)</f>
        <v>599.627800281952</v>
      </c>
      <c r="F208" s="50" t="n">
        <f aca="false">SUM('Activation Detail'!I208,'Activation Detail'!I708,'Activation Detail'!I1208,'Activation Detail'!I1708,'Activation Detail'!I2208,'Activation Detail'!I2708,'Activation Detail'!I3208,'Activation Detail'!I3708)</f>
        <v>72297.015174</v>
      </c>
      <c r="G208" s="50" t="n">
        <f aca="false">SUM('Activation Detail'!J208,'Activation Detail'!J708,'Activation Detail'!J1208,'Activation Detail'!J1708,'Activation Detail'!J2208,'Activation Detail'!J2708,'Activation Detail'!J3208,'Activation Detail'!J3708)</f>
        <v>3726079.967151</v>
      </c>
      <c r="H208" s="50" t="n">
        <f aca="false">SUM('Activation Detail'!K208,'Activation Detail'!K708,'Activation Detail'!K1208,'Activation Detail'!K1708,'Activation Detail'!K2208,'Activation Detail'!K2708,'Activation Detail'!K3208,'Activation Detail'!K3708)</f>
        <v>80278.4435953047</v>
      </c>
      <c r="I208" s="51" t="n">
        <f aca="false">IFERROR(H208/F208,0)</f>
        <v>1.11039775849799</v>
      </c>
      <c r="J208" s="49" t="n">
        <f aca="false">IFERROR(F208/E208,0)</f>
        <v>120.569818710882</v>
      </c>
      <c r="K208" s="46" t="n">
        <f aca="false">IFERROR(C208/B208,0)</f>
        <v>0.0721269219038096</v>
      </c>
      <c r="L208" s="47" t="n">
        <f aca="false">IFERROR(D208/B208,0)</f>
        <v>0.00517686045127177</v>
      </c>
      <c r="N208" s="48" t="n">
        <f aca="false">SUMIFS('Activation Detail'!$H$4:$H$4003,'Activation Detail'!$A$4:$A$4003,$A208,'Activation Detail'!$N$4:$N$4003,N$2)</f>
        <v>71.1595055768047</v>
      </c>
      <c r="O208" s="50" t="n">
        <f aca="false">N208*'Model Inputs &amp; Assumptions'!$D$40*'Model Inputs &amp; Assumptions'!$H$40</f>
        <v>604855.79740284</v>
      </c>
      <c r="P208" s="50" t="n">
        <f aca="false">N208*'Model Inputs &amp; Assumptions'!$G$40*'Model Inputs &amp; Assumptions'!$H$40</f>
        <v>13609.2554415639</v>
      </c>
      <c r="Q208" s="50" t="n">
        <f aca="false">SUMIFS('Activation Detail'!$I$4:$I$4003,'Activation Detail'!$A$4:$A$4003,$A208,'Activation Detail'!$N$4:$N$4003,N$2)</f>
        <v>18376.9945</v>
      </c>
      <c r="R208" s="51" t="n">
        <f aca="false">IFERROR(P208/Q208,0)</f>
        <v>0.740559368484542</v>
      </c>
      <c r="S208" s="49" t="n">
        <f aca="false">IFERROR(Q208/N208,0)</f>
        <v>258.250733349533</v>
      </c>
      <c r="T208" s="48" t="n">
        <f aca="false">SUMIFS('Activation Detail'!$H$4:$H$4003,'Activation Detail'!$A$4:$A$4003,$A208,'Activation Detail'!$N$4:$N$4003,T$2)</f>
        <v>148.608543522424</v>
      </c>
      <c r="U208" s="50" t="n">
        <f aca="false">T208*'Model Inputs &amp; Assumptions'!$D$41*'Model Inputs &amp; Assumptions'!$H$41</f>
        <v>1069981.51336145</v>
      </c>
      <c r="V208" s="50" t="n">
        <f aca="false">T208*'Model Inputs &amp; Assumptions'!$G$41*'Model Inputs &amp; Assumptions'!$H$41</f>
        <v>23593.09236962</v>
      </c>
      <c r="W208" s="50" t="n">
        <f aca="false">SUMIFS('Activation Detail'!$I$4:$I$4003,'Activation Detail'!$A$4:$A$4003,$A208,'Activation Detail'!$N$4:$N$4003,T$2)</f>
        <v>17132.084674</v>
      </c>
      <c r="X208" s="51" t="n">
        <f aca="false">IFERROR(V208/W208,0)</f>
        <v>1.37712910124857</v>
      </c>
      <c r="Y208" s="49" t="n">
        <f aca="false">IFERROR(W208/T208,0)</f>
        <v>115.283309209036</v>
      </c>
      <c r="Z208" s="48" t="n">
        <f aca="false">SUMIFS('Activation Detail'!$H$4:$H$4003,'Activation Detail'!$A$4:$A$4003,$A208,'Activation Detail'!$N$4:$N$4003,Z$2)</f>
        <v>379.859751182723</v>
      </c>
      <c r="AA208" s="50" t="n">
        <f aca="false">Z208*'Model Inputs &amp; Assumptions'!$D$42*'Model Inputs &amp; Assumptions'!$H$42</f>
        <v>2051242.65638671</v>
      </c>
      <c r="AB208" s="50" t="n">
        <f aca="false">Z208*'Model Inputs &amp; Assumptions'!$G$42*'Model Inputs &amp; Assumptions'!$H$42</f>
        <v>43076.0957841208</v>
      </c>
      <c r="AC208" s="50" t="n">
        <f aca="false">SUMIFS('Activation Detail'!$I$4:$I$4003,'Activation Detail'!$A$4:$A$4003,$A208,'Activation Detail'!$N$4:$N$4003,Z$2)</f>
        <v>36787.936</v>
      </c>
      <c r="AD208" s="51" t="n">
        <f aca="false">IFERROR(AB208/AC208,0)</f>
        <v>1.17092994247138</v>
      </c>
      <c r="AE208" s="49" t="n">
        <f aca="false">IFERROR(AC208/Z208,0)</f>
        <v>96.8461014504902</v>
      </c>
    </row>
    <row r="209" customFormat="false" ht="15" hidden="false" customHeight="false" outlineLevel="0" collapsed="false">
      <c r="A209" s="43" t="n">
        <v>206</v>
      </c>
      <c r="B209" s="45" t="n">
        <f aca="false">SUM('Activation Detail'!C209,'Activation Detail'!C709,'Activation Detail'!C1209,'Activation Detail'!C1709,'Activation Detail'!C2209,'Activation Detail'!C2709,'Activation Detail'!C3209,'Activation Detail'!C3709)</f>
        <v>5043669</v>
      </c>
      <c r="C209" s="45" t="n">
        <f aca="false">SUM('Activation Detail'!E209,'Activation Detail'!E709,'Activation Detail'!E1209,'Activation Detail'!E1709,'Activation Detail'!E2209,'Activation Detail'!E2709,'Activation Detail'!E3209,'Activation Detail'!E3709)</f>
        <v>393894</v>
      </c>
      <c r="D209" s="45" t="n">
        <f aca="false">SUM('Activation Detail'!G209,'Activation Detail'!G709,'Activation Detail'!G1209,'Activation Detail'!G1709,'Activation Detail'!G2209,'Activation Detail'!G2709,'Activation Detail'!G3209,'Activation Detail'!G3709)</f>
        <v>18996</v>
      </c>
      <c r="E209" s="48" t="n">
        <f aca="false">SUM('Activation Detail'!H209,'Activation Detail'!H709,'Activation Detail'!H1209,'Activation Detail'!H1709,'Activation Detail'!H2209,'Activation Detail'!H2709,'Activation Detail'!H3209,'Activation Detail'!H3709)</f>
        <v>719.225623728255</v>
      </c>
      <c r="F209" s="50" t="n">
        <f aca="false">SUM('Activation Detail'!I209,'Activation Detail'!I709,'Activation Detail'!I1209,'Activation Detail'!I1709,'Activation Detail'!I2209,'Activation Detail'!I2709,'Activation Detail'!I3209,'Activation Detail'!I3709)</f>
        <v>83563.668518</v>
      </c>
      <c r="G209" s="50" t="n">
        <f aca="false">SUM('Activation Detail'!J209,'Activation Detail'!J709,'Activation Detail'!J1209,'Activation Detail'!J1709,'Activation Detail'!J2209,'Activation Detail'!J2709,'Activation Detail'!J3209,'Activation Detail'!J3709)</f>
        <v>4453889.1163884</v>
      </c>
      <c r="H209" s="50" t="n">
        <f aca="false">SUM('Activation Detail'!K209,'Activation Detail'!K709,'Activation Detail'!K1209,'Activation Detail'!K1709,'Activation Detail'!K2209,'Activation Detail'!K2709,'Activation Detail'!K3209,'Activation Detail'!K3709)</f>
        <v>95898.1910772819</v>
      </c>
      <c r="I209" s="51" t="n">
        <f aca="false">IFERROR(H209/F209,0)</f>
        <v>1.14760628366411</v>
      </c>
      <c r="J209" s="49" t="n">
        <f aca="false">IFERROR(F209/E209,0)</f>
        <v>116.185610969796</v>
      </c>
      <c r="K209" s="46" t="n">
        <f aca="false">IFERROR(C209/B209,0)</f>
        <v>0.0780967188766749</v>
      </c>
      <c r="L209" s="47" t="n">
        <f aca="false">IFERROR(D209/B209,0)</f>
        <v>0.00376630583807145</v>
      </c>
      <c r="N209" s="48" t="n">
        <f aca="false">SUMIFS('Activation Detail'!$H$4:$H$4003,'Activation Detail'!$A$4:$A$4003,$A209,'Activation Detail'!$N$4:$N$4003,N$2)</f>
        <v>102.879664996412</v>
      </c>
      <c r="O209" s="50" t="n">
        <f aca="false">N209*'Model Inputs &amp; Assumptions'!$D$40*'Model Inputs &amp; Assumptions'!$H$40</f>
        <v>874477.152469504</v>
      </c>
      <c r="P209" s="50" t="n">
        <f aca="false">N209*'Model Inputs &amp; Assumptions'!$G$40*'Model Inputs &amp; Assumptions'!$H$40</f>
        <v>19675.7359305638</v>
      </c>
      <c r="Q209" s="50" t="n">
        <f aca="false">SUMIFS('Activation Detail'!$I$4:$I$4003,'Activation Detail'!$A$4:$A$4003,$A209,'Activation Detail'!$N$4:$N$4003,N$2)</f>
        <v>18634.44</v>
      </c>
      <c r="R209" s="51" t="n">
        <f aca="false">IFERROR(P209/Q209,0)</f>
        <v>1.05588018371166</v>
      </c>
      <c r="S209" s="49" t="n">
        <f aca="false">IFERROR(Q209/N209,0)</f>
        <v>181.128505819395</v>
      </c>
      <c r="T209" s="48" t="n">
        <f aca="false">SUMIFS('Activation Detail'!$H$4:$H$4003,'Activation Detail'!$A$4:$A$4003,$A209,'Activation Detail'!$N$4:$N$4003,T$2)</f>
        <v>139.524325981638</v>
      </c>
      <c r="U209" s="50" t="n">
        <f aca="false">T209*'Model Inputs &amp; Assumptions'!$D$41*'Model Inputs &amp; Assumptions'!$H$41</f>
        <v>1004575.14706779</v>
      </c>
      <c r="V209" s="50" t="n">
        <f aca="false">T209*'Model Inputs &amp; Assumptions'!$G$41*'Model Inputs &amp; Assumptions'!$H$41</f>
        <v>22150.8819928448</v>
      </c>
      <c r="W209" s="50" t="n">
        <f aca="false">SUMIFS('Activation Detail'!$I$4:$I$4003,'Activation Detail'!$A$4:$A$4003,$A209,'Activation Detail'!$N$4:$N$4003,T$2)</f>
        <v>17572.340518</v>
      </c>
      <c r="X209" s="51" t="n">
        <f aca="false">IFERROR(V209/W209,0)</f>
        <v>1.26055387841789</v>
      </c>
      <c r="Y209" s="49" t="n">
        <f aca="false">IFERROR(W209/T209,0)</f>
        <v>125.944636495235</v>
      </c>
      <c r="Z209" s="48" t="n">
        <f aca="false">SUMIFS('Activation Detail'!$H$4:$H$4003,'Activation Detail'!$A$4:$A$4003,$A209,'Activation Detail'!$N$4:$N$4003,Z$2)</f>
        <v>476.821632750205</v>
      </c>
      <c r="AA209" s="50" t="n">
        <f aca="false">Z209*'Model Inputs &amp; Assumptions'!$D$42*'Model Inputs &amp; Assumptions'!$H$42</f>
        <v>2574836.81685111</v>
      </c>
      <c r="AB209" s="50" t="n">
        <f aca="false">Z209*'Model Inputs &amp; Assumptions'!$G$42*'Model Inputs &amp; Assumptions'!$H$42</f>
        <v>54071.5731538733</v>
      </c>
      <c r="AC209" s="50" t="n">
        <f aca="false">SUMIFS('Activation Detail'!$I$4:$I$4003,'Activation Detail'!$A$4:$A$4003,$A209,'Activation Detail'!$N$4:$N$4003,Z$2)</f>
        <v>47356.888</v>
      </c>
      <c r="AD209" s="51" t="n">
        <f aca="false">IFERROR(AB209/AC209,0)</f>
        <v>1.14178898651181</v>
      </c>
      <c r="AE209" s="49" t="n">
        <f aca="false">IFERROR(AC209/Z209,0)</f>
        <v>99.3178260953799</v>
      </c>
    </row>
    <row r="210" customFormat="false" ht="15" hidden="false" customHeight="false" outlineLevel="0" collapsed="false">
      <c r="A210" s="43" t="n">
        <v>207</v>
      </c>
      <c r="B210" s="45" t="n">
        <f aca="false">SUM('Activation Detail'!C210,'Activation Detail'!C710,'Activation Detail'!C1210,'Activation Detail'!C1710,'Activation Detail'!C2210,'Activation Detail'!C2710,'Activation Detail'!C3210,'Activation Detail'!C3710)</f>
        <v>4276953</v>
      </c>
      <c r="C210" s="45" t="n">
        <f aca="false">SUM('Activation Detail'!E210,'Activation Detail'!E710,'Activation Detail'!E1210,'Activation Detail'!E1710,'Activation Detail'!E2210,'Activation Detail'!E2710,'Activation Detail'!E3210,'Activation Detail'!E3710)</f>
        <v>361449</v>
      </c>
      <c r="D210" s="45" t="n">
        <f aca="false">SUM('Activation Detail'!G210,'Activation Detail'!G710,'Activation Detail'!G1210,'Activation Detail'!G1710,'Activation Detail'!G2210,'Activation Detail'!G2710,'Activation Detail'!G3210,'Activation Detail'!G3710)</f>
        <v>13622</v>
      </c>
      <c r="E210" s="48" t="n">
        <f aca="false">SUM('Activation Detail'!H210,'Activation Detail'!H710,'Activation Detail'!H1210,'Activation Detail'!H1710,'Activation Detail'!H2210,'Activation Detail'!H2710,'Activation Detail'!H3210,'Activation Detail'!H3710)</f>
        <v>525.056265602035</v>
      </c>
      <c r="F210" s="50" t="n">
        <f aca="false">SUM('Activation Detail'!I210,'Activation Detail'!I710,'Activation Detail'!I1210,'Activation Detail'!I1710,'Activation Detail'!I2210,'Activation Detail'!I2710,'Activation Detail'!I3210,'Activation Detail'!I3710)</f>
        <v>76500.343738</v>
      </c>
      <c r="G210" s="50" t="n">
        <f aca="false">SUM('Activation Detail'!J210,'Activation Detail'!J710,'Activation Detail'!J1210,'Activation Detail'!J1710,'Activation Detail'!J2210,'Activation Detail'!J2710,'Activation Detail'!J3210,'Activation Detail'!J3710)</f>
        <v>3286063.29282423</v>
      </c>
      <c r="H210" s="50" t="n">
        <f aca="false">SUM('Activation Detail'!K210,'Activation Detail'!K710,'Activation Detail'!K1210,'Activation Detail'!K1710,'Activation Detail'!K2210,'Activation Detail'!K2710,'Activation Detail'!K3210,'Activation Detail'!K3710)</f>
        <v>70884.9358993383</v>
      </c>
      <c r="I210" s="51" t="n">
        <f aca="false">IFERROR(H210/F210,0)</f>
        <v>0.926596305790553</v>
      </c>
      <c r="J210" s="49" t="n">
        <f aca="false">IFERROR(F210/E210,0)</f>
        <v>145.699325481401</v>
      </c>
      <c r="K210" s="46" t="n">
        <f aca="false">IFERROR(C210/B210,0)</f>
        <v>0.0845108655624694</v>
      </c>
      <c r="L210" s="47" t="n">
        <f aca="false">IFERROR(D210/B210,0)</f>
        <v>0.00318497771661274</v>
      </c>
      <c r="N210" s="48" t="n">
        <f aca="false">SUMIFS('Activation Detail'!$H$4:$H$4003,'Activation Detail'!$A$4:$A$4003,$A210,'Activation Detail'!$N$4:$N$4003,N$2)</f>
        <v>57.7147258447262</v>
      </c>
      <c r="O210" s="50" t="n">
        <f aca="false">N210*'Model Inputs &amp; Assumptions'!$D$40*'Model Inputs &amp; Assumptions'!$H$40</f>
        <v>490575.169680173</v>
      </c>
      <c r="P210" s="50" t="n">
        <f aca="false">N210*'Model Inputs &amp; Assumptions'!$G$40*'Model Inputs &amp; Assumptions'!$H$40</f>
        <v>11037.9413178039</v>
      </c>
      <c r="Q210" s="50" t="n">
        <f aca="false">SUMIFS('Activation Detail'!$I$4:$I$4003,'Activation Detail'!$A$4:$A$4003,$A210,'Activation Detail'!$N$4:$N$4003,N$2)</f>
        <v>18661.0575</v>
      </c>
      <c r="R210" s="51" t="n">
        <f aca="false">IFERROR(P210/Q210,0)</f>
        <v>0.591496024156396</v>
      </c>
      <c r="S210" s="49" t="n">
        <f aca="false">IFERROR(Q210/N210,0)</f>
        <v>323.332688960614</v>
      </c>
      <c r="T210" s="48" t="n">
        <f aca="false">SUMIFS('Activation Detail'!$H$4:$H$4003,'Activation Detail'!$A$4:$A$4003,$A210,'Activation Detail'!$N$4:$N$4003,T$2)</f>
        <v>151.024338030326</v>
      </c>
      <c r="U210" s="50" t="n">
        <f aca="false">T210*'Model Inputs &amp; Assumptions'!$D$41*'Model Inputs &amp; Assumptions'!$H$41</f>
        <v>1087375.23381835</v>
      </c>
      <c r="V210" s="50" t="n">
        <f aca="false">T210*'Model Inputs &amp; Assumptions'!$G$41*'Model Inputs &amp; Assumptions'!$H$41</f>
        <v>23976.6239056946</v>
      </c>
      <c r="W210" s="50" t="n">
        <f aca="false">SUMIFS('Activation Detail'!$I$4:$I$4003,'Activation Detail'!$A$4:$A$4003,$A210,'Activation Detail'!$N$4:$N$4003,T$2)</f>
        <v>17629.754238</v>
      </c>
      <c r="X210" s="51" t="n">
        <f aca="false">IFERROR(V210/W210,0)</f>
        <v>1.36000897017692</v>
      </c>
      <c r="Y210" s="49" t="n">
        <f aca="false">IFERROR(W210/T210,0)</f>
        <v>116.734524169607</v>
      </c>
      <c r="Z210" s="48" t="n">
        <f aca="false">SUMIFS('Activation Detail'!$H$4:$H$4003,'Activation Detail'!$A$4:$A$4003,$A210,'Activation Detail'!$N$4:$N$4003,Z$2)</f>
        <v>316.317201726982</v>
      </c>
      <c r="AA210" s="50" t="n">
        <f aca="false">Z210*'Model Inputs &amp; Assumptions'!$D$42*'Model Inputs &amp; Assumptions'!$H$42</f>
        <v>1708112.8893257</v>
      </c>
      <c r="AB210" s="50" t="n">
        <f aca="false">Z210*'Model Inputs &amp; Assumptions'!$G$42*'Model Inputs &amp; Assumptions'!$H$42</f>
        <v>35870.3706758398</v>
      </c>
      <c r="AC210" s="50" t="n">
        <f aca="false">SUMIFS('Activation Detail'!$I$4:$I$4003,'Activation Detail'!$A$4:$A$4003,$A210,'Activation Detail'!$N$4:$N$4003,Z$2)</f>
        <v>40209.532</v>
      </c>
      <c r="AD210" s="51" t="n">
        <f aca="false">IFERROR(AB210/AC210,0)</f>
        <v>0.892086251484842</v>
      </c>
      <c r="AE210" s="49" t="n">
        <f aca="false">IFERROR(AC210/Z210,0)</f>
        <v>127.117753256762</v>
      </c>
    </row>
    <row r="211" customFormat="false" ht="15" hidden="false" customHeight="false" outlineLevel="0" collapsed="false">
      <c r="A211" s="43" t="n">
        <v>208</v>
      </c>
      <c r="B211" s="45" t="n">
        <f aca="false">SUM('Activation Detail'!C211,'Activation Detail'!C711,'Activation Detail'!C1211,'Activation Detail'!C1711,'Activation Detail'!C2211,'Activation Detail'!C2711,'Activation Detail'!C3211,'Activation Detail'!C3711)</f>
        <v>5201696</v>
      </c>
      <c r="C211" s="45" t="n">
        <f aca="false">SUM('Activation Detail'!E211,'Activation Detail'!E711,'Activation Detail'!E1211,'Activation Detail'!E1711,'Activation Detail'!E2211,'Activation Detail'!E2711,'Activation Detail'!E3211,'Activation Detail'!E3711)</f>
        <v>467621</v>
      </c>
      <c r="D211" s="45" t="n">
        <f aca="false">SUM('Activation Detail'!G211,'Activation Detail'!G711,'Activation Detail'!G1211,'Activation Detail'!G1711,'Activation Detail'!G2211,'Activation Detail'!G2711,'Activation Detail'!G3211,'Activation Detail'!G3711)</f>
        <v>19632</v>
      </c>
      <c r="E211" s="48" t="n">
        <f aca="false">SUM('Activation Detail'!H211,'Activation Detail'!H711,'Activation Detail'!H1211,'Activation Detail'!H1711,'Activation Detail'!H2211,'Activation Detail'!H2711,'Activation Detail'!H3211,'Activation Detail'!H3711)</f>
        <v>887.999156159763</v>
      </c>
      <c r="F211" s="50" t="n">
        <f aca="false">SUM('Activation Detail'!I211,'Activation Detail'!I711,'Activation Detail'!I1211,'Activation Detail'!I1711,'Activation Detail'!I2211,'Activation Detail'!I2711,'Activation Detail'!I3211,'Activation Detail'!I3711)</f>
        <v>86556.424154</v>
      </c>
      <c r="G211" s="50" t="n">
        <f aca="false">SUM('Activation Detail'!J211,'Activation Detail'!J711,'Activation Detail'!J1211,'Activation Detail'!J1711,'Activation Detail'!J2211,'Activation Detail'!J2711,'Activation Detail'!J3211,'Activation Detail'!J3711)</f>
        <v>5270274.60657197</v>
      </c>
      <c r="H211" s="50" t="n">
        <f aca="false">SUM('Activation Detail'!K211,'Activation Detail'!K711,'Activation Detail'!K1211,'Activation Detail'!K1711,'Activation Detail'!K2211,'Activation Detail'!K2711,'Activation Detail'!K3211,'Activation Detail'!K3711)</f>
        <v>112653.035339485</v>
      </c>
      <c r="I211" s="51" t="n">
        <f aca="false">IFERROR(H211/F211,0)</f>
        <v>1.30149825897445</v>
      </c>
      <c r="J211" s="49" t="n">
        <f aca="false">IFERROR(F211/E211,0)</f>
        <v>97.4735432501102</v>
      </c>
      <c r="K211" s="46" t="n">
        <f aca="false">IFERROR(C211/B211,0)</f>
        <v>0.0898977948730568</v>
      </c>
      <c r="L211" s="47" t="n">
        <f aca="false">IFERROR(D211/B211,0)</f>
        <v>0.00377415366065222</v>
      </c>
      <c r="N211" s="48" t="n">
        <f aca="false">SUMIFS('Activation Detail'!$H$4:$H$4003,'Activation Detail'!$A$4:$A$4003,$A211,'Activation Detail'!$N$4:$N$4003,N$2)</f>
        <v>66.9032756478367</v>
      </c>
      <c r="O211" s="50" t="n">
        <f aca="false">N211*'Model Inputs &amp; Assumptions'!$D$40*'Model Inputs &amp; Assumptions'!$H$40</f>
        <v>568677.843006612</v>
      </c>
      <c r="P211" s="50" t="n">
        <f aca="false">N211*'Model Inputs &amp; Assumptions'!$G$40*'Model Inputs &amp; Assumptions'!$H$40</f>
        <v>12795.2514676488</v>
      </c>
      <c r="Q211" s="50" t="n">
        <f aca="false">SUMIFS('Activation Detail'!$I$4:$I$4003,'Activation Detail'!$A$4:$A$4003,$A211,'Activation Detail'!$N$4:$N$4003,N$2)</f>
        <v>18707.7925</v>
      </c>
      <c r="R211" s="51" t="n">
        <f aca="false">IFERROR(P211/Q211,0)</f>
        <v>0.683953035487686</v>
      </c>
      <c r="S211" s="49" t="n">
        <f aca="false">IFERROR(Q211/N211,0)</f>
        <v>279.624462611868</v>
      </c>
      <c r="T211" s="48" t="n">
        <f aca="false">SUMIFS('Activation Detail'!$H$4:$H$4003,'Activation Detail'!$A$4:$A$4003,$A211,'Activation Detail'!$N$4:$N$4003,T$2)</f>
        <v>148.710560444974</v>
      </c>
      <c r="U211" s="50" t="n">
        <f aca="false">T211*'Model Inputs &amp; Assumptions'!$D$41*'Model Inputs &amp; Assumptions'!$H$41</f>
        <v>1070716.03520381</v>
      </c>
      <c r="V211" s="50" t="n">
        <f aca="false">T211*'Model Inputs &amp; Assumptions'!$G$41*'Model Inputs &amp; Assumptions'!$H$41</f>
        <v>23609.2885762441</v>
      </c>
      <c r="W211" s="50" t="n">
        <f aca="false">SUMIFS('Activation Detail'!$I$4:$I$4003,'Activation Detail'!$A$4:$A$4003,$A211,'Activation Detail'!$N$4:$N$4003,T$2)</f>
        <v>18859.803654</v>
      </c>
      <c r="X211" s="51" t="n">
        <f aca="false">IFERROR(V211/W211,0)</f>
        <v>1.25183109057643</v>
      </c>
      <c r="Y211" s="49" t="n">
        <f aca="false">IFERROR(W211/T211,0)</f>
        <v>126.822221620088</v>
      </c>
      <c r="Z211" s="48" t="n">
        <f aca="false">SUMIFS('Activation Detail'!$H$4:$H$4003,'Activation Detail'!$A$4:$A$4003,$A211,'Activation Detail'!$N$4:$N$4003,Z$2)</f>
        <v>672.385320066952</v>
      </c>
      <c r="AA211" s="50" t="n">
        <f aca="false">Z211*'Model Inputs &amp; Assumptions'!$D$42*'Model Inputs &amp; Assumptions'!$H$42</f>
        <v>3630880.72836154</v>
      </c>
      <c r="AB211" s="50" t="n">
        <f aca="false">Z211*'Model Inputs &amp; Assumptions'!$G$42*'Model Inputs &amp; Assumptions'!$H$42</f>
        <v>76248.4952955923</v>
      </c>
      <c r="AC211" s="50" t="n">
        <f aca="false">SUMIFS('Activation Detail'!$I$4:$I$4003,'Activation Detail'!$A$4:$A$4003,$A211,'Activation Detail'!$N$4:$N$4003,Z$2)</f>
        <v>48988.828</v>
      </c>
      <c r="AD211" s="51" t="n">
        <f aca="false">IFERROR(AB211/AC211,0)</f>
        <v>1.55644661055358</v>
      </c>
      <c r="AE211" s="49" t="n">
        <f aca="false">IFERROR(AC211/Z211,0)</f>
        <v>72.8582652505293</v>
      </c>
    </row>
    <row r="212" customFormat="false" ht="15" hidden="false" customHeight="false" outlineLevel="0" collapsed="false">
      <c r="A212" s="43" t="n">
        <v>209</v>
      </c>
      <c r="B212" s="45" t="n">
        <f aca="false">SUM('Activation Detail'!C212,'Activation Detail'!C712,'Activation Detail'!C1212,'Activation Detail'!C1712,'Activation Detail'!C2212,'Activation Detail'!C2712,'Activation Detail'!C3212,'Activation Detail'!C3712)</f>
        <v>4284751</v>
      </c>
      <c r="C212" s="45" t="n">
        <f aca="false">SUM('Activation Detail'!E212,'Activation Detail'!E712,'Activation Detail'!E1212,'Activation Detail'!E1712,'Activation Detail'!E2212,'Activation Detail'!E2712,'Activation Detail'!E3212,'Activation Detail'!E3712)</f>
        <v>557303</v>
      </c>
      <c r="D212" s="45" t="n">
        <f aca="false">SUM('Activation Detail'!G212,'Activation Detail'!G712,'Activation Detail'!G1212,'Activation Detail'!G1712,'Activation Detail'!G2212,'Activation Detail'!G2712,'Activation Detail'!G3212,'Activation Detail'!G3712)</f>
        <v>14042</v>
      </c>
      <c r="E212" s="48" t="n">
        <f aca="false">SUM('Activation Detail'!H212,'Activation Detail'!H712,'Activation Detail'!H1212,'Activation Detail'!H1712,'Activation Detail'!H2212,'Activation Detail'!H2712,'Activation Detail'!H3212,'Activation Detail'!H3712)</f>
        <v>602.030328995987</v>
      </c>
      <c r="F212" s="50" t="n">
        <f aca="false">SUM('Activation Detail'!I212,'Activation Detail'!I712,'Activation Detail'!I1212,'Activation Detail'!I1712,'Activation Detail'!I2212,'Activation Detail'!I2712,'Activation Detail'!I3212,'Activation Detail'!I3712)</f>
        <v>78047.86405</v>
      </c>
      <c r="G212" s="50" t="n">
        <f aca="false">SUM('Activation Detail'!J212,'Activation Detail'!J712,'Activation Detail'!J1212,'Activation Detail'!J1712,'Activation Detail'!J2212,'Activation Detail'!J2712,'Activation Detail'!J3212,'Activation Detail'!J3712)</f>
        <v>4131447.97596152</v>
      </c>
      <c r="H212" s="50" t="n">
        <f aca="false">SUM('Activation Detail'!K212,'Activation Detail'!K712,'Activation Detail'!K1212,'Activation Detail'!K1712,'Activation Detail'!K2212,'Activation Detail'!K2712,'Activation Detail'!K3212,'Activation Detail'!K3712)</f>
        <v>90427.6581733672</v>
      </c>
      <c r="I212" s="51" t="n">
        <f aca="false">IFERROR(H212/F212,0)</f>
        <v>1.1586179746756</v>
      </c>
      <c r="J212" s="49" t="n">
        <f aca="false">IFERROR(F212/E212,0)</f>
        <v>129.641083332398</v>
      </c>
      <c r="K212" s="46" t="n">
        <f aca="false">IFERROR(C212/B212,0)</f>
        <v>0.130066601303086</v>
      </c>
      <c r="L212" s="47" t="n">
        <f aca="false">IFERROR(D212/B212,0)</f>
        <v>0.00327720327272227</v>
      </c>
      <c r="N212" s="48" t="n">
        <f aca="false">SUMIFS('Activation Detail'!$H$4:$H$4003,'Activation Detail'!$A$4:$A$4003,$A212,'Activation Detail'!$N$4:$N$4003,N$2)</f>
        <v>114.010960126029</v>
      </c>
      <c r="O212" s="50" t="n">
        <f aca="false">N212*'Model Inputs &amp; Assumptions'!$D$40*'Model Inputs &amp; Assumptions'!$H$40</f>
        <v>969093.161071247</v>
      </c>
      <c r="P212" s="50" t="n">
        <f aca="false">N212*'Model Inputs &amp; Assumptions'!$G$40*'Model Inputs &amp; Assumptions'!$H$40</f>
        <v>21804.5961241031</v>
      </c>
      <c r="Q212" s="50" t="n">
        <f aca="false">SUMIFS('Activation Detail'!$I$4:$I$4003,'Activation Detail'!$A$4:$A$4003,$A212,'Activation Detail'!$N$4:$N$4003,N$2)</f>
        <v>17747.9635</v>
      </c>
      <c r="R212" s="51" t="n">
        <f aca="false">IFERROR(P212/Q212,0)</f>
        <v>1.22856890730607</v>
      </c>
      <c r="S212" s="49" t="n">
        <f aca="false">IFERROR(Q212/N212,0)</f>
        <v>155.668924113797</v>
      </c>
      <c r="T212" s="48" t="n">
        <f aca="false">SUMIFS('Activation Detail'!$H$4:$H$4003,'Activation Detail'!$A$4:$A$4003,$A212,'Activation Detail'!$N$4:$N$4003,T$2)</f>
        <v>292.805679440275</v>
      </c>
      <c r="U212" s="50" t="n">
        <f aca="false">T212*'Model Inputs &amp; Assumptions'!$D$41*'Model Inputs &amp; Assumptions'!$H$41</f>
        <v>2108200.89196998</v>
      </c>
      <c r="V212" s="50" t="n">
        <f aca="false">T212*'Model Inputs &amp; Assumptions'!$G$41*'Model Inputs &amp; Assumptions'!$H$41</f>
        <v>46485.8296679381</v>
      </c>
      <c r="W212" s="50" t="n">
        <f aca="false">SUMIFS('Activation Detail'!$I$4:$I$4003,'Activation Detail'!$A$4:$A$4003,$A212,'Activation Detail'!$N$4:$N$4003,T$2)</f>
        <v>19251.90455</v>
      </c>
      <c r="X212" s="51" t="n">
        <f aca="false">IFERROR(V212/W212,0)</f>
        <v>2.41460939862898</v>
      </c>
      <c r="Y212" s="49" t="n">
        <f aca="false">IFERROR(W212/T212,0)</f>
        <v>65.7497647818914</v>
      </c>
      <c r="Z212" s="48" t="n">
        <f aca="false">SUMIFS('Activation Detail'!$H$4:$H$4003,'Activation Detail'!$A$4:$A$4003,$A212,'Activation Detail'!$N$4:$N$4003,Z$2)</f>
        <v>195.213689429683</v>
      </c>
      <c r="AA212" s="50" t="n">
        <f aca="false">Z212*'Model Inputs &amp; Assumptions'!$D$42*'Model Inputs &amp; Assumptions'!$H$42</f>
        <v>1054153.92292029</v>
      </c>
      <c r="AB212" s="50" t="n">
        <f aca="false">Z212*'Model Inputs &amp; Assumptions'!$G$42*'Model Inputs &amp; Assumptions'!$H$42</f>
        <v>22137.232381326</v>
      </c>
      <c r="AC212" s="50" t="n">
        <f aca="false">SUMIFS('Activation Detail'!$I$4:$I$4003,'Activation Detail'!$A$4:$A$4003,$A212,'Activation Detail'!$N$4:$N$4003,Z$2)</f>
        <v>41047.996</v>
      </c>
      <c r="AD212" s="51" t="n">
        <f aca="false">IFERROR(AB212/AC212,0)</f>
        <v>0.539301172737544</v>
      </c>
      <c r="AE212" s="49" t="n">
        <f aca="false">IFERROR(AC212/Z212,0)</f>
        <v>210.272118312613</v>
      </c>
    </row>
    <row r="213" customFormat="false" ht="15" hidden="false" customHeight="false" outlineLevel="0" collapsed="false">
      <c r="A213" s="43" t="n">
        <v>210</v>
      </c>
      <c r="B213" s="45" t="n">
        <f aca="false">SUM('Activation Detail'!C213,'Activation Detail'!C713,'Activation Detail'!C1213,'Activation Detail'!C1713,'Activation Detail'!C2213,'Activation Detail'!C2713,'Activation Detail'!C3213,'Activation Detail'!C3713)</f>
        <v>4362524</v>
      </c>
      <c r="C213" s="45" t="n">
        <f aca="false">SUM('Activation Detail'!E213,'Activation Detail'!E713,'Activation Detail'!E1213,'Activation Detail'!E1713,'Activation Detail'!E2213,'Activation Detail'!E2713,'Activation Detail'!E3213,'Activation Detail'!E3713)</f>
        <v>733986</v>
      </c>
      <c r="D213" s="45" t="n">
        <f aca="false">SUM('Activation Detail'!G213,'Activation Detail'!G713,'Activation Detail'!G1213,'Activation Detail'!G1713,'Activation Detail'!G2213,'Activation Detail'!G2713,'Activation Detail'!G3213,'Activation Detail'!G3713)</f>
        <v>20654</v>
      </c>
      <c r="E213" s="48" t="n">
        <f aca="false">SUM('Activation Detail'!H213,'Activation Detail'!H713,'Activation Detail'!H1213,'Activation Detail'!H1713,'Activation Detail'!H2213,'Activation Detail'!H2713,'Activation Detail'!H3213,'Activation Detail'!H3713)</f>
        <v>776.812935277306</v>
      </c>
      <c r="F213" s="50" t="n">
        <f aca="false">SUM('Activation Detail'!I213,'Activation Detail'!I713,'Activation Detail'!I1213,'Activation Detail'!I1713,'Activation Detail'!I2213,'Activation Detail'!I2713,'Activation Detail'!I3213,'Activation Detail'!I3713)</f>
        <v>83109.661682</v>
      </c>
      <c r="G213" s="50" t="n">
        <f aca="false">SUM('Activation Detail'!J213,'Activation Detail'!J713,'Activation Detail'!J1213,'Activation Detail'!J1713,'Activation Detail'!J2213,'Activation Detail'!J2713,'Activation Detail'!J3213,'Activation Detail'!J3713)</f>
        <v>4802134.48759161</v>
      </c>
      <c r="H213" s="50" t="n">
        <f aca="false">SUM('Activation Detail'!K213,'Activation Detail'!K713,'Activation Detail'!K1213,'Activation Detail'!K1713,'Activation Detail'!K2213,'Activation Detail'!K2713,'Activation Detail'!K3213,'Activation Detail'!K3713)</f>
        <v>103369.931934344</v>
      </c>
      <c r="I213" s="51" t="n">
        <f aca="false">IFERROR(H213/F213,0)</f>
        <v>1.24377755657177</v>
      </c>
      <c r="J213" s="49" t="n">
        <f aca="false">IFERROR(F213/E213,0)</f>
        <v>106.987999179406</v>
      </c>
      <c r="K213" s="46" t="n">
        <f aca="false">IFERROR(C213/B213,0)</f>
        <v>0.168248014222959</v>
      </c>
      <c r="L213" s="47" t="n">
        <f aca="false">IFERROR(D213/B213,0)</f>
        <v>0.00473441521467848</v>
      </c>
      <c r="N213" s="48" t="n">
        <f aca="false">SUMIFS('Activation Detail'!$H$4:$H$4003,'Activation Detail'!$A$4:$A$4003,$A213,'Activation Detail'!$N$4:$N$4003,N$2)</f>
        <v>95.3325217598042</v>
      </c>
      <c r="O213" s="50" t="n">
        <f aca="false">N213*'Model Inputs &amp; Assumptions'!$D$40*'Model Inputs &amp; Assumptions'!$H$40</f>
        <v>810326.434958336</v>
      </c>
      <c r="P213" s="50" t="n">
        <f aca="false">N213*'Model Inputs &amp; Assumptions'!$G$40*'Model Inputs &amp; Assumptions'!$H$40</f>
        <v>18232.3447865626</v>
      </c>
      <c r="Q213" s="50" t="n">
        <f aca="false">SUMIFS('Activation Detail'!$I$4:$I$4003,'Activation Detail'!$A$4:$A$4003,$A213,'Activation Detail'!$N$4:$N$4003,N$2)</f>
        <v>18542.062</v>
      </c>
      <c r="R213" s="51" t="n">
        <f aca="false">IFERROR(P213/Q213,0)</f>
        <v>0.983296506427524</v>
      </c>
      <c r="S213" s="49" t="n">
        <f aca="false">IFERROR(Q213/N213,0)</f>
        <v>194.49880961628</v>
      </c>
      <c r="T213" s="48" t="n">
        <f aca="false">SUMIFS('Activation Detail'!$H$4:$H$4003,'Activation Detail'!$A$4:$A$4003,$A213,'Activation Detail'!$N$4:$N$4003,T$2)</f>
        <v>173.229899799314</v>
      </c>
      <c r="U213" s="50" t="n">
        <f aca="false">T213*'Model Inputs &amp; Assumptions'!$D$41*'Model Inputs &amp; Assumptions'!$H$41</f>
        <v>1247255.27855506</v>
      </c>
      <c r="V213" s="50" t="n">
        <f aca="false">T213*'Model Inputs &amp; Assumptions'!$G$41*'Model Inputs &amp; Assumptions'!$H$41</f>
        <v>27501.9788921392</v>
      </c>
      <c r="W213" s="50" t="n">
        <f aca="false">SUMIFS('Activation Detail'!$I$4:$I$4003,'Activation Detail'!$A$4:$A$4003,$A213,'Activation Detail'!$N$4:$N$4003,T$2)</f>
        <v>23334.287682</v>
      </c>
      <c r="X213" s="51" t="n">
        <f aca="false">IFERROR(V213/W213,0)</f>
        <v>1.1786080323915</v>
      </c>
      <c r="Y213" s="49" t="n">
        <f aca="false">IFERROR(W213/T213,0)</f>
        <v>134.701271022108</v>
      </c>
      <c r="Z213" s="48" t="n">
        <f aca="false">SUMIFS('Activation Detail'!$H$4:$H$4003,'Activation Detail'!$A$4:$A$4003,$A213,'Activation Detail'!$N$4:$N$4003,Z$2)</f>
        <v>508.250513718187</v>
      </c>
      <c r="AA213" s="50" t="n">
        <f aca="false">Z213*'Model Inputs &amp; Assumptions'!$D$42*'Model Inputs &amp; Assumptions'!$H$42</f>
        <v>2744552.77407821</v>
      </c>
      <c r="AB213" s="50" t="n">
        <f aca="false">Z213*'Model Inputs &amp; Assumptions'!$G$42*'Model Inputs &amp; Assumptions'!$H$42</f>
        <v>57635.6082556424</v>
      </c>
      <c r="AC213" s="50" t="n">
        <f aca="false">SUMIFS('Activation Detail'!$I$4:$I$4003,'Activation Detail'!$A$4:$A$4003,$A213,'Activation Detail'!$N$4:$N$4003,Z$2)</f>
        <v>41233.312</v>
      </c>
      <c r="AD213" s="51" t="n">
        <f aca="false">IFERROR(AB213/AC213,0)</f>
        <v>1.39779235428972</v>
      </c>
      <c r="AE213" s="49" t="n">
        <f aca="false">IFERROR(AC213/Z213,0)</f>
        <v>81.1279298044407</v>
      </c>
    </row>
    <row r="214" customFormat="false" ht="15" hidden="false" customHeight="false" outlineLevel="0" collapsed="false">
      <c r="A214" s="43" t="n">
        <v>211</v>
      </c>
      <c r="B214" s="45" t="n">
        <f aca="false">SUM('Activation Detail'!C214,'Activation Detail'!C714,'Activation Detail'!C1214,'Activation Detail'!C1714,'Activation Detail'!C2214,'Activation Detail'!C2714,'Activation Detail'!C3214,'Activation Detail'!C3714)</f>
        <v>4338146</v>
      </c>
      <c r="C214" s="45" t="n">
        <f aca="false">SUM('Activation Detail'!E214,'Activation Detail'!E714,'Activation Detail'!E1214,'Activation Detail'!E1714,'Activation Detail'!E2214,'Activation Detail'!E2714,'Activation Detail'!E3214,'Activation Detail'!E3714)</f>
        <v>377825</v>
      </c>
      <c r="D214" s="45" t="n">
        <f aca="false">SUM('Activation Detail'!G214,'Activation Detail'!G714,'Activation Detail'!G1214,'Activation Detail'!G1714,'Activation Detail'!G2214,'Activation Detail'!G2714,'Activation Detail'!G3214,'Activation Detail'!G3714)</f>
        <v>17875</v>
      </c>
      <c r="E214" s="48" t="n">
        <f aca="false">SUM('Activation Detail'!H214,'Activation Detail'!H714,'Activation Detail'!H1214,'Activation Detail'!H1714,'Activation Detail'!H2214,'Activation Detail'!H2714,'Activation Detail'!H3214,'Activation Detail'!H3714)</f>
        <v>860.784479018835</v>
      </c>
      <c r="F214" s="50" t="n">
        <f aca="false">SUM('Activation Detail'!I214,'Activation Detail'!I714,'Activation Detail'!I1214,'Activation Detail'!I1714,'Activation Detail'!I2214,'Activation Detail'!I2714,'Activation Detail'!I3214,'Activation Detail'!I3714)</f>
        <v>86199.718972</v>
      </c>
      <c r="G214" s="50" t="n">
        <f aca="false">SUM('Activation Detail'!J214,'Activation Detail'!J714,'Activation Detail'!J1214,'Activation Detail'!J1714,'Activation Detail'!J2214,'Activation Detail'!J2714,'Activation Detail'!J3214,'Activation Detail'!J3714)</f>
        <v>5430687.46451504</v>
      </c>
      <c r="H214" s="50" t="n">
        <f aca="false">SUM('Activation Detail'!K214,'Activation Detail'!K714,'Activation Detail'!K1214,'Activation Detail'!K1714,'Activation Detail'!K2214,'Activation Detail'!K2714,'Activation Detail'!K3214,'Activation Detail'!K3714)</f>
        <v>117299.834170098</v>
      </c>
      <c r="I214" s="51" t="n">
        <f aca="false">IFERROR(H214/F214,0)</f>
        <v>1.36079137576075</v>
      </c>
      <c r="J214" s="49" t="n">
        <f aca="false">IFERROR(F214/E214,0)</f>
        <v>100.140884359642</v>
      </c>
      <c r="K214" s="46" t="n">
        <f aca="false">IFERROR(C214/B214,0)</f>
        <v>0.0870936570599514</v>
      </c>
      <c r="L214" s="47" t="n">
        <f aca="false">IFERROR(D214/B214,0)</f>
        <v>0.00412042379394331</v>
      </c>
      <c r="N214" s="48" t="n">
        <f aca="false">SUMIFS('Activation Detail'!$H$4:$H$4003,'Activation Detail'!$A$4:$A$4003,$A214,'Activation Detail'!$N$4:$N$4003,N$2)</f>
        <v>114.436857533464</v>
      </c>
      <c r="O214" s="50" t="n">
        <f aca="false">N214*'Model Inputs &amp; Assumptions'!$D$40*'Model Inputs &amp; Assumptions'!$H$40</f>
        <v>972713.289034446</v>
      </c>
      <c r="P214" s="50" t="n">
        <f aca="false">N214*'Model Inputs &amp; Assumptions'!$G$40*'Model Inputs &amp; Assumptions'!$H$40</f>
        <v>21886.049003275</v>
      </c>
      <c r="Q214" s="50" t="n">
        <f aca="false">SUMIFS('Activation Detail'!$I$4:$I$4003,'Activation Detail'!$A$4:$A$4003,$A214,'Activation Detail'!$N$4:$N$4003,N$2)</f>
        <v>17442.392</v>
      </c>
      <c r="R214" s="51" t="n">
        <f aca="false">IFERROR(P214/Q214,0)</f>
        <v>1.25476190440365</v>
      </c>
      <c r="S214" s="49" t="n">
        <f aca="false">IFERROR(Q214/N214,0)</f>
        <v>152.419354882228</v>
      </c>
      <c r="T214" s="48" t="n">
        <f aca="false">SUMIFS('Activation Detail'!$H$4:$H$4003,'Activation Detail'!$A$4:$A$4003,$A214,'Activation Detail'!$N$4:$N$4003,T$2)</f>
        <v>237.609455255328</v>
      </c>
      <c r="U214" s="50" t="n">
        <f aca="false">T214*'Model Inputs &amp; Assumptions'!$D$41*'Model Inputs &amp; Assumptions'!$H$41</f>
        <v>1710788.07783836</v>
      </c>
      <c r="V214" s="50" t="n">
        <f aca="false">T214*'Model Inputs &amp; Assumptions'!$G$41*'Model Inputs &amp; Assumptions'!$H$41</f>
        <v>37722.8771163358</v>
      </c>
      <c r="W214" s="50" t="n">
        <f aca="false">SUMIFS('Activation Detail'!$I$4:$I$4003,'Activation Detail'!$A$4:$A$4003,$A214,'Activation Detail'!$N$4:$N$4003,T$2)</f>
        <v>19758.694972</v>
      </c>
      <c r="X214" s="51" t="n">
        <f aca="false">IFERROR(V214/W214,0)</f>
        <v>1.90917857529522</v>
      </c>
      <c r="Y214" s="49" t="n">
        <f aca="false">IFERROR(W214/T214,0)</f>
        <v>83.1561814354901</v>
      </c>
      <c r="Z214" s="48" t="n">
        <f aca="false">SUMIFS('Activation Detail'!$H$4:$H$4003,'Activation Detail'!$A$4:$A$4003,$A214,'Activation Detail'!$N$4:$N$4003,Z$2)</f>
        <v>508.738166230043</v>
      </c>
      <c r="AA214" s="50" t="n">
        <f aca="false">Z214*'Model Inputs &amp; Assumptions'!$D$42*'Model Inputs &amp; Assumptions'!$H$42</f>
        <v>2747186.09764223</v>
      </c>
      <c r="AB214" s="50" t="n">
        <f aca="false">Z214*'Model Inputs &amp; Assumptions'!$G$42*'Model Inputs &amp; Assumptions'!$H$42</f>
        <v>57690.9080504869</v>
      </c>
      <c r="AC214" s="50" t="n">
        <f aca="false">SUMIFS('Activation Detail'!$I$4:$I$4003,'Activation Detail'!$A$4:$A$4003,$A214,'Activation Detail'!$N$4:$N$4003,Z$2)</f>
        <v>48998.632</v>
      </c>
      <c r="AD214" s="51" t="n">
        <f aca="false">IFERROR(AB214/AC214,0)</f>
        <v>1.17739834145751</v>
      </c>
      <c r="AE214" s="49" t="n">
        <f aca="false">IFERROR(AC214/Z214,0)</f>
        <v>96.3140476821305</v>
      </c>
    </row>
    <row r="215" customFormat="false" ht="15" hidden="false" customHeight="false" outlineLevel="0" collapsed="false">
      <c r="A215" s="43" t="n">
        <v>212</v>
      </c>
      <c r="B215" s="45" t="n">
        <f aca="false">SUM('Activation Detail'!C215,'Activation Detail'!C715,'Activation Detail'!C1215,'Activation Detail'!C1715,'Activation Detail'!C2215,'Activation Detail'!C2715,'Activation Detail'!C3215,'Activation Detail'!C3715)</f>
        <v>5068732</v>
      </c>
      <c r="C215" s="45" t="n">
        <f aca="false">SUM('Activation Detail'!E215,'Activation Detail'!E715,'Activation Detail'!E1215,'Activation Detail'!E1715,'Activation Detail'!E2215,'Activation Detail'!E2715,'Activation Detail'!E3215,'Activation Detail'!E3715)</f>
        <v>273246</v>
      </c>
      <c r="D215" s="45" t="n">
        <f aca="false">SUM('Activation Detail'!G215,'Activation Detail'!G715,'Activation Detail'!G1215,'Activation Detail'!G1715,'Activation Detail'!G2215,'Activation Detail'!G2715,'Activation Detail'!G3215,'Activation Detail'!G3715)</f>
        <v>20523</v>
      </c>
      <c r="E215" s="48" t="n">
        <f aca="false">SUM('Activation Detail'!H215,'Activation Detail'!H715,'Activation Detail'!H1215,'Activation Detail'!H1715,'Activation Detail'!H2215,'Activation Detail'!H2715,'Activation Detail'!H3215,'Activation Detail'!H3715)</f>
        <v>932.523278942462</v>
      </c>
      <c r="F215" s="50" t="n">
        <f aca="false">SUM('Activation Detail'!I215,'Activation Detail'!I715,'Activation Detail'!I1215,'Activation Detail'!I1715,'Activation Detail'!I2215,'Activation Detail'!I2715,'Activation Detail'!I3215,'Activation Detail'!I3715)</f>
        <v>70827.548548</v>
      </c>
      <c r="G215" s="50" t="n">
        <f aca="false">SUM('Activation Detail'!J215,'Activation Detail'!J715,'Activation Detail'!J1215,'Activation Detail'!J1715,'Activation Detail'!J2215,'Activation Detail'!J2715,'Activation Detail'!J3215,'Activation Detail'!J3715)</f>
        <v>5496914.63676832</v>
      </c>
      <c r="H215" s="50" t="n">
        <f aca="false">SUM('Activation Detail'!K215,'Activation Detail'!K715,'Activation Detail'!K1215,'Activation Detail'!K1715,'Activation Detail'!K2215,'Activation Detail'!K2715,'Activation Detail'!K3215,'Activation Detail'!K3715)</f>
        <v>117350.142032806</v>
      </c>
      <c r="I215" s="51" t="n">
        <f aca="false">IFERROR(H215/F215,0)</f>
        <v>1.65684319785933</v>
      </c>
      <c r="J215" s="49" t="n">
        <f aca="false">IFERROR(F215/E215,0)</f>
        <v>75.9525795734802</v>
      </c>
      <c r="K215" s="46" t="n">
        <f aca="false">IFERROR(C215/B215,0)</f>
        <v>0.0539081569118273</v>
      </c>
      <c r="L215" s="47" t="n">
        <f aca="false">IFERROR(D215/B215,0)</f>
        <v>0.00404894162879395</v>
      </c>
      <c r="N215" s="48" t="n">
        <f aca="false">SUMIFS('Activation Detail'!$H$4:$H$4003,'Activation Detail'!$A$4:$A$4003,$A215,'Activation Detail'!$N$4:$N$4003,N$2)</f>
        <v>83.2549901516509</v>
      </c>
      <c r="O215" s="50" t="n">
        <f aca="false">N215*'Model Inputs &amp; Assumptions'!$D$40*'Model Inputs &amp; Assumptions'!$H$40</f>
        <v>707667.416289033</v>
      </c>
      <c r="P215" s="50" t="n">
        <f aca="false">N215*'Model Inputs &amp; Assumptions'!$G$40*'Model Inputs &amp; Assumptions'!$H$40</f>
        <v>15922.5168665032</v>
      </c>
      <c r="Q215" s="50" t="n">
        <f aca="false">SUMIFS('Activation Detail'!$I$4:$I$4003,'Activation Detail'!$A$4:$A$4003,$A215,'Activation Detail'!$N$4:$N$4003,N$2)</f>
        <v>18158.2175</v>
      </c>
      <c r="R215" s="51" t="n">
        <f aca="false">IFERROR(P215/Q215,0)</f>
        <v>0.876876646427615</v>
      </c>
      <c r="S215" s="49" t="n">
        <f aca="false">IFERROR(Q215/N215,0)</f>
        <v>218.103653209548</v>
      </c>
      <c r="T215" s="48" t="n">
        <f aca="false">SUMIFS('Activation Detail'!$H$4:$H$4003,'Activation Detail'!$A$4:$A$4003,$A215,'Activation Detail'!$N$4:$N$4003,T$2)</f>
        <v>112.888033893835</v>
      </c>
      <c r="U215" s="50" t="n">
        <f aca="false">T215*'Model Inputs &amp; Assumptions'!$D$41*'Model Inputs &amp; Assumptions'!$H$41</f>
        <v>812793.84403561</v>
      </c>
      <c r="V215" s="50" t="n">
        <f aca="false">T215*'Model Inputs &amp; Assumptions'!$G$41*'Model Inputs &amp; Assumptions'!$H$41</f>
        <v>17922.1042609852</v>
      </c>
      <c r="W215" s="50" t="n">
        <f aca="false">SUMIFS('Activation Detail'!$I$4:$I$4003,'Activation Detail'!$A$4:$A$4003,$A215,'Activation Detail'!$N$4:$N$4003,T$2)</f>
        <v>14129.479048</v>
      </c>
      <c r="X215" s="51" t="n">
        <f aca="false">IFERROR(V215/W215,0)</f>
        <v>1.26841932389022</v>
      </c>
      <c r="Y215" s="49" t="n">
        <f aca="false">IFERROR(W215/T215,0)</f>
        <v>125.163656063742</v>
      </c>
      <c r="Z215" s="48" t="n">
        <f aca="false">SUMIFS('Activation Detail'!$H$4:$H$4003,'Activation Detail'!$A$4:$A$4003,$A215,'Activation Detail'!$N$4:$N$4003,Z$2)</f>
        <v>736.380254896977</v>
      </c>
      <c r="AA215" s="50" t="n">
        <f aca="false">Z215*'Model Inputs &amp; Assumptions'!$D$42*'Model Inputs &amp; Assumptions'!$H$42</f>
        <v>3976453.37644367</v>
      </c>
      <c r="AB215" s="50" t="n">
        <f aca="false">Z215*'Model Inputs &amp; Assumptions'!$G$42*'Model Inputs &amp; Assumptions'!$H$42</f>
        <v>83505.5209053171</v>
      </c>
      <c r="AC215" s="50" t="n">
        <f aca="false">SUMIFS('Activation Detail'!$I$4:$I$4003,'Activation Detail'!$A$4:$A$4003,$A215,'Activation Detail'!$N$4:$N$4003,Z$2)</f>
        <v>38539.852</v>
      </c>
      <c r="AD215" s="51" t="n">
        <f aca="false">IFERROR(AB215/AC215,0)</f>
        <v>2.16673174835537</v>
      </c>
      <c r="AE215" s="49" t="n">
        <f aca="false">IFERROR(AC215/Z215,0)</f>
        <v>52.3368894585474</v>
      </c>
    </row>
    <row r="216" customFormat="false" ht="15" hidden="false" customHeight="false" outlineLevel="0" collapsed="false">
      <c r="A216" s="43" t="n">
        <v>213</v>
      </c>
      <c r="B216" s="45" t="n">
        <f aca="false">SUM('Activation Detail'!C216,'Activation Detail'!C716,'Activation Detail'!C1216,'Activation Detail'!C1716,'Activation Detail'!C2216,'Activation Detail'!C2716,'Activation Detail'!C3216,'Activation Detail'!C3716)</f>
        <v>4477598</v>
      </c>
      <c r="C216" s="45" t="n">
        <f aca="false">SUM('Activation Detail'!E216,'Activation Detail'!E716,'Activation Detail'!E1216,'Activation Detail'!E1716,'Activation Detail'!E2216,'Activation Detail'!E2716,'Activation Detail'!E3216,'Activation Detail'!E3716)</f>
        <v>359364</v>
      </c>
      <c r="D216" s="45" t="n">
        <f aca="false">SUM('Activation Detail'!G216,'Activation Detail'!G716,'Activation Detail'!G1216,'Activation Detail'!G1716,'Activation Detail'!G2216,'Activation Detail'!G2716,'Activation Detail'!G3216,'Activation Detail'!G3716)</f>
        <v>17495</v>
      </c>
      <c r="E216" s="48" t="n">
        <f aca="false">SUM('Activation Detail'!H216,'Activation Detail'!H716,'Activation Detail'!H1216,'Activation Detail'!H1716,'Activation Detail'!H2216,'Activation Detail'!H2716,'Activation Detail'!H3216,'Activation Detail'!H3716)</f>
        <v>721.51124607973</v>
      </c>
      <c r="F216" s="50" t="n">
        <f aca="false">SUM('Activation Detail'!I216,'Activation Detail'!I716,'Activation Detail'!I1216,'Activation Detail'!I1716,'Activation Detail'!I2216,'Activation Detail'!I2716,'Activation Detail'!I3216,'Activation Detail'!I3716)</f>
        <v>78179.121034</v>
      </c>
      <c r="G216" s="50" t="n">
        <f aca="false">SUM('Activation Detail'!J216,'Activation Detail'!J716,'Activation Detail'!J1216,'Activation Detail'!J1716,'Activation Detail'!J2216,'Activation Detail'!J2716,'Activation Detail'!J3216,'Activation Detail'!J3716)</f>
        <v>4472513.99608592</v>
      </c>
      <c r="H216" s="50" t="n">
        <f aca="false">SUM('Activation Detail'!K216,'Activation Detail'!K716,'Activation Detail'!K1216,'Activation Detail'!K1716,'Activation Detail'!K2216,'Activation Detail'!K2716,'Activation Detail'!K3216,'Activation Detail'!K3716)</f>
        <v>96320.3843891799</v>
      </c>
      <c r="I216" s="51" t="n">
        <f aca="false">IFERROR(H216/F216,0)</f>
        <v>1.23204742027338</v>
      </c>
      <c r="J216" s="49" t="n">
        <f aca="false">IFERROR(F216/E216,0)</f>
        <v>108.354681176184</v>
      </c>
      <c r="K216" s="46" t="n">
        <f aca="false">IFERROR(C216/B216,0)</f>
        <v>0.0802582098705601</v>
      </c>
      <c r="L216" s="47" t="n">
        <f aca="false">IFERROR(D216/B216,0)</f>
        <v>0.00390722883117243</v>
      </c>
      <c r="N216" s="48" t="n">
        <f aca="false">SUMIFS('Activation Detail'!$H$4:$H$4003,'Activation Detail'!$A$4:$A$4003,$A216,'Activation Detail'!$N$4:$N$4003,N$2)</f>
        <v>85.5305596187064</v>
      </c>
      <c r="O216" s="50" t="n">
        <f aca="false">N216*'Model Inputs &amp; Assumptions'!$D$40*'Model Inputs &amp; Assumptions'!$H$40</f>
        <v>727009.756759004</v>
      </c>
      <c r="P216" s="50" t="n">
        <f aca="false">N216*'Model Inputs &amp; Assumptions'!$G$40*'Model Inputs &amp; Assumptions'!$H$40</f>
        <v>16357.7195270776</v>
      </c>
      <c r="Q216" s="50" t="n">
        <f aca="false">SUMIFS('Activation Detail'!$I$4:$I$4003,'Activation Detail'!$A$4:$A$4003,$A216,'Activation Detail'!$N$4:$N$4003,N$2)</f>
        <v>18451.9525</v>
      </c>
      <c r="R216" s="51" t="n">
        <f aca="false">IFERROR(P216/Q216,0)</f>
        <v>0.886503448731379</v>
      </c>
      <c r="S216" s="49" t="n">
        <f aca="false">IFERROR(Q216/N216,0)</f>
        <v>215.735201339246</v>
      </c>
      <c r="T216" s="48" t="n">
        <f aca="false">SUMIFS('Activation Detail'!$H$4:$H$4003,'Activation Detail'!$A$4:$A$4003,$A216,'Activation Detail'!$N$4:$N$4003,T$2)</f>
        <v>172.893629131884</v>
      </c>
      <c r="U216" s="50" t="n">
        <f aca="false">T216*'Model Inputs &amp; Assumptions'!$D$41*'Model Inputs &amp; Assumptions'!$H$41</f>
        <v>1244834.12974957</v>
      </c>
      <c r="V216" s="50" t="n">
        <f aca="false">T216*'Model Inputs &amp; Assumptions'!$G$41*'Model Inputs &amp; Assumptions'!$H$41</f>
        <v>27448.5925609779</v>
      </c>
      <c r="W216" s="50" t="n">
        <f aca="false">SUMIFS('Activation Detail'!$I$4:$I$4003,'Activation Detail'!$A$4:$A$4003,$A216,'Activation Detail'!$N$4:$N$4003,T$2)</f>
        <v>19386.620534</v>
      </c>
      <c r="X216" s="51" t="n">
        <f aca="false">IFERROR(V216/W216,0)</f>
        <v>1.415852366473</v>
      </c>
      <c r="Y216" s="49" t="n">
        <f aca="false">IFERROR(W216/T216,0)</f>
        <v>112.130334884762</v>
      </c>
      <c r="Z216" s="48" t="n">
        <f aca="false">SUMIFS('Activation Detail'!$H$4:$H$4003,'Activation Detail'!$A$4:$A$4003,$A216,'Activation Detail'!$N$4:$N$4003,Z$2)</f>
        <v>463.087057329139</v>
      </c>
      <c r="AA216" s="50" t="n">
        <f aca="false">Z216*'Model Inputs &amp; Assumptions'!$D$42*'Model Inputs &amp; Assumptions'!$H$42</f>
        <v>2500670.10957735</v>
      </c>
      <c r="AB216" s="50" t="n">
        <f aca="false">Z216*'Model Inputs &amp; Assumptions'!$G$42*'Model Inputs &amp; Assumptions'!$H$42</f>
        <v>52514.0723011244</v>
      </c>
      <c r="AC216" s="50" t="n">
        <f aca="false">SUMIFS('Activation Detail'!$I$4:$I$4003,'Activation Detail'!$A$4:$A$4003,$A216,'Activation Detail'!$N$4:$N$4003,Z$2)</f>
        <v>40340.548</v>
      </c>
      <c r="AD216" s="51" t="n">
        <f aca="false">IFERROR(AB216/AC216,0)</f>
        <v>1.30176893732639</v>
      </c>
      <c r="AE216" s="49" t="n">
        <f aca="false">IFERROR(AC216/Z216,0)</f>
        <v>87.112233783135</v>
      </c>
    </row>
    <row r="217" customFormat="false" ht="15" hidden="false" customHeight="false" outlineLevel="0" collapsed="false">
      <c r="A217" s="43" t="n">
        <v>214</v>
      </c>
      <c r="B217" s="45" t="n">
        <f aca="false">SUM('Activation Detail'!C217,'Activation Detail'!C717,'Activation Detail'!C1217,'Activation Detail'!C1717,'Activation Detail'!C2217,'Activation Detail'!C2717,'Activation Detail'!C3217,'Activation Detail'!C3717)</f>
        <v>4277142</v>
      </c>
      <c r="C217" s="45" t="n">
        <f aca="false">SUM('Activation Detail'!E217,'Activation Detail'!E717,'Activation Detail'!E1217,'Activation Detail'!E1717,'Activation Detail'!E2217,'Activation Detail'!E2717,'Activation Detail'!E3217,'Activation Detail'!E3717)</f>
        <v>467865</v>
      </c>
      <c r="D217" s="45" t="n">
        <f aca="false">SUM('Activation Detail'!G217,'Activation Detail'!G717,'Activation Detail'!G1217,'Activation Detail'!G1717,'Activation Detail'!G2217,'Activation Detail'!G2717,'Activation Detail'!G3217,'Activation Detail'!G3717)</f>
        <v>15849</v>
      </c>
      <c r="E217" s="48" t="n">
        <f aca="false">SUM('Activation Detail'!H217,'Activation Detail'!H717,'Activation Detail'!H1217,'Activation Detail'!H1717,'Activation Detail'!H2217,'Activation Detail'!H2717,'Activation Detail'!H3217,'Activation Detail'!H3717)</f>
        <v>708.816169957332</v>
      </c>
      <c r="F217" s="50" t="n">
        <f aca="false">SUM('Activation Detail'!I217,'Activation Detail'!I717,'Activation Detail'!I1217,'Activation Detail'!I1717,'Activation Detail'!I2217,'Activation Detail'!I2717,'Activation Detail'!I3217,'Activation Detail'!I3717)</f>
        <v>81251.28809</v>
      </c>
      <c r="G217" s="50" t="n">
        <f aca="false">SUM('Activation Detail'!J217,'Activation Detail'!J717,'Activation Detail'!J1217,'Activation Detail'!J1717,'Activation Detail'!J2217,'Activation Detail'!J2717,'Activation Detail'!J3217,'Activation Detail'!J3717)</f>
        <v>4638164.13152049</v>
      </c>
      <c r="H217" s="50" t="n">
        <f aca="false">SUM('Activation Detail'!K217,'Activation Detail'!K717,'Activation Detail'!K1217,'Activation Detail'!K1717,'Activation Detail'!K2217,'Activation Detail'!K2717,'Activation Detail'!K3217,'Activation Detail'!K3717)</f>
        <v>100776.465068496</v>
      </c>
      <c r="I217" s="51" t="n">
        <f aca="false">IFERROR(H217/F217,0)</f>
        <v>1.24030606083276</v>
      </c>
      <c r="J217" s="49" t="n">
        <f aca="false">IFERROR(F217/E217,0)</f>
        <v>114.62956339567</v>
      </c>
      <c r="K217" s="46" t="n">
        <f aca="false">IFERROR(C217/B217,0)</f>
        <v>0.1093872964704</v>
      </c>
      <c r="L217" s="47" t="n">
        <f aca="false">IFERROR(D217/B217,0)</f>
        <v>0.00370551176463162</v>
      </c>
      <c r="N217" s="48" t="n">
        <f aca="false">SUMIFS('Activation Detail'!$H$4:$H$4003,'Activation Detail'!$A$4:$A$4003,$A217,'Activation Detail'!$N$4:$N$4003,N$2)</f>
        <v>108.593745140803</v>
      </c>
      <c r="O217" s="50" t="n">
        <f aca="false">N217*'Model Inputs &amp; Assumptions'!$D$40*'Model Inputs &amp; Assumptions'!$H$40</f>
        <v>923046.833696823</v>
      </c>
      <c r="P217" s="50" t="n">
        <f aca="false">N217*'Model Inputs &amp; Assumptions'!$G$40*'Model Inputs &amp; Assumptions'!$H$40</f>
        <v>20768.5537581785</v>
      </c>
      <c r="Q217" s="50" t="n">
        <f aca="false">SUMIFS('Activation Detail'!$I$4:$I$4003,'Activation Detail'!$A$4:$A$4003,$A217,'Activation Detail'!$N$4:$N$4003,N$2)</f>
        <v>17722.724</v>
      </c>
      <c r="R217" s="51" t="n">
        <f aca="false">IFERROR(P217/Q217,0)</f>
        <v>1.17186013607042</v>
      </c>
      <c r="S217" s="49" t="n">
        <f aca="false">IFERROR(Q217/N217,0)</f>
        <v>163.202070036545</v>
      </c>
      <c r="T217" s="48" t="n">
        <f aca="false">SUMIFS('Activation Detail'!$H$4:$H$4003,'Activation Detail'!$A$4:$A$4003,$A217,'Activation Detail'!$N$4:$N$4003,T$2)</f>
        <v>263.286779896892</v>
      </c>
      <c r="U217" s="50" t="n">
        <f aca="false">T217*'Model Inputs &amp; Assumptions'!$D$41*'Model Inputs &amp; Assumptions'!$H$41</f>
        <v>1895664.81525762</v>
      </c>
      <c r="V217" s="50" t="n">
        <f aca="false">T217*'Model Inputs &amp; Assumptions'!$G$41*'Model Inputs &amp; Assumptions'!$H$41</f>
        <v>41799.4091764306</v>
      </c>
      <c r="W217" s="50" t="n">
        <f aca="false">SUMIFS('Activation Detail'!$I$4:$I$4003,'Activation Detail'!$A$4:$A$4003,$A217,'Activation Detail'!$N$4:$N$4003,T$2)</f>
        <v>19558.10009</v>
      </c>
      <c r="X217" s="51" t="n">
        <f aca="false">IFERROR(V217/W217,0)</f>
        <v>2.1371916998115</v>
      </c>
      <c r="Y217" s="49" t="n">
        <f aca="false">IFERROR(W217/T217,0)</f>
        <v>74.2843985469354</v>
      </c>
      <c r="Z217" s="48" t="n">
        <f aca="false">SUMIFS('Activation Detail'!$H$4:$H$4003,'Activation Detail'!$A$4:$A$4003,$A217,'Activation Detail'!$N$4:$N$4003,Z$2)</f>
        <v>336.935644919637</v>
      </c>
      <c r="AA217" s="50" t="n">
        <f aca="false">Z217*'Model Inputs &amp; Assumptions'!$D$42*'Model Inputs &amp; Assumptions'!$H$42</f>
        <v>1819452.48256604</v>
      </c>
      <c r="AB217" s="50" t="n">
        <f aca="false">Z217*'Model Inputs &amp; Assumptions'!$G$42*'Model Inputs &amp; Assumptions'!$H$42</f>
        <v>38208.5021338868</v>
      </c>
      <c r="AC217" s="50" t="n">
        <f aca="false">SUMIFS('Activation Detail'!$I$4:$I$4003,'Activation Detail'!$A$4:$A$4003,$A217,'Activation Detail'!$N$4:$N$4003,Z$2)</f>
        <v>43970.464</v>
      </c>
      <c r="AD217" s="51" t="n">
        <f aca="false">IFERROR(AB217/AC217,0)</f>
        <v>0.868958356543311</v>
      </c>
      <c r="AE217" s="49" t="n">
        <f aca="false">IFERROR(AC217/Z217,0)</f>
        <v>130.501075392268</v>
      </c>
    </row>
    <row r="218" customFormat="false" ht="15" hidden="false" customHeight="false" outlineLevel="0" collapsed="false">
      <c r="A218" s="43" t="n">
        <v>215</v>
      </c>
      <c r="B218" s="45" t="n">
        <f aca="false">SUM('Activation Detail'!C218,'Activation Detail'!C718,'Activation Detail'!C1218,'Activation Detail'!C1718,'Activation Detail'!C2218,'Activation Detail'!C2718,'Activation Detail'!C3218,'Activation Detail'!C3718)</f>
        <v>3969877</v>
      </c>
      <c r="C218" s="45" t="n">
        <f aca="false">SUM('Activation Detail'!E218,'Activation Detail'!E718,'Activation Detail'!E1218,'Activation Detail'!E1718,'Activation Detail'!E2218,'Activation Detail'!E2718,'Activation Detail'!E3218,'Activation Detail'!E3718)</f>
        <v>563585</v>
      </c>
      <c r="D218" s="45" t="n">
        <f aca="false">SUM('Activation Detail'!G218,'Activation Detail'!G718,'Activation Detail'!G1218,'Activation Detail'!G1718,'Activation Detail'!G2218,'Activation Detail'!G2718,'Activation Detail'!G3218,'Activation Detail'!G3718)</f>
        <v>15899</v>
      </c>
      <c r="E218" s="48" t="n">
        <f aca="false">SUM('Activation Detail'!H218,'Activation Detail'!H718,'Activation Detail'!H1218,'Activation Detail'!H1718,'Activation Detail'!H2218,'Activation Detail'!H2718,'Activation Detail'!H3218,'Activation Detail'!H3718)</f>
        <v>696.678816216467</v>
      </c>
      <c r="F218" s="50" t="n">
        <f aca="false">SUM('Activation Detail'!I218,'Activation Detail'!I718,'Activation Detail'!I1218,'Activation Detail'!I1718,'Activation Detail'!I2218,'Activation Detail'!I2718,'Activation Detail'!I3218,'Activation Detail'!I3718)</f>
        <v>77641.353464</v>
      </c>
      <c r="G218" s="50" t="n">
        <f aca="false">SUM('Activation Detail'!J218,'Activation Detail'!J718,'Activation Detail'!J1218,'Activation Detail'!J1718,'Activation Detail'!J2218,'Activation Detail'!J2718,'Activation Detail'!J3218,'Activation Detail'!J3718)</f>
        <v>4685779.29359986</v>
      </c>
      <c r="H218" s="50" t="n">
        <f aca="false">SUM('Activation Detail'!K218,'Activation Detail'!K718,'Activation Detail'!K1218,'Activation Detail'!K1718,'Activation Detail'!K2218,'Activation Detail'!K2718,'Activation Detail'!K3218,'Activation Detail'!K3718)</f>
        <v>102246.760353867</v>
      </c>
      <c r="I218" s="51" t="n">
        <f aca="false">IFERROR(H218/F218,0)</f>
        <v>1.31691110203631</v>
      </c>
      <c r="J218" s="49" t="n">
        <f aca="false">IFERROR(F218/E218,0)</f>
        <v>111.444975298166</v>
      </c>
      <c r="K218" s="46" t="n">
        <f aca="false">IFERROR(C218/B218,0)</f>
        <v>0.141965355601697</v>
      </c>
      <c r="L218" s="47" t="n">
        <f aca="false">IFERROR(D218/B218,0)</f>
        <v>0.00400490997580026</v>
      </c>
      <c r="N218" s="48" t="n">
        <f aca="false">SUMIFS('Activation Detail'!$H$4:$H$4003,'Activation Detail'!$A$4:$A$4003,$A218,'Activation Detail'!$N$4:$N$4003,N$2)</f>
        <v>126.675159482747</v>
      </c>
      <c r="O218" s="50" t="n">
        <f aca="false">N218*'Model Inputs &amp; Assumptions'!$D$40*'Model Inputs &amp; Assumptions'!$H$40</f>
        <v>1076738.85560335</v>
      </c>
      <c r="P218" s="50" t="n">
        <f aca="false">N218*'Model Inputs &amp; Assumptions'!$G$40*'Model Inputs &amp; Assumptions'!$H$40</f>
        <v>24226.6242510753</v>
      </c>
      <c r="Q218" s="50" t="n">
        <f aca="false">SUMIFS('Activation Detail'!$I$4:$I$4003,'Activation Detail'!$A$4:$A$4003,$A218,'Activation Detail'!$N$4:$N$4003,N$2)</f>
        <v>18459.109</v>
      </c>
      <c r="R218" s="51" t="n">
        <f aca="false">IFERROR(P218/Q218,0)</f>
        <v>1.31244819298024</v>
      </c>
      <c r="S218" s="49" t="n">
        <f aca="false">IFERROR(Q218/N218,0)</f>
        <v>145.720037577802</v>
      </c>
      <c r="T218" s="48" t="n">
        <f aca="false">SUMIFS('Activation Detail'!$H$4:$H$4003,'Activation Detail'!$A$4:$A$4003,$A218,'Activation Detail'!$N$4:$N$4003,T$2)</f>
        <v>295.011495352455</v>
      </c>
      <c r="U218" s="50" t="n">
        <f aca="false">T218*'Model Inputs &amp; Assumptions'!$D$41*'Model Inputs &amp; Assumptions'!$H$41</f>
        <v>2124082.76653768</v>
      </c>
      <c r="V218" s="50" t="n">
        <f aca="false">T218*'Model Inputs &amp; Assumptions'!$G$41*'Model Inputs &amp; Assumptions'!$H$41</f>
        <v>46836.0250021558</v>
      </c>
      <c r="W218" s="50" t="n">
        <f aca="false">SUMIFS('Activation Detail'!$I$4:$I$4003,'Activation Detail'!$A$4:$A$4003,$A218,'Activation Detail'!$N$4:$N$4003,T$2)</f>
        <v>19554.244464</v>
      </c>
      <c r="X218" s="51" t="n">
        <f aca="false">IFERROR(V218/W218,0)</f>
        <v>2.3951845896364</v>
      </c>
      <c r="Y218" s="49" t="n">
        <f aca="false">IFERROR(W218/T218,0)</f>
        <v>66.2829915852541</v>
      </c>
      <c r="Z218" s="48" t="n">
        <f aca="false">SUMIFS('Activation Detail'!$H$4:$H$4003,'Activation Detail'!$A$4:$A$4003,$A218,'Activation Detail'!$N$4:$N$4003,Z$2)</f>
        <v>274.992161381265</v>
      </c>
      <c r="AA218" s="50" t="n">
        <f aca="false">Z218*'Model Inputs &amp; Assumptions'!$D$42*'Model Inputs &amp; Assumptions'!$H$42</f>
        <v>1484957.67145883</v>
      </c>
      <c r="AB218" s="50" t="n">
        <f aca="false">Z218*'Model Inputs &amp; Assumptions'!$G$42*'Model Inputs &amp; Assumptions'!$H$42</f>
        <v>31184.1111006355</v>
      </c>
      <c r="AC218" s="50" t="n">
        <f aca="false">SUMIFS('Activation Detail'!$I$4:$I$4003,'Activation Detail'!$A$4:$A$4003,$A218,'Activation Detail'!$N$4:$N$4003,Z$2)</f>
        <v>39628</v>
      </c>
      <c r="AD218" s="51" t="n">
        <f aca="false">IFERROR(AB218/AC218,0)</f>
        <v>0.786921144156543</v>
      </c>
      <c r="AE218" s="49" t="n">
        <f aca="false">IFERROR(AC218/Z218,0)</f>
        <v>144.105925786944</v>
      </c>
    </row>
    <row r="219" customFormat="false" ht="15" hidden="false" customHeight="false" outlineLevel="0" collapsed="false">
      <c r="A219" s="43" t="n">
        <v>216</v>
      </c>
      <c r="B219" s="45" t="n">
        <f aca="false">SUM('Activation Detail'!C219,'Activation Detail'!C719,'Activation Detail'!C1219,'Activation Detail'!C1719,'Activation Detail'!C2219,'Activation Detail'!C2719,'Activation Detail'!C3219,'Activation Detail'!C3719)</f>
        <v>3862858</v>
      </c>
      <c r="C219" s="45" t="n">
        <f aca="false">SUM('Activation Detail'!E219,'Activation Detail'!E719,'Activation Detail'!E1219,'Activation Detail'!E1719,'Activation Detail'!E2219,'Activation Detail'!E2719,'Activation Detail'!E3219,'Activation Detail'!E3719)</f>
        <v>372584</v>
      </c>
      <c r="D219" s="45" t="n">
        <f aca="false">SUM('Activation Detail'!G219,'Activation Detail'!G719,'Activation Detail'!G1219,'Activation Detail'!G1719,'Activation Detail'!G2219,'Activation Detail'!G2719,'Activation Detail'!G3219,'Activation Detail'!G3719)</f>
        <v>14413</v>
      </c>
      <c r="E219" s="48" t="n">
        <f aca="false">SUM('Activation Detail'!H219,'Activation Detail'!H719,'Activation Detail'!H1219,'Activation Detail'!H1719,'Activation Detail'!H2219,'Activation Detail'!H2719,'Activation Detail'!H3219,'Activation Detail'!H3719)</f>
        <v>508.057498707291</v>
      </c>
      <c r="F219" s="50" t="n">
        <f aca="false">SUM('Activation Detail'!I219,'Activation Detail'!I719,'Activation Detail'!I1219,'Activation Detail'!I1719,'Activation Detail'!I2219,'Activation Detail'!I2719,'Activation Detail'!I3219,'Activation Detail'!I3719)</f>
        <v>72170.962282</v>
      </c>
      <c r="G219" s="50" t="n">
        <f aca="false">SUM('Activation Detail'!J219,'Activation Detail'!J719,'Activation Detail'!J1219,'Activation Detail'!J1719,'Activation Detail'!J2219,'Activation Detail'!J2719,'Activation Detail'!J3219,'Activation Detail'!J3719)</f>
        <v>3374151.42744051</v>
      </c>
      <c r="H219" s="50" t="n">
        <f aca="false">SUM('Activation Detail'!K219,'Activation Detail'!K719,'Activation Detail'!K1219,'Activation Detail'!K1719,'Activation Detail'!K2219,'Activation Detail'!K2719,'Activation Detail'!K3219,'Activation Detail'!K3719)</f>
        <v>73476.0079579399</v>
      </c>
      <c r="I219" s="51" t="n">
        <f aca="false">IFERROR(H219/F219,0)</f>
        <v>1.01808269745442</v>
      </c>
      <c r="J219" s="49" t="n">
        <f aca="false">IFERROR(F219/E219,0)</f>
        <v>142.052744946454</v>
      </c>
      <c r="K219" s="46" t="n">
        <f aca="false">IFERROR(C219/B219,0)</f>
        <v>0.0964529371776027</v>
      </c>
      <c r="L219" s="47" t="n">
        <f aca="false">IFERROR(D219/B219,0)</f>
        <v>0.00373117520757947</v>
      </c>
      <c r="N219" s="48" t="n">
        <f aca="false">SUMIFS('Activation Detail'!$H$4:$H$4003,'Activation Detail'!$A$4:$A$4003,$A219,'Activation Detail'!$N$4:$N$4003,N$2)</f>
        <v>110.607195850111</v>
      </c>
      <c r="O219" s="50" t="n">
        <f aca="false">N219*'Model Inputs &amp; Assumptions'!$D$40*'Model Inputs &amp; Assumptions'!$H$40</f>
        <v>940161.164725945</v>
      </c>
      <c r="P219" s="50" t="n">
        <f aca="false">N219*'Model Inputs &amp; Assumptions'!$G$40*'Model Inputs &amp; Assumptions'!$H$40</f>
        <v>21153.6262063338</v>
      </c>
      <c r="Q219" s="50" t="n">
        <f aca="false">SUMIFS('Activation Detail'!$I$4:$I$4003,'Activation Detail'!$A$4:$A$4003,$A219,'Activation Detail'!$N$4:$N$4003,N$2)</f>
        <v>19209.0465</v>
      </c>
      <c r="R219" s="51" t="n">
        <f aca="false">IFERROR(P219/Q219,0)</f>
        <v>1.10123249513367</v>
      </c>
      <c r="S219" s="49" t="n">
        <f aca="false">IFERROR(Q219/N219,0)</f>
        <v>173.66904885674</v>
      </c>
      <c r="T219" s="48" t="n">
        <f aca="false">SUMIFS('Activation Detail'!$H$4:$H$4003,'Activation Detail'!$A$4:$A$4003,$A219,'Activation Detail'!$N$4:$N$4003,T$2)</f>
        <v>159.865904047662</v>
      </c>
      <c r="U219" s="50" t="n">
        <f aca="false">T219*'Model Inputs &amp; Assumptions'!$D$41*'Model Inputs &amp; Assumptions'!$H$41</f>
        <v>1151034.50914316</v>
      </c>
      <c r="V219" s="50" t="n">
        <f aca="false">T219*'Model Inputs &amp; Assumptions'!$G$41*'Model Inputs &amp; Assumptions'!$H$41</f>
        <v>25380.3109266068</v>
      </c>
      <c r="W219" s="50" t="n">
        <f aca="false">SUMIFS('Activation Detail'!$I$4:$I$4003,'Activation Detail'!$A$4:$A$4003,$A219,'Activation Detail'!$N$4:$N$4003,T$2)</f>
        <v>20456.107782</v>
      </c>
      <c r="X219" s="51" t="n">
        <f aca="false">IFERROR(V219/W219,0)</f>
        <v>1.24072043406712</v>
      </c>
      <c r="Y219" s="49" t="n">
        <f aca="false">IFERROR(W219/T219,0)</f>
        <v>127.957915128052</v>
      </c>
      <c r="Z219" s="48" t="n">
        <f aca="false">SUMIFS('Activation Detail'!$H$4:$H$4003,'Activation Detail'!$A$4:$A$4003,$A219,'Activation Detail'!$N$4:$N$4003,Z$2)</f>
        <v>237.584398809518</v>
      </c>
      <c r="AA219" s="50" t="n">
        <f aca="false">Z219*'Model Inputs &amp; Assumptions'!$D$42*'Model Inputs &amp; Assumptions'!$H$42</f>
        <v>1282955.7535714</v>
      </c>
      <c r="AB219" s="50" t="n">
        <f aca="false">Z219*'Model Inputs &amp; Assumptions'!$G$42*'Model Inputs &amp; Assumptions'!$H$42</f>
        <v>26942.0708249994</v>
      </c>
      <c r="AC219" s="50" t="n">
        <f aca="false">SUMIFS('Activation Detail'!$I$4:$I$4003,'Activation Detail'!$A$4:$A$4003,$A219,'Activation Detail'!$N$4:$N$4003,Z$2)</f>
        <v>32505.808</v>
      </c>
      <c r="AD219" s="51" t="n">
        <f aca="false">IFERROR(AB219/AC219,0)</f>
        <v>0.828838674768502</v>
      </c>
      <c r="AE219" s="49" t="n">
        <f aca="false">IFERROR(AC219/Z219,0)</f>
        <v>136.81793991053</v>
      </c>
    </row>
    <row r="220" customFormat="false" ht="15" hidden="false" customHeight="false" outlineLevel="0" collapsed="false">
      <c r="A220" s="43" t="n">
        <v>217</v>
      </c>
      <c r="B220" s="45" t="n">
        <f aca="false">SUM('Activation Detail'!C220,'Activation Detail'!C720,'Activation Detail'!C1220,'Activation Detail'!C1720,'Activation Detail'!C2220,'Activation Detail'!C2720,'Activation Detail'!C3220,'Activation Detail'!C3720)</f>
        <v>3710828</v>
      </c>
      <c r="C220" s="45" t="n">
        <f aca="false">SUM('Activation Detail'!E220,'Activation Detail'!E720,'Activation Detail'!E1220,'Activation Detail'!E1720,'Activation Detail'!E2220,'Activation Detail'!E2720,'Activation Detail'!E3220,'Activation Detail'!E3720)</f>
        <v>372975</v>
      </c>
      <c r="D220" s="45" t="n">
        <f aca="false">SUM('Activation Detail'!G220,'Activation Detail'!G720,'Activation Detail'!G1220,'Activation Detail'!G1720,'Activation Detail'!G2220,'Activation Detail'!G2720,'Activation Detail'!G3220,'Activation Detail'!G3720)</f>
        <v>11142</v>
      </c>
      <c r="E220" s="48" t="n">
        <f aca="false">SUM('Activation Detail'!H220,'Activation Detail'!H720,'Activation Detail'!H1220,'Activation Detail'!H1720,'Activation Detail'!H2220,'Activation Detail'!H2720,'Activation Detail'!H3220,'Activation Detail'!H3720)</f>
        <v>473.699733342801</v>
      </c>
      <c r="F220" s="50" t="n">
        <f aca="false">SUM('Activation Detail'!I220,'Activation Detail'!I720,'Activation Detail'!I1220,'Activation Detail'!I1720,'Activation Detail'!I2220,'Activation Detail'!I2720,'Activation Detail'!I3220,'Activation Detail'!I3720)</f>
        <v>71089.029002</v>
      </c>
      <c r="G220" s="50" t="n">
        <f aca="false">SUM('Activation Detail'!J220,'Activation Detail'!J720,'Activation Detail'!J1220,'Activation Detail'!J1720,'Activation Detail'!J2220,'Activation Detail'!J2720,'Activation Detail'!J3220,'Activation Detail'!J3720)</f>
        <v>3115250.51105735</v>
      </c>
      <c r="H220" s="50" t="n">
        <f aca="false">SUM('Activation Detail'!K220,'Activation Detail'!K720,'Activation Detail'!K1220,'Activation Detail'!K1720,'Activation Detail'!K2220,'Activation Detail'!K2720,'Activation Detail'!K3220,'Activation Detail'!K3720)</f>
        <v>67735.4611860608</v>
      </c>
      <c r="I220" s="51" t="n">
        <f aca="false">IFERROR(H220/F220,0)</f>
        <v>0.952825803601216</v>
      </c>
      <c r="J220" s="49" t="n">
        <f aca="false">IFERROR(F220/E220,0)</f>
        <v>150.071921088786</v>
      </c>
      <c r="K220" s="46" t="n">
        <f aca="false">IFERROR(C220/B220,0)</f>
        <v>0.100509913151458</v>
      </c>
      <c r="L220" s="47" t="n">
        <f aca="false">IFERROR(D220/B220,0)</f>
        <v>0.00300256438724727</v>
      </c>
      <c r="N220" s="48" t="n">
        <f aca="false">SUMIFS('Activation Detail'!$H$4:$H$4003,'Activation Detail'!$A$4:$A$4003,$A220,'Activation Detail'!$N$4:$N$4003,N$2)</f>
        <v>93.8582976652484</v>
      </c>
      <c r="O220" s="50" t="n">
        <f aca="false">N220*'Model Inputs &amp; Assumptions'!$D$40*'Model Inputs &amp; Assumptions'!$H$40</f>
        <v>797795.530154612</v>
      </c>
      <c r="P220" s="50" t="n">
        <f aca="false">N220*'Model Inputs &amp; Assumptions'!$G$40*'Model Inputs &amp; Assumptions'!$H$40</f>
        <v>17950.3994284788</v>
      </c>
      <c r="Q220" s="50" t="n">
        <f aca="false">SUMIFS('Activation Detail'!$I$4:$I$4003,'Activation Detail'!$A$4:$A$4003,$A220,'Activation Detail'!$N$4:$N$4003,N$2)</f>
        <v>17383.0665</v>
      </c>
      <c r="R220" s="51" t="n">
        <f aca="false">IFERROR(P220/Q220,0)</f>
        <v>1.032637102808</v>
      </c>
      <c r="S220" s="49" t="n">
        <f aca="false">IFERROR(Q220/N220,0)</f>
        <v>185.205431298124</v>
      </c>
      <c r="T220" s="48" t="n">
        <f aca="false">SUMIFS('Activation Detail'!$H$4:$H$4003,'Activation Detail'!$A$4:$A$4003,$A220,'Activation Detail'!$N$4:$N$4003,T$2)</f>
        <v>147.95068235775</v>
      </c>
      <c r="U220" s="50" t="n">
        <f aca="false">T220*'Model Inputs &amp; Assumptions'!$D$41*'Model Inputs &amp; Assumptions'!$H$41</f>
        <v>1065244.9129758</v>
      </c>
      <c r="V220" s="50" t="n">
        <f aca="false">T220*'Model Inputs &amp; Assumptions'!$G$41*'Model Inputs &amp; Assumptions'!$H$41</f>
        <v>23488.6503311165</v>
      </c>
      <c r="W220" s="50" t="n">
        <f aca="false">SUMIFS('Activation Detail'!$I$4:$I$4003,'Activation Detail'!$A$4:$A$4003,$A220,'Activation Detail'!$N$4:$N$4003,T$2)</f>
        <v>15353.010502</v>
      </c>
      <c r="X220" s="51" t="n">
        <f aca="false">IFERROR(V220/W220,0)</f>
        <v>1.52990518231305</v>
      </c>
      <c r="Y220" s="49" t="n">
        <f aca="false">IFERROR(W220/T220,0)</f>
        <v>103.771136822984</v>
      </c>
      <c r="Z220" s="48" t="n">
        <f aca="false">SUMIFS('Activation Detail'!$H$4:$H$4003,'Activation Detail'!$A$4:$A$4003,$A220,'Activation Detail'!$N$4:$N$4003,Z$2)</f>
        <v>231.890753319802</v>
      </c>
      <c r="AA220" s="50" t="n">
        <f aca="false">Z220*'Model Inputs &amp; Assumptions'!$D$42*'Model Inputs &amp; Assumptions'!$H$42</f>
        <v>1252210.06792693</v>
      </c>
      <c r="AB220" s="50" t="n">
        <f aca="false">Z220*'Model Inputs &amp; Assumptions'!$G$42*'Model Inputs &amp; Assumptions'!$H$42</f>
        <v>26296.4114264656</v>
      </c>
      <c r="AC220" s="50" t="n">
        <f aca="false">SUMIFS('Activation Detail'!$I$4:$I$4003,'Activation Detail'!$A$4:$A$4003,$A220,'Activation Detail'!$N$4:$N$4003,Z$2)</f>
        <v>38352.952</v>
      </c>
      <c r="AD220" s="51" t="n">
        <f aca="false">IFERROR(AB220/AC220,0)</f>
        <v>0.685642435723476</v>
      </c>
      <c r="AE220" s="49" t="n">
        <f aca="false">IFERROR(AC220/Z220,0)</f>
        <v>165.392330012862</v>
      </c>
    </row>
    <row r="221" customFormat="false" ht="15" hidden="false" customHeight="false" outlineLevel="0" collapsed="false">
      <c r="A221" s="43" t="n">
        <v>218</v>
      </c>
      <c r="B221" s="45" t="n">
        <f aca="false">SUM('Activation Detail'!C221,'Activation Detail'!C721,'Activation Detail'!C1221,'Activation Detail'!C1721,'Activation Detail'!C2221,'Activation Detail'!C2721,'Activation Detail'!C3221,'Activation Detail'!C3721)</f>
        <v>3370784</v>
      </c>
      <c r="C221" s="45" t="n">
        <f aca="false">SUM('Activation Detail'!E221,'Activation Detail'!E721,'Activation Detail'!E1221,'Activation Detail'!E1721,'Activation Detail'!E2221,'Activation Detail'!E2721,'Activation Detail'!E3221,'Activation Detail'!E3721)</f>
        <v>368127</v>
      </c>
      <c r="D221" s="45" t="n">
        <f aca="false">SUM('Activation Detail'!G221,'Activation Detail'!G721,'Activation Detail'!G1221,'Activation Detail'!G1721,'Activation Detail'!G2221,'Activation Detail'!G2721,'Activation Detail'!G3221,'Activation Detail'!G3721)</f>
        <v>12762</v>
      </c>
      <c r="E221" s="48" t="n">
        <f aca="false">SUM('Activation Detail'!H221,'Activation Detail'!H721,'Activation Detail'!H1221,'Activation Detail'!H1721,'Activation Detail'!H2221,'Activation Detail'!H2721,'Activation Detail'!H3221,'Activation Detail'!H3721)</f>
        <v>635.227791423249</v>
      </c>
      <c r="F221" s="50" t="n">
        <f aca="false">SUM('Activation Detail'!I221,'Activation Detail'!I721,'Activation Detail'!I1221,'Activation Detail'!I1721,'Activation Detail'!I2221,'Activation Detail'!I2721,'Activation Detail'!I3221,'Activation Detail'!I3721)</f>
        <v>70650.611352</v>
      </c>
      <c r="G221" s="50" t="n">
        <f aca="false">SUM('Activation Detail'!J221,'Activation Detail'!J721,'Activation Detail'!J1221,'Activation Detail'!J1721,'Activation Detail'!J2221,'Activation Detail'!J2721,'Activation Detail'!J3221,'Activation Detail'!J3721)</f>
        <v>4266135.67230628</v>
      </c>
      <c r="H221" s="50" t="n">
        <f aca="false">SUM('Activation Detail'!K221,'Activation Detail'!K721,'Activation Detail'!K1221,'Activation Detail'!K1721,'Activation Detail'!K2221,'Activation Detail'!K2721,'Activation Detail'!K3221,'Activation Detail'!K3721)</f>
        <v>93068.0828092779</v>
      </c>
      <c r="I221" s="51" t="n">
        <f aca="false">IFERROR(H221/F221,0)</f>
        <v>1.3173004596604</v>
      </c>
      <c r="J221" s="49" t="n">
        <f aca="false">IFERROR(F221/E221,0)</f>
        <v>111.22090737514</v>
      </c>
      <c r="K221" s="46" t="n">
        <f aca="false">IFERROR(C221/B221,0)</f>
        <v>0.109211091544282</v>
      </c>
      <c r="L221" s="47" t="n">
        <f aca="false">IFERROR(D221/B221,0)</f>
        <v>0.00378606282692691</v>
      </c>
      <c r="N221" s="48" t="n">
        <f aca="false">SUMIFS('Activation Detail'!$H$4:$H$4003,'Activation Detail'!$A$4:$A$4003,$A221,'Activation Detail'!$N$4:$N$4003,N$2)</f>
        <v>116.925271707778</v>
      </c>
      <c r="O221" s="50" t="n">
        <f aca="false">N221*'Model Inputs &amp; Assumptions'!$D$40*'Model Inputs &amp; Assumptions'!$H$40</f>
        <v>993864.809516109</v>
      </c>
      <c r="P221" s="50" t="n">
        <f aca="false">N221*'Model Inputs &amp; Assumptions'!$G$40*'Model Inputs &amp; Assumptions'!$H$40</f>
        <v>22361.9582141125</v>
      </c>
      <c r="Q221" s="50" t="n">
        <f aca="false">SUMIFS('Activation Detail'!$I$4:$I$4003,'Activation Detail'!$A$4:$A$4003,$A221,'Activation Detail'!$N$4:$N$4003,N$2)</f>
        <v>19037.5375</v>
      </c>
      <c r="R221" s="51" t="n">
        <f aca="false">IFERROR(P221/Q221,0)</f>
        <v>1.17462451297141</v>
      </c>
      <c r="S221" s="49" t="n">
        <f aca="false">IFERROR(Q221/N221,0)</f>
        <v>162.817988121328</v>
      </c>
      <c r="T221" s="48" t="n">
        <f aca="false">SUMIFS('Activation Detail'!$H$4:$H$4003,'Activation Detail'!$A$4:$A$4003,$A221,'Activation Detail'!$N$4:$N$4003,T$2)</f>
        <v>263.020697959236</v>
      </c>
      <c r="U221" s="50" t="n">
        <f aca="false">T221*'Model Inputs &amp; Assumptions'!$D$41*'Model Inputs &amp; Assumptions'!$H$41</f>
        <v>1893749.0253065</v>
      </c>
      <c r="V221" s="50" t="n">
        <f aca="false">T221*'Model Inputs &amp; Assumptions'!$G$41*'Model Inputs &amp; Assumptions'!$H$41</f>
        <v>41757.1660080084</v>
      </c>
      <c r="W221" s="50" t="n">
        <f aca="false">SUMIFS('Activation Detail'!$I$4:$I$4003,'Activation Detail'!$A$4:$A$4003,$A221,'Activation Detail'!$N$4:$N$4003,T$2)</f>
        <v>17790.853852</v>
      </c>
      <c r="X221" s="51" t="n">
        <f aca="false">IFERROR(V221/W221,0)</f>
        <v>2.34711421696683</v>
      </c>
      <c r="Y221" s="49" t="n">
        <f aca="false">IFERROR(W221/T221,0)</f>
        <v>67.6405088650372</v>
      </c>
      <c r="Z221" s="48" t="n">
        <f aca="false">SUMIFS('Activation Detail'!$H$4:$H$4003,'Activation Detail'!$A$4:$A$4003,$A221,'Activation Detail'!$N$4:$N$4003,Z$2)</f>
        <v>255.281821756235</v>
      </c>
      <c r="AA221" s="50" t="n">
        <f aca="false">Z221*'Model Inputs &amp; Assumptions'!$D$42*'Model Inputs &amp; Assumptions'!$H$42</f>
        <v>1378521.83748367</v>
      </c>
      <c r="AB221" s="50" t="n">
        <f aca="false">Z221*'Model Inputs &amp; Assumptions'!$G$42*'Model Inputs &amp; Assumptions'!$H$42</f>
        <v>28948.9585871571</v>
      </c>
      <c r="AC221" s="50" t="n">
        <f aca="false">SUMIFS('Activation Detail'!$I$4:$I$4003,'Activation Detail'!$A$4:$A$4003,$A221,'Activation Detail'!$N$4:$N$4003,Z$2)</f>
        <v>33822.22</v>
      </c>
      <c r="AD221" s="51" t="n">
        <f aca="false">IFERROR(AB221/AC221,0)</f>
        <v>0.855915388970833</v>
      </c>
      <c r="AE221" s="49" t="n">
        <f aca="false">IFERROR(AC221/Z221,0)</f>
        <v>132.489731416506</v>
      </c>
    </row>
    <row r="222" customFormat="false" ht="15" hidden="false" customHeight="false" outlineLevel="0" collapsed="false">
      <c r="A222" s="43" t="n">
        <v>219</v>
      </c>
      <c r="B222" s="45" t="n">
        <f aca="false">SUM('Activation Detail'!C222,'Activation Detail'!C722,'Activation Detail'!C1222,'Activation Detail'!C1722,'Activation Detail'!C2222,'Activation Detail'!C2722,'Activation Detail'!C3222,'Activation Detail'!C3722)</f>
        <v>4295736</v>
      </c>
      <c r="C222" s="45" t="n">
        <f aca="false">SUM('Activation Detail'!E222,'Activation Detail'!E722,'Activation Detail'!E1222,'Activation Detail'!E1722,'Activation Detail'!E2222,'Activation Detail'!E2722,'Activation Detail'!E3222,'Activation Detail'!E3722)</f>
        <v>412725</v>
      </c>
      <c r="D222" s="45" t="n">
        <f aca="false">SUM('Activation Detail'!G222,'Activation Detail'!G722,'Activation Detail'!G1222,'Activation Detail'!G1722,'Activation Detail'!G2222,'Activation Detail'!G2722,'Activation Detail'!G3222,'Activation Detail'!G3722)</f>
        <v>18695</v>
      </c>
      <c r="E222" s="48" t="n">
        <f aca="false">SUM('Activation Detail'!H222,'Activation Detail'!H722,'Activation Detail'!H1222,'Activation Detail'!H1722,'Activation Detail'!H2222,'Activation Detail'!H2722,'Activation Detail'!H3222,'Activation Detail'!H3722)</f>
        <v>1009.39046322842</v>
      </c>
      <c r="F222" s="50" t="n">
        <f aca="false">SUM('Activation Detail'!I222,'Activation Detail'!I722,'Activation Detail'!I1222,'Activation Detail'!I1722,'Activation Detail'!I2222,'Activation Detail'!I2722,'Activation Detail'!I3222,'Activation Detail'!I3722)</f>
        <v>71915.930118</v>
      </c>
      <c r="G222" s="50" t="n">
        <f aca="false">SUM('Activation Detail'!J222,'Activation Detail'!J722,'Activation Detail'!J1222,'Activation Detail'!J1722,'Activation Detail'!J2222,'Activation Detail'!J2722,'Activation Detail'!J3222,'Activation Detail'!J3722)</f>
        <v>6219320.91451062</v>
      </c>
      <c r="H222" s="50" t="n">
        <f aca="false">SUM('Activation Detail'!K222,'Activation Detail'!K722,'Activation Detail'!K1222,'Activation Detail'!K1722,'Activation Detail'!K2222,'Activation Detail'!K2722,'Activation Detail'!K3222,'Activation Detail'!K3722)</f>
        <v>133800.551956377</v>
      </c>
      <c r="I222" s="51" t="n">
        <f aca="false">IFERROR(H222/F222,0)</f>
        <v>1.86051340414894</v>
      </c>
      <c r="J222" s="49" t="n">
        <f aca="false">IFERROR(F222/E222,0)</f>
        <v>71.2468888283183</v>
      </c>
      <c r="K222" s="46" t="n">
        <f aca="false">IFERROR(C222/B222,0)</f>
        <v>0.0960778315985899</v>
      </c>
      <c r="L222" s="47" t="n">
        <f aca="false">IFERROR(D222/B222,0)</f>
        <v>0.00435198997331307</v>
      </c>
      <c r="N222" s="48" t="n">
        <f aca="false">SUMIFS('Activation Detail'!$H$4:$H$4003,'Activation Detail'!$A$4:$A$4003,$A222,'Activation Detail'!$N$4:$N$4003,N$2)</f>
        <v>123.553271370152</v>
      </c>
      <c r="O222" s="50" t="n">
        <f aca="false">N222*'Model Inputs &amp; Assumptions'!$D$40*'Model Inputs &amp; Assumptions'!$H$40</f>
        <v>1050202.80664629</v>
      </c>
      <c r="P222" s="50" t="n">
        <f aca="false">N222*'Model Inputs &amp; Assumptions'!$G$40*'Model Inputs &amp; Assumptions'!$H$40</f>
        <v>23629.5631495416</v>
      </c>
      <c r="Q222" s="50" t="n">
        <f aca="false">SUMIFS('Activation Detail'!$I$4:$I$4003,'Activation Detail'!$A$4:$A$4003,$A222,'Activation Detail'!$N$4:$N$4003,N$2)</f>
        <v>19532.987</v>
      </c>
      <c r="R222" s="51" t="n">
        <f aca="false">IFERROR(P222/Q222,0)</f>
        <v>1.20972604699637</v>
      </c>
      <c r="S222" s="49" t="n">
        <f aca="false">IFERROR(Q222/N222,0)</f>
        <v>158.093644817233</v>
      </c>
      <c r="T222" s="48" t="n">
        <f aca="false">SUMIFS('Activation Detail'!$H$4:$H$4003,'Activation Detail'!$A$4:$A$4003,$A222,'Activation Detail'!$N$4:$N$4003,T$2)</f>
        <v>214.220706572043</v>
      </c>
      <c r="U222" s="50" t="n">
        <f aca="false">T222*'Model Inputs &amp; Assumptions'!$D$41*'Model Inputs &amp; Assumptions'!$H$41</f>
        <v>1542389.08731871</v>
      </c>
      <c r="V222" s="50" t="n">
        <f aca="false">T222*'Model Inputs &amp; Assumptions'!$G$41*'Model Inputs &amp; Assumptions'!$H$41</f>
        <v>34009.6793753775</v>
      </c>
      <c r="W222" s="50" t="n">
        <f aca="false">SUMIFS('Activation Detail'!$I$4:$I$4003,'Activation Detail'!$A$4:$A$4003,$A222,'Activation Detail'!$N$4:$N$4003,T$2)</f>
        <v>18289.043118</v>
      </c>
      <c r="X222" s="51" t="n">
        <f aca="false">IFERROR(V222/W222,0)</f>
        <v>1.85956581522329</v>
      </c>
      <c r="Y222" s="49" t="n">
        <f aca="false">IFERROR(W222/T222,0)</f>
        <v>85.374767970198</v>
      </c>
      <c r="Z222" s="48" t="n">
        <f aca="false">SUMIFS('Activation Detail'!$H$4:$H$4003,'Activation Detail'!$A$4:$A$4003,$A222,'Activation Detail'!$N$4:$N$4003,Z$2)</f>
        <v>671.616485286226</v>
      </c>
      <c r="AA222" s="50" t="n">
        <f aca="false">Z222*'Model Inputs &amp; Assumptions'!$D$42*'Model Inputs &amp; Assumptions'!$H$42</f>
        <v>3626729.02054562</v>
      </c>
      <c r="AB222" s="50" t="n">
        <f aca="false">Z222*'Model Inputs &amp; Assumptions'!$G$42*'Model Inputs &amp; Assumptions'!$H$42</f>
        <v>76161.3094314581</v>
      </c>
      <c r="AC222" s="50" t="n">
        <f aca="false">SUMIFS('Activation Detail'!$I$4:$I$4003,'Activation Detail'!$A$4:$A$4003,$A222,'Activation Detail'!$N$4:$N$4003,Z$2)</f>
        <v>34093.9</v>
      </c>
      <c r="AD222" s="51" t="n">
        <f aca="false">IFERROR(AB222/AC222,0)</f>
        <v>2.23386909187444</v>
      </c>
      <c r="AE222" s="49" t="n">
        <f aca="false">IFERROR(AC222/Z222,0)</f>
        <v>50.7639415454045</v>
      </c>
    </row>
    <row r="223" customFormat="false" ht="15" hidden="false" customHeight="false" outlineLevel="0" collapsed="false">
      <c r="A223" s="43" t="n">
        <v>220</v>
      </c>
      <c r="B223" s="45" t="n">
        <f aca="false">SUM('Activation Detail'!C223,'Activation Detail'!C723,'Activation Detail'!C1223,'Activation Detail'!C1723,'Activation Detail'!C2223,'Activation Detail'!C2723,'Activation Detail'!C3223,'Activation Detail'!C3723)</f>
        <v>4463375</v>
      </c>
      <c r="C223" s="45" t="n">
        <f aca="false">SUM('Activation Detail'!E223,'Activation Detail'!E723,'Activation Detail'!E1223,'Activation Detail'!E1723,'Activation Detail'!E2223,'Activation Detail'!E2723,'Activation Detail'!E3223,'Activation Detail'!E3723)</f>
        <v>447659</v>
      </c>
      <c r="D223" s="45" t="n">
        <f aca="false">SUM('Activation Detail'!G223,'Activation Detail'!G723,'Activation Detail'!G1223,'Activation Detail'!G1723,'Activation Detail'!G2223,'Activation Detail'!G2723,'Activation Detail'!G3223,'Activation Detail'!G3723)</f>
        <v>17323</v>
      </c>
      <c r="E223" s="48" t="n">
        <f aca="false">SUM('Activation Detail'!H223,'Activation Detail'!H723,'Activation Detail'!H1223,'Activation Detail'!H1723,'Activation Detail'!H2223,'Activation Detail'!H2723,'Activation Detail'!H3223,'Activation Detail'!H3723)</f>
        <v>785.718966211357</v>
      </c>
      <c r="F223" s="50" t="n">
        <f aca="false">SUM('Activation Detail'!I223,'Activation Detail'!I723,'Activation Detail'!I1223,'Activation Detail'!I1723,'Activation Detail'!I2223,'Activation Detail'!I2723,'Activation Detail'!I3223,'Activation Detail'!I3723)</f>
        <v>74088.488218</v>
      </c>
      <c r="G223" s="50" t="n">
        <f aca="false">SUM('Activation Detail'!J223,'Activation Detail'!J723,'Activation Detail'!J1223,'Activation Detail'!J1723,'Activation Detail'!J2223,'Activation Detail'!J2723,'Activation Detail'!J3223,'Activation Detail'!J3723)</f>
        <v>4882655.80137592</v>
      </c>
      <c r="H223" s="50" t="n">
        <f aca="false">SUM('Activation Detail'!K223,'Activation Detail'!K723,'Activation Detail'!K1223,'Activation Detail'!K1723,'Activation Detail'!K2223,'Activation Detail'!K2723,'Activation Detail'!K3223,'Activation Detail'!K3723)</f>
        <v>105199.947049041</v>
      </c>
      <c r="I223" s="51" t="n">
        <f aca="false">IFERROR(H223/F223,0)</f>
        <v>1.41992298101019</v>
      </c>
      <c r="J223" s="49" t="n">
        <f aca="false">IFERROR(F223/E223,0)</f>
        <v>94.2938778419029</v>
      </c>
      <c r="K223" s="46" t="n">
        <f aca="false">IFERROR(C223/B223,0)</f>
        <v>0.100296076399586</v>
      </c>
      <c r="L223" s="47" t="n">
        <f aca="false">IFERROR(D223/B223,0)</f>
        <v>0.00388114375332568</v>
      </c>
      <c r="N223" s="48" t="n">
        <f aca="false">SUMIFS('Activation Detail'!$H$4:$H$4003,'Activation Detail'!$A$4:$A$4003,$A223,'Activation Detail'!$N$4:$N$4003,N$2)</f>
        <v>84.7147850317522</v>
      </c>
      <c r="O223" s="50" t="n">
        <f aca="false">N223*'Model Inputs &amp; Assumptions'!$D$40*'Model Inputs &amp; Assumptions'!$H$40</f>
        <v>720075.672769893</v>
      </c>
      <c r="P223" s="50" t="n">
        <f aca="false">N223*'Model Inputs &amp; Assumptions'!$G$40*'Model Inputs &amp; Assumptions'!$H$40</f>
        <v>16201.7026373226</v>
      </c>
      <c r="Q223" s="50" t="n">
        <f aca="false">SUMIFS('Activation Detail'!$I$4:$I$4003,'Activation Detail'!$A$4:$A$4003,$A223,'Activation Detail'!$N$4:$N$4003,N$2)</f>
        <v>18256.153</v>
      </c>
      <c r="R223" s="51" t="n">
        <f aca="false">IFERROR(P223/Q223,0)</f>
        <v>0.887465318532475</v>
      </c>
      <c r="S223" s="49" t="n">
        <f aca="false">IFERROR(Q223/N223,0)</f>
        <v>215.50137904685</v>
      </c>
      <c r="T223" s="48" t="n">
        <f aca="false">SUMIFS('Activation Detail'!$H$4:$H$4003,'Activation Detail'!$A$4:$A$4003,$A223,'Activation Detail'!$N$4:$N$4003,T$2)</f>
        <v>209.531972353421</v>
      </c>
      <c r="U223" s="50" t="n">
        <f aca="false">T223*'Model Inputs &amp; Assumptions'!$D$41*'Model Inputs &amp; Assumptions'!$H$41</f>
        <v>1508630.20094463</v>
      </c>
      <c r="V223" s="50" t="n">
        <f aca="false">T223*'Model Inputs &amp; Assumptions'!$G$41*'Model Inputs &amp; Assumptions'!$H$41</f>
        <v>33265.295930829</v>
      </c>
      <c r="W223" s="50" t="n">
        <f aca="false">SUMIFS('Activation Detail'!$I$4:$I$4003,'Activation Detail'!$A$4:$A$4003,$A223,'Activation Detail'!$N$4:$N$4003,T$2)</f>
        <v>20434.923218</v>
      </c>
      <c r="X223" s="51" t="n">
        <f aca="false">IFERROR(V223/W223,0)</f>
        <v>1.62786498270409</v>
      </c>
      <c r="Y223" s="49" t="n">
        <f aca="false">IFERROR(W223/T223,0)</f>
        <v>97.5265158270554</v>
      </c>
      <c r="Z223" s="48" t="n">
        <f aca="false">SUMIFS('Activation Detail'!$H$4:$H$4003,'Activation Detail'!$A$4:$A$4003,$A223,'Activation Detail'!$N$4:$N$4003,Z$2)</f>
        <v>491.472208826185</v>
      </c>
      <c r="AA223" s="50" t="n">
        <f aca="false">Z223*'Model Inputs &amp; Assumptions'!$D$42*'Model Inputs &amp; Assumptions'!$H$42</f>
        <v>2653949.9276614</v>
      </c>
      <c r="AB223" s="50" t="n">
        <f aca="false">Z223*'Model Inputs &amp; Assumptions'!$G$42*'Model Inputs &amp; Assumptions'!$H$42</f>
        <v>55732.9484808893</v>
      </c>
      <c r="AC223" s="50" t="n">
        <f aca="false">SUMIFS('Activation Detail'!$I$4:$I$4003,'Activation Detail'!$A$4:$A$4003,$A223,'Activation Detail'!$N$4:$N$4003,Z$2)</f>
        <v>35397.412</v>
      </c>
      <c r="AD223" s="51" t="n">
        <f aca="false">IFERROR(AB223/AC223,0)</f>
        <v>1.57449218267396</v>
      </c>
      <c r="AE223" s="49" t="n">
        <f aca="false">IFERROR(AC223/Z223,0)</f>
        <v>72.0232219936545</v>
      </c>
    </row>
    <row r="224" customFormat="false" ht="15" hidden="false" customHeight="false" outlineLevel="0" collapsed="false">
      <c r="A224" s="43" t="n">
        <v>221</v>
      </c>
      <c r="B224" s="45" t="n">
        <f aca="false">SUM('Activation Detail'!C224,'Activation Detail'!C724,'Activation Detail'!C1224,'Activation Detail'!C1724,'Activation Detail'!C2224,'Activation Detail'!C2724,'Activation Detail'!C3224,'Activation Detail'!C3724)</f>
        <v>3617184</v>
      </c>
      <c r="C224" s="45" t="n">
        <f aca="false">SUM('Activation Detail'!E224,'Activation Detail'!E724,'Activation Detail'!E1224,'Activation Detail'!E1724,'Activation Detail'!E2224,'Activation Detail'!E2724,'Activation Detail'!E3224,'Activation Detail'!E3724)</f>
        <v>317611</v>
      </c>
      <c r="D224" s="45" t="n">
        <f aca="false">SUM('Activation Detail'!G224,'Activation Detail'!G724,'Activation Detail'!G1224,'Activation Detail'!G1724,'Activation Detail'!G2224,'Activation Detail'!G2724,'Activation Detail'!G3224,'Activation Detail'!G3724)</f>
        <v>10537</v>
      </c>
      <c r="E224" s="48" t="n">
        <f aca="false">SUM('Activation Detail'!H224,'Activation Detail'!H724,'Activation Detail'!H1224,'Activation Detail'!H1724,'Activation Detail'!H2224,'Activation Detail'!H2724,'Activation Detail'!H3224,'Activation Detail'!H3724)</f>
        <v>402.346184824984</v>
      </c>
      <c r="F224" s="50" t="n">
        <f aca="false">SUM('Activation Detail'!I224,'Activation Detail'!I724,'Activation Detail'!I1224,'Activation Detail'!I1724,'Activation Detail'!I2224,'Activation Detail'!I2724,'Activation Detail'!I3224,'Activation Detail'!I3724)</f>
        <v>73913.196472</v>
      </c>
      <c r="G224" s="50" t="n">
        <f aca="false">SUM('Activation Detail'!J224,'Activation Detail'!J724,'Activation Detail'!J1224,'Activation Detail'!J1724,'Activation Detail'!J2224,'Activation Detail'!J2724,'Activation Detail'!J3224,'Activation Detail'!J3724)</f>
        <v>2672153.09934877</v>
      </c>
      <c r="H224" s="50" t="n">
        <f aca="false">SUM('Activation Detail'!K224,'Activation Detail'!K724,'Activation Detail'!K1224,'Activation Detail'!K1724,'Activation Detail'!K2224,'Activation Detail'!K2724,'Activation Detail'!K3224,'Activation Detail'!K3724)</f>
        <v>58184.3097597775</v>
      </c>
      <c r="I224" s="51" t="n">
        <f aca="false">IFERROR(H224/F224,0)</f>
        <v>0.787197855552345</v>
      </c>
      <c r="J224" s="49" t="n">
        <f aca="false">IFERROR(F224/E224,0)</f>
        <v>183.705473693385</v>
      </c>
      <c r="K224" s="46" t="n">
        <f aca="false">IFERROR(C224/B224,0)</f>
        <v>0.0878061497562745</v>
      </c>
      <c r="L224" s="47" t="n">
        <f aca="false">IFERROR(D224/B224,0)</f>
        <v>0.00291303953572724</v>
      </c>
      <c r="N224" s="48" t="n">
        <f aca="false">SUMIFS('Activation Detail'!$H$4:$H$4003,'Activation Detail'!$A$4:$A$4003,$A224,'Activation Detail'!$N$4:$N$4003,N$2)</f>
        <v>106.432859188477</v>
      </c>
      <c r="O224" s="50" t="n">
        <f aca="false">N224*'Model Inputs &amp; Assumptions'!$D$40*'Model Inputs &amp; Assumptions'!$H$40</f>
        <v>904679.303102058</v>
      </c>
      <c r="P224" s="50" t="n">
        <f aca="false">N224*'Model Inputs &amp; Assumptions'!$G$40*'Model Inputs &amp; Assumptions'!$H$40</f>
        <v>20355.2843197963</v>
      </c>
      <c r="Q224" s="50" t="n">
        <f aca="false">SUMIFS('Activation Detail'!$I$4:$I$4003,'Activation Detail'!$A$4:$A$4003,$A224,'Activation Detail'!$N$4:$N$4003,N$2)</f>
        <v>17319.919</v>
      </c>
      <c r="R224" s="51" t="n">
        <f aca="false">IFERROR(P224/Q224,0)</f>
        <v>1.17525285884976</v>
      </c>
      <c r="S224" s="49" t="n">
        <f aca="false">IFERROR(Q224/N224,0)</f>
        <v>162.730937908272</v>
      </c>
      <c r="T224" s="48" t="n">
        <f aca="false">SUMIFS('Activation Detail'!$H$4:$H$4003,'Activation Detail'!$A$4:$A$4003,$A224,'Activation Detail'!$N$4:$N$4003,T$2)</f>
        <v>94.1899098942097</v>
      </c>
      <c r="U224" s="50" t="n">
        <f aca="false">T224*'Model Inputs &amp; Assumptions'!$D$41*'Model Inputs &amp; Assumptions'!$H$41</f>
        <v>678167.35123831</v>
      </c>
      <c r="V224" s="50" t="n">
        <f aca="false">T224*'Model Inputs &amp; Assumptions'!$G$41*'Model Inputs &amp; Assumptions'!$H$41</f>
        <v>14953.5900948047</v>
      </c>
      <c r="W224" s="50" t="n">
        <f aca="false">SUMIFS('Activation Detail'!$I$4:$I$4003,'Activation Detail'!$A$4:$A$4003,$A224,'Activation Detail'!$N$4:$N$4003,T$2)</f>
        <v>15938.761472</v>
      </c>
      <c r="X224" s="51" t="n">
        <f aca="false">IFERROR(V224/W224,0)</f>
        <v>0.938190217669927</v>
      </c>
      <c r="Y224" s="49" t="n">
        <f aca="false">IFERROR(W224/T224,0)</f>
        <v>169.219415220821</v>
      </c>
      <c r="Z224" s="48" t="n">
        <f aca="false">SUMIFS('Activation Detail'!$H$4:$H$4003,'Activation Detail'!$A$4:$A$4003,$A224,'Activation Detail'!$N$4:$N$4003,Z$2)</f>
        <v>201.723415742297</v>
      </c>
      <c r="AA224" s="50" t="n">
        <f aca="false">Z224*'Model Inputs &amp; Assumptions'!$D$42*'Model Inputs &amp; Assumptions'!$H$42</f>
        <v>1089306.4450084</v>
      </c>
      <c r="AB224" s="50" t="n">
        <f aca="false">Z224*'Model Inputs &amp; Assumptions'!$G$42*'Model Inputs &amp; Assumptions'!$H$42</f>
        <v>22875.4353451765</v>
      </c>
      <c r="AC224" s="50" t="n">
        <f aca="false">SUMIFS('Activation Detail'!$I$4:$I$4003,'Activation Detail'!$A$4:$A$4003,$A224,'Activation Detail'!$N$4:$N$4003,Z$2)</f>
        <v>40654.516</v>
      </c>
      <c r="AD224" s="51" t="n">
        <f aca="false">IFERROR(AB224/AC224,0)</f>
        <v>0.562678826263151</v>
      </c>
      <c r="AE224" s="49" t="n">
        <f aca="false">IFERROR(AC224/Z224,0)</f>
        <v>201.535929036302</v>
      </c>
    </row>
    <row r="225" customFormat="false" ht="15" hidden="false" customHeight="false" outlineLevel="0" collapsed="false">
      <c r="A225" s="43" t="n">
        <v>222</v>
      </c>
      <c r="B225" s="45" t="n">
        <f aca="false">SUM('Activation Detail'!C225,'Activation Detail'!C725,'Activation Detail'!C1225,'Activation Detail'!C1725,'Activation Detail'!C2225,'Activation Detail'!C2725,'Activation Detail'!C3225,'Activation Detail'!C3725)</f>
        <v>4672463</v>
      </c>
      <c r="C225" s="45" t="n">
        <f aca="false">SUM('Activation Detail'!E225,'Activation Detail'!E725,'Activation Detail'!E1225,'Activation Detail'!E1725,'Activation Detail'!E2225,'Activation Detail'!E2725,'Activation Detail'!E3225,'Activation Detail'!E3725)</f>
        <v>348473</v>
      </c>
      <c r="D225" s="45" t="n">
        <f aca="false">SUM('Activation Detail'!G225,'Activation Detail'!G725,'Activation Detail'!G1225,'Activation Detail'!G1725,'Activation Detail'!G2225,'Activation Detail'!G2725,'Activation Detail'!G3225,'Activation Detail'!G3725)</f>
        <v>15985</v>
      </c>
      <c r="E225" s="48" t="n">
        <f aca="false">SUM('Activation Detail'!H225,'Activation Detail'!H725,'Activation Detail'!H1225,'Activation Detail'!H1725,'Activation Detail'!H2225,'Activation Detail'!H2725,'Activation Detail'!H3225,'Activation Detail'!H3725)</f>
        <v>560.519140957298</v>
      </c>
      <c r="F225" s="50" t="n">
        <f aca="false">SUM('Activation Detail'!I225,'Activation Detail'!I725,'Activation Detail'!I1225,'Activation Detail'!I1725,'Activation Detail'!I2225,'Activation Detail'!I2725,'Activation Detail'!I3225,'Activation Detail'!I3725)</f>
        <v>81456.369222</v>
      </c>
      <c r="G225" s="50" t="n">
        <f aca="false">SUM('Activation Detail'!J225,'Activation Detail'!J725,'Activation Detail'!J1225,'Activation Detail'!J1725,'Activation Detail'!J2225,'Activation Detail'!J2725,'Activation Detail'!J3225,'Activation Detail'!J3725)</f>
        <v>3570278.99183153</v>
      </c>
      <c r="H225" s="50" t="n">
        <f aca="false">SUM('Activation Detail'!K225,'Activation Detail'!K725,'Activation Detail'!K1225,'Activation Detail'!K1725,'Activation Detail'!K2225,'Activation Detail'!K2725,'Activation Detail'!K3225,'Activation Detail'!K3725)</f>
        <v>77238.4286110583</v>
      </c>
      <c r="I225" s="51" t="n">
        <f aca="false">IFERROR(H225/F225,0)</f>
        <v>0.948218406353882</v>
      </c>
      <c r="J225" s="49" t="n">
        <f aca="false">IFERROR(F225/E225,0)</f>
        <v>145.323082246366</v>
      </c>
      <c r="K225" s="46" t="n">
        <f aca="false">IFERROR(C225/B225,0)</f>
        <v>0.0745801518385485</v>
      </c>
      <c r="L225" s="47" t="n">
        <f aca="false">IFERROR(D225/B225,0)</f>
        <v>0.00342110788250223</v>
      </c>
      <c r="N225" s="48" t="n">
        <f aca="false">SUMIFS('Activation Detail'!$H$4:$H$4003,'Activation Detail'!$A$4:$A$4003,$A225,'Activation Detail'!$N$4:$N$4003,N$2)</f>
        <v>74.1772821658557</v>
      </c>
      <c r="O225" s="50" t="n">
        <f aca="false">N225*'Model Inputs &amp; Assumptions'!$D$40*'Model Inputs &amp; Assumptions'!$H$40</f>
        <v>630506.898409773</v>
      </c>
      <c r="P225" s="50" t="n">
        <f aca="false">N225*'Model Inputs &amp; Assumptions'!$G$40*'Model Inputs &amp; Assumptions'!$H$40</f>
        <v>14186.4052142199</v>
      </c>
      <c r="Q225" s="50" t="n">
        <f aca="false">SUMIFS('Activation Detail'!$I$4:$I$4003,'Activation Detail'!$A$4:$A$4003,$A225,'Activation Detail'!$N$4:$N$4003,N$2)</f>
        <v>18587.9845</v>
      </c>
      <c r="R225" s="51" t="n">
        <f aca="false">IFERROR(P225/Q225,0)</f>
        <v>0.76320298277739</v>
      </c>
      <c r="S225" s="49" t="n">
        <f aca="false">IFERROR(Q225/N225,0)</f>
        <v>250.588643278119</v>
      </c>
      <c r="T225" s="48" t="n">
        <f aca="false">SUMIFS('Activation Detail'!$H$4:$H$4003,'Activation Detail'!$A$4:$A$4003,$A225,'Activation Detail'!$N$4:$N$4003,T$2)</f>
        <v>174.181142193315</v>
      </c>
      <c r="U225" s="50" t="n">
        <f aca="false">T225*'Model Inputs &amp; Assumptions'!$D$41*'Model Inputs &amp; Assumptions'!$H$41</f>
        <v>1254104.22379187</v>
      </c>
      <c r="V225" s="50" t="n">
        <f aca="false">T225*'Model Inputs &amp; Assumptions'!$G$41*'Model Inputs &amp; Assumptions'!$H$41</f>
        <v>27652.9981346107</v>
      </c>
      <c r="W225" s="50" t="n">
        <f aca="false">SUMIFS('Activation Detail'!$I$4:$I$4003,'Activation Detail'!$A$4:$A$4003,$A225,'Activation Detail'!$N$4:$N$4003,T$2)</f>
        <v>17294.276722</v>
      </c>
      <c r="X225" s="51" t="n">
        <f aca="false">IFERROR(V225/W225,0)</f>
        <v>1.59896817768813</v>
      </c>
      <c r="Y225" s="49" t="n">
        <f aca="false">IFERROR(W225/T225,0)</f>
        <v>99.2890303980551</v>
      </c>
      <c r="Z225" s="48" t="n">
        <f aca="false">SUMIFS('Activation Detail'!$H$4:$H$4003,'Activation Detail'!$A$4:$A$4003,$A225,'Activation Detail'!$N$4:$N$4003,Z$2)</f>
        <v>312.160716598128</v>
      </c>
      <c r="AA225" s="50" t="n">
        <f aca="false">Z225*'Model Inputs &amp; Assumptions'!$D$42*'Model Inputs &amp; Assumptions'!$H$42</f>
        <v>1685667.86962989</v>
      </c>
      <c r="AB225" s="50" t="n">
        <f aca="false">Z225*'Model Inputs &amp; Assumptions'!$G$42*'Model Inputs &amp; Assumptions'!$H$42</f>
        <v>35399.0252622277</v>
      </c>
      <c r="AC225" s="50" t="n">
        <f aca="false">SUMIFS('Activation Detail'!$I$4:$I$4003,'Activation Detail'!$A$4:$A$4003,$A225,'Activation Detail'!$N$4:$N$4003,Z$2)</f>
        <v>45574.108</v>
      </c>
      <c r="AD225" s="51" t="n">
        <f aca="false">IFERROR(AB225/AC225,0)</f>
        <v>0.776735449484336</v>
      </c>
      <c r="AE225" s="49" t="n">
        <f aca="false">IFERROR(AC225/Z225,0)</f>
        <v>145.995654086967</v>
      </c>
    </row>
    <row r="226" customFormat="false" ht="15" hidden="false" customHeight="false" outlineLevel="0" collapsed="false">
      <c r="A226" s="43" t="n">
        <v>223</v>
      </c>
      <c r="B226" s="45" t="n">
        <f aca="false">SUM('Activation Detail'!C226,'Activation Detail'!C726,'Activation Detail'!C1226,'Activation Detail'!C1726,'Activation Detail'!C2226,'Activation Detail'!C2726,'Activation Detail'!C3226,'Activation Detail'!C3726)</f>
        <v>4594743</v>
      </c>
      <c r="C226" s="45" t="n">
        <f aca="false">SUM('Activation Detail'!E226,'Activation Detail'!E726,'Activation Detail'!E1226,'Activation Detail'!E1726,'Activation Detail'!E2226,'Activation Detail'!E2726,'Activation Detail'!E3226,'Activation Detail'!E3726)</f>
        <v>345656</v>
      </c>
      <c r="D226" s="45" t="n">
        <f aca="false">SUM('Activation Detail'!G226,'Activation Detail'!G726,'Activation Detail'!G1226,'Activation Detail'!G1726,'Activation Detail'!G2226,'Activation Detail'!G2726,'Activation Detail'!G3226,'Activation Detail'!G3726)</f>
        <v>20428</v>
      </c>
      <c r="E226" s="48" t="n">
        <f aca="false">SUM('Activation Detail'!H226,'Activation Detail'!H726,'Activation Detail'!H1226,'Activation Detail'!H1726,'Activation Detail'!H2226,'Activation Detail'!H2726,'Activation Detail'!H3226,'Activation Detail'!H3726)</f>
        <v>1058.62804222782</v>
      </c>
      <c r="F226" s="50" t="n">
        <f aca="false">SUM('Activation Detail'!I226,'Activation Detail'!I726,'Activation Detail'!I1226,'Activation Detail'!I1726,'Activation Detail'!I2226,'Activation Detail'!I2726,'Activation Detail'!I3226,'Activation Detail'!I3726)</f>
        <v>72879.929236</v>
      </c>
      <c r="G226" s="50" t="n">
        <f aca="false">SUM('Activation Detail'!J226,'Activation Detail'!J726,'Activation Detail'!J1226,'Activation Detail'!J1726,'Activation Detail'!J2226,'Activation Detail'!J2726,'Activation Detail'!J3226,'Activation Detail'!J3726)</f>
        <v>6391752.92431799</v>
      </c>
      <c r="H226" s="50" t="n">
        <f aca="false">SUM('Activation Detail'!K226,'Activation Detail'!K726,'Activation Detail'!K1226,'Activation Detail'!K1726,'Activation Detail'!K2226,'Activation Detail'!K2726,'Activation Detail'!K3226,'Activation Detail'!K3726)</f>
        <v>137026.703895981</v>
      </c>
      <c r="I226" s="51" t="n">
        <f aca="false">IFERROR(H226/F226,0)</f>
        <v>1.88017064962098</v>
      </c>
      <c r="J226" s="49" t="n">
        <f aca="false">IFERROR(F226/E226,0)</f>
        <v>68.8437546795271</v>
      </c>
      <c r="K226" s="46" t="n">
        <f aca="false">IFERROR(C226/B226,0)</f>
        <v>0.0752285818815111</v>
      </c>
      <c r="L226" s="47" t="n">
        <f aca="false">IFERROR(D226/B226,0)</f>
        <v>0.00444595051344547</v>
      </c>
      <c r="N226" s="48" t="n">
        <f aca="false">SUMIFS('Activation Detail'!$H$4:$H$4003,'Activation Detail'!$A$4:$A$4003,$A226,'Activation Detail'!$N$4:$N$4003,N$2)</f>
        <v>132.539996686469</v>
      </c>
      <c r="O226" s="50" t="n">
        <f aca="false">N226*'Model Inputs &amp; Assumptions'!$D$40*'Model Inputs &amp; Assumptions'!$H$40</f>
        <v>1126589.97183498</v>
      </c>
      <c r="P226" s="50" t="n">
        <f aca="false">N226*'Model Inputs &amp; Assumptions'!$G$40*'Model Inputs &amp; Assumptions'!$H$40</f>
        <v>25348.2743662872</v>
      </c>
      <c r="Q226" s="50" t="n">
        <f aca="false">SUMIFS('Activation Detail'!$I$4:$I$4003,'Activation Detail'!$A$4:$A$4003,$A226,'Activation Detail'!$N$4:$N$4003,N$2)</f>
        <v>18334.3415</v>
      </c>
      <c r="R226" s="51" t="n">
        <f aca="false">IFERROR(P226/Q226,0)</f>
        <v>1.38255711917917</v>
      </c>
      <c r="S226" s="49" t="n">
        <f aca="false">IFERROR(Q226/N226,0)</f>
        <v>138.330631947811</v>
      </c>
      <c r="T226" s="48" t="n">
        <f aca="false">SUMIFS('Activation Detail'!$H$4:$H$4003,'Activation Detail'!$A$4:$A$4003,$A226,'Activation Detail'!$N$4:$N$4003,T$2)</f>
        <v>146.826392533174</v>
      </c>
      <c r="U226" s="50" t="n">
        <f aca="false">T226*'Model Inputs &amp; Assumptions'!$D$41*'Model Inputs &amp; Assumptions'!$H$41</f>
        <v>1057150.02623885</v>
      </c>
      <c r="V226" s="50" t="n">
        <f aca="false">T226*'Model Inputs &amp; Assumptions'!$G$41*'Model Inputs &amp; Assumptions'!$H$41</f>
        <v>23310.1580785667</v>
      </c>
      <c r="W226" s="50" t="n">
        <f aca="false">SUMIFS('Activation Detail'!$I$4:$I$4003,'Activation Detail'!$A$4:$A$4003,$A226,'Activation Detail'!$N$4:$N$4003,T$2)</f>
        <v>17964.987736</v>
      </c>
      <c r="X226" s="51" t="n">
        <f aca="false">IFERROR(V226/W226,0)</f>
        <v>1.2975326463405</v>
      </c>
      <c r="Y226" s="49" t="n">
        <f aca="false">IFERROR(W226/T226,0)</f>
        <v>122.355302926489</v>
      </c>
      <c r="Z226" s="48" t="n">
        <f aca="false">SUMIFS('Activation Detail'!$H$4:$H$4003,'Activation Detail'!$A$4:$A$4003,$A226,'Activation Detail'!$N$4:$N$4003,Z$2)</f>
        <v>779.261653008176</v>
      </c>
      <c r="AA226" s="50" t="n">
        <f aca="false">Z226*'Model Inputs &amp; Assumptions'!$D$42*'Model Inputs &amp; Assumptions'!$H$42</f>
        <v>4208012.92624415</v>
      </c>
      <c r="AB226" s="50" t="n">
        <f aca="false">Z226*'Model Inputs &amp; Assumptions'!$G$42*'Model Inputs &amp; Assumptions'!$H$42</f>
        <v>88368.2714511271</v>
      </c>
      <c r="AC226" s="50" t="n">
        <f aca="false">SUMIFS('Activation Detail'!$I$4:$I$4003,'Activation Detail'!$A$4:$A$4003,$A226,'Activation Detail'!$N$4:$N$4003,Z$2)</f>
        <v>36580.6</v>
      </c>
      <c r="AD226" s="51" t="n">
        <f aca="false">IFERROR(AB226/AC226,0)</f>
        <v>2.41571410668844</v>
      </c>
      <c r="AE226" s="49" t="n">
        <f aca="false">IFERROR(AC226/Z226,0)</f>
        <v>46.9426409714738</v>
      </c>
    </row>
    <row r="227" customFormat="false" ht="15" hidden="false" customHeight="false" outlineLevel="0" collapsed="false">
      <c r="A227" s="43" t="n">
        <v>224</v>
      </c>
      <c r="B227" s="45" t="n">
        <f aca="false">SUM('Activation Detail'!C227,'Activation Detail'!C727,'Activation Detail'!C1227,'Activation Detail'!C1727,'Activation Detail'!C2227,'Activation Detail'!C2727,'Activation Detail'!C3227,'Activation Detail'!C3727)</f>
        <v>4675762</v>
      </c>
      <c r="C227" s="45" t="n">
        <f aca="false">SUM('Activation Detail'!E227,'Activation Detail'!E727,'Activation Detail'!E1227,'Activation Detail'!E1727,'Activation Detail'!E2227,'Activation Detail'!E2727,'Activation Detail'!E3227,'Activation Detail'!E3727)</f>
        <v>314218</v>
      </c>
      <c r="D227" s="45" t="n">
        <f aca="false">SUM('Activation Detail'!G227,'Activation Detail'!G727,'Activation Detail'!G1227,'Activation Detail'!G1727,'Activation Detail'!G2227,'Activation Detail'!G2727,'Activation Detail'!G3227,'Activation Detail'!G3727)</f>
        <v>16833</v>
      </c>
      <c r="E227" s="48" t="n">
        <f aca="false">SUM('Activation Detail'!H227,'Activation Detail'!H727,'Activation Detail'!H1227,'Activation Detail'!H1727,'Activation Detail'!H2227,'Activation Detail'!H2727,'Activation Detail'!H3227,'Activation Detail'!H3727)</f>
        <v>787.59373486172</v>
      </c>
      <c r="F227" s="50" t="n">
        <f aca="false">SUM('Activation Detail'!I227,'Activation Detail'!I727,'Activation Detail'!I1227,'Activation Detail'!I1727,'Activation Detail'!I2227,'Activation Detail'!I2727,'Activation Detail'!I3227,'Activation Detail'!I3727)</f>
        <v>71861.933418</v>
      </c>
      <c r="G227" s="50" t="n">
        <f aca="false">SUM('Activation Detail'!J227,'Activation Detail'!J727,'Activation Detail'!J1227,'Activation Detail'!J1727,'Activation Detail'!J2227,'Activation Detail'!J2727,'Activation Detail'!J3227,'Activation Detail'!J3727)</f>
        <v>4715415.53411276</v>
      </c>
      <c r="H227" s="50" t="n">
        <f aca="false">SUM('Activation Detail'!K227,'Activation Detail'!K727,'Activation Detail'!K1227,'Activation Detail'!K1727,'Activation Detail'!K2227,'Activation Detail'!K2727,'Activation Detail'!K3227,'Activation Detail'!K3727)</f>
        <v>100949.470490316</v>
      </c>
      <c r="I227" s="51" t="n">
        <f aca="false">IFERROR(H227/F227,0)</f>
        <v>1.40476975345378</v>
      </c>
      <c r="J227" s="49" t="n">
        <f aca="false">IFERROR(F227/E227,0)</f>
        <v>91.2423883496445</v>
      </c>
      <c r="K227" s="46" t="n">
        <f aca="false">IFERROR(C227/B227,0)</f>
        <v>0.0672014529396492</v>
      </c>
      <c r="L227" s="47" t="n">
        <f aca="false">IFERROR(D227/B227,0)</f>
        <v>0.00360005492152937</v>
      </c>
      <c r="N227" s="48" t="n">
        <f aca="false">SUMIFS('Activation Detail'!$H$4:$H$4003,'Activation Detail'!$A$4:$A$4003,$A227,'Activation Detail'!$N$4:$N$4003,N$2)</f>
        <v>60.6483802287192</v>
      </c>
      <c r="O227" s="50" t="n">
        <f aca="false">N227*'Model Inputs &amp; Assumptions'!$D$40*'Model Inputs &amp; Assumptions'!$H$40</f>
        <v>515511.231944113</v>
      </c>
      <c r="P227" s="50" t="n">
        <f aca="false">N227*'Model Inputs &amp; Assumptions'!$G$40*'Model Inputs &amp; Assumptions'!$H$40</f>
        <v>11599.0027187425</v>
      </c>
      <c r="Q227" s="50" t="n">
        <f aca="false">SUMIFS('Activation Detail'!$I$4:$I$4003,'Activation Detail'!$A$4:$A$4003,$A227,'Activation Detail'!$N$4:$N$4003,N$2)</f>
        <v>18265.1685</v>
      </c>
      <c r="R227" s="51" t="n">
        <f aca="false">IFERROR(P227/Q227,0)</f>
        <v>0.635033983877156</v>
      </c>
      <c r="S227" s="49" t="n">
        <f aca="false">IFERROR(Q227/N227,0)</f>
        <v>301.164984639619</v>
      </c>
      <c r="T227" s="48" t="n">
        <f aca="false">SUMIFS('Activation Detail'!$H$4:$H$4003,'Activation Detail'!$A$4:$A$4003,$A227,'Activation Detail'!$N$4:$N$4003,T$2)</f>
        <v>152.444103972469</v>
      </c>
      <c r="U227" s="50" t="n">
        <f aca="false">T227*'Model Inputs &amp; Assumptions'!$D$41*'Model Inputs &amp; Assumptions'!$H$41</f>
        <v>1097597.54860178</v>
      </c>
      <c r="V227" s="50" t="n">
        <f aca="false">T227*'Model Inputs &amp; Assumptions'!$G$41*'Model Inputs &amp; Assumptions'!$H$41</f>
        <v>24202.0259466692</v>
      </c>
      <c r="W227" s="50" t="n">
        <f aca="false">SUMIFS('Activation Detail'!$I$4:$I$4003,'Activation Detail'!$A$4:$A$4003,$A227,'Activation Detail'!$N$4:$N$4003,T$2)</f>
        <v>15974.828918</v>
      </c>
      <c r="X227" s="51" t="n">
        <f aca="false">IFERROR(V227/W227,0)</f>
        <v>1.5150100242638</v>
      </c>
      <c r="Y227" s="49" t="n">
        <f aca="false">IFERROR(W227/T227,0)</f>
        <v>104.791385837297</v>
      </c>
      <c r="Z227" s="48" t="n">
        <f aca="false">SUMIFS('Activation Detail'!$H$4:$H$4003,'Activation Detail'!$A$4:$A$4003,$A227,'Activation Detail'!$N$4:$N$4003,Z$2)</f>
        <v>574.501250660532</v>
      </c>
      <c r="AA227" s="50" t="n">
        <f aca="false">Z227*'Model Inputs &amp; Assumptions'!$D$42*'Model Inputs &amp; Assumptions'!$H$42</f>
        <v>3102306.75356687</v>
      </c>
      <c r="AB227" s="50" t="n">
        <f aca="false">Z227*'Model Inputs &amp; Assumptions'!$G$42*'Model Inputs &amp; Assumptions'!$H$42</f>
        <v>65148.4418249043</v>
      </c>
      <c r="AC227" s="50" t="n">
        <f aca="false">SUMIFS('Activation Detail'!$I$4:$I$4003,'Activation Detail'!$A$4:$A$4003,$A227,'Activation Detail'!$N$4:$N$4003,Z$2)</f>
        <v>37621.936</v>
      </c>
      <c r="AD227" s="51" t="n">
        <f aca="false">IFERROR(AB227/AC227,0)</f>
        <v>1.73166106669535</v>
      </c>
      <c r="AE227" s="49" t="n">
        <f aca="false">IFERROR(AC227/Z227,0)</f>
        <v>65.4862560468654</v>
      </c>
    </row>
    <row r="228" customFormat="false" ht="15" hidden="false" customHeight="false" outlineLevel="0" collapsed="false">
      <c r="A228" s="43" t="n">
        <v>225</v>
      </c>
      <c r="B228" s="45" t="n">
        <f aca="false">SUM('Activation Detail'!C228,'Activation Detail'!C728,'Activation Detail'!C1228,'Activation Detail'!C1728,'Activation Detail'!C2228,'Activation Detail'!C2728,'Activation Detail'!C3228,'Activation Detail'!C3728)</f>
        <v>4122426</v>
      </c>
      <c r="C228" s="45" t="n">
        <f aca="false">SUM('Activation Detail'!E228,'Activation Detail'!E728,'Activation Detail'!E1228,'Activation Detail'!E1728,'Activation Detail'!E2228,'Activation Detail'!E2728,'Activation Detail'!E3228,'Activation Detail'!E3728)</f>
        <v>522819</v>
      </c>
      <c r="D228" s="45" t="n">
        <f aca="false">SUM('Activation Detail'!G228,'Activation Detail'!G728,'Activation Detail'!G1228,'Activation Detail'!G1728,'Activation Detail'!G2228,'Activation Detail'!G2728,'Activation Detail'!G3228,'Activation Detail'!G3728)</f>
        <v>18104</v>
      </c>
      <c r="E228" s="48" t="n">
        <f aca="false">SUM('Activation Detail'!H228,'Activation Detail'!H728,'Activation Detail'!H1228,'Activation Detail'!H1728,'Activation Detail'!H2228,'Activation Detail'!H2728,'Activation Detail'!H3228,'Activation Detail'!H3728)</f>
        <v>834.153594479767</v>
      </c>
      <c r="F228" s="50" t="n">
        <f aca="false">SUM('Activation Detail'!I228,'Activation Detail'!I728,'Activation Detail'!I1228,'Activation Detail'!I1728,'Activation Detail'!I2228,'Activation Detail'!I2728,'Activation Detail'!I3228,'Activation Detail'!I3728)</f>
        <v>74393.168592</v>
      </c>
      <c r="G228" s="50" t="n">
        <f aca="false">SUM('Activation Detail'!J228,'Activation Detail'!J728,'Activation Detail'!J1228,'Activation Detail'!J1728,'Activation Detail'!J2228,'Activation Detail'!J2728,'Activation Detail'!J3228,'Activation Detail'!J3728)</f>
        <v>5152836.72884531</v>
      </c>
      <c r="H228" s="50" t="n">
        <f aca="false">SUM('Activation Detail'!K228,'Activation Detail'!K728,'Activation Detail'!K1228,'Activation Detail'!K1728,'Activation Detail'!K2228,'Activation Detail'!K2728,'Activation Detail'!K3228,'Activation Detail'!K3728)</f>
        <v>110906.040985836</v>
      </c>
      <c r="I228" s="51" t="n">
        <f aca="false">IFERROR(H228/F228,0)</f>
        <v>1.4908094800221</v>
      </c>
      <c r="J228" s="49" t="n">
        <f aca="false">IFERROR(F228/E228,0)</f>
        <v>89.1840172892817</v>
      </c>
      <c r="K228" s="46" t="n">
        <f aca="false">IFERROR(C228/B228,0)</f>
        <v>0.126823137637886</v>
      </c>
      <c r="L228" s="47" t="n">
        <f aca="false">IFERROR(D228/B228,0)</f>
        <v>0.00439158883628233</v>
      </c>
      <c r="N228" s="48" t="n">
        <f aca="false">SUMIFS('Activation Detail'!$H$4:$H$4003,'Activation Detail'!$A$4:$A$4003,$A228,'Activation Detail'!$N$4:$N$4003,N$2)</f>
        <v>99.4113269048222</v>
      </c>
      <c r="O228" s="50" t="n">
        <f aca="false">N228*'Model Inputs &amp; Assumptions'!$D$40*'Model Inputs &amp; Assumptions'!$H$40</f>
        <v>844996.278690988</v>
      </c>
      <c r="P228" s="50" t="n">
        <f aca="false">N228*'Model Inputs &amp; Assumptions'!$G$40*'Model Inputs &amp; Assumptions'!$H$40</f>
        <v>19012.4162705472</v>
      </c>
      <c r="Q228" s="50" t="n">
        <f aca="false">SUMIFS('Activation Detail'!$I$4:$I$4003,'Activation Detail'!$A$4:$A$4003,$A228,'Activation Detail'!$N$4:$N$4003,N$2)</f>
        <v>18040.145</v>
      </c>
      <c r="R228" s="51" t="n">
        <f aca="false">IFERROR(P228/Q228,0)</f>
        <v>1.05389487005494</v>
      </c>
      <c r="S228" s="49" t="n">
        <f aca="false">IFERROR(Q228/N228,0)</f>
        <v>181.469713378556</v>
      </c>
      <c r="T228" s="48" t="n">
        <f aca="false">SUMIFS('Activation Detail'!$H$4:$H$4003,'Activation Detail'!$A$4:$A$4003,$A228,'Activation Detail'!$N$4:$N$4003,T$2)</f>
        <v>189.017891805341</v>
      </c>
      <c r="U228" s="50" t="n">
        <f aca="false">T228*'Model Inputs &amp; Assumptions'!$D$41*'Model Inputs &amp; Assumptions'!$H$41</f>
        <v>1360928.82099845</v>
      </c>
      <c r="V228" s="50" t="n">
        <f aca="false">T228*'Model Inputs &amp; Assumptions'!$G$41*'Model Inputs &amp; Assumptions'!$H$41</f>
        <v>30008.4805030159</v>
      </c>
      <c r="W228" s="50" t="n">
        <f aca="false">SUMIFS('Activation Detail'!$I$4:$I$4003,'Activation Detail'!$A$4:$A$4003,$A228,'Activation Detail'!$N$4:$N$4003,T$2)</f>
        <v>18248.807592</v>
      </c>
      <c r="X228" s="51" t="n">
        <f aca="false">IFERROR(V228/W228,0)</f>
        <v>1.64440774290212</v>
      </c>
      <c r="Y228" s="49" t="n">
        <f aca="false">IFERROR(W228/T228,0)</f>
        <v>96.545397992236</v>
      </c>
      <c r="Z228" s="48" t="n">
        <f aca="false">SUMIFS('Activation Detail'!$H$4:$H$4003,'Activation Detail'!$A$4:$A$4003,$A228,'Activation Detail'!$N$4:$N$4003,Z$2)</f>
        <v>545.724375769605</v>
      </c>
      <c r="AA228" s="50" t="n">
        <f aca="false">Z228*'Model Inputs &amp; Assumptions'!$D$42*'Model Inputs &amp; Assumptions'!$H$42</f>
        <v>2946911.62915587</v>
      </c>
      <c r="AB228" s="50" t="n">
        <f aca="false">Z228*'Model Inputs &amp; Assumptions'!$G$42*'Model Inputs &amp; Assumptions'!$H$42</f>
        <v>61885.1442122732</v>
      </c>
      <c r="AC228" s="50" t="n">
        <f aca="false">SUMIFS('Activation Detail'!$I$4:$I$4003,'Activation Detail'!$A$4:$A$4003,$A228,'Activation Detail'!$N$4:$N$4003,Z$2)</f>
        <v>38104.216</v>
      </c>
      <c r="AD228" s="51" t="n">
        <f aca="false">IFERROR(AB228/AC228,0)</f>
        <v>1.62410228338704</v>
      </c>
      <c r="AE228" s="49" t="n">
        <f aca="false">IFERROR(AC228/Z228,0)</f>
        <v>69.8231885762181</v>
      </c>
    </row>
    <row r="229" customFormat="false" ht="15" hidden="false" customHeight="false" outlineLevel="0" collapsed="false">
      <c r="A229" s="43" t="n">
        <v>226</v>
      </c>
      <c r="B229" s="45" t="n">
        <f aca="false">SUM('Activation Detail'!C229,'Activation Detail'!C729,'Activation Detail'!C1229,'Activation Detail'!C1729,'Activation Detail'!C2229,'Activation Detail'!C2729,'Activation Detail'!C3229,'Activation Detail'!C3729)</f>
        <v>3726770</v>
      </c>
      <c r="C229" s="45" t="n">
        <f aca="false">SUM('Activation Detail'!E229,'Activation Detail'!E729,'Activation Detail'!E1229,'Activation Detail'!E1729,'Activation Detail'!E2229,'Activation Detail'!E2729,'Activation Detail'!E3229,'Activation Detail'!E3729)</f>
        <v>344486</v>
      </c>
      <c r="D229" s="45" t="n">
        <f aca="false">SUM('Activation Detail'!G229,'Activation Detail'!G729,'Activation Detail'!G1229,'Activation Detail'!G1729,'Activation Detail'!G2229,'Activation Detail'!G2729,'Activation Detail'!G3229,'Activation Detail'!G3729)</f>
        <v>15372</v>
      </c>
      <c r="E229" s="48" t="n">
        <f aca="false">SUM('Activation Detail'!H229,'Activation Detail'!H729,'Activation Detail'!H1229,'Activation Detail'!H1729,'Activation Detail'!H2229,'Activation Detail'!H2729,'Activation Detail'!H3229,'Activation Detail'!H3729)</f>
        <v>659.576039611974</v>
      </c>
      <c r="F229" s="50" t="n">
        <f aca="false">SUM('Activation Detail'!I229,'Activation Detail'!I729,'Activation Detail'!I1229,'Activation Detail'!I1729,'Activation Detail'!I2229,'Activation Detail'!I2729,'Activation Detail'!I3229,'Activation Detail'!I3729)</f>
        <v>70440.582456</v>
      </c>
      <c r="G229" s="50" t="n">
        <f aca="false">SUM('Activation Detail'!J229,'Activation Detail'!J729,'Activation Detail'!J1229,'Activation Detail'!J1729,'Activation Detail'!J2229,'Activation Detail'!J2729,'Activation Detail'!J3229,'Activation Detail'!J3729)</f>
        <v>4131539.66314876</v>
      </c>
      <c r="H229" s="50" t="n">
        <f aca="false">SUM('Activation Detail'!K229,'Activation Detail'!K729,'Activation Detail'!K1229,'Activation Detail'!K1729,'Activation Detail'!K2229,'Activation Detail'!K2729,'Activation Detail'!K3229,'Activation Detail'!K3729)</f>
        <v>89130.0490932484</v>
      </c>
      <c r="I229" s="51" t="n">
        <f aca="false">IFERROR(H229/F229,0)</f>
        <v>1.26532243183711</v>
      </c>
      <c r="J229" s="49" t="n">
        <f aca="false">IFERROR(F229/E229,0)</f>
        <v>106.796757652749</v>
      </c>
      <c r="K229" s="46" t="n">
        <f aca="false">IFERROR(C229/B229,0)</f>
        <v>0.0924355406960988</v>
      </c>
      <c r="L229" s="47" t="n">
        <f aca="false">IFERROR(D229/B229,0)</f>
        <v>0.0041247514603799</v>
      </c>
      <c r="N229" s="48" t="n">
        <f aca="false">SUMIFS('Activation Detail'!$H$4:$H$4003,'Activation Detail'!$A$4:$A$4003,$A229,'Activation Detail'!$N$4:$N$4003,N$2)</f>
        <v>94.6882951877879</v>
      </c>
      <c r="O229" s="50" t="n">
        <f aca="false">N229*'Model Inputs &amp; Assumptions'!$D$40*'Model Inputs &amp; Assumptions'!$H$40</f>
        <v>804850.509096197</v>
      </c>
      <c r="P229" s="50" t="n">
        <f aca="false">N229*'Model Inputs &amp; Assumptions'!$G$40*'Model Inputs &amp; Assumptions'!$H$40</f>
        <v>18109.1364546644</v>
      </c>
      <c r="Q229" s="50" t="n">
        <f aca="false">SUMIFS('Activation Detail'!$I$4:$I$4003,'Activation Detail'!$A$4:$A$4003,$A229,'Activation Detail'!$N$4:$N$4003,N$2)</f>
        <v>18525.422</v>
      </c>
      <c r="R229" s="51" t="n">
        <f aca="false">IFERROR(P229/Q229,0)</f>
        <v>0.977528957486876</v>
      </c>
      <c r="S229" s="49" t="n">
        <f aca="false">IFERROR(Q229/N229,0)</f>
        <v>195.64637807936</v>
      </c>
      <c r="T229" s="48" t="n">
        <f aca="false">SUMIFS('Activation Detail'!$H$4:$H$4003,'Activation Detail'!$A$4:$A$4003,$A229,'Activation Detail'!$N$4:$N$4003,T$2)</f>
        <v>153.497407867752</v>
      </c>
      <c r="U229" s="50" t="n">
        <f aca="false">T229*'Model Inputs &amp; Assumptions'!$D$41*'Model Inputs &amp; Assumptions'!$H$41</f>
        <v>1105181.33664781</v>
      </c>
      <c r="V229" s="50" t="n">
        <f aca="false">T229*'Model Inputs &amp; Assumptions'!$G$41*'Model Inputs &amp; Assumptions'!$H$41</f>
        <v>24369.2484730843</v>
      </c>
      <c r="W229" s="50" t="n">
        <f aca="false">SUMIFS('Activation Detail'!$I$4:$I$4003,'Activation Detail'!$A$4:$A$4003,$A229,'Activation Detail'!$N$4:$N$4003,T$2)</f>
        <v>17811.408456</v>
      </c>
      <c r="X229" s="51" t="n">
        <f aca="false">IFERROR(V229/W229,0)</f>
        <v>1.36818200162465</v>
      </c>
      <c r="Y229" s="49" t="n">
        <f aca="false">IFERROR(W229/T229,0)</f>
        <v>116.037193744312</v>
      </c>
      <c r="Z229" s="48" t="n">
        <f aca="false">SUMIFS('Activation Detail'!$H$4:$H$4003,'Activation Detail'!$A$4:$A$4003,$A229,'Activation Detail'!$N$4:$N$4003,Z$2)</f>
        <v>411.390336556434</v>
      </c>
      <c r="AA229" s="50" t="n">
        <f aca="false">Z229*'Model Inputs &amp; Assumptions'!$D$42*'Model Inputs &amp; Assumptions'!$H$42</f>
        <v>2221507.81740475</v>
      </c>
      <c r="AB229" s="50" t="n">
        <f aca="false">Z229*'Model Inputs &amp; Assumptions'!$G$42*'Model Inputs &amp; Assumptions'!$H$42</f>
        <v>46651.6641654997</v>
      </c>
      <c r="AC229" s="50" t="n">
        <f aca="false">SUMIFS('Activation Detail'!$I$4:$I$4003,'Activation Detail'!$A$4:$A$4003,$A229,'Activation Detail'!$N$4:$N$4003,Z$2)</f>
        <v>34103.752</v>
      </c>
      <c r="AD229" s="51" t="n">
        <f aca="false">IFERROR(AB229/AC229,0)</f>
        <v>1.36793348032497</v>
      </c>
      <c r="AE229" s="49" t="n">
        <f aca="false">IFERROR(AC229/Z229,0)</f>
        <v>82.8987678355971</v>
      </c>
    </row>
    <row r="230" customFormat="false" ht="15" hidden="false" customHeight="false" outlineLevel="0" collapsed="false">
      <c r="A230" s="43" t="n">
        <v>227</v>
      </c>
      <c r="B230" s="45" t="n">
        <f aca="false">SUM('Activation Detail'!C230,'Activation Detail'!C730,'Activation Detail'!C1230,'Activation Detail'!C1730,'Activation Detail'!C2230,'Activation Detail'!C2730,'Activation Detail'!C3230,'Activation Detail'!C3730)</f>
        <v>4031526</v>
      </c>
      <c r="C230" s="45" t="n">
        <f aca="false">SUM('Activation Detail'!E230,'Activation Detail'!E730,'Activation Detail'!E1230,'Activation Detail'!E1730,'Activation Detail'!E2230,'Activation Detail'!E2730,'Activation Detail'!E3230,'Activation Detail'!E3730)</f>
        <v>425361</v>
      </c>
      <c r="D230" s="45" t="n">
        <f aca="false">SUM('Activation Detail'!G230,'Activation Detail'!G730,'Activation Detail'!G1230,'Activation Detail'!G1730,'Activation Detail'!G2230,'Activation Detail'!G2730,'Activation Detail'!G3230,'Activation Detail'!G3730)</f>
        <v>15440</v>
      </c>
      <c r="E230" s="48" t="n">
        <f aca="false">SUM('Activation Detail'!H230,'Activation Detail'!H730,'Activation Detail'!H1230,'Activation Detail'!H1730,'Activation Detail'!H2230,'Activation Detail'!H2730,'Activation Detail'!H3230,'Activation Detail'!H3730)</f>
        <v>650.385795513512</v>
      </c>
      <c r="F230" s="50" t="n">
        <f aca="false">SUM('Activation Detail'!I230,'Activation Detail'!I730,'Activation Detail'!I1230,'Activation Detail'!I1730,'Activation Detail'!I2230,'Activation Detail'!I2730,'Activation Detail'!I3230,'Activation Detail'!I3730)</f>
        <v>75572.7544</v>
      </c>
      <c r="G230" s="50" t="n">
        <f aca="false">SUM('Activation Detail'!J230,'Activation Detail'!J730,'Activation Detail'!J1230,'Activation Detail'!J1730,'Activation Detail'!J2230,'Activation Detail'!J2730,'Activation Detail'!J3230,'Activation Detail'!J3730)</f>
        <v>4205897.77074298</v>
      </c>
      <c r="H230" s="50" t="n">
        <f aca="false">SUM('Activation Detail'!K230,'Activation Detail'!K730,'Activation Detail'!K1230,'Activation Detail'!K1730,'Activation Detail'!K2230,'Activation Detail'!K2730,'Activation Detail'!K3230,'Activation Detail'!K3730)</f>
        <v>91212.8189823458</v>
      </c>
      <c r="I230" s="51" t="n">
        <f aca="false">IFERROR(H230/F230,0)</f>
        <v>1.20695374552004</v>
      </c>
      <c r="J230" s="49" t="n">
        <f aca="false">IFERROR(F230/E230,0)</f>
        <v>116.196809526462</v>
      </c>
      <c r="K230" s="46" t="n">
        <f aca="false">IFERROR(C230/B230,0)</f>
        <v>0.105508683312473</v>
      </c>
      <c r="L230" s="47" t="n">
        <f aca="false">IFERROR(D230/B230,0)</f>
        <v>0.00382981531062928</v>
      </c>
      <c r="N230" s="48" t="n">
        <f aca="false">SUMIFS('Activation Detail'!$H$4:$H$4003,'Activation Detail'!$A$4:$A$4003,$A230,'Activation Detail'!$N$4:$N$4003,N$2)</f>
        <v>92.7962893732524</v>
      </c>
      <c r="O230" s="50" t="n">
        <f aca="false">N230*'Model Inputs &amp; Assumptions'!$D$40*'Model Inputs &amp; Assumptions'!$H$40</f>
        <v>788768.459672646</v>
      </c>
      <c r="P230" s="50" t="n">
        <f aca="false">N230*'Model Inputs &amp; Assumptions'!$G$40*'Model Inputs &amp; Assumptions'!$H$40</f>
        <v>17747.2903426345</v>
      </c>
      <c r="Q230" s="50" t="n">
        <f aca="false">SUMIFS('Activation Detail'!$I$4:$I$4003,'Activation Detail'!$A$4:$A$4003,$A230,'Activation Detail'!$N$4:$N$4003,N$2)</f>
        <v>18589.5705</v>
      </c>
      <c r="R230" s="51" t="n">
        <f aca="false">IFERROR(P230/Q230,0)</f>
        <v>0.954690714486089</v>
      </c>
      <c r="S230" s="49" t="n">
        <f aca="false">IFERROR(Q230/N230,0)</f>
        <v>200.32665773119</v>
      </c>
      <c r="T230" s="48" t="n">
        <f aca="false">SUMIFS('Activation Detail'!$H$4:$H$4003,'Activation Detail'!$A$4:$A$4003,$A230,'Activation Detail'!$N$4:$N$4003,T$2)</f>
        <v>225.636654396073</v>
      </c>
      <c r="U230" s="50" t="n">
        <f aca="false">T230*'Model Inputs &amp; Assumptions'!$D$41*'Model Inputs &amp; Assumptions'!$H$41</f>
        <v>1624583.91165172</v>
      </c>
      <c r="V230" s="50" t="n">
        <f aca="false">T230*'Model Inputs &amp; Assumptions'!$G$41*'Model Inputs &amp; Assumptions'!$H$41</f>
        <v>35822.0752519205</v>
      </c>
      <c r="W230" s="50" t="n">
        <f aca="false">SUMIFS('Activation Detail'!$I$4:$I$4003,'Activation Detail'!$A$4:$A$4003,$A230,'Activation Detail'!$N$4:$N$4003,T$2)</f>
        <v>17157.6639</v>
      </c>
      <c r="X230" s="51" t="n">
        <f aca="false">IFERROR(V230/W230,0)</f>
        <v>2.08781775075571</v>
      </c>
      <c r="Y230" s="49" t="n">
        <f aca="false">IFERROR(W230/T230,0)</f>
        <v>76.0411199409214</v>
      </c>
      <c r="Z230" s="48" t="n">
        <f aca="false">SUMIFS('Activation Detail'!$H$4:$H$4003,'Activation Detail'!$A$4:$A$4003,$A230,'Activation Detail'!$N$4:$N$4003,Z$2)</f>
        <v>331.952851744187</v>
      </c>
      <c r="AA230" s="50" t="n">
        <f aca="false">Z230*'Model Inputs &amp; Assumptions'!$D$42*'Model Inputs &amp; Assumptions'!$H$42</f>
        <v>1792545.39941861</v>
      </c>
      <c r="AB230" s="50" t="n">
        <f aca="false">Z230*'Model Inputs &amp; Assumptions'!$G$42*'Model Inputs &amp; Assumptions'!$H$42</f>
        <v>37643.4533877908</v>
      </c>
      <c r="AC230" s="50" t="n">
        <f aca="false">SUMIFS('Activation Detail'!$I$4:$I$4003,'Activation Detail'!$A$4:$A$4003,$A230,'Activation Detail'!$N$4:$N$4003,Z$2)</f>
        <v>39825.52</v>
      </c>
      <c r="AD230" s="51" t="n">
        <f aca="false">IFERROR(AB230/AC230,0)</f>
        <v>0.945209337826368</v>
      </c>
      <c r="AE230" s="49" t="n">
        <f aca="false">IFERROR(AC230/Z230,0)</f>
        <v>119.973423306183</v>
      </c>
    </row>
    <row r="231" customFormat="false" ht="15" hidden="false" customHeight="false" outlineLevel="0" collapsed="false">
      <c r="A231" s="43" t="n">
        <v>228</v>
      </c>
      <c r="B231" s="45" t="n">
        <f aca="false">SUM('Activation Detail'!C231,'Activation Detail'!C731,'Activation Detail'!C1231,'Activation Detail'!C1731,'Activation Detail'!C2231,'Activation Detail'!C2731,'Activation Detail'!C3231,'Activation Detail'!C3731)</f>
        <v>4451480</v>
      </c>
      <c r="C231" s="45" t="n">
        <f aca="false">SUM('Activation Detail'!E231,'Activation Detail'!E731,'Activation Detail'!E1231,'Activation Detail'!E1731,'Activation Detail'!E2231,'Activation Detail'!E2731,'Activation Detail'!E3231,'Activation Detail'!E3731)</f>
        <v>562920</v>
      </c>
      <c r="D231" s="45" t="n">
        <f aca="false">SUM('Activation Detail'!G231,'Activation Detail'!G731,'Activation Detail'!G1231,'Activation Detail'!G1731,'Activation Detail'!G2231,'Activation Detail'!G2731,'Activation Detail'!G3231,'Activation Detail'!G3731)</f>
        <v>20455</v>
      </c>
      <c r="E231" s="48" t="n">
        <f aca="false">SUM('Activation Detail'!H231,'Activation Detail'!H731,'Activation Detail'!H1231,'Activation Detail'!H1731,'Activation Detail'!H2231,'Activation Detail'!H2731,'Activation Detail'!H3231,'Activation Detail'!H3731)</f>
        <v>715.067077100543</v>
      </c>
      <c r="F231" s="50" t="n">
        <f aca="false">SUM('Activation Detail'!I231,'Activation Detail'!I731,'Activation Detail'!I1231,'Activation Detail'!I1731,'Activation Detail'!I2231,'Activation Detail'!I2731,'Activation Detail'!I3231,'Activation Detail'!I3731)</f>
        <v>79240.953128</v>
      </c>
      <c r="G231" s="50" t="n">
        <f aca="false">SUM('Activation Detail'!J231,'Activation Detail'!J731,'Activation Detail'!J1231,'Activation Detail'!J1731,'Activation Detail'!J2231,'Activation Detail'!J2731,'Activation Detail'!J3231,'Activation Detail'!J3731)</f>
        <v>4634256.71282162</v>
      </c>
      <c r="H231" s="50" t="n">
        <f aca="false">SUM('Activation Detail'!K231,'Activation Detail'!K731,'Activation Detail'!K1231,'Activation Detail'!K1731,'Activation Detail'!K2231,'Activation Detail'!K2731,'Activation Detail'!K3231,'Activation Detail'!K3731)</f>
        <v>100541.059187104</v>
      </c>
      <c r="I231" s="51" t="n">
        <f aca="false">IFERROR(H231/F231,0)</f>
        <v>1.26880173973548</v>
      </c>
      <c r="J231" s="49" t="n">
        <f aca="false">IFERROR(F231/E231,0)</f>
        <v>110.816111754587</v>
      </c>
      <c r="K231" s="46" t="n">
        <f aca="false">IFERROR(C231/B231,0)</f>
        <v>0.126456818855751</v>
      </c>
      <c r="L231" s="47" t="n">
        <f aca="false">IFERROR(D231/B231,0)</f>
        <v>0.00459510095518794</v>
      </c>
      <c r="N231" s="48" t="n">
        <f aca="false">SUMIFS('Activation Detail'!$H$4:$H$4003,'Activation Detail'!$A$4:$A$4003,$A231,'Activation Detail'!$N$4:$N$4003,N$2)</f>
        <v>90.6987680029753</v>
      </c>
      <c r="O231" s="50" t="n">
        <f aca="false">N231*'Model Inputs &amp; Assumptions'!$D$40*'Model Inputs &amp; Assumptions'!$H$40</f>
        <v>770939.52802529</v>
      </c>
      <c r="P231" s="50" t="n">
        <f aca="false">N231*'Model Inputs &amp; Assumptions'!$G$40*'Model Inputs &amp; Assumptions'!$H$40</f>
        <v>17346.139380569</v>
      </c>
      <c r="Q231" s="50" t="n">
        <f aca="false">SUMIFS('Activation Detail'!$I$4:$I$4003,'Activation Detail'!$A$4:$A$4003,$A231,'Activation Detail'!$N$4:$N$4003,N$2)</f>
        <v>18224.849</v>
      </c>
      <c r="R231" s="51" t="n">
        <f aca="false">IFERROR(P231/Q231,0)</f>
        <v>0.951785080939163</v>
      </c>
      <c r="S231" s="49" t="n">
        <f aca="false">IFERROR(Q231/N231,0)</f>
        <v>200.938220014214</v>
      </c>
      <c r="T231" s="48" t="n">
        <f aca="false">SUMIFS('Activation Detail'!$H$4:$H$4003,'Activation Detail'!$A$4:$A$4003,$A231,'Activation Detail'!$N$4:$N$4003,T$2)</f>
        <v>273.182397594146</v>
      </c>
      <c r="U231" s="50" t="n">
        <f aca="false">T231*'Model Inputs &amp; Assumptions'!$D$41*'Model Inputs &amp; Assumptions'!$H$41</f>
        <v>1966913.26267785</v>
      </c>
      <c r="V231" s="50" t="n">
        <f aca="false">T231*'Model Inputs &amp; Assumptions'!$G$41*'Model Inputs &amp; Assumptions'!$H$41</f>
        <v>43370.4374420466</v>
      </c>
      <c r="W231" s="50" t="n">
        <f aca="false">SUMIFS('Activation Detail'!$I$4:$I$4003,'Activation Detail'!$A$4:$A$4003,$A231,'Activation Detail'!$N$4:$N$4003,T$2)</f>
        <v>20995.632128</v>
      </c>
      <c r="X231" s="51" t="n">
        <f aca="false">IFERROR(V231/W231,0)</f>
        <v>2.06568857644478</v>
      </c>
      <c r="Y231" s="49" t="n">
        <f aca="false">IFERROR(W231/T231,0)</f>
        <v>76.8557283079131</v>
      </c>
      <c r="Z231" s="48" t="n">
        <f aca="false">SUMIFS('Activation Detail'!$H$4:$H$4003,'Activation Detail'!$A$4:$A$4003,$A231,'Activation Detail'!$N$4:$N$4003,Z$2)</f>
        <v>351.185911503422</v>
      </c>
      <c r="AA231" s="50" t="n">
        <f aca="false">Z231*'Model Inputs &amp; Assumptions'!$D$42*'Model Inputs &amp; Assumptions'!$H$42</f>
        <v>1896403.92211848</v>
      </c>
      <c r="AB231" s="50" t="n">
        <f aca="false">Z231*'Model Inputs &amp; Assumptions'!$G$42*'Model Inputs &amp; Assumptions'!$H$42</f>
        <v>39824.482364488</v>
      </c>
      <c r="AC231" s="50" t="n">
        <f aca="false">SUMIFS('Activation Detail'!$I$4:$I$4003,'Activation Detail'!$A$4:$A$4003,$A231,'Activation Detail'!$N$4:$N$4003,Z$2)</f>
        <v>40020.472</v>
      </c>
      <c r="AD231" s="51" t="n">
        <f aca="false">IFERROR(AB231/AC231,0)</f>
        <v>0.995102765516809</v>
      </c>
      <c r="AE231" s="49" t="n">
        <f aca="false">IFERROR(AC231/Z231,0)</f>
        <v>113.958079436253</v>
      </c>
    </row>
    <row r="232" customFormat="false" ht="15" hidden="false" customHeight="false" outlineLevel="0" collapsed="false">
      <c r="A232" s="43" t="n">
        <v>229</v>
      </c>
      <c r="B232" s="45" t="n">
        <f aca="false">SUM('Activation Detail'!C232,'Activation Detail'!C732,'Activation Detail'!C1232,'Activation Detail'!C1732,'Activation Detail'!C2232,'Activation Detail'!C2732,'Activation Detail'!C3232,'Activation Detail'!C3732)</f>
        <v>4692145</v>
      </c>
      <c r="C232" s="45" t="n">
        <f aca="false">SUM('Activation Detail'!E232,'Activation Detail'!E732,'Activation Detail'!E1232,'Activation Detail'!E1732,'Activation Detail'!E2232,'Activation Detail'!E2732,'Activation Detail'!E3232,'Activation Detail'!E3732)</f>
        <v>331650</v>
      </c>
      <c r="D232" s="45" t="n">
        <f aca="false">SUM('Activation Detail'!G232,'Activation Detail'!G732,'Activation Detail'!G1232,'Activation Detail'!G1732,'Activation Detail'!G2232,'Activation Detail'!G2732,'Activation Detail'!G3232,'Activation Detail'!G3732)</f>
        <v>20664</v>
      </c>
      <c r="E232" s="48" t="n">
        <f aca="false">SUM('Activation Detail'!H232,'Activation Detail'!H732,'Activation Detail'!H1232,'Activation Detail'!H1732,'Activation Detail'!H2232,'Activation Detail'!H2732,'Activation Detail'!H3232,'Activation Detail'!H3732)</f>
        <v>1025.68043573965</v>
      </c>
      <c r="F232" s="50" t="n">
        <f aca="false">SUM('Activation Detail'!I232,'Activation Detail'!I732,'Activation Detail'!I1232,'Activation Detail'!I1732,'Activation Detail'!I2232,'Activation Detail'!I2732,'Activation Detail'!I3232,'Activation Detail'!I3732)</f>
        <v>79145.52222</v>
      </c>
      <c r="G232" s="50" t="n">
        <f aca="false">SUM('Activation Detail'!J232,'Activation Detail'!J732,'Activation Detail'!J1232,'Activation Detail'!J1732,'Activation Detail'!J2232,'Activation Detail'!J2732,'Activation Detail'!J3232,'Activation Detail'!J3732)</f>
        <v>6076770.37296678</v>
      </c>
      <c r="H232" s="50" t="n">
        <f aca="false">SUM('Activation Detail'!K232,'Activation Detail'!K732,'Activation Detail'!K1232,'Activation Detail'!K1732,'Activation Detail'!K2232,'Activation Detail'!K2732,'Activation Detail'!K3232,'Activation Detail'!K3732)</f>
        <v>129843.390148915</v>
      </c>
      <c r="I232" s="51" t="n">
        <f aca="false">IFERROR(H232/F232,0)</f>
        <v>1.64056520832588</v>
      </c>
      <c r="J232" s="49" t="n">
        <f aca="false">IFERROR(F232/E232,0)</f>
        <v>77.1639191527773</v>
      </c>
      <c r="K232" s="46" t="n">
        <f aca="false">IFERROR(C232/B232,0)</f>
        <v>0.0706819588908697</v>
      </c>
      <c r="L232" s="47" t="n">
        <f aca="false">IFERROR(D232/B232,0)</f>
        <v>0.0044039559732276</v>
      </c>
      <c r="N232" s="48" t="n">
        <f aca="false">SUMIFS('Activation Detail'!$H$4:$H$4003,'Activation Detail'!$A$4:$A$4003,$A232,'Activation Detail'!$N$4:$N$4003,N$2)</f>
        <v>106.633212120859</v>
      </c>
      <c r="O232" s="50" t="n">
        <f aca="false">N232*'Model Inputs &amp; Assumptions'!$D$40*'Model Inputs &amp; Assumptions'!$H$40</f>
        <v>906382.303027305</v>
      </c>
      <c r="P232" s="50" t="n">
        <f aca="false">N232*'Model Inputs &amp; Assumptions'!$G$40*'Model Inputs &amp; Assumptions'!$H$40</f>
        <v>20393.6018181144</v>
      </c>
      <c r="Q232" s="50" t="n">
        <f aca="false">SUMIFS('Activation Detail'!$I$4:$I$4003,'Activation Detail'!$A$4:$A$4003,$A232,'Activation Detail'!$N$4:$N$4003,N$2)</f>
        <v>17760.7035</v>
      </c>
      <c r="R232" s="51" t="n">
        <f aca="false">IFERROR(P232/Q232,0)</f>
        <v>1.1482429070512</v>
      </c>
      <c r="S232" s="49" t="n">
        <f aca="false">IFERROR(Q232/N232,0)</f>
        <v>166.558834220147</v>
      </c>
      <c r="T232" s="48" t="n">
        <f aca="false">SUMIFS('Activation Detail'!$H$4:$H$4003,'Activation Detail'!$A$4:$A$4003,$A232,'Activation Detail'!$N$4:$N$4003,T$2)</f>
        <v>115.296145776662</v>
      </c>
      <c r="U232" s="50" t="n">
        <f aca="false">T232*'Model Inputs &amp; Assumptions'!$D$41*'Model Inputs &amp; Assumptions'!$H$41</f>
        <v>830132.249591968</v>
      </c>
      <c r="V232" s="50" t="n">
        <f aca="false">T232*'Model Inputs &amp; Assumptions'!$G$41*'Model Inputs &amp; Assumptions'!$H$41</f>
        <v>18304.4161035029</v>
      </c>
      <c r="W232" s="50" t="n">
        <f aca="false">SUMIFS('Activation Detail'!$I$4:$I$4003,'Activation Detail'!$A$4:$A$4003,$A232,'Activation Detail'!$N$4:$N$4003,T$2)</f>
        <v>15221.24672</v>
      </c>
      <c r="X232" s="51" t="n">
        <f aca="false">IFERROR(V232/W232,0)</f>
        <v>1.20255695477636</v>
      </c>
      <c r="Y232" s="49" t="n">
        <f aca="false">IFERROR(W232/T232,0)</f>
        <v>132.018695139079</v>
      </c>
      <c r="Z232" s="48" t="n">
        <f aca="false">SUMIFS('Activation Detail'!$H$4:$H$4003,'Activation Detail'!$A$4:$A$4003,$A232,'Activation Detail'!$N$4:$N$4003,Z$2)</f>
        <v>803.751077842132</v>
      </c>
      <c r="AA232" s="50" t="n">
        <f aca="false">Z232*'Model Inputs &amp; Assumptions'!$D$42*'Model Inputs &amp; Assumptions'!$H$42</f>
        <v>4340255.82034751</v>
      </c>
      <c r="AB232" s="50" t="n">
        <f aca="false">Z232*'Model Inputs &amp; Assumptions'!$G$42*'Model Inputs &amp; Assumptions'!$H$42</f>
        <v>91145.3722272977</v>
      </c>
      <c r="AC232" s="50" t="n">
        <f aca="false">SUMIFS('Activation Detail'!$I$4:$I$4003,'Activation Detail'!$A$4:$A$4003,$A232,'Activation Detail'!$N$4:$N$4003,Z$2)</f>
        <v>46163.572</v>
      </c>
      <c r="AD232" s="51" t="n">
        <f aca="false">IFERROR(AB232/AC232,0)</f>
        <v>1.97440033945592</v>
      </c>
      <c r="AE232" s="49" t="n">
        <f aca="false">IFERROR(AC232/Z232,0)</f>
        <v>57.4351603035327</v>
      </c>
    </row>
    <row r="233" customFormat="false" ht="15" hidden="false" customHeight="false" outlineLevel="0" collapsed="false">
      <c r="A233" s="43" t="n">
        <v>230</v>
      </c>
      <c r="B233" s="45" t="n">
        <f aca="false">SUM('Activation Detail'!C233,'Activation Detail'!C733,'Activation Detail'!C1233,'Activation Detail'!C1733,'Activation Detail'!C2233,'Activation Detail'!C2733,'Activation Detail'!C3233,'Activation Detail'!C3733)</f>
        <v>4629093</v>
      </c>
      <c r="C233" s="45" t="n">
        <f aca="false">SUM('Activation Detail'!E233,'Activation Detail'!E733,'Activation Detail'!E1233,'Activation Detail'!E1733,'Activation Detail'!E2233,'Activation Detail'!E2733,'Activation Detail'!E3233,'Activation Detail'!E3733)</f>
        <v>483104</v>
      </c>
      <c r="D233" s="45" t="n">
        <f aca="false">SUM('Activation Detail'!G233,'Activation Detail'!G733,'Activation Detail'!G1233,'Activation Detail'!G1733,'Activation Detail'!G2233,'Activation Detail'!G2733,'Activation Detail'!G3233,'Activation Detail'!G3733)</f>
        <v>17305</v>
      </c>
      <c r="E233" s="48" t="n">
        <f aca="false">SUM('Activation Detail'!H233,'Activation Detail'!H733,'Activation Detail'!H1233,'Activation Detail'!H1733,'Activation Detail'!H2233,'Activation Detail'!H2733,'Activation Detail'!H3233,'Activation Detail'!H3733)</f>
        <v>668.477446429413</v>
      </c>
      <c r="F233" s="50" t="n">
        <f aca="false">SUM('Activation Detail'!I233,'Activation Detail'!I733,'Activation Detail'!I1233,'Activation Detail'!I1733,'Activation Detail'!I2233,'Activation Detail'!I2733,'Activation Detail'!I3233,'Activation Detail'!I3733)</f>
        <v>79018.383566</v>
      </c>
      <c r="G233" s="50" t="n">
        <f aca="false">SUM('Activation Detail'!J233,'Activation Detail'!J733,'Activation Detail'!J1233,'Activation Detail'!J1733,'Activation Detail'!J2233,'Activation Detail'!J2733,'Activation Detail'!J3233,'Activation Detail'!J3733)</f>
        <v>4391960.68300214</v>
      </c>
      <c r="H233" s="50" t="n">
        <f aca="false">SUM('Activation Detail'!K233,'Activation Detail'!K733,'Activation Detail'!K1233,'Activation Detail'!K1733,'Activation Detail'!K2233,'Activation Detail'!K2733,'Activation Detail'!K3233,'Activation Detail'!K3733)</f>
        <v>95482.7863655818</v>
      </c>
      <c r="I233" s="51" t="n">
        <f aca="false">IFERROR(H233/F233,0)</f>
        <v>1.20836167555655</v>
      </c>
      <c r="J233" s="49" t="n">
        <f aca="false">IFERROR(F233/E233,0)</f>
        <v>118.206506424512</v>
      </c>
      <c r="K233" s="46" t="n">
        <f aca="false">IFERROR(C233/B233,0)</f>
        <v>0.104362560873156</v>
      </c>
      <c r="L233" s="47" t="n">
        <f aca="false">IFERROR(D233/B233,0)</f>
        <v>0.00373831331537301</v>
      </c>
      <c r="N233" s="48" t="n">
        <f aca="false">SUMIFS('Activation Detail'!$H$4:$H$4003,'Activation Detail'!$A$4:$A$4003,$A233,'Activation Detail'!$N$4:$N$4003,N$2)</f>
        <v>124.275411307213</v>
      </c>
      <c r="O233" s="50" t="n">
        <f aca="false">N233*'Model Inputs &amp; Assumptions'!$D$40*'Model Inputs &amp; Assumptions'!$H$40</f>
        <v>1056340.99611131</v>
      </c>
      <c r="P233" s="50" t="n">
        <f aca="false">N233*'Model Inputs &amp; Assumptions'!$G$40*'Model Inputs &amp; Assumptions'!$H$40</f>
        <v>23767.6724125045</v>
      </c>
      <c r="Q233" s="50" t="n">
        <f aca="false">SUMIFS('Activation Detail'!$I$4:$I$4003,'Activation Detail'!$A$4:$A$4003,$A233,'Activation Detail'!$N$4:$N$4003,N$2)</f>
        <v>17659.9795</v>
      </c>
      <c r="R233" s="51" t="n">
        <f aca="false">IFERROR(P233/Q233,0)</f>
        <v>1.34584937726029</v>
      </c>
      <c r="S233" s="49" t="n">
        <f aca="false">IFERROR(Q233/N233,0)</f>
        <v>142.103569115084</v>
      </c>
      <c r="T233" s="48" t="n">
        <f aca="false">SUMIFS('Activation Detail'!$H$4:$H$4003,'Activation Detail'!$A$4:$A$4003,$A233,'Activation Detail'!$N$4:$N$4003,T$2)</f>
        <v>220.51594290608</v>
      </c>
      <c r="U233" s="50" t="n">
        <f aca="false">T233*'Model Inputs &amp; Assumptions'!$D$41*'Model Inputs &amp; Assumptions'!$H$41</f>
        <v>1587714.78892378</v>
      </c>
      <c r="V233" s="50" t="n">
        <f aca="false">T233*'Model Inputs &amp; Assumptions'!$G$41*'Model Inputs &amp; Assumptions'!$H$41</f>
        <v>35009.1110957693</v>
      </c>
      <c r="W233" s="50" t="n">
        <f aca="false">SUMIFS('Activation Detail'!$I$4:$I$4003,'Activation Detail'!$A$4:$A$4003,$A233,'Activation Detail'!$N$4:$N$4003,T$2)</f>
        <v>21081.612066</v>
      </c>
      <c r="X233" s="51" t="n">
        <f aca="false">IFERROR(V233/W233,0)</f>
        <v>1.66064677531142</v>
      </c>
      <c r="Y233" s="49" t="n">
        <f aca="false">IFERROR(W233/T233,0)</f>
        <v>95.6013056841829</v>
      </c>
      <c r="Z233" s="48" t="n">
        <f aca="false">SUMIFS('Activation Detail'!$H$4:$H$4003,'Activation Detail'!$A$4:$A$4003,$A233,'Activation Detail'!$N$4:$N$4003,Z$2)</f>
        <v>323.68609221612</v>
      </c>
      <c r="AA233" s="50" t="n">
        <f aca="false">Z233*'Model Inputs &amp; Assumptions'!$D$42*'Model Inputs &amp; Assumptions'!$H$42</f>
        <v>1747904.89796705</v>
      </c>
      <c r="AB233" s="50" t="n">
        <f aca="false">Z233*'Model Inputs &amp; Assumptions'!$G$42*'Model Inputs &amp; Assumptions'!$H$42</f>
        <v>36706.002857308</v>
      </c>
      <c r="AC233" s="50" t="n">
        <f aca="false">SUMIFS('Activation Detail'!$I$4:$I$4003,'Activation Detail'!$A$4:$A$4003,$A233,'Activation Detail'!$N$4:$N$4003,Z$2)</f>
        <v>40276.792</v>
      </c>
      <c r="AD233" s="51" t="n">
        <f aca="false">IFERROR(AB233/AC233,0)</f>
        <v>0.911343754917423</v>
      </c>
      <c r="AE233" s="49" t="n">
        <f aca="false">IFERROR(AC233/Z233,0)</f>
        <v>124.431642163692</v>
      </c>
    </row>
    <row r="234" customFormat="false" ht="15" hidden="false" customHeight="false" outlineLevel="0" collapsed="false">
      <c r="A234" s="43" t="n">
        <v>231</v>
      </c>
      <c r="B234" s="45" t="n">
        <f aca="false">SUM('Activation Detail'!C234,'Activation Detail'!C734,'Activation Detail'!C1234,'Activation Detail'!C1734,'Activation Detail'!C2234,'Activation Detail'!C2734,'Activation Detail'!C3234,'Activation Detail'!C3734)</f>
        <v>4689727</v>
      </c>
      <c r="C234" s="45" t="n">
        <f aca="false">SUM('Activation Detail'!E234,'Activation Detail'!E734,'Activation Detail'!E1234,'Activation Detail'!E1734,'Activation Detail'!E2234,'Activation Detail'!E2734,'Activation Detail'!E3234,'Activation Detail'!E3734)</f>
        <v>417411</v>
      </c>
      <c r="D234" s="45" t="n">
        <f aca="false">SUM('Activation Detail'!G234,'Activation Detail'!G734,'Activation Detail'!G1234,'Activation Detail'!G1734,'Activation Detail'!G2234,'Activation Detail'!G2734,'Activation Detail'!G3234,'Activation Detail'!G3734)</f>
        <v>16113</v>
      </c>
      <c r="E234" s="48" t="n">
        <f aca="false">SUM('Activation Detail'!H234,'Activation Detail'!H734,'Activation Detail'!H1234,'Activation Detail'!H1734,'Activation Detail'!H2234,'Activation Detail'!H2734,'Activation Detail'!H3234,'Activation Detail'!H3734)</f>
        <v>570.396534546791</v>
      </c>
      <c r="F234" s="50" t="n">
        <f aca="false">SUM('Activation Detail'!I234,'Activation Detail'!I734,'Activation Detail'!I1234,'Activation Detail'!I1734,'Activation Detail'!I2234,'Activation Detail'!I2734,'Activation Detail'!I3234,'Activation Detail'!I3734)</f>
        <v>72925.590042</v>
      </c>
      <c r="G234" s="50" t="n">
        <f aca="false">SUM('Activation Detail'!J234,'Activation Detail'!J734,'Activation Detail'!J1234,'Activation Detail'!J1734,'Activation Detail'!J2234,'Activation Detail'!J2734,'Activation Detail'!J3234,'Activation Detail'!J3734)</f>
        <v>3730618.83010054</v>
      </c>
      <c r="H234" s="50" t="n">
        <f aca="false">SUM('Activation Detail'!K234,'Activation Detail'!K734,'Activation Detail'!K1234,'Activation Detail'!K1734,'Activation Detail'!K2234,'Activation Detail'!K2734,'Activation Detail'!K3234,'Activation Detail'!K3734)</f>
        <v>81046.9441411557</v>
      </c>
      <c r="I234" s="51" t="n">
        <f aca="false">IFERROR(H234/F234,0)</f>
        <v>1.11136494191515</v>
      </c>
      <c r="J234" s="49" t="n">
        <f aca="false">IFERROR(F234/E234,0)</f>
        <v>127.850689170023</v>
      </c>
      <c r="K234" s="46" t="n">
        <f aca="false">IFERROR(C234/B234,0)</f>
        <v>0.0890053941306178</v>
      </c>
      <c r="L234" s="47" t="n">
        <f aca="false">IFERROR(D234/B234,0)</f>
        <v>0.00343580767068104</v>
      </c>
      <c r="N234" s="48" t="n">
        <f aca="false">SUMIFS('Activation Detail'!$H$4:$H$4003,'Activation Detail'!$A$4:$A$4003,$A234,'Activation Detail'!$N$4:$N$4003,N$2)</f>
        <v>103.914717987521</v>
      </c>
      <c r="O234" s="50" t="n">
        <f aca="false">N234*'Model Inputs &amp; Assumptions'!$D$40*'Model Inputs &amp; Assumptions'!$H$40</f>
        <v>883275.102893927</v>
      </c>
      <c r="P234" s="50" t="n">
        <f aca="false">N234*'Model Inputs &amp; Assumptions'!$G$40*'Model Inputs &amp; Assumptions'!$H$40</f>
        <v>19873.6898151134</v>
      </c>
      <c r="Q234" s="50" t="n">
        <f aca="false">SUMIFS('Activation Detail'!$I$4:$I$4003,'Activation Detail'!$A$4:$A$4003,$A234,'Activation Detail'!$N$4:$N$4003,N$2)</f>
        <v>17920.9805</v>
      </c>
      <c r="R234" s="51" t="n">
        <f aca="false">IFERROR(P234/Q234,0)</f>
        <v>1.10896219183506</v>
      </c>
      <c r="S234" s="49" t="n">
        <f aca="false">IFERROR(Q234/N234,0)</f>
        <v>172.458539531928</v>
      </c>
      <c r="T234" s="48" t="n">
        <f aca="false">SUMIFS('Activation Detail'!$H$4:$H$4003,'Activation Detail'!$A$4:$A$4003,$A234,'Activation Detail'!$N$4:$N$4003,T$2)</f>
        <v>182.412176548084</v>
      </c>
      <c r="U234" s="50" t="n">
        <f aca="false">T234*'Model Inputs &amp; Assumptions'!$D$41*'Model Inputs &amp; Assumptions'!$H$41</f>
        <v>1313367.6711462</v>
      </c>
      <c r="V234" s="50" t="n">
        <f aca="false">T234*'Model Inputs &amp; Assumptions'!$G$41*'Model Inputs &amp; Assumptions'!$H$41</f>
        <v>28959.7571487737</v>
      </c>
      <c r="W234" s="50" t="n">
        <f aca="false">SUMIFS('Activation Detail'!$I$4:$I$4003,'Activation Detail'!$A$4:$A$4003,$A234,'Activation Detail'!$N$4:$N$4003,T$2)</f>
        <v>19282.957542</v>
      </c>
      <c r="X234" s="51" t="n">
        <f aca="false">IFERROR(V234/W234,0)</f>
        <v>1.50183171257297</v>
      </c>
      <c r="Y234" s="49" t="n">
        <f aca="false">IFERROR(W234/T234,0)</f>
        <v>105.710911995598</v>
      </c>
      <c r="Z234" s="48" t="n">
        <f aca="false">SUMIFS('Activation Detail'!$H$4:$H$4003,'Activation Detail'!$A$4:$A$4003,$A234,'Activation Detail'!$N$4:$N$4003,Z$2)</f>
        <v>284.069640011187</v>
      </c>
      <c r="AA234" s="50" t="n">
        <f aca="false">Z234*'Model Inputs &amp; Assumptions'!$D$42*'Model Inputs &amp; Assumptions'!$H$42</f>
        <v>1533976.05606041</v>
      </c>
      <c r="AB234" s="50" t="n">
        <f aca="false">Z234*'Model Inputs &amp; Assumptions'!$G$42*'Model Inputs &amp; Assumptions'!$H$42</f>
        <v>32213.4971772686</v>
      </c>
      <c r="AC234" s="50" t="n">
        <f aca="false">SUMIFS('Activation Detail'!$I$4:$I$4003,'Activation Detail'!$A$4:$A$4003,$A234,'Activation Detail'!$N$4:$N$4003,Z$2)</f>
        <v>35721.652</v>
      </c>
      <c r="AD234" s="51" t="n">
        <f aca="false">IFERROR(AB234/AC234,0)</f>
        <v>0.901791920969068</v>
      </c>
      <c r="AE234" s="49" t="n">
        <f aca="false">IFERROR(AC234/Z234,0)</f>
        <v>125.749629557714</v>
      </c>
    </row>
    <row r="235" customFormat="false" ht="15" hidden="false" customHeight="false" outlineLevel="0" collapsed="false">
      <c r="A235" s="43" t="n">
        <v>232</v>
      </c>
      <c r="B235" s="45" t="n">
        <f aca="false">SUM('Activation Detail'!C235,'Activation Detail'!C735,'Activation Detail'!C1235,'Activation Detail'!C1735,'Activation Detail'!C2235,'Activation Detail'!C2735,'Activation Detail'!C3235,'Activation Detail'!C3735)</f>
        <v>3987290</v>
      </c>
      <c r="C235" s="45" t="n">
        <f aca="false">SUM('Activation Detail'!E235,'Activation Detail'!E735,'Activation Detail'!E1235,'Activation Detail'!E1735,'Activation Detail'!E2235,'Activation Detail'!E2735,'Activation Detail'!E3235,'Activation Detail'!E3735)</f>
        <v>486980</v>
      </c>
      <c r="D235" s="45" t="n">
        <f aca="false">SUM('Activation Detail'!G235,'Activation Detail'!G735,'Activation Detail'!G1235,'Activation Detail'!G1735,'Activation Detail'!G2235,'Activation Detail'!G2735,'Activation Detail'!G3235,'Activation Detail'!G3735)</f>
        <v>16813</v>
      </c>
      <c r="E235" s="48" t="n">
        <f aca="false">SUM('Activation Detail'!H235,'Activation Detail'!H735,'Activation Detail'!H1235,'Activation Detail'!H1735,'Activation Detail'!H2235,'Activation Detail'!H2735,'Activation Detail'!H3235,'Activation Detail'!H3735)</f>
        <v>907.313913436189</v>
      </c>
      <c r="F235" s="50" t="n">
        <f aca="false">SUM('Activation Detail'!I235,'Activation Detail'!I735,'Activation Detail'!I1235,'Activation Detail'!I1735,'Activation Detail'!I2235,'Activation Detail'!I2735,'Activation Detail'!I3235,'Activation Detail'!I3735)</f>
        <v>70112.533488</v>
      </c>
      <c r="G235" s="50" t="n">
        <f aca="false">SUM('Activation Detail'!J235,'Activation Detail'!J735,'Activation Detail'!J1235,'Activation Detail'!J1735,'Activation Detail'!J2235,'Activation Detail'!J2735,'Activation Detail'!J3235,'Activation Detail'!J3735)</f>
        <v>5809132.84914308</v>
      </c>
      <c r="H235" s="50" t="n">
        <f aca="false">SUM('Activation Detail'!K235,'Activation Detail'!K735,'Activation Detail'!K1235,'Activation Detail'!K1735,'Activation Detail'!K2235,'Activation Detail'!K2735,'Activation Detail'!K3235,'Activation Detail'!K3735)</f>
        <v>125783.148054169</v>
      </c>
      <c r="I235" s="51" t="n">
        <f aca="false">IFERROR(H235/F235,0)</f>
        <v>1.79401801356526</v>
      </c>
      <c r="J235" s="49" t="n">
        <f aca="false">IFERROR(F235/E235,0)</f>
        <v>77.2748355885661</v>
      </c>
      <c r="K235" s="46" t="n">
        <f aca="false">IFERROR(C235/B235,0)</f>
        <v>0.122133077854884</v>
      </c>
      <c r="L235" s="47" t="n">
        <f aca="false">IFERROR(D235/B235,0)</f>
        <v>0.00421664840029193</v>
      </c>
      <c r="N235" s="48" t="n">
        <f aca="false">SUMIFS('Activation Detail'!$H$4:$H$4003,'Activation Detail'!$A$4:$A$4003,$A235,'Activation Detail'!$N$4:$N$4003,N$2)</f>
        <v>107.852546309629</v>
      </c>
      <c r="O235" s="50" t="n">
        <f aca="false">N235*'Model Inputs &amp; Assumptions'!$D$40*'Model Inputs &amp; Assumptions'!$H$40</f>
        <v>916746.64363185</v>
      </c>
      <c r="P235" s="50" t="n">
        <f aca="false">N235*'Model Inputs &amp; Assumptions'!$G$40*'Model Inputs &amp; Assumptions'!$H$40</f>
        <v>20626.7994817166</v>
      </c>
      <c r="Q235" s="50" t="n">
        <f aca="false">SUMIFS('Activation Detail'!$I$4:$I$4003,'Activation Detail'!$A$4:$A$4003,$A235,'Activation Detail'!$N$4:$N$4003,N$2)</f>
        <v>17955.957</v>
      </c>
      <c r="R235" s="51" t="n">
        <f aca="false">IFERROR(P235/Q235,0)</f>
        <v>1.14874408987038</v>
      </c>
      <c r="S235" s="49" t="n">
        <f aca="false">IFERROR(Q235/N235,0)</f>
        <v>166.486166663613</v>
      </c>
      <c r="T235" s="48" t="n">
        <f aca="false">SUMIFS('Activation Detail'!$H$4:$H$4003,'Activation Detail'!$A$4:$A$4003,$A235,'Activation Detail'!$N$4:$N$4003,T$2)</f>
        <v>319.608235015448</v>
      </c>
      <c r="U235" s="50" t="n">
        <f aca="false">T235*'Model Inputs &amp; Assumptions'!$D$41*'Model Inputs &amp; Assumptions'!$H$41</f>
        <v>2301179.29211123</v>
      </c>
      <c r="V235" s="50" t="n">
        <f aca="false">T235*'Model Inputs &amp; Assumptions'!$G$41*'Model Inputs &amp; Assumptions'!$H$41</f>
        <v>50741.0033910525</v>
      </c>
      <c r="W235" s="50" t="n">
        <f aca="false">SUMIFS('Activation Detail'!$I$4:$I$4003,'Activation Detail'!$A$4:$A$4003,$A235,'Activation Detail'!$N$4:$N$4003,T$2)</f>
        <v>17444.616488</v>
      </c>
      <c r="X235" s="51" t="n">
        <f aca="false">IFERROR(V235/W235,0)</f>
        <v>2.90869125302679</v>
      </c>
      <c r="Y235" s="49" t="n">
        <f aca="false">IFERROR(W235/T235,0)</f>
        <v>54.5812484686348</v>
      </c>
      <c r="Z235" s="48" t="n">
        <f aca="false">SUMIFS('Activation Detail'!$H$4:$H$4003,'Activation Detail'!$A$4:$A$4003,$A235,'Activation Detail'!$N$4:$N$4003,Z$2)</f>
        <v>479.853132111111</v>
      </c>
      <c r="AA235" s="50" t="n">
        <f aca="false">Z235*'Model Inputs &amp; Assumptions'!$D$42*'Model Inputs &amp; Assumptions'!$H$42</f>
        <v>2591206.9134</v>
      </c>
      <c r="AB235" s="50" t="n">
        <f aca="false">Z235*'Model Inputs &amp; Assumptions'!$G$42*'Model Inputs &amp; Assumptions'!$H$42</f>
        <v>54415.3451814</v>
      </c>
      <c r="AC235" s="50" t="n">
        <f aca="false">SUMIFS('Activation Detail'!$I$4:$I$4003,'Activation Detail'!$A$4:$A$4003,$A235,'Activation Detail'!$N$4:$N$4003,Z$2)</f>
        <v>34711.96</v>
      </c>
      <c r="AD235" s="51" t="n">
        <f aca="false">IFERROR(AB235/AC235,0)</f>
        <v>1.56762525600398</v>
      </c>
      <c r="AE235" s="49" t="n">
        <f aca="false">IFERROR(AC235/Z235,0)</f>
        <v>72.3387171555699</v>
      </c>
    </row>
    <row r="236" customFormat="false" ht="15" hidden="false" customHeight="false" outlineLevel="0" collapsed="false">
      <c r="A236" s="43" t="n">
        <v>233</v>
      </c>
      <c r="B236" s="45" t="n">
        <f aca="false">SUM('Activation Detail'!C236,'Activation Detail'!C736,'Activation Detail'!C1236,'Activation Detail'!C1736,'Activation Detail'!C2236,'Activation Detail'!C2736,'Activation Detail'!C3236,'Activation Detail'!C3736)</f>
        <v>3705574</v>
      </c>
      <c r="C236" s="45" t="n">
        <f aca="false">SUM('Activation Detail'!E236,'Activation Detail'!E736,'Activation Detail'!E1236,'Activation Detail'!E1736,'Activation Detail'!E2236,'Activation Detail'!E2736,'Activation Detail'!E3236,'Activation Detail'!E3736)</f>
        <v>394166</v>
      </c>
      <c r="D236" s="45" t="n">
        <f aca="false">SUM('Activation Detail'!G236,'Activation Detail'!G736,'Activation Detail'!G1236,'Activation Detail'!G1736,'Activation Detail'!G2236,'Activation Detail'!G2736,'Activation Detail'!G3236,'Activation Detail'!G3736)</f>
        <v>13320</v>
      </c>
      <c r="E236" s="48" t="n">
        <f aca="false">SUM('Activation Detail'!H236,'Activation Detail'!H736,'Activation Detail'!H1236,'Activation Detail'!H1736,'Activation Detail'!H2236,'Activation Detail'!H2736,'Activation Detail'!H3236,'Activation Detail'!H3736)</f>
        <v>496.098777824705</v>
      </c>
      <c r="F236" s="50" t="n">
        <f aca="false">SUM('Activation Detail'!I236,'Activation Detail'!I736,'Activation Detail'!I1236,'Activation Detail'!I1736,'Activation Detail'!I2236,'Activation Detail'!I2736,'Activation Detail'!I3236,'Activation Detail'!I3736)</f>
        <v>75223.490548</v>
      </c>
      <c r="G236" s="50" t="n">
        <f aca="false">SUM('Activation Detail'!J236,'Activation Detail'!J736,'Activation Detail'!J1236,'Activation Detail'!J1736,'Activation Detail'!J2236,'Activation Detail'!J2736,'Activation Detail'!J3236,'Activation Detail'!J3736)</f>
        <v>3314965.5385237</v>
      </c>
      <c r="H236" s="50" t="n">
        <f aca="false">SUM('Activation Detail'!K236,'Activation Detail'!K736,'Activation Detail'!K1236,'Activation Detail'!K1736,'Activation Detail'!K2236,'Activation Detail'!K2736,'Activation Detail'!K3236,'Activation Detail'!K3736)</f>
        <v>72265.7515990173</v>
      </c>
      <c r="I236" s="51" t="n">
        <f aca="false">IFERROR(H236/F236,0)</f>
        <v>0.960680647395705</v>
      </c>
      <c r="J236" s="49" t="n">
        <f aca="false">IFERROR(F236/E236,0)</f>
        <v>151.63006624979</v>
      </c>
      <c r="K236" s="46" t="n">
        <f aca="false">IFERROR(C236/B236,0)</f>
        <v>0.106371104719539</v>
      </c>
      <c r="L236" s="47" t="n">
        <f aca="false">IFERROR(D236/B236,0)</f>
        <v>0.00359458480656438</v>
      </c>
      <c r="N236" s="48" t="n">
        <f aca="false">SUMIFS('Activation Detail'!$H$4:$H$4003,'Activation Detail'!$A$4:$A$4003,$A236,'Activation Detail'!$N$4:$N$4003,N$2)</f>
        <v>73.5544100575057</v>
      </c>
      <c r="O236" s="50" t="n">
        <f aca="false">N236*'Model Inputs &amp; Assumptions'!$D$40*'Model Inputs &amp; Assumptions'!$H$40</f>
        <v>625212.485488798</v>
      </c>
      <c r="P236" s="50" t="n">
        <f aca="false">N236*'Model Inputs &amp; Assumptions'!$G$40*'Model Inputs &amp; Assumptions'!$H$40</f>
        <v>14067.280923498</v>
      </c>
      <c r="Q236" s="50" t="n">
        <f aca="false">SUMIFS('Activation Detail'!$I$4:$I$4003,'Activation Detail'!$A$4:$A$4003,$A236,'Activation Detail'!$N$4:$N$4003,N$2)</f>
        <v>20033.526</v>
      </c>
      <c r="R236" s="51" t="n">
        <f aca="false">IFERROR(P236/Q236,0)</f>
        <v>0.702186970156824</v>
      </c>
      <c r="S236" s="49" t="n">
        <f aca="false">IFERROR(Q236/N236,0)</f>
        <v>272.363356382541</v>
      </c>
      <c r="T236" s="48" t="n">
        <f aca="false">SUMIFS('Activation Detail'!$H$4:$H$4003,'Activation Detail'!$A$4:$A$4003,$A236,'Activation Detail'!$N$4:$N$4003,T$2)</f>
        <v>226.674148384455</v>
      </c>
      <c r="U236" s="50" t="n">
        <f aca="false">T236*'Model Inputs &amp; Assumptions'!$D$41*'Model Inputs &amp; Assumptions'!$H$41</f>
        <v>1632053.86836808</v>
      </c>
      <c r="V236" s="50" t="n">
        <f aca="false">T236*'Model Inputs &amp; Assumptions'!$G$41*'Model Inputs &amp; Assumptions'!$H$41</f>
        <v>35986.7877975161</v>
      </c>
      <c r="W236" s="50" t="n">
        <f aca="false">SUMIFS('Activation Detail'!$I$4:$I$4003,'Activation Detail'!$A$4:$A$4003,$A236,'Activation Detail'!$N$4:$N$4003,T$2)</f>
        <v>18482.368548</v>
      </c>
      <c r="X236" s="51" t="n">
        <f aca="false">IFERROR(V236/W236,0)</f>
        <v>1.94708744737212</v>
      </c>
      <c r="Y236" s="49" t="n">
        <f aca="false">IFERROR(W236/T236,0)</f>
        <v>81.5371698966421</v>
      </c>
      <c r="Z236" s="48" t="n">
        <f aca="false">SUMIFS('Activation Detail'!$H$4:$H$4003,'Activation Detail'!$A$4:$A$4003,$A236,'Activation Detail'!$N$4:$N$4003,Z$2)</f>
        <v>195.870219382744</v>
      </c>
      <c r="AA236" s="50" t="n">
        <f aca="false">Z236*'Model Inputs &amp; Assumptions'!$D$42*'Model Inputs &amp; Assumptions'!$H$42</f>
        <v>1057699.18466682</v>
      </c>
      <c r="AB236" s="50" t="n">
        <f aca="false">Z236*'Model Inputs &amp; Assumptions'!$G$42*'Model Inputs &amp; Assumptions'!$H$42</f>
        <v>22211.6828780032</v>
      </c>
      <c r="AC236" s="50" t="n">
        <f aca="false">SUMIFS('Activation Detail'!$I$4:$I$4003,'Activation Detail'!$A$4:$A$4003,$A236,'Activation Detail'!$N$4:$N$4003,Z$2)</f>
        <v>36707.596</v>
      </c>
      <c r="AD236" s="51" t="n">
        <f aca="false">IFERROR(AB236/AC236,0)</f>
        <v>0.605097726312647</v>
      </c>
      <c r="AE236" s="49" t="n">
        <f aca="false">IFERROR(AC236/Z236,0)</f>
        <v>187.407744350716</v>
      </c>
    </row>
    <row r="237" customFormat="false" ht="15" hidden="false" customHeight="false" outlineLevel="0" collapsed="false">
      <c r="A237" s="43" t="n">
        <v>234</v>
      </c>
      <c r="B237" s="45" t="n">
        <f aca="false">SUM('Activation Detail'!C237,'Activation Detail'!C737,'Activation Detail'!C1237,'Activation Detail'!C1737,'Activation Detail'!C2237,'Activation Detail'!C2737,'Activation Detail'!C3237,'Activation Detail'!C3737)</f>
        <v>4613851</v>
      </c>
      <c r="C237" s="45" t="n">
        <f aca="false">SUM('Activation Detail'!E237,'Activation Detail'!E737,'Activation Detail'!E1237,'Activation Detail'!E1737,'Activation Detail'!E2237,'Activation Detail'!E2737,'Activation Detail'!E3237,'Activation Detail'!E3737)</f>
        <v>448388</v>
      </c>
      <c r="D237" s="45" t="n">
        <f aca="false">SUM('Activation Detail'!G237,'Activation Detail'!G737,'Activation Detail'!G1237,'Activation Detail'!G1737,'Activation Detail'!G2237,'Activation Detail'!G2737,'Activation Detail'!G3237,'Activation Detail'!G3737)</f>
        <v>19118</v>
      </c>
      <c r="E237" s="48" t="n">
        <f aca="false">SUM('Activation Detail'!H237,'Activation Detail'!H737,'Activation Detail'!H1237,'Activation Detail'!H1737,'Activation Detail'!H2237,'Activation Detail'!H2737,'Activation Detail'!H3237,'Activation Detail'!H3737)</f>
        <v>692.121202698277</v>
      </c>
      <c r="F237" s="50" t="n">
        <f aca="false">SUM('Activation Detail'!I237,'Activation Detail'!I737,'Activation Detail'!I1237,'Activation Detail'!I1737,'Activation Detail'!I2237,'Activation Detail'!I2737,'Activation Detail'!I3237,'Activation Detail'!I3737)</f>
        <v>80364.469224</v>
      </c>
      <c r="G237" s="50" t="n">
        <f aca="false">SUM('Activation Detail'!J237,'Activation Detail'!J737,'Activation Detail'!J1237,'Activation Detail'!J1737,'Activation Detail'!J2237,'Activation Detail'!J2737,'Activation Detail'!J3237,'Activation Detail'!J3737)</f>
        <v>4444455.73693269</v>
      </c>
      <c r="H237" s="50" t="n">
        <f aca="false">SUM('Activation Detail'!K237,'Activation Detail'!K737,'Activation Detail'!K1237,'Activation Detail'!K1737,'Activation Detail'!K2237,'Activation Detail'!K2737,'Activation Detail'!K3237,'Activation Detail'!K3737)</f>
        <v>96282.1998819435</v>
      </c>
      <c r="I237" s="51" t="n">
        <f aca="false">IFERROR(H237/F237,0)</f>
        <v>1.19806925637219</v>
      </c>
      <c r="J237" s="49" t="n">
        <f aca="false">IFERROR(F237/E237,0)</f>
        <v>116.113288988539</v>
      </c>
      <c r="K237" s="46" t="n">
        <f aca="false">IFERROR(C237/B237,0)</f>
        <v>0.0971830256330341</v>
      </c>
      <c r="L237" s="47" t="n">
        <f aca="false">IFERROR(D237/B237,0)</f>
        <v>0.00414361018593795</v>
      </c>
      <c r="N237" s="48" t="n">
        <f aca="false">SUMIFS('Activation Detail'!$H$4:$H$4003,'Activation Detail'!$A$4:$A$4003,$A237,'Activation Detail'!$N$4:$N$4003,N$2)</f>
        <v>76.9474502343277</v>
      </c>
      <c r="O237" s="50" t="n">
        <f aca="false">N237*'Model Inputs &amp; Assumptions'!$D$40*'Model Inputs &amp; Assumptions'!$H$40</f>
        <v>654053.326991785</v>
      </c>
      <c r="P237" s="50" t="n">
        <f aca="false">N237*'Model Inputs &amp; Assumptions'!$G$40*'Model Inputs &amp; Assumptions'!$H$40</f>
        <v>14716.1998573152</v>
      </c>
      <c r="Q237" s="50" t="n">
        <f aca="false">SUMIFS('Activation Detail'!$I$4:$I$4003,'Activation Detail'!$A$4:$A$4003,$A237,'Activation Detail'!$N$4:$N$4003,N$2)</f>
        <v>18898.119</v>
      </c>
      <c r="R237" s="51" t="n">
        <f aca="false">IFERROR(P237/Q237,0)</f>
        <v>0.778712413511375</v>
      </c>
      <c r="S237" s="49" t="n">
        <f aca="false">IFERROR(Q237/N237,0)</f>
        <v>245.597728611535</v>
      </c>
      <c r="T237" s="48" t="n">
        <f aca="false">SUMIFS('Activation Detail'!$H$4:$H$4003,'Activation Detail'!$A$4:$A$4003,$A237,'Activation Detail'!$N$4:$N$4003,T$2)</f>
        <v>260.257859241985</v>
      </c>
      <c r="U237" s="50" t="n">
        <f aca="false">T237*'Model Inputs &amp; Assumptions'!$D$41*'Model Inputs &amp; Assumptions'!$H$41</f>
        <v>1873856.58654229</v>
      </c>
      <c r="V237" s="50" t="n">
        <f aca="false">T237*'Model Inputs &amp; Assumptions'!$G$41*'Model Inputs &amp; Assumptions'!$H$41</f>
        <v>41318.5377332576</v>
      </c>
      <c r="W237" s="50" t="n">
        <f aca="false">SUMIFS('Activation Detail'!$I$4:$I$4003,'Activation Detail'!$A$4:$A$4003,$A237,'Activation Detail'!$N$4:$N$4003,T$2)</f>
        <v>18535.482224</v>
      </c>
      <c r="X237" s="51" t="n">
        <f aca="false">IFERROR(V237/W237,0)</f>
        <v>2.22915903853625</v>
      </c>
      <c r="Y237" s="49" t="n">
        <f aca="false">IFERROR(W237/T237,0)</f>
        <v>71.2196829636022</v>
      </c>
      <c r="Z237" s="48" t="n">
        <f aca="false">SUMIFS('Activation Detail'!$H$4:$H$4003,'Activation Detail'!$A$4:$A$4003,$A237,'Activation Detail'!$N$4:$N$4003,Z$2)</f>
        <v>354.915893221964</v>
      </c>
      <c r="AA237" s="50" t="n">
        <f aca="false">Z237*'Model Inputs &amp; Assumptions'!$D$42*'Model Inputs &amp; Assumptions'!$H$42</f>
        <v>1916545.82339861</v>
      </c>
      <c r="AB237" s="50" t="n">
        <f aca="false">Z237*'Model Inputs &amp; Assumptions'!$G$42*'Model Inputs &amp; Assumptions'!$H$42</f>
        <v>40247.4622913708</v>
      </c>
      <c r="AC237" s="50" t="n">
        <f aca="false">SUMIFS('Activation Detail'!$I$4:$I$4003,'Activation Detail'!$A$4:$A$4003,$A237,'Activation Detail'!$N$4:$N$4003,Z$2)</f>
        <v>42930.868</v>
      </c>
      <c r="AD237" s="51" t="n">
        <f aca="false">IFERROR(AB237/AC237,0)</f>
        <v>0.937494725039586</v>
      </c>
      <c r="AE237" s="49" t="n">
        <f aca="false">IFERROR(AC237/Z237,0)</f>
        <v>120.960680600322</v>
      </c>
    </row>
    <row r="238" customFormat="false" ht="15" hidden="false" customHeight="false" outlineLevel="0" collapsed="false">
      <c r="A238" s="43" t="n">
        <v>235</v>
      </c>
      <c r="B238" s="45" t="n">
        <f aca="false">SUM('Activation Detail'!C238,'Activation Detail'!C738,'Activation Detail'!C1238,'Activation Detail'!C1738,'Activation Detail'!C2238,'Activation Detail'!C2738,'Activation Detail'!C3238,'Activation Detail'!C3738)</f>
        <v>3754045</v>
      </c>
      <c r="C238" s="45" t="n">
        <f aca="false">SUM('Activation Detail'!E238,'Activation Detail'!E738,'Activation Detail'!E1238,'Activation Detail'!E1738,'Activation Detail'!E2238,'Activation Detail'!E2738,'Activation Detail'!E3238,'Activation Detail'!E3738)</f>
        <v>305528</v>
      </c>
      <c r="D238" s="45" t="n">
        <f aca="false">SUM('Activation Detail'!G238,'Activation Detail'!G738,'Activation Detail'!G1238,'Activation Detail'!G1738,'Activation Detail'!G2238,'Activation Detail'!G2738,'Activation Detail'!G3238,'Activation Detail'!G3738)</f>
        <v>12688</v>
      </c>
      <c r="E238" s="48" t="n">
        <f aca="false">SUM('Activation Detail'!H238,'Activation Detail'!H738,'Activation Detail'!H1238,'Activation Detail'!H1738,'Activation Detail'!H2238,'Activation Detail'!H2738,'Activation Detail'!H3238,'Activation Detail'!H3738)</f>
        <v>460.650247223136</v>
      </c>
      <c r="F238" s="50" t="n">
        <f aca="false">SUM('Activation Detail'!I238,'Activation Detail'!I738,'Activation Detail'!I1238,'Activation Detail'!I1738,'Activation Detail'!I2238,'Activation Detail'!I2738,'Activation Detail'!I3238,'Activation Detail'!I3738)</f>
        <v>69685.986546</v>
      </c>
      <c r="G238" s="50" t="n">
        <f aca="false">SUM('Activation Detail'!J238,'Activation Detail'!J738,'Activation Detail'!J1238,'Activation Detail'!J1738,'Activation Detail'!J2238,'Activation Detail'!J2738,'Activation Detail'!J3238,'Activation Detail'!J3738)</f>
        <v>2902122.59179439</v>
      </c>
      <c r="H238" s="50" t="n">
        <f aca="false">SUM('Activation Detail'!K238,'Activation Detail'!K738,'Activation Detail'!K1238,'Activation Detail'!K1738,'Activation Detail'!K2238,'Activation Detail'!K2738,'Activation Detail'!K3238,'Activation Detail'!K3738)</f>
        <v>62671.5566510028</v>
      </c>
      <c r="I238" s="51" t="n">
        <f aca="false">IFERROR(H238/F238,0)</f>
        <v>0.899342317692999</v>
      </c>
      <c r="J238" s="49" t="n">
        <f aca="false">IFERROR(F238/E238,0)</f>
        <v>151.277432208225</v>
      </c>
      <c r="K238" s="46" t="n">
        <f aca="false">IFERROR(C238/B238,0)</f>
        <v>0.0813863445962955</v>
      </c>
      <c r="L238" s="47" t="n">
        <f aca="false">IFERROR(D238/B238,0)</f>
        <v>0.00337982096645086</v>
      </c>
      <c r="N238" s="48" t="n">
        <f aca="false">SUMIFS('Activation Detail'!$H$4:$H$4003,'Activation Detail'!$A$4:$A$4003,$A238,'Activation Detail'!$N$4:$N$4003,N$2)</f>
        <v>53.2779822044453</v>
      </c>
      <c r="O238" s="50" t="n">
        <f aca="false">N238*'Model Inputs &amp; Assumptions'!$D$40*'Model Inputs &amp; Assumptions'!$H$40</f>
        <v>452862.848737785</v>
      </c>
      <c r="P238" s="50" t="n">
        <f aca="false">N238*'Model Inputs &amp; Assumptions'!$G$40*'Model Inputs &amp; Assumptions'!$H$40</f>
        <v>10189.4140966002</v>
      </c>
      <c r="Q238" s="50" t="n">
        <f aca="false">SUMIFS('Activation Detail'!$I$4:$I$4003,'Activation Detail'!$A$4:$A$4003,$A238,'Activation Detail'!$N$4:$N$4003,N$2)</f>
        <v>17865.7955</v>
      </c>
      <c r="R238" s="51" t="n">
        <f aca="false">IFERROR(P238/Q238,0)</f>
        <v>0.570330836743327</v>
      </c>
      <c r="S238" s="49" t="n">
        <f aca="false">IFERROR(Q238/N238,0)</f>
        <v>335.331684136291</v>
      </c>
      <c r="T238" s="48" t="n">
        <f aca="false">SUMIFS('Activation Detail'!$H$4:$H$4003,'Activation Detail'!$A$4:$A$4003,$A238,'Activation Detail'!$N$4:$N$4003,T$2)</f>
        <v>138.583062197599</v>
      </c>
      <c r="U238" s="50" t="n">
        <f aca="false">T238*'Model Inputs &amp; Assumptions'!$D$41*'Model Inputs &amp; Assumptions'!$H$41</f>
        <v>997798.047822716</v>
      </c>
      <c r="V238" s="50" t="n">
        <f aca="false">T238*'Model Inputs &amp; Assumptions'!$G$41*'Model Inputs &amp; Assumptions'!$H$41</f>
        <v>22001.4469544909</v>
      </c>
      <c r="W238" s="50" t="n">
        <f aca="false">SUMIFS('Activation Detail'!$I$4:$I$4003,'Activation Detail'!$A$4:$A$4003,$A238,'Activation Detail'!$N$4:$N$4003,T$2)</f>
        <v>16313.495046</v>
      </c>
      <c r="X238" s="51" t="n">
        <f aca="false">IFERROR(V238/W238,0)</f>
        <v>1.34866543879483</v>
      </c>
      <c r="Y238" s="49" t="n">
        <f aca="false">IFERROR(W238/T238,0)</f>
        <v>117.716370148751</v>
      </c>
      <c r="Z238" s="48" t="n">
        <f aca="false">SUMIFS('Activation Detail'!$H$4:$H$4003,'Activation Detail'!$A$4:$A$4003,$A238,'Activation Detail'!$N$4:$N$4003,Z$2)</f>
        <v>268.789202821091</v>
      </c>
      <c r="AA238" s="50" t="n">
        <f aca="false">Z238*'Model Inputs &amp; Assumptions'!$D$42*'Model Inputs &amp; Assumptions'!$H$42</f>
        <v>1451461.69523389</v>
      </c>
      <c r="AB238" s="50" t="n">
        <f aca="false">Z238*'Model Inputs &amp; Assumptions'!$G$42*'Model Inputs &amp; Assumptions'!$H$42</f>
        <v>30480.6955999117</v>
      </c>
      <c r="AC238" s="50" t="n">
        <f aca="false">SUMIFS('Activation Detail'!$I$4:$I$4003,'Activation Detail'!$A$4:$A$4003,$A238,'Activation Detail'!$N$4:$N$4003,Z$2)</f>
        <v>35506.696</v>
      </c>
      <c r="AD238" s="51" t="n">
        <f aca="false">IFERROR(AB238/AC238,0)</f>
        <v>0.85844922320882</v>
      </c>
      <c r="AE238" s="49" t="n">
        <f aca="false">IFERROR(AC238/Z238,0)</f>
        <v>132.098669244663</v>
      </c>
    </row>
    <row r="239" customFormat="false" ht="15" hidden="false" customHeight="false" outlineLevel="0" collapsed="false">
      <c r="A239" s="43" t="n">
        <v>236</v>
      </c>
      <c r="B239" s="45" t="n">
        <f aca="false">SUM('Activation Detail'!C239,'Activation Detail'!C739,'Activation Detail'!C1239,'Activation Detail'!C1739,'Activation Detail'!C2239,'Activation Detail'!C2739,'Activation Detail'!C3239,'Activation Detail'!C3739)</f>
        <v>3633739</v>
      </c>
      <c r="C239" s="45" t="n">
        <f aca="false">SUM('Activation Detail'!E239,'Activation Detail'!E739,'Activation Detail'!E1239,'Activation Detail'!E1739,'Activation Detail'!E2239,'Activation Detail'!E2739,'Activation Detail'!E3239,'Activation Detail'!E3739)</f>
        <v>289826</v>
      </c>
      <c r="D239" s="45" t="n">
        <f aca="false">SUM('Activation Detail'!G239,'Activation Detail'!G739,'Activation Detail'!G1239,'Activation Detail'!G1739,'Activation Detail'!G2239,'Activation Detail'!G2739,'Activation Detail'!G3239,'Activation Detail'!G3739)</f>
        <v>16675</v>
      </c>
      <c r="E239" s="48" t="n">
        <f aca="false">SUM('Activation Detail'!H239,'Activation Detail'!H739,'Activation Detail'!H1239,'Activation Detail'!H1739,'Activation Detail'!H2239,'Activation Detail'!H2739,'Activation Detail'!H3239,'Activation Detail'!H3739)</f>
        <v>651.32127427686</v>
      </c>
      <c r="F239" s="50" t="n">
        <f aca="false">SUM('Activation Detail'!I239,'Activation Detail'!I739,'Activation Detail'!I1239,'Activation Detail'!I1739,'Activation Detail'!I2239,'Activation Detail'!I2739,'Activation Detail'!I3239,'Activation Detail'!I3739)</f>
        <v>69917.42571</v>
      </c>
      <c r="G239" s="50" t="n">
        <f aca="false">SUM('Activation Detail'!J239,'Activation Detail'!J739,'Activation Detail'!J1239,'Activation Detail'!J1739,'Activation Detail'!J2239,'Activation Detail'!J2739,'Activation Detail'!J3239,'Activation Detail'!J3739)</f>
        <v>4152504.31298108</v>
      </c>
      <c r="H239" s="50" t="n">
        <f aca="false">SUM('Activation Detail'!K239,'Activation Detail'!K739,'Activation Detail'!K1239,'Activation Detail'!K1739,'Activation Detail'!K2239,'Activation Detail'!K2739,'Activation Detail'!K3239,'Activation Detail'!K3739)</f>
        <v>89841.9329085081</v>
      </c>
      <c r="I239" s="51" t="n">
        <f aca="false">IFERROR(H239/F239,0)</f>
        <v>1.28497197939109</v>
      </c>
      <c r="J239" s="49" t="n">
        <f aca="false">IFERROR(F239/E239,0)</f>
        <v>107.347062765034</v>
      </c>
      <c r="K239" s="46" t="n">
        <f aca="false">IFERROR(C239/B239,0)</f>
        <v>0.0797597185708715</v>
      </c>
      <c r="L239" s="47" t="n">
        <f aca="false">IFERROR(D239/B239,0)</f>
        <v>0.00458893718013319</v>
      </c>
      <c r="N239" s="48" t="n">
        <f aca="false">SUMIFS('Activation Detail'!$H$4:$H$4003,'Activation Detail'!$A$4:$A$4003,$A239,'Activation Detail'!$N$4:$N$4003,N$2)</f>
        <v>108.182511170539</v>
      </c>
      <c r="O239" s="50" t="n">
        <f aca="false">N239*'Model Inputs &amp; Assumptions'!$D$40*'Model Inputs &amp; Assumptions'!$H$40</f>
        <v>919551.344949578</v>
      </c>
      <c r="P239" s="50" t="n">
        <f aca="false">N239*'Model Inputs &amp; Assumptions'!$G$40*'Model Inputs &amp; Assumptions'!$H$40</f>
        <v>20689.9052613655</v>
      </c>
      <c r="Q239" s="50" t="n">
        <f aca="false">SUMIFS('Activation Detail'!$I$4:$I$4003,'Activation Detail'!$A$4:$A$4003,$A239,'Activation Detail'!$N$4:$N$4003,N$2)</f>
        <v>18199.6745</v>
      </c>
      <c r="R239" s="51" t="n">
        <f aca="false">IFERROR(P239/Q239,0)</f>
        <v>1.13682831313085</v>
      </c>
      <c r="S239" s="49" t="n">
        <f aca="false">IFERROR(Q239/N239,0)</f>
        <v>168.231207642334</v>
      </c>
      <c r="T239" s="48" t="n">
        <f aca="false">SUMIFS('Activation Detail'!$H$4:$H$4003,'Activation Detail'!$A$4:$A$4003,$A239,'Activation Detail'!$N$4:$N$4003,T$2)</f>
        <v>166.668692920761</v>
      </c>
      <c r="U239" s="50" t="n">
        <f aca="false">T239*'Model Inputs &amp; Assumptions'!$D$41*'Model Inputs &amp; Assumptions'!$H$41</f>
        <v>1200014.58902948</v>
      </c>
      <c r="V239" s="50" t="n">
        <f aca="false">T239*'Model Inputs &amp; Assumptions'!$G$41*'Model Inputs &amp; Assumptions'!$H$41</f>
        <v>26460.3216881</v>
      </c>
      <c r="W239" s="50" t="n">
        <f aca="false">SUMIFS('Activation Detail'!$I$4:$I$4003,'Activation Detail'!$A$4:$A$4003,$A239,'Activation Detail'!$N$4:$N$4003,T$2)</f>
        <v>16595.53521</v>
      </c>
      <c r="X239" s="51" t="n">
        <f aca="false">IFERROR(V239/W239,0)</f>
        <v>1.59442412391471</v>
      </c>
      <c r="Y239" s="49" t="n">
        <f aca="false">IFERROR(W239/T239,0)</f>
        <v>99.5720007109553</v>
      </c>
      <c r="Z239" s="48" t="n">
        <f aca="false">SUMIFS('Activation Detail'!$H$4:$H$4003,'Activation Detail'!$A$4:$A$4003,$A239,'Activation Detail'!$N$4:$N$4003,Z$2)</f>
        <v>376.47007018556</v>
      </c>
      <c r="AA239" s="50" t="n">
        <f aca="false">Z239*'Model Inputs &amp; Assumptions'!$D$42*'Model Inputs &amp; Assumptions'!$H$42</f>
        <v>2032938.37900203</v>
      </c>
      <c r="AB239" s="50" t="n">
        <f aca="false">Z239*'Model Inputs &amp; Assumptions'!$G$42*'Model Inputs &amp; Assumptions'!$H$42</f>
        <v>42691.7059590426</v>
      </c>
      <c r="AC239" s="50" t="n">
        <f aca="false">SUMIFS('Activation Detail'!$I$4:$I$4003,'Activation Detail'!$A$4:$A$4003,$A239,'Activation Detail'!$N$4:$N$4003,Z$2)</f>
        <v>35122.216</v>
      </c>
      <c r="AD239" s="51" t="n">
        <f aca="false">IFERROR(AB239/AC239,0)</f>
        <v>1.21551857545215</v>
      </c>
      <c r="AE239" s="49" t="n">
        <f aca="false">IFERROR(AC239/Z239,0)</f>
        <v>93.2935146283698</v>
      </c>
    </row>
    <row r="240" customFormat="false" ht="15" hidden="false" customHeight="false" outlineLevel="0" collapsed="false">
      <c r="A240" s="43" t="n">
        <v>237</v>
      </c>
      <c r="B240" s="45" t="n">
        <f aca="false">SUM('Activation Detail'!C240,'Activation Detail'!C740,'Activation Detail'!C1240,'Activation Detail'!C1740,'Activation Detail'!C2240,'Activation Detail'!C2740,'Activation Detail'!C3240,'Activation Detail'!C3740)</f>
        <v>5070166</v>
      </c>
      <c r="C240" s="45" t="n">
        <f aca="false">SUM('Activation Detail'!E240,'Activation Detail'!E740,'Activation Detail'!E1240,'Activation Detail'!E1740,'Activation Detail'!E2240,'Activation Detail'!E2740,'Activation Detail'!E3240,'Activation Detail'!E3740)</f>
        <v>510233</v>
      </c>
      <c r="D240" s="45" t="n">
        <f aca="false">SUM('Activation Detail'!G240,'Activation Detail'!G740,'Activation Detail'!G1240,'Activation Detail'!G1740,'Activation Detail'!G2240,'Activation Detail'!G2740,'Activation Detail'!G3240,'Activation Detail'!G3740)</f>
        <v>18566</v>
      </c>
      <c r="E240" s="48" t="n">
        <f aca="false">SUM('Activation Detail'!H240,'Activation Detail'!H740,'Activation Detail'!H1240,'Activation Detail'!H1740,'Activation Detail'!H2240,'Activation Detail'!H2740,'Activation Detail'!H3240,'Activation Detail'!H3740)</f>
        <v>865.062742691474</v>
      </c>
      <c r="F240" s="50" t="n">
        <f aca="false">SUM('Activation Detail'!I240,'Activation Detail'!I740,'Activation Detail'!I1240,'Activation Detail'!I1740,'Activation Detail'!I2240,'Activation Detail'!I2740,'Activation Detail'!I3240,'Activation Detail'!I3740)</f>
        <v>79921.830904</v>
      </c>
      <c r="G240" s="50" t="n">
        <f aca="false">SUM('Activation Detail'!J240,'Activation Detail'!J740,'Activation Detail'!J1240,'Activation Detail'!J1740,'Activation Detail'!J2240,'Activation Detail'!J2740,'Activation Detail'!J3240,'Activation Detail'!J3740)</f>
        <v>5281727.58701836</v>
      </c>
      <c r="H240" s="50" t="n">
        <f aca="false">SUM('Activation Detail'!K240,'Activation Detail'!K740,'Activation Detail'!K1240,'Activation Detail'!K1740,'Activation Detail'!K2240,'Activation Detail'!K2740,'Activation Detail'!K3240,'Activation Detail'!K3740)</f>
        <v>113455.586293975</v>
      </c>
      <c r="I240" s="51" t="n">
        <f aca="false">IFERROR(H240/F240,0)</f>
        <v>1.41958192161857</v>
      </c>
      <c r="J240" s="49" t="n">
        <f aca="false">IFERROR(F240/E240,0)</f>
        <v>92.3884788464462</v>
      </c>
      <c r="K240" s="46" t="n">
        <f aca="false">IFERROR(C240/B240,0)</f>
        <v>0.10063437765154</v>
      </c>
      <c r="L240" s="47" t="n">
        <f aca="false">IFERROR(D240/B240,0)</f>
        <v>0.00366181304517446</v>
      </c>
      <c r="N240" s="48" t="n">
        <f aca="false">SUMIFS('Activation Detail'!$H$4:$H$4003,'Activation Detail'!$A$4:$A$4003,$A240,'Activation Detail'!$N$4:$N$4003,N$2)</f>
        <v>90.0959060927101</v>
      </c>
      <c r="O240" s="50" t="n">
        <f aca="false">N240*'Model Inputs &amp; Assumptions'!$D$40*'Model Inputs &amp; Assumptions'!$H$40</f>
        <v>765815.201788036</v>
      </c>
      <c r="P240" s="50" t="n">
        <f aca="false">N240*'Model Inputs &amp; Assumptions'!$G$40*'Model Inputs &amp; Assumptions'!$H$40</f>
        <v>17230.8420402308</v>
      </c>
      <c r="Q240" s="50" t="n">
        <f aca="false">SUMIFS('Activation Detail'!$I$4:$I$4003,'Activation Detail'!$A$4:$A$4003,$A240,'Activation Detail'!$N$4:$N$4003,N$2)</f>
        <v>18436.1575</v>
      </c>
      <c r="R240" s="51" t="n">
        <f aca="false">IFERROR(P240/Q240,0)</f>
        <v>0.934622197723729</v>
      </c>
      <c r="S240" s="49" t="n">
        <f aca="false">IFERROR(Q240/N240,0)</f>
        <v>204.628137942571</v>
      </c>
      <c r="T240" s="48" t="n">
        <f aca="false">SUMIFS('Activation Detail'!$H$4:$H$4003,'Activation Detail'!$A$4:$A$4003,$A240,'Activation Detail'!$N$4:$N$4003,T$2)</f>
        <v>183.939704220553</v>
      </c>
      <c r="U240" s="50" t="n">
        <f aca="false">T240*'Model Inputs &amp; Assumptions'!$D$41*'Model Inputs &amp; Assumptions'!$H$41</f>
        <v>1324365.87038798</v>
      </c>
      <c r="V240" s="50" t="n">
        <f aca="false">T240*'Model Inputs &amp; Assumptions'!$G$41*'Model Inputs &amp; Assumptions'!$H$41</f>
        <v>29202.267442055</v>
      </c>
      <c r="W240" s="50" t="n">
        <f aca="false">SUMIFS('Activation Detail'!$I$4:$I$4003,'Activation Detail'!$A$4:$A$4003,$A240,'Activation Detail'!$N$4:$N$4003,T$2)</f>
        <v>19237.173404</v>
      </c>
      <c r="X240" s="51" t="n">
        <f aca="false">IFERROR(V240/W240,0)</f>
        <v>1.51801238304495</v>
      </c>
      <c r="Y240" s="49" t="n">
        <f aca="false">IFERROR(W240/T240,0)</f>
        <v>104.584127094897</v>
      </c>
      <c r="Z240" s="48" t="n">
        <f aca="false">SUMIFS('Activation Detail'!$H$4:$H$4003,'Activation Detail'!$A$4:$A$4003,$A240,'Activation Detail'!$N$4:$N$4003,Z$2)</f>
        <v>591.027132378211</v>
      </c>
      <c r="AA240" s="50" t="n">
        <f aca="false">Z240*'Model Inputs &amp; Assumptions'!$D$42*'Model Inputs &amp; Assumptions'!$H$42</f>
        <v>3191546.51484234</v>
      </c>
      <c r="AB240" s="50" t="n">
        <f aca="false">Z240*'Model Inputs &amp; Assumptions'!$G$42*'Model Inputs &amp; Assumptions'!$H$42</f>
        <v>67022.4768116891</v>
      </c>
      <c r="AC240" s="50" t="n">
        <f aca="false">SUMIFS('Activation Detail'!$I$4:$I$4003,'Activation Detail'!$A$4:$A$4003,$A240,'Activation Detail'!$N$4:$N$4003,Z$2)</f>
        <v>42248.5</v>
      </c>
      <c r="AD240" s="51" t="n">
        <f aca="false">IFERROR(AB240/AC240,0)</f>
        <v>1.58638713354768</v>
      </c>
      <c r="AE240" s="49" t="n">
        <f aca="false">IFERROR(AC240/Z240,0)</f>
        <v>71.4831818803274</v>
      </c>
    </row>
    <row r="241" customFormat="false" ht="15" hidden="false" customHeight="false" outlineLevel="0" collapsed="false">
      <c r="A241" s="43" t="n">
        <v>238</v>
      </c>
      <c r="B241" s="45" t="n">
        <f aca="false">SUM('Activation Detail'!C241,'Activation Detail'!C741,'Activation Detail'!C1241,'Activation Detail'!C1741,'Activation Detail'!C2241,'Activation Detail'!C2741,'Activation Detail'!C3241,'Activation Detail'!C3741)</f>
        <v>3716937</v>
      </c>
      <c r="C241" s="45" t="n">
        <f aca="false">SUM('Activation Detail'!E241,'Activation Detail'!E741,'Activation Detail'!E1241,'Activation Detail'!E1741,'Activation Detail'!E2241,'Activation Detail'!E2741,'Activation Detail'!E3241,'Activation Detail'!E3741)</f>
        <v>331661</v>
      </c>
      <c r="D241" s="45" t="n">
        <f aca="false">SUM('Activation Detail'!G241,'Activation Detail'!G741,'Activation Detail'!G1241,'Activation Detail'!G1741,'Activation Detail'!G2241,'Activation Detail'!G2741,'Activation Detail'!G3241,'Activation Detail'!G3741)</f>
        <v>16162</v>
      </c>
      <c r="E241" s="48" t="n">
        <f aca="false">SUM('Activation Detail'!H241,'Activation Detail'!H741,'Activation Detail'!H1241,'Activation Detail'!H1741,'Activation Detail'!H2241,'Activation Detail'!H2741,'Activation Detail'!H3241,'Activation Detail'!H3741)</f>
        <v>827.181751472357</v>
      </c>
      <c r="F241" s="50" t="n">
        <f aca="false">SUM('Activation Detail'!I241,'Activation Detail'!I741,'Activation Detail'!I1241,'Activation Detail'!I1741,'Activation Detail'!I2241,'Activation Detail'!I2741,'Activation Detail'!I3241,'Activation Detail'!I3741)</f>
        <v>74178.449262</v>
      </c>
      <c r="G241" s="50" t="n">
        <f aca="false">SUM('Activation Detail'!J241,'Activation Detail'!J741,'Activation Detail'!J1241,'Activation Detail'!J1741,'Activation Detail'!J2241,'Activation Detail'!J2741,'Activation Detail'!J3241,'Activation Detail'!J3741)</f>
        <v>5151273.99082025</v>
      </c>
      <c r="H241" s="50" t="n">
        <f aca="false">SUM('Activation Detail'!K241,'Activation Detail'!K741,'Activation Detail'!K1241,'Activation Detail'!K1741,'Activation Detail'!K2241,'Activation Detail'!K2741,'Activation Detail'!K3241,'Activation Detail'!K3741)</f>
        <v>111025.953756897</v>
      </c>
      <c r="I241" s="51" t="n">
        <f aca="false">IFERROR(H241/F241,0)</f>
        <v>1.49674136978452</v>
      </c>
      <c r="J241" s="49" t="n">
        <f aca="false">IFERROR(F241/E241,0)</f>
        <v>89.6761190995386</v>
      </c>
      <c r="K241" s="46" t="n">
        <f aca="false">IFERROR(C241/B241,0)</f>
        <v>0.0892296533409095</v>
      </c>
      <c r="L241" s="47" t="n">
        <f aca="false">IFERROR(D241/B241,0)</f>
        <v>0.00434820391090836</v>
      </c>
      <c r="N241" s="48" t="n">
        <f aca="false">SUMIFS('Activation Detail'!$H$4:$H$4003,'Activation Detail'!$A$4:$A$4003,$A241,'Activation Detail'!$N$4:$N$4003,N$2)</f>
        <v>95.0692162224163</v>
      </c>
      <c r="O241" s="50" t="n">
        <f aca="false">N241*'Model Inputs &amp; Assumptions'!$D$40*'Model Inputs &amp; Assumptions'!$H$40</f>
        <v>808088.337890538</v>
      </c>
      <c r="P241" s="50" t="n">
        <f aca="false">N241*'Model Inputs &amp; Assumptions'!$G$40*'Model Inputs &amp; Assumptions'!$H$40</f>
        <v>18181.9876025371</v>
      </c>
      <c r="Q241" s="50" t="n">
        <f aca="false">SUMIFS('Activation Detail'!$I$4:$I$4003,'Activation Detail'!$A$4:$A$4003,$A241,'Activation Detail'!$N$4:$N$4003,N$2)</f>
        <v>17416.1255</v>
      </c>
      <c r="R241" s="51" t="n">
        <f aca="false">IFERROR(P241/Q241,0)</f>
        <v>1.043974310046</v>
      </c>
      <c r="S241" s="49" t="n">
        <f aca="false">IFERROR(Q241/N241,0)</f>
        <v>183.19416307435</v>
      </c>
      <c r="T241" s="48" t="n">
        <f aca="false">SUMIFS('Activation Detail'!$H$4:$H$4003,'Activation Detail'!$A$4:$A$4003,$A241,'Activation Detail'!$N$4:$N$4003,T$2)</f>
        <v>216.543312544465</v>
      </c>
      <c r="U241" s="50" t="n">
        <f aca="false">T241*'Model Inputs &amp; Assumptions'!$D$41*'Model Inputs &amp; Assumptions'!$H$41</f>
        <v>1559111.85032015</v>
      </c>
      <c r="V241" s="50" t="n">
        <f aca="false">T241*'Model Inputs &amp; Assumptions'!$G$41*'Model Inputs &amp; Assumptions'!$H$41</f>
        <v>34378.4162995592</v>
      </c>
      <c r="W241" s="50" t="n">
        <f aca="false">SUMIFS('Activation Detail'!$I$4:$I$4003,'Activation Detail'!$A$4:$A$4003,$A241,'Activation Detail'!$N$4:$N$4003,T$2)</f>
        <v>18257.475762</v>
      </c>
      <c r="X241" s="51" t="n">
        <f aca="false">IFERROR(V241/W241,0)</f>
        <v>1.8829775127574</v>
      </c>
      <c r="Y241" s="49" t="n">
        <f aca="false">IFERROR(W241/T241,0)</f>
        <v>84.3132745475622</v>
      </c>
      <c r="Z241" s="48" t="n">
        <f aca="false">SUMIFS('Activation Detail'!$H$4:$H$4003,'Activation Detail'!$A$4:$A$4003,$A241,'Activation Detail'!$N$4:$N$4003,Z$2)</f>
        <v>515.569222705476</v>
      </c>
      <c r="AA241" s="50" t="n">
        <f aca="false">Z241*'Model Inputs &amp; Assumptions'!$D$42*'Model Inputs &amp; Assumptions'!$H$42</f>
        <v>2784073.80260957</v>
      </c>
      <c r="AB241" s="50" t="n">
        <f aca="false">Z241*'Model Inputs &amp; Assumptions'!$G$42*'Model Inputs &amp; Assumptions'!$H$42</f>
        <v>58465.549854801</v>
      </c>
      <c r="AC241" s="50" t="n">
        <f aca="false">SUMIFS('Activation Detail'!$I$4:$I$4003,'Activation Detail'!$A$4:$A$4003,$A241,'Activation Detail'!$N$4:$N$4003,Z$2)</f>
        <v>38504.848</v>
      </c>
      <c r="AD241" s="51" t="n">
        <f aca="false">IFERROR(AB241/AC241,0)</f>
        <v>1.51839451112237</v>
      </c>
      <c r="AE241" s="49" t="n">
        <f aca="false">IFERROR(AC241/Z241,0)</f>
        <v>74.684147742458</v>
      </c>
    </row>
    <row r="242" customFormat="false" ht="15" hidden="false" customHeight="false" outlineLevel="0" collapsed="false">
      <c r="A242" s="43" t="n">
        <v>239</v>
      </c>
      <c r="B242" s="45" t="n">
        <f aca="false">SUM('Activation Detail'!C242,'Activation Detail'!C742,'Activation Detail'!C1242,'Activation Detail'!C1742,'Activation Detail'!C2242,'Activation Detail'!C2742,'Activation Detail'!C3242,'Activation Detail'!C3742)</f>
        <v>3252286</v>
      </c>
      <c r="C242" s="45" t="n">
        <f aca="false">SUM('Activation Detail'!E242,'Activation Detail'!E742,'Activation Detail'!E1242,'Activation Detail'!E1742,'Activation Detail'!E2242,'Activation Detail'!E2742,'Activation Detail'!E3242,'Activation Detail'!E3742)</f>
        <v>319977</v>
      </c>
      <c r="D242" s="45" t="n">
        <f aca="false">SUM('Activation Detail'!G242,'Activation Detail'!G742,'Activation Detail'!G1242,'Activation Detail'!G1742,'Activation Detail'!G2242,'Activation Detail'!G2742,'Activation Detail'!G3242,'Activation Detail'!G3742)</f>
        <v>13993</v>
      </c>
      <c r="E242" s="48" t="n">
        <f aca="false">SUM('Activation Detail'!H242,'Activation Detail'!H742,'Activation Detail'!H1242,'Activation Detail'!H1742,'Activation Detail'!H2242,'Activation Detail'!H2742,'Activation Detail'!H3242,'Activation Detail'!H3742)</f>
        <v>438.533831805166</v>
      </c>
      <c r="F242" s="50" t="n">
        <f aca="false">SUM('Activation Detail'!I242,'Activation Detail'!I742,'Activation Detail'!I1242,'Activation Detail'!I1742,'Activation Detail'!I2242,'Activation Detail'!I2742,'Activation Detail'!I3242,'Activation Detail'!I3742)</f>
        <v>72230.67376</v>
      </c>
      <c r="G242" s="50" t="n">
        <f aca="false">SUM('Activation Detail'!J242,'Activation Detail'!J742,'Activation Detail'!J1242,'Activation Detail'!J1742,'Activation Detail'!J2242,'Activation Detail'!J2742,'Activation Detail'!J3242,'Activation Detail'!J3742)</f>
        <v>2990529.02262986</v>
      </c>
      <c r="H242" s="50" t="n">
        <f aca="false">SUM('Activation Detail'!K242,'Activation Detail'!K742,'Activation Detail'!K1242,'Activation Detail'!K1742,'Activation Detail'!K2242,'Activation Detail'!K2742,'Activation Detail'!K3242,'Activation Detail'!K3742)</f>
        <v>65384.4923450796</v>
      </c>
      <c r="I242" s="51" t="n">
        <f aca="false">IFERROR(H242/F242,0)</f>
        <v>0.905217810404647</v>
      </c>
      <c r="J242" s="49" t="n">
        <f aca="false">IFERROR(F242/E242,0)</f>
        <v>164.70946714116</v>
      </c>
      <c r="K242" s="46" t="n">
        <f aca="false">IFERROR(C242/B242,0)</f>
        <v>0.0983852588609981</v>
      </c>
      <c r="L242" s="47" t="n">
        <f aca="false">IFERROR(D242/B242,0)</f>
        <v>0.00430251214069119</v>
      </c>
      <c r="N242" s="48" t="n">
        <f aca="false">SUMIFS('Activation Detail'!$H$4:$H$4003,'Activation Detail'!$A$4:$A$4003,$A242,'Activation Detail'!$N$4:$N$4003,N$2)</f>
        <v>114.413777229011</v>
      </c>
      <c r="O242" s="50" t="n">
        <f aca="false">N242*'Model Inputs &amp; Assumptions'!$D$40*'Model Inputs &amp; Assumptions'!$H$40</f>
        <v>972517.10644659</v>
      </c>
      <c r="P242" s="50" t="n">
        <f aca="false">N242*'Model Inputs &amp; Assumptions'!$G$40*'Model Inputs &amp; Assumptions'!$H$40</f>
        <v>21881.6348950483</v>
      </c>
      <c r="Q242" s="50" t="n">
        <f aca="false">SUMIFS('Activation Detail'!$I$4:$I$4003,'Activation Detail'!$A$4:$A$4003,$A242,'Activation Detail'!$N$4:$N$4003,N$2)</f>
        <v>17288.7125</v>
      </c>
      <c r="R242" s="51" t="n">
        <f aca="false">IFERROR(P242/Q242,0)</f>
        <v>1.26566017539179</v>
      </c>
      <c r="S242" s="49" t="n">
        <f aca="false">IFERROR(Q242/N242,0)</f>
        <v>151.106911411507</v>
      </c>
      <c r="T242" s="48" t="n">
        <f aca="false">SUMIFS('Activation Detail'!$H$4:$H$4003,'Activation Detail'!$A$4:$A$4003,$A242,'Activation Detail'!$N$4:$N$4003,T$2)</f>
        <v>148.757567484463</v>
      </c>
      <c r="U242" s="50" t="n">
        <f aca="false">T242*'Model Inputs &amp; Assumptions'!$D$41*'Model Inputs &amp; Assumptions'!$H$41</f>
        <v>1071054.48588813</v>
      </c>
      <c r="V242" s="50" t="n">
        <f aca="false">T242*'Model Inputs &amp; Assumptions'!$G$41*'Model Inputs &amp; Assumptions'!$H$41</f>
        <v>23616.7514138333</v>
      </c>
      <c r="W242" s="50" t="n">
        <f aca="false">SUMIFS('Activation Detail'!$I$4:$I$4003,'Activation Detail'!$A$4:$A$4003,$A242,'Activation Detail'!$N$4:$N$4003,T$2)</f>
        <v>17154.13726</v>
      </c>
      <c r="X242" s="51" t="n">
        <f aca="false">IFERROR(V242/W242,0)</f>
        <v>1.37673792950828</v>
      </c>
      <c r="Y242" s="49" t="n">
        <f aca="false">IFERROR(W242/T242,0)</f>
        <v>115.316064588053</v>
      </c>
      <c r="Z242" s="48" t="n">
        <f aca="false">SUMIFS('Activation Detail'!$H$4:$H$4003,'Activation Detail'!$A$4:$A$4003,$A242,'Activation Detail'!$N$4:$N$4003,Z$2)</f>
        <v>175.362487091693</v>
      </c>
      <c r="AA242" s="50" t="n">
        <f aca="false">Z242*'Model Inputs &amp; Assumptions'!$D$42*'Model Inputs &amp; Assumptions'!$H$42</f>
        <v>946957.430295144</v>
      </c>
      <c r="AB242" s="50" t="n">
        <f aca="false">Z242*'Model Inputs &amp; Assumptions'!$G$42*'Model Inputs &amp; Assumptions'!$H$42</f>
        <v>19886.106036198</v>
      </c>
      <c r="AC242" s="50" t="n">
        <f aca="false">SUMIFS('Activation Detail'!$I$4:$I$4003,'Activation Detail'!$A$4:$A$4003,$A242,'Activation Detail'!$N$4:$N$4003,Z$2)</f>
        <v>37787.824</v>
      </c>
      <c r="AD242" s="51" t="n">
        <f aca="false">IFERROR(AB242/AC242,0)</f>
        <v>0.52625697727919</v>
      </c>
      <c r="AE242" s="49" t="n">
        <f aca="false">IFERROR(AC242/Z242,0)</f>
        <v>215.484078873959</v>
      </c>
    </row>
    <row r="243" customFormat="false" ht="15" hidden="false" customHeight="false" outlineLevel="0" collapsed="false">
      <c r="A243" s="43" t="n">
        <v>240</v>
      </c>
      <c r="B243" s="45" t="n">
        <f aca="false">SUM('Activation Detail'!C243,'Activation Detail'!C743,'Activation Detail'!C1243,'Activation Detail'!C1743,'Activation Detail'!C2243,'Activation Detail'!C2743,'Activation Detail'!C3243,'Activation Detail'!C3743)</f>
        <v>4943874</v>
      </c>
      <c r="C243" s="45" t="n">
        <f aca="false">SUM('Activation Detail'!E243,'Activation Detail'!E743,'Activation Detail'!E1243,'Activation Detail'!E1743,'Activation Detail'!E2243,'Activation Detail'!E2743,'Activation Detail'!E3243,'Activation Detail'!E3743)</f>
        <v>562756</v>
      </c>
      <c r="D243" s="45" t="n">
        <f aca="false">SUM('Activation Detail'!G243,'Activation Detail'!G743,'Activation Detail'!G1243,'Activation Detail'!G1743,'Activation Detail'!G2243,'Activation Detail'!G2743,'Activation Detail'!G3243,'Activation Detail'!G3743)</f>
        <v>18061</v>
      </c>
      <c r="E243" s="48" t="n">
        <f aca="false">SUM('Activation Detail'!H243,'Activation Detail'!H743,'Activation Detail'!H1243,'Activation Detail'!H1743,'Activation Detail'!H2243,'Activation Detail'!H2743,'Activation Detail'!H3243,'Activation Detail'!H3743)</f>
        <v>736.378494917489</v>
      </c>
      <c r="F243" s="50" t="n">
        <f aca="false">SUM('Activation Detail'!I243,'Activation Detail'!I743,'Activation Detail'!I1243,'Activation Detail'!I1743,'Activation Detail'!I2243,'Activation Detail'!I2743,'Activation Detail'!I3243,'Activation Detail'!I3743)</f>
        <v>82218.021018</v>
      </c>
      <c r="G243" s="50" t="n">
        <f aca="false">SUM('Activation Detail'!J243,'Activation Detail'!J743,'Activation Detail'!J1243,'Activation Detail'!J1743,'Activation Detail'!J2243,'Activation Detail'!J2743,'Activation Detail'!J3243,'Activation Detail'!J3743)</f>
        <v>4709658.10720876</v>
      </c>
      <c r="H243" s="50" t="n">
        <f aca="false">SUM('Activation Detail'!K243,'Activation Detail'!K743,'Activation Detail'!K1243,'Activation Detail'!K1743,'Activation Detail'!K2243,'Activation Detail'!K2743,'Activation Detail'!K3243,'Activation Detail'!K3743)</f>
        <v>101950.427427169</v>
      </c>
      <c r="I243" s="51" t="n">
        <f aca="false">IFERROR(H243/F243,0)</f>
        <v>1.24000098962306</v>
      </c>
      <c r="J243" s="49" t="n">
        <f aca="false">IFERROR(F243/E243,0)</f>
        <v>111.651849674416</v>
      </c>
      <c r="K243" s="46" t="n">
        <f aca="false">IFERROR(C243/B243,0)</f>
        <v>0.113828952760527</v>
      </c>
      <c r="L243" s="47" t="n">
        <f aca="false">IFERROR(D243/B243,0)</f>
        <v>0.00365320799033309</v>
      </c>
      <c r="N243" s="48" t="n">
        <f aca="false">SUMIFS('Activation Detail'!$H$4:$H$4003,'Activation Detail'!$A$4:$A$4003,$A243,'Activation Detail'!$N$4:$N$4003,N$2)</f>
        <v>118.120776898817</v>
      </c>
      <c r="O243" s="50" t="n">
        <f aca="false">N243*'Model Inputs &amp; Assumptions'!$D$40*'Model Inputs &amp; Assumptions'!$H$40</f>
        <v>1004026.60363994</v>
      </c>
      <c r="P243" s="50" t="n">
        <f aca="false">N243*'Model Inputs &amp; Assumptions'!$G$40*'Model Inputs &amp; Assumptions'!$H$40</f>
        <v>22590.5985818987</v>
      </c>
      <c r="Q243" s="50" t="n">
        <f aca="false">SUMIFS('Activation Detail'!$I$4:$I$4003,'Activation Detail'!$A$4:$A$4003,$A243,'Activation Detail'!$N$4:$N$4003,N$2)</f>
        <v>18356.188</v>
      </c>
      <c r="R243" s="51" t="n">
        <f aca="false">IFERROR(P243/Q243,0)</f>
        <v>1.2306802796909</v>
      </c>
      <c r="S243" s="49" t="n">
        <f aca="false">IFERROR(Q243/N243,0)</f>
        <v>155.401856319689</v>
      </c>
      <c r="T243" s="48" t="n">
        <f aca="false">SUMIFS('Activation Detail'!$H$4:$H$4003,'Activation Detail'!$A$4:$A$4003,$A243,'Activation Detail'!$N$4:$N$4003,T$2)</f>
        <v>203.911014593327</v>
      </c>
      <c r="U243" s="50" t="n">
        <f aca="false">T243*'Model Inputs &amp; Assumptions'!$D$41*'Model Inputs &amp; Assumptions'!$H$41</f>
        <v>1468159.30507196</v>
      </c>
      <c r="V243" s="50" t="n">
        <f aca="false">T243*'Model Inputs &amp; Assumptions'!$G$41*'Model Inputs &amp; Assumptions'!$H$41</f>
        <v>32372.9126768366</v>
      </c>
      <c r="W243" s="50" t="n">
        <f aca="false">SUMIFS('Activation Detail'!$I$4:$I$4003,'Activation Detail'!$A$4:$A$4003,$A243,'Activation Detail'!$N$4:$N$4003,T$2)</f>
        <v>20145.229018</v>
      </c>
      <c r="X243" s="51" t="n">
        <f aca="false">IFERROR(V243/W243,0)</f>
        <v>1.60697665178743</v>
      </c>
      <c r="Y243" s="49" t="n">
        <f aca="false">IFERROR(W243/T243,0)</f>
        <v>98.7942169684993</v>
      </c>
      <c r="Z243" s="48" t="n">
        <f aca="false">SUMIFS('Activation Detail'!$H$4:$H$4003,'Activation Detail'!$A$4:$A$4003,$A243,'Activation Detail'!$N$4:$N$4003,Z$2)</f>
        <v>414.346703425345</v>
      </c>
      <c r="AA243" s="50" t="n">
        <f aca="false">Z243*'Model Inputs &amp; Assumptions'!$D$42*'Model Inputs &amp; Assumptions'!$H$42</f>
        <v>2237472.19849686</v>
      </c>
      <c r="AB243" s="50" t="n">
        <f aca="false">Z243*'Model Inputs &amp; Assumptions'!$G$42*'Model Inputs &amp; Assumptions'!$H$42</f>
        <v>46986.9161684341</v>
      </c>
      <c r="AC243" s="50" t="n">
        <f aca="false">SUMIFS('Activation Detail'!$I$4:$I$4003,'Activation Detail'!$A$4:$A$4003,$A243,'Activation Detail'!$N$4:$N$4003,Z$2)</f>
        <v>43716.604</v>
      </c>
      <c r="AD243" s="51" t="n">
        <f aca="false">IFERROR(AB243/AC243,0)</f>
        <v>1.07480709545586</v>
      </c>
      <c r="AE243" s="49" t="n">
        <f aca="false">IFERROR(AC243/Z243,0)</f>
        <v>105.50730496611</v>
      </c>
    </row>
    <row r="244" customFormat="false" ht="15" hidden="false" customHeight="false" outlineLevel="0" collapsed="false">
      <c r="A244" s="43" t="n">
        <v>241</v>
      </c>
      <c r="B244" s="45" t="n">
        <f aca="false">SUM('Activation Detail'!C244,'Activation Detail'!C744,'Activation Detail'!C1244,'Activation Detail'!C1744,'Activation Detail'!C2244,'Activation Detail'!C2744,'Activation Detail'!C3244,'Activation Detail'!C3744)</f>
        <v>3934730</v>
      </c>
      <c r="C244" s="45" t="n">
        <f aca="false">SUM('Activation Detail'!E244,'Activation Detail'!E744,'Activation Detail'!E1244,'Activation Detail'!E1744,'Activation Detail'!E2244,'Activation Detail'!E2744,'Activation Detail'!E3244,'Activation Detail'!E3744)</f>
        <v>325007</v>
      </c>
      <c r="D244" s="45" t="n">
        <f aca="false">SUM('Activation Detail'!G244,'Activation Detail'!G744,'Activation Detail'!G1244,'Activation Detail'!G1744,'Activation Detail'!G2244,'Activation Detail'!G2744,'Activation Detail'!G3244,'Activation Detail'!G3744)</f>
        <v>16714</v>
      </c>
      <c r="E244" s="48" t="n">
        <f aca="false">SUM('Activation Detail'!H244,'Activation Detail'!H744,'Activation Detail'!H1244,'Activation Detail'!H1744,'Activation Detail'!H2244,'Activation Detail'!H2744,'Activation Detail'!H3244,'Activation Detail'!H3744)</f>
        <v>800.626411556573</v>
      </c>
      <c r="F244" s="50" t="n">
        <f aca="false">SUM('Activation Detail'!I244,'Activation Detail'!I744,'Activation Detail'!I1244,'Activation Detail'!I1744,'Activation Detail'!I2244,'Activation Detail'!I2744,'Activation Detail'!I3244,'Activation Detail'!I3744)</f>
        <v>77485.642844</v>
      </c>
      <c r="G244" s="50" t="n">
        <f aca="false">SUM('Activation Detail'!J244,'Activation Detail'!J744,'Activation Detail'!J1244,'Activation Detail'!J1744,'Activation Detail'!J2244,'Activation Detail'!J2744,'Activation Detail'!J3244,'Activation Detail'!J3744)</f>
        <v>4959195.67783312</v>
      </c>
      <c r="H244" s="50" t="n">
        <f aca="false">SUM('Activation Detail'!K244,'Activation Detail'!K744,'Activation Detail'!K1244,'Activation Detail'!K1744,'Activation Detail'!K2244,'Activation Detail'!K2744,'Activation Detail'!K3244,'Activation Detail'!K3744)</f>
        <v>106792.001438733</v>
      </c>
      <c r="I244" s="51" t="n">
        <f aca="false">IFERROR(H244/F244,0)</f>
        <v>1.37821662851445</v>
      </c>
      <c r="J244" s="49" t="n">
        <f aca="false">IFERROR(F244/E244,0)</f>
        <v>96.7812724206199</v>
      </c>
      <c r="K244" s="46" t="n">
        <f aca="false">IFERROR(C244/B244,0)</f>
        <v>0.0825995684583186</v>
      </c>
      <c r="L244" s="47" t="n">
        <f aca="false">IFERROR(D244/B244,0)</f>
        <v>0.00424781370005058</v>
      </c>
      <c r="N244" s="48" t="n">
        <f aca="false">SUMIFS('Activation Detail'!$H$4:$H$4003,'Activation Detail'!$A$4:$A$4003,$A244,'Activation Detail'!$N$4:$N$4003,N$2)</f>
        <v>79.7134391075451</v>
      </c>
      <c r="O244" s="50" t="n">
        <f aca="false">N244*'Model Inputs &amp; Assumptions'!$D$40*'Model Inputs &amp; Assumptions'!$H$40</f>
        <v>677564.232414133</v>
      </c>
      <c r="P244" s="50" t="n">
        <f aca="false">N244*'Model Inputs &amp; Assumptions'!$G$40*'Model Inputs &amp; Assumptions'!$H$40</f>
        <v>15245.195229318</v>
      </c>
      <c r="Q244" s="50" t="n">
        <f aca="false">SUMIFS('Activation Detail'!$I$4:$I$4003,'Activation Detail'!$A$4:$A$4003,$A244,'Activation Detail'!$N$4:$N$4003,N$2)</f>
        <v>17574.0495</v>
      </c>
      <c r="R244" s="51" t="n">
        <f aca="false">IFERROR(P244/Q244,0)</f>
        <v>0.867483344081738</v>
      </c>
      <c r="S244" s="49" t="n">
        <f aca="false">IFERROR(Q244/N244,0)</f>
        <v>220.46532801439</v>
      </c>
      <c r="T244" s="48" t="n">
        <f aca="false">SUMIFS('Activation Detail'!$H$4:$H$4003,'Activation Detail'!$A$4:$A$4003,$A244,'Activation Detail'!$N$4:$N$4003,T$2)</f>
        <v>215.945218996799</v>
      </c>
      <c r="U244" s="50" t="n">
        <f aca="false">T244*'Model Inputs &amp; Assumptions'!$D$41*'Model Inputs &amp; Assumptions'!$H$41</f>
        <v>1554805.57677695</v>
      </c>
      <c r="V244" s="50" t="n">
        <f aca="false">T244*'Model Inputs &amp; Assumptions'!$G$41*'Model Inputs &amp; Assumptions'!$H$41</f>
        <v>34283.4629679317</v>
      </c>
      <c r="W244" s="50" t="n">
        <f aca="false">SUMIFS('Activation Detail'!$I$4:$I$4003,'Activation Detail'!$A$4:$A$4003,$A244,'Activation Detail'!$N$4:$N$4003,T$2)</f>
        <v>17118.809344</v>
      </c>
      <c r="X244" s="51" t="n">
        <f aca="false">IFERROR(V244/W244,0)</f>
        <v>2.00267800633855</v>
      </c>
      <c r="Y244" s="49" t="n">
        <f aca="false">IFERROR(W244/T244,0)</f>
        <v>79.2738520608497</v>
      </c>
      <c r="Z244" s="48" t="n">
        <f aca="false">SUMIFS('Activation Detail'!$H$4:$H$4003,'Activation Detail'!$A$4:$A$4003,$A244,'Activation Detail'!$N$4:$N$4003,Z$2)</f>
        <v>504.967753452229</v>
      </c>
      <c r="AA244" s="50" t="n">
        <f aca="false">Z244*'Model Inputs &amp; Assumptions'!$D$42*'Model Inputs &amp; Assumptions'!$H$42</f>
        <v>2726825.86864204</v>
      </c>
      <c r="AB244" s="50" t="n">
        <f aca="false">Z244*'Model Inputs &amp; Assumptions'!$G$42*'Model Inputs &amp; Assumptions'!$H$42</f>
        <v>57263.3432414828</v>
      </c>
      <c r="AC244" s="50" t="n">
        <f aca="false">SUMIFS('Activation Detail'!$I$4:$I$4003,'Activation Detail'!$A$4:$A$4003,$A244,'Activation Detail'!$N$4:$N$4003,Z$2)</f>
        <v>42792.784</v>
      </c>
      <c r="AD244" s="51" t="n">
        <f aca="false">IFERROR(AB244/AC244,0)</f>
        <v>1.33815419070381</v>
      </c>
      <c r="AE244" s="49" t="n">
        <f aca="false">IFERROR(AC244/Z244,0)</f>
        <v>84.7435974028949</v>
      </c>
    </row>
    <row r="245" customFormat="false" ht="15" hidden="false" customHeight="false" outlineLevel="0" collapsed="false">
      <c r="A245" s="43" t="n">
        <v>242</v>
      </c>
      <c r="B245" s="45" t="n">
        <f aca="false">SUM('Activation Detail'!C245,'Activation Detail'!C745,'Activation Detail'!C1245,'Activation Detail'!C1745,'Activation Detail'!C2245,'Activation Detail'!C2745,'Activation Detail'!C3245,'Activation Detail'!C3745)</f>
        <v>5287497</v>
      </c>
      <c r="C245" s="45" t="n">
        <f aca="false">SUM('Activation Detail'!E245,'Activation Detail'!E745,'Activation Detail'!E1245,'Activation Detail'!E1745,'Activation Detail'!E2245,'Activation Detail'!E2745,'Activation Detail'!E3245,'Activation Detail'!E3745)</f>
        <v>367423</v>
      </c>
      <c r="D245" s="45" t="n">
        <f aca="false">SUM('Activation Detail'!G245,'Activation Detail'!G745,'Activation Detail'!G1245,'Activation Detail'!G1745,'Activation Detail'!G2245,'Activation Detail'!G2745,'Activation Detail'!G3245,'Activation Detail'!G3745)</f>
        <v>18613</v>
      </c>
      <c r="E245" s="48" t="n">
        <f aca="false">SUM('Activation Detail'!H245,'Activation Detail'!H745,'Activation Detail'!H1245,'Activation Detail'!H1745,'Activation Detail'!H2245,'Activation Detail'!H2745,'Activation Detail'!H3245,'Activation Detail'!H3745)</f>
        <v>857.719967923529</v>
      </c>
      <c r="F245" s="50" t="n">
        <f aca="false">SUM('Activation Detail'!I245,'Activation Detail'!I745,'Activation Detail'!I1245,'Activation Detail'!I1745,'Activation Detail'!I2245,'Activation Detail'!I2745,'Activation Detail'!I3245,'Activation Detail'!I3745)</f>
        <v>83429.392692</v>
      </c>
      <c r="G245" s="50" t="n">
        <f aca="false">SUM('Activation Detail'!J245,'Activation Detail'!J745,'Activation Detail'!J1245,'Activation Detail'!J1745,'Activation Detail'!J2245,'Activation Detail'!J2745,'Activation Detail'!J3245,'Activation Detail'!J3745)</f>
        <v>5280251.62382147</v>
      </c>
      <c r="H245" s="50" t="n">
        <f aca="false">SUM('Activation Detail'!K245,'Activation Detail'!K745,'Activation Detail'!K1245,'Activation Detail'!K1745,'Activation Detail'!K2245,'Activation Detail'!K2745,'Activation Detail'!K3245,'Activation Detail'!K3745)</f>
        <v>113582.131602282</v>
      </c>
      <c r="I245" s="51" t="n">
        <f aca="false">IFERROR(H245/F245,0)</f>
        <v>1.36141625795597</v>
      </c>
      <c r="J245" s="49" t="n">
        <f aca="false">IFERROR(F245/E245,0)</f>
        <v>97.2688007881825</v>
      </c>
      <c r="K245" s="46" t="n">
        <f aca="false">IFERROR(C245/B245,0)</f>
        <v>0.0694890228779326</v>
      </c>
      <c r="L245" s="47" t="n">
        <f aca="false">IFERROR(D245/B245,0)</f>
        <v>0.00352019112256707</v>
      </c>
      <c r="N245" s="48" t="n">
        <f aca="false">SUMIFS('Activation Detail'!$H$4:$H$4003,'Activation Detail'!$A$4:$A$4003,$A245,'Activation Detail'!$N$4:$N$4003,N$2)</f>
        <v>100.446094494363</v>
      </c>
      <c r="O245" s="50" t="n">
        <f aca="false">N245*'Model Inputs &amp; Assumptions'!$D$40*'Model Inputs &amp; Assumptions'!$H$40</f>
        <v>853791.803202086</v>
      </c>
      <c r="P245" s="50" t="n">
        <f aca="false">N245*'Model Inputs &amp; Assumptions'!$G$40*'Model Inputs &amp; Assumptions'!$H$40</f>
        <v>19210.3155720469</v>
      </c>
      <c r="Q245" s="50" t="n">
        <f aca="false">SUMIFS('Activation Detail'!$I$4:$I$4003,'Activation Detail'!$A$4:$A$4003,$A245,'Activation Detail'!$N$4:$N$4003,N$2)</f>
        <v>17516.479</v>
      </c>
      <c r="R245" s="51" t="n">
        <f aca="false">IFERROR(P245/Q245,0)</f>
        <v>1.09669960338758</v>
      </c>
      <c r="S245" s="49" t="n">
        <f aca="false">IFERROR(Q245/N245,0)</f>
        <v>174.386859819453</v>
      </c>
      <c r="T245" s="48" t="n">
        <f aca="false">SUMIFS('Activation Detail'!$H$4:$H$4003,'Activation Detail'!$A$4:$A$4003,$A245,'Activation Detail'!$N$4:$N$4003,T$2)</f>
        <v>187.32272450105</v>
      </c>
      <c r="U245" s="50" t="n">
        <f aca="false">T245*'Model Inputs &amp; Assumptions'!$D$41*'Model Inputs &amp; Assumptions'!$H$41</f>
        <v>1348723.61640756</v>
      </c>
      <c r="V245" s="50" t="n">
        <f aca="false">T245*'Model Inputs &amp; Assumptions'!$G$41*'Model Inputs &amp; Assumptions'!$H$41</f>
        <v>29739.3557417867</v>
      </c>
      <c r="W245" s="50" t="n">
        <f aca="false">SUMIFS('Activation Detail'!$I$4:$I$4003,'Activation Detail'!$A$4:$A$4003,$A245,'Activation Detail'!$N$4:$N$4003,T$2)</f>
        <v>17543.849692</v>
      </c>
      <c r="X245" s="51" t="n">
        <f aca="false">IFERROR(V245/W245,0)</f>
        <v>1.69514423937112</v>
      </c>
      <c r="Y245" s="49" t="n">
        <f aca="false">IFERROR(W245/T245,0)</f>
        <v>93.6557469934817</v>
      </c>
      <c r="Z245" s="48" t="n">
        <f aca="false">SUMIFS('Activation Detail'!$H$4:$H$4003,'Activation Detail'!$A$4:$A$4003,$A245,'Activation Detail'!$N$4:$N$4003,Z$2)</f>
        <v>569.951148928116</v>
      </c>
      <c r="AA245" s="50" t="n">
        <f aca="false">Z245*'Model Inputs &amp; Assumptions'!$D$42*'Model Inputs &amp; Assumptions'!$H$42</f>
        <v>3077736.20421183</v>
      </c>
      <c r="AB245" s="50" t="n">
        <f aca="false">Z245*'Model Inputs &amp; Assumptions'!$G$42*'Model Inputs &amp; Assumptions'!$H$42</f>
        <v>64632.4602884484</v>
      </c>
      <c r="AC245" s="50" t="n">
        <f aca="false">SUMIFS('Activation Detail'!$I$4:$I$4003,'Activation Detail'!$A$4:$A$4003,$A245,'Activation Detail'!$N$4:$N$4003,Z$2)</f>
        <v>48369.064</v>
      </c>
      <c r="AD245" s="51" t="n">
        <f aca="false">IFERROR(AB245/AC245,0)</f>
        <v>1.33623549730978</v>
      </c>
      <c r="AE245" s="49" t="n">
        <f aca="false">IFERROR(AC245/Z245,0)</f>
        <v>84.8652802805394</v>
      </c>
    </row>
    <row r="246" customFormat="false" ht="15" hidden="false" customHeight="false" outlineLevel="0" collapsed="false">
      <c r="A246" s="43" t="n">
        <v>243</v>
      </c>
      <c r="B246" s="45" t="n">
        <f aca="false">SUM('Activation Detail'!C246,'Activation Detail'!C746,'Activation Detail'!C1246,'Activation Detail'!C1746,'Activation Detail'!C2246,'Activation Detail'!C2746,'Activation Detail'!C3246,'Activation Detail'!C3746)</f>
        <v>4181066</v>
      </c>
      <c r="C246" s="45" t="n">
        <f aca="false">SUM('Activation Detail'!E246,'Activation Detail'!E746,'Activation Detail'!E1246,'Activation Detail'!E1746,'Activation Detail'!E2246,'Activation Detail'!E2746,'Activation Detail'!E3246,'Activation Detail'!E3746)</f>
        <v>371055</v>
      </c>
      <c r="D246" s="45" t="n">
        <f aca="false">SUM('Activation Detail'!G246,'Activation Detail'!G746,'Activation Detail'!G1246,'Activation Detail'!G1746,'Activation Detail'!G2246,'Activation Detail'!G2746,'Activation Detail'!G3246,'Activation Detail'!G3746)</f>
        <v>13874</v>
      </c>
      <c r="E246" s="48" t="n">
        <f aca="false">SUM('Activation Detail'!H246,'Activation Detail'!H746,'Activation Detail'!H1246,'Activation Detail'!H1746,'Activation Detail'!H2246,'Activation Detail'!H2746,'Activation Detail'!H3246,'Activation Detail'!H3746)</f>
        <v>709.111769141002</v>
      </c>
      <c r="F246" s="50" t="n">
        <f aca="false">SUM('Activation Detail'!I246,'Activation Detail'!I746,'Activation Detail'!I1246,'Activation Detail'!I1746,'Activation Detail'!I2246,'Activation Detail'!I2746,'Activation Detail'!I3246,'Activation Detail'!I3746)</f>
        <v>75952.397528</v>
      </c>
      <c r="G246" s="50" t="n">
        <f aca="false">SUM('Activation Detail'!J246,'Activation Detail'!J746,'Activation Detail'!J1246,'Activation Detail'!J1746,'Activation Detail'!J2246,'Activation Detail'!J2746,'Activation Detail'!J3246,'Activation Detail'!J3746)</f>
        <v>4386179.16643017</v>
      </c>
      <c r="H246" s="50" t="n">
        <f aca="false">SUM('Activation Detail'!K246,'Activation Detail'!K746,'Activation Detail'!K1246,'Activation Detail'!K1746,'Activation Detail'!K2246,'Activation Detail'!K2746,'Activation Detail'!K3246,'Activation Detail'!K3746)</f>
        <v>94425.2450512601</v>
      </c>
      <c r="I246" s="51" t="n">
        <f aca="false">IFERROR(H246/F246,0)</f>
        <v>1.24321612120868</v>
      </c>
      <c r="J246" s="49" t="n">
        <f aca="false">IFERROR(F246/E246,0)</f>
        <v>107.109204547552</v>
      </c>
      <c r="K246" s="46" t="n">
        <f aca="false">IFERROR(C246/B246,0)</f>
        <v>0.0887465062737589</v>
      </c>
      <c r="L246" s="47" t="n">
        <f aca="false">IFERROR(D246/B246,0)</f>
        <v>0.00331829251200531</v>
      </c>
      <c r="N246" s="48" t="n">
        <f aca="false">SUMIFS('Activation Detail'!$H$4:$H$4003,'Activation Detail'!$A$4:$A$4003,$A246,'Activation Detail'!$N$4:$N$4003,N$2)</f>
        <v>88.2037728226601</v>
      </c>
      <c r="O246" s="50" t="n">
        <f aca="false">N246*'Model Inputs &amp; Assumptions'!$D$40*'Model Inputs &amp; Assumptions'!$H$40</f>
        <v>749732.068992611</v>
      </c>
      <c r="P246" s="50" t="n">
        <f aca="false">N246*'Model Inputs &amp; Assumptions'!$G$40*'Model Inputs &amp; Assumptions'!$H$40</f>
        <v>16868.9715523338</v>
      </c>
      <c r="Q246" s="50" t="n">
        <f aca="false">SUMIFS('Activation Detail'!$I$4:$I$4003,'Activation Detail'!$A$4:$A$4003,$A246,'Activation Detail'!$N$4:$N$4003,N$2)</f>
        <v>19009.178</v>
      </c>
      <c r="R246" s="51" t="n">
        <f aca="false">IFERROR(P246/Q246,0)</f>
        <v>0.887411941344005</v>
      </c>
      <c r="S246" s="49" t="n">
        <f aca="false">IFERROR(Q246/N246,0)</f>
        <v>215.514341299428</v>
      </c>
      <c r="T246" s="48" t="n">
        <f aca="false">SUMIFS('Activation Detail'!$H$4:$H$4003,'Activation Detail'!$A$4:$A$4003,$A246,'Activation Detail'!$N$4:$N$4003,T$2)</f>
        <v>157.524398510282</v>
      </c>
      <c r="U246" s="50" t="n">
        <f aca="false">T246*'Model Inputs &amp; Assumptions'!$D$41*'Model Inputs &amp; Assumptions'!$H$41</f>
        <v>1134175.66927403</v>
      </c>
      <c r="V246" s="50" t="n">
        <f aca="false">T246*'Model Inputs &amp; Assumptions'!$G$41*'Model Inputs &amp; Assumptions'!$H$41</f>
        <v>25008.5735074923</v>
      </c>
      <c r="W246" s="50" t="n">
        <f aca="false">SUMIFS('Activation Detail'!$I$4:$I$4003,'Activation Detail'!$A$4:$A$4003,$A246,'Activation Detail'!$N$4:$N$4003,T$2)</f>
        <v>17768.159528</v>
      </c>
      <c r="X246" s="51" t="n">
        <f aca="false">IFERROR(V246/W246,0)</f>
        <v>1.40749375128485</v>
      </c>
      <c r="Y246" s="49" t="n">
        <f aca="false">IFERROR(W246/T246,0)</f>
        <v>112.796237890985</v>
      </c>
      <c r="Z246" s="48" t="n">
        <f aca="false">SUMIFS('Activation Detail'!$H$4:$H$4003,'Activation Detail'!$A$4:$A$4003,$A246,'Activation Detail'!$N$4:$N$4003,Z$2)</f>
        <v>463.38359780806</v>
      </c>
      <c r="AA246" s="50" t="n">
        <f aca="false">Z246*'Model Inputs &amp; Assumptions'!$D$42*'Model Inputs &amp; Assumptions'!$H$42</f>
        <v>2502271.42816353</v>
      </c>
      <c r="AB246" s="50" t="n">
        <f aca="false">Z246*'Model Inputs &amp; Assumptions'!$G$42*'Model Inputs &amp; Assumptions'!$H$42</f>
        <v>52547.699991434</v>
      </c>
      <c r="AC246" s="50" t="n">
        <f aca="false">SUMIFS('Activation Detail'!$I$4:$I$4003,'Activation Detail'!$A$4:$A$4003,$A246,'Activation Detail'!$N$4:$N$4003,Z$2)</f>
        <v>39175.06</v>
      </c>
      <c r="AD246" s="51" t="n">
        <f aca="false">IFERROR(AB246/AC246,0)</f>
        <v>1.34135595430955</v>
      </c>
      <c r="AE246" s="49" t="n">
        <f aca="false">IFERROR(AC246/Z246,0)</f>
        <v>84.541317787918</v>
      </c>
    </row>
    <row r="247" customFormat="false" ht="15" hidden="false" customHeight="false" outlineLevel="0" collapsed="false">
      <c r="A247" s="43" t="n">
        <v>244</v>
      </c>
      <c r="B247" s="45" t="n">
        <f aca="false">SUM('Activation Detail'!C247,'Activation Detail'!C747,'Activation Detail'!C1247,'Activation Detail'!C1747,'Activation Detail'!C2247,'Activation Detail'!C2747,'Activation Detail'!C3247,'Activation Detail'!C3747)</f>
        <v>4697239</v>
      </c>
      <c r="C247" s="45" t="n">
        <f aca="false">SUM('Activation Detail'!E247,'Activation Detail'!E747,'Activation Detail'!E1247,'Activation Detail'!E1747,'Activation Detail'!E2247,'Activation Detail'!E2747,'Activation Detail'!E3247,'Activation Detail'!E3747)</f>
        <v>389708</v>
      </c>
      <c r="D247" s="45" t="n">
        <f aca="false">SUM('Activation Detail'!G247,'Activation Detail'!G747,'Activation Detail'!G1247,'Activation Detail'!G1747,'Activation Detail'!G2247,'Activation Detail'!G2747,'Activation Detail'!G3247,'Activation Detail'!G3747)</f>
        <v>15190</v>
      </c>
      <c r="E247" s="48" t="n">
        <f aca="false">SUM('Activation Detail'!H247,'Activation Detail'!H747,'Activation Detail'!H1247,'Activation Detail'!H1747,'Activation Detail'!H2247,'Activation Detail'!H2747,'Activation Detail'!H3247,'Activation Detail'!H3747)</f>
        <v>561.417826179541</v>
      </c>
      <c r="F247" s="50" t="n">
        <f aca="false">SUM('Activation Detail'!I247,'Activation Detail'!I747,'Activation Detail'!I1247,'Activation Detail'!I1747,'Activation Detail'!I2247,'Activation Detail'!I2747,'Activation Detail'!I3247,'Activation Detail'!I3747)</f>
        <v>75096.09568</v>
      </c>
      <c r="G247" s="50" t="n">
        <f aca="false">SUM('Activation Detail'!J247,'Activation Detail'!J747,'Activation Detail'!J1247,'Activation Detail'!J1747,'Activation Detail'!J2247,'Activation Detail'!J2747,'Activation Detail'!J3247,'Activation Detail'!J3747)</f>
        <v>3600971.60920623</v>
      </c>
      <c r="H247" s="50" t="n">
        <f aca="false">SUM('Activation Detail'!K247,'Activation Detail'!K747,'Activation Detail'!K1247,'Activation Detail'!K1747,'Activation Detail'!K2247,'Activation Detail'!K2747,'Activation Detail'!K3247,'Activation Detail'!K3747)</f>
        <v>77993.2544900187</v>
      </c>
      <c r="I247" s="51" t="n">
        <f aca="false">IFERROR(H247/F247,0)</f>
        <v>1.03857935334433</v>
      </c>
      <c r="J247" s="49" t="n">
        <f aca="false">IFERROR(F247/E247,0)</f>
        <v>133.761509125976</v>
      </c>
      <c r="K247" s="46" t="n">
        <f aca="false">IFERROR(C247/B247,0)</f>
        <v>0.0829653334650419</v>
      </c>
      <c r="L247" s="47" t="n">
        <f aca="false">IFERROR(D247/B247,0)</f>
        <v>0.00323381458767587</v>
      </c>
      <c r="N247" s="48" t="n">
        <f aca="false">SUMIFS('Activation Detail'!$H$4:$H$4003,'Activation Detail'!$A$4:$A$4003,$A247,'Activation Detail'!$N$4:$N$4003,N$2)</f>
        <v>67.6806082455476</v>
      </c>
      <c r="O247" s="50" t="n">
        <f aca="false">N247*'Model Inputs &amp; Assumptions'!$D$40*'Model Inputs &amp; Assumptions'!$H$40</f>
        <v>575285.170087154</v>
      </c>
      <c r="P247" s="50" t="n">
        <f aca="false">N247*'Model Inputs &amp; Assumptions'!$G$40*'Model Inputs &amp; Assumptions'!$H$40</f>
        <v>12943.916326961</v>
      </c>
      <c r="Q247" s="50" t="n">
        <f aca="false">SUMIFS('Activation Detail'!$I$4:$I$4003,'Activation Detail'!$A$4:$A$4003,$A247,'Activation Detail'!$N$4:$N$4003,N$2)</f>
        <v>17337.7745</v>
      </c>
      <c r="R247" s="51" t="n">
        <f aca="false">IFERROR(P247/Q247,0)</f>
        <v>0.746573115653395</v>
      </c>
      <c r="S247" s="49" t="n">
        <f aca="false">IFERROR(Q247/N247,0)</f>
        <v>256.170488851075</v>
      </c>
      <c r="T247" s="48" t="n">
        <f aca="false">SUMIFS('Activation Detail'!$H$4:$H$4003,'Activation Detail'!$A$4:$A$4003,$A247,'Activation Detail'!$N$4:$N$4003,T$2)</f>
        <v>199.725256819728</v>
      </c>
      <c r="U247" s="50" t="n">
        <f aca="false">T247*'Model Inputs &amp; Assumptions'!$D$41*'Model Inputs &amp; Assumptions'!$H$41</f>
        <v>1438021.84910204</v>
      </c>
      <c r="V247" s="50" t="n">
        <f aca="false">T247*'Model Inputs &amp; Assumptions'!$G$41*'Model Inputs &amp; Assumptions'!$H$41</f>
        <v>31708.3817726999</v>
      </c>
      <c r="W247" s="50" t="n">
        <f aca="false">SUMIFS('Activation Detail'!$I$4:$I$4003,'Activation Detail'!$A$4:$A$4003,$A247,'Activation Detail'!$N$4:$N$4003,T$2)</f>
        <v>19264.21318</v>
      </c>
      <c r="X247" s="51" t="n">
        <f aca="false">IFERROR(V247/W247,0)</f>
        <v>1.64597336400011</v>
      </c>
      <c r="Y247" s="49" t="n">
        <f aca="false">IFERROR(W247/T247,0)</f>
        <v>96.453565696941</v>
      </c>
      <c r="Z247" s="48" t="n">
        <f aca="false">SUMIFS('Activation Detail'!$H$4:$H$4003,'Activation Detail'!$A$4:$A$4003,$A247,'Activation Detail'!$N$4:$N$4003,Z$2)</f>
        <v>294.011961114266</v>
      </c>
      <c r="AA247" s="50" t="n">
        <f aca="false">Z247*'Model Inputs &amp; Assumptions'!$D$42*'Model Inputs &amp; Assumptions'!$H$42</f>
        <v>1587664.59001703</v>
      </c>
      <c r="AB247" s="50" t="n">
        <f aca="false">Z247*'Model Inputs &amp; Assumptions'!$G$42*'Model Inputs &amp; Assumptions'!$H$42</f>
        <v>33340.9563903577</v>
      </c>
      <c r="AC247" s="50" t="n">
        <f aca="false">SUMIFS('Activation Detail'!$I$4:$I$4003,'Activation Detail'!$A$4:$A$4003,$A247,'Activation Detail'!$N$4:$N$4003,Z$2)</f>
        <v>38494.108</v>
      </c>
      <c r="AD247" s="51" t="n">
        <f aca="false">IFERROR(AB247/AC247,0)</f>
        <v>0.866131419134526</v>
      </c>
      <c r="AE247" s="49" t="n">
        <f aca="false">IFERROR(AC247/Z247,0)</f>
        <v>130.927013493303</v>
      </c>
    </row>
    <row r="248" customFormat="false" ht="15" hidden="false" customHeight="false" outlineLevel="0" collapsed="false">
      <c r="A248" s="43" t="n">
        <v>245</v>
      </c>
      <c r="B248" s="45" t="n">
        <f aca="false">SUM('Activation Detail'!C248,'Activation Detail'!C748,'Activation Detail'!C1248,'Activation Detail'!C1748,'Activation Detail'!C2248,'Activation Detail'!C2748,'Activation Detail'!C3248,'Activation Detail'!C3748)</f>
        <v>4495509</v>
      </c>
      <c r="C248" s="45" t="n">
        <f aca="false">SUM('Activation Detail'!E248,'Activation Detail'!E748,'Activation Detail'!E1248,'Activation Detail'!E1748,'Activation Detail'!E2248,'Activation Detail'!E2748,'Activation Detail'!E3248,'Activation Detail'!E3748)</f>
        <v>426096</v>
      </c>
      <c r="D248" s="45" t="n">
        <f aca="false">SUM('Activation Detail'!G248,'Activation Detail'!G748,'Activation Detail'!G1248,'Activation Detail'!G1748,'Activation Detail'!G2248,'Activation Detail'!G2748,'Activation Detail'!G3248,'Activation Detail'!G3748)</f>
        <v>16336</v>
      </c>
      <c r="E248" s="48" t="n">
        <f aca="false">SUM('Activation Detail'!H248,'Activation Detail'!H748,'Activation Detail'!H1248,'Activation Detail'!H1748,'Activation Detail'!H2248,'Activation Detail'!H2748,'Activation Detail'!H3248,'Activation Detail'!H3748)</f>
        <v>664.291817466093</v>
      </c>
      <c r="F248" s="50" t="n">
        <f aca="false">SUM('Activation Detail'!I248,'Activation Detail'!I748,'Activation Detail'!I1248,'Activation Detail'!I1748,'Activation Detail'!I2248,'Activation Detail'!I2748,'Activation Detail'!I3248,'Activation Detail'!I3748)</f>
        <v>78743.617558</v>
      </c>
      <c r="G248" s="50" t="n">
        <f aca="false">SUM('Activation Detail'!J248,'Activation Detail'!J748,'Activation Detail'!J1248,'Activation Detail'!J1748,'Activation Detail'!J2248,'Activation Detail'!J2748,'Activation Detail'!J3248,'Activation Detail'!J3748)</f>
        <v>4079768.34803245</v>
      </c>
      <c r="H248" s="50" t="n">
        <f aca="false">SUM('Activation Detail'!K248,'Activation Detail'!K748,'Activation Detail'!K1248,'Activation Detail'!K1748,'Activation Detail'!K2248,'Activation Detail'!K2748,'Activation Detail'!K3248,'Activation Detail'!K3748)</f>
        <v>87729.0850852719</v>
      </c>
      <c r="I248" s="51" t="n">
        <f aca="false">IFERROR(H248/F248,0)</f>
        <v>1.11411042324355</v>
      </c>
      <c r="J248" s="49" t="n">
        <f aca="false">IFERROR(F248/E248,0)</f>
        <v>118.537690044661</v>
      </c>
      <c r="K248" s="46" t="n">
        <f aca="false">IFERROR(C248/B248,0)</f>
        <v>0.0947825930278418</v>
      </c>
      <c r="L248" s="47" t="n">
        <f aca="false">IFERROR(D248/B248,0)</f>
        <v>0.00363384880332794</v>
      </c>
      <c r="N248" s="48" t="n">
        <f aca="false">SUMIFS('Activation Detail'!$H$4:$H$4003,'Activation Detail'!$A$4:$A$4003,$A248,'Activation Detail'!$N$4:$N$4003,N$2)</f>
        <v>55.3291296845076</v>
      </c>
      <c r="O248" s="50" t="n">
        <f aca="false">N248*'Model Inputs &amp; Assumptions'!$D$40*'Model Inputs &amp; Assumptions'!$H$40</f>
        <v>470297.602318314</v>
      </c>
      <c r="P248" s="50" t="n">
        <f aca="false">N248*'Model Inputs &amp; Assumptions'!$G$40*'Model Inputs &amp; Assumptions'!$H$40</f>
        <v>10581.6960521621</v>
      </c>
      <c r="Q248" s="50" t="n">
        <f aca="false">SUMIFS('Activation Detail'!$I$4:$I$4003,'Activation Detail'!$A$4:$A$4003,$A248,'Activation Detail'!$N$4:$N$4003,N$2)</f>
        <v>18156.131</v>
      </c>
      <c r="R248" s="51" t="n">
        <f aca="false">IFERROR(P248/Q248,0)</f>
        <v>0.582816683365089</v>
      </c>
      <c r="S248" s="49" t="n">
        <f aca="false">IFERROR(Q248/N248,0)</f>
        <v>328.147778638994</v>
      </c>
      <c r="T248" s="48" t="n">
        <f aca="false">SUMIFS('Activation Detail'!$H$4:$H$4003,'Activation Detail'!$A$4:$A$4003,$A248,'Activation Detail'!$N$4:$N$4003,T$2)</f>
        <v>178.373462051984</v>
      </c>
      <c r="U248" s="50" t="n">
        <f aca="false">T248*'Model Inputs &amp; Assumptions'!$D$41*'Model Inputs &amp; Assumptions'!$H$41</f>
        <v>1284288.92677428</v>
      </c>
      <c r="V248" s="50" t="n">
        <f aca="false">T248*'Model Inputs &amp; Assumptions'!$G$41*'Model Inputs &amp; Assumptions'!$H$41</f>
        <v>28318.570835373</v>
      </c>
      <c r="W248" s="50" t="n">
        <f aca="false">SUMIFS('Activation Detail'!$I$4:$I$4003,'Activation Detail'!$A$4:$A$4003,$A248,'Activation Detail'!$N$4:$N$4003,T$2)</f>
        <v>20413.450558</v>
      </c>
      <c r="X248" s="51" t="n">
        <f aca="false">IFERROR(V248/W248,0)</f>
        <v>1.38725056574401</v>
      </c>
      <c r="Y248" s="49" t="n">
        <f aca="false">IFERROR(W248/T248,0)</f>
        <v>114.442195173915</v>
      </c>
      <c r="Z248" s="48" t="n">
        <f aca="false">SUMIFS('Activation Detail'!$H$4:$H$4003,'Activation Detail'!$A$4:$A$4003,$A248,'Activation Detail'!$N$4:$N$4003,Z$2)</f>
        <v>430.589225729602</v>
      </c>
      <c r="AA248" s="50" t="n">
        <f aca="false">Z248*'Model Inputs &amp; Assumptions'!$D$42*'Model Inputs &amp; Assumptions'!$H$42</f>
        <v>2325181.81893985</v>
      </c>
      <c r="AB248" s="50" t="n">
        <f aca="false">Z248*'Model Inputs &amp; Assumptions'!$G$42*'Model Inputs &amp; Assumptions'!$H$42</f>
        <v>48828.8181977368</v>
      </c>
      <c r="AC248" s="50" t="n">
        <f aca="false">SUMIFS('Activation Detail'!$I$4:$I$4003,'Activation Detail'!$A$4:$A$4003,$A248,'Activation Detail'!$N$4:$N$4003,Z$2)</f>
        <v>40174.036</v>
      </c>
      <c r="AD248" s="51" t="n">
        <f aca="false">IFERROR(AB248/AC248,0)</f>
        <v>1.21543223085021</v>
      </c>
      <c r="AE248" s="49" t="n">
        <f aca="false">IFERROR(AC248/Z248,0)</f>
        <v>93.3001422223885</v>
      </c>
    </row>
    <row r="249" customFormat="false" ht="15" hidden="false" customHeight="false" outlineLevel="0" collapsed="false">
      <c r="A249" s="43" t="n">
        <v>246</v>
      </c>
      <c r="B249" s="45" t="n">
        <f aca="false">SUM('Activation Detail'!C249,'Activation Detail'!C749,'Activation Detail'!C1249,'Activation Detail'!C1749,'Activation Detail'!C2249,'Activation Detail'!C2749,'Activation Detail'!C3249,'Activation Detail'!C3749)</f>
        <v>4211667</v>
      </c>
      <c r="C249" s="45" t="n">
        <f aca="false">SUM('Activation Detail'!E249,'Activation Detail'!E749,'Activation Detail'!E1249,'Activation Detail'!E1749,'Activation Detail'!E2249,'Activation Detail'!E2749,'Activation Detail'!E3249,'Activation Detail'!E3749)</f>
        <v>360864</v>
      </c>
      <c r="D249" s="45" t="n">
        <f aca="false">SUM('Activation Detail'!G249,'Activation Detail'!G749,'Activation Detail'!G1249,'Activation Detail'!G1749,'Activation Detail'!G2249,'Activation Detail'!G2749,'Activation Detail'!G3249,'Activation Detail'!G3749)</f>
        <v>15071</v>
      </c>
      <c r="E249" s="48" t="n">
        <f aca="false">SUM('Activation Detail'!H249,'Activation Detail'!H749,'Activation Detail'!H1249,'Activation Detail'!H1749,'Activation Detail'!H2249,'Activation Detail'!H2749,'Activation Detail'!H3249,'Activation Detail'!H3749)</f>
        <v>578.25962244959</v>
      </c>
      <c r="F249" s="50" t="n">
        <f aca="false">SUM('Activation Detail'!I249,'Activation Detail'!I749,'Activation Detail'!I1249,'Activation Detail'!I1749,'Activation Detail'!I2249,'Activation Detail'!I2749,'Activation Detail'!I3249,'Activation Detail'!I3749)</f>
        <v>80967.44305</v>
      </c>
      <c r="G249" s="50" t="n">
        <f aca="false">SUM('Activation Detail'!J249,'Activation Detail'!J749,'Activation Detail'!J1249,'Activation Detail'!J1749,'Activation Detail'!J2249,'Activation Detail'!J2749,'Activation Detail'!J3249,'Activation Detail'!J3749)</f>
        <v>3769324.56727537</v>
      </c>
      <c r="H249" s="50" t="n">
        <f aca="false">SUM('Activation Detail'!K249,'Activation Detail'!K749,'Activation Detail'!K1249,'Activation Detail'!K1749,'Activation Detail'!K2249,'Activation Detail'!K2749,'Activation Detail'!K3249,'Activation Detail'!K3749)</f>
        <v>81848.3528537218</v>
      </c>
      <c r="I249" s="51" t="n">
        <f aca="false">IFERROR(H249/F249,0)</f>
        <v>1.01087980267795</v>
      </c>
      <c r="J249" s="49" t="n">
        <f aca="false">IFERROR(F249/E249,0)</f>
        <v>140.019188452084</v>
      </c>
      <c r="K249" s="46" t="n">
        <f aca="false">IFERROR(C249/B249,0)</f>
        <v>0.085681987678513</v>
      </c>
      <c r="L249" s="47" t="n">
        <f aca="false">IFERROR(D249/B249,0)</f>
        <v>0.00357839306858781</v>
      </c>
      <c r="N249" s="48" t="n">
        <f aca="false">SUMIFS('Activation Detail'!$H$4:$H$4003,'Activation Detail'!$A$4:$A$4003,$A249,'Activation Detail'!$N$4:$N$4003,N$2)</f>
        <v>87.7703868921461</v>
      </c>
      <c r="O249" s="50" t="n">
        <f aca="false">N249*'Model Inputs &amp; Assumptions'!$D$40*'Model Inputs &amp; Assumptions'!$H$40</f>
        <v>746048.288583242</v>
      </c>
      <c r="P249" s="50" t="n">
        <f aca="false">N249*'Model Inputs &amp; Assumptions'!$G$40*'Model Inputs &amp; Assumptions'!$H$40</f>
        <v>16786.0864931229</v>
      </c>
      <c r="Q249" s="50" t="n">
        <f aca="false">SUMIFS('Activation Detail'!$I$4:$I$4003,'Activation Detail'!$A$4:$A$4003,$A249,'Activation Detail'!$N$4:$N$4003,N$2)</f>
        <v>17744.1155</v>
      </c>
      <c r="R249" s="51" t="n">
        <f aca="false">IFERROR(P249/Q249,0)</f>
        <v>0.946008635545848</v>
      </c>
      <c r="S249" s="49" t="n">
        <f aca="false">IFERROR(Q249/N249,0)</f>
        <v>202.165173565935</v>
      </c>
      <c r="T249" s="48" t="n">
        <f aca="false">SUMIFS('Activation Detail'!$H$4:$H$4003,'Activation Detail'!$A$4:$A$4003,$A249,'Activation Detail'!$N$4:$N$4003,T$2)</f>
        <v>208.130225934408</v>
      </c>
      <c r="U249" s="50" t="n">
        <f aca="false">T249*'Model Inputs &amp; Assumptions'!$D$41*'Model Inputs &amp; Assumptions'!$H$41</f>
        <v>1498537.62672774</v>
      </c>
      <c r="V249" s="50" t="n">
        <f aca="false">T249*'Model Inputs &amp; Assumptions'!$G$41*'Model Inputs &amp; Assumptions'!$H$41</f>
        <v>33042.7546693466</v>
      </c>
      <c r="W249" s="50" t="n">
        <f aca="false">SUMIFS('Activation Detail'!$I$4:$I$4003,'Activation Detail'!$A$4:$A$4003,$A249,'Activation Detail'!$N$4:$N$4003,T$2)</f>
        <v>18169.94755</v>
      </c>
      <c r="X249" s="51" t="n">
        <f aca="false">IFERROR(V249/W249,0)</f>
        <v>1.81853880306587</v>
      </c>
      <c r="Y249" s="49" t="n">
        <f aca="false">IFERROR(W249/T249,0)</f>
        <v>87.3008592020952</v>
      </c>
      <c r="Z249" s="48" t="n">
        <f aca="false">SUMIFS('Activation Detail'!$H$4:$H$4003,'Activation Detail'!$A$4:$A$4003,$A249,'Activation Detail'!$N$4:$N$4003,Z$2)</f>
        <v>282.359009623036</v>
      </c>
      <c r="AA249" s="50" t="n">
        <f aca="false">Z249*'Model Inputs &amp; Assumptions'!$D$42*'Model Inputs &amp; Assumptions'!$H$42</f>
        <v>1524738.65196439</v>
      </c>
      <c r="AB249" s="50" t="n">
        <f aca="false">Z249*'Model Inputs &amp; Assumptions'!$G$42*'Model Inputs &amp; Assumptions'!$H$42</f>
        <v>32019.5116912523</v>
      </c>
      <c r="AC249" s="50" t="n">
        <f aca="false">SUMIFS('Activation Detail'!$I$4:$I$4003,'Activation Detail'!$A$4:$A$4003,$A249,'Activation Detail'!$N$4:$N$4003,Z$2)</f>
        <v>45053.38</v>
      </c>
      <c r="AD249" s="51" t="n">
        <f aca="false">IFERROR(AB249/AC249,0)</f>
        <v>0.710701654154522</v>
      </c>
      <c r="AE249" s="49" t="n">
        <f aca="false">IFERROR(AC249/Z249,0)</f>
        <v>159.560624823513</v>
      </c>
    </row>
    <row r="250" customFormat="false" ht="15" hidden="false" customHeight="false" outlineLevel="0" collapsed="false">
      <c r="A250" s="43" t="n">
        <v>247</v>
      </c>
      <c r="B250" s="45" t="n">
        <f aca="false">SUM('Activation Detail'!C250,'Activation Detail'!C750,'Activation Detail'!C1250,'Activation Detail'!C1750,'Activation Detail'!C2250,'Activation Detail'!C2750,'Activation Detail'!C3250,'Activation Detail'!C3750)</f>
        <v>3455979</v>
      </c>
      <c r="C250" s="45" t="n">
        <f aca="false">SUM('Activation Detail'!E250,'Activation Detail'!E750,'Activation Detail'!E1250,'Activation Detail'!E1750,'Activation Detail'!E2250,'Activation Detail'!E2750,'Activation Detail'!E3250,'Activation Detail'!E3750)</f>
        <v>445748</v>
      </c>
      <c r="D250" s="45" t="n">
        <f aca="false">SUM('Activation Detail'!G250,'Activation Detail'!G750,'Activation Detail'!G1250,'Activation Detail'!G1750,'Activation Detail'!G2250,'Activation Detail'!G2750,'Activation Detail'!G3250,'Activation Detail'!G3750)</f>
        <v>13862</v>
      </c>
      <c r="E250" s="48" t="n">
        <f aca="false">SUM('Activation Detail'!H250,'Activation Detail'!H750,'Activation Detail'!H1250,'Activation Detail'!H1750,'Activation Detail'!H2250,'Activation Detail'!H2750,'Activation Detail'!H3250,'Activation Detail'!H3750)</f>
        <v>558.850098609627</v>
      </c>
      <c r="F250" s="50" t="n">
        <f aca="false">SUM('Activation Detail'!I250,'Activation Detail'!I750,'Activation Detail'!I1250,'Activation Detail'!I1750,'Activation Detail'!I2250,'Activation Detail'!I2750,'Activation Detail'!I3250,'Activation Detail'!I3750)</f>
        <v>72228.629304</v>
      </c>
      <c r="G250" s="50" t="n">
        <f aca="false">SUM('Activation Detail'!J250,'Activation Detail'!J750,'Activation Detail'!J1250,'Activation Detail'!J1750,'Activation Detail'!J2250,'Activation Detail'!J2750,'Activation Detail'!J3250,'Activation Detail'!J3750)</f>
        <v>3572573.98456757</v>
      </c>
      <c r="H250" s="50" t="n">
        <f aca="false">SUM('Activation Detail'!K250,'Activation Detail'!K750,'Activation Detail'!K1250,'Activation Detail'!K1750,'Activation Detail'!K2250,'Activation Detail'!K2750,'Activation Detail'!K3250,'Activation Detail'!K3750)</f>
        <v>77325.8649823869</v>
      </c>
      <c r="I250" s="51" t="n">
        <f aca="false">IFERROR(H250/F250,0)</f>
        <v>1.07057084881029</v>
      </c>
      <c r="J250" s="49" t="n">
        <f aca="false">IFERROR(F250/E250,0)</f>
        <v>129.24508644393</v>
      </c>
      <c r="K250" s="46" t="n">
        <f aca="false">IFERROR(C250/B250,0)</f>
        <v>0.128978792984564</v>
      </c>
      <c r="L250" s="47" t="n">
        <f aca="false">IFERROR(D250/B250,0)</f>
        <v>0.00401101974288617</v>
      </c>
      <c r="N250" s="48" t="n">
        <f aca="false">SUMIFS('Activation Detail'!$H$4:$H$4003,'Activation Detail'!$A$4:$A$4003,$A250,'Activation Detail'!$N$4:$N$4003,N$2)</f>
        <v>104.737749071868</v>
      </c>
      <c r="O250" s="50" t="n">
        <f aca="false">N250*'Model Inputs &amp; Assumptions'!$D$40*'Model Inputs &amp; Assumptions'!$H$40</f>
        <v>890270.867110875</v>
      </c>
      <c r="P250" s="50" t="n">
        <f aca="false">N250*'Model Inputs &amp; Assumptions'!$G$40*'Model Inputs &amp; Assumptions'!$H$40</f>
        <v>20031.0945099947</v>
      </c>
      <c r="Q250" s="50" t="n">
        <f aca="false">SUMIFS('Activation Detail'!$I$4:$I$4003,'Activation Detail'!$A$4:$A$4003,$A250,'Activation Detail'!$N$4:$N$4003,N$2)</f>
        <v>18166.076</v>
      </c>
      <c r="R250" s="51" t="n">
        <f aca="false">IFERROR(P250/Q250,0)</f>
        <v>1.10266490737982</v>
      </c>
      <c r="S250" s="49" t="n">
        <f aca="false">IFERROR(Q250/N250,0)</f>
        <v>173.443444803602</v>
      </c>
      <c r="T250" s="48" t="n">
        <f aca="false">SUMIFS('Activation Detail'!$H$4:$H$4003,'Activation Detail'!$A$4:$A$4003,$A250,'Activation Detail'!$N$4:$N$4003,T$2)</f>
        <v>127.831349973772</v>
      </c>
      <c r="U250" s="50" t="n">
        <f aca="false">T250*'Model Inputs &amp; Assumptions'!$D$41*'Model Inputs &amp; Assumptions'!$H$41</f>
        <v>920385.719811158</v>
      </c>
      <c r="V250" s="50" t="n">
        <f aca="false">T250*'Model Inputs &amp; Assumptions'!$G$41*'Model Inputs &amp; Assumptions'!$H$41</f>
        <v>20294.505121836</v>
      </c>
      <c r="W250" s="50" t="n">
        <f aca="false">SUMIFS('Activation Detail'!$I$4:$I$4003,'Activation Detail'!$A$4:$A$4003,$A250,'Activation Detail'!$N$4:$N$4003,T$2)</f>
        <v>18208.229304</v>
      </c>
      <c r="X250" s="51" t="n">
        <f aca="false">IFERROR(V250/W250,0)</f>
        <v>1.11457873157264</v>
      </c>
      <c r="Y250" s="49" t="n">
        <f aca="false">IFERROR(W250/T250,0)</f>
        <v>142.439466592005</v>
      </c>
      <c r="Z250" s="48" t="n">
        <f aca="false">SUMIFS('Activation Detail'!$H$4:$H$4003,'Activation Detail'!$A$4:$A$4003,$A250,'Activation Detail'!$N$4:$N$4003,Z$2)</f>
        <v>326.280999563987</v>
      </c>
      <c r="AA250" s="50" t="n">
        <f aca="false">Z250*'Model Inputs &amp; Assumptions'!$D$42*'Model Inputs &amp; Assumptions'!$H$42</f>
        <v>1761917.39764553</v>
      </c>
      <c r="AB250" s="50" t="n">
        <f aca="false">Z250*'Model Inputs &amp; Assumptions'!$G$42*'Model Inputs &amp; Assumptions'!$H$42</f>
        <v>37000.2653505562</v>
      </c>
      <c r="AC250" s="50" t="n">
        <f aca="false">SUMIFS('Activation Detail'!$I$4:$I$4003,'Activation Detail'!$A$4:$A$4003,$A250,'Activation Detail'!$N$4:$N$4003,Z$2)</f>
        <v>35854.324</v>
      </c>
      <c r="AD250" s="51" t="n">
        <f aca="false">IFERROR(AB250/AC250,0)</f>
        <v>1.03196103629108</v>
      </c>
      <c r="AE250" s="49" t="n">
        <f aca="false">IFERROR(AC250/Z250,0)</f>
        <v>109.887869805206</v>
      </c>
    </row>
    <row r="251" customFormat="false" ht="15" hidden="false" customHeight="false" outlineLevel="0" collapsed="false">
      <c r="A251" s="43" t="n">
        <v>248</v>
      </c>
      <c r="B251" s="45" t="n">
        <f aca="false">SUM('Activation Detail'!C251,'Activation Detail'!C751,'Activation Detail'!C1251,'Activation Detail'!C1751,'Activation Detail'!C2251,'Activation Detail'!C2751,'Activation Detail'!C3251,'Activation Detail'!C3751)</f>
        <v>5858959</v>
      </c>
      <c r="C251" s="45" t="n">
        <f aca="false">SUM('Activation Detail'!E251,'Activation Detail'!E751,'Activation Detail'!E1251,'Activation Detail'!E1751,'Activation Detail'!E2251,'Activation Detail'!E2751,'Activation Detail'!E3251,'Activation Detail'!E3751)</f>
        <v>340748</v>
      </c>
      <c r="D251" s="45" t="n">
        <f aca="false">SUM('Activation Detail'!G251,'Activation Detail'!G751,'Activation Detail'!G1251,'Activation Detail'!G1751,'Activation Detail'!G2251,'Activation Detail'!G2751,'Activation Detail'!G3251,'Activation Detail'!G3751)</f>
        <v>18140</v>
      </c>
      <c r="E251" s="48" t="n">
        <f aca="false">SUM('Activation Detail'!H251,'Activation Detail'!H751,'Activation Detail'!H1251,'Activation Detail'!H1751,'Activation Detail'!H2251,'Activation Detail'!H2751,'Activation Detail'!H3251,'Activation Detail'!H3751)</f>
        <v>799.089489788965</v>
      </c>
      <c r="F251" s="50" t="n">
        <f aca="false">SUM('Activation Detail'!I251,'Activation Detail'!I751,'Activation Detail'!I1251,'Activation Detail'!I1751,'Activation Detail'!I2251,'Activation Detail'!I2751,'Activation Detail'!I3251,'Activation Detail'!I3751)</f>
        <v>81637.723198</v>
      </c>
      <c r="G251" s="50" t="n">
        <f aca="false">SUM('Activation Detail'!J251,'Activation Detail'!J751,'Activation Detail'!J1251,'Activation Detail'!J1751,'Activation Detail'!J2251,'Activation Detail'!J2751,'Activation Detail'!J3251,'Activation Detail'!J3751)</f>
        <v>4832411.29240408</v>
      </c>
      <c r="H251" s="50" t="n">
        <f aca="false">SUM('Activation Detail'!K251,'Activation Detail'!K751,'Activation Detail'!K1251,'Activation Detail'!K1751,'Activation Detail'!K2251,'Activation Detail'!K2751,'Activation Detail'!K3251,'Activation Detail'!K3751)</f>
        <v>103631.151482192</v>
      </c>
      <c r="I251" s="51" t="n">
        <f aca="false">IFERROR(H251/F251,0)</f>
        <v>1.2694027640978</v>
      </c>
      <c r="J251" s="49" t="n">
        <f aca="false">IFERROR(F251/E251,0)</f>
        <v>102.163430055325</v>
      </c>
      <c r="K251" s="46" t="n">
        <f aca="false">IFERROR(C251/B251,0)</f>
        <v>0.0581584544285085</v>
      </c>
      <c r="L251" s="47" t="n">
        <f aca="false">IFERROR(D251/B251,0)</f>
        <v>0.00309611314911062</v>
      </c>
      <c r="N251" s="48" t="n">
        <f aca="false">SUMIFS('Activation Detail'!$H$4:$H$4003,'Activation Detail'!$A$4:$A$4003,$A251,'Activation Detail'!$N$4:$N$4003,N$2)</f>
        <v>82.4572517657654</v>
      </c>
      <c r="O251" s="50" t="n">
        <f aca="false">N251*'Model Inputs &amp; Assumptions'!$D$40*'Model Inputs &amp; Assumptions'!$H$40</f>
        <v>700886.640009006</v>
      </c>
      <c r="P251" s="50" t="n">
        <f aca="false">N251*'Model Inputs &amp; Assumptions'!$G$40*'Model Inputs &amp; Assumptions'!$H$40</f>
        <v>15769.9494002026</v>
      </c>
      <c r="Q251" s="50" t="n">
        <f aca="false">SUMIFS('Activation Detail'!$I$4:$I$4003,'Activation Detail'!$A$4:$A$4003,$A251,'Activation Detail'!$N$4:$N$4003,N$2)</f>
        <v>18163.515</v>
      </c>
      <c r="R251" s="51" t="n">
        <f aca="false">IFERROR(P251/Q251,0)</f>
        <v>0.868221233621501</v>
      </c>
      <c r="S251" s="49" t="n">
        <f aca="false">IFERROR(Q251/N251,0)</f>
        <v>220.277957499684</v>
      </c>
      <c r="T251" s="48" t="n">
        <f aca="false">SUMIFS('Activation Detail'!$H$4:$H$4003,'Activation Detail'!$A$4:$A$4003,$A251,'Activation Detail'!$N$4:$N$4003,T$2)</f>
        <v>145.394759483219</v>
      </c>
      <c r="U251" s="50" t="n">
        <f aca="false">T251*'Model Inputs &amp; Assumptions'!$D$41*'Model Inputs &amp; Assumptions'!$H$41</f>
        <v>1046842.26827917</v>
      </c>
      <c r="V251" s="50" t="n">
        <f aca="false">T251*'Model Inputs &amp; Assumptions'!$G$41*'Model Inputs &amp; Assumptions'!$H$41</f>
        <v>23082.8720155558</v>
      </c>
      <c r="W251" s="50" t="n">
        <f aca="false">SUMIFS('Activation Detail'!$I$4:$I$4003,'Activation Detail'!$A$4:$A$4003,$A251,'Activation Detail'!$N$4:$N$4003,T$2)</f>
        <v>18173.052198</v>
      </c>
      <c r="X251" s="51" t="n">
        <f aca="false">IFERROR(V251/W251,0)</f>
        <v>1.27017034695449</v>
      </c>
      <c r="Y251" s="49" t="n">
        <f aca="false">IFERROR(W251/T251,0)</f>
        <v>124.991108775812</v>
      </c>
      <c r="Z251" s="48" t="n">
        <f aca="false">SUMIFS('Activation Detail'!$H$4:$H$4003,'Activation Detail'!$A$4:$A$4003,$A251,'Activation Detail'!$N$4:$N$4003,Z$2)</f>
        <v>571.237478539981</v>
      </c>
      <c r="AA251" s="50" t="n">
        <f aca="false">Z251*'Model Inputs &amp; Assumptions'!$D$42*'Model Inputs &amp; Assumptions'!$H$42</f>
        <v>3084682.3841159</v>
      </c>
      <c r="AB251" s="50" t="n">
        <f aca="false">Z251*'Model Inputs &amp; Assumptions'!$G$42*'Model Inputs &amp; Assumptions'!$H$42</f>
        <v>64778.3300664339</v>
      </c>
      <c r="AC251" s="50" t="n">
        <f aca="false">SUMIFS('Activation Detail'!$I$4:$I$4003,'Activation Detail'!$A$4:$A$4003,$A251,'Activation Detail'!$N$4:$N$4003,Z$2)</f>
        <v>45301.156</v>
      </c>
      <c r="AD251" s="51" t="n">
        <f aca="false">IFERROR(AB251/AC251,0)</f>
        <v>1.42994872065591</v>
      </c>
      <c r="AE251" s="49" t="n">
        <f aca="false">IFERROR(AC251/Z251,0)</f>
        <v>79.3035431004714</v>
      </c>
    </row>
    <row r="252" customFormat="false" ht="15" hidden="false" customHeight="false" outlineLevel="0" collapsed="false">
      <c r="A252" s="43" t="n">
        <v>249</v>
      </c>
      <c r="B252" s="45" t="n">
        <f aca="false">SUM('Activation Detail'!C252,'Activation Detail'!C752,'Activation Detail'!C1252,'Activation Detail'!C1752,'Activation Detail'!C2252,'Activation Detail'!C2752,'Activation Detail'!C3252,'Activation Detail'!C3752)</f>
        <v>3166074</v>
      </c>
      <c r="C252" s="45" t="n">
        <f aca="false">SUM('Activation Detail'!E252,'Activation Detail'!E752,'Activation Detail'!E1252,'Activation Detail'!E1752,'Activation Detail'!E2252,'Activation Detail'!E2752,'Activation Detail'!E3252,'Activation Detail'!E3752)</f>
        <v>425927</v>
      </c>
      <c r="D252" s="45" t="n">
        <f aca="false">SUM('Activation Detail'!G252,'Activation Detail'!G752,'Activation Detail'!G1252,'Activation Detail'!G1752,'Activation Detail'!G2252,'Activation Detail'!G2752,'Activation Detail'!G3252,'Activation Detail'!G3752)</f>
        <v>13849</v>
      </c>
      <c r="E252" s="48" t="n">
        <f aca="false">SUM('Activation Detail'!H252,'Activation Detail'!H752,'Activation Detail'!H1252,'Activation Detail'!H1752,'Activation Detail'!H2252,'Activation Detail'!H2752,'Activation Detail'!H3252,'Activation Detail'!H3752)</f>
        <v>606.391938250159</v>
      </c>
      <c r="F252" s="50" t="n">
        <f aca="false">SUM('Activation Detail'!I252,'Activation Detail'!I752,'Activation Detail'!I1252,'Activation Detail'!I1752,'Activation Detail'!I2252,'Activation Detail'!I2752,'Activation Detail'!I3252,'Activation Detail'!I3752)</f>
        <v>69546.884986</v>
      </c>
      <c r="G252" s="50" t="n">
        <f aca="false">SUM('Activation Detail'!J252,'Activation Detail'!J752,'Activation Detail'!J1252,'Activation Detail'!J1752,'Activation Detail'!J2252,'Activation Detail'!J2752,'Activation Detail'!J3252,'Activation Detail'!J3752)</f>
        <v>3855384.97145281</v>
      </c>
      <c r="H252" s="50" t="n">
        <f aca="false">SUM('Activation Detail'!K252,'Activation Detail'!K752,'Activation Detail'!K1252,'Activation Detail'!K1752,'Activation Detail'!K2252,'Activation Detail'!K2752,'Activation Detail'!K3252,'Activation Detail'!K3752)</f>
        <v>83379.4165362988</v>
      </c>
      <c r="I252" s="51" t="n">
        <f aca="false">IFERROR(H252/F252,0)</f>
        <v>1.19889505551662</v>
      </c>
      <c r="J252" s="49" t="n">
        <f aca="false">IFERROR(F252/E252,0)</f>
        <v>114.68965960644</v>
      </c>
      <c r="K252" s="46" t="n">
        <f aca="false">IFERROR(C252/B252,0)</f>
        <v>0.134528441217735</v>
      </c>
      <c r="L252" s="47" t="n">
        <f aca="false">IFERROR(D252/B252,0)</f>
        <v>0.00437418708469859</v>
      </c>
      <c r="N252" s="48" t="n">
        <f aca="false">SUMIFS('Activation Detail'!$H$4:$H$4003,'Activation Detail'!$A$4:$A$4003,$A252,'Activation Detail'!$N$4:$N$4003,N$2)</f>
        <v>86.3540177723004</v>
      </c>
      <c r="O252" s="50" t="n">
        <f aca="false">N252*'Model Inputs &amp; Assumptions'!$D$40*'Model Inputs &amp; Assumptions'!$H$40</f>
        <v>734009.151064554</v>
      </c>
      <c r="P252" s="50" t="n">
        <f aca="false">N252*'Model Inputs &amp; Assumptions'!$G$40*'Model Inputs &amp; Assumptions'!$H$40</f>
        <v>16515.2058989525</v>
      </c>
      <c r="Q252" s="50" t="n">
        <f aca="false">SUMIFS('Activation Detail'!$I$4:$I$4003,'Activation Detail'!$A$4:$A$4003,$A252,'Activation Detail'!$N$4:$N$4003,N$2)</f>
        <v>17656.775</v>
      </c>
      <c r="R252" s="51" t="n">
        <f aca="false">IFERROR(P252/Q252,0)</f>
        <v>0.935346681313686</v>
      </c>
      <c r="S252" s="49" t="n">
        <f aca="false">IFERROR(Q252/N252,0)</f>
        <v>204.469640851658</v>
      </c>
      <c r="T252" s="48" t="n">
        <f aca="false">SUMIFS('Activation Detail'!$H$4:$H$4003,'Activation Detail'!$A$4:$A$4003,$A252,'Activation Detail'!$N$4:$N$4003,T$2)</f>
        <v>173.983916559903</v>
      </c>
      <c r="U252" s="50" t="n">
        <f aca="false">T252*'Model Inputs &amp; Assumptions'!$D$41*'Model Inputs &amp; Assumptions'!$H$41</f>
        <v>1252684.1992313</v>
      </c>
      <c r="V252" s="50" t="n">
        <f aca="false">T252*'Model Inputs &amp; Assumptions'!$G$41*'Model Inputs &amp; Assumptions'!$H$41</f>
        <v>27621.6865930502</v>
      </c>
      <c r="W252" s="50" t="n">
        <f aca="false">SUMIFS('Activation Detail'!$I$4:$I$4003,'Activation Detail'!$A$4:$A$4003,$A252,'Activation Detail'!$N$4:$N$4003,T$2)</f>
        <v>18789.005986</v>
      </c>
      <c r="X252" s="51" t="n">
        <f aca="false">IFERROR(V252/W252,0)</f>
        <v>1.47009834440585</v>
      </c>
      <c r="Y252" s="49" t="n">
        <f aca="false">IFERROR(W252/T252,0)</f>
        <v>107.992775180061</v>
      </c>
      <c r="Z252" s="48" t="n">
        <f aca="false">SUMIFS('Activation Detail'!$H$4:$H$4003,'Activation Detail'!$A$4:$A$4003,$A252,'Activation Detail'!$N$4:$N$4003,Z$2)</f>
        <v>346.054003917956</v>
      </c>
      <c r="AA252" s="50" t="n">
        <f aca="false">Z252*'Model Inputs &amp; Assumptions'!$D$42*'Model Inputs &amp; Assumptions'!$H$42</f>
        <v>1868691.62115696</v>
      </c>
      <c r="AB252" s="50" t="n">
        <f aca="false">Z252*'Model Inputs &amp; Assumptions'!$G$42*'Model Inputs &amp; Assumptions'!$H$42</f>
        <v>39242.5240442962</v>
      </c>
      <c r="AC252" s="50" t="n">
        <f aca="false">SUMIFS('Activation Detail'!$I$4:$I$4003,'Activation Detail'!$A$4:$A$4003,$A252,'Activation Detail'!$N$4:$N$4003,Z$2)</f>
        <v>33101.104</v>
      </c>
      <c r="AD252" s="51" t="n">
        <f aca="false">IFERROR(AB252/AC252,0)</f>
        <v>1.18553520282273</v>
      </c>
      <c r="AE252" s="49" t="n">
        <f aca="false">IFERROR(AC252/Z252,0)</f>
        <v>95.6530010496506</v>
      </c>
    </row>
    <row r="253" customFormat="false" ht="15" hidden="false" customHeight="false" outlineLevel="0" collapsed="false">
      <c r="A253" s="43" t="n">
        <v>250</v>
      </c>
      <c r="B253" s="45" t="n">
        <f aca="false">SUM('Activation Detail'!C253,'Activation Detail'!C753,'Activation Detail'!C1253,'Activation Detail'!C1753,'Activation Detail'!C2253,'Activation Detail'!C2753,'Activation Detail'!C3253,'Activation Detail'!C3753)</f>
        <v>3883520</v>
      </c>
      <c r="C253" s="45" t="n">
        <f aca="false">SUM('Activation Detail'!E253,'Activation Detail'!E753,'Activation Detail'!E1253,'Activation Detail'!E1753,'Activation Detail'!E2253,'Activation Detail'!E2753,'Activation Detail'!E3253,'Activation Detail'!E3753)</f>
        <v>277316</v>
      </c>
      <c r="D253" s="45" t="n">
        <f aca="false">SUM('Activation Detail'!G253,'Activation Detail'!G753,'Activation Detail'!G1253,'Activation Detail'!G1753,'Activation Detail'!G2253,'Activation Detail'!G2753,'Activation Detail'!G3253,'Activation Detail'!G3753)</f>
        <v>13531</v>
      </c>
      <c r="E253" s="48" t="n">
        <f aca="false">SUM('Activation Detail'!H253,'Activation Detail'!H753,'Activation Detail'!H1253,'Activation Detail'!H1753,'Activation Detail'!H2253,'Activation Detail'!H2753,'Activation Detail'!H3253,'Activation Detail'!H3753)</f>
        <v>597.099045240692</v>
      </c>
      <c r="F253" s="50" t="n">
        <f aca="false">SUM('Activation Detail'!I253,'Activation Detail'!I753,'Activation Detail'!I1253,'Activation Detail'!I1753,'Activation Detail'!I2253,'Activation Detail'!I2753,'Activation Detail'!I3253,'Activation Detail'!I3753)</f>
        <v>70802.960474</v>
      </c>
      <c r="G253" s="50" t="n">
        <f aca="false">SUM('Activation Detail'!J253,'Activation Detail'!J753,'Activation Detail'!J1253,'Activation Detail'!J1753,'Activation Detail'!J2253,'Activation Detail'!J2753,'Activation Detail'!J3253,'Activation Detail'!J3753)</f>
        <v>3862234.4341209</v>
      </c>
      <c r="H253" s="50" t="n">
        <f aca="false">SUM('Activation Detail'!K253,'Activation Detail'!K753,'Activation Detail'!K1253,'Activation Detail'!K1753,'Activation Detail'!K2253,'Activation Detail'!K2753,'Activation Detail'!K3253,'Activation Detail'!K3753)</f>
        <v>83757.072184416</v>
      </c>
      <c r="I253" s="51" t="n">
        <f aca="false">IFERROR(H253/F253,0)</f>
        <v>1.18296002912439</v>
      </c>
      <c r="J253" s="49" t="n">
        <f aca="false">IFERROR(F253/E253,0)</f>
        <v>118.578251026108</v>
      </c>
      <c r="K253" s="46" t="n">
        <f aca="false">IFERROR(C253/B253,0)</f>
        <v>0.0714084129861569</v>
      </c>
      <c r="L253" s="47" t="n">
        <f aca="false">IFERROR(D253/B253,0)</f>
        <v>0.00348421020105471</v>
      </c>
      <c r="N253" s="48" t="n">
        <f aca="false">SUMIFS('Activation Detail'!$H$4:$H$4003,'Activation Detail'!$A$4:$A$4003,$A253,'Activation Detail'!$N$4:$N$4003,N$2)</f>
        <v>107.515590266156</v>
      </c>
      <c r="O253" s="50" t="n">
        <f aca="false">N253*'Model Inputs &amp; Assumptions'!$D$40*'Model Inputs &amp; Assumptions'!$H$40</f>
        <v>913882.517262322</v>
      </c>
      <c r="P253" s="50" t="n">
        <f aca="false">N253*'Model Inputs &amp; Assumptions'!$G$40*'Model Inputs &amp; Assumptions'!$H$40</f>
        <v>20562.3566384023</v>
      </c>
      <c r="Q253" s="50" t="n">
        <f aca="false">SUMIFS('Activation Detail'!$I$4:$I$4003,'Activation Detail'!$A$4:$A$4003,$A253,'Activation Detail'!$N$4:$N$4003,N$2)</f>
        <v>18693.837</v>
      </c>
      <c r="R253" s="51" t="n">
        <f aca="false">IFERROR(P253/Q253,0)</f>
        <v>1.09995377826405</v>
      </c>
      <c r="S253" s="49" t="n">
        <f aca="false">IFERROR(Q253/N253,0)</f>
        <v>173.870942378899</v>
      </c>
      <c r="T253" s="48" t="n">
        <f aca="false">SUMIFS('Activation Detail'!$H$4:$H$4003,'Activation Detail'!$A$4:$A$4003,$A253,'Activation Detail'!$N$4:$N$4003,T$2)</f>
        <v>169.222922220046</v>
      </c>
      <c r="U253" s="50" t="n">
        <f aca="false">T253*'Model Inputs &amp; Assumptions'!$D$41*'Model Inputs &amp; Assumptions'!$H$41</f>
        <v>1218405.03998433</v>
      </c>
      <c r="V253" s="50" t="n">
        <f aca="false">T253*'Model Inputs &amp; Assumptions'!$G$41*'Model Inputs &amp; Assumptions'!$H$41</f>
        <v>26865.8311316544</v>
      </c>
      <c r="W253" s="50" t="n">
        <f aca="false">SUMIFS('Activation Detail'!$I$4:$I$4003,'Activation Detail'!$A$4:$A$4003,$A253,'Activation Detail'!$N$4:$N$4003,T$2)</f>
        <v>17893.315474</v>
      </c>
      <c r="X253" s="51" t="n">
        <f aca="false">IFERROR(V253/W253,0)</f>
        <v>1.50144511623304</v>
      </c>
      <c r="Y253" s="49" t="n">
        <f aca="false">IFERROR(W253/T253,0)</f>
        <v>105.738130740544</v>
      </c>
      <c r="Z253" s="48" t="n">
        <f aca="false">SUMIFS('Activation Detail'!$H$4:$H$4003,'Activation Detail'!$A$4:$A$4003,$A253,'Activation Detail'!$N$4:$N$4003,Z$2)</f>
        <v>320.360532754491</v>
      </c>
      <c r="AA253" s="50" t="n">
        <f aca="false">Z253*'Model Inputs &amp; Assumptions'!$D$42*'Model Inputs &amp; Assumptions'!$H$42</f>
        <v>1729946.87687425</v>
      </c>
      <c r="AB253" s="50" t="n">
        <f aca="false">Z253*'Model Inputs &amp; Assumptions'!$G$42*'Model Inputs &amp; Assumptions'!$H$42</f>
        <v>36328.8844143593</v>
      </c>
      <c r="AC253" s="50" t="n">
        <f aca="false">SUMIFS('Activation Detail'!$I$4:$I$4003,'Activation Detail'!$A$4:$A$4003,$A253,'Activation Detail'!$N$4:$N$4003,Z$2)</f>
        <v>34215.808</v>
      </c>
      <c r="AD253" s="51" t="n">
        <f aca="false">IFERROR(AB253/AC253,0)</f>
        <v>1.06175731446585</v>
      </c>
      <c r="AE253" s="49" t="n">
        <f aca="false">IFERROR(AC253/Z253,0)</f>
        <v>106.804067610355</v>
      </c>
    </row>
    <row r="254" customFormat="false" ht="15" hidden="false" customHeight="false" outlineLevel="0" collapsed="false">
      <c r="A254" s="43" t="n">
        <v>251</v>
      </c>
      <c r="B254" s="45" t="n">
        <f aca="false">SUM('Activation Detail'!C254,'Activation Detail'!C754,'Activation Detail'!C1254,'Activation Detail'!C1754,'Activation Detail'!C2254,'Activation Detail'!C2754,'Activation Detail'!C3254,'Activation Detail'!C3754)</f>
        <v>5180118</v>
      </c>
      <c r="C254" s="45" t="n">
        <f aca="false">SUM('Activation Detail'!E254,'Activation Detail'!E754,'Activation Detail'!E1254,'Activation Detail'!E1754,'Activation Detail'!E2254,'Activation Detail'!E2754,'Activation Detail'!E3254,'Activation Detail'!E3754)</f>
        <v>515140</v>
      </c>
      <c r="D254" s="45" t="n">
        <f aca="false">SUM('Activation Detail'!G254,'Activation Detail'!G754,'Activation Detail'!G1254,'Activation Detail'!G1754,'Activation Detail'!G2254,'Activation Detail'!G2754,'Activation Detail'!G3254,'Activation Detail'!G3754)</f>
        <v>18973</v>
      </c>
      <c r="E254" s="48" t="n">
        <f aca="false">SUM('Activation Detail'!H254,'Activation Detail'!H754,'Activation Detail'!H1254,'Activation Detail'!H1754,'Activation Detail'!H2254,'Activation Detail'!H2754,'Activation Detail'!H3254,'Activation Detail'!H3754)</f>
        <v>627.563168699528</v>
      </c>
      <c r="F254" s="50" t="n">
        <f aca="false">SUM('Activation Detail'!I254,'Activation Detail'!I754,'Activation Detail'!I1254,'Activation Detail'!I1754,'Activation Detail'!I2254,'Activation Detail'!I2754,'Activation Detail'!I3254,'Activation Detail'!I3754)</f>
        <v>83750.605796</v>
      </c>
      <c r="G254" s="50" t="n">
        <f aca="false">SUM('Activation Detail'!J254,'Activation Detail'!J754,'Activation Detail'!J1254,'Activation Detail'!J1754,'Activation Detail'!J2254,'Activation Detail'!J2754,'Activation Detail'!J3254,'Activation Detail'!J3754)</f>
        <v>3921809.81804406</v>
      </c>
      <c r="H254" s="50" t="n">
        <f aca="false">SUM('Activation Detail'!K254,'Activation Detail'!K754,'Activation Detail'!K1254,'Activation Detail'!K1754,'Activation Detail'!K2254,'Activation Detail'!K2754,'Activation Detail'!K3254,'Activation Detail'!K3754)</f>
        <v>84575.1453888577</v>
      </c>
      <c r="I254" s="51" t="n">
        <f aca="false">IFERROR(H254/F254,0)</f>
        <v>1.00984517765598</v>
      </c>
      <c r="J254" s="49" t="n">
        <f aca="false">IFERROR(F254/E254,0)</f>
        <v>133.453666456482</v>
      </c>
      <c r="K254" s="46" t="n">
        <f aca="false">IFERROR(C254/B254,0)</f>
        <v>0.0994456110845352</v>
      </c>
      <c r="L254" s="47" t="n">
        <f aca="false">IFERROR(D254/B254,0)</f>
        <v>0.00366265787767769</v>
      </c>
      <c r="N254" s="48" t="n">
        <f aca="false">SUMIFS('Activation Detail'!$H$4:$H$4003,'Activation Detail'!$A$4:$A$4003,$A254,'Activation Detail'!$N$4:$N$4003,N$2)</f>
        <v>78.9976286941642</v>
      </c>
      <c r="O254" s="50" t="n">
        <f aca="false">N254*'Model Inputs &amp; Assumptions'!$D$40*'Model Inputs &amp; Assumptions'!$H$40</f>
        <v>671479.843900396</v>
      </c>
      <c r="P254" s="50" t="n">
        <f aca="false">N254*'Model Inputs &amp; Assumptions'!$G$40*'Model Inputs &amp; Assumptions'!$H$40</f>
        <v>15108.2964877589</v>
      </c>
      <c r="Q254" s="50" t="n">
        <f aca="false">SUMIFS('Activation Detail'!$I$4:$I$4003,'Activation Detail'!$A$4:$A$4003,$A254,'Activation Detail'!$N$4:$N$4003,N$2)</f>
        <v>18367.446</v>
      </c>
      <c r="R254" s="51" t="n">
        <f aca="false">IFERROR(P254/Q254,0)</f>
        <v>0.822558372446496</v>
      </c>
      <c r="S254" s="49" t="n">
        <f aca="false">IFERROR(Q254/N254,0)</f>
        <v>232.506295487789</v>
      </c>
      <c r="T254" s="48" t="n">
        <f aca="false">SUMIFS('Activation Detail'!$H$4:$H$4003,'Activation Detail'!$A$4:$A$4003,$A254,'Activation Detail'!$N$4:$N$4003,T$2)</f>
        <v>160.042254508168</v>
      </c>
      <c r="U254" s="50" t="n">
        <f aca="false">T254*'Model Inputs &amp; Assumptions'!$D$41*'Model Inputs &amp; Assumptions'!$H$41</f>
        <v>1152304.23245881</v>
      </c>
      <c r="V254" s="50" t="n">
        <f aca="false">T254*'Model Inputs &amp; Assumptions'!$G$41*'Model Inputs &amp; Assumptions'!$H$41</f>
        <v>25408.3083257167</v>
      </c>
      <c r="W254" s="50" t="n">
        <f aca="false">SUMIFS('Activation Detail'!$I$4:$I$4003,'Activation Detail'!$A$4:$A$4003,$A254,'Activation Detail'!$N$4:$N$4003,T$2)</f>
        <v>20310.183796</v>
      </c>
      <c r="X254" s="51" t="n">
        <f aca="false">IFERROR(V254/W254,0)</f>
        <v>1.25101321489374</v>
      </c>
      <c r="Y254" s="49" t="n">
        <f aca="false">IFERROR(W254/T254,0)</f>
        <v>126.905134262299</v>
      </c>
      <c r="Z254" s="48" t="n">
        <f aca="false">SUMIFS('Activation Detail'!$H$4:$H$4003,'Activation Detail'!$A$4:$A$4003,$A254,'Activation Detail'!$N$4:$N$4003,Z$2)</f>
        <v>388.523285497196</v>
      </c>
      <c r="AA254" s="50" t="n">
        <f aca="false">Z254*'Model Inputs &amp; Assumptions'!$D$42*'Model Inputs &amp; Assumptions'!$H$42</f>
        <v>2098025.74168486</v>
      </c>
      <c r="AB254" s="50" t="n">
        <f aca="false">Z254*'Model Inputs &amp; Assumptions'!$G$42*'Model Inputs &amp; Assumptions'!$H$42</f>
        <v>44058.5405753821</v>
      </c>
      <c r="AC254" s="50" t="n">
        <f aca="false">SUMIFS('Activation Detail'!$I$4:$I$4003,'Activation Detail'!$A$4:$A$4003,$A254,'Activation Detail'!$N$4:$N$4003,Z$2)</f>
        <v>45072.976</v>
      </c>
      <c r="AD254" s="51" t="n">
        <f aca="false">IFERROR(AB254/AC254,0)</f>
        <v>0.977493489122663</v>
      </c>
      <c r="AE254" s="49" t="n">
        <f aca="false">IFERROR(AC254/Z254,0)</f>
        <v>116.011002898629</v>
      </c>
    </row>
    <row r="255" customFormat="false" ht="15" hidden="false" customHeight="false" outlineLevel="0" collapsed="false">
      <c r="A255" s="43" t="n">
        <v>252</v>
      </c>
      <c r="B255" s="45" t="n">
        <f aca="false">SUM('Activation Detail'!C255,'Activation Detail'!C755,'Activation Detail'!C1255,'Activation Detail'!C1755,'Activation Detail'!C2255,'Activation Detail'!C2755,'Activation Detail'!C3255,'Activation Detail'!C3755)</f>
        <v>3893142</v>
      </c>
      <c r="C255" s="45" t="n">
        <f aca="false">SUM('Activation Detail'!E255,'Activation Detail'!E755,'Activation Detail'!E1255,'Activation Detail'!E1755,'Activation Detail'!E2255,'Activation Detail'!E2755,'Activation Detail'!E3255,'Activation Detail'!E3755)</f>
        <v>435527</v>
      </c>
      <c r="D255" s="45" t="n">
        <f aca="false">SUM('Activation Detail'!G255,'Activation Detail'!G755,'Activation Detail'!G1255,'Activation Detail'!G1755,'Activation Detail'!G2255,'Activation Detail'!G2755,'Activation Detail'!G3255,'Activation Detail'!G3755)</f>
        <v>16522</v>
      </c>
      <c r="E255" s="48" t="n">
        <f aca="false">SUM('Activation Detail'!H255,'Activation Detail'!H755,'Activation Detail'!H1255,'Activation Detail'!H1755,'Activation Detail'!H2255,'Activation Detail'!H2755,'Activation Detail'!H3255,'Activation Detail'!H3755)</f>
        <v>584.573786039549</v>
      </c>
      <c r="F255" s="50" t="n">
        <f aca="false">SUM('Activation Detail'!I255,'Activation Detail'!I755,'Activation Detail'!I1255,'Activation Detail'!I1755,'Activation Detail'!I2255,'Activation Detail'!I2755,'Activation Detail'!I3255,'Activation Detail'!I3755)</f>
        <v>74937.543638</v>
      </c>
      <c r="G255" s="50" t="n">
        <f aca="false">SUM('Activation Detail'!J255,'Activation Detail'!J755,'Activation Detail'!J1255,'Activation Detail'!J1755,'Activation Detail'!J2255,'Activation Detail'!J2755,'Activation Detail'!J3255,'Activation Detail'!J3755)</f>
        <v>3627402.82655176</v>
      </c>
      <c r="H255" s="50" t="n">
        <f aca="false">SUM('Activation Detail'!K255,'Activation Detail'!K755,'Activation Detail'!K1255,'Activation Detail'!K1755,'Activation Detail'!K2255,'Activation Detail'!K2755,'Activation Detail'!K3255,'Activation Detail'!K3755)</f>
        <v>78131.139875527</v>
      </c>
      <c r="I255" s="51" t="n">
        <f aca="false">IFERROR(H255/F255,0)</f>
        <v>1.04261677234784</v>
      </c>
      <c r="J255" s="49" t="n">
        <f aca="false">IFERROR(F255/E255,0)</f>
        <v>128.191761977042</v>
      </c>
      <c r="K255" s="46" t="n">
        <f aca="false">IFERROR(C255/B255,0)</f>
        <v>0.11187030937993</v>
      </c>
      <c r="L255" s="47" t="n">
        <f aca="false">IFERROR(D255/B255,0)</f>
        <v>0.00424387294375597</v>
      </c>
      <c r="N255" s="48" t="n">
        <f aca="false">SUMIFS('Activation Detail'!$H$4:$H$4003,'Activation Detail'!$A$4:$A$4003,$A255,'Activation Detail'!$N$4:$N$4003,N$2)</f>
        <v>78.8069859275049</v>
      </c>
      <c r="O255" s="50" t="n">
        <f aca="false">N255*'Model Inputs &amp; Assumptions'!$D$40*'Model Inputs &amp; Assumptions'!$H$40</f>
        <v>669859.380383792</v>
      </c>
      <c r="P255" s="50" t="n">
        <f aca="false">N255*'Model Inputs &amp; Assumptions'!$G$40*'Model Inputs &amp; Assumptions'!$H$40</f>
        <v>15071.8360586353</v>
      </c>
      <c r="Q255" s="50" t="n">
        <f aca="false">SUMIFS('Activation Detail'!$I$4:$I$4003,'Activation Detail'!$A$4:$A$4003,$A255,'Activation Detail'!$N$4:$N$4003,N$2)</f>
        <v>18521.756</v>
      </c>
      <c r="R255" s="51" t="n">
        <f aca="false">IFERROR(P255/Q255,0)</f>
        <v>0.813736886428874</v>
      </c>
      <c r="S255" s="49" t="n">
        <f aca="false">IFERROR(Q255/N255,0)</f>
        <v>235.026828929079</v>
      </c>
      <c r="T255" s="48" t="n">
        <f aca="false">SUMIFS('Activation Detail'!$H$4:$H$4003,'Activation Detail'!$A$4:$A$4003,$A255,'Activation Detail'!$N$4:$N$4003,T$2)</f>
        <v>125.779291979407</v>
      </c>
      <c r="U255" s="50" t="n">
        <f aca="false">T255*'Model Inputs &amp; Assumptions'!$D$41*'Model Inputs &amp; Assumptions'!$H$41</f>
        <v>905610.902251729</v>
      </c>
      <c r="V255" s="50" t="n">
        <f aca="false">T255*'Model Inputs &amp; Assumptions'!$G$41*'Model Inputs &amp; Assumptions'!$H$41</f>
        <v>19968.7203946506</v>
      </c>
      <c r="W255" s="50" t="n">
        <f aca="false">SUMIFS('Activation Detail'!$I$4:$I$4003,'Activation Detail'!$A$4:$A$4003,$A255,'Activation Detail'!$N$4:$N$4003,T$2)</f>
        <v>20211.159638</v>
      </c>
      <c r="X255" s="51" t="n">
        <f aca="false">IFERROR(V255/W255,0)</f>
        <v>0.988004684160055</v>
      </c>
      <c r="Y255" s="49" t="n">
        <f aca="false">IFERROR(W255/T255,0)</f>
        <v>160.687497281421</v>
      </c>
      <c r="Z255" s="48" t="n">
        <f aca="false">SUMIFS('Activation Detail'!$H$4:$H$4003,'Activation Detail'!$A$4:$A$4003,$A255,'Activation Detail'!$N$4:$N$4003,Z$2)</f>
        <v>379.987508132638</v>
      </c>
      <c r="AA255" s="50" t="n">
        <f aca="false">Z255*'Model Inputs &amp; Assumptions'!$D$42*'Model Inputs &amp; Assumptions'!$H$42</f>
        <v>2051932.54391624</v>
      </c>
      <c r="AB255" s="50" t="n">
        <f aca="false">Z255*'Model Inputs &amp; Assumptions'!$G$42*'Model Inputs &amp; Assumptions'!$H$42</f>
        <v>43090.5834222411</v>
      </c>
      <c r="AC255" s="50" t="n">
        <f aca="false">SUMIFS('Activation Detail'!$I$4:$I$4003,'Activation Detail'!$A$4:$A$4003,$A255,'Activation Detail'!$N$4:$N$4003,Z$2)</f>
        <v>36204.628</v>
      </c>
      <c r="AD255" s="51" t="n">
        <f aca="false">IFERROR(AB255/AC255,0)</f>
        <v>1.19019544745056</v>
      </c>
      <c r="AE255" s="49" t="n">
        <f aca="false">IFERROR(AC255/Z255,0)</f>
        <v>95.2784689631494</v>
      </c>
    </row>
    <row r="256" customFormat="false" ht="15" hidden="false" customHeight="false" outlineLevel="0" collapsed="false">
      <c r="A256" s="43" t="n">
        <v>253</v>
      </c>
      <c r="B256" s="45" t="n">
        <f aca="false">SUM('Activation Detail'!C256,'Activation Detail'!C756,'Activation Detail'!C1256,'Activation Detail'!C1756,'Activation Detail'!C2256,'Activation Detail'!C2756,'Activation Detail'!C3256,'Activation Detail'!C3756)</f>
        <v>4676166</v>
      </c>
      <c r="C256" s="45" t="n">
        <f aca="false">SUM('Activation Detail'!E256,'Activation Detail'!E756,'Activation Detail'!E1256,'Activation Detail'!E1756,'Activation Detail'!E2256,'Activation Detail'!E2756,'Activation Detail'!E3256,'Activation Detail'!E3756)</f>
        <v>439265</v>
      </c>
      <c r="D256" s="45" t="n">
        <f aca="false">SUM('Activation Detail'!G256,'Activation Detail'!G756,'Activation Detail'!G1256,'Activation Detail'!G1756,'Activation Detail'!G2256,'Activation Detail'!G2756,'Activation Detail'!G3256,'Activation Detail'!G3756)</f>
        <v>18014</v>
      </c>
      <c r="E256" s="48" t="n">
        <f aca="false">SUM('Activation Detail'!H256,'Activation Detail'!H756,'Activation Detail'!H1256,'Activation Detail'!H1756,'Activation Detail'!H2256,'Activation Detail'!H2756,'Activation Detail'!H3256,'Activation Detail'!H3756)</f>
        <v>726.683403414225</v>
      </c>
      <c r="F256" s="50" t="n">
        <f aca="false">SUM('Activation Detail'!I256,'Activation Detail'!I756,'Activation Detail'!I1256,'Activation Detail'!I1756,'Activation Detail'!I2256,'Activation Detail'!I2756,'Activation Detail'!I3256,'Activation Detail'!I3756)</f>
        <v>79177.066572</v>
      </c>
      <c r="G256" s="50" t="n">
        <f aca="false">SUM('Activation Detail'!J256,'Activation Detail'!J756,'Activation Detail'!J1256,'Activation Detail'!J1756,'Activation Detail'!J2256,'Activation Detail'!J2756,'Activation Detail'!J3256,'Activation Detail'!J3756)</f>
        <v>4516580.75027532</v>
      </c>
      <c r="H256" s="50" t="n">
        <f aca="false">SUM('Activation Detail'!K256,'Activation Detail'!K756,'Activation Detail'!K1256,'Activation Detail'!K1756,'Activation Detail'!K2256,'Activation Detail'!K2756,'Activation Detail'!K3256,'Activation Detail'!K3756)</f>
        <v>97312.04210355</v>
      </c>
      <c r="I256" s="51" t="n">
        <f aca="false">IFERROR(H256/F256,0)</f>
        <v>1.22904328635437</v>
      </c>
      <c r="J256" s="49" t="n">
        <f aca="false">IFERROR(F256/E256,0)</f>
        <v>108.956756408633</v>
      </c>
      <c r="K256" s="46" t="n">
        <f aca="false">IFERROR(C256/B256,0)</f>
        <v>0.0939369988148411</v>
      </c>
      <c r="L256" s="47" t="n">
        <f aca="false">IFERROR(D256/B256,0)</f>
        <v>0.00385230122283939</v>
      </c>
      <c r="N256" s="48" t="n">
        <f aca="false">SUMIFS('Activation Detail'!$H$4:$H$4003,'Activation Detail'!$A$4:$A$4003,$A256,'Activation Detail'!$N$4:$N$4003,N$2)</f>
        <v>91.1600516796671</v>
      </c>
      <c r="O256" s="50" t="n">
        <f aca="false">N256*'Model Inputs &amp; Assumptions'!$D$40*'Model Inputs &amp; Assumptions'!$H$40</f>
        <v>774860.439277171</v>
      </c>
      <c r="P256" s="50" t="n">
        <f aca="false">N256*'Model Inputs &amp; Assumptions'!$G$40*'Model Inputs &amp; Assumptions'!$H$40</f>
        <v>17434.3598837363</v>
      </c>
      <c r="Q256" s="50" t="n">
        <f aca="false">SUMIFS('Activation Detail'!$I$4:$I$4003,'Activation Detail'!$A$4:$A$4003,$A256,'Activation Detail'!$N$4:$N$4003,N$2)</f>
        <v>17887.2195</v>
      </c>
      <c r="R256" s="51" t="n">
        <f aca="false">IFERROR(P256/Q256,0)</f>
        <v>0.974682503545973</v>
      </c>
      <c r="S256" s="49" t="n">
        <f aca="false">IFERROR(Q256/N256,0)</f>
        <v>196.217741986972</v>
      </c>
      <c r="T256" s="48" t="n">
        <f aca="false">SUMIFS('Activation Detail'!$H$4:$H$4003,'Activation Detail'!$A$4:$A$4003,$A256,'Activation Detail'!$N$4:$N$4003,T$2)</f>
        <v>172.163450906411</v>
      </c>
      <c r="U256" s="50" t="n">
        <f aca="false">T256*'Model Inputs &amp; Assumptions'!$D$41*'Model Inputs &amp; Assumptions'!$H$41</f>
        <v>1239576.84652616</v>
      </c>
      <c r="V256" s="50" t="n">
        <f aca="false">T256*'Model Inputs &amp; Assumptions'!$G$41*'Model Inputs &amp; Assumptions'!$H$41</f>
        <v>27332.6694659018</v>
      </c>
      <c r="W256" s="50" t="n">
        <f aca="false">SUMIFS('Activation Detail'!$I$4:$I$4003,'Activation Detail'!$A$4:$A$4003,$A256,'Activation Detail'!$N$4:$N$4003,T$2)</f>
        <v>20153.471072</v>
      </c>
      <c r="X256" s="51" t="n">
        <f aca="false">IFERROR(V256/W256,0)</f>
        <v>1.35622639734136</v>
      </c>
      <c r="Y256" s="49" t="n">
        <f aca="false">IFERROR(W256/T256,0)</f>
        <v>117.06010169926</v>
      </c>
      <c r="Z256" s="48" t="n">
        <f aca="false">SUMIFS('Activation Detail'!$H$4:$H$4003,'Activation Detail'!$A$4:$A$4003,$A256,'Activation Detail'!$N$4:$N$4003,Z$2)</f>
        <v>463.359900828146</v>
      </c>
      <c r="AA256" s="50" t="n">
        <f aca="false">Z256*'Model Inputs &amp; Assumptions'!$D$42*'Model Inputs &amp; Assumptions'!$H$42</f>
        <v>2502143.46447199</v>
      </c>
      <c r="AB256" s="50" t="n">
        <f aca="false">Z256*'Model Inputs &amp; Assumptions'!$G$42*'Model Inputs &amp; Assumptions'!$H$42</f>
        <v>52545.0127539118</v>
      </c>
      <c r="AC256" s="50" t="n">
        <f aca="false">SUMIFS('Activation Detail'!$I$4:$I$4003,'Activation Detail'!$A$4:$A$4003,$A256,'Activation Detail'!$N$4:$N$4003,Z$2)</f>
        <v>41136.376</v>
      </c>
      <c r="AD256" s="51" t="n">
        <f aca="false">IFERROR(AB256/AC256,0)</f>
        <v>1.27733694270764</v>
      </c>
      <c r="AE256" s="49" t="n">
        <f aca="false">IFERROR(AC256/Z256,0)</f>
        <v>88.7784547745251</v>
      </c>
    </row>
    <row r="257" customFormat="false" ht="15" hidden="false" customHeight="false" outlineLevel="0" collapsed="false">
      <c r="A257" s="43" t="n">
        <v>254</v>
      </c>
      <c r="B257" s="45" t="n">
        <f aca="false">SUM('Activation Detail'!C257,'Activation Detail'!C757,'Activation Detail'!C1257,'Activation Detail'!C1757,'Activation Detail'!C2257,'Activation Detail'!C2757,'Activation Detail'!C3257,'Activation Detail'!C3757)</f>
        <v>4125173</v>
      </c>
      <c r="C257" s="45" t="n">
        <f aca="false">SUM('Activation Detail'!E257,'Activation Detail'!E757,'Activation Detail'!E1257,'Activation Detail'!E1757,'Activation Detail'!E2257,'Activation Detail'!E2757,'Activation Detail'!E3257,'Activation Detail'!E3757)</f>
        <v>359745</v>
      </c>
      <c r="D257" s="45" t="n">
        <f aca="false">SUM('Activation Detail'!G257,'Activation Detail'!G757,'Activation Detail'!G1257,'Activation Detail'!G1757,'Activation Detail'!G2257,'Activation Detail'!G2757,'Activation Detail'!G3257,'Activation Detail'!G3757)</f>
        <v>17217</v>
      </c>
      <c r="E257" s="48" t="n">
        <f aca="false">SUM('Activation Detail'!H257,'Activation Detail'!H757,'Activation Detail'!H1257,'Activation Detail'!H1757,'Activation Detail'!H2257,'Activation Detail'!H2757,'Activation Detail'!H3257,'Activation Detail'!H3757)</f>
        <v>740.30857310848</v>
      </c>
      <c r="F257" s="50" t="n">
        <f aca="false">SUM('Activation Detail'!I257,'Activation Detail'!I757,'Activation Detail'!I1257,'Activation Detail'!I1757,'Activation Detail'!I2257,'Activation Detail'!I2757,'Activation Detail'!I3257,'Activation Detail'!I3757)</f>
        <v>71136.4474</v>
      </c>
      <c r="G257" s="50" t="n">
        <f aca="false">SUM('Activation Detail'!J257,'Activation Detail'!J757,'Activation Detail'!J1257,'Activation Detail'!J1757,'Activation Detail'!J2257,'Activation Detail'!J2757,'Activation Detail'!J3257,'Activation Detail'!J3757)</f>
        <v>4763412.6435083</v>
      </c>
      <c r="H257" s="50" t="n">
        <f aca="false">SUM('Activation Detail'!K257,'Activation Detail'!K757,'Activation Detail'!K1257,'Activation Detail'!K1757,'Activation Detail'!K2257,'Activation Detail'!K2757,'Activation Detail'!K3257,'Activation Detail'!K3757)</f>
        <v>103203.655296632</v>
      </c>
      <c r="I257" s="51" t="n">
        <f aca="false">IFERROR(H257/F257,0)</f>
        <v>1.45078450033241</v>
      </c>
      <c r="J257" s="49" t="n">
        <f aca="false">IFERROR(F257/E257,0)</f>
        <v>96.0902655784538</v>
      </c>
      <c r="K257" s="46" t="n">
        <f aca="false">IFERROR(C257/B257,0)</f>
        <v>0.0872072516716269</v>
      </c>
      <c r="L257" s="47" t="n">
        <f aca="false">IFERROR(D257/B257,0)</f>
        <v>0.0041736431417543</v>
      </c>
      <c r="N257" s="48" t="n">
        <f aca="false">SUMIFS('Activation Detail'!$H$4:$H$4003,'Activation Detail'!$A$4:$A$4003,$A257,'Activation Detail'!$N$4:$N$4003,N$2)</f>
        <v>163.499561765591</v>
      </c>
      <c r="O257" s="50" t="n">
        <f aca="false">N257*'Model Inputs &amp; Assumptions'!$D$40*'Model Inputs &amp; Assumptions'!$H$40</f>
        <v>1389746.27500753</v>
      </c>
      <c r="P257" s="50" t="n">
        <f aca="false">N257*'Model Inputs &amp; Assumptions'!$G$40*'Model Inputs &amp; Assumptions'!$H$40</f>
        <v>31269.2911876693</v>
      </c>
      <c r="Q257" s="50" t="n">
        <f aca="false">SUMIFS('Activation Detail'!$I$4:$I$4003,'Activation Detail'!$A$4:$A$4003,$A257,'Activation Detail'!$N$4:$N$4003,N$2)</f>
        <v>18831.5655</v>
      </c>
      <c r="R257" s="51" t="n">
        <f aca="false">IFERROR(P257/Q257,0)</f>
        <v>1.66047221021902</v>
      </c>
      <c r="S257" s="49" t="n">
        <f aca="false">IFERROR(Q257/N257,0)</f>
        <v>115.178079357783</v>
      </c>
      <c r="T257" s="48" t="n">
        <f aca="false">SUMIFS('Activation Detail'!$H$4:$H$4003,'Activation Detail'!$A$4:$A$4003,$A257,'Activation Detail'!$N$4:$N$4003,T$2)</f>
        <v>143.832059582873</v>
      </c>
      <c r="U257" s="50" t="n">
        <f aca="false">T257*'Model Inputs &amp; Assumptions'!$D$41*'Model Inputs &amp; Assumptions'!$H$41</f>
        <v>1035590.82899668</v>
      </c>
      <c r="V257" s="50" t="n">
        <f aca="false">T257*'Model Inputs &amp; Assumptions'!$G$41*'Model Inputs &amp; Assumptions'!$H$41</f>
        <v>22834.7777793769</v>
      </c>
      <c r="W257" s="50" t="n">
        <f aca="false">SUMIFS('Activation Detail'!$I$4:$I$4003,'Activation Detail'!$A$4:$A$4003,$A257,'Activation Detail'!$N$4:$N$4003,T$2)</f>
        <v>18387.5499</v>
      </c>
      <c r="X257" s="51" t="n">
        <f aca="false">IFERROR(V257/W257,0)</f>
        <v>1.24186081906306</v>
      </c>
      <c r="Y257" s="49" t="n">
        <f aca="false">IFERROR(W257/T257,0)</f>
        <v>127.840413001981</v>
      </c>
      <c r="Z257" s="48" t="n">
        <f aca="false">SUMIFS('Activation Detail'!$H$4:$H$4003,'Activation Detail'!$A$4:$A$4003,$A257,'Activation Detail'!$N$4:$N$4003,Z$2)</f>
        <v>432.976951760016</v>
      </c>
      <c r="AA257" s="50" t="n">
        <f aca="false">Z257*'Model Inputs &amp; Assumptions'!$D$42*'Model Inputs &amp; Assumptions'!$H$42</f>
        <v>2338075.53950409</v>
      </c>
      <c r="AB257" s="50" t="n">
        <f aca="false">Z257*'Model Inputs &amp; Assumptions'!$G$42*'Model Inputs &amp; Assumptions'!$H$42</f>
        <v>49099.5863295858</v>
      </c>
      <c r="AC257" s="50" t="n">
        <f aca="false">SUMIFS('Activation Detail'!$I$4:$I$4003,'Activation Detail'!$A$4:$A$4003,$A257,'Activation Detail'!$N$4:$N$4003,Z$2)</f>
        <v>33917.332</v>
      </c>
      <c r="AD257" s="51" t="n">
        <f aca="false">IFERROR(AB257/AC257,0)</f>
        <v>1.44762525335383</v>
      </c>
      <c r="AE257" s="49" t="n">
        <f aca="false">IFERROR(AC257/Z257,0)</f>
        <v>78.3351905040876</v>
      </c>
    </row>
    <row r="258" customFormat="false" ht="15" hidden="false" customHeight="false" outlineLevel="0" collapsed="false">
      <c r="A258" s="43" t="n">
        <v>255</v>
      </c>
      <c r="B258" s="45" t="n">
        <f aca="false">SUM('Activation Detail'!C258,'Activation Detail'!C758,'Activation Detail'!C1258,'Activation Detail'!C1758,'Activation Detail'!C2258,'Activation Detail'!C2758,'Activation Detail'!C3258,'Activation Detail'!C3758)</f>
        <v>4733640</v>
      </c>
      <c r="C258" s="45" t="n">
        <f aca="false">SUM('Activation Detail'!E258,'Activation Detail'!E758,'Activation Detail'!E1258,'Activation Detail'!E1758,'Activation Detail'!E2258,'Activation Detail'!E2758,'Activation Detail'!E3258,'Activation Detail'!E3758)</f>
        <v>605968</v>
      </c>
      <c r="D258" s="45" t="n">
        <f aca="false">SUM('Activation Detail'!G258,'Activation Detail'!G758,'Activation Detail'!G1258,'Activation Detail'!G1758,'Activation Detail'!G2258,'Activation Detail'!G2758,'Activation Detail'!G3258,'Activation Detail'!G3758)</f>
        <v>17270</v>
      </c>
      <c r="E258" s="48" t="n">
        <f aca="false">SUM('Activation Detail'!H258,'Activation Detail'!H758,'Activation Detail'!H1258,'Activation Detail'!H1758,'Activation Detail'!H2258,'Activation Detail'!H2758,'Activation Detail'!H3258,'Activation Detail'!H3758)</f>
        <v>718.318756502633</v>
      </c>
      <c r="F258" s="50" t="n">
        <f aca="false">SUM('Activation Detail'!I258,'Activation Detail'!I758,'Activation Detail'!I1258,'Activation Detail'!I1758,'Activation Detail'!I2258,'Activation Detail'!I2758,'Activation Detail'!I3258,'Activation Detail'!I3758)</f>
        <v>79165.04247</v>
      </c>
      <c r="G258" s="50" t="n">
        <f aca="false">SUM('Activation Detail'!J258,'Activation Detail'!J758,'Activation Detail'!J1258,'Activation Detail'!J1758,'Activation Detail'!J2258,'Activation Detail'!J2758,'Activation Detail'!J3258,'Activation Detail'!J3758)</f>
        <v>4496278.19714764</v>
      </c>
      <c r="H258" s="50" t="n">
        <f aca="false">SUM('Activation Detail'!K258,'Activation Detail'!K758,'Activation Detail'!K1258,'Activation Detail'!K1758,'Activation Detail'!K2258,'Activation Detail'!K2758,'Activation Detail'!K3258,'Activation Detail'!K3758)</f>
        <v>96996.1852548472</v>
      </c>
      <c r="I258" s="51" t="n">
        <f aca="false">IFERROR(H258/F258,0)</f>
        <v>1.22524010887261</v>
      </c>
      <c r="J258" s="49" t="n">
        <f aca="false">IFERROR(F258/E258,0)</f>
        <v>110.208792062511</v>
      </c>
      <c r="K258" s="46" t="n">
        <f aca="false">IFERROR(C258/B258,0)</f>
        <v>0.128013114643277</v>
      </c>
      <c r="L258" s="47" t="n">
        <f aca="false">IFERROR(D258/B258,0)</f>
        <v>0.00364835517698853</v>
      </c>
      <c r="N258" s="48" t="n">
        <f aca="false">SUMIFS('Activation Detail'!$H$4:$H$4003,'Activation Detail'!$A$4:$A$4003,$A258,'Activation Detail'!$N$4:$N$4003,N$2)</f>
        <v>68.7256140507054</v>
      </c>
      <c r="O258" s="50" t="n">
        <f aca="false">N258*'Model Inputs &amp; Assumptions'!$D$40*'Model Inputs &amp; Assumptions'!$H$40</f>
        <v>584167.719430996</v>
      </c>
      <c r="P258" s="50" t="n">
        <f aca="false">N258*'Model Inputs &amp; Assumptions'!$G$40*'Model Inputs &amp; Assumptions'!$H$40</f>
        <v>13143.7736871974</v>
      </c>
      <c r="Q258" s="50" t="n">
        <f aca="false">SUMIFS('Activation Detail'!$I$4:$I$4003,'Activation Detail'!$A$4:$A$4003,$A258,'Activation Detail'!$N$4:$N$4003,N$2)</f>
        <v>18430.093</v>
      </c>
      <c r="R258" s="51" t="n">
        <f aca="false">IFERROR(P258/Q258,0)</f>
        <v>0.713169146091526</v>
      </c>
      <c r="S258" s="49" t="n">
        <f aca="false">IFERROR(Q258/N258,0)</f>
        <v>268.16920088051</v>
      </c>
      <c r="T258" s="48" t="n">
        <f aca="false">SUMIFS('Activation Detail'!$H$4:$H$4003,'Activation Detail'!$A$4:$A$4003,$A258,'Activation Detail'!$N$4:$N$4003,T$2)</f>
        <v>224.6152824868</v>
      </c>
      <c r="U258" s="50" t="n">
        <f aca="false">T258*'Model Inputs &amp; Assumptions'!$D$41*'Model Inputs &amp; Assumptions'!$H$41</f>
        <v>1617230.03390496</v>
      </c>
      <c r="V258" s="50" t="n">
        <f aca="false">T258*'Model Inputs &amp; Assumptions'!$G$41*'Model Inputs &amp; Assumptions'!$H$41</f>
        <v>35659.9222476044</v>
      </c>
      <c r="W258" s="50" t="n">
        <f aca="false">SUMIFS('Activation Detail'!$I$4:$I$4003,'Activation Detail'!$A$4:$A$4003,$A258,'Activation Detail'!$N$4:$N$4003,T$2)</f>
        <v>25212.14947</v>
      </c>
      <c r="X258" s="51" t="n">
        <f aca="false">IFERROR(V258/W258,0)</f>
        <v>1.4143943692717</v>
      </c>
      <c r="Y258" s="49" t="n">
        <f aca="false">IFERROR(W258/T258,0)</f>
        <v>112.245921964288</v>
      </c>
      <c r="Z258" s="48" t="n">
        <f aca="false">SUMIFS('Activation Detail'!$H$4:$H$4003,'Activation Detail'!$A$4:$A$4003,$A258,'Activation Detail'!$N$4:$N$4003,Z$2)</f>
        <v>424.977859965127</v>
      </c>
      <c r="AA258" s="50" t="n">
        <f aca="false">Z258*'Model Inputs &amp; Assumptions'!$D$42*'Model Inputs &amp; Assumptions'!$H$42</f>
        <v>2294880.44381168</v>
      </c>
      <c r="AB258" s="50" t="n">
        <f aca="false">Z258*'Model Inputs &amp; Assumptions'!$G$42*'Model Inputs &amp; Assumptions'!$H$42</f>
        <v>48192.4893200454</v>
      </c>
      <c r="AC258" s="50" t="n">
        <f aca="false">SUMIFS('Activation Detail'!$I$4:$I$4003,'Activation Detail'!$A$4:$A$4003,$A258,'Activation Detail'!$N$4:$N$4003,Z$2)</f>
        <v>35522.8</v>
      </c>
      <c r="AD258" s="51" t="n">
        <f aca="false">IFERROR(AB258/AC258,0)</f>
        <v>1.35666358845714</v>
      </c>
      <c r="AE258" s="49" t="n">
        <f aca="false">IFERROR(AC258/Z258,0)</f>
        <v>83.5874132429275</v>
      </c>
    </row>
    <row r="259" customFormat="false" ht="15" hidden="false" customHeight="false" outlineLevel="0" collapsed="false">
      <c r="A259" s="43" t="n">
        <v>256</v>
      </c>
      <c r="B259" s="45" t="n">
        <f aca="false">SUM('Activation Detail'!C259,'Activation Detail'!C759,'Activation Detail'!C1259,'Activation Detail'!C1759,'Activation Detail'!C2259,'Activation Detail'!C2759,'Activation Detail'!C3259,'Activation Detail'!C3759)</f>
        <v>3570472</v>
      </c>
      <c r="C259" s="45" t="n">
        <f aca="false">SUM('Activation Detail'!E259,'Activation Detail'!E759,'Activation Detail'!E1259,'Activation Detail'!E1759,'Activation Detail'!E2259,'Activation Detail'!E2759,'Activation Detail'!E3259,'Activation Detail'!E3759)</f>
        <v>390691</v>
      </c>
      <c r="D259" s="45" t="n">
        <f aca="false">SUM('Activation Detail'!G259,'Activation Detail'!G759,'Activation Detail'!G1259,'Activation Detail'!G1759,'Activation Detail'!G2259,'Activation Detail'!G2759,'Activation Detail'!G3259,'Activation Detail'!G3759)</f>
        <v>16121</v>
      </c>
      <c r="E259" s="48" t="n">
        <f aca="false">SUM('Activation Detail'!H259,'Activation Detail'!H759,'Activation Detail'!H1259,'Activation Detail'!H1759,'Activation Detail'!H2259,'Activation Detail'!H2759,'Activation Detail'!H3259,'Activation Detail'!H3759)</f>
        <v>503.681551137235</v>
      </c>
      <c r="F259" s="50" t="n">
        <f aca="false">SUM('Activation Detail'!I259,'Activation Detail'!I759,'Activation Detail'!I1259,'Activation Detail'!I1759,'Activation Detail'!I2259,'Activation Detail'!I2759,'Activation Detail'!I3259,'Activation Detail'!I3759)</f>
        <v>70985.249852</v>
      </c>
      <c r="G259" s="50" t="n">
        <f aca="false">SUM('Activation Detail'!J259,'Activation Detail'!J759,'Activation Detail'!J1259,'Activation Detail'!J1759,'Activation Detail'!J2259,'Activation Detail'!J2759,'Activation Detail'!J3259,'Activation Detail'!J3759)</f>
        <v>3266985.3537931</v>
      </c>
      <c r="H259" s="50" t="n">
        <f aca="false">SUM('Activation Detail'!K259,'Activation Detail'!K759,'Activation Detail'!K1259,'Activation Detail'!K1759,'Activation Detail'!K2259,'Activation Detail'!K2759,'Activation Detail'!K3259,'Activation Detail'!K3759)</f>
        <v>70882.7571732652</v>
      </c>
      <c r="I259" s="51" t="n">
        <f aca="false">IFERROR(H259/F259,0)</f>
        <v>0.998556141184985</v>
      </c>
      <c r="J259" s="49" t="n">
        <f aca="false">IFERROR(F259/E259,0)</f>
        <v>140.932797105088</v>
      </c>
      <c r="K259" s="46" t="n">
        <f aca="false">IFERROR(C259/B259,0)</f>
        <v>0.109422787799484</v>
      </c>
      <c r="L259" s="47" t="n">
        <f aca="false">IFERROR(D259/B259,0)</f>
        <v>0.00451508932152388</v>
      </c>
      <c r="N259" s="48" t="n">
        <f aca="false">SUMIFS('Activation Detail'!$H$4:$H$4003,'Activation Detail'!$A$4:$A$4003,$A259,'Activation Detail'!$N$4:$N$4003,N$2)</f>
        <v>80.6524538092882</v>
      </c>
      <c r="O259" s="50" t="n">
        <f aca="false">N259*'Model Inputs &amp; Assumptions'!$D$40*'Model Inputs &amp; Assumptions'!$H$40</f>
        <v>685545.85737895</v>
      </c>
      <c r="P259" s="50" t="n">
        <f aca="false">N259*'Model Inputs &amp; Assumptions'!$G$40*'Model Inputs &amp; Assumptions'!$H$40</f>
        <v>15424.7817910264</v>
      </c>
      <c r="Q259" s="50" t="n">
        <f aca="false">SUMIFS('Activation Detail'!$I$4:$I$4003,'Activation Detail'!$A$4:$A$4003,$A259,'Activation Detail'!$N$4:$N$4003,N$2)</f>
        <v>18205.518</v>
      </c>
      <c r="R259" s="51" t="n">
        <f aca="false">IFERROR(P259/Q259,0)</f>
        <v>0.847258605386914</v>
      </c>
      <c r="S259" s="49" t="n">
        <f aca="false">IFERROR(Q259/N259,0)</f>
        <v>225.728011240042</v>
      </c>
      <c r="T259" s="48" t="n">
        <f aca="false">SUMIFS('Activation Detail'!$H$4:$H$4003,'Activation Detail'!$A$4:$A$4003,$A259,'Activation Detail'!$N$4:$N$4003,T$2)</f>
        <v>165.045761579577</v>
      </c>
      <c r="U259" s="50" t="n">
        <f aca="false">T259*'Model Inputs &amp; Assumptions'!$D$41*'Model Inputs &amp; Assumptions'!$H$41</f>
        <v>1188329.48337295</v>
      </c>
      <c r="V259" s="50" t="n">
        <f aca="false">T259*'Model Inputs &amp; Assumptions'!$G$41*'Model Inputs &amp; Assumptions'!$H$41</f>
        <v>26202.6651083736</v>
      </c>
      <c r="W259" s="50" t="n">
        <f aca="false">SUMIFS('Activation Detail'!$I$4:$I$4003,'Activation Detail'!$A$4:$A$4003,$A259,'Activation Detail'!$N$4:$N$4003,T$2)</f>
        <v>18501.871852</v>
      </c>
      <c r="X259" s="51" t="n">
        <f aca="false">IFERROR(V259/W259,0)</f>
        <v>1.41621698160996</v>
      </c>
      <c r="Y259" s="49" t="n">
        <f aca="false">IFERROR(W259/T259,0)</f>
        <v>112.101466132345</v>
      </c>
      <c r="Z259" s="48" t="n">
        <f aca="false">SUMIFS('Activation Detail'!$H$4:$H$4003,'Activation Detail'!$A$4:$A$4003,$A259,'Activation Detail'!$N$4:$N$4003,Z$2)</f>
        <v>257.98333574837</v>
      </c>
      <c r="AA259" s="50" t="n">
        <f aca="false">Z259*'Model Inputs &amp; Assumptions'!$D$42*'Model Inputs &amp; Assumptions'!$H$42</f>
        <v>1393110.0130412</v>
      </c>
      <c r="AB259" s="50" t="n">
        <f aca="false">Z259*'Model Inputs &amp; Assumptions'!$G$42*'Model Inputs &amp; Assumptions'!$H$42</f>
        <v>29255.3102738652</v>
      </c>
      <c r="AC259" s="50" t="n">
        <f aca="false">SUMIFS('Activation Detail'!$I$4:$I$4003,'Activation Detail'!$A$4:$A$4003,$A259,'Activation Detail'!$N$4:$N$4003,Z$2)</f>
        <v>34277.86</v>
      </c>
      <c r="AD259" s="51" t="n">
        <f aca="false">IFERROR(AB259/AC259,0)</f>
        <v>0.853475399977279</v>
      </c>
      <c r="AE259" s="49" t="n">
        <f aca="false">IFERROR(AC259/Z259,0)</f>
        <v>132.868504473613</v>
      </c>
    </row>
    <row r="260" customFormat="false" ht="15" hidden="false" customHeight="false" outlineLevel="0" collapsed="false">
      <c r="A260" s="43" t="n">
        <v>257</v>
      </c>
      <c r="B260" s="45" t="n">
        <f aca="false">SUM('Activation Detail'!C260,'Activation Detail'!C760,'Activation Detail'!C1260,'Activation Detail'!C1760,'Activation Detail'!C2260,'Activation Detail'!C2760,'Activation Detail'!C3260,'Activation Detail'!C3760)</f>
        <v>4375805</v>
      </c>
      <c r="C260" s="45" t="n">
        <f aca="false">SUM('Activation Detail'!E260,'Activation Detail'!E760,'Activation Detail'!E1260,'Activation Detail'!E1760,'Activation Detail'!E2260,'Activation Detail'!E2760,'Activation Detail'!E3260,'Activation Detail'!E3760)</f>
        <v>373117</v>
      </c>
      <c r="D260" s="45" t="n">
        <f aca="false">SUM('Activation Detail'!G260,'Activation Detail'!G760,'Activation Detail'!G1260,'Activation Detail'!G1760,'Activation Detail'!G2260,'Activation Detail'!G2760,'Activation Detail'!G3260,'Activation Detail'!G3760)</f>
        <v>16350</v>
      </c>
      <c r="E260" s="48" t="n">
        <f aca="false">SUM('Activation Detail'!H260,'Activation Detail'!H760,'Activation Detail'!H1260,'Activation Detail'!H1760,'Activation Detail'!H2260,'Activation Detail'!H2760,'Activation Detail'!H3260,'Activation Detail'!H3760)</f>
        <v>711.615936939644</v>
      </c>
      <c r="F260" s="50" t="n">
        <f aca="false">SUM('Activation Detail'!I260,'Activation Detail'!I760,'Activation Detail'!I1260,'Activation Detail'!I1760,'Activation Detail'!I2260,'Activation Detail'!I2760,'Activation Detail'!I3260,'Activation Detail'!I3760)</f>
        <v>73455.584364</v>
      </c>
      <c r="G260" s="50" t="n">
        <f aca="false">SUM('Activation Detail'!J260,'Activation Detail'!J760,'Activation Detail'!J1260,'Activation Detail'!J1760,'Activation Detail'!J2260,'Activation Detail'!J2760,'Activation Detail'!J3260,'Activation Detail'!J3760)</f>
        <v>4311298.82343893</v>
      </c>
      <c r="H260" s="50" t="n">
        <f aca="false">SUM('Activation Detail'!K260,'Activation Detail'!K760,'Activation Detail'!K1260,'Activation Detail'!K1760,'Activation Detail'!K2260,'Activation Detail'!K2760,'Activation Detail'!K3260,'Activation Detail'!K3760)</f>
        <v>92488.9637220556</v>
      </c>
      <c r="I260" s="51" t="n">
        <f aca="false">IFERROR(H260/F260,0)</f>
        <v>1.2591141234918</v>
      </c>
      <c r="J260" s="49" t="n">
        <f aca="false">IFERROR(F260/E260,0)</f>
        <v>103.223635884127</v>
      </c>
      <c r="K260" s="46" t="n">
        <f aca="false">IFERROR(C260/B260,0)</f>
        <v>0.0852681963661544</v>
      </c>
      <c r="L260" s="47" t="n">
        <f aca="false">IFERROR(D260/B260,0)</f>
        <v>0.00373645534935858</v>
      </c>
      <c r="N260" s="48" t="n">
        <f aca="false">SUMIFS('Activation Detail'!$H$4:$H$4003,'Activation Detail'!$A$4:$A$4003,$A260,'Activation Detail'!$N$4:$N$4003,N$2)</f>
        <v>60.4339956083942</v>
      </c>
      <c r="O260" s="50" t="n">
        <f aca="false">N260*'Model Inputs &amp; Assumptions'!$D$40*'Model Inputs &amp; Assumptions'!$H$40</f>
        <v>513688.962671351</v>
      </c>
      <c r="P260" s="50" t="n">
        <f aca="false">N260*'Model Inputs &amp; Assumptions'!$G$40*'Model Inputs &amp; Assumptions'!$H$40</f>
        <v>11558.0016601054</v>
      </c>
      <c r="Q260" s="50" t="n">
        <f aca="false">SUMIFS('Activation Detail'!$I$4:$I$4003,'Activation Detail'!$A$4:$A$4003,$A260,'Activation Detail'!$N$4:$N$4003,N$2)</f>
        <v>18389.533</v>
      </c>
      <c r="R260" s="51" t="n">
        <f aca="false">IFERROR(P260/Q260,0)</f>
        <v>0.628509797399716</v>
      </c>
      <c r="S260" s="49" t="n">
        <f aca="false">IFERROR(Q260/N260,0)</f>
        <v>304.291199264106</v>
      </c>
      <c r="T260" s="48" t="n">
        <f aca="false">SUMIFS('Activation Detail'!$H$4:$H$4003,'Activation Detail'!$A$4:$A$4003,$A260,'Activation Detail'!$N$4:$N$4003,T$2)</f>
        <v>156.237431988238</v>
      </c>
      <c r="U260" s="50" t="n">
        <f aca="false">T260*'Model Inputs &amp; Assumptions'!$D$41*'Model Inputs &amp; Assumptions'!$H$41</f>
        <v>1124909.51031532</v>
      </c>
      <c r="V260" s="50" t="n">
        <f aca="false">T260*'Model Inputs &amp; Assumptions'!$G$41*'Model Inputs &amp; Assumptions'!$H$41</f>
        <v>24804.2547024527</v>
      </c>
      <c r="W260" s="50" t="n">
        <f aca="false">SUMIFS('Activation Detail'!$I$4:$I$4003,'Activation Detail'!$A$4:$A$4003,$A260,'Activation Detail'!$N$4:$N$4003,T$2)</f>
        <v>18116.091364</v>
      </c>
      <c r="X260" s="51" t="n">
        <f aca="false">IFERROR(V260/W260,0)</f>
        <v>1.3691835729943</v>
      </c>
      <c r="Y260" s="49" t="n">
        <f aca="false">IFERROR(W260/T260,0)</f>
        <v>115.952311385685</v>
      </c>
      <c r="Z260" s="48" t="n">
        <f aca="false">SUMIFS('Activation Detail'!$H$4:$H$4003,'Activation Detail'!$A$4:$A$4003,$A260,'Activation Detail'!$N$4:$N$4003,Z$2)</f>
        <v>494.944509343012</v>
      </c>
      <c r="AA260" s="50" t="n">
        <f aca="false">Z260*'Model Inputs &amp; Assumptions'!$D$42*'Model Inputs &amp; Assumptions'!$H$42</f>
        <v>2672700.35045226</v>
      </c>
      <c r="AB260" s="50" t="n">
        <f aca="false">Z260*'Model Inputs &amp; Assumptions'!$G$42*'Model Inputs &amp; Assumptions'!$H$42</f>
        <v>56126.7073594975</v>
      </c>
      <c r="AC260" s="50" t="n">
        <f aca="false">SUMIFS('Activation Detail'!$I$4:$I$4003,'Activation Detail'!$A$4:$A$4003,$A260,'Activation Detail'!$N$4:$N$4003,Z$2)</f>
        <v>36949.96</v>
      </c>
      <c r="AD260" s="51" t="n">
        <f aca="false">IFERROR(AB260/AC260,0)</f>
        <v>1.51899237129073</v>
      </c>
      <c r="AE260" s="49" t="n">
        <f aca="false">IFERROR(AC260/Z260,0)</f>
        <v>74.6547528106682</v>
      </c>
    </row>
    <row r="261" customFormat="false" ht="15" hidden="false" customHeight="false" outlineLevel="0" collapsed="false">
      <c r="A261" s="43" t="n">
        <v>258</v>
      </c>
      <c r="B261" s="45" t="n">
        <f aca="false">SUM('Activation Detail'!C261,'Activation Detail'!C761,'Activation Detail'!C1261,'Activation Detail'!C1761,'Activation Detail'!C2261,'Activation Detail'!C2761,'Activation Detail'!C3261,'Activation Detail'!C3761)</f>
        <v>4586787</v>
      </c>
      <c r="C261" s="45" t="n">
        <f aca="false">SUM('Activation Detail'!E261,'Activation Detail'!E761,'Activation Detail'!E1261,'Activation Detail'!E1761,'Activation Detail'!E2261,'Activation Detail'!E2761,'Activation Detail'!E3261,'Activation Detail'!E3761)</f>
        <v>593627</v>
      </c>
      <c r="D261" s="45" t="n">
        <f aca="false">SUM('Activation Detail'!G261,'Activation Detail'!G761,'Activation Detail'!G1261,'Activation Detail'!G1761,'Activation Detail'!G2261,'Activation Detail'!G2761,'Activation Detail'!G3261,'Activation Detail'!G3761)</f>
        <v>23160</v>
      </c>
      <c r="E261" s="48" t="n">
        <f aca="false">SUM('Activation Detail'!H261,'Activation Detail'!H761,'Activation Detail'!H1261,'Activation Detail'!H1761,'Activation Detail'!H2261,'Activation Detail'!H2761,'Activation Detail'!H3261,'Activation Detail'!H3761)</f>
        <v>994.097475921228</v>
      </c>
      <c r="F261" s="50" t="n">
        <f aca="false">SUM('Activation Detail'!I261,'Activation Detail'!I761,'Activation Detail'!I1261,'Activation Detail'!I1761,'Activation Detail'!I2261,'Activation Detail'!I2761,'Activation Detail'!I3261,'Activation Detail'!I3761)</f>
        <v>82511.279042</v>
      </c>
      <c r="G261" s="50" t="n">
        <f aca="false">SUM('Activation Detail'!J261,'Activation Detail'!J761,'Activation Detail'!J1261,'Activation Detail'!J1761,'Activation Detail'!J2261,'Activation Detail'!J2761,'Activation Detail'!J3261,'Activation Detail'!J3761)</f>
        <v>5897369.22691829</v>
      </c>
      <c r="H261" s="50" t="n">
        <f aca="false">SUM('Activation Detail'!K261,'Activation Detail'!K761,'Activation Detail'!K1261,'Activation Detail'!K1761,'Activation Detail'!K2261,'Activation Detail'!K2761,'Activation Detail'!K3261,'Activation Detail'!K3761)</f>
        <v>126048.35001434</v>
      </c>
      <c r="I261" s="51" t="n">
        <f aca="false">IFERROR(H261/F261,0)</f>
        <v>1.52764993438265</v>
      </c>
      <c r="J261" s="49" t="n">
        <f aca="false">IFERROR(F261/E261,0)</f>
        <v>83.0011955975816</v>
      </c>
      <c r="K261" s="46" t="n">
        <f aca="false">IFERROR(C261/B261,0)</f>
        <v>0.129421095856424</v>
      </c>
      <c r="L261" s="47" t="n">
        <f aca="false">IFERROR(D261/B261,0)</f>
        <v>0.00504928613428093</v>
      </c>
      <c r="N261" s="48" t="n">
        <f aca="false">SUMIFS('Activation Detail'!$H$4:$H$4003,'Activation Detail'!$A$4:$A$4003,$A261,'Activation Detail'!$N$4:$N$4003,N$2)</f>
        <v>71.1990744720305</v>
      </c>
      <c r="O261" s="50" t="n">
        <f aca="false">N261*'Model Inputs &amp; Assumptions'!$D$40*'Model Inputs &amp; Assumptions'!$H$40</f>
        <v>605192.13301226</v>
      </c>
      <c r="P261" s="50" t="n">
        <f aca="false">N261*'Model Inputs &amp; Assumptions'!$G$40*'Model Inputs &amp; Assumptions'!$H$40</f>
        <v>13616.8229927758</v>
      </c>
      <c r="Q261" s="50" t="n">
        <f aca="false">SUMIFS('Activation Detail'!$I$4:$I$4003,'Activation Detail'!$A$4:$A$4003,$A261,'Activation Detail'!$N$4:$N$4003,N$2)</f>
        <v>18683.216</v>
      </c>
      <c r="R261" s="51" t="n">
        <f aca="false">IFERROR(P261/Q261,0)</f>
        <v>0.728826503572824</v>
      </c>
      <c r="S261" s="49" t="n">
        <f aca="false">IFERROR(Q261/N261,0)</f>
        <v>262.408130141346</v>
      </c>
      <c r="T261" s="48" t="n">
        <f aca="false">SUMIFS('Activation Detail'!$H$4:$H$4003,'Activation Detail'!$A$4:$A$4003,$A261,'Activation Detail'!$N$4:$N$4003,T$2)</f>
        <v>171.403181155759</v>
      </c>
      <c r="U261" s="50" t="n">
        <f aca="false">T261*'Model Inputs &amp; Assumptions'!$D$41*'Model Inputs &amp; Assumptions'!$H$41</f>
        <v>1234102.90432147</v>
      </c>
      <c r="V261" s="50" t="n">
        <f aca="false">T261*'Model Inputs &amp; Assumptions'!$G$41*'Model Inputs &amp; Assumptions'!$H$41</f>
        <v>27211.9690402883</v>
      </c>
      <c r="W261" s="50" t="n">
        <f aca="false">SUMIFS('Activation Detail'!$I$4:$I$4003,'Activation Detail'!$A$4:$A$4003,$A261,'Activation Detail'!$N$4:$N$4003,T$2)</f>
        <v>19258.223042</v>
      </c>
      <c r="X261" s="51" t="n">
        <f aca="false">IFERROR(V261/W261,0)</f>
        <v>1.41300518645683</v>
      </c>
      <c r="Y261" s="49" t="n">
        <f aca="false">IFERROR(W261/T261,0)</f>
        <v>112.356275491173</v>
      </c>
      <c r="Z261" s="48" t="n">
        <f aca="false">SUMIFS('Activation Detail'!$H$4:$H$4003,'Activation Detail'!$A$4:$A$4003,$A261,'Activation Detail'!$N$4:$N$4003,Z$2)</f>
        <v>751.495220293438</v>
      </c>
      <c r="AA261" s="50" t="n">
        <f aca="false">Z261*'Model Inputs &amp; Assumptions'!$D$42*'Model Inputs &amp; Assumptions'!$H$42</f>
        <v>4058074.18958457</v>
      </c>
      <c r="AB261" s="50" t="n">
        <f aca="false">Z261*'Model Inputs &amp; Assumptions'!$G$42*'Model Inputs &amp; Assumptions'!$H$42</f>
        <v>85219.5579812759</v>
      </c>
      <c r="AC261" s="50" t="n">
        <f aca="false">SUMIFS('Activation Detail'!$I$4:$I$4003,'Activation Detail'!$A$4:$A$4003,$A261,'Activation Detail'!$N$4:$N$4003,Z$2)</f>
        <v>44569.84</v>
      </c>
      <c r="AD261" s="51" t="n">
        <f aca="false">IFERROR(AB261/AC261,0)</f>
        <v>1.91204540965989</v>
      </c>
      <c r="AE261" s="49" t="n">
        <f aca="false">IFERROR(AC261/Z261,0)</f>
        <v>59.3082148714089</v>
      </c>
    </row>
    <row r="262" customFormat="false" ht="15" hidden="false" customHeight="false" outlineLevel="0" collapsed="false">
      <c r="A262" s="43" t="n">
        <v>259</v>
      </c>
      <c r="B262" s="45" t="n">
        <f aca="false">SUM('Activation Detail'!C262,'Activation Detail'!C762,'Activation Detail'!C1262,'Activation Detail'!C1762,'Activation Detail'!C2262,'Activation Detail'!C2762,'Activation Detail'!C3262,'Activation Detail'!C3762)</f>
        <v>4524452</v>
      </c>
      <c r="C262" s="45" t="n">
        <f aca="false">SUM('Activation Detail'!E262,'Activation Detail'!E762,'Activation Detail'!E1262,'Activation Detail'!E1762,'Activation Detail'!E2262,'Activation Detail'!E2762,'Activation Detail'!E3262,'Activation Detail'!E3762)</f>
        <v>350111</v>
      </c>
      <c r="D262" s="45" t="n">
        <f aca="false">SUM('Activation Detail'!G262,'Activation Detail'!G762,'Activation Detail'!G1262,'Activation Detail'!G1762,'Activation Detail'!G2262,'Activation Detail'!G2762,'Activation Detail'!G3262,'Activation Detail'!G3762)</f>
        <v>15325</v>
      </c>
      <c r="E262" s="48" t="n">
        <f aca="false">SUM('Activation Detail'!H262,'Activation Detail'!H762,'Activation Detail'!H1262,'Activation Detail'!H1762,'Activation Detail'!H2262,'Activation Detail'!H2762,'Activation Detail'!H3262,'Activation Detail'!H3762)</f>
        <v>664.700967098734</v>
      </c>
      <c r="F262" s="50" t="n">
        <f aca="false">SUM('Activation Detail'!I262,'Activation Detail'!I762,'Activation Detail'!I1262,'Activation Detail'!I1762,'Activation Detail'!I2262,'Activation Detail'!I2762,'Activation Detail'!I3262,'Activation Detail'!I3762)</f>
        <v>71717.788388</v>
      </c>
      <c r="G262" s="50" t="n">
        <f aca="false">SUM('Activation Detail'!J262,'Activation Detail'!J762,'Activation Detail'!J1262,'Activation Detail'!J1762,'Activation Detail'!J2262,'Activation Detail'!J2762,'Activation Detail'!J3262,'Activation Detail'!J3762)</f>
        <v>4170051.76365582</v>
      </c>
      <c r="H262" s="50" t="n">
        <f aca="false">SUM('Activation Detail'!K262,'Activation Detail'!K762,'Activation Detail'!K1262,'Activation Detail'!K1762,'Activation Detail'!K2262,'Activation Detail'!K2762,'Activation Detail'!K3262,'Activation Detail'!K3762)</f>
        <v>89981.5315758075</v>
      </c>
      <c r="I262" s="51" t="n">
        <f aca="false">IFERROR(H262/F262,0)</f>
        <v>1.25466127160808</v>
      </c>
      <c r="J262" s="49" t="n">
        <f aca="false">IFERROR(F262/E262,0)</f>
        <v>107.894815771115</v>
      </c>
      <c r="K262" s="46" t="n">
        <f aca="false">IFERROR(C262/B262,0)</f>
        <v>0.0773819680261831</v>
      </c>
      <c r="L262" s="47" t="n">
        <f aca="false">IFERROR(D262/B262,0)</f>
        <v>0.00338715053226335</v>
      </c>
      <c r="N262" s="48" t="n">
        <f aca="false">SUMIFS('Activation Detail'!$H$4:$H$4003,'Activation Detail'!$A$4:$A$4003,$A262,'Activation Detail'!$N$4:$N$4003,N$2)</f>
        <v>105.018275999357</v>
      </c>
      <c r="O262" s="50" t="n">
        <f aca="false">N262*'Model Inputs &amp; Assumptions'!$D$40*'Model Inputs &amp; Assumptions'!$H$40</f>
        <v>892655.345994531</v>
      </c>
      <c r="P262" s="50" t="n">
        <f aca="false">N262*'Model Inputs &amp; Assumptions'!$G$40*'Model Inputs &amp; Assumptions'!$H$40</f>
        <v>20084.7452848769</v>
      </c>
      <c r="Q262" s="50" t="n">
        <f aca="false">SUMIFS('Activation Detail'!$I$4:$I$4003,'Activation Detail'!$A$4:$A$4003,$A262,'Activation Detail'!$N$4:$N$4003,N$2)</f>
        <v>19418.86</v>
      </c>
      <c r="R262" s="51" t="n">
        <f aca="false">IFERROR(P262/Q262,0)</f>
        <v>1.0342906475909</v>
      </c>
      <c r="S262" s="49" t="n">
        <f aca="false">IFERROR(Q262/N262,0)</f>
        <v>184.90933901942</v>
      </c>
      <c r="T262" s="48" t="n">
        <f aca="false">SUMIFS('Activation Detail'!$H$4:$H$4003,'Activation Detail'!$A$4:$A$4003,$A262,'Activation Detail'!$N$4:$N$4003,T$2)</f>
        <v>141.727714291474</v>
      </c>
      <c r="U262" s="50" t="n">
        <f aca="false">T262*'Model Inputs &amp; Assumptions'!$D$41*'Model Inputs &amp; Assumptions'!$H$41</f>
        <v>1020439.54289861</v>
      </c>
      <c r="V262" s="50" t="n">
        <f aca="false">T262*'Model Inputs &amp; Assumptions'!$G$41*'Model Inputs &amp; Assumptions'!$H$41</f>
        <v>22500.6919209143</v>
      </c>
      <c r="W262" s="50" t="n">
        <f aca="false">SUMIFS('Activation Detail'!$I$4:$I$4003,'Activation Detail'!$A$4:$A$4003,$A262,'Activation Detail'!$N$4:$N$4003,T$2)</f>
        <v>14770.856388</v>
      </c>
      <c r="X262" s="51" t="n">
        <f aca="false">IFERROR(V262/W262,0)</f>
        <v>1.52331668048673</v>
      </c>
      <c r="Y262" s="49" t="n">
        <f aca="false">IFERROR(W262/T262,0)</f>
        <v>104.219957697354</v>
      </c>
      <c r="Z262" s="48" t="n">
        <f aca="false">SUMIFS('Activation Detail'!$H$4:$H$4003,'Activation Detail'!$A$4:$A$4003,$A262,'Activation Detail'!$N$4:$N$4003,Z$2)</f>
        <v>417.954976807904</v>
      </c>
      <c r="AA262" s="50" t="n">
        <f aca="false">Z262*'Model Inputs &amp; Assumptions'!$D$42*'Model Inputs &amp; Assumptions'!$H$42</f>
        <v>2256956.87476268</v>
      </c>
      <c r="AB262" s="50" t="n">
        <f aca="false">Z262*'Model Inputs &amp; Assumptions'!$G$42*'Model Inputs &amp; Assumptions'!$H$42</f>
        <v>47396.0943700163</v>
      </c>
      <c r="AC262" s="50" t="n">
        <f aca="false">SUMIFS('Activation Detail'!$I$4:$I$4003,'Activation Detail'!$A$4:$A$4003,$A262,'Activation Detail'!$N$4:$N$4003,Z$2)</f>
        <v>37528.072</v>
      </c>
      <c r="AD262" s="51" t="n">
        <f aca="false">IFERROR(AB262/AC262,0)</f>
        <v>1.26295042202051</v>
      </c>
      <c r="AE262" s="49" t="n">
        <f aca="false">IFERROR(AC262/Z262,0)</f>
        <v>89.7897478972916</v>
      </c>
    </row>
    <row r="263" customFormat="false" ht="15" hidden="false" customHeight="false" outlineLevel="0" collapsed="false">
      <c r="A263" s="43" t="n">
        <v>260</v>
      </c>
      <c r="B263" s="45" t="n">
        <f aca="false">SUM('Activation Detail'!C263,'Activation Detail'!C763,'Activation Detail'!C1263,'Activation Detail'!C1763,'Activation Detail'!C2263,'Activation Detail'!C2763,'Activation Detail'!C3263,'Activation Detail'!C3763)</f>
        <v>4821745</v>
      </c>
      <c r="C263" s="45" t="n">
        <f aca="false">SUM('Activation Detail'!E263,'Activation Detail'!E763,'Activation Detail'!E1263,'Activation Detail'!E1763,'Activation Detail'!E2263,'Activation Detail'!E2763,'Activation Detail'!E3263,'Activation Detail'!E3763)</f>
        <v>328522</v>
      </c>
      <c r="D263" s="45" t="n">
        <f aca="false">SUM('Activation Detail'!G263,'Activation Detail'!G763,'Activation Detail'!G1263,'Activation Detail'!G1763,'Activation Detail'!G2263,'Activation Detail'!G2763,'Activation Detail'!G3263,'Activation Detail'!G3763)</f>
        <v>18147</v>
      </c>
      <c r="E263" s="48" t="n">
        <f aca="false">SUM('Activation Detail'!H263,'Activation Detail'!H763,'Activation Detail'!H1263,'Activation Detail'!H1763,'Activation Detail'!H2263,'Activation Detail'!H2763,'Activation Detail'!H3263,'Activation Detail'!H3763)</f>
        <v>689.871685795243</v>
      </c>
      <c r="F263" s="50" t="n">
        <f aca="false">SUM('Activation Detail'!I263,'Activation Detail'!I763,'Activation Detail'!I1263,'Activation Detail'!I1763,'Activation Detail'!I2263,'Activation Detail'!I2763,'Activation Detail'!I3263,'Activation Detail'!I3763)</f>
        <v>76194.74598</v>
      </c>
      <c r="G263" s="50" t="n">
        <f aca="false">SUM('Activation Detail'!J263,'Activation Detail'!J763,'Activation Detail'!J1263,'Activation Detail'!J1763,'Activation Detail'!J2263,'Activation Detail'!J2763,'Activation Detail'!J3263,'Activation Detail'!J3763)</f>
        <v>4353123.70333479</v>
      </c>
      <c r="H263" s="50" t="n">
        <f aca="false">SUM('Activation Detail'!K263,'Activation Detail'!K763,'Activation Detail'!K1263,'Activation Detail'!K1763,'Activation Detail'!K2263,'Activation Detail'!K2763,'Activation Detail'!K3263,'Activation Detail'!K3763)</f>
        <v>94025.1298606157</v>
      </c>
      <c r="I263" s="51" t="n">
        <f aca="false">IFERROR(H263/F263,0)</f>
        <v>1.23401067424381</v>
      </c>
      <c r="J263" s="49" t="n">
        <f aca="false">IFERROR(F263/E263,0)</f>
        <v>110.447707231479</v>
      </c>
      <c r="K263" s="46" t="n">
        <f aca="false">IFERROR(C263/B263,0)</f>
        <v>0.0681334247248662</v>
      </c>
      <c r="L263" s="47" t="n">
        <f aca="false">IFERROR(D263/B263,0)</f>
        <v>0.00376357522017444</v>
      </c>
      <c r="N263" s="48" t="n">
        <f aca="false">SUMIFS('Activation Detail'!$H$4:$H$4003,'Activation Detail'!$A$4:$A$4003,$A263,'Activation Detail'!$N$4:$N$4003,N$2)</f>
        <v>101.102331796463</v>
      </c>
      <c r="O263" s="50" t="n">
        <f aca="false">N263*'Model Inputs &amp; Assumptions'!$D$40*'Model Inputs &amp; Assumptions'!$H$40</f>
        <v>859369.820269934</v>
      </c>
      <c r="P263" s="50" t="n">
        <f aca="false">N263*'Model Inputs &amp; Assumptions'!$G$40*'Model Inputs &amp; Assumptions'!$H$40</f>
        <v>19335.8209560735</v>
      </c>
      <c r="Q263" s="50" t="n">
        <f aca="false">SUMIFS('Activation Detail'!$I$4:$I$4003,'Activation Detail'!$A$4:$A$4003,$A263,'Activation Detail'!$N$4:$N$4003,N$2)</f>
        <v>18033.71</v>
      </c>
      <c r="R263" s="51" t="n">
        <f aca="false">IFERROR(P263/Q263,0)</f>
        <v>1.07220427499796</v>
      </c>
      <c r="S263" s="49" t="n">
        <f aca="false">IFERROR(Q263/N263,0)</f>
        <v>178.370861280481</v>
      </c>
      <c r="T263" s="48" t="n">
        <f aca="false">SUMIFS('Activation Detail'!$H$4:$H$4003,'Activation Detail'!$A$4:$A$4003,$A263,'Activation Detail'!$N$4:$N$4003,T$2)</f>
        <v>174.666317484138</v>
      </c>
      <c r="U263" s="50" t="n">
        <f aca="false">T263*'Model Inputs &amp; Assumptions'!$D$41*'Model Inputs &amp; Assumptions'!$H$41</f>
        <v>1257597.48588579</v>
      </c>
      <c r="V263" s="50" t="n">
        <f aca="false">T263*'Model Inputs &amp; Assumptions'!$G$41*'Model Inputs &amp; Assumptions'!$H$41</f>
        <v>27730.0245637818</v>
      </c>
      <c r="W263" s="50" t="n">
        <f aca="false">SUMIFS('Activation Detail'!$I$4:$I$4003,'Activation Detail'!$A$4:$A$4003,$A263,'Activation Detail'!$N$4:$N$4003,T$2)</f>
        <v>14814.53598</v>
      </c>
      <c r="X263" s="51" t="n">
        <f aca="false">IFERROR(V263/W263,0)</f>
        <v>1.87181188808195</v>
      </c>
      <c r="Y263" s="49" t="n">
        <f aca="false">IFERROR(W263/T263,0)</f>
        <v>84.8162152462243</v>
      </c>
      <c r="Z263" s="48" t="n">
        <f aca="false">SUMIFS('Activation Detail'!$H$4:$H$4003,'Activation Detail'!$A$4:$A$4003,$A263,'Activation Detail'!$N$4:$N$4003,Z$2)</f>
        <v>414.103036514642</v>
      </c>
      <c r="AA263" s="50" t="n">
        <f aca="false">Z263*'Model Inputs &amp; Assumptions'!$D$42*'Model Inputs &amp; Assumptions'!$H$42</f>
        <v>2236156.39717907</v>
      </c>
      <c r="AB263" s="50" t="n">
        <f aca="false">Z263*'Model Inputs &amp; Assumptions'!$G$42*'Model Inputs &amp; Assumptions'!$H$42</f>
        <v>46959.2843407604</v>
      </c>
      <c r="AC263" s="50" t="n">
        <f aca="false">SUMIFS('Activation Detail'!$I$4:$I$4003,'Activation Detail'!$A$4:$A$4003,$A263,'Activation Detail'!$N$4:$N$4003,Z$2)</f>
        <v>43346.5</v>
      </c>
      <c r="AD263" s="51" t="n">
        <f aca="false">IFERROR(AB263/AC263,0)</f>
        <v>1.08334662177478</v>
      </c>
      <c r="AE263" s="49" t="n">
        <f aca="false">IFERROR(AC263/Z263,0)</f>
        <v>104.675639098984</v>
      </c>
    </row>
    <row r="264" customFormat="false" ht="15" hidden="false" customHeight="false" outlineLevel="0" collapsed="false">
      <c r="A264" s="43" t="n">
        <v>261</v>
      </c>
      <c r="B264" s="45" t="n">
        <f aca="false">SUM('Activation Detail'!C264,'Activation Detail'!C764,'Activation Detail'!C1264,'Activation Detail'!C1764,'Activation Detail'!C2264,'Activation Detail'!C2764,'Activation Detail'!C3264,'Activation Detail'!C3764)</f>
        <v>4675041</v>
      </c>
      <c r="C264" s="45" t="n">
        <f aca="false">SUM('Activation Detail'!E264,'Activation Detail'!E764,'Activation Detail'!E1264,'Activation Detail'!E1764,'Activation Detail'!E2264,'Activation Detail'!E2764,'Activation Detail'!E3264,'Activation Detail'!E3764)</f>
        <v>427363</v>
      </c>
      <c r="D264" s="45" t="n">
        <f aca="false">SUM('Activation Detail'!G264,'Activation Detail'!G764,'Activation Detail'!G1264,'Activation Detail'!G1764,'Activation Detail'!G2264,'Activation Detail'!G2764,'Activation Detail'!G3264,'Activation Detail'!G3764)</f>
        <v>16571</v>
      </c>
      <c r="E264" s="48" t="n">
        <f aca="false">SUM('Activation Detail'!H264,'Activation Detail'!H764,'Activation Detail'!H1264,'Activation Detail'!H1764,'Activation Detail'!H2264,'Activation Detail'!H2764,'Activation Detail'!H3264,'Activation Detail'!H3764)</f>
        <v>756.652381183524</v>
      </c>
      <c r="F264" s="50" t="n">
        <f aca="false">SUM('Activation Detail'!I264,'Activation Detail'!I764,'Activation Detail'!I1264,'Activation Detail'!I1764,'Activation Detail'!I2264,'Activation Detail'!I2764,'Activation Detail'!I3264,'Activation Detail'!I3764)</f>
        <v>77354.596578</v>
      </c>
      <c r="G264" s="50" t="n">
        <f aca="false">SUM('Activation Detail'!J264,'Activation Detail'!J764,'Activation Detail'!J1264,'Activation Detail'!J1764,'Activation Detail'!J2264,'Activation Detail'!J2764,'Activation Detail'!J3264,'Activation Detail'!J3764)</f>
        <v>4938662.58552802</v>
      </c>
      <c r="H264" s="50" t="n">
        <f aca="false">SUM('Activation Detail'!K264,'Activation Detail'!K764,'Activation Detail'!K1264,'Activation Detail'!K1764,'Activation Detail'!K2264,'Activation Detail'!K2764,'Activation Detail'!K3264,'Activation Detail'!K3764)</f>
        <v>107240.746874185</v>
      </c>
      <c r="I264" s="51" t="n">
        <f aca="false">IFERROR(H264/F264,0)</f>
        <v>1.38635261016518</v>
      </c>
      <c r="J264" s="49" t="n">
        <f aca="false">IFERROR(F264/E264,0)</f>
        <v>102.232674477288</v>
      </c>
      <c r="K264" s="46" t="n">
        <f aca="false">IFERROR(C264/B264,0)</f>
        <v>0.0914137437511243</v>
      </c>
      <c r="L264" s="47" t="n">
        <f aca="false">IFERROR(D264/B264,0)</f>
        <v>0.00354456784443174</v>
      </c>
      <c r="N264" s="48" t="n">
        <f aca="false">SUMIFS('Activation Detail'!$H$4:$H$4003,'Activation Detail'!$A$4:$A$4003,$A264,'Activation Detail'!$N$4:$N$4003,N$2)</f>
        <v>195.089910663132</v>
      </c>
      <c r="O264" s="50" t="n">
        <f aca="false">N264*'Model Inputs &amp; Assumptions'!$D$40*'Model Inputs &amp; Assumptions'!$H$40</f>
        <v>1658264.24063662</v>
      </c>
      <c r="P264" s="50" t="n">
        <f aca="false">N264*'Model Inputs &amp; Assumptions'!$G$40*'Model Inputs &amp; Assumptions'!$H$40</f>
        <v>37310.945414324</v>
      </c>
      <c r="Q264" s="50" t="n">
        <f aca="false">SUMIFS('Activation Detail'!$I$4:$I$4003,'Activation Detail'!$A$4:$A$4003,$A264,'Activation Detail'!$N$4:$N$4003,N$2)</f>
        <v>19408.1805</v>
      </c>
      <c r="R264" s="51" t="n">
        <f aca="false">IFERROR(P264/Q264,0)</f>
        <v>1.92243396614763</v>
      </c>
      <c r="S264" s="49" t="n">
        <f aca="false">IFERROR(Q264/N264,0)</f>
        <v>99.483260995043</v>
      </c>
      <c r="T264" s="48" t="n">
        <f aca="false">SUMIFS('Activation Detail'!$H$4:$H$4003,'Activation Detail'!$A$4:$A$4003,$A264,'Activation Detail'!$N$4:$N$4003,T$2)</f>
        <v>137.756113378488</v>
      </c>
      <c r="U264" s="50" t="n">
        <f aca="false">T264*'Model Inputs &amp; Assumptions'!$D$41*'Model Inputs &amp; Assumptions'!$H$41</f>
        <v>991844.016325116</v>
      </c>
      <c r="V264" s="50" t="n">
        <f aca="false">T264*'Model Inputs &amp; Assumptions'!$G$41*'Model Inputs &amp; Assumptions'!$H$41</f>
        <v>21870.1605599688</v>
      </c>
      <c r="W264" s="50" t="n">
        <f aca="false">SUMIFS('Activation Detail'!$I$4:$I$4003,'Activation Detail'!$A$4:$A$4003,$A264,'Activation Detail'!$N$4:$N$4003,T$2)</f>
        <v>17566.580078</v>
      </c>
      <c r="X264" s="51" t="n">
        <f aca="false">IFERROR(V264/W264,0)</f>
        <v>1.24498681375998</v>
      </c>
      <c r="Y264" s="49" t="n">
        <f aca="false">IFERROR(W264/T264,0)</f>
        <v>127.519422892946</v>
      </c>
      <c r="Z264" s="48" t="n">
        <f aca="false">SUMIFS('Activation Detail'!$H$4:$H$4003,'Activation Detail'!$A$4:$A$4003,$A264,'Activation Detail'!$N$4:$N$4003,Z$2)</f>
        <v>423.806357141904</v>
      </c>
      <c r="AA264" s="50" t="n">
        <f aca="false">Z264*'Model Inputs &amp; Assumptions'!$D$42*'Model Inputs &amp; Assumptions'!$H$42</f>
        <v>2288554.32856628</v>
      </c>
      <c r="AB264" s="50" t="n">
        <f aca="false">Z264*'Model Inputs &amp; Assumptions'!$G$42*'Model Inputs &amp; Assumptions'!$H$42</f>
        <v>48059.6408998919</v>
      </c>
      <c r="AC264" s="50" t="n">
        <f aca="false">SUMIFS('Activation Detail'!$I$4:$I$4003,'Activation Detail'!$A$4:$A$4003,$A264,'Activation Detail'!$N$4:$N$4003,Z$2)</f>
        <v>40379.836</v>
      </c>
      <c r="AD264" s="51" t="n">
        <f aca="false">IFERROR(AB264/AC264,0)</f>
        <v>1.19018910576784</v>
      </c>
      <c r="AE264" s="49" t="n">
        <f aca="false">IFERROR(AC264/Z264,0)</f>
        <v>95.2789766352644</v>
      </c>
    </row>
    <row r="265" customFormat="false" ht="15" hidden="false" customHeight="false" outlineLevel="0" collapsed="false">
      <c r="A265" s="43" t="n">
        <v>262</v>
      </c>
      <c r="B265" s="45" t="n">
        <f aca="false">SUM('Activation Detail'!C265,'Activation Detail'!C765,'Activation Detail'!C1265,'Activation Detail'!C1765,'Activation Detail'!C2265,'Activation Detail'!C2765,'Activation Detail'!C3265,'Activation Detail'!C3765)</f>
        <v>4006612</v>
      </c>
      <c r="C265" s="45" t="n">
        <f aca="false">SUM('Activation Detail'!E265,'Activation Detail'!E765,'Activation Detail'!E1265,'Activation Detail'!E1765,'Activation Detail'!E2265,'Activation Detail'!E2765,'Activation Detail'!E3265,'Activation Detail'!E3765)</f>
        <v>370957</v>
      </c>
      <c r="D265" s="45" t="n">
        <f aca="false">SUM('Activation Detail'!G265,'Activation Detail'!G765,'Activation Detail'!G1265,'Activation Detail'!G1765,'Activation Detail'!G2265,'Activation Detail'!G2765,'Activation Detail'!G3265,'Activation Detail'!G3765)</f>
        <v>13902</v>
      </c>
      <c r="E265" s="48" t="n">
        <f aca="false">SUM('Activation Detail'!H265,'Activation Detail'!H765,'Activation Detail'!H1265,'Activation Detail'!H1765,'Activation Detail'!H2265,'Activation Detail'!H2765,'Activation Detail'!H3265,'Activation Detail'!H3765)</f>
        <v>540.11762654843</v>
      </c>
      <c r="F265" s="50" t="n">
        <f aca="false">SUM('Activation Detail'!I265,'Activation Detail'!I765,'Activation Detail'!I1265,'Activation Detail'!I1765,'Activation Detail'!I2265,'Activation Detail'!I2765,'Activation Detail'!I3265,'Activation Detail'!I3765)</f>
        <v>67021.7112</v>
      </c>
      <c r="G265" s="50" t="n">
        <f aca="false">SUM('Activation Detail'!J265,'Activation Detail'!J765,'Activation Detail'!J1265,'Activation Detail'!J1765,'Activation Detail'!J2265,'Activation Detail'!J2765,'Activation Detail'!J3265,'Activation Detail'!J3765)</f>
        <v>3483818.43559646</v>
      </c>
      <c r="H265" s="50" t="n">
        <f aca="false">SUM('Activation Detail'!K265,'Activation Detail'!K765,'Activation Detail'!K1265,'Activation Detail'!K1765,'Activation Detail'!K2265,'Activation Detail'!K2765,'Activation Detail'!K3265,'Activation Detail'!K3765)</f>
        <v>75514.5906217288</v>
      </c>
      <c r="I265" s="51" t="n">
        <f aca="false">IFERROR(H265/F265,0)</f>
        <v>1.12671833156252</v>
      </c>
      <c r="J265" s="49" t="n">
        <f aca="false">IFERROR(F265/E265,0)</f>
        <v>124.08725045375</v>
      </c>
      <c r="K265" s="46" t="n">
        <f aca="false">IFERROR(C265/B265,0)</f>
        <v>0.0925862050031298</v>
      </c>
      <c r="L265" s="47" t="n">
        <f aca="false">IFERROR(D265/B265,0)</f>
        <v>0.00346976447931569</v>
      </c>
      <c r="N265" s="48" t="n">
        <f aca="false">SUMIFS('Activation Detail'!$H$4:$H$4003,'Activation Detail'!$A$4:$A$4003,$A265,'Activation Detail'!$N$4:$N$4003,N$2)</f>
        <v>102.837722902113</v>
      </c>
      <c r="O265" s="50" t="n">
        <f aca="false">N265*'Model Inputs &amp; Assumptions'!$D$40*'Model Inputs &amp; Assumptions'!$H$40</f>
        <v>874120.644667957</v>
      </c>
      <c r="P265" s="50" t="n">
        <f aca="false">N265*'Model Inputs &amp; Assumptions'!$G$40*'Model Inputs &amp; Assumptions'!$H$40</f>
        <v>19667.714505029</v>
      </c>
      <c r="Q265" s="50" t="n">
        <f aca="false">SUMIFS('Activation Detail'!$I$4:$I$4003,'Activation Detail'!$A$4:$A$4003,$A265,'Activation Detail'!$N$4:$N$4003,N$2)</f>
        <v>17129.027</v>
      </c>
      <c r="R265" s="51" t="n">
        <f aca="false">IFERROR(P265/Q265,0)</f>
        <v>1.14820967384949</v>
      </c>
      <c r="S265" s="49" t="n">
        <f aca="false">IFERROR(Q265/N265,0)</f>
        <v>166.563655015042</v>
      </c>
      <c r="T265" s="48" t="n">
        <f aca="false">SUMIFS('Activation Detail'!$H$4:$H$4003,'Activation Detail'!$A$4:$A$4003,$A265,'Activation Detail'!$N$4:$N$4003,T$2)</f>
        <v>137.992395132438</v>
      </c>
      <c r="U265" s="50" t="n">
        <f aca="false">T265*'Model Inputs &amp; Assumptions'!$D$41*'Model Inputs &amp; Assumptions'!$H$41</f>
        <v>993545.244953554</v>
      </c>
      <c r="V265" s="50" t="n">
        <f aca="false">T265*'Model Inputs &amp; Assumptions'!$G$41*'Model Inputs &amp; Assumptions'!$H$41</f>
        <v>21907.6726512259</v>
      </c>
      <c r="W265" s="50" t="n">
        <f aca="false">SUMIFS('Activation Detail'!$I$4:$I$4003,'Activation Detail'!$A$4:$A$4003,$A265,'Activation Detail'!$N$4:$N$4003,T$2)</f>
        <v>15333.0042</v>
      </c>
      <c r="X265" s="51" t="n">
        <f aca="false">IFERROR(V265/W265,0)</f>
        <v>1.42879192919192</v>
      </c>
      <c r="Y265" s="49" t="n">
        <f aca="false">IFERROR(W265/T265,0)</f>
        <v>111.114849374737</v>
      </c>
      <c r="Z265" s="48" t="n">
        <f aca="false">SUMIFS('Activation Detail'!$H$4:$H$4003,'Activation Detail'!$A$4:$A$4003,$A265,'Activation Detail'!$N$4:$N$4003,Z$2)</f>
        <v>299.287508513879</v>
      </c>
      <c r="AA265" s="50" t="n">
        <f aca="false">Z265*'Model Inputs &amp; Assumptions'!$D$42*'Model Inputs &amp; Assumptions'!$H$42</f>
        <v>1616152.54597495</v>
      </c>
      <c r="AB265" s="50" t="n">
        <f aca="false">Z265*'Model Inputs &amp; Assumptions'!$G$42*'Model Inputs &amp; Assumptions'!$H$42</f>
        <v>33939.2034654739</v>
      </c>
      <c r="AC265" s="50" t="n">
        <f aca="false">SUMIFS('Activation Detail'!$I$4:$I$4003,'Activation Detail'!$A$4:$A$4003,$A265,'Activation Detail'!$N$4:$N$4003,Z$2)</f>
        <v>34559.68</v>
      </c>
      <c r="AD265" s="51" t="n">
        <f aca="false">IFERROR(AB265/AC265,0)</f>
        <v>0.982046230331818</v>
      </c>
      <c r="AE265" s="49" t="n">
        <f aca="false">IFERROR(AC265/Z265,0)</f>
        <v>115.473178856034</v>
      </c>
    </row>
    <row r="266" customFormat="false" ht="15" hidden="false" customHeight="false" outlineLevel="0" collapsed="false">
      <c r="A266" s="43" t="n">
        <v>263</v>
      </c>
      <c r="B266" s="45" t="n">
        <f aca="false">SUM('Activation Detail'!C266,'Activation Detail'!C766,'Activation Detail'!C1266,'Activation Detail'!C1766,'Activation Detail'!C2266,'Activation Detail'!C2766,'Activation Detail'!C3266,'Activation Detail'!C3766)</f>
        <v>4593730</v>
      </c>
      <c r="C266" s="45" t="n">
        <f aca="false">SUM('Activation Detail'!E266,'Activation Detail'!E766,'Activation Detail'!E1266,'Activation Detail'!E1766,'Activation Detail'!E2266,'Activation Detail'!E2766,'Activation Detail'!E3266,'Activation Detail'!E3766)</f>
        <v>345002</v>
      </c>
      <c r="D266" s="45" t="n">
        <f aca="false">SUM('Activation Detail'!G266,'Activation Detail'!G766,'Activation Detail'!G1266,'Activation Detail'!G1766,'Activation Detail'!G2266,'Activation Detail'!G2766,'Activation Detail'!G3266,'Activation Detail'!G3766)</f>
        <v>18631</v>
      </c>
      <c r="E266" s="48" t="n">
        <f aca="false">SUM('Activation Detail'!H266,'Activation Detail'!H766,'Activation Detail'!H1266,'Activation Detail'!H1766,'Activation Detail'!H2266,'Activation Detail'!H2766,'Activation Detail'!H3266,'Activation Detail'!H3766)</f>
        <v>946.448380160633</v>
      </c>
      <c r="F266" s="50" t="n">
        <f aca="false">SUM('Activation Detail'!I266,'Activation Detail'!I766,'Activation Detail'!I1266,'Activation Detail'!I1766,'Activation Detail'!I2266,'Activation Detail'!I2766,'Activation Detail'!I3266,'Activation Detail'!I3766)</f>
        <v>72619.871574</v>
      </c>
      <c r="G266" s="50" t="n">
        <f aca="false">SUM('Activation Detail'!J266,'Activation Detail'!J766,'Activation Detail'!J1266,'Activation Detail'!J1766,'Activation Detail'!J2266,'Activation Detail'!J2766,'Activation Detail'!J3266,'Activation Detail'!J3766)</f>
        <v>5538392.70766256</v>
      </c>
      <c r="H266" s="50" t="n">
        <f aca="false">SUM('Activation Detail'!K266,'Activation Detail'!K766,'Activation Detail'!K1266,'Activation Detail'!K1766,'Activation Detail'!K2266,'Activation Detail'!K2766,'Activation Detail'!K3266,'Activation Detail'!K3766)</f>
        <v>118081.045901761</v>
      </c>
      <c r="I266" s="51" t="n">
        <f aca="false">IFERROR(H266/F266,0)</f>
        <v>1.62601562550873</v>
      </c>
      <c r="J266" s="49" t="n">
        <f aca="false">IFERROR(F266/E266,0)</f>
        <v>76.728824409499</v>
      </c>
      <c r="K266" s="46" t="n">
        <f aca="false">IFERROR(C266/B266,0)</f>
        <v>0.0751028031686669</v>
      </c>
      <c r="L266" s="47" t="n">
        <f aca="false">IFERROR(D266/B266,0)</f>
        <v>0.00405574554882416</v>
      </c>
      <c r="N266" s="48" t="n">
        <f aca="false">SUMIFS('Activation Detail'!$H$4:$H$4003,'Activation Detail'!$A$4:$A$4003,$A266,'Activation Detail'!$N$4:$N$4003,N$2)</f>
        <v>77.7817381197922</v>
      </c>
      <c r="O266" s="50" t="n">
        <f aca="false">N266*'Model Inputs &amp; Assumptions'!$D$40*'Model Inputs &amp; Assumptions'!$H$40</f>
        <v>661144.774018234</v>
      </c>
      <c r="P266" s="50" t="n">
        <f aca="false">N266*'Model Inputs &amp; Assumptions'!$G$40*'Model Inputs &amp; Assumptions'!$H$40</f>
        <v>14875.7574154103</v>
      </c>
      <c r="Q266" s="50" t="n">
        <f aca="false">SUMIFS('Activation Detail'!$I$4:$I$4003,'Activation Detail'!$A$4:$A$4003,$A266,'Activation Detail'!$N$4:$N$4003,N$2)</f>
        <v>17861.3625</v>
      </c>
      <c r="R266" s="51" t="n">
        <f aca="false">IFERROR(P266/Q266,0)</f>
        <v>0.832845613844424</v>
      </c>
      <c r="S266" s="49" t="n">
        <f aca="false">IFERROR(Q266/N266,0)</f>
        <v>229.634396604658</v>
      </c>
      <c r="T266" s="48" t="n">
        <f aca="false">SUMIFS('Activation Detail'!$H$4:$H$4003,'Activation Detail'!$A$4:$A$4003,$A266,'Activation Detail'!$N$4:$N$4003,T$2)</f>
        <v>103.582259235434</v>
      </c>
      <c r="U266" s="50" t="n">
        <f aca="false">T266*'Model Inputs &amp; Assumptions'!$D$41*'Model Inputs &amp; Assumptions'!$H$41</f>
        <v>745792.266495124</v>
      </c>
      <c r="V266" s="50" t="n">
        <f aca="false">T266*'Model Inputs &amp; Assumptions'!$G$41*'Model Inputs &amp; Assumptions'!$H$41</f>
        <v>16444.7194762175</v>
      </c>
      <c r="W266" s="50" t="n">
        <f aca="false">SUMIFS('Activation Detail'!$I$4:$I$4003,'Activation Detail'!$A$4:$A$4003,$A266,'Activation Detail'!$N$4:$N$4003,T$2)</f>
        <v>14864.745074</v>
      </c>
      <c r="X266" s="51" t="n">
        <f aca="false">IFERROR(V266/W266,0)</f>
        <v>1.1062900436134</v>
      </c>
      <c r="Y266" s="49" t="n">
        <f aca="false">IFERROR(W266/T266,0)</f>
        <v>143.506669807362</v>
      </c>
      <c r="Z266" s="48" t="n">
        <f aca="false">SUMIFS('Activation Detail'!$H$4:$H$4003,'Activation Detail'!$A$4:$A$4003,$A266,'Activation Detail'!$N$4:$N$4003,Z$2)</f>
        <v>765.084382805407</v>
      </c>
      <c r="AA266" s="50" t="n">
        <f aca="false">Z266*'Model Inputs &amp; Assumptions'!$D$42*'Model Inputs &amp; Assumptions'!$H$42</f>
        <v>4131455.6671492</v>
      </c>
      <c r="AB266" s="50" t="n">
        <f aca="false">Z266*'Model Inputs &amp; Assumptions'!$G$42*'Model Inputs &amp; Assumptions'!$H$42</f>
        <v>86760.5690101332</v>
      </c>
      <c r="AC266" s="50" t="n">
        <f aca="false">SUMIFS('Activation Detail'!$I$4:$I$4003,'Activation Detail'!$A$4:$A$4003,$A266,'Activation Detail'!$N$4:$N$4003,Z$2)</f>
        <v>39893.764</v>
      </c>
      <c r="AD266" s="51" t="n">
        <f aca="false">IFERROR(AB266/AC266,0)</f>
        <v>2.17479025068011</v>
      </c>
      <c r="AE266" s="49" t="n">
        <f aca="false">IFERROR(AC266/Z266,0)</f>
        <v>52.1429595173774</v>
      </c>
    </row>
    <row r="267" customFormat="false" ht="15" hidden="false" customHeight="false" outlineLevel="0" collapsed="false">
      <c r="A267" s="43" t="n">
        <v>264</v>
      </c>
      <c r="B267" s="45" t="n">
        <f aca="false">SUM('Activation Detail'!C267,'Activation Detail'!C767,'Activation Detail'!C1267,'Activation Detail'!C1767,'Activation Detail'!C2267,'Activation Detail'!C2767,'Activation Detail'!C3267,'Activation Detail'!C3767)</f>
        <v>3819109</v>
      </c>
      <c r="C267" s="45" t="n">
        <f aca="false">SUM('Activation Detail'!E267,'Activation Detail'!E767,'Activation Detail'!E1267,'Activation Detail'!E1767,'Activation Detail'!E2267,'Activation Detail'!E2767,'Activation Detail'!E3267,'Activation Detail'!E3767)</f>
        <v>477252</v>
      </c>
      <c r="D267" s="45" t="n">
        <f aca="false">SUM('Activation Detail'!G267,'Activation Detail'!G767,'Activation Detail'!G1267,'Activation Detail'!G1767,'Activation Detail'!G2267,'Activation Detail'!G2767,'Activation Detail'!G3267,'Activation Detail'!G3767)</f>
        <v>13560</v>
      </c>
      <c r="E267" s="48" t="n">
        <f aca="false">SUM('Activation Detail'!H267,'Activation Detail'!H767,'Activation Detail'!H1267,'Activation Detail'!H1767,'Activation Detail'!H2267,'Activation Detail'!H2767,'Activation Detail'!H3267,'Activation Detail'!H3767)</f>
        <v>500.597488836138</v>
      </c>
      <c r="F267" s="50" t="n">
        <f aca="false">SUM('Activation Detail'!I267,'Activation Detail'!I767,'Activation Detail'!I1267,'Activation Detail'!I1767,'Activation Detail'!I2267,'Activation Detail'!I2767,'Activation Detail'!I3267,'Activation Detail'!I3767)</f>
        <v>74688.572164</v>
      </c>
      <c r="G267" s="50" t="n">
        <f aca="false">SUM('Activation Detail'!J267,'Activation Detail'!J767,'Activation Detail'!J1267,'Activation Detail'!J1767,'Activation Detail'!J2267,'Activation Detail'!J2767,'Activation Detail'!J3267,'Activation Detail'!J3767)</f>
        <v>3262357.06193927</v>
      </c>
      <c r="H267" s="50" t="n">
        <f aca="false">SUM('Activation Detail'!K267,'Activation Detail'!K767,'Activation Detail'!K1267,'Activation Detail'!K1767,'Activation Detail'!K2267,'Activation Detail'!K2767,'Activation Detail'!K3267,'Activation Detail'!K3767)</f>
        <v>70835.6277085042</v>
      </c>
      <c r="I267" s="51" t="n">
        <f aca="false">IFERROR(H267/F267,0)</f>
        <v>0.94841319971902</v>
      </c>
      <c r="J267" s="49" t="n">
        <f aca="false">IFERROR(F267/E267,0)</f>
        <v>149.198855027513</v>
      </c>
      <c r="K267" s="46" t="n">
        <f aca="false">IFERROR(C267/B267,0)</f>
        <v>0.124964225949037</v>
      </c>
      <c r="L267" s="47" t="n">
        <f aca="false">IFERROR(D267/B267,0)</f>
        <v>0.00355056637556037</v>
      </c>
      <c r="N267" s="48" t="n">
        <f aca="false">SUMIFS('Activation Detail'!$H$4:$H$4003,'Activation Detail'!$A$4:$A$4003,$A267,'Activation Detail'!$N$4:$N$4003,N$2)</f>
        <v>82.2933539331019</v>
      </c>
      <c r="O267" s="50" t="n">
        <f aca="false">N267*'Model Inputs &amp; Assumptions'!$D$40*'Model Inputs &amp; Assumptions'!$H$40</f>
        <v>699493.508431366</v>
      </c>
      <c r="P267" s="50" t="n">
        <f aca="false">N267*'Model Inputs &amp; Assumptions'!$G$40*'Model Inputs &amp; Assumptions'!$H$40</f>
        <v>15738.6039397057</v>
      </c>
      <c r="Q267" s="50" t="n">
        <f aca="false">SUMIFS('Activation Detail'!$I$4:$I$4003,'Activation Detail'!$A$4:$A$4003,$A267,'Activation Detail'!$N$4:$N$4003,N$2)</f>
        <v>18313.002</v>
      </c>
      <c r="R267" s="51" t="n">
        <f aca="false">IFERROR(P267/Q267,0)</f>
        <v>0.859422389606343</v>
      </c>
      <c r="S267" s="49" t="n">
        <f aca="false">IFERROR(Q267/N267,0)</f>
        <v>222.533183115699</v>
      </c>
      <c r="T267" s="48" t="n">
        <f aca="false">SUMIFS('Activation Detail'!$H$4:$H$4003,'Activation Detail'!$A$4:$A$4003,$A267,'Activation Detail'!$N$4:$N$4003,T$2)</f>
        <v>168.900680573064</v>
      </c>
      <c r="U267" s="50" t="n">
        <f aca="false">T267*'Model Inputs &amp; Assumptions'!$D$41*'Model Inputs &amp; Assumptions'!$H$41</f>
        <v>1216084.90012606</v>
      </c>
      <c r="V267" s="50" t="n">
        <f aca="false">T267*'Model Inputs &amp; Assumptions'!$G$41*'Model Inputs &amp; Assumptions'!$H$41</f>
        <v>26814.6720477796</v>
      </c>
      <c r="W267" s="50" t="n">
        <f aca="false">SUMIFS('Activation Detail'!$I$4:$I$4003,'Activation Detail'!$A$4:$A$4003,$A267,'Activation Detail'!$N$4:$N$4003,T$2)</f>
        <v>19036.114164</v>
      </c>
      <c r="X267" s="51" t="n">
        <f aca="false">IFERROR(V267/W267,0)</f>
        <v>1.4086210986531</v>
      </c>
      <c r="Y267" s="49" t="n">
        <f aca="false">IFERROR(W267/T267,0)</f>
        <v>112.705964827449</v>
      </c>
      <c r="Z267" s="48" t="n">
        <f aca="false">SUMIFS('Activation Detail'!$H$4:$H$4003,'Activation Detail'!$A$4:$A$4003,$A267,'Activation Detail'!$N$4:$N$4003,Z$2)</f>
        <v>249.403454329972</v>
      </c>
      <c r="AA267" s="50" t="n">
        <f aca="false">Z267*'Model Inputs &amp; Assumptions'!$D$42*'Model Inputs &amp; Assumptions'!$H$42</f>
        <v>1346778.65338185</v>
      </c>
      <c r="AB267" s="50" t="n">
        <f aca="false">Z267*'Model Inputs &amp; Assumptions'!$G$42*'Model Inputs &amp; Assumptions'!$H$42</f>
        <v>28282.3517210188</v>
      </c>
      <c r="AC267" s="50" t="n">
        <f aca="false">SUMIFS('Activation Detail'!$I$4:$I$4003,'Activation Detail'!$A$4:$A$4003,$A267,'Activation Detail'!$N$4:$N$4003,Z$2)</f>
        <v>37339.456</v>
      </c>
      <c r="AD267" s="51" t="n">
        <f aca="false">IFERROR(AB267/AC267,0)</f>
        <v>0.757438772568589</v>
      </c>
      <c r="AE267" s="49" t="n">
        <f aca="false">IFERROR(AC267/Z267,0)</f>
        <v>149.71507151059</v>
      </c>
    </row>
    <row r="268" customFormat="false" ht="15" hidden="false" customHeight="false" outlineLevel="0" collapsed="false">
      <c r="A268" s="43" t="n">
        <v>265</v>
      </c>
      <c r="B268" s="45" t="n">
        <f aca="false">SUM('Activation Detail'!C268,'Activation Detail'!C768,'Activation Detail'!C1268,'Activation Detail'!C1768,'Activation Detail'!C2268,'Activation Detail'!C2768,'Activation Detail'!C3268,'Activation Detail'!C3768)</f>
        <v>4139356</v>
      </c>
      <c r="C268" s="45" t="n">
        <f aca="false">SUM('Activation Detail'!E268,'Activation Detail'!E768,'Activation Detail'!E1268,'Activation Detail'!E1768,'Activation Detail'!E2268,'Activation Detail'!E2768,'Activation Detail'!E3268,'Activation Detail'!E3768)</f>
        <v>330981</v>
      </c>
      <c r="D268" s="45" t="n">
        <f aca="false">SUM('Activation Detail'!G268,'Activation Detail'!G768,'Activation Detail'!G1268,'Activation Detail'!G1768,'Activation Detail'!G2268,'Activation Detail'!G2768,'Activation Detail'!G3268,'Activation Detail'!G3768)</f>
        <v>15420</v>
      </c>
      <c r="E268" s="48" t="n">
        <f aca="false">SUM('Activation Detail'!H268,'Activation Detail'!H768,'Activation Detail'!H1268,'Activation Detail'!H1768,'Activation Detail'!H2268,'Activation Detail'!H2768,'Activation Detail'!H3268,'Activation Detail'!H3768)</f>
        <v>708.177490934397</v>
      </c>
      <c r="F268" s="50" t="n">
        <f aca="false">SUM('Activation Detail'!I268,'Activation Detail'!I768,'Activation Detail'!I1268,'Activation Detail'!I1768,'Activation Detail'!I2268,'Activation Detail'!I2768,'Activation Detail'!I3268,'Activation Detail'!I3768)</f>
        <v>72915.846002</v>
      </c>
      <c r="G268" s="50" t="n">
        <f aca="false">SUM('Activation Detail'!J268,'Activation Detail'!J768,'Activation Detail'!J1268,'Activation Detail'!J1768,'Activation Detail'!J2268,'Activation Detail'!J2768,'Activation Detail'!J3268,'Activation Detail'!J3768)</f>
        <v>4382721.16835426</v>
      </c>
      <c r="H268" s="50" t="n">
        <f aca="false">SUM('Activation Detail'!K268,'Activation Detail'!K768,'Activation Detail'!K1268,'Activation Detail'!K1768,'Activation Detail'!K2268,'Activation Detail'!K2768,'Activation Detail'!K3268,'Activation Detail'!K3768)</f>
        <v>94353.7810584433</v>
      </c>
      <c r="I268" s="51" t="n">
        <f aca="false">IFERROR(H268/F268,0)</f>
        <v>1.2940092755127</v>
      </c>
      <c r="J268" s="49" t="n">
        <f aca="false">IFERROR(F268/E268,0)</f>
        <v>102.962670990562</v>
      </c>
      <c r="K268" s="46" t="n">
        <f aca="false">IFERROR(C268/B268,0)</f>
        <v>0.0799595395998798</v>
      </c>
      <c r="L268" s="47" t="n">
        <f aca="false">IFERROR(D268/B268,0)</f>
        <v>0.00372521715938421</v>
      </c>
      <c r="N268" s="48" t="n">
        <f aca="false">SUMIFS('Activation Detail'!$H$4:$H$4003,'Activation Detail'!$A$4:$A$4003,$A268,'Activation Detail'!$N$4:$N$4003,N$2)</f>
        <v>108.618109970556</v>
      </c>
      <c r="O268" s="50" t="n">
        <f aca="false">N268*'Model Inputs &amp; Assumptions'!$D$40*'Model Inputs &amp; Assumptions'!$H$40</f>
        <v>923253.934749729</v>
      </c>
      <c r="P268" s="50" t="n">
        <f aca="false">N268*'Model Inputs &amp; Assumptions'!$G$40*'Model Inputs &amp; Assumptions'!$H$40</f>
        <v>20773.2135318689</v>
      </c>
      <c r="Q268" s="50" t="n">
        <f aca="false">SUMIFS('Activation Detail'!$I$4:$I$4003,'Activation Detail'!$A$4:$A$4003,$A268,'Activation Detail'!$N$4:$N$4003,N$2)</f>
        <v>18217.01</v>
      </c>
      <c r="R268" s="51" t="n">
        <f aca="false">IFERROR(P268/Q268,0)</f>
        <v>1.14031959865362</v>
      </c>
      <c r="S268" s="49" t="n">
        <f aca="false">IFERROR(Q268/N268,0)</f>
        <v>167.716138726205</v>
      </c>
      <c r="T268" s="48" t="n">
        <f aca="false">SUMIFS('Activation Detail'!$H$4:$H$4003,'Activation Detail'!$A$4:$A$4003,$A268,'Activation Detail'!$N$4:$N$4003,T$2)</f>
        <v>123.248097999887</v>
      </c>
      <c r="U268" s="50" t="n">
        <f aca="false">T268*'Model Inputs &amp; Assumptions'!$D$41*'Model Inputs &amp; Assumptions'!$H$41</f>
        <v>887386.305599185</v>
      </c>
      <c r="V268" s="50" t="n">
        <f aca="false">T268*'Model Inputs &amp; Assumptions'!$G$41*'Model Inputs &amp; Assumptions'!$H$41</f>
        <v>19566.868038462</v>
      </c>
      <c r="W268" s="50" t="n">
        <f aca="false">SUMIFS('Activation Detail'!$I$4:$I$4003,'Activation Detail'!$A$4:$A$4003,$A268,'Activation Detail'!$N$4:$N$4003,T$2)</f>
        <v>15244.320002</v>
      </c>
      <c r="X268" s="51" t="n">
        <f aca="false">IFERROR(V268/W268,0)</f>
        <v>1.28355138411519</v>
      </c>
      <c r="Y268" s="49" t="n">
        <f aca="false">IFERROR(W268/T268,0)</f>
        <v>123.688075105338</v>
      </c>
      <c r="Z268" s="48" t="n">
        <f aca="false">SUMIFS('Activation Detail'!$H$4:$H$4003,'Activation Detail'!$A$4:$A$4003,$A268,'Activation Detail'!$N$4:$N$4003,Z$2)</f>
        <v>476.311282963954</v>
      </c>
      <c r="AA268" s="50" t="n">
        <f aca="false">Z268*'Model Inputs &amp; Assumptions'!$D$42*'Model Inputs &amp; Assumptions'!$H$42</f>
        <v>2572080.92800535</v>
      </c>
      <c r="AB268" s="50" t="n">
        <f aca="false">Z268*'Model Inputs &amp; Assumptions'!$G$42*'Model Inputs &amp; Assumptions'!$H$42</f>
        <v>54013.6994881123</v>
      </c>
      <c r="AC268" s="50" t="n">
        <f aca="false">SUMIFS('Activation Detail'!$I$4:$I$4003,'Activation Detail'!$A$4:$A$4003,$A268,'Activation Detail'!$N$4:$N$4003,Z$2)</f>
        <v>39454.516</v>
      </c>
      <c r="AD268" s="51" t="n">
        <f aca="false">IFERROR(AB268/AC268,0)</f>
        <v>1.36901183854625</v>
      </c>
      <c r="AE268" s="49" t="n">
        <f aca="false">IFERROR(AC268/Z268,0)</f>
        <v>82.8334692272781</v>
      </c>
    </row>
    <row r="269" customFormat="false" ht="15" hidden="false" customHeight="false" outlineLevel="0" collapsed="false">
      <c r="A269" s="43" t="n">
        <v>266</v>
      </c>
      <c r="B269" s="45" t="n">
        <f aca="false">SUM('Activation Detail'!C269,'Activation Detail'!C769,'Activation Detail'!C1269,'Activation Detail'!C1769,'Activation Detail'!C2269,'Activation Detail'!C2769,'Activation Detail'!C3269,'Activation Detail'!C3769)</f>
        <v>4611006</v>
      </c>
      <c r="C269" s="45" t="n">
        <f aca="false">SUM('Activation Detail'!E269,'Activation Detail'!E769,'Activation Detail'!E1269,'Activation Detail'!E1769,'Activation Detail'!E2269,'Activation Detail'!E2769,'Activation Detail'!E3269,'Activation Detail'!E3769)</f>
        <v>329812</v>
      </c>
      <c r="D269" s="45" t="n">
        <f aca="false">SUM('Activation Detail'!G269,'Activation Detail'!G769,'Activation Detail'!G1269,'Activation Detail'!G1769,'Activation Detail'!G2269,'Activation Detail'!G2769,'Activation Detail'!G3269,'Activation Detail'!G3769)</f>
        <v>23071</v>
      </c>
      <c r="E269" s="48" t="n">
        <f aca="false">SUM('Activation Detail'!H269,'Activation Detail'!H769,'Activation Detail'!H1269,'Activation Detail'!H1769,'Activation Detail'!H2269,'Activation Detail'!H2769,'Activation Detail'!H3269,'Activation Detail'!H3769)</f>
        <v>842.761050460582</v>
      </c>
      <c r="F269" s="50" t="n">
        <f aca="false">SUM('Activation Detail'!I269,'Activation Detail'!I769,'Activation Detail'!I1269,'Activation Detail'!I1769,'Activation Detail'!I2269,'Activation Detail'!I2769,'Activation Detail'!I3269,'Activation Detail'!I3769)</f>
        <v>70234.895284</v>
      </c>
      <c r="G269" s="50" t="n">
        <f aca="false">SUM('Activation Detail'!J269,'Activation Detail'!J769,'Activation Detail'!J1269,'Activation Detail'!J1769,'Activation Detail'!J2269,'Activation Detail'!J2769,'Activation Detail'!J3269,'Activation Detail'!J3769)</f>
        <v>5186785.74308983</v>
      </c>
      <c r="H269" s="50" t="n">
        <f aca="false">SUM('Activation Detail'!K269,'Activation Detail'!K769,'Activation Detail'!K1269,'Activation Detail'!K1769,'Activation Detail'!K2269,'Activation Detail'!K2769,'Activation Detail'!K3269,'Activation Detail'!K3769)</f>
        <v>111560.256016284</v>
      </c>
      <c r="I269" s="51" t="n">
        <f aca="false">IFERROR(H269/F269,0)</f>
        <v>1.58838787422096</v>
      </c>
      <c r="J269" s="49" t="n">
        <f aca="false">IFERROR(F269/E269,0)</f>
        <v>83.3390380886913</v>
      </c>
      <c r="K269" s="46" t="n">
        <f aca="false">IFERROR(C269/B269,0)</f>
        <v>0.071527124449632</v>
      </c>
      <c r="L269" s="47" t="n">
        <f aca="false">IFERROR(D269/B269,0)</f>
        <v>0.005003463452444</v>
      </c>
      <c r="N269" s="48" t="n">
        <f aca="false">SUMIFS('Activation Detail'!$H$4:$H$4003,'Activation Detail'!$A$4:$A$4003,$A269,'Activation Detail'!$N$4:$N$4003,N$2)</f>
        <v>121.941056048731</v>
      </c>
      <c r="O269" s="50" t="n">
        <f aca="false">N269*'Model Inputs &amp; Assumptions'!$D$40*'Model Inputs &amp; Assumptions'!$H$40</f>
        <v>1036498.97641421</v>
      </c>
      <c r="P269" s="50" t="n">
        <f aca="false">N269*'Model Inputs &amp; Assumptions'!$G$40*'Model Inputs &amp; Assumptions'!$H$40</f>
        <v>23321.2269693198</v>
      </c>
      <c r="Q269" s="50" t="n">
        <f aca="false">SUMIFS('Activation Detail'!$I$4:$I$4003,'Activation Detail'!$A$4:$A$4003,$A269,'Activation Detail'!$N$4:$N$4003,N$2)</f>
        <v>18315.0755</v>
      </c>
      <c r="R269" s="51" t="n">
        <f aca="false">IFERROR(P269/Q269,0)</f>
        <v>1.27333501679094</v>
      </c>
      <c r="S269" s="49" t="n">
        <f aca="false">IFERROR(Q269/N269,0)</f>
        <v>150.196136506156</v>
      </c>
      <c r="T269" s="48" t="n">
        <f aca="false">SUMIFS('Activation Detail'!$H$4:$H$4003,'Activation Detail'!$A$4:$A$4003,$A269,'Activation Detail'!$N$4:$N$4003,T$2)</f>
        <v>143.254887139786</v>
      </c>
      <c r="U269" s="50" t="n">
        <f aca="false">T269*'Model Inputs &amp; Assumptions'!$D$41*'Model Inputs &amp; Assumptions'!$H$41</f>
        <v>1031435.18740646</v>
      </c>
      <c r="V269" s="50" t="n">
        <f aca="false">T269*'Model Inputs &amp; Assumptions'!$G$41*'Model Inputs &amp; Assumptions'!$H$41</f>
        <v>22743.1458823124</v>
      </c>
      <c r="W269" s="50" t="n">
        <f aca="false">SUMIFS('Activation Detail'!$I$4:$I$4003,'Activation Detail'!$A$4:$A$4003,$A269,'Activation Detail'!$N$4:$N$4003,T$2)</f>
        <v>16062.039784</v>
      </c>
      <c r="X269" s="51" t="n">
        <f aca="false">IFERROR(V269/W269,0)</f>
        <v>1.41595626633721</v>
      </c>
      <c r="Y269" s="49" t="n">
        <f aca="false">IFERROR(W269/T269,0)</f>
        <v>112.122106998883</v>
      </c>
      <c r="Z269" s="48" t="n">
        <f aca="false">SUMIFS('Activation Detail'!$H$4:$H$4003,'Activation Detail'!$A$4:$A$4003,$A269,'Activation Detail'!$N$4:$N$4003,Z$2)</f>
        <v>577.565107272065</v>
      </c>
      <c r="AA269" s="50" t="n">
        <f aca="false">Z269*'Model Inputs &amp; Assumptions'!$D$42*'Model Inputs &amp; Assumptions'!$H$42</f>
        <v>3118851.57926915</v>
      </c>
      <c r="AB269" s="50" t="n">
        <f aca="false">Z269*'Model Inputs &amp; Assumptions'!$G$42*'Model Inputs &amp; Assumptions'!$H$42</f>
        <v>65495.8831646522</v>
      </c>
      <c r="AC269" s="50" t="n">
        <f aca="false">SUMIFS('Activation Detail'!$I$4:$I$4003,'Activation Detail'!$A$4:$A$4003,$A269,'Activation Detail'!$N$4:$N$4003,Z$2)</f>
        <v>35857.78</v>
      </c>
      <c r="AD269" s="51" t="n">
        <f aca="false">IFERROR(AB269/AC269,0)</f>
        <v>1.82654595919358</v>
      </c>
      <c r="AE269" s="49" t="n">
        <f aca="false">IFERROR(AC269/Z269,0)</f>
        <v>62.0843945531304</v>
      </c>
    </row>
    <row r="270" customFormat="false" ht="15" hidden="false" customHeight="false" outlineLevel="0" collapsed="false">
      <c r="A270" s="43" t="n">
        <v>267</v>
      </c>
      <c r="B270" s="45" t="n">
        <f aca="false">SUM('Activation Detail'!C270,'Activation Detail'!C770,'Activation Detail'!C1270,'Activation Detail'!C1770,'Activation Detail'!C2270,'Activation Detail'!C2770,'Activation Detail'!C3270,'Activation Detail'!C3770)</f>
        <v>4240669</v>
      </c>
      <c r="C270" s="45" t="n">
        <f aca="false">SUM('Activation Detail'!E270,'Activation Detail'!E770,'Activation Detail'!E1270,'Activation Detail'!E1770,'Activation Detail'!E2270,'Activation Detail'!E2770,'Activation Detail'!E3270,'Activation Detail'!E3770)</f>
        <v>384806</v>
      </c>
      <c r="D270" s="45" t="n">
        <f aca="false">SUM('Activation Detail'!G270,'Activation Detail'!G770,'Activation Detail'!G1270,'Activation Detail'!G1770,'Activation Detail'!G2270,'Activation Detail'!G2770,'Activation Detail'!G3270,'Activation Detail'!G3770)</f>
        <v>16163</v>
      </c>
      <c r="E270" s="48" t="n">
        <f aca="false">SUM('Activation Detail'!H270,'Activation Detail'!H770,'Activation Detail'!H1270,'Activation Detail'!H1770,'Activation Detail'!H2270,'Activation Detail'!H2770,'Activation Detail'!H3270,'Activation Detail'!H3770)</f>
        <v>744.116408188056</v>
      </c>
      <c r="F270" s="50" t="n">
        <f aca="false">SUM('Activation Detail'!I270,'Activation Detail'!I770,'Activation Detail'!I1270,'Activation Detail'!I1770,'Activation Detail'!I2270,'Activation Detail'!I2770,'Activation Detail'!I3270,'Activation Detail'!I3770)</f>
        <v>81475.824868</v>
      </c>
      <c r="G270" s="50" t="n">
        <f aca="false">SUM('Activation Detail'!J270,'Activation Detail'!J770,'Activation Detail'!J1270,'Activation Detail'!J1770,'Activation Detail'!J2270,'Activation Detail'!J2770,'Activation Detail'!J3270,'Activation Detail'!J3770)</f>
        <v>4747019.76892707</v>
      </c>
      <c r="H270" s="50" t="n">
        <f aca="false">SUM('Activation Detail'!K270,'Activation Detail'!K770,'Activation Detail'!K1270,'Activation Detail'!K1770,'Activation Detail'!K2270,'Activation Detail'!K2770,'Activation Detail'!K3270,'Activation Detail'!K3770)</f>
        <v>102723.924387775</v>
      </c>
      <c r="I270" s="51" t="n">
        <f aca="false">IFERROR(H270/F270,0)</f>
        <v>1.26079023506911</v>
      </c>
      <c r="J270" s="49" t="n">
        <f aca="false">IFERROR(F270/E270,0)</f>
        <v>109.493385673884</v>
      </c>
      <c r="K270" s="46" t="n">
        <f aca="false">IFERROR(C270/B270,0)</f>
        <v>0.0907418145580332</v>
      </c>
      <c r="L270" s="47" t="n">
        <f aca="false">IFERROR(D270/B270,0)</f>
        <v>0.00381142692344062</v>
      </c>
      <c r="N270" s="48" t="n">
        <f aca="false">SUMIFS('Activation Detail'!$H$4:$H$4003,'Activation Detail'!$A$4:$A$4003,$A270,'Activation Detail'!$N$4:$N$4003,N$2)</f>
        <v>90.4209314139555</v>
      </c>
      <c r="O270" s="50" t="n">
        <f aca="false">N270*'Model Inputs &amp; Assumptions'!$D$40*'Model Inputs &amp; Assumptions'!$H$40</f>
        <v>768577.917018622</v>
      </c>
      <c r="P270" s="50" t="n">
        <f aca="false">N270*'Model Inputs &amp; Assumptions'!$G$40*'Model Inputs &amp; Assumptions'!$H$40</f>
        <v>17293.003132919</v>
      </c>
      <c r="Q270" s="50" t="n">
        <f aca="false">SUMIFS('Activation Detail'!$I$4:$I$4003,'Activation Detail'!$A$4:$A$4003,$A270,'Activation Detail'!$N$4:$N$4003,N$2)</f>
        <v>18989.2555</v>
      </c>
      <c r="R270" s="51" t="n">
        <f aca="false">IFERROR(P270/Q270,0)</f>
        <v>0.910673045234395</v>
      </c>
      <c r="S270" s="49" t="n">
        <f aca="false">IFERROR(Q270/N270,0)</f>
        <v>210.009510000128</v>
      </c>
      <c r="T270" s="48" t="n">
        <f aca="false">SUMIFS('Activation Detail'!$H$4:$H$4003,'Activation Detail'!$A$4:$A$4003,$A270,'Activation Detail'!$N$4:$N$4003,T$2)</f>
        <v>249.159042960169</v>
      </c>
      <c r="U270" s="50" t="n">
        <f aca="false">T270*'Model Inputs &amp; Assumptions'!$D$41*'Model Inputs &amp; Assumptions'!$H$41</f>
        <v>1793945.10931321</v>
      </c>
      <c r="V270" s="50" t="n">
        <f aca="false">T270*'Model Inputs &amp; Assumptions'!$G$41*'Model Inputs &amp; Assumptions'!$H$41</f>
        <v>39556.4896603564</v>
      </c>
      <c r="W270" s="50" t="n">
        <f aca="false">SUMIFS('Activation Detail'!$I$4:$I$4003,'Activation Detail'!$A$4:$A$4003,$A270,'Activation Detail'!$N$4:$N$4003,T$2)</f>
        <v>21331.761368</v>
      </c>
      <c r="X270" s="51" t="n">
        <f aca="false">IFERROR(V270/W270,0)</f>
        <v>1.85434709201723</v>
      </c>
      <c r="Y270" s="49" t="n">
        <f aca="false">IFERROR(W270/T270,0)</f>
        <v>85.6150397535849</v>
      </c>
      <c r="Z270" s="48" t="n">
        <f aca="false">SUMIFS('Activation Detail'!$H$4:$H$4003,'Activation Detail'!$A$4:$A$4003,$A270,'Activation Detail'!$N$4:$N$4003,Z$2)</f>
        <v>404.536433813931</v>
      </c>
      <c r="AA270" s="50" t="n">
        <f aca="false">Z270*'Model Inputs &amp; Assumptions'!$D$42*'Model Inputs &amp; Assumptions'!$H$42</f>
        <v>2184496.74259523</v>
      </c>
      <c r="AB270" s="50" t="n">
        <f aca="false">Z270*'Model Inputs &amp; Assumptions'!$G$42*'Model Inputs &amp; Assumptions'!$H$42</f>
        <v>45874.4315944998</v>
      </c>
      <c r="AC270" s="50" t="n">
        <f aca="false">SUMIFS('Activation Detail'!$I$4:$I$4003,'Activation Detail'!$A$4:$A$4003,$A270,'Activation Detail'!$N$4:$N$4003,Z$2)</f>
        <v>41154.808</v>
      </c>
      <c r="AD270" s="51" t="n">
        <f aca="false">IFERROR(AB270/AC270,0)</f>
        <v>1.11467976219206</v>
      </c>
      <c r="AE270" s="49" t="n">
        <f aca="false">IFERROR(AC270/Z270,0)</f>
        <v>101.733254560031</v>
      </c>
    </row>
    <row r="271" customFormat="false" ht="15" hidden="false" customHeight="false" outlineLevel="0" collapsed="false">
      <c r="A271" s="43" t="n">
        <v>268</v>
      </c>
      <c r="B271" s="45" t="n">
        <f aca="false">SUM('Activation Detail'!C271,'Activation Detail'!C771,'Activation Detail'!C1271,'Activation Detail'!C1771,'Activation Detail'!C2271,'Activation Detail'!C2771,'Activation Detail'!C3271,'Activation Detail'!C3771)</f>
        <v>4573107</v>
      </c>
      <c r="C271" s="45" t="n">
        <f aca="false">SUM('Activation Detail'!E271,'Activation Detail'!E771,'Activation Detail'!E1271,'Activation Detail'!E1771,'Activation Detail'!E2271,'Activation Detail'!E2771,'Activation Detail'!E3271,'Activation Detail'!E3771)</f>
        <v>436807</v>
      </c>
      <c r="D271" s="45" t="n">
        <f aca="false">SUM('Activation Detail'!G271,'Activation Detail'!G771,'Activation Detail'!G1271,'Activation Detail'!G1771,'Activation Detail'!G2271,'Activation Detail'!G2771,'Activation Detail'!G3271,'Activation Detail'!G3771)</f>
        <v>15072</v>
      </c>
      <c r="E271" s="48" t="n">
        <f aca="false">SUM('Activation Detail'!H271,'Activation Detail'!H771,'Activation Detail'!H1271,'Activation Detail'!H1771,'Activation Detail'!H2271,'Activation Detail'!H2771,'Activation Detail'!H3271,'Activation Detail'!H3771)</f>
        <v>697.811453447369</v>
      </c>
      <c r="F271" s="50" t="n">
        <f aca="false">SUM('Activation Detail'!I271,'Activation Detail'!I771,'Activation Detail'!I1271,'Activation Detail'!I1771,'Activation Detail'!I2271,'Activation Detail'!I2771,'Activation Detail'!I3271,'Activation Detail'!I3771)</f>
        <v>78098.534048</v>
      </c>
      <c r="G271" s="50" t="n">
        <f aca="false">SUM('Activation Detail'!J271,'Activation Detail'!J771,'Activation Detail'!J1271,'Activation Detail'!J1771,'Activation Detail'!J2271,'Activation Detail'!J2771,'Activation Detail'!J3271,'Activation Detail'!J3771)</f>
        <v>4340742.38427188</v>
      </c>
      <c r="H271" s="50" t="n">
        <f aca="false">SUM('Activation Detail'!K271,'Activation Detail'!K771,'Activation Detail'!K1271,'Activation Detail'!K1771,'Activation Detail'!K2271,'Activation Detail'!K2771,'Activation Detail'!K3271,'Activation Detail'!K3771)</f>
        <v>93536.3454448223</v>
      </c>
      <c r="I271" s="51" t="n">
        <f aca="false">IFERROR(H271/F271,0)</f>
        <v>1.19767094971762</v>
      </c>
      <c r="J271" s="49" t="n">
        <f aca="false">IFERROR(F271/E271,0)</f>
        <v>111.919249336154</v>
      </c>
      <c r="K271" s="46" t="n">
        <f aca="false">IFERROR(C271/B271,0)</f>
        <v>0.0955164617840781</v>
      </c>
      <c r="L271" s="47" t="n">
        <f aca="false">IFERROR(D271/B271,0)</f>
        <v>0.00329578993012847</v>
      </c>
      <c r="N271" s="48" t="n">
        <f aca="false">SUMIFS('Activation Detail'!$H$4:$H$4003,'Activation Detail'!$A$4:$A$4003,$A271,'Activation Detail'!$N$4:$N$4003,N$2)</f>
        <v>88.884720899023</v>
      </c>
      <c r="O271" s="50" t="n">
        <f aca="false">N271*'Model Inputs &amp; Assumptions'!$D$40*'Model Inputs &amp; Assumptions'!$H$40</f>
        <v>755520.127641695</v>
      </c>
      <c r="P271" s="50" t="n">
        <f aca="false">N271*'Model Inputs &amp; Assumptions'!$G$40*'Model Inputs &amp; Assumptions'!$H$40</f>
        <v>16999.2028719381</v>
      </c>
      <c r="Q271" s="50" t="n">
        <f aca="false">SUMIFS('Activation Detail'!$I$4:$I$4003,'Activation Detail'!$A$4:$A$4003,$A271,'Activation Detail'!$N$4:$N$4003,N$2)</f>
        <v>17949.2295</v>
      </c>
      <c r="R271" s="51" t="n">
        <f aca="false">IFERROR(P271/Q271,0)</f>
        <v>0.947071453509363</v>
      </c>
      <c r="S271" s="49" t="n">
        <f aca="false">IFERROR(Q271/N271,0)</f>
        <v>201.938300738899</v>
      </c>
      <c r="T271" s="48" t="n">
        <f aca="false">SUMIFS('Activation Detail'!$H$4:$H$4003,'Activation Detail'!$A$4:$A$4003,$A271,'Activation Detail'!$N$4:$N$4003,T$2)</f>
        <v>165.009944927285</v>
      </c>
      <c r="U271" s="50" t="n">
        <f aca="false">T271*'Model Inputs &amp; Assumptions'!$D$41*'Model Inputs &amp; Assumptions'!$H$41</f>
        <v>1188071.60347646</v>
      </c>
      <c r="V271" s="50" t="n">
        <f aca="false">T271*'Model Inputs &amp; Assumptions'!$G$41*'Model Inputs &amp; Assumptions'!$H$41</f>
        <v>26196.9788566558</v>
      </c>
      <c r="W271" s="50" t="n">
        <f aca="false">SUMIFS('Activation Detail'!$I$4:$I$4003,'Activation Detail'!$A$4:$A$4003,$A271,'Activation Detail'!$N$4:$N$4003,T$2)</f>
        <v>17199.884548</v>
      </c>
      <c r="X271" s="51" t="n">
        <f aca="false">IFERROR(V271/W271,0)</f>
        <v>1.52309038956323</v>
      </c>
      <c r="Y271" s="49" t="n">
        <f aca="false">IFERROR(W271/T271,0)</f>
        <v>104.2354420249</v>
      </c>
      <c r="Z271" s="48" t="n">
        <f aca="false">SUMIFS('Activation Detail'!$H$4:$H$4003,'Activation Detail'!$A$4:$A$4003,$A271,'Activation Detail'!$N$4:$N$4003,Z$2)</f>
        <v>443.916787621061</v>
      </c>
      <c r="AA271" s="50" t="n">
        <f aca="false">Z271*'Model Inputs &amp; Assumptions'!$D$42*'Model Inputs &amp; Assumptions'!$H$42</f>
        <v>2397150.65315373</v>
      </c>
      <c r="AB271" s="50" t="n">
        <f aca="false">Z271*'Model Inputs &amp; Assumptions'!$G$42*'Model Inputs &amp; Assumptions'!$H$42</f>
        <v>50340.1637162283</v>
      </c>
      <c r="AC271" s="50" t="n">
        <f aca="false">SUMIFS('Activation Detail'!$I$4:$I$4003,'Activation Detail'!$A$4:$A$4003,$A271,'Activation Detail'!$N$4:$N$4003,Z$2)</f>
        <v>42949.42</v>
      </c>
      <c r="AD271" s="51" t="n">
        <f aca="false">IFERROR(AB271/AC271,0)</f>
        <v>1.17208017515087</v>
      </c>
      <c r="AE271" s="49" t="n">
        <f aca="false">IFERROR(AC271/Z271,0)</f>
        <v>96.7510605538594</v>
      </c>
    </row>
    <row r="272" customFormat="false" ht="15" hidden="false" customHeight="false" outlineLevel="0" collapsed="false">
      <c r="A272" s="43" t="n">
        <v>269</v>
      </c>
      <c r="B272" s="45" t="n">
        <f aca="false">SUM('Activation Detail'!C272,'Activation Detail'!C772,'Activation Detail'!C1272,'Activation Detail'!C1772,'Activation Detail'!C2272,'Activation Detail'!C2772,'Activation Detail'!C3272,'Activation Detail'!C3772)</f>
        <v>3966114</v>
      </c>
      <c r="C272" s="45" t="n">
        <f aca="false">SUM('Activation Detail'!E272,'Activation Detail'!E772,'Activation Detail'!E1272,'Activation Detail'!E1772,'Activation Detail'!E2272,'Activation Detail'!E2772,'Activation Detail'!E3272,'Activation Detail'!E3772)</f>
        <v>329263</v>
      </c>
      <c r="D272" s="45" t="n">
        <f aca="false">SUM('Activation Detail'!G272,'Activation Detail'!G772,'Activation Detail'!G1272,'Activation Detail'!G1772,'Activation Detail'!G2272,'Activation Detail'!G2772,'Activation Detail'!G3272,'Activation Detail'!G3772)</f>
        <v>13087</v>
      </c>
      <c r="E272" s="48" t="n">
        <f aca="false">SUM('Activation Detail'!H272,'Activation Detail'!H772,'Activation Detail'!H1272,'Activation Detail'!H1772,'Activation Detail'!H2272,'Activation Detail'!H2772,'Activation Detail'!H3272,'Activation Detail'!H3772)</f>
        <v>560.214555940715</v>
      </c>
      <c r="F272" s="50" t="n">
        <f aca="false">SUM('Activation Detail'!I272,'Activation Detail'!I772,'Activation Detail'!I1272,'Activation Detail'!I1772,'Activation Detail'!I2272,'Activation Detail'!I2772,'Activation Detail'!I3272,'Activation Detail'!I3772)</f>
        <v>73387.160206</v>
      </c>
      <c r="G272" s="50" t="n">
        <f aca="false">SUM('Activation Detail'!J272,'Activation Detail'!J772,'Activation Detail'!J1272,'Activation Detail'!J1772,'Activation Detail'!J2272,'Activation Detail'!J2772,'Activation Detail'!J3272,'Activation Detail'!J3772)</f>
        <v>3541738.19532997</v>
      </c>
      <c r="H272" s="50" t="n">
        <f aca="false">SUM('Activation Detail'!K272,'Activation Detail'!K772,'Activation Detail'!K1272,'Activation Detail'!K1772,'Activation Detail'!K2272,'Activation Detail'!K2772,'Activation Detail'!K3272,'Activation Detail'!K3772)</f>
        <v>76526.9292758421</v>
      </c>
      <c r="I272" s="51" t="n">
        <f aca="false">IFERROR(H272/F272,0)</f>
        <v>1.04278362946636</v>
      </c>
      <c r="J272" s="49" t="n">
        <f aca="false">IFERROR(F272/E272,0)</f>
        <v>130.998310250557</v>
      </c>
      <c r="K272" s="46" t="n">
        <f aca="false">IFERROR(C272/B272,0)</f>
        <v>0.083019045846892</v>
      </c>
      <c r="L272" s="47" t="n">
        <f aca="false">IFERROR(D272/B272,0)</f>
        <v>0.00329970343767224</v>
      </c>
      <c r="N272" s="48" t="n">
        <f aca="false">SUMIFS('Activation Detail'!$H$4:$H$4003,'Activation Detail'!$A$4:$A$4003,$A272,'Activation Detail'!$N$4:$N$4003,N$2)</f>
        <v>71.1374731022439</v>
      </c>
      <c r="O272" s="50" t="n">
        <f aca="false">N272*'Model Inputs &amp; Assumptions'!$D$40*'Model Inputs &amp; Assumptions'!$H$40</f>
        <v>604668.521369073</v>
      </c>
      <c r="P272" s="50" t="n">
        <f aca="false">N272*'Model Inputs &amp; Assumptions'!$G$40*'Model Inputs &amp; Assumptions'!$H$40</f>
        <v>13605.0417308041</v>
      </c>
      <c r="Q272" s="50" t="n">
        <f aca="false">SUMIFS('Activation Detail'!$I$4:$I$4003,'Activation Detail'!$A$4:$A$4003,$A272,'Activation Detail'!$N$4:$N$4003,N$2)</f>
        <v>17504.9285</v>
      </c>
      <c r="R272" s="51" t="n">
        <f aca="false">IFERROR(P272/Q272,0)</f>
        <v>0.777212070920721</v>
      </c>
      <c r="S272" s="49" t="n">
        <f aca="false">IFERROR(Q272/N272,0)</f>
        <v>246.071834388054</v>
      </c>
      <c r="T272" s="48" t="n">
        <f aca="false">SUMIFS('Activation Detail'!$H$4:$H$4003,'Activation Detail'!$A$4:$A$4003,$A272,'Activation Detail'!$N$4:$N$4003,T$2)</f>
        <v>164.474125907305</v>
      </c>
      <c r="U272" s="50" t="n">
        <f aca="false">T272*'Model Inputs &amp; Assumptions'!$D$41*'Model Inputs &amp; Assumptions'!$H$41</f>
        <v>1184213.7065326</v>
      </c>
      <c r="V272" s="50" t="n">
        <f aca="false">T272*'Model Inputs &amp; Assumptions'!$G$41*'Model Inputs &amp; Assumptions'!$H$41</f>
        <v>26111.9122290438</v>
      </c>
      <c r="W272" s="50" t="n">
        <f aca="false">SUMIFS('Activation Detail'!$I$4:$I$4003,'Activation Detail'!$A$4:$A$4003,$A272,'Activation Detail'!$N$4:$N$4003,T$2)</f>
        <v>15082.143706</v>
      </c>
      <c r="X272" s="51" t="n">
        <f aca="false">IFERROR(V272/W272,0)</f>
        <v>1.73131305058815</v>
      </c>
      <c r="Y272" s="49" t="n">
        <f aca="false">IFERROR(W272/T272,0)</f>
        <v>91.6991874728068</v>
      </c>
      <c r="Z272" s="48" t="n">
        <f aca="false">SUMIFS('Activation Detail'!$H$4:$H$4003,'Activation Detail'!$A$4:$A$4003,$A272,'Activation Detail'!$N$4:$N$4003,Z$2)</f>
        <v>324.602956931166</v>
      </c>
      <c r="AA272" s="50" t="n">
        <f aca="false">Z272*'Model Inputs &amp; Assumptions'!$D$42*'Model Inputs &amp; Assumptions'!$H$42</f>
        <v>1752855.9674283</v>
      </c>
      <c r="AB272" s="50" t="n">
        <f aca="false">Z272*'Model Inputs &amp; Assumptions'!$G$42*'Model Inputs &amp; Assumptions'!$H$42</f>
        <v>36809.9753159942</v>
      </c>
      <c r="AC272" s="50" t="n">
        <f aca="false">SUMIFS('Activation Detail'!$I$4:$I$4003,'Activation Detail'!$A$4:$A$4003,$A272,'Activation Detail'!$N$4:$N$4003,Z$2)</f>
        <v>40800.088</v>
      </c>
      <c r="AD272" s="51" t="n">
        <f aca="false">IFERROR(AB272/AC272,0)</f>
        <v>0.902203331424045</v>
      </c>
      <c r="AE272" s="49" t="n">
        <f aca="false">IFERROR(AC272/Z272,0)</f>
        <v>125.69228692717</v>
      </c>
    </row>
    <row r="273" customFormat="false" ht="15" hidden="false" customHeight="false" outlineLevel="0" collapsed="false">
      <c r="A273" s="43" t="n">
        <v>270</v>
      </c>
      <c r="B273" s="45" t="n">
        <f aca="false">SUM('Activation Detail'!C273,'Activation Detail'!C773,'Activation Detail'!C1273,'Activation Detail'!C1773,'Activation Detail'!C2273,'Activation Detail'!C2773,'Activation Detail'!C3273,'Activation Detail'!C3773)</f>
        <v>4652408</v>
      </c>
      <c r="C273" s="45" t="n">
        <f aca="false">SUM('Activation Detail'!E273,'Activation Detail'!E773,'Activation Detail'!E1273,'Activation Detail'!E1773,'Activation Detail'!E2273,'Activation Detail'!E2773,'Activation Detail'!E3273,'Activation Detail'!E3773)</f>
        <v>442550</v>
      </c>
      <c r="D273" s="45" t="n">
        <f aca="false">SUM('Activation Detail'!G273,'Activation Detail'!G773,'Activation Detail'!G1273,'Activation Detail'!G1773,'Activation Detail'!G2273,'Activation Detail'!G2773,'Activation Detail'!G3273,'Activation Detail'!G3773)</f>
        <v>20502</v>
      </c>
      <c r="E273" s="48" t="n">
        <f aca="false">SUM('Activation Detail'!H273,'Activation Detail'!H773,'Activation Detail'!H1273,'Activation Detail'!H1773,'Activation Detail'!H2273,'Activation Detail'!H2773,'Activation Detail'!H3273,'Activation Detail'!H3773)</f>
        <v>744.81416401996</v>
      </c>
      <c r="F273" s="50" t="n">
        <f aca="false">SUM('Activation Detail'!I273,'Activation Detail'!I773,'Activation Detail'!I1273,'Activation Detail'!I1773,'Activation Detail'!I2273,'Activation Detail'!I2773,'Activation Detail'!I3273,'Activation Detail'!I3773)</f>
        <v>79594.182282</v>
      </c>
      <c r="G273" s="50" t="n">
        <f aca="false">SUM('Activation Detail'!J273,'Activation Detail'!J773,'Activation Detail'!J1273,'Activation Detail'!J1773,'Activation Detail'!J2273,'Activation Detail'!J2773,'Activation Detail'!J3273,'Activation Detail'!J3773)</f>
        <v>4838473.38892089</v>
      </c>
      <c r="H273" s="50" t="n">
        <f aca="false">SUM('Activation Detail'!K273,'Activation Detail'!K773,'Activation Detail'!K1273,'Activation Detail'!K1773,'Activation Detail'!K2273,'Activation Detail'!K2773,'Activation Detail'!K3273,'Activation Detail'!K3773)</f>
        <v>105006.661831019</v>
      </c>
      <c r="I273" s="51" t="n">
        <f aca="false">IFERROR(H273/F273,0)</f>
        <v>1.31927559050715</v>
      </c>
      <c r="J273" s="49" t="n">
        <f aca="false">IFERROR(F273/E273,0)</f>
        <v>106.864485299808</v>
      </c>
      <c r="K273" s="46" t="n">
        <f aca="false">IFERROR(C273/B273,0)</f>
        <v>0.0951227837283403</v>
      </c>
      <c r="L273" s="47" t="n">
        <f aca="false">IFERROR(D273/B273,0)</f>
        <v>0.00440675022482981</v>
      </c>
      <c r="N273" s="48" t="n">
        <f aca="false">SUMIFS('Activation Detail'!$H$4:$H$4003,'Activation Detail'!$A$4:$A$4003,$A273,'Activation Detail'!$N$4:$N$4003,N$2)</f>
        <v>112.897517831461</v>
      </c>
      <c r="O273" s="50" t="n">
        <f aca="false">N273*'Model Inputs &amp; Assumptions'!$D$40*'Model Inputs &amp; Assumptions'!$H$40</f>
        <v>959628.901567421</v>
      </c>
      <c r="P273" s="50" t="n">
        <f aca="false">N273*'Model Inputs &amp; Assumptions'!$G$40*'Model Inputs &amp; Assumptions'!$H$40</f>
        <v>21591.650285267</v>
      </c>
      <c r="Q273" s="50" t="n">
        <f aca="false">SUMIFS('Activation Detail'!$I$4:$I$4003,'Activation Detail'!$A$4:$A$4003,$A273,'Activation Detail'!$N$4:$N$4003,N$2)</f>
        <v>18901.174</v>
      </c>
      <c r="R273" s="51" t="n">
        <f aca="false">IFERROR(P273/Q273,0)</f>
        <v>1.14234440068469</v>
      </c>
      <c r="S273" s="49" t="n">
        <f aca="false">IFERROR(Q273/N273,0)</f>
        <v>167.418862372303</v>
      </c>
      <c r="T273" s="48" t="n">
        <f aca="false">SUMIFS('Activation Detail'!$H$4:$H$4003,'Activation Detail'!$A$4:$A$4003,$A273,'Activation Detail'!$N$4:$N$4003,T$2)</f>
        <v>259.163665519765</v>
      </c>
      <c r="U273" s="50" t="n">
        <f aca="false">T273*'Model Inputs &amp; Assumptions'!$D$41*'Model Inputs &amp; Assumptions'!$H$41</f>
        <v>1865978.39174231</v>
      </c>
      <c r="V273" s="50" t="n">
        <f aca="false">T273*'Model Inputs &amp; Assumptions'!$G$41*'Model Inputs &amp; Assumptions'!$H$41</f>
        <v>41144.8235379179</v>
      </c>
      <c r="W273" s="50" t="n">
        <f aca="false">SUMIFS('Activation Detail'!$I$4:$I$4003,'Activation Detail'!$A$4:$A$4003,$A273,'Activation Detail'!$N$4:$N$4003,T$2)</f>
        <v>19055.236282</v>
      </c>
      <c r="X273" s="51" t="n">
        <f aca="false">IFERROR(V273/W273,0)</f>
        <v>2.15923974539136</v>
      </c>
      <c r="Y273" s="49" t="n">
        <f aca="false">IFERROR(W273/T273,0)</f>
        <v>73.5258788834608</v>
      </c>
      <c r="Z273" s="48" t="n">
        <f aca="false">SUMIFS('Activation Detail'!$H$4:$H$4003,'Activation Detail'!$A$4:$A$4003,$A273,'Activation Detail'!$N$4:$N$4003,Z$2)</f>
        <v>372.752980668734</v>
      </c>
      <c r="AA273" s="50" t="n">
        <f aca="false">Z273*'Model Inputs &amp; Assumptions'!$D$42*'Model Inputs &amp; Assumptions'!$H$42</f>
        <v>2012866.09561116</v>
      </c>
      <c r="AB273" s="50" t="n">
        <f aca="false">Z273*'Model Inputs &amp; Assumptions'!$G$42*'Model Inputs &amp; Assumptions'!$H$42</f>
        <v>42270.1880078344</v>
      </c>
      <c r="AC273" s="50" t="n">
        <f aca="false">SUMIFS('Activation Detail'!$I$4:$I$4003,'Activation Detail'!$A$4:$A$4003,$A273,'Activation Detail'!$N$4:$N$4003,Z$2)</f>
        <v>41637.772</v>
      </c>
      <c r="AD273" s="51" t="n">
        <f aca="false">IFERROR(AB273/AC273,0)</f>
        <v>1.01518851699929</v>
      </c>
      <c r="AE273" s="49" t="n">
        <f aca="false">IFERROR(AC273/Z273,0)</f>
        <v>111.70339114472</v>
      </c>
    </row>
    <row r="274" customFormat="false" ht="15" hidden="false" customHeight="false" outlineLevel="0" collapsed="false">
      <c r="A274" s="43" t="n">
        <v>271</v>
      </c>
      <c r="B274" s="45" t="n">
        <f aca="false">SUM('Activation Detail'!C274,'Activation Detail'!C774,'Activation Detail'!C1274,'Activation Detail'!C1774,'Activation Detail'!C2274,'Activation Detail'!C2774,'Activation Detail'!C3274,'Activation Detail'!C3774)</f>
        <v>3978453</v>
      </c>
      <c r="C274" s="45" t="n">
        <f aca="false">SUM('Activation Detail'!E274,'Activation Detail'!E774,'Activation Detail'!E1274,'Activation Detail'!E1774,'Activation Detail'!E2274,'Activation Detail'!E2774,'Activation Detail'!E3274,'Activation Detail'!E3774)</f>
        <v>380659</v>
      </c>
      <c r="D274" s="45" t="n">
        <f aca="false">SUM('Activation Detail'!G274,'Activation Detail'!G774,'Activation Detail'!G1274,'Activation Detail'!G1774,'Activation Detail'!G2274,'Activation Detail'!G2774,'Activation Detail'!G3274,'Activation Detail'!G3774)</f>
        <v>13947</v>
      </c>
      <c r="E274" s="48" t="n">
        <f aca="false">SUM('Activation Detail'!H274,'Activation Detail'!H774,'Activation Detail'!H1274,'Activation Detail'!H1774,'Activation Detail'!H2274,'Activation Detail'!H2774,'Activation Detail'!H3274,'Activation Detail'!H3774)</f>
        <v>546.751047190396</v>
      </c>
      <c r="F274" s="50" t="n">
        <f aca="false">SUM('Activation Detail'!I274,'Activation Detail'!I774,'Activation Detail'!I1274,'Activation Detail'!I1774,'Activation Detail'!I2274,'Activation Detail'!I2774,'Activation Detail'!I3274,'Activation Detail'!I3774)</f>
        <v>71871.000294</v>
      </c>
      <c r="G274" s="50" t="n">
        <f aca="false">SUM('Activation Detail'!J274,'Activation Detail'!J774,'Activation Detail'!J1274,'Activation Detail'!J1774,'Activation Detail'!J2274,'Activation Detail'!J2774,'Activation Detail'!J3274,'Activation Detail'!J3774)</f>
        <v>3571236.40653597</v>
      </c>
      <c r="H274" s="50" t="n">
        <f aca="false">SUM('Activation Detail'!K274,'Activation Detail'!K774,'Activation Detail'!K1274,'Activation Detail'!K1774,'Activation Detail'!K2274,'Activation Detail'!K2774,'Activation Detail'!K3274,'Activation Detail'!K3774)</f>
        <v>77567.8122484124</v>
      </c>
      <c r="I274" s="51" t="n">
        <f aca="false">IFERROR(H274/F274,0)</f>
        <v>1.07926440332135</v>
      </c>
      <c r="J274" s="49" t="n">
        <f aca="false">IFERROR(F274/E274,0)</f>
        <v>131.451051924501</v>
      </c>
      <c r="K274" s="46" t="n">
        <f aca="false">IFERROR(C274/B274,0)</f>
        <v>0.0956801550753522</v>
      </c>
      <c r="L274" s="47" t="n">
        <f aca="false">IFERROR(D274/B274,0)</f>
        <v>0.00350563397380841</v>
      </c>
      <c r="N274" s="48" t="n">
        <f aca="false">SUMIFS('Activation Detail'!$H$4:$H$4003,'Activation Detail'!$A$4:$A$4003,$A274,'Activation Detail'!$N$4:$N$4003,N$2)</f>
        <v>100.11646672501</v>
      </c>
      <c r="O274" s="50" t="n">
        <f aca="false">N274*'Model Inputs &amp; Assumptions'!$D$40*'Model Inputs &amp; Assumptions'!$H$40</f>
        <v>850989.967162587</v>
      </c>
      <c r="P274" s="50" t="n">
        <f aca="false">N274*'Model Inputs &amp; Assumptions'!$G$40*'Model Inputs &amp; Assumptions'!$H$40</f>
        <v>19147.2742611582</v>
      </c>
      <c r="Q274" s="50" t="n">
        <f aca="false">SUMIFS('Activation Detail'!$I$4:$I$4003,'Activation Detail'!$A$4:$A$4003,$A274,'Activation Detail'!$N$4:$N$4003,N$2)</f>
        <v>17795.7385</v>
      </c>
      <c r="R274" s="51" t="n">
        <f aca="false">IFERROR(P274/Q274,0)</f>
        <v>1.07594715786356</v>
      </c>
      <c r="S274" s="49" t="n">
        <f aca="false">IFERROR(Q274/N274,0)</f>
        <v>177.750364971224</v>
      </c>
      <c r="T274" s="48" t="n">
        <f aca="false">SUMIFS('Activation Detail'!$H$4:$H$4003,'Activation Detail'!$A$4:$A$4003,$A274,'Activation Detail'!$N$4:$N$4003,T$2)</f>
        <v>171.344280477943</v>
      </c>
      <c r="U274" s="50" t="n">
        <f aca="false">T274*'Model Inputs &amp; Assumptions'!$D$41*'Model Inputs &amp; Assumptions'!$H$41</f>
        <v>1233678.81944119</v>
      </c>
      <c r="V274" s="50" t="n">
        <f aca="false">T274*'Model Inputs &amp; Assumptions'!$G$41*'Model Inputs &amp; Assumptions'!$H$41</f>
        <v>27202.6179686782</v>
      </c>
      <c r="W274" s="50" t="n">
        <f aca="false">SUMIFS('Activation Detail'!$I$4:$I$4003,'Activation Detail'!$A$4:$A$4003,$A274,'Activation Detail'!$N$4:$N$4003,T$2)</f>
        <v>17988.821794</v>
      </c>
      <c r="X274" s="51" t="n">
        <f aca="false">IFERROR(V274/W274,0)</f>
        <v>1.512195644617</v>
      </c>
      <c r="Y274" s="49" t="n">
        <f aca="false">IFERROR(W274/T274,0)</f>
        <v>104.986415326047</v>
      </c>
      <c r="Z274" s="48" t="n">
        <f aca="false">SUMIFS('Activation Detail'!$H$4:$H$4003,'Activation Detail'!$A$4:$A$4003,$A274,'Activation Detail'!$N$4:$N$4003,Z$2)</f>
        <v>275.290299987443</v>
      </c>
      <c r="AA274" s="50" t="n">
        <f aca="false">Z274*'Model Inputs &amp; Assumptions'!$D$42*'Model Inputs &amp; Assumptions'!$H$42</f>
        <v>1486567.61993219</v>
      </c>
      <c r="AB274" s="50" t="n">
        <f aca="false">Z274*'Model Inputs &amp; Assumptions'!$G$42*'Model Inputs &amp; Assumptions'!$H$42</f>
        <v>31217.920018576</v>
      </c>
      <c r="AC274" s="50" t="n">
        <f aca="false">SUMIFS('Activation Detail'!$I$4:$I$4003,'Activation Detail'!$A$4:$A$4003,$A274,'Activation Detail'!$N$4:$N$4003,Z$2)</f>
        <v>36086.44</v>
      </c>
      <c r="AD274" s="51" t="n">
        <f aca="false">IFERROR(AB274/AC274,0)</f>
        <v>0.865087274294057</v>
      </c>
      <c r="AE274" s="49" t="n">
        <f aca="false">IFERROR(AC274/Z274,0)</f>
        <v>131.085040052795</v>
      </c>
    </row>
    <row r="275" customFormat="false" ht="15" hidden="false" customHeight="false" outlineLevel="0" collapsed="false">
      <c r="A275" s="43" t="n">
        <v>272</v>
      </c>
      <c r="B275" s="45" t="n">
        <f aca="false">SUM('Activation Detail'!C275,'Activation Detail'!C775,'Activation Detail'!C1275,'Activation Detail'!C1775,'Activation Detail'!C2275,'Activation Detail'!C2775,'Activation Detail'!C3275,'Activation Detail'!C3775)</f>
        <v>4123146</v>
      </c>
      <c r="C275" s="45" t="n">
        <f aca="false">SUM('Activation Detail'!E275,'Activation Detail'!E775,'Activation Detail'!E1275,'Activation Detail'!E1775,'Activation Detail'!E2275,'Activation Detail'!E2775,'Activation Detail'!E3275,'Activation Detail'!E3775)</f>
        <v>281544</v>
      </c>
      <c r="D275" s="45" t="n">
        <f aca="false">SUM('Activation Detail'!G275,'Activation Detail'!G775,'Activation Detail'!G1275,'Activation Detail'!G1775,'Activation Detail'!G2275,'Activation Detail'!G2775,'Activation Detail'!G3275,'Activation Detail'!G3775)</f>
        <v>16583</v>
      </c>
      <c r="E275" s="48" t="n">
        <f aca="false">SUM('Activation Detail'!H275,'Activation Detail'!H775,'Activation Detail'!H1275,'Activation Detail'!H1775,'Activation Detail'!H2275,'Activation Detail'!H2775,'Activation Detail'!H3275,'Activation Detail'!H3775)</f>
        <v>729.726706725653</v>
      </c>
      <c r="F275" s="50" t="n">
        <f aca="false">SUM('Activation Detail'!I275,'Activation Detail'!I775,'Activation Detail'!I1275,'Activation Detail'!I1775,'Activation Detail'!I2275,'Activation Detail'!I2775,'Activation Detail'!I3275,'Activation Detail'!I3775)</f>
        <v>74603.01862</v>
      </c>
      <c r="G275" s="50" t="n">
        <f aca="false">SUM('Activation Detail'!J275,'Activation Detail'!J775,'Activation Detail'!J1275,'Activation Detail'!J1775,'Activation Detail'!J2275,'Activation Detail'!J2775,'Activation Detail'!J3275,'Activation Detail'!J3775)</f>
        <v>4395811.50710363</v>
      </c>
      <c r="H275" s="50" t="n">
        <f aca="false">SUM('Activation Detail'!K275,'Activation Detail'!K775,'Activation Detail'!K1275,'Activation Detail'!K1775,'Activation Detail'!K2275,'Activation Detail'!K2775,'Activation Detail'!K3275,'Activation Detail'!K3775)</f>
        <v>94200.5934039561</v>
      </c>
      <c r="I275" s="51" t="n">
        <f aca="false">IFERROR(H275/F275,0)</f>
        <v>1.2626914452856</v>
      </c>
      <c r="J275" s="49" t="n">
        <f aca="false">IFERROR(F275/E275,0)</f>
        <v>102.234189775992</v>
      </c>
      <c r="K275" s="46" t="n">
        <f aca="false">IFERROR(C275/B275,0)</f>
        <v>0.0682837813650062</v>
      </c>
      <c r="L275" s="47" t="n">
        <f aca="false">IFERROR(D275/B275,0)</f>
        <v>0.00402192888634067</v>
      </c>
      <c r="N275" s="48" t="n">
        <f aca="false">SUMIFS('Activation Detail'!$H$4:$H$4003,'Activation Detail'!$A$4:$A$4003,$A275,'Activation Detail'!$N$4:$N$4003,N$2)</f>
        <v>87.610616731552</v>
      </c>
      <c r="O275" s="50" t="n">
        <f aca="false">N275*'Model Inputs &amp; Assumptions'!$D$40*'Model Inputs &amp; Assumptions'!$H$40</f>
        <v>744690.242218192</v>
      </c>
      <c r="P275" s="50" t="n">
        <f aca="false">N275*'Model Inputs &amp; Assumptions'!$G$40*'Model Inputs &amp; Assumptions'!$H$40</f>
        <v>16755.5304499093</v>
      </c>
      <c r="Q275" s="50" t="n">
        <f aca="false">SUMIFS('Activation Detail'!$I$4:$I$4003,'Activation Detail'!$A$4:$A$4003,$A275,'Activation Detail'!$N$4:$N$4003,N$2)</f>
        <v>17979.7015</v>
      </c>
      <c r="R275" s="51" t="n">
        <f aca="false">IFERROR(P275/Q275,0)</f>
        <v>0.931913716693758</v>
      </c>
      <c r="S275" s="49" t="n">
        <f aca="false">IFERROR(Q275/N275,0)</f>
        <v>205.222861917428</v>
      </c>
      <c r="T275" s="48" t="n">
        <f aca="false">SUMIFS('Activation Detail'!$H$4:$H$4003,'Activation Detail'!$A$4:$A$4003,$A275,'Activation Detail'!$N$4:$N$4003,T$2)</f>
        <v>102.052432731828</v>
      </c>
      <c r="U275" s="50" t="n">
        <f aca="false">T275*'Model Inputs &amp; Assumptions'!$D$41*'Model Inputs &amp; Assumptions'!$H$41</f>
        <v>734777.515669162</v>
      </c>
      <c r="V275" s="50" t="n">
        <f aca="false">T275*'Model Inputs &amp; Assumptions'!$G$41*'Model Inputs &amp; Assumptions'!$H$41</f>
        <v>16201.844220505</v>
      </c>
      <c r="W275" s="50" t="n">
        <f aca="false">SUMIFS('Activation Detail'!$I$4:$I$4003,'Activation Detail'!$A$4:$A$4003,$A275,'Activation Detail'!$N$4:$N$4003,T$2)</f>
        <v>14797.97312</v>
      </c>
      <c r="X275" s="51" t="n">
        <f aca="false">IFERROR(V275/W275,0)</f>
        <v>1.09486914789753</v>
      </c>
      <c r="Y275" s="49" t="n">
        <f aca="false">IFERROR(W275/T275,0)</f>
        <v>145.003629250916</v>
      </c>
      <c r="Z275" s="48" t="n">
        <f aca="false">SUMIFS('Activation Detail'!$H$4:$H$4003,'Activation Detail'!$A$4:$A$4003,$A275,'Activation Detail'!$N$4:$N$4003,Z$2)</f>
        <v>540.063657262273</v>
      </c>
      <c r="AA275" s="50" t="n">
        <f aca="false">Z275*'Model Inputs &amp; Assumptions'!$D$42*'Model Inputs &amp; Assumptions'!$H$42</f>
        <v>2916343.74921627</v>
      </c>
      <c r="AB275" s="50" t="n">
        <f aca="false">Z275*'Model Inputs &amp; Assumptions'!$G$42*'Model Inputs &amp; Assumptions'!$H$42</f>
        <v>61243.2187335417</v>
      </c>
      <c r="AC275" s="50" t="n">
        <f aca="false">SUMIFS('Activation Detail'!$I$4:$I$4003,'Activation Detail'!$A$4:$A$4003,$A275,'Activation Detail'!$N$4:$N$4003,Z$2)</f>
        <v>41825.344</v>
      </c>
      <c r="AD275" s="51" t="n">
        <f aca="false">IFERROR(AB275/AC275,0)</f>
        <v>1.4642609689843</v>
      </c>
      <c r="AE275" s="49" t="n">
        <f aca="false">IFERROR(AC275/Z275,0)</f>
        <v>77.445211203479</v>
      </c>
    </row>
    <row r="276" customFormat="false" ht="15" hidden="false" customHeight="false" outlineLevel="0" collapsed="false">
      <c r="A276" s="43" t="n">
        <v>273</v>
      </c>
      <c r="B276" s="45" t="n">
        <f aca="false">SUM('Activation Detail'!C276,'Activation Detail'!C776,'Activation Detail'!C1276,'Activation Detail'!C1776,'Activation Detail'!C2276,'Activation Detail'!C2776,'Activation Detail'!C3276,'Activation Detail'!C3776)</f>
        <v>5265414</v>
      </c>
      <c r="C276" s="45" t="n">
        <f aca="false">SUM('Activation Detail'!E276,'Activation Detail'!E776,'Activation Detail'!E1276,'Activation Detail'!E1776,'Activation Detail'!E2276,'Activation Detail'!E2776,'Activation Detail'!E3276,'Activation Detail'!E3776)</f>
        <v>559933</v>
      </c>
      <c r="D276" s="45" t="n">
        <f aca="false">SUM('Activation Detail'!G276,'Activation Detail'!G776,'Activation Detail'!G1276,'Activation Detail'!G1776,'Activation Detail'!G2276,'Activation Detail'!G2776,'Activation Detail'!G3276,'Activation Detail'!G3776)</f>
        <v>18895</v>
      </c>
      <c r="E276" s="48" t="n">
        <f aca="false">SUM('Activation Detail'!H276,'Activation Detail'!H776,'Activation Detail'!H1276,'Activation Detail'!H1776,'Activation Detail'!H2276,'Activation Detail'!H2776,'Activation Detail'!H3276,'Activation Detail'!H3776)</f>
        <v>974.937074543837</v>
      </c>
      <c r="F276" s="50" t="n">
        <f aca="false">SUM('Activation Detail'!I276,'Activation Detail'!I776,'Activation Detail'!I1276,'Activation Detail'!I1776,'Activation Detail'!I2276,'Activation Detail'!I2776,'Activation Detail'!I3276,'Activation Detail'!I3776)</f>
        <v>82517.762464</v>
      </c>
      <c r="G276" s="50" t="n">
        <f aca="false">SUM('Activation Detail'!J276,'Activation Detail'!J776,'Activation Detail'!J1276,'Activation Detail'!J1776,'Activation Detail'!J2276,'Activation Detail'!J2776,'Activation Detail'!J3276,'Activation Detail'!J3776)</f>
        <v>6008137.10680715</v>
      </c>
      <c r="H276" s="50" t="n">
        <f aca="false">SUM('Activation Detail'!K276,'Activation Detail'!K776,'Activation Detail'!K1276,'Activation Detail'!K1776,'Activation Detail'!K2276,'Activation Detail'!K2776,'Activation Detail'!K3276,'Activation Detail'!K3776)</f>
        <v>129261.185571809</v>
      </c>
      <c r="I276" s="51" t="n">
        <f aca="false">IFERROR(H276/F276,0)</f>
        <v>1.5664649853806</v>
      </c>
      <c r="J276" s="49" t="n">
        <f aca="false">IFERROR(F276/E276,0)</f>
        <v>84.6390650418225</v>
      </c>
      <c r="K276" s="46" t="n">
        <f aca="false">IFERROR(C276/B276,0)</f>
        <v>0.106341685573062</v>
      </c>
      <c r="L276" s="47" t="n">
        <f aca="false">IFERROR(D276/B276,0)</f>
        <v>0.00358851174855386</v>
      </c>
      <c r="N276" s="48" t="n">
        <f aca="false">SUMIFS('Activation Detail'!$H$4:$H$4003,'Activation Detail'!$A$4:$A$4003,$A276,'Activation Detail'!$N$4:$N$4003,N$2)</f>
        <v>119.617292876983</v>
      </c>
      <c r="O276" s="50" t="n">
        <f aca="false">N276*'Model Inputs &amp; Assumptions'!$D$40*'Model Inputs &amp; Assumptions'!$H$40</f>
        <v>1016746.98945436</v>
      </c>
      <c r="P276" s="50" t="n">
        <f aca="false">N276*'Model Inputs &amp; Assumptions'!$G$40*'Model Inputs &amp; Assumptions'!$H$40</f>
        <v>22876.8072627231</v>
      </c>
      <c r="Q276" s="50" t="n">
        <f aca="false">SUMIFS('Activation Detail'!$I$4:$I$4003,'Activation Detail'!$A$4:$A$4003,$A276,'Activation Detail'!$N$4:$N$4003,N$2)</f>
        <v>18160.187</v>
      </c>
      <c r="R276" s="51" t="n">
        <f aca="false">IFERROR(P276/Q276,0)</f>
        <v>1.25972311093069</v>
      </c>
      <c r="S276" s="49" t="n">
        <f aca="false">IFERROR(Q276/N276,0)</f>
        <v>151.819077018206</v>
      </c>
      <c r="T276" s="48" t="n">
        <f aca="false">SUMIFS('Activation Detail'!$H$4:$H$4003,'Activation Detail'!$A$4:$A$4003,$A276,'Activation Detail'!$N$4:$N$4003,T$2)</f>
        <v>207.035164639881</v>
      </c>
      <c r="U276" s="50" t="n">
        <f aca="false">T276*'Model Inputs &amp; Assumptions'!$D$41*'Model Inputs &amp; Assumptions'!$H$41</f>
        <v>1490653.18540715</v>
      </c>
      <c r="V276" s="50" t="n">
        <f aca="false">T276*'Model Inputs &amp; Assumptions'!$G$41*'Model Inputs &amp; Assumptions'!$H$41</f>
        <v>32868.9027382275</v>
      </c>
      <c r="W276" s="50" t="n">
        <f aca="false">SUMIFS('Activation Detail'!$I$4:$I$4003,'Activation Detail'!$A$4:$A$4003,$A276,'Activation Detail'!$N$4:$N$4003,T$2)</f>
        <v>22122.599464</v>
      </c>
      <c r="X276" s="51" t="n">
        <f aca="false">IFERROR(V276/W276,0)</f>
        <v>1.48576132708613</v>
      </c>
      <c r="Y276" s="49" t="n">
        <f aca="false">IFERROR(W276/T276,0)</f>
        <v>106.854309037212</v>
      </c>
      <c r="Z276" s="48" t="n">
        <f aca="false">SUMIFS('Activation Detail'!$H$4:$H$4003,'Activation Detail'!$A$4:$A$4003,$A276,'Activation Detail'!$N$4:$N$4003,Z$2)</f>
        <v>648.284617026972</v>
      </c>
      <c r="AA276" s="50" t="n">
        <f aca="false">Z276*'Model Inputs &amp; Assumptions'!$D$42*'Model Inputs &amp; Assumptions'!$H$42</f>
        <v>3500736.93194565</v>
      </c>
      <c r="AB276" s="50" t="n">
        <f aca="false">Z276*'Model Inputs &amp; Assumptions'!$G$42*'Model Inputs &amp; Assumptions'!$H$42</f>
        <v>73515.4755708587</v>
      </c>
      <c r="AC276" s="50" t="n">
        <f aca="false">SUMIFS('Activation Detail'!$I$4:$I$4003,'Activation Detail'!$A$4:$A$4003,$A276,'Activation Detail'!$N$4:$N$4003,Z$2)</f>
        <v>42234.976</v>
      </c>
      <c r="AD276" s="51" t="n">
        <f aca="false">IFERROR(AB276/AC276,0)</f>
        <v>1.74063022010143</v>
      </c>
      <c r="AE276" s="49" t="n">
        <f aca="false">IFERROR(AC276/Z276,0)</f>
        <v>65.1488171872553</v>
      </c>
    </row>
    <row r="277" customFormat="false" ht="15" hidden="false" customHeight="false" outlineLevel="0" collapsed="false">
      <c r="A277" s="43" t="n">
        <v>274</v>
      </c>
      <c r="B277" s="45" t="n">
        <f aca="false">SUM('Activation Detail'!C277,'Activation Detail'!C777,'Activation Detail'!C1277,'Activation Detail'!C1777,'Activation Detail'!C2277,'Activation Detail'!C2777,'Activation Detail'!C3277,'Activation Detail'!C3777)</f>
        <v>3523221</v>
      </c>
      <c r="C277" s="45" t="n">
        <f aca="false">SUM('Activation Detail'!E277,'Activation Detail'!E777,'Activation Detail'!E1277,'Activation Detail'!E1777,'Activation Detail'!E2277,'Activation Detail'!E2777,'Activation Detail'!E3277,'Activation Detail'!E3777)</f>
        <v>332489</v>
      </c>
      <c r="D277" s="45" t="n">
        <f aca="false">SUM('Activation Detail'!G277,'Activation Detail'!G777,'Activation Detail'!G1277,'Activation Detail'!G1777,'Activation Detail'!G2277,'Activation Detail'!G2777,'Activation Detail'!G3277,'Activation Detail'!G3777)</f>
        <v>11963</v>
      </c>
      <c r="E277" s="48" t="n">
        <f aca="false">SUM('Activation Detail'!H277,'Activation Detail'!H777,'Activation Detail'!H1277,'Activation Detail'!H1777,'Activation Detail'!H2277,'Activation Detail'!H2777,'Activation Detail'!H3277,'Activation Detail'!H3777)</f>
        <v>452.722431942833</v>
      </c>
      <c r="F277" s="50" t="n">
        <f aca="false">SUM('Activation Detail'!I277,'Activation Detail'!I777,'Activation Detail'!I1277,'Activation Detail'!I1777,'Activation Detail'!I2277,'Activation Detail'!I2777,'Activation Detail'!I3277,'Activation Detail'!I3777)</f>
        <v>72318.36617</v>
      </c>
      <c r="G277" s="50" t="n">
        <f aca="false">SUM('Activation Detail'!J277,'Activation Detail'!J777,'Activation Detail'!J1277,'Activation Detail'!J1777,'Activation Detail'!J2277,'Activation Detail'!J2777,'Activation Detail'!J3277,'Activation Detail'!J3777)</f>
        <v>3133240.06189249</v>
      </c>
      <c r="H277" s="50" t="n">
        <f aca="false">SUM('Activation Detail'!K277,'Activation Detail'!K777,'Activation Detail'!K1277,'Activation Detail'!K1777,'Activation Detail'!K2277,'Activation Detail'!K2777,'Activation Detail'!K3277,'Activation Detail'!K3777)</f>
        <v>68660.6265531068</v>
      </c>
      <c r="I277" s="51" t="n">
        <f aca="false">IFERROR(H277/F277,0)</f>
        <v>0.949421705569304</v>
      </c>
      <c r="J277" s="49" t="n">
        <f aca="false">IFERROR(F277/E277,0)</f>
        <v>159.741071056828</v>
      </c>
      <c r="K277" s="46" t="n">
        <f aca="false">IFERROR(C277/B277,0)</f>
        <v>0.0943707476766289</v>
      </c>
      <c r="L277" s="47" t="n">
        <f aca="false">IFERROR(D277/B277,0)</f>
        <v>0.00339547249519687</v>
      </c>
      <c r="N277" s="48" t="n">
        <f aca="false">SUMIFS('Activation Detail'!$H$4:$H$4003,'Activation Detail'!$A$4:$A$4003,$A277,'Activation Detail'!$N$4:$N$4003,N$2)</f>
        <v>108.437963409522</v>
      </c>
      <c r="O277" s="50" t="n">
        <f aca="false">N277*'Model Inputs &amp; Assumptions'!$D$40*'Model Inputs &amp; Assumptions'!$H$40</f>
        <v>921722.688980936</v>
      </c>
      <c r="P277" s="50" t="n">
        <f aca="false">N277*'Model Inputs &amp; Assumptions'!$G$40*'Model Inputs &amp; Assumptions'!$H$40</f>
        <v>20738.7605020711</v>
      </c>
      <c r="Q277" s="50" t="n">
        <f aca="false">SUMIFS('Activation Detail'!$I$4:$I$4003,'Activation Detail'!$A$4:$A$4003,$A277,'Activation Detail'!$N$4:$N$4003,N$2)</f>
        <v>17767.9315</v>
      </c>
      <c r="R277" s="51" t="n">
        <f aca="false">IFERROR(P277/Q277,0)</f>
        <v>1.1672017365708</v>
      </c>
      <c r="S277" s="49" t="n">
        <f aca="false">IFERROR(Q277/N277,0)</f>
        <v>163.853423112517</v>
      </c>
      <c r="T277" s="48" t="n">
        <f aca="false">SUMIFS('Activation Detail'!$H$4:$H$4003,'Activation Detail'!$A$4:$A$4003,$A277,'Activation Detail'!$N$4:$N$4003,T$2)</f>
        <v>195.76735712871</v>
      </c>
      <c r="U277" s="50" t="n">
        <f aca="false">T277*'Model Inputs &amp; Assumptions'!$D$41*'Model Inputs &amp; Assumptions'!$H$41</f>
        <v>1409524.97132671</v>
      </c>
      <c r="V277" s="50" t="n">
        <f aca="false">T277*'Model Inputs &amp; Assumptions'!$G$41*'Model Inputs &amp; Assumptions'!$H$41</f>
        <v>31080.0256177539</v>
      </c>
      <c r="W277" s="50" t="n">
        <f aca="false">SUMIFS('Activation Detail'!$I$4:$I$4003,'Activation Detail'!$A$4:$A$4003,$A277,'Activation Detail'!$N$4:$N$4003,T$2)</f>
        <v>17989.79067</v>
      </c>
      <c r="X277" s="51" t="n">
        <f aca="false">IFERROR(V277/W277,0)</f>
        <v>1.7276479858981</v>
      </c>
      <c r="Y277" s="49" t="n">
        <f aca="false">IFERROR(W277/T277,0)</f>
        <v>91.893719841007</v>
      </c>
      <c r="Z277" s="48" t="n">
        <f aca="false">SUMIFS('Activation Detail'!$H$4:$H$4003,'Activation Detail'!$A$4:$A$4003,$A277,'Activation Detail'!$N$4:$N$4003,Z$2)</f>
        <v>148.517111404602</v>
      </c>
      <c r="AA277" s="50" t="n">
        <f aca="false">Z277*'Model Inputs &amp; Assumptions'!$D$42*'Model Inputs &amp; Assumptions'!$H$42</f>
        <v>801992.401584849</v>
      </c>
      <c r="AB277" s="50" t="n">
        <f aca="false">Z277*'Model Inputs &amp; Assumptions'!$G$42*'Model Inputs &amp; Assumptions'!$H$42</f>
        <v>16841.8404332818</v>
      </c>
      <c r="AC277" s="50" t="n">
        <f aca="false">SUMIFS('Activation Detail'!$I$4:$I$4003,'Activation Detail'!$A$4:$A$4003,$A277,'Activation Detail'!$N$4:$N$4003,Z$2)</f>
        <v>36560.644</v>
      </c>
      <c r="AD277" s="51" t="n">
        <f aca="false">IFERROR(AB277/AC277,0)</f>
        <v>0.460654917163982</v>
      </c>
      <c r="AE277" s="49" t="n">
        <f aca="false">IFERROR(AC277/Z277,0)</f>
        <v>246.171256996769</v>
      </c>
    </row>
    <row r="278" customFormat="false" ht="15" hidden="false" customHeight="false" outlineLevel="0" collapsed="false">
      <c r="A278" s="43" t="n">
        <v>275</v>
      </c>
      <c r="B278" s="45" t="n">
        <f aca="false">SUM('Activation Detail'!C278,'Activation Detail'!C778,'Activation Detail'!C1278,'Activation Detail'!C1778,'Activation Detail'!C2278,'Activation Detail'!C2778,'Activation Detail'!C3278,'Activation Detail'!C3778)</f>
        <v>3806825</v>
      </c>
      <c r="C278" s="45" t="n">
        <f aca="false">SUM('Activation Detail'!E278,'Activation Detail'!E778,'Activation Detail'!E1278,'Activation Detail'!E1778,'Activation Detail'!E2278,'Activation Detail'!E2778,'Activation Detail'!E3278,'Activation Detail'!E3778)</f>
        <v>457167</v>
      </c>
      <c r="D278" s="45" t="n">
        <f aca="false">SUM('Activation Detail'!G278,'Activation Detail'!G778,'Activation Detail'!G1278,'Activation Detail'!G1778,'Activation Detail'!G2278,'Activation Detail'!G2778,'Activation Detail'!G3278,'Activation Detail'!G3778)</f>
        <v>20935</v>
      </c>
      <c r="E278" s="48" t="n">
        <f aca="false">SUM('Activation Detail'!H278,'Activation Detail'!H778,'Activation Detail'!H1278,'Activation Detail'!H1778,'Activation Detail'!H2278,'Activation Detail'!H2778,'Activation Detail'!H3278,'Activation Detail'!H3778)</f>
        <v>588.05076046483</v>
      </c>
      <c r="F278" s="50" t="n">
        <f aca="false">SUM('Activation Detail'!I278,'Activation Detail'!I778,'Activation Detail'!I1278,'Activation Detail'!I1778,'Activation Detail'!I2278,'Activation Detail'!I2778,'Activation Detail'!I3278,'Activation Detail'!I3778)</f>
        <v>74443.055502</v>
      </c>
      <c r="G278" s="50" t="n">
        <f aca="false">SUM('Activation Detail'!J278,'Activation Detail'!J778,'Activation Detail'!J1278,'Activation Detail'!J1778,'Activation Detail'!J2278,'Activation Detail'!J2778,'Activation Detail'!J3278,'Activation Detail'!J3778)</f>
        <v>3696882.09159573</v>
      </c>
      <c r="H278" s="50" t="n">
        <f aca="false">SUM('Activation Detail'!K278,'Activation Detail'!K778,'Activation Detail'!K1278,'Activation Detail'!K1778,'Activation Detail'!K2278,'Activation Detail'!K2778,'Activation Detail'!K3278,'Activation Detail'!K3778)</f>
        <v>79800.3504363759</v>
      </c>
      <c r="I278" s="51" t="n">
        <f aca="false">IFERROR(H278/F278,0)</f>
        <v>1.07196500598007</v>
      </c>
      <c r="J278" s="49" t="n">
        <f aca="false">IFERROR(F278/E278,0)</f>
        <v>126.592907461179</v>
      </c>
      <c r="K278" s="46" t="n">
        <f aca="false">IFERROR(C278/B278,0)</f>
        <v>0.120091414761645</v>
      </c>
      <c r="L278" s="47" t="n">
        <f aca="false">IFERROR(D278/B278,0)</f>
        <v>0.00549933343402967</v>
      </c>
      <c r="N278" s="48" t="n">
        <f aca="false">SUMIFS('Activation Detail'!$H$4:$H$4003,'Activation Detail'!$A$4:$A$4003,$A278,'Activation Detail'!$N$4:$N$4003,N$2)</f>
        <v>89.2112018298952</v>
      </c>
      <c r="O278" s="50" t="n">
        <f aca="false">N278*'Model Inputs &amp; Assumptions'!$D$40*'Model Inputs &amp; Assumptions'!$H$40</f>
        <v>758295.215554109</v>
      </c>
      <c r="P278" s="50" t="n">
        <f aca="false">N278*'Model Inputs &amp; Assumptions'!$G$40*'Model Inputs &amp; Assumptions'!$H$40</f>
        <v>17061.6423499675</v>
      </c>
      <c r="Q278" s="50" t="n">
        <f aca="false">SUMIFS('Activation Detail'!$I$4:$I$4003,'Activation Detail'!$A$4:$A$4003,$A278,'Activation Detail'!$N$4:$N$4003,N$2)</f>
        <v>18953.3365</v>
      </c>
      <c r="R278" s="51" t="n">
        <f aca="false">IFERROR(P278/Q278,0)</f>
        <v>0.900192024236338</v>
      </c>
      <c r="S278" s="49" t="n">
        <f aca="false">IFERROR(Q278/N278,0)</f>
        <v>212.454670615687</v>
      </c>
      <c r="T278" s="48" t="n">
        <f aca="false">SUMIFS('Activation Detail'!$H$4:$H$4003,'Activation Detail'!$A$4:$A$4003,$A278,'Activation Detail'!$N$4:$N$4003,T$2)</f>
        <v>136.02958856276</v>
      </c>
      <c r="U278" s="50" t="n">
        <f aca="false">T278*'Model Inputs &amp; Assumptions'!$D$41*'Model Inputs &amp; Assumptions'!$H$41</f>
        <v>979413.037651873</v>
      </c>
      <c r="V278" s="50" t="n">
        <f aca="false">T278*'Model Inputs &amp; Assumptions'!$G$41*'Model Inputs &amp; Assumptions'!$H$41</f>
        <v>21596.0574802238</v>
      </c>
      <c r="W278" s="50" t="n">
        <f aca="false">SUMIFS('Activation Detail'!$I$4:$I$4003,'Activation Detail'!$A$4:$A$4003,$A278,'Activation Detail'!$N$4:$N$4003,T$2)</f>
        <v>20757.983002</v>
      </c>
      <c r="X278" s="51" t="n">
        <f aca="false">IFERROR(V278/W278,0)</f>
        <v>1.04037359882909</v>
      </c>
      <c r="Y278" s="49" t="n">
        <f aca="false">IFERROR(W278/T278,0)</f>
        <v>152.59902805942</v>
      </c>
      <c r="Z278" s="48" t="n">
        <f aca="false">SUMIFS('Activation Detail'!$H$4:$H$4003,'Activation Detail'!$A$4:$A$4003,$A278,'Activation Detail'!$N$4:$N$4003,Z$2)</f>
        <v>362.809970072175</v>
      </c>
      <c r="AA278" s="50" t="n">
        <f aca="false">Z278*'Model Inputs &amp; Assumptions'!$D$42*'Model Inputs &amp; Assumptions'!$H$42</f>
        <v>1959173.83838974</v>
      </c>
      <c r="AB278" s="50" t="n">
        <f aca="false">Z278*'Model Inputs &amp; Assumptions'!$G$42*'Model Inputs &amp; Assumptions'!$H$42</f>
        <v>41142.6506061846</v>
      </c>
      <c r="AC278" s="50" t="n">
        <f aca="false">SUMIFS('Activation Detail'!$I$4:$I$4003,'Activation Detail'!$A$4:$A$4003,$A278,'Activation Detail'!$N$4:$N$4003,Z$2)</f>
        <v>34731.736</v>
      </c>
      <c r="AD278" s="51" t="n">
        <f aca="false">IFERROR(AB278/AC278,0)</f>
        <v>1.18458376529709</v>
      </c>
      <c r="AE278" s="49" t="n">
        <f aca="false">IFERROR(AC278/Z278,0)</f>
        <v>95.7298279126417</v>
      </c>
    </row>
    <row r="279" customFormat="false" ht="15" hidden="false" customHeight="false" outlineLevel="0" collapsed="false">
      <c r="A279" s="43" t="n">
        <v>276</v>
      </c>
      <c r="B279" s="45" t="n">
        <f aca="false">SUM('Activation Detail'!C279,'Activation Detail'!C779,'Activation Detail'!C1279,'Activation Detail'!C1779,'Activation Detail'!C2279,'Activation Detail'!C2779,'Activation Detail'!C3279,'Activation Detail'!C3779)</f>
        <v>3883738</v>
      </c>
      <c r="C279" s="45" t="n">
        <f aca="false">SUM('Activation Detail'!E279,'Activation Detail'!E779,'Activation Detail'!E1279,'Activation Detail'!E1779,'Activation Detail'!E2279,'Activation Detail'!E2779,'Activation Detail'!E3279,'Activation Detail'!E3779)</f>
        <v>309847</v>
      </c>
      <c r="D279" s="45" t="n">
        <f aca="false">SUM('Activation Detail'!G279,'Activation Detail'!G779,'Activation Detail'!G1279,'Activation Detail'!G1779,'Activation Detail'!G2279,'Activation Detail'!G2779,'Activation Detail'!G3279,'Activation Detail'!G3779)</f>
        <v>15823</v>
      </c>
      <c r="E279" s="48" t="n">
        <f aca="false">SUM('Activation Detail'!H279,'Activation Detail'!H779,'Activation Detail'!H1279,'Activation Detail'!H1779,'Activation Detail'!H2279,'Activation Detail'!H2779,'Activation Detail'!H3279,'Activation Detail'!H3779)</f>
        <v>873.106332592292</v>
      </c>
      <c r="F279" s="50" t="n">
        <f aca="false">SUM('Activation Detail'!I279,'Activation Detail'!I779,'Activation Detail'!I1279,'Activation Detail'!I1779,'Activation Detail'!I2279,'Activation Detail'!I2779,'Activation Detail'!I3279,'Activation Detail'!I3779)</f>
        <v>70242.316482</v>
      </c>
      <c r="G279" s="50" t="n">
        <f aca="false">SUM('Activation Detail'!J279,'Activation Detail'!J779,'Activation Detail'!J1279,'Activation Detail'!J1779,'Activation Detail'!J2279,'Activation Detail'!J2779,'Activation Detail'!J3279,'Activation Detail'!J3779)</f>
        <v>5206061.58228643</v>
      </c>
      <c r="H279" s="50" t="n">
        <f aca="false">SUM('Activation Detail'!K279,'Activation Detail'!K779,'Activation Detail'!K1279,'Activation Detail'!K1779,'Activation Detail'!K2279,'Activation Detail'!K2779,'Activation Detail'!K3279,'Activation Detail'!K3779)</f>
        <v>111367.583622257</v>
      </c>
      <c r="I279" s="51" t="n">
        <f aca="false">IFERROR(H279/F279,0)</f>
        <v>1.58547709130287</v>
      </c>
      <c r="J279" s="49" t="n">
        <f aca="false">IFERROR(F279/E279,0)</f>
        <v>80.4510445748886</v>
      </c>
      <c r="K279" s="46" t="n">
        <f aca="false">IFERROR(C279/B279,0)</f>
        <v>0.0797806134193398</v>
      </c>
      <c r="L279" s="47" t="n">
        <f aca="false">IFERROR(D279/B279,0)</f>
        <v>0.00407416772192151</v>
      </c>
      <c r="N279" s="48" t="n">
        <f aca="false">SUMIFS('Activation Detail'!$H$4:$H$4003,'Activation Detail'!$A$4:$A$4003,$A279,'Activation Detail'!$N$4:$N$4003,N$2)</f>
        <v>85.6171413637916</v>
      </c>
      <c r="O279" s="50" t="n">
        <f aca="false">N279*'Model Inputs &amp; Assumptions'!$D$40*'Model Inputs &amp; Assumptions'!$H$40</f>
        <v>727745.701592228</v>
      </c>
      <c r="P279" s="50" t="n">
        <f aca="false">N279*'Model Inputs &amp; Assumptions'!$G$40*'Model Inputs &amp; Assumptions'!$H$40</f>
        <v>16374.2782858251</v>
      </c>
      <c r="Q279" s="50" t="n">
        <f aca="false">SUMIFS('Activation Detail'!$I$4:$I$4003,'Activation Detail'!$A$4:$A$4003,$A279,'Activation Detail'!$N$4:$N$4003,N$2)</f>
        <v>17908.13</v>
      </c>
      <c r="R279" s="51" t="n">
        <f aca="false">IFERROR(P279/Q279,0)</f>
        <v>0.914348861987552</v>
      </c>
      <c r="S279" s="49" t="n">
        <f aca="false">IFERROR(Q279/N279,0)</f>
        <v>209.165240917207</v>
      </c>
      <c r="T279" s="48" t="n">
        <f aca="false">SUMIFS('Activation Detail'!$H$4:$H$4003,'Activation Detail'!$A$4:$A$4003,$A279,'Activation Detail'!$N$4:$N$4003,T$2)</f>
        <v>125.485693366834</v>
      </c>
      <c r="U279" s="50" t="n">
        <f aca="false">T279*'Model Inputs &amp; Assumptions'!$D$41*'Model Inputs &amp; Assumptions'!$H$41</f>
        <v>903496.992241207</v>
      </c>
      <c r="V279" s="50" t="n">
        <f aca="false">T279*'Model Inputs &amp; Assumptions'!$G$41*'Model Inputs &amp; Assumptions'!$H$41</f>
        <v>19922.1086789186</v>
      </c>
      <c r="W279" s="50" t="n">
        <f aca="false">SUMIFS('Activation Detail'!$I$4:$I$4003,'Activation Detail'!$A$4:$A$4003,$A279,'Activation Detail'!$N$4:$N$4003,T$2)</f>
        <v>14174.614482</v>
      </c>
      <c r="X279" s="51" t="n">
        <f aca="false">IFERROR(V279/W279,0)</f>
        <v>1.40547799054551</v>
      </c>
      <c r="Y279" s="49" t="n">
        <f aca="false">IFERROR(W279/T279,0)</f>
        <v>112.958012197957</v>
      </c>
      <c r="Z279" s="48" t="n">
        <f aca="false">SUMIFS('Activation Detail'!$H$4:$H$4003,'Activation Detail'!$A$4:$A$4003,$A279,'Activation Detail'!$N$4:$N$4003,Z$2)</f>
        <v>662.003497861666</v>
      </c>
      <c r="AA279" s="50" t="n">
        <f aca="false">Z279*'Model Inputs &amp; Assumptions'!$D$42*'Model Inputs &amp; Assumptions'!$H$42</f>
        <v>3574818.888453</v>
      </c>
      <c r="AB279" s="50" t="n">
        <f aca="false">Z279*'Model Inputs &amp; Assumptions'!$G$42*'Model Inputs &amp; Assumptions'!$H$42</f>
        <v>75071.196657513</v>
      </c>
      <c r="AC279" s="50" t="n">
        <f aca="false">SUMIFS('Activation Detail'!$I$4:$I$4003,'Activation Detail'!$A$4:$A$4003,$A279,'Activation Detail'!$N$4:$N$4003,Z$2)</f>
        <v>38159.572</v>
      </c>
      <c r="AD279" s="51" t="n">
        <f aca="false">IFERROR(AB279/AC279,0)</f>
        <v>1.96729661059912</v>
      </c>
      <c r="AE279" s="49" t="n">
        <f aca="false">IFERROR(AC279/Z279,0)</f>
        <v>57.6425534355317</v>
      </c>
    </row>
    <row r="280" customFormat="false" ht="15" hidden="false" customHeight="false" outlineLevel="0" collapsed="false">
      <c r="A280" s="43" t="n">
        <v>277</v>
      </c>
      <c r="B280" s="45" t="n">
        <f aca="false">SUM('Activation Detail'!C280,'Activation Detail'!C780,'Activation Detail'!C1280,'Activation Detail'!C1780,'Activation Detail'!C2280,'Activation Detail'!C2780,'Activation Detail'!C3280,'Activation Detail'!C3780)</f>
        <v>3672722</v>
      </c>
      <c r="C280" s="45" t="n">
        <f aca="false">SUM('Activation Detail'!E280,'Activation Detail'!E780,'Activation Detail'!E1280,'Activation Detail'!E1780,'Activation Detail'!E2280,'Activation Detail'!E2780,'Activation Detail'!E3280,'Activation Detail'!E3780)</f>
        <v>393453</v>
      </c>
      <c r="D280" s="45" t="n">
        <f aca="false">SUM('Activation Detail'!G280,'Activation Detail'!G780,'Activation Detail'!G1280,'Activation Detail'!G1780,'Activation Detail'!G2280,'Activation Detail'!G2780,'Activation Detail'!G3280,'Activation Detail'!G3780)</f>
        <v>13503</v>
      </c>
      <c r="E280" s="48" t="n">
        <f aca="false">SUM('Activation Detail'!H280,'Activation Detail'!H780,'Activation Detail'!H1280,'Activation Detail'!H1780,'Activation Detail'!H2280,'Activation Detail'!H2780,'Activation Detail'!H3280,'Activation Detail'!H3780)</f>
        <v>600.154166669073</v>
      </c>
      <c r="F280" s="50" t="n">
        <f aca="false">SUM('Activation Detail'!I280,'Activation Detail'!I780,'Activation Detail'!I1280,'Activation Detail'!I1780,'Activation Detail'!I2280,'Activation Detail'!I2780,'Activation Detail'!I3280,'Activation Detail'!I3780)</f>
        <v>72359.302224</v>
      </c>
      <c r="G280" s="50" t="n">
        <f aca="false">SUM('Activation Detail'!J280,'Activation Detail'!J780,'Activation Detail'!J1280,'Activation Detail'!J1780,'Activation Detail'!J2280,'Activation Detail'!J2780,'Activation Detail'!J3280,'Activation Detail'!J3780)</f>
        <v>3992718.71579991</v>
      </c>
      <c r="H280" s="50" t="n">
        <f aca="false">SUM('Activation Detail'!K280,'Activation Detail'!K780,'Activation Detail'!K1280,'Activation Detail'!K1780,'Activation Detail'!K2280,'Activation Detail'!K2780,'Activation Detail'!K3280,'Activation Detail'!K3780)</f>
        <v>86977.9095635038</v>
      </c>
      <c r="I280" s="51" t="n">
        <f aca="false">IFERROR(H280/F280,0)</f>
        <v>1.20202803081558</v>
      </c>
      <c r="J280" s="49" t="n">
        <f aca="false">IFERROR(F280/E280,0)</f>
        <v>120.567857798277</v>
      </c>
      <c r="K280" s="46" t="n">
        <f aca="false">IFERROR(C280/B280,0)</f>
        <v>0.107128445877472</v>
      </c>
      <c r="L280" s="47" t="n">
        <f aca="false">IFERROR(D280/B280,0)</f>
        <v>0.00367656468417702</v>
      </c>
      <c r="N280" s="48" t="n">
        <f aca="false">SUMIFS('Activation Detail'!$H$4:$H$4003,'Activation Detail'!$A$4:$A$4003,$A280,'Activation Detail'!$N$4:$N$4003,N$2)</f>
        <v>100.39101703479</v>
      </c>
      <c r="O280" s="50" t="n">
        <f aca="false">N280*'Model Inputs &amp; Assumptions'!$D$40*'Model Inputs &amp; Assumptions'!$H$40</f>
        <v>853323.644795716</v>
      </c>
      <c r="P280" s="50" t="n">
        <f aca="false">N280*'Model Inputs &amp; Assumptions'!$G$40*'Model Inputs &amp; Assumptions'!$H$40</f>
        <v>19199.7820079036</v>
      </c>
      <c r="Q280" s="50" t="n">
        <f aca="false">SUMIFS('Activation Detail'!$I$4:$I$4003,'Activation Detail'!$A$4:$A$4003,$A280,'Activation Detail'!$N$4:$N$4003,N$2)</f>
        <v>17958.7325</v>
      </c>
      <c r="R280" s="51" t="n">
        <f aca="false">IFERROR(P280/Q280,0)</f>
        <v>1.06910562913633</v>
      </c>
      <c r="S280" s="49" t="n">
        <f aca="false">IFERROR(Q280/N280,0)</f>
        <v>178.887843060465</v>
      </c>
      <c r="T280" s="48" t="n">
        <f aca="false">SUMIFS('Activation Detail'!$H$4:$H$4003,'Activation Detail'!$A$4:$A$4003,$A280,'Activation Detail'!$N$4:$N$4003,T$2)</f>
        <v>244.818923877259</v>
      </c>
      <c r="U280" s="50" t="n">
        <f aca="false">T280*'Model Inputs &amp; Assumptions'!$D$41*'Model Inputs &amp; Assumptions'!$H$41</f>
        <v>1762696.25191627</v>
      </c>
      <c r="V280" s="50" t="n">
        <f aca="false">T280*'Model Inputs &amp; Assumptions'!$G$41*'Model Inputs &amp; Assumptions'!$H$41</f>
        <v>38867.4523547537</v>
      </c>
      <c r="W280" s="50" t="n">
        <f aca="false">SUMIFS('Activation Detail'!$I$4:$I$4003,'Activation Detail'!$A$4:$A$4003,$A280,'Activation Detail'!$N$4:$N$4003,T$2)</f>
        <v>17785.109724</v>
      </c>
      <c r="X280" s="51" t="n">
        <f aca="false">IFERROR(V280/W280,0)</f>
        <v>2.18539289090268</v>
      </c>
      <c r="Y280" s="49" t="n">
        <f aca="false">IFERROR(W280/T280,0)</f>
        <v>72.6459762273795</v>
      </c>
      <c r="Z280" s="48" t="n">
        <f aca="false">SUMIFS('Activation Detail'!$H$4:$H$4003,'Activation Detail'!$A$4:$A$4003,$A280,'Activation Detail'!$N$4:$N$4003,Z$2)</f>
        <v>254.944225757024</v>
      </c>
      <c r="AA280" s="50" t="n">
        <f aca="false">Z280*'Model Inputs &amp; Assumptions'!$D$42*'Model Inputs &amp; Assumptions'!$H$42</f>
        <v>1376698.81908793</v>
      </c>
      <c r="AB280" s="50" t="n">
        <f aca="false">Z280*'Model Inputs &amp; Assumptions'!$G$42*'Model Inputs &amp; Assumptions'!$H$42</f>
        <v>28910.6752008466</v>
      </c>
      <c r="AC280" s="50" t="n">
        <f aca="false">SUMIFS('Activation Detail'!$I$4:$I$4003,'Activation Detail'!$A$4:$A$4003,$A280,'Activation Detail'!$N$4:$N$4003,Z$2)</f>
        <v>36615.46</v>
      </c>
      <c r="AD280" s="51" t="n">
        <f aca="false">IFERROR(AB280/AC280,0)</f>
        <v>0.789575638291764</v>
      </c>
      <c r="AE280" s="49" t="n">
        <f aca="false">IFERROR(AC280/Z280,0)</f>
        <v>143.621452461906</v>
      </c>
    </row>
    <row r="281" customFormat="false" ht="15" hidden="false" customHeight="false" outlineLevel="0" collapsed="false">
      <c r="A281" s="43" t="n">
        <v>278</v>
      </c>
      <c r="B281" s="45" t="n">
        <f aca="false">SUM('Activation Detail'!C281,'Activation Detail'!C781,'Activation Detail'!C1281,'Activation Detail'!C1781,'Activation Detail'!C2281,'Activation Detail'!C2781,'Activation Detail'!C3281,'Activation Detail'!C3781)</f>
        <v>4609179</v>
      </c>
      <c r="C281" s="45" t="n">
        <f aca="false">SUM('Activation Detail'!E281,'Activation Detail'!E781,'Activation Detail'!E1281,'Activation Detail'!E1781,'Activation Detail'!E2281,'Activation Detail'!E2781,'Activation Detail'!E3281,'Activation Detail'!E3781)</f>
        <v>484314</v>
      </c>
      <c r="D281" s="45" t="n">
        <f aca="false">SUM('Activation Detail'!G281,'Activation Detail'!G781,'Activation Detail'!G1281,'Activation Detail'!G1781,'Activation Detail'!G2281,'Activation Detail'!G2781,'Activation Detail'!G3281,'Activation Detail'!G3781)</f>
        <v>18213</v>
      </c>
      <c r="E281" s="48" t="n">
        <f aca="false">SUM('Activation Detail'!H281,'Activation Detail'!H781,'Activation Detail'!H1281,'Activation Detail'!H1781,'Activation Detail'!H2281,'Activation Detail'!H2781,'Activation Detail'!H3281,'Activation Detail'!H3781)</f>
        <v>814.533532961147</v>
      </c>
      <c r="F281" s="50" t="n">
        <f aca="false">SUM('Activation Detail'!I281,'Activation Detail'!I781,'Activation Detail'!I1281,'Activation Detail'!I1781,'Activation Detail'!I2281,'Activation Detail'!I2781,'Activation Detail'!I3281,'Activation Detail'!I3781)</f>
        <v>85912.270586</v>
      </c>
      <c r="G281" s="50" t="n">
        <f aca="false">SUM('Activation Detail'!J281,'Activation Detail'!J781,'Activation Detail'!J1281,'Activation Detail'!J1781,'Activation Detail'!J2281,'Activation Detail'!J2781,'Activation Detail'!J3281,'Activation Detail'!J3781)</f>
        <v>5096675.39173447</v>
      </c>
      <c r="H281" s="50" t="n">
        <f aca="false">SUM('Activation Detail'!K281,'Activation Detail'!K781,'Activation Detail'!K1281,'Activation Detail'!K1781,'Activation Detail'!K2281,'Activation Detail'!K2781,'Activation Detail'!K3281,'Activation Detail'!K3781)</f>
        <v>109937.602715926</v>
      </c>
      <c r="I281" s="51" t="n">
        <f aca="false">IFERROR(H281/F281,0)</f>
        <v>1.27964960029634</v>
      </c>
      <c r="J281" s="49" t="n">
        <f aca="false">IFERROR(F281/E281,0)</f>
        <v>105.474197328225</v>
      </c>
      <c r="K281" s="46" t="n">
        <f aca="false">IFERROR(C281/B281,0)</f>
        <v>0.105075979908786</v>
      </c>
      <c r="L281" s="47" t="n">
        <f aca="false">IFERROR(D281/B281,0)</f>
        <v>0.0039514629394953</v>
      </c>
      <c r="N281" s="48" t="n">
        <f aca="false">SUMIFS('Activation Detail'!$H$4:$H$4003,'Activation Detail'!$A$4:$A$4003,$A281,'Activation Detail'!$N$4:$N$4003,N$2)</f>
        <v>92.5801045332413</v>
      </c>
      <c r="O281" s="50" t="n">
        <f aca="false">N281*'Model Inputs &amp; Assumptions'!$D$40*'Model Inputs &amp; Assumptions'!$H$40</f>
        <v>786930.888532551</v>
      </c>
      <c r="P281" s="50" t="n">
        <f aca="false">N281*'Model Inputs &amp; Assumptions'!$G$40*'Model Inputs &amp; Assumptions'!$H$40</f>
        <v>17705.9449919824</v>
      </c>
      <c r="Q281" s="50" t="n">
        <f aca="false">SUMIFS('Activation Detail'!$I$4:$I$4003,'Activation Detail'!$A$4:$A$4003,$A281,'Activation Detail'!$N$4:$N$4003,N$2)</f>
        <v>18063.35</v>
      </c>
      <c r="R281" s="51" t="n">
        <f aca="false">IFERROR(P281/Q281,0)</f>
        <v>0.980213802643607</v>
      </c>
      <c r="S281" s="49" t="n">
        <f aca="false">IFERROR(Q281/N281,0)</f>
        <v>195.110494755537</v>
      </c>
      <c r="T281" s="48" t="n">
        <f aca="false">SUMIFS('Activation Detail'!$H$4:$H$4003,'Activation Detail'!$A$4:$A$4003,$A281,'Activation Detail'!$N$4:$N$4003,T$2)</f>
        <v>228.44221649513</v>
      </c>
      <c r="U281" s="50" t="n">
        <f aca="false">T281*'Model Inputs &amp; Assumptions'!$D$41*'Model Inputs &amp; Assumptions'!$H$41</f>
        <v>1644783.95876493</v>
      </c>
      <c r="V281" s="50" t="n">
        <f aca="false">T281*'Model Inputs &amp; Assumptions'!$G$41*'Model Inputs &amp; Assumptions'!$H$41</f>
        <v>36267.4862907668</v>
      </c>
      <c r="W281" s="50" t="n">
        <f aca="false">SUMIFS('Activation Detail'!$I$4:$I$4003,'Activation Detail'!$A$4:$A$4003,$A281,'Activation Detail'!$N$4:$N$4003,T$2)</f>
        <v>20089.372586</v>
      </c>
      <c r="X281" s="51" t="n">
        <f aca="false">IFERROR(V281/W281,0)</f>
        <v>1.80530706648555</v>
      </c>
      <c r="Y281" s="49" t="n">
        <f aca="false">IFERROR(W281/T281,0)</f>
        <v>87.940718200956</v>
      </c>
      <c r="Z281" s="48" t="n">
        <f aca="false">SUMIFS('Activation Detail'!$H$4:$H$4003,'Activation Detail'!$A$4:$A$4003,$A281,'Activation Detail'!$N$4:$N$4003,Z$2)</f>
        <v>493.511211932776</v>
      </c>
      <c r="AA281" s="50" t="n">
        <f aca="false">Z281*'Model Inputs &amp; Assumptions'!$D$42*'Model Inputs &amp; Assumptions'!$H$42</f>
        <v>2664960.54443699</v>
      </c>
      <c r="AB281" s="50" t="n">
        <f aca="false">Z281*'Model Inputs &amp; Assumptions'!$G$42*'Model Inputs &amp; Assumptions'!$H$42</f>
        <v>55964.1714331767</v>
      </c>
      <c r="AC281" s="50" t="n">
        <f aca="false">SUMIFS('Activation Detail'!$I$4:$I$4003,'Activation Detail'!$A$4:$A$4003,$A281,'Activation Detail'!$N$4:$N$4003,Z$2)</f>
        <v>47759.548</v>
      </c>
      <c r="AD281" s="51" t="n">
        <f aca="false">IFERROR(AB281/AC281,0)</f>
        <v>1.17179022366746</v>
      </c>
      <c r="AE281" s="49" t="n">
        <f aca="false">IFERROR(AC281/Z281,0)</f>
        <v>96.7750009426445</v>
      </c>
    </row>
    <row r="282" customFormat="false" ht="15" hidden="false" customHeight="false" outlineLevel="0" collapsed="false">
      <c r="A282" s="43" t="n">
        <v>279</v>
      </c>
      <c r="B282" s="45" t="n">
        <f aca="false">SUM('Activation Detail'!C282,'Activation Detail'!C782,'Activation Detail'!C1282,'Activation Detail'!C1782,'Activation Detail'!C2282,'Activation Detail'!C2782,'Activation Detail'!C3282,'Activation Detail'!C3782)</f>
        <v>3576177</v>
      </c>
      <c r="C282" s="45" t="n">
        <f aca="false">SUM('Activation Detail'!E282,'Activation Detail'!E782,'Activation Detail'!E1282,'Activation Detail'!E1782,'Activation Detail'!E2282,'Activation Detail'!E2782,'Activation Detail'!E3282,'Activation Detail'!E3782)</f>
        <v>285357</v>
      </c>
      <c r="D282" s="45" t="n">
        <f aca="false">SUM('Activation Detail'!G282,'Activation Detail'!G782,'Activation Detail'!G1282,'Activation Detail'!G1782,'Activation Detail'!G2282,'Activation Detail'!G2782,'Activation Detail'!G3282,'Activation Detail'!G3782)</f>
        <v>11888</v>
      </c>
      <c r="E282" s="48" t="n">
        <f aca="false">SUM('Activation Detail'!H282,'Activation Detail'!H782,'Activation Detail'!H1282,'Activation Detail'!H1782,'Activation Detail'!H2282,'Activation Detail'!H2782,'Activation Detail'!H3282,'Activation Detail'!H3782)</f>
        <v>470.730291859812</v>
      </c>
      <c r="F282" s="50" t="n">
        <f aca="false">SUM('Activation Detail'!I282,'Activation Detail'!I782,'Activation Detail'!I1282,'Activation Detail'!I1782,'Activation Detail'!I2282,'Activation Detail'!I2782,'Activation Detail'!I3282,'Activation Detail'!I3782)</f>
        <v>72217.66934</v>
      </c>
      <c r="G282" s="50" t="n">
        <f aca="false">SUM('Activation Detail'!J282,'Activation Detail'!J782,'Activation Detail'!J1282,'Activation Detail'!J1782,'Activation Detail'!J2282,'Activation Detail'!J2782,'Activation Detail'!J3282,'Activation Detail'!J3782)</f>
        <v>3147875.46818078</v>
      </c>
      <c r="H282" s="50" t="n">
        <f aca="false">SUM('Activation Detail'!K282,'Activation Detail'!K782,'Activation Detail'!K1282,'Activation Detail'!K1782,'Activation Detail'!K2282,'Activation Detail'!K2782,'Activation Detail'!K3282,'Activation Detail'!K3782)</f>
        <v>68625.4893886815</v>
      </c>
      <c r="I282" s="51" t="n">
        <f aca="false">IFERROR(H282/F282,0)</f>
        <v>0.950258988082176</v>
      </c>
      <c r="J282" s="49" t="n">
        <f aca="false">IFERROR(F282/E282,0)</f>
        <v>153.416235557467</v>
      </c>
      <c r="K282" s="46" t="n">
        <f aca="false">IFERROR(C282/B282,0)</f>
        <v>0.0797938692631824</v>
      </c>
      <c r="L282" s="47" t="n">
        <f aca="false">IFERROR(D282/B282,0)</f>
        <v>0.00332422024972478</v>
      </c>
      <c r="N282" s="48" t="n">
        <f aca="false">SUMIFS('Activation Detail'!$H$4:$H$4003,'Activation Detail'!$A$4:$A$4003,$A282,'Activation Detail'!$N$4:$N$4003,N$2)</f>
        <v>91.8866299759579</v>
      </c>
      <c r="O282" s="50" t="n">
        <f aca="false">N282*'Model Inputs &amp; Assumptions'!$D$40*'Model Inputs &amp; Assumptions'!$H$40</f>
        <v>781036.354795643</v>
      </c>
      <c r="P282" s="50" t="n">
        <f aca="false">N282*'Model Inputs &amp; Assumptions'!$G$40*'Model Inputs &amp; Assumptions'!$H$40</f>
        <v>17573.317982902</v>
      </c>
      <c r="Q282" s="50" t="n">
        <f aca="false">SUMIFS('Activation Detail'!$I$4:$I$4003,'Activation Detail'!$A$4:$A$4003,$A282,'Activation Detail'!$N$4:$N$4003,N$2)</f>
        <v>17623.2805</v>
      </c>
      <c r="R282" s="51" t="n">
        <f aca="false">IFERROR(P282/Q282,0)</f>
        <v>0.997164970670583</v>
      </c>
      <c r="S282" s="49" t="n">
        <f aca="false">IFERROR(Q282/N282,0)</f>
        <v>191.793740880595</v>
      </c>
      <c r="T282" s="48" t="n">
        <f aca="false">SUMIFS('Activation Detail'!$H$4:$H$4003,'Activation Detail'!$A$4:$A$4003,$A282,'Activation Detail'!$N$4:$N$4003,T$2)</f>
        <v>178.379632895736</v>
      </c>
      <c r="U282" s="50" t="n">
        <f aca="false">T282*'Model Inputs &amp; Assumptions'!$D$41*'Model Inputs &amp; Assumptions'!$H$41</f>
        <v>1284333.3568493</v>
      </c>
      <c r="V282" s="50" t="n">
        <f aca="false">T282*'Model Inputs &amp; Assumptions'!$G$41*'Model Inputs &amp; Assumptions'!$H$41</f>
        <v>28319.550518527</v>
      </c>
      <c r="W282" s="50" t="n">
        <f aca="false">SUMIFS('Activation Detail'!$I$4:$I$4003,'Activation Detail'!$A$4:$A$4003,$A282,'Activation Detail'!$N$4:$N$4003,T$2)</f>
        <v>16243.96884</v>
      </c>
      <c r="X282" s="51" t="n">
        <f aca="false">IFERROR(V282/W282,0)</f>
        <v>1.74338862610912</v>
      </c>
      <c r="Y282" s="49" t="n">
        <f aca="false">IFERROR(W282/T282,0)</f>
        <v>91.0640333557291</v>
      </c>
      <c r="Z282" s="48" t="n">
        <f aca="false">SUMIFS('Activation Detail'!$H$4:$H$4003,'Activation Detail'!$A$4:$A$4003,$A282,'Activation Detail'!$N$4:$N$4003,Z$2)</f>
        <v>200.464028988118</v>
      </c>
      <c r="AA282" s="50" t="n">
        <f aca="false">Z282*'Model Inputs &amp; Assumptions'!$D$42*'Model Inputs &amp; Assumptions'!$H$42</f>
        <v>1082505.75653584</v>
      </c>
      <c r="AB282" s="50" t="n">
        <f aca="false">Z282*'Model Inputs &amp; Assumptions'!$G$42*'Model Inputs &amp; Assumptions'!$H$42</f>
        <v>22732.6208872526</v>
      </c>
      <c r="AC282" s="50" t="n">
        <f aca="false">SUMIFS('Activation Detail'!$I$4:$I$4003,'Activation Detail'!$A$4:$A$4003,$A282,'Activation Detail'!$N$4:$N$4003,Z$2)</f>
        <v>38350.42</v>
      </c>
      <c r="AD282" s="51" t="n">
        <f aca="false">IFERROR(AB282/AC282,0)</f>
        <v>0.592760676082624</v>
      </c>
      <c r="AE282" s="49" t="n">
        <f aca="false">IFERROR(AC282/Z282,0)</f>
        <v>191.308237161457</v>
      </c>
    </row>
    <row r="283" customFormat="false" ht="15" hidden="false" customHeight="false" outlineLevel="0" collapsed="false">
      <c r="A283" s="43" t="n">
        <v>280</v>
      </c>
      <c r="B283" s="45" t="n">
        <f aca="false">SUM('Activation Detail'!C283,'Activation Detail'!C783,'Activation Detail'!C1283,'Activation Detail'!C1783,'Activation Detail'!C2283,'Activation Detail'!C2783,'Activation Detail'!C3283,'Activation Detail'!C3783)</f>
        <v>3411571</v>
      </c>
      <c r="C283" s="45" t="n">
        <f aca="false">SUM('Activation Detail'!E283,'Activation Detail'!E783,'Activation Detail'!E1283,'Activation Detail'!E1783,'Activation Detail'!E2283,'Activation Detail'!E2783,'Activation Detail'!E3283,'Activation Detail'!E3783)</f>
        <v>498688</v>
      </c>
      <c r="D283" s="45" t="n">
        <f aca="false">SUM('Activation Detail'!G283,'Activation Detail'!G783,'Activation Detail'!G1283,'Activation Detail'!G1783,'Activation Detail'!G2283,'Activation Detail'!G2783,'Activation Detail'!G3283,'Activation Detail'!G3783)</f>
        <v>15555</v>
      </c>
      <c r="E283" s="48" t="n">
        <f aca="false">SUM('Activation Detail'!H283,'Activation Detail'!H783,'Activation Detail'!H1283,'Activation Detail'!H1783,'Activation Detail'!H2283,'Activation Detail'!H2783,'Activation Detail'!H3283,'Activation Detail'!H3783)</f>
        <v>703.163914476084</v>
      </c>
      <c r="F283" s="50" t="n">
        <f aca="false">SUM('Activation Detail'!I283,'Activation Detail'!I783,'Activation Detail'!I1283,'Activation Detail'!I1783,'Activation Detail'!I2283,'Activation Detail'!I2783,'Activation Detail'!I3283,'Activation Detail'!I3783)</f>
        <v>70237.434594</v>
      </c>
      <c r="G283" s="50" t="n">
        <f aca="false">SUM('Activation Detail'!J283,'Activation Detail'!J783,'Activation Detail'!J1283,'Activation Detail'!J1783,'Activation Detail'!J2283,'Activation Detail'!J2783,'Activation Detail'!J3283,'Activation Detail'!J3783)</f>
        <v>4492552.73695174</v>
      </c>
      <c r="H283" s="50" t="n">
        <f aca="false">SUM('Activation Detail'!K283,'Activation Detail'!K783,'Activation Detail'!K1283,'Activation Detail'!K1783,'Activation Detail'!K2283,'Activation Detail'!K2783,'Activation Detail'!K3283,'Activation Detail'!K3783)</f>
        <v>97235.0023813717</v>
      </c>
      <c r="I283" s="51" t="n">
        <f aca="false">IFERROR(H283/F283,0)</f>
        <v>1.38437576690305</v>
      </c>
      <c r="J283" s="49" t="n">
        <f aca="false">IFERROR(F283/E283,0)</f>
        <v>99.8877120227832</v>
      </c>
      <c r="K283" s="46" t="n">
        <f aca="false">IFERROR(C283/B283,0)</f>
        <v>0.146175471652209</v>
      </c>
      <c r="L283" s="47" t="n">
        <f aca="false">IFERROR(D283/B283,0)</f>
        <v>0.00455948300650932</v>
      </c>
      <c r="N283" s="48" t="n">
        <f aca="false">SUMIFS('Activation Detail'!$H$4:$H$4003,'Activation Detail'!$A$4:$A$4003,$A283,'Activation Detail'!$N$4:$N$4003,N$2)</f>
        <v>109.514849979681</v>
      </c>
      <c r="O283" s="50" t="n">
        <f aca="false">N283*'Model Inputs &amp; Assumptions'!$D$40*'Model Inputs &amp; Assumptions'!$H$40</f>
        <v>930876.224827291</v>
      </c>
      <c r="P283" s="50" t="n">
        <f aca="false">N283*'Model Inputs &amp; Assumptions'!$G$40*'Model Inputs &amp; Assumptions'!$H$40</f>
        <v>20944.715058614</v>
      </c>
      <c r="Q283" s="50" t="n">
        <f aca="false">SUMIFS('Activation Detail'!$I$4:$I$4003,'Activation Detail'!$A$4:$A$4003,$A283,'Activation Detail'!$N$4:$N$4003,N$2)</f>
        <v>17767.236</v>
      </c>
      <c r="R283" s="51" t="n">
        <f aca="false">IFERROR(P283/Q283,0)</f>
        <v>1.1788392442479</v>
      </c>
      <c r="S283" s="49" t="n">
        <f aca="false">IFERROR(Q283/N283,0)</f>
        <v>162.235861194134</v>
      </c>
      <c r="T283" s="48" t="n">
        <f aca="false">SUMIFS('Activation Detail'!$H$4:$H$4003,'Activation Detail'!$A$4:$A$4003,$A283,'Activation Detail'!$N$4:$N$4003,T$2)</f>
        <v>197.761979913265</v>
      </c>
      <c r="U283" s="50" t="n">
        <f aca="false">T283*'Model Inputs &amp; Assumptions'!$D$41*'Model Inputs &amp; Assumptions'!$H$41</f>
        <v>1423886.25537551</v>
      </c>
      <c r="V283" s="50" t="n">
        <f aca="false">T283*'Model Inputs &amp; Assumptions'!$G$41*'Model Inputs &amp; Assumptions'!$H$41</f>
        <v>31396.6919310299</v>
      </c>
      <c r="W283" s="50" t="n">
        <f aca="false">SUMIFS('Activation Detail'!$I$4:$I$4003,'Activation Detail'!$A$4:$A$4003,$A283,'Activation Detail'!$N$4:$N$4003,T$2)</f>
        <v>17380.874594</v>
      </c>
      <c r="X283" s="51" t="n">
        <f aca="false">IFERROR(V283/W283,0)</f>
        <v>1.80639309956636</v>
      </c>
      <c r="Y283" s="49" t="n">
        <f aca="false">IFERROR(W283/T283,0)</f>
        <v>87.8878468026208</v>
      </c>
      <c r="Z283" s="48" t="n">
        <f aca="false">SUMIFS('Activation Detail'!$H$4:$H$4003,'Activation Detail'!$A$4:$A$4003,$A283,'Activation Detail'!$N$4:$N$4003,Z$2)</f>
        <v>395.887084583137</v>
      </c>
      <c r="AA283" s="50" t="n">
        <f aca="false">Z283*'Model Inputs &amp; Assumptions'!$D$42*'Model Inputs &amp; Assumptions'!$H$42</f>
        <v>2137790.25674894</v>
      </c>
      <c r="AB283" s="50" t="n">
        <f aca="false">Z283*'Model Inputs &amp; Assumptions'!$G$42*'Model Inputs &amp; Assumptions'!$H$42</f>
        <v>44893.5953917278</v>
      </c>
      <c r="AC283" s="50" t="n">
        <f aca="false">SUMIFS('Activation Detail'!$I$4:$I$4003,'Activation Detail'!$A$4:$A$4003,$A283,'Activation Detail'!$N$4:$N$4003,Z$2)</f>
        <v>35089.324</v>
      </c>
      <c r="AD283" s="51" t="n">
        <f aca="false">IFERROR(AB283/AC283,0)</f>
        <v>1.27940895617504</v>
      </c>
      <c r="AE283" s="49" t="n">
        <f aca="false">IFERROR(AC283/Z283,0)</f>
        <v>88.6346773271184</v>
      </c>
    </row>
    <row r="284" customFormat="false" ht="15" hidden="false" customHeight="false" outlineLevel="0" collapsed="false">
      <c r="A284" s="43" t="n">
        <v>281</v>
      </c>
      <c r="B284" s="45" t="n">
        <f aca="false">SUM('Activation Detail'!C284,'Activation Detail'!C784,'Activation Detail'!C1284,'Activation Detail'!C1784,'Activation Detail'!C2284,'Activation Detail'!C2784,'Activation Detail'!C3284,'Activation Detail'!C3784)</f>
        <v>4212670</v>
      </c>
      <c r="C284" s="45" t="n">
        <f aca="false">SUM('Activation Detail'!E284,'Activation Detail'!E784,'Activation Detail'!E1284,'Activation Detail'!E1784,'Activation Detail'!E2284,'Activation Detail'!E2784,'Activation Detail'!E3284,'Activation Detail'!E3784)</f>
        <v>630341</v>
      </c>
      <c r="D284" s="45" t="n">
        <f aca="false">SUM('Activation Detail'!G284,'Activation Detail'!G784,'Activation Detail'!G1284,'Activation Detail'!G1784,'Activation Detail'!G2284,'Activation Detail'!G2784,'Activation Detail'!G3284,'Activation Detail'!G3784)</f>
        <v>16306</v>
      </c>
      <c r="E284" s="48" t="n">
        <f aca="false">SUM('Activation Detail'!H284,'Activation Detail'!H784,'Activation Detail'!H1284,'Activation Detail'!H1784,'Activation Detail'!H2284,'Activation Detail'!H2784,'Activation Detail'!H3284,'Activation Detail'!H3784)</f>
        <v>598.642530287719</v>
      </c>
      <c r="F284" s="50" t="n">
        <f aca="false">SUM('Activation Detail'!I284,'Activation Detail'!I784,'Activation Detail'!I1284,'Activation Detail'!I1784,'Activation Detail'!I2284,'Activation Detail'!I2784,'Activation Detail'!I3284,'Activation Detail'!I3784)</f>
        <v>75452.27991</v>
      </c>
      <c r="G284" s="50" t="n">
        <f aca="false">SUM('Activation Detail'!J284,'Activation Detail'!J784,'Activation Detail'!J1284,'Activation Detail'!J1784,'Activation Detail'!J2284,'Activation Detail'!J2784,'Activation Detail'!J3284,'Activation Detail'!J3784)</f>
        <v>3779621.55635088</v>
      </c>
      <c r="H284" s="50" t="n">
        <f aca="false">SUM('Activation Detail'!K284,'Activation Detail'!K784,'Activation Detail'!K1284,'Activation Detail'!K1784,'Activation Detail'!K2284,'Activation Detail'!K2784,'Activation Detail'!K3284,'Activation Detail'!K3784)</f>
        <v>81647.726105863</v>
      </c>
      <c r="I284" s="51" t="n">
        <f aca="false">IFERROR(H284/F284,0)</f>
        <v>1.08211078847787</v>
      </c>
      <c r="J284" s="49" t="n">
        <f aca="false">IFERROR(F284/E284,0)</f>
        <v>126.038956626981</v>
      </c>
      <c r="K284" s="46" t="n">
        <f aca="false">IFERROR(C284/B284,0)</f>
        <v>0.149629807224397</v>
      </c>
      <c r="L284" s="47" t="n">
        <f aca="false">IFERROR(D284/B284,0)</f>
        <v>0.00387070432765918</v>
      </c>
      <c r="N284" s="48" t="n">
        <f aca="false">SUMIFS('Activation Detail'!$H$4:$H$4003,'Activation Detail'!$A$4:$A$4003,$A284,'Activation Detail'!$N$4:$N$4003,N$2)</f>
        <v>79.7204713099263</v>
      </c>
      <c r="O284" s="50" t="n">
        <f aca="false">N284*'Model Inputs &amp; Assumptions'!$D$40*'Model Inputs &amp; Assumptions'!$H$40</f>
        <v>677624.006134374</v>
      </c>
      <c r="P284" s="50" t="n">
        <f aca="false">N284*'Model Inputs &amp; Assumptions'!$G$40*'Model Inputs &amp; Assumptions'!$H$40</f>
        <v>15246.5401380234</v>
      </c>
      <c r="Q284" s="50" t="n">
        <f aca="false">SUMIFS('Activation Detail'!$I$4:$I$4003,'Activation Detail'!$A$4:$A$4003,$A284,'Activation Detail'!$N$4:$N$4003,N$2)</f>
        <v>17791.364</v>
      </c>
      <c r="R284" s="51" t="n">
        <f aca="false">IFERROR(P284/Q284,0)</f>
        <v>0.856962970237887</v>
      </c>
      <c r="S284" s="49" t="n">
        <f aca="false">IFERROR(Q284/N284,0)</f>
        <v>223.171836639465</v>
      </c>
      <c r="T284" s="48" t="n">
        <f aca="false">SUMIFS('Activation Detail'!$H$4:$H$4003,'Activation Detail'!$A$4:$A$4003,$A284,'Activation Detail'!$N$4:$N$4003,T$2)</f>
        <v>166.565795409125</v>
      </c>
      <c r="U284" s="50" t="n">
        <f aca="false">T284*'Model Inputs &amp; Assumptions'!$D$41*'Model Inputs &amp; Assumptions'!$H$41</f>
        <v>1199273.7269457</v>
      </c>
      <c r="V284" s="50" t="n">
        <f aca="false">T284*'Model Inputs &amp; Assumptions'!$G$41*'Model Inputs &amp; Assumptions'!$H$41</f>
        <v>26443.9856791526</v>
      </c>
      <c r="W284" s="50" t="n">
        <f aca="false">SUMIFS('Activation Detail'!$I$4:$I$4003,'Activation Detail'!$A$4:$A$4003,$A284,'Activation Detail'!$N$4:$N$4003,T$2)</f>
        <v>21629.20791</v>
      </c>
      <c r="X284" s="51" t="n">
        <f aca="false">IFERROR(V284/W284,0)</f>
        <v>1.22260536720471</v>
      </c>
      <c r="Y284" s="49" t="n">
        <f aca="false">IFERROR(W284/T284,0)</f>
        <v>129.853838579965</v>
      </c>
      <c r="Z284" s="48" t="n">
        <f aca="false">SUMIFS('Activation Detail'!$H$4:$H$4003,'Activation Detail'!$A$4:$A$4003,$A284,'Activation Detail'!$N$4:$N$4003,Z$2)</f>
        <v>352.356263568668</v>
      </c>
      <c r="AA284" s="50" t="n">
        <f aca="false">Z284*'Model Inputs &amp; Assumptions'!$D$42*'Model Inputs &amp; Assumptions'!$H$42</f>
        <v>1902723.82327081</v>
      </c>
      <c r="AB284" s="50" t="n">
        <f aca="false">Z284*'Model Inputs &amp; Assumptions'!$G$42*'Model Inputs &amp; Assumptions'!$H$42</f>
        <v>39957.2002886869</v>
      </c>
      <c r="AC284" s="50" t="n">
        <f aca="false">SUMIFS('Activation Detail'!$I$4:$I$4003,'Activation Detail'!$A$4:$A$4003,$A284,'Activation Detail'!$N$4:$N$4003,Z$2)</f>
        <v>36031.708</v>
      </c>
      <c r="AD284" s="51" t="n">
        <f aca="false">IFERROR(AB284/AC284,0)</f>
        <v>1.10894549569193</v>
      </c>
      <c r="AE284" s="49" t="n">
        <f aca="false">IFERROR(AC284/Z284,0)</f>
        <v>102.259308902503</v>
      </c>
    </row>
    <row r="285" customFormat="false" ht="15" hidden="false" customHeight="false" outlineLevel="0" collapsed="false">
      <c r="A285" s="43" t="n">
        <v>282</v>
      </c>
      <c r="B285" s="45" t="n">
        <f aca="false">SUM('Activation Detail'!C285,'Activation Detail'!C785,'Activation Detail'!C1285,'Activation Detail'!C1785,'Activation Detail'!C2285,'Activation Detail'!C2785,'Activation Detail'!C3285,'Activation Detail'!C3785)</f>
        <v>3292459</v>
      </c>
      <c r="C285" s="45" t="n">
        <f aca="false">SUM('Activation Detail'!E285,'Activation Detail'!E785,'Activation Detail'!E1285,'Activation Detail'!E1785,'Activation Detail'!E2285,'Activation Detail'!E2785,'Activation Detail'!E3285,'Activation Detail'!E3785)</f>
        <v>352914</v>
      </c>
      <c r="D285" s="45" t="n">
        <f aca="false">SUM('Activation Detail'!G285,'Activation Detail'!G785,'Activation Detail'!G1285,'Activation Detail'!G1785,'Activation Detail'!G2285,'Activation Detail'!G2785,'Activation Detail'!G3285,'Activation Detail'!G3785)</f>
        <v>11512</v>
      </c>
      <c r="E285" s="48" t="n">
        <f aca="false">SUM('Activation Detail'!H285,'Activation Detail'!H785,'Activation Detail'!H1285,'Activation Detail'!H1785,'Activation Detail'!H2285,'Activation Detail'!H2785,'Activation Detail'!H3285,'Activation Detail'!H3785)</f>
        <v>460.281942410579</v>
      </c>
      <c r="F285" s="50" t="n">
        <f aca="false">SUM('Activation Detail'!I285,'Activation Detail'!I785,'Activation Detail'!I1285,'Activation Detail'!I1785,'Activation Detail'!I2285,'Activation Detail'!I2785,'Activation Detail'!I3285,'Activation Detail'!I3785)</f>
        <v>69668.15191</v>
      </c>
      <c r="G285" s="50" t="n">
        <f aca="false">SUM('Activation Detail'!J285,'Activation Detail'!J785,'Activation Detail'!J1285,'Activation Detail'!J1785,'Activation Detail'!J2285,'Activation Detail'!J2785,'Activation Detail'!J3285,'Activation Detail'!J3785)</f>
        <v>3184141.98860364</v>
      </c>
      <c r="H285" s="50" t="n">
        <f aca="false">SUM('Activation Detail'!K285,'Activation Detail'!K785,'Activation Detail'!K1285,'Activation Detail'!K1785,'Activation Detail'!K2285,'Activation Detail'!K2785,'Activation Detail'!K3285,'Activation Detail'!K3785)</f>
        <v>69771.580918686</v>
      </c>
      <c r="I285" s="51" t="n">
        <f aca="false">IFERROR(H285/F285,0)</f>
        <v>1.00148459526843</v>
      </c>
      <c r="J285" s="49" t="n">
        <f aca="false">IFERROR(F285/E285,0)</f>
        <v>151.359733004374</v>
      </c>
      <c r="K285" s="46" t="n">
        <f aca="false">IFERROR(C285/B285,0)</f>
        <v>0.107188578506217</v>
      </c>
      <c r="L285" s="47" t="n">
        <f aca="false">IFERROR(D285/B285,0)</f>
        <v>0.00349647482322483</v>
      </c>
      <c r="N285" s="48" t="n">
        <f aca="false">SUMIFS('Activation Detail'!$H$4:$H$4003,'Activation Detail'!$A$4:$A$4003,$A285,'Activation Detail'!$N$4:$N$4003,N$2)</f>
        <v>109.639778717229</v>
      </c>
      <c r="O285" s="50" t="n">
        <f aca="false">N285*'Model Inputs &amp; Assumptions'!$D$40*'Model Inputs &amp; Assumptions'!$H$40</f>
        <v>931938.11909645</v>
      </c>
      <c r="P285" s="50" t="n">
        <f aca="false">N285*'Model Inputs &amp; Assumptions'!$G$40*'Model Inputs &amp; Assumptions'!$H$40</f>
        <v>20968.6076796701</v>
      </c>
      <c r="Q285" s="50" t="n">
        <f aca="false">SUMIFS('Activation Detail'!$I$4:$I$4003,'Activation Detail'!$A$4:$A$4003,$A285,'Activation Detail'!$N$4:$N$4003,N$2)</f>
        <v>17819.0605</v>
      </c>
      <c r="R285" s="51" t="n">
        <f aca="false">IFERROR(P285/Q285,0)</f>
        <v>1.17675158461189</v>
      </c>
      <c r="S285" s="49" t="n">
        <f aca="false">IFERROR(Q285/N285,0)</f>
        <v>162.523681719177</v>
      </c>
      <c r="T285" s="48" t="n">
        <f aca="false">SUMIFS('Activation Detail'!$H$4:$H$4003,'Activation Detail'!$A$4:$A$4003,$A285,'Activation Detail'!$N$4:$N$4003,T$2)</f>
        <v>199.297880868387</v>
      </c>
      <c r="U285" s="50" t="n">
        <f aca="false">T285*'Model Inputs &amp; Assumptions'!$D$41*'Model Inputs &amp; Assumptions'!$H$41</f>
        <v>1434944.74225239</v>
      </c>
      <c r="V285" s="50" t="n">
        <f aca="false">T285*'Model Inputs &amp; Assumptions'!$G$41*'Model Inputs &amp; Assumptions'!$H$41</f>
        <v>31640.5315666652</v>
      </c>
      <c r="W285" s="50" t="n">
        <f aca="false">SUMIFS('Activation Detail'!$I$4:$I$4003,'Activation Detail'!$A$4:$A$4003,$A285,'Activation Detail'!$N$4:$N$4003,T$2)</f>
        <v>19245.20741</v>
      </c>
      <c r="X285" s="51" t="n">
        <f aca="false">IFERROR(V285/W285,0)</f>
        <v>1.64407329537142</v>
      </c>
      <c r="Y285" s="49" t="n">
        <f aca="false">IFERROR(W285/T285,0)</f>
        <v>96.5650378526061</v>
      </c>
      <c r="Z285" s="48" t="n">
        <f aca="false">SUMIFS('Activation Detail'!$H$4:$H$4003,'Activation Detail'!$A$4:$A$4003,$A285,'Activation Detail'!$N$4:$N$4003,Z$2)</f>
        <v>151.344282824962</v>
      </c>
      <c r="AA285" s="50" t="n">
        <f aca="false">Z285*'Model Inputs &amp; Assumptions'!$D$42*'Model Inputs &amp; Assumptions'!$H$42</f>
        <v>817259.127254796</v>
      </c>
      <c r="AB285" s="50" t="n">
        <f aca="false">Z285*'Model Inputs &amp; Assumptions'!$G$42*'Model Inputs &amp; Assumptions'!$H$42</f>
        <v>17162.4416723507</v>
      </c>
      <c r="AC285" s="50" t="n">
        <f aca="false">SUMIFS('Activation Detail'!$I$4:$I$4003,'Activation Detail'!$A$4:$A$4003,$A285,'Activation Detail'!$N$4:$N$4003,Z$2)</f>
        <v>32603.884</v>
      </c>
      <c r="AD285" s="51" t="n">
        <f aca="false">IFERROR(AB285/AC285,0)</f>
        <v>0.526392551033206</v>
      </c>
      <c r="AE285" s="49" t="n">
        <f aca="false">IFERROR(AC285/Z285,0)</f>
        <v>215.428580395786</v>
      </c>
    </row>
    <row r="286" customFormat="false" ht="15" hidden="false" customHeight="false" outlineLevel="0" collapsed="false">
      <c r="A286" s="43" t="n">
        <v>283</v>
      </c>
      <c r="B286" s="45" t="n">
        <f aca="false">SUM('Activation Detail'!C286,'Activation Detail'!C786,'Activation Detail'!C1286,'Activation Detail'!C1786,'Activation Detail'!C2286,'Activation Detail'!C2786,'Activation Detail'!C3286,'Activation Detail'!C3786)</f>
        <v>4932294</v>
      </c>
      <c r="C286" s="45" t="n">
        <f aca="false">SUM('Activation Detail'!E286,'Activation Detail'!E786,'Activation Detail'!E1286,'Activation Detail'!E1786,'Activation Detail'!E2286,'Activation Detail'!E2786,'Activation Detail'!E3286,'Activation Detail'!E3786)</f>
        <v>305798</v>
      </c>
      <c r="D286" s="45" t="n">
        <f aca="false">SUM('Activation Detail'!G286,'Activation Detail'!G786,'Activation Detail'!G1286,'Activation Detail'!G1786,'Activation Detail'!G2286,'Activation Detail'!G2786,'Activation Detail'!G3286,'Activation Detail'!G3786)</f>
        <v>15195</v>
      </c>
      <c r="E286" s="48" t="n">
        <f aca="false">SUM('Activation Detail'!H286,'Activation Detail'!H786,'Activation Detail'!H1286,'Activation Detail'!H1786,'Activation Detail'!H2286,'Activation Detail'!H2786,'Activation Detail'!H3286,'Activation Detail'!H3786)</f>
        <v>766.184044831691</v>
      </c>
      <c r="F286" s="50" t="n">
        <f aca="false">SUM('Activation Detail'!I286,'Activation Detail'!I786,'Activation Detail'!I1286,'Activation Detail'!I1786,'Activation Detail'!I2286,'Activation Detail'!I2786,'Activation Detail'!I3286,'Activation Detail'!I3786)</f>
        <v>77147.235412</v>
      </c>
      <c r="G286" s="50" t="n">
        <f aca="false">SUM('Activation Detail'!J286,'Activation Detail'!J786,'Activation Detail'!J1286,'Activation Detail'!J1786,'Activation Detail'!J2286,'Activation Detail'!J2786,'Activation Detail'!J3286,'Activation Detail'!J3786)</f>
        <v>4667581.72871641</v>
      </c>
      <c r="H286" s="50" t="n">
        <f aca="false">SUM('Activation Detail'!K286,'Activation Detail'!K786,'Activation Detail'!K1286,'Activation Detail'!K1786,'Activation Detail'!K2286,'Activation Detail'!K2786,'Activation Detail'!K3286,'Activation Detail'!K3786)</f>
        <v>100228.336848213</v>
      </c>
      <c r="I286" s="51" t="n">
        <f aca="false">IFERROR(H286/F286,0)</f>
        <v>1.29918248285826</v>
      </c>
      <c r="J286" s="49" t="n">
        <f aca="false">IFERROR(F286/E286,0)</f>
        <v>100.690213966733</v>
      </c>
      <c r="K286" s="46" t="n">
        <f aca="false">IFERROR(C286/B286,0)</f>
        <v>0.0619991427923802</v>
      </c>
      <c r="L286" s="47" t="n">
        <f aca="false">IFERROR(D286/B286,0)</f>
        <v>0.00308071659961876</v>
      </c>
      <c r="N286" s="48" t="n">
        <f aca="false">SUMIFS('Activation Detail'!$H$4:$H$4003,'Activation Detail'!$A$4:$A$4003,$A286,'Activation Detail'!$N$4:$N$4003,N$2)</f>
        <v>65.4391802146317</v>
      </c>
      <c r="O286" s="50" t="n">
        <f aca="false">N286*'Model Inputs &amp; Assumptions'!$D$40*'Model Inputs &amp; Assumptions'!$H$40</f>
        <v>556233.031824369</v>
      </c>
      <c r="P286" s="50" t="n">
        <f aca="false">N286*'Model Inputs &amp; Assumptions'!$G$40*'Model Inputs &amp; Assumptions'!$H$40</f>
        <v>12515.2432160483</v>
      </c>
      <c r="Q286" s="50" t="n">
        <f aca="false">SUMIFS('Activation Detail'!$I$4:$I$4003,'Activation Detail'!$A$4:$A$4003,$A286,'Activation Detail'!$N$4:$N$4003,N$2)</f>
        <v>18686.401</v>
      </c>
      <c r="R286" s="51" t="n">
        <f aca="false">IFERROR(P286/Q286,0)</f>
        <v>0.669751399215307</v>
      </c>
      <c r="S286" s="49" t="n">
        <f aca="false">IFERROR(Q286/N286,0)</f>
        <v>285.553714742623</v>
      </c>
      <c r="T286" s="48" t="n">
        <f aca="false">SUMIFS('Activation Detail'!$H$4:$H$4003,'Activation Detail'!$A$4:$A$4003,$A286,'Activation Detail'!$N$4:$N$4003,T$2)</f>
        <v>181.848015533289</v>
      </c>
      <c r="U286" s="50" t="n">
        <f aca="false">T286*'Model Inputs &amp; Assumptions'!$D$41*'Model Inputs &amp; Assumptions'!$H$41</f>
        <v>1309305.71183968</v>
      </c>
      <c r="V286" s="50" t="n">
        <f aca="false">T286*'Model Inputs &amp; Assumptions'!$G$41*'Model Inputs &amp; Assumptions'!$H$41</f>
        <v>28870.190946065</v>
      </c>
      <c r="W286" s="50" t="n">
        <f aca="false">SUMIFS('Activation Detail'!$I$4:$I$4003,'Activation Detail'!$A$4:$A$4003,$A286,'Activation Detail'!$N$4:$N$4003,T$2)</f>
        <v>14983.066412</v>
      </c>
      <c r="X286" s="51" t="n">
        <f aca="false">IFERROR(V286/W286,0)</f>
        <v>1.92685463390476</v>
      </c>
      <c r="Y286" s="49" t="n">
        <f aca="false">IFERROR(W286/T286,0)</f>
        <v>82.3933457181841</v>
      </c>
      <c r="Z286" s="48" t="n">
        <f aca="false">SUMIFS('Activation Detail'!$H$4:$H$4003,'Activation Detail'!$A$4:$A$4003,$A286,'Activation Detail'!$N$4:$N$4003,Z$2)</f>
        <v>518.89684908377</v>
      </c>
      <c r="AA286" s="50" t="n">
        <f aca="false">Z286*'Model Inputs &amp; Assumptions'!$D$42*'Model Inputs &amp; Assumptions'!$H$42</f>
        <v>2802042.98505236</v>
      </c>
      <c r="AB286" s="50" t="n">
        <f aca="false">Z286*'Model Inputs &amp; Assumptions'!$G$42*'Model Inputs &amp; Assumptions'!$H$42</f>
        <v>58842.9026860995</v>
      </c>
      <c r="AC286" s="50" t="n">
        <f aca="false">SUMIFS('Activation Detail'!$I$4:$I$4003,'Activation Detail'!$A$4:$A$4003,$A286,'Activation Detail'!$N$4:$N$4003,Z$2)</f>
        <v>43477.768</v>
      </c>
      <c r="AD286" s="51" t="n">
        <f aca="false">IFERROR(AB286/AC286,0)</f>
        <v>1.35340210394654</v>
      </c>
      <c r="AE286" s="49" t="n">
        <f aca="false">IFERROR(AC286/Z286,0)</f>
        <v>83.788845657417</v>
      </c>
    </row>
    <row r="287" customFormat="false" ht="15" hidden="false" customHeight="false" outlineLevel="0" collapsed="false">
      <c r="A287" s="43" t="n">
        <v>284</v>
      </c>
      <c r="B287" s="45" t="n">
        <f aca="false">SUM('Activation Detail'!C287,'Activation Detail'!C787,'Activation Detail'!C1287,'Activation Detail'!C1787,'Activation Detail'!C2287,'Activation Detail'!C2787,'Activation Detail'!C3287,'Activation Detail'!C3787)</f>
        <v>3644333</v>
      </c>
      <c r="C287" s="45" t="n">
        <f aca="false">SUM('Activation Detail'!E287,'Activation Detail'!E787,'Activation Detail'!E1287,'Activation Detail'!E1787,'Activation Detail'!E2287,'Activation Detail'!E2787,'Activation Detail'!E3287,'Activation Detail'!E3787)</f>
        <v>240451</v>
      </c>
      <c r="D287" s="45" t="n">
        <f aca="false">SUM('Activation Detail'!G287,'Activation Detail'!G787,'Activation Detail'!G1287,'Activation Detail'!G1787,'Activation Detail'!G2287,'Activation Detail'!G2787,'Activation Detail'!G3287,'Activation Detail'!G3787)</f>
        <v>14855</v>
      </c>
      <c r="E287" s="48" t="n">
        <f aca="false">SUM('Activation Detail'!H287,'Activation Detail'!H787,'Activation Detail'!H1287,'Activation Detail'!H1787,'Activation Detail'!H2287,'Activation Detail'!H2787,'Activation Detail'!H3287,'Activation Detail'!H3787)</f>
        <v>555.498385931683</v>
      </c>
      <c r="F287" s="50" t="n">
        <f aca="false">SUM('Activation Detail'!I287,'Activation Detail'!I787,'Activation Detail'!I1287,'Activation Detail'!I1787,'Activation Detail'!I2287,'Activation Detail'!I2787,'Activation Detail'!I3287,'Activation Detail'!I3787)</f>
        <v>73652.277418</v>
      </c>
      <c r="G287" s="50" t="n">
        <f aca="false">SUM('Activation Detail'!J287,'Activation Detail'!J787,'Activation Detail'!J1287,'Activation Detail'!J1787,'Activation Detail'!J2287,'Activation Detail'!J2787,'Activation Detail'!J3287,'Activation Detail'!J3787)</f>
        <v>3484747.05668743</v>
      </c>
      <c r="H287" s="50" t="n">
        <f aca="false">SUM('Activation Detail'!K287,'Activation Detail'!K787,'Activation Detail'!K1287,'Activation Detail'!K1787,'Activation Detail'!K2287,'Activation Detail'!K2787,'Activation Detail'!K3287,'Activation Detail'!K3787)</f>
        <v>75193.3641542776</v>
      </c>
      <c r="I287" s="51" t="n">
        <f aca="false">IFERROR(H287/F287,0)</f>
        <v>1.02092381648339</v>
      </c>
      <c r="J287" s="49" t="n">
        <f aca="false">IFERROR(F287/E287,0)</f>
        <v>132.58774333695</v>
      </c>
      <c r="K287" s="46" t="n">
        <f aca="false">IFERROR(C287/B287,0)</f>
        <v>0.0659794261391591</v>
      </c>
      <c r="L287" s="47" t="n">
        <f aca="false">IFERROR(D287/B287,0)</f>
        <v>0.00407619172013095</v>
      </c>
      <c r="N287" s="48" t="n">
        <f aca="false">SUMIFS('Activation Detail'!$H$4:$H$4003,'Activation Detail'!$A$4:$A$4003,$A287,'Activation Detail'!$N$4:$N$4003,N$2)</f>
        <v>87.2528937595297</v>
      </c>
      <c r="O287" s="50" t="n">
        <f aca="false">N287*'Model Inputs &amp; Assumptions'!$D$40*'Model Inputs &amp; Assumptions'!$H$40</f>
        <v>741649.596956003</v>
      </c>
      <c r="P287" s="50" t="n">
        <f aca="false">N287*'Model Inputs &amp; Assumptions'!$G$40*'Model Inputs &amp; Assumptions'!$H$40</f>
        <v>16687.1159315101</v>
      </c>
      <c r="Q287" s="50" t="n">
        <f aca="false">SUMIFS('Activation Detail'!$I$4:$I$4003,'Activation Detail'!$A$4:$A$4003,$A287,'Activation Detail'!$N$4:$N$4003,N$2)</f>
        <v>18711.3025</v>
      </c>
      <c r="R287" s="51" t="n">
        <f aca="false">IFERROR(P287/Q287,0)</f>
        <v>0.891820114153467</v>
      </c>
      <c r="S287" s="49" t="n">
        <f aca="false">IFERROR(Q287/N287,0)</f>
        <v>214.449076629695</v>
      </c>
      <c r="T287" s="48" t="n">
        <f aca="false">SUMIFS('Activation Detail'!$H$4:$H$4003,'Activation Detail'!$A$4:$A$4003,$A287,'Activation Detail'!$N$4:$N$4003,T$2)</f>
        <v>119.206556667666</v>
      </c>
      <c r="U287" s="50" t="n">
        <f aca="false">T287*'Model Inputs &amp; Assumptions'!$D$41*'Model Inputs &amp; Assumptions'!$H$41</f>
        <v>858287.208007196</v>
      </c>
      <c r="V287" s="50" t="n">
        <f aca="false">T287*'Model Inputs &amp; Assumptions'!$G$41*'Model Inputs &amp; Assumptions'!$H$41</f>
        <v>18925.2329365587</v>
      </c>
      <c r="W287" s="50" t="n">
        <f aca="false">SUMIFS('Activation Detail'!$I$4:$I$4003,'Activation Detail'!$A$4:$A$4003,$A287,'Activation Detail'!$N$4:$N$4003,T$2)</f>
        <v>15613.598918</v>
      </c>
      <c r="X287" s="51" t="n">
        <f aca="false">IFERROR(V287/W287,0)</f>
        <v>1.21209933955335</v>
      </c>
      <c r="Y287" s="49" t="n">
        <f aca="false">IFERROR(W287/T287,0)</f>
        <v>130.979363505389</v>
      </c>
      <c r="Z287" s="48" t="n">
        <f aca="false">SUMIFS('Activation Detail'!$H$4:$H$4003,'Activation Detail'!$A$4:$A$4003,$A287,'Activation Detail'!$N$4:$N$4003,Z$2)</f>
        <v>349.038935504488</v>
      </c>
      <c r="AA287" s="50" t="n">
        <f aca="false">Z287*'Model Inputs &amp; Assumptions'!$D$42*'Model Inputs &amp; Assumptions'!$H$42</f>
        <v>1884810.25172423</v>
      </c>
      <c r="AB287" s="50" t="n">
        <f aca="false">Z287*'Model Inputs &amp; Assumptions'!$G$42*'Model Inputs &amp; Assumptions'!$H$42</f>
        <v>39581.0152862089</v>
      </c>
      <c r="AC287" s="50" t="n">
        <f aca="false">SUMIFS('Activation Detail'!$I$4:$I$4003,'Activation Detail'!$A$4:$A$4003,$A287,'Activation Detail'!$N$4:$N$4003,Z$2)</f>
        <v>39327.376</v>
      </c>
      <c r="AD287" s="51" t="n">
        <f aca="false">IFERROR(AB287/AC287,0)</f>
        <v>1.0064494332449</v>
      </c>
      <c r="AE287" s="49" t="n">
        <f aca="false">IFERROR(AC287/Z287,0)</f>
        <v>112.673320938129</v>
      </c>
    </row>
    <row r="288" customFormat="false" ht="15" hidden="false" customHeight="false" outlineLevel="0" collapsed="false">
      <c r="A288" s="43" t="n">
        <v>285</v>
      </c>
      <c r="B288" s="45" t="n">
        <f aca="false">SUM('Activation Detail'!C288,'Activation Detail'!C788,'Activation Detail'!C1288,'Activation Detail'!C1788,'Activation Detail'!C2288,'Activation Detail'!C2788,'Activation Detail'!C3288,'Activation Detail'!C3788)</f>
        <v>4324001</v>
      </c>
      <c r="C288" s="45" t="n">
        <f aca="false">SUM('Activation Detail'!E288,'Activation Detail'!E788,'Activation Detail'!E1288,'Activation Detail'!E1788,'Activation Detail'!E2288,'Activation Detail'!E2788,'Activation Detail'!E3288,'Activation Detail'!E3788)</f>
        <v>561148</v>
      </c>
      <c r="D288" s="45" t="n">
        <f aca="false">SUM('Activation Detail'!G288,'Activation Detail'!G788,'Activation Detail'!G1288,'Activation Detail'!G1788,'Activation Detail'!G2288,'Activation Detail'!G2788,'Activation Detail'!G3288,'Activation Detail'!G3788)</f>
        <v>22913</v>
      </c>
      <c r="E288" s="48" t="n">
        <f aca="false">SUM('Activation Detail'!H288,'Activation Detail'!H788,'Activation Detail'!H1288,'Activation Detail'!H1788,'Activation Detail'!H2288,'Activation Detail'!H2788,'Activation Detail'!H3288,'Activation Detail'!H3788)</f>
        <v>917.309896477193</v>
      </c>
      <c r="F288" s="50" t="n">
        <f aca="false">SUM('Activation Detail'!I288,'Activation Detail'!I788,'Activation Detail'!I1288,'Activation Detail'!I1788,'Activation Detail'!I2288,'Activation Detail'!I2788,'Activation Detail'!I3288,'Activation Detail'!I3788)</f>
        <v>74845.061582</v>
      </c>
      <c r="G288" s="50" t="n">
        <f aca="false">SUM('Activation Detail'!J288,'Activation Detail'!J788,'Activation Detail'!J1288,'Activation Detail'!J1788,'Activation Detail'!J2288,'Activation Detail'!J2788,'Activation Detail'!J3288,'Activation Detail'!J3788)</f>
        <v>5629382.01159779</v>
      </c>
      <c r="H288" s="50" t="n">
        <f aca="false">SUM('Activation Detail'!K288,'Activation Detail'!K788,'Activation Detail'!K1288,'Activation Detail'!K1788,'Activation Detail'!K2288,'Activation Detail'!K2788,'Activation Detail'!K3288,'Activation Detail'!K3788)</f>
        <v>121032.504227328</v>
      </c>
      <c r="I288" s="51" t="n">
        <f aca="false">IFERROR(H288/F288,0)</f>
        <v>1.61710741723053</v>
      </c>
      <c r="J288" s="49" t="n">
        <f aca="false">IFERROR(F288/E288,0)</f>
        <v>81.5919046217996</v>
      </c>
      <c r="K288" s="46" t="n">
        <f aca="false">IFERROR(C288/B288,0)</f>
        <v>0.12977517812785</v>
      </c>
      <c r="L288" s="47" t="n">
        <f aca="false">IFERROR(D288/B288,0)</f>
        <v>0.00529902745165878</v>
      </c>
      <c r="N288" s="48" t="n">
        <f aca="false">SUMIFS('Activation Detail'!$H$4:$H$4003,'Activation Detail'!$A$4:$A$4003,$A288,'Activation Detail'!$N$4:$N$4003,N$2)</f>
        <v>86.4222697549822</v>
      </c>
      <c r="O288" s="50" t="n">
        <f aca="false">N288*'Model Inputs &amp; Assumptions'!$D$40*'Model Inputs &amp; Assumptions'!$H$40</f>
        <v>734589.292917349</v>
      </c>
      <c r="P288" s="50" t="n">
        <f aca="false">N288*'Model Inputs &amp; Assumptions'!$G$40*'Model Inputs &amp; Assumptions'!$H$40</f>
        <v>16528.2590906403</v>
      </c>
      <c r="Q288" s="50" t="n">
        <f aca="false">SUMIFS('Activation Detail'!$I$4:$I$4003,'Activation Detail'!$A$4:$A$4003,$A288,'Activation Detail'!$N$4:$N$4003,N$2)</f>
        <v>17453.663</v>
      </c>
      <c r="R288" s="51" t="n">
        <f aca="false">IFERROR(P288/Q288,0)</f>
        <v>0.946979387114346</v>
      </c>
      <c r="S288" s="49" t="n">
        <f aca="false">IFERROR(Q288/N288,0)</f>
        <v>201.957933406323</v>
      </c>
      <c r="T288" s="48" t="n">
        <f aca="false">SUMIFS('Activation Detail'!$H$4:$H$4003,'Activation Detail'!$A$4:$A$4003,$A288,'Activation Detail'!$N$4:$N$4003,T$2)</f>
        <v>226.666407989166</v>
      </c>
      <c r="U288" s="50" t="n">
        <f aca="false">T288*'Model Inputs &amp; Assumptions'!$D$41*'Model Inputs &amp; Assumptions'!$H$41</f>
        <v>1631998.137522</v>
      </c>
      <c r="V288" s="50" t="n">
        <f aca="false">T288*'Model Inputs &amp; Assumptions'!$G$41*'Model Inputs &amp; Assumptions'!$H$41</f>
        <v>35985.55893236</v>
      </c>
      <c r="W288" s="50" t="n">
        <f aca="false">SUMIFS('Activation Detail'!$I$4:$I$4003,'Activation Detail'!$A$4:$A$4003,$A288,'Activation Detail'!$N$4:$N$4003,T$2)</f>
        <v>22945.094582</v>
      </c>
      <c r="X288" s="51" t="n">
        <f aca="false">IFERROR(V288/W288,0)</f>
        <v>1.56833343195674</v>
      </c>
      <c r="Y288" s="49" t="n">
        <f aca="false">IFERROR(W288/T288,0)</f>
        <v>101.228473974391</v>
      </c>
      <c r="Z288" s="48" t="n">
        <f aca="false">SUMIFS('Activation Detail'!$H$4:$H$4003,'Activation Detail'!$A$4:$A$4003,$A288,'Activation Detail'!$N$4:$N$4003,Z$2)</f>
        <v>604.221218733045</v>
      </c>
      <c r="AA288" s="50" t="n">
        <f aca="false">Z288*'Model Inputs &amp; Assumptions'!$D$42*'Model Inputs &amp; Assumptions'!$H$42</f>
        <v>3262794.58115844</v>
      </c>
      <c r="AB288" s="50" t="n">
        <f aca="false">Z288*'Model Inputs &amp; Assumptions'!$G$42*'Model Inputs &amp; Assumptions'!$H$42</f>
        <v>68518.6862043273</v>
      </c>
      <c r="AC288" s="50" t="n">
        <f aca="false">SUMIFS('Activation Detail'!$I$4:$I$4003,'Activation Detail'!$A$4:$A$4003,$A288,'Activation Detail'!$N$4:$N$4003,Z$2)</f>
        <v>34446.304</v>
      </c>
      <c r="AD288" s="51" t="n">
        <f aca="false">IFERROR(AB288/AC288,0)</f>
        <v>1.98914479197325</v>
      </c>
      <c r="AE288" s="49" t="n">
        <f aca="false">IFERROR(AC288/Z288,0)</f>
        <v>57.0094245816596</v>
      </c>
    </row>
    <row r="289" customFormat="false" ht="15" hidden="false" customHeight="false" outlineLevel="0" collapsed="false">
      <c r="A289" s="43" t="n">
        <v>286</v>
      </c>
      <c r="B289" s="45" t="n">
        <f aca="false">SUM('Activation Detail'!C289,'Activation Detail'!C789,'Activation Detail'!C1289,'Activation Detail'!C1789,'Activation Detail'!C2289,'Activation Detail'!C2789,'Activation Detail'!C3289,'Activation Detail'!C3789)</f>
        <v>4958894</v>
      </c>
      <c r="C289" s="45" t="n">
        <f aca="false">SUM('Activation Detail'!E289,'Activation Detail'!E789,'Activation Detail'!E1289,'Activation Detail'!E1789,'Activation Detail'!E2289,'Activation Detail'!E2789,'Activation Detail'!E3289,'Activation Detail'!E3789)</f>
        <v>638057</v>
      </c>
      <c r="D289" s="45" t="n">
        <f aca="false">SUM('Activation Detail'!G289,'Activation Detail'!G789,'Activation Detail'!G1289,'Activation Detail'!G1789,'Activation Detail'!G2289,'Activation Detail'!G2789,'Activation Detail'!G3289,'Activation Detail'!G3789)</f>
        <v>20584</v>
      </c>
      <c r="E289" s="48" t="n">
        <f aca="false">SUM('Activation Detail'!H289,'Activation Detail'!H789,'Activation Detail'!H1289,'Activation Detail'!H1789,'Activation Detail'!H2289,'Activation Detail'!H2789,'Activation Detail'!H3289,'Activation Detail'!H3789)</f>
        <v>829.195847309459</v>
      </c>
      <c r="F289" s="50" t="n">
        <f aca="false">SUM('Activation Detail'!I289,'Activation Detail'!I789,'Activation Detail'!I1289,'Activation Detail'!I1789,'Activation Detail'!I2289,'Activation Detail'!I2789,'Activation Detail'!I3289,'Activation Detail'!I3789)</f>
        <v>81129.877358</v>
      </c>
      <c r="G289" s="50" t="n">
        <f aca="false">SUM('Activation Detail'!J289,'Activation Detail'!J789,'Activation Detail'!J1289,'Activation Detail'!J1789,'Activation Detail'!J2289,'Activation Detail'!J2789,'Activation Detail'!J3289,'Activation Detail'!J3789)</f>
        <v>5233365.06557976</v>
      </c>
      <c r="H289" s="50" t="n">
        <f aca="false">SUM('Activation Detail'!K289,'Activation Detail'!K789,'Activation Detail'!K1289,'Activation Detail'!K1789,'Activation Detail'!K2289,'Activation Detail'!K2789,'Activation Detail'!K3289,'Activation Detail'!K3789)</f>
        <v>113050.451800383</v>
      </c>
      <c r="I289" s="51" t="n">
        <f aca="false">IFERROR(H289/F289,0)</f>
        <v>1.39345029823634</v>
      </c>
      <c r="J289" s="49" t="n">
        <f aca="false">IFERROR(F289/E289,0)</f>
        <v>97.8416349059718</v>
      </c>
      <c r="K289" s="46" t="n">
        <f aca="false">IFERROR(C289/B289,0)</f>
        <v>0.128669215353262</v>
      </c>
      <c r="L289" s="47" t="n">
        <f aca="false">IFERROR(D289/B289,0)</f>
        <v>0.00415092558945604</v>
      </c>
      <c r="N289" s="48" t="n">
        <f aca="false">SUMIFS('Activation Detail'!$H$4:$H$4003,'Activation Detail'!$A$4:$A$4003,$A289,'Activation Detail'!$N$4:$N$4003,N$2)</f>
        <v>89.5779083283982</v>
      </c>
      <c r="O289" s="50" t="n">
        <f aca="false">N289*'Model Inputs &amp; Assumptions'!$D$40*'Model Inputs &amp; Assumptions'!$H$40</f>
        <v>761412.220791385</v>
      </c>
      <c r="P289" s="50" t="n">
        <f aca="false">N289*'Model Inputs &amp; Assumptions'!$G$40*'Model Inputs &amp; Assumptions'!$H$40</f>
        <v>17131.7749678062</v>
      </c>
      <c r="Q289" s="50" t="n">
        <f aca="false">SUMIFS('Activation Detail'!$I$4:$I$4003,'Activation Detail'!$A$4:$A$4003,$A289,'Activation Detail'!$N$4:$N$4003,N$2)</f>
        <v>17889.449</v>
      </c>
      <c r="R289" s="51" t="n">
        <f aca="false">IFERROR(P289/Q289,0)</f>
        <v>0.957646877095329</v>
      </c>
      <c r="S289" s="49" t="n">
        <f aca="false">IFERROR(Q289/N289,0)</f>
        <v>199.708268855934</v>
      </c>
      <c r="T289" s="48" t="n">
        <f aca="false">SUMIFS('Activation Detail'!$H$4:$H$4003,'Activation Detail'!$A$4:$A$4003,$A289,'Activation Detail'!$N$4:$N$4003,T$2)</f>
        <v>265.56443016147</v>
      </c>
      <c r="U289" s="50" t="n">
        <f aca="false">T289*'Model Inputs &amp; Assumptions'!$D$41*'Model Inputs &amp; Assumptions'!$H$41</f>
        <v>1912063.89716258</v>
      </c>
      <c r="V289" s="50" t="n">
        <f aca="false">T289*'Model Inputs &amp; Assumptions'!$G$41*'Model Inputs &amp; Assumptions'!$H$41</f>
        <v>42161.0089324349</v>
      </c>
      <c r="W289" s="50" t="n">
        <f aca="false">SUMIFS('Activation Detail'!$I$4:$I$4003,'Activation Detail'!$A$4:$A$4003,$A289,'Activation Detail'!$N$4:$N$4003,T$2)</f>
        <v>25586.068358</v>
      </c>
      <c r="X289" s="51" t="n">
        <f aca="false">IFERROR(V289/W289,0)</f>
        <v>1.64781115810833</v>
      </c>
      <c r="Y289" s="49" t="n">
        <f aca="false">IFERROR(W289/T289,0)</f>
        <v>96.3459916015223</v>
      </c>
      <c r="Z289" s="48" t="n">
        <f aca="false">SUMIFS('Activation Detail'!$H$4:$H$4003,'Activation Detail'!$A$4:$A$4003,$A289,'Activation Detail'!$N$4:$N$4003,Z$2)</f>
        <v>474.053508819591</v>
      </c>
      <c r="AA289" s="50" t="n">
        <f aca="false">Z289*'Model Inputs &amp; Assumptions'!$D$42*'Model Inputs &amp; Assumptions'!$H$42</f>
        <v>2559888.94762579</v>
      </c>
      <c r="AB289" s="50" t="n">
        <f aca="false">Z289*'Model Inputs &amp; Assumptions'!$G$42*'Model Inputs &amp; Assumptions'!$H$42</f>
        <v>53757.6679001416</v>
      </c>
      <c r="AC289" s="50" t="n">
        <f aca="false">SUMIFS('Activation Detail'!$I$4:$I$4003,'Activation Detail'!$A$4:$A$4003,$A289,'Activation Detail'!$N$4:$N$4003,Z$2)</f>
        <v>37654.36</v>
      </c>
      <c r="AD289" s="51" t="n">
        <f aca="false">IFERROR(AB289/AC289,0)</f>
        <v>1.42766117655808</v>
      </c>
      <c r="AE289" s="49" t="n">
        <f aca="false">IFERROR(AC289/Z289,0)</f>
        <v>79.4306113117074</v>
      </c>
    </row>
    <row r="290" customFormat="false" ht="15" hidden="false" customHeight="false" outlineLevel="0" collapsed="false">
      <c r="A290" s="43" t="n">
        <v>287</v>
      </c>
      <c r="B290" s="45" t="n">
        <f aca="false">SUM('Activation Detail'!C290,'Activation Detail'!C790,'Activation Detail'!C1290,'Activation Detail'!C1790,'Activation Detail'!C2290,'Activation Detail'!C2790,'Activation Detail'!C3290,'Activation Detail'!C3790)</f>
        <v>3476084</v>
      </c>
      <c r="C290" s="45" t="n">
        <f aca="false">SUM('Activation Detail'!E290,'Activation Detail'!E790,'Activation Detail'!E1290,'Activation Detail'!E1790,'Activation Detail'!E2290,'Activation Detail'!E2790,'Activation Detail'!E3290,'Activation Detail'!E3790)</f>
        <v>408351</v>
      </c>
      <c r="D290" s="45" t="n">
        <f aca="false">SUM('Activation Detail'!G290,'Activation Detail'!G790,'Activation Detail'!G1290,'Activation Detail'!G1790,'Activation Detail'!G2290,'Activation Detail'!G2790,'Activation Detail'!G3290,'Activation Detail'!G3790)</f>
        <v>13387</v>
      </c>
      <c r="E290" s="48" t="n">
        <f aca="false">SUM('Activation Detail'!H290,'Activation Detail'!H790,'Activation Detail'!H1290,'Activation Detail'!H1790,'Activation Detail'!H2290,'Activation Detail'!H2790,'Activation Detail'!H3290,'Activation Detail'!H3790)</f>
        <v>487.422007271173</v>
      </c>
      <c r="F290" s="50" t="n">
        <f aca="false">SUM('Activation Detail'!I290,'Activation Detail'!I790,'Activation Detail'!I1290,'Activation Detail'!I1790,'Activation Detail'!I2290,'Activation Detail'!I2790,'Activation Detail'!I3290,'Activation Detail'!I3790)</f>
        <v>70875.00689</v>
      </c>
      <c r="G290" s="50" t="n">
        <f aca="false">SUM('Activation Detail'!J290,'Activation Detail'!J790,'Activation Detail'!J1290,'Activation Detail'!J1790,'Activation Detail'!J2290,'Activation Detail'!J2790,'Activation Detail'!J3290,'Activation Detail'!J3790)</f>
        <v>3162039.82979341</v>
      </c>
      <c r="H290" s="50" t="n">
        <f aca="false">SUM('Activation Detail'!K290,'Activation Detail'!K790,'Activation Detail'!K1290,'Activation Detail'!K1790,'Activation Detail'!K2290,'Activation Detail'!K2790,'Activation Detail'!K3290,'Activation Detail'!K3790)</f>
        <v>68606.4902360886</v>
      </c>
      <c r="I290" s="51" t="n">
        <f aca="false">IFERROR(H290/F290,0)</f>
        <v>0.967992713461994</v>
      </c>
      <c r="J290" s="49" t="n">
        <f aca="false">IFERROR(F290/E290,0)</f>
        <v>145.407892611975</v>
      </c>
      <c r="K290" s="46" t="n">
        <f aca="false">IFERROR(C290/B290,0)</f>
        <v>0.11747443387444</v>
      </c>
      <c r="L290" s="47" t="n">
        <f aca="false">IFERROR(D290/B290,0)</f>
        <v>0.00385117275646964</v>
      </c>
      <c r="N290" s="48" t="n">
        <f aca="false">SUMIFS('Activation Detail'!$H$4:$H$4003,'Activation Detail'!$A$4:$A$4003,$A290,'Activation Detail'!$N$4:$N$4003,N$2)</f>
        <v>82.1568510931698</v>
      </c>
      <c r="O290" s="50" t="n">
        <f aca="false">N290*'Model Inputs &amp; Assumptions'!$D$40*'Model Inputs &amp; Assumptions'!$H$40</f>
        <v>698333.234291944</v>
      </c>
      <c r="P290" s="50" t="n">
        <f aca="false">N290*'Model Inputs &amp; Assumptions'!$G$40*'Model Inputs &amp; Assumptions'!$H$40</f>
        <v>15712.4977715687</v>
      </c>
      <c r="Q290" s="50" t="n">
        <f aca="false">SUMIFS('Activation Detail'!$I$4:$I$4003,'Activation Detail'!$A$4:$A$4003,$A290,'Activation Detail'!$N$4:$N$4003,N$2)</f>
        <v>17777.9805</v>
      </c>
      <c r="R290" s="51" t="n">
        <f aca="false">IFERROR(P290/Q290,0)</f>
        <v>0.883817921364506</v>
      </c>
      <c r="S290" s="49" t="n">
        <f aca="false">IFERROR(Q290/N290,0)</f>
        <v>216.390724126451</v>
      </c>
      <c r="T290" s="48" t="n">
        <f aca="false">SUMIFS('Activation Detail'!$H$4:$H$4003,'Activation Detail'!$A$4:$A$4003,$A290,'Activation Detail'!$N$4:$N$4003,T$2)</f>
        <v>152.930417855696</v>
      </c>
      <c r="U290" s="50" t="n">
        <f aca="false">T290*'Model Inputs &amp; Assumptions'!$D$41*'Model Inputs &amp; Assumptions'!$H$41</f>
        <v>1101099.00856101</v>
      </c>
      <c r="V290" s="50" t="n">
        <f aca="false">T290*'Model Inputs &amp; Assumptions'!$G$41*'Model Inputs &amp; Assumptions'!$H$41</f>
        <v>24279.2331387702</v>
      </c>
      <c r="W290" s="50" t="n">
        <f aca="false">SUMIFS('Activation Detail'!$I$4:$I$4003,'Activation Detail'!$A$4:$A$4003,$A290,'Activation Detail'!$N$4:$N$4003,T$2)</f>
        <v>18156.16639</v>
      </c>
      <c r="X290" s="51" t="n">
        <f aca="false">IFERROR(V290/W290,0)</f>
        <v>1.33724447205676</v>
      </c>
      <c r="Y290" s="49" t="n">
        <f aca="false">IFERROR(W290/T290,0)</f>
        <v>118.721747083252</v>
      </c>
      <c r="Z290" s="48" t="n">
        <f aca="false">SUMIFS('Activation Detail'!$H$4:$H$4003,'Activation Detail'!$A$4:$A$4003,$A290,'Activation Detail'!$N$4:$N$4003,Z$2)</f>
        <v>252.334738322307</v>
      </c>
      <c r="AA290" s="50" t="n">
        <f aca="false">Z290*'Model Inputs &amp; Assumptions'!$D$42*'Model Inputs &amp; Assumptions'!$H$42</f>
        <v>1362607.58694046</v>
      </c>
      <c r="AB290" s="50" t="n">
        <f aca="false">Z290*'Model Inputs &amp; Assumptions'!$G$42*'Model Inputs &amp; Assumptions'!$H$42</f>
        <v>28614.7593257497</v>
      </c>
      <c r="AC290" s="50" t="n">
        <f aca="false">SUMIFS('Activation Detail'!$I$4:$I$4003,'Activation Detail'!$A$4:$A$4003,$A290,'Activation Detail'!$N$4:$N$4003,Z$2)</f>
        <v>34940.86</v>
      </c>
      <c r="AD290" s="51" t="n">
        <f aca="false">IFERROR(AB290/AC290,0)</f>
        <v>0.818948340875115</v>
      </c>
      <c r="AE290" s="49" t="n">
        <f aca="false">IFERROR(AC290/Z290,0)</f>
        <v>138.470272592314</v>
      </c>
    </row>
    <row r="291" customFormat="false" ht="15" hidden="false" customHeight="false" outlineLevel="0" collapsed="false">
      <c r="A291" s="43" t="n">
        <v>288</v>
      </c>
      <c r="B291" s="45" t="n">
        <f aca="false">SUM('Activation Detail'!C291,'Activation Detail'!C791,'Activation Detail'!C1291,'Activation Detail'!C1791,'Activation Detail'!C2291,'Activation Detail'!C2791,'Activation Detail'!C3291,'Activation Detail'!C3791)</f>
        <v>4448880</v>
      </c>
      <c r="C291" s="45" t="n">
        <f aca="false">SUM('Activation Detail'!E291,'Activation Detail'!E791,'Activation Detail'!E1291,'Activation Detail'!E1791,'Activation Detail'!E2291,'Activation Detail'!E2791,'Activation Detail'!E3291,'Activation Detail'!E3791)</f>
        <v>520693</v>
      </c>
      <c r="D291" s="45" t="n">
        <f aca="false">SUM('Activation Detail'!G291,'Activation Detail'!G791,'Activation Detail'!G1291,'Activation Detail'!G1791,'Activation Detail'!G2291,'Activation Detail'!G2791,'Activation Detail'!G3291,'Activation Detail'!G3791)</f>
        <v>24558</v>
      </c>
      <c r="E291" s="48" t="n">
        <f aca="false">SUM('Activation Detail'!H291,'Activation Detail'!H791,'Activation Detail'!H1291,'Activation Detail'!H1791,'Activation Detail'!H2291,'Activation Detail'!H2791,'Activation Detail'!H3291,'Activation Detail'!H3791)</f>
        <v>831.651791938133</v>
      </c>
      <c r="F291" s="50" t="n">
        <f aca="false">SUM('Activation Detail'!I291,'Activation Detail'!I791,'Activation Detail'!I1291,'Activation Detail'!I1791,'Activation Detail'!I2291,'Activation Detail'!I2791,'Activation Detail'!I3291,'Activation Detail'!I3791)</f>
        <v>84284.884462</v>
      </c>
      <c r="G291" s="50" t="n">
        <f aca="false">SUM('Activation Detail'!J291,'Activation Detail'!J791,'Activation Detail'!J1291,'Activation Detail'!J1791,'Activation Detail'!J2291,'Activation Detail'!J2791,'Activation Detail'!J3291,'Activation Detail'!J3791)</f>
        <v>5152371.83621495</v>
      </c>
      <c r="H291" s="50" t="n">
        <f aca="false">SUM('Activation Detail'!K291,'Activation Detail'!K791,'Activation Detail'!K1291,'Activation Detail'!K1791,'Activation Detail'!K2291,'Activation Detail'!K2791,'Activation Detail'!K3291,'Activation Detail'!K3791)</f>
        <v>110962.880198088</v>
      </c>
      <c r="I291" s="51" t="n">
        <f aca="false">IFERROR(H291/F291,0)</f>
        <v>1.31652170975112</v>
      </c>
      <c r="J291" s="49" t="n">
        <f aca="false">IFERROR(F291/E291,0)</f>
        <v>101.346363080127</v>
      </c>
      <c r="K291" s="46" t="n">
        <f aca="false">IFERROR(C291/B291,0)</f>
        <v>0.117039119958282</v>
      </c>
      <c r="L291" s="47" t="n">
        <f aca="false">IFERROR(D291/B291,0)</f>
        <v>0.00552004099908292</v>
      </c>
      <c r="N291" s="48" t="n">
        <f aca="false">SUMIFS('Activation Detail'!$H$4:$H$4003,'Activation Detail'!$A$4:$A$4003,$A291,'Activation Detail'!$N$4:$N$4003,N$2)</f>
        <v>55.6571606376383</v>
      </c>
      <c r="O291" s="50" t="n">
        <f aca="false">N291*'Model Inputs &amp; Assumptions'!$D$40*'Model Inputs &amp; Assumptions'!$H$40</f>
        <v>473085.865419926</v>
      </c>
      <c r="P291" s="50" t="n">
        <f aca="false">N291*'Model Inputs &amp; Assumptions'!$G$40*'Model Inputs &amp; Assumptions'!$H$40</f>
        <v>10644.4319719483</v>
      </c>
      <c r="Q291" s="50" t="n">
        <f aca="false">SUMIFS('Activation Detail'!$I$4:$I$4003,'Activation Detail'!$A$4:$A$4003,$A291,'Activation Detail'!$N$4:$N$4003,N$2)</f>
        <v>17659.3165</v>
      </c>
      <c r="R291" s="51" t="n">
        <f aca="false">IFERROR(P291/Q291,0)</f>
        <v>0.602765796283697</v>
      </c>
      <c r="S291" s="49" t="n">
        <f aca="false">IFERROR(Q291/N291,0)</f>
        <v>317.287412754898</v>
      </c>
      <c r="T291" s="48" t="n">
        <f aca="false">SUMIFS('Activation Detail'!$H$4:$H$4003,'Activation Detail'!$A$4:$A$4003,$A291,'Activation Detail'!$N$4:$N$4003,T$2)</f>
        <v>271.619423206862</v>
      </c>
      <c r="U291" s="50" t="n">
        <f aca="false">T291*'Model Inputs &amp; Assumptions'!$D$41*'Model Inputs &amp; Assumptions'!$H$41</f>
        <v>1955659.84708941</v>
      </c>
      <c r="V291" s="50" t="n">
        <f aca="false">T291*'Model Inputs &amp; Assumptions'!$G$41*'Model Inputs &amp; Assumptions'!$H$41</f>
        <v>43122.2996283215</v>
      </c>
      <c r="W291" s="50" t="n">
        <f aca="false">SUMIFS('Activation Detail'!$I$4:$I$4003,'Activation Detail'!$A$4:$A$4003,$A291,'Activation Detail'!$N$4:$N$4003,T$2)</f>
        <v>24212.907962</v>
      </c>
      <c r="X291" s="51" t="n">
        <f aca="false">IFERROR(V291/W291,0)</f>
        <v>1.78096326537887</v>
      </c>
      <c r="Y291" s="49" t="n">
        <f aca="false">IFERROR(W291/T291,0)</f>
        <v>89.1427707051705</v>
      </c>
      <c r="Z291" s="48" t="n">
        <f aca="false">SUMIFS('Activation Detail'!$H$4:$H$4003,'Activation Detail'!$A$4:$A$4003,$A291,'Activation Detail'!$N$4:$N$4003,Z$2)</f>
        <v>504.375208093632</v>
      </c>
      <c r="AA291" s="50" t="n">
        <f aca="false">Z291*'Model Inputs &amp; Assumptions'!$D$42*'Model Inputs &amp; Assumptions'!$H$42</f>
        <v>2723626.12370562</v>
      </c>
      <c r="AB291" s="50" t="n">
        <f aca="false">Z291*'Model Inputs &amp; Assumptions'!$G$42*'Model Inputs &amp; Assumptions'!$H$42</f>
        <v>57196.1485978179</v>
      </c>
      <c r="AC291" s="50" t="n">
        <f aca="false">SUMIFS('Activation Detail'!$I$4:$I$4003,'Activation Detail'!$A$4:$A$4003,$A291,'Activation Detail'!$N$4:$N$4003,Z$2)</f>
        <v>42412.66</v>
      </c>
      <c r="AD291" s="51" t="n">
        <f aca="false">IFERROR(AB291/AC291,0)</f>
        <v>1.34856310822801</v>
      </c>
      <c r="AE291" s="49" t="n">
        <f aca="false">IFERROR(AC291/Z291,0)</f>
        <v>84.0895018617301</v>
      </c>
    </row>
    <row r="292" customFormat="false" ht="15" hidden="false" customHeight="false" outlineLevel="0" collapsed="false">
      <c r="A292" s="43" t="n">
        <v>289</v>
      </c>
      <c r="B292" s="45" t="n">
        <f aca="false">SUM('Activation Detail'!C292,'Activation Detail'!C792,'Activation Detail'!C1292,'Activation Detail'!C1792,'Activation Detail'!C2292,'Activation Detail'!C2792,'Activation Detail'!C3292,'Activation Detail'!C3792)</f>
        <v>4297117</v>
      </c>
      <c r="C292" s="45" t="n">
        <f aca="false">SUM('Activation Detail'!E292,'Activation Detail'!E792,'Activation Detail'!E1292,'Activation Detail'!E1792,'Activation Detail'!E2292,'Activation Detail'!E2792,'Activation Detail'!E3292,'Activation Detail'!E3792)</f>
        <v>287228</v>
      </c>
      <c r="D292" s="45" t="n">
        <f aca="false">SUM('Activation Detail'!G292,'Activation Detail'!G792,'Activation Detail'!G1292,'Activation Detail'!G1792,'Activation Detail'!G2292,'Activation Detail'!G2792,'Activation Detail'!G3292,'Activation Detail'!G3792)</f>
        <v>12329</v>
      </c>
      <c r="E292" s="48" t="n">
        <f aca="false">SUM('Activation Detail'!H292,'Activation Detail'!H792,'Activation Detail'!H1292,'Activation Detail'!H1792,'Activation Detail'!H2292,'Activation Detail'!H2792,'Activation Detail'!H3292,'Activation Detail'!H3792)</f>
        <v>542.557130120462</v>
      </c>
      <c r="F292" s="50" t="n">
        <f aca="false">SUM('Activation Detail'!I292,'Activation Detail'!I792,'Activation Detail'!I1292,'Activation Detail'!I1792,'Activation Detail'!I2292,'Activation Detail'!I2792,'Activation Detail'!I3292,'Activation Detail'!I3792)</f>
        <v>71745.700958</v>
      </c>
      <c r="G292" s="50" t="n">
        <f aca="false">SUM('Activation Detail'!J292,'Activation Detail'!J792,'Activation Detail'!J1292,'Activation Detail'!J1792,'Activation Detail'!J2292,'Activation Detail'!J2792,'Activation Detail'!J3292,'Activation Detail'!J3792)</f>
        <v>3405037.04977633</v>
      </c>
      <c r="H292" s="50" t="n">
        <f aca="false">SUM('Activation Detail'!K292,'Activation Detail'!K792,'Activation Detail'!K1292,'Activation Detail'!K1792,'Activation Detail'!K2292,'Activation Detail'!K2792,'Activation Detail'!K3292,'Activation Detail'!K3792)</f>
        <v>73481.4117395627</v>
      </c>
      <c r="I292" s="51" t="n">
        <f aca="false">IFERROR(H292/F292,0)</f>
        <v>1.02419254057576</v>
      </c>
      <c r="J292" s="49" t="n">
        <f aca="false">IFERROR(F292/E292,0)</f>
        <v>132.236214354183</v>
      </c>
      <c r="K292" s="46" t="n">
        <f aca="false">IFERROR(C292/B292,0)</f>
        <v>0.0668420245480866</v>
      </c>
      <c r="L292" s="47" t="n">
        <f aca="false">IFERROR(D292/B292,0)</f>
        <v>0.00286913295588647</v>
      </c>
      <c r="N292" s="48" t="n">
        <f aca="false">SUMIFS('Activation Detail'!$H$4:$H$4003,'Activation Detail'!$A$4:$A$4003,$A292,'Activation Detail'!$N$4:$N$4003,N$2)</f>
        <v>75.2822358105051</v>
      </c>
      <c r="O292" s="50" t="n">
        <f aca="false">N292*'Model Inputs &amp; Assumptions'!$D$40*'Model Inputs &amp; Assumptions'!$H$40</f>
        <v>639899.004389293</v>
      </c>
      <c r="P292" s="50" t="n">
        <f aca="false">N292*'Model Inputs &amp; Assumptions'!$G$40*'Model Inputs &amp; Assumptions'!$H$40</f>
        <v>14397.7275987591</v>
      </c>
      <c r="Q292" s="50" t="n">
        <f aca="false">SUMIFS('Activation Detail'!$I$4:$I$4003,'Activation Detail'!$A$4:$A$4003,$A292,'Activation Detail'!$N$4:$N$4003,N$2)</f>
        <v>18512.76</v>
      </c>
      <c r="R292" s="51" t="n">
        <f aca="false">IFERROR(P292/Q292,0)</f>
        <v>0.777719129873617</v>
      </c>
      <c r="S292" s="49" t="n">
        <f aca="false">IFERROR(Q292/N292,0)</f>
        <v>245.911399956279</v>
      </c>
      <c r="T292" s="48" t="n">
        <f aca="false">SUMIFS('Activation Detail'!$H$4:$H$4003,'Activation Detail'!$A$4:$A$4003,$A292,'Activation Detail'!$N$4:$N$4003,T$2)</f>
        <v>134.363120062929</v>
      </c>
      <c r="U292" s="50" t="n">
        <f aca="false">T292*'Model Inputs &amp; Assumptions'!$D$41*'Model Inputs &amp; Assumptions'!$H$41</f>
        <v>967414.464453091</v>
      </c>
      <c r="V292" s="50" t="n">
        <f aca="false">T292*'Model Inputs &amp; Assumptions'!$G$41*'Model Inputs &amp; Assumptions'!$H$41</f>
        <v>21331.4889411907</v>
      </c>
      <c r="W292" s="50" t="n">
        <f aca="false">SUMIFS('Activation Detail'!$I$4:$I$4003,'Activation Detail'!$A$4:$A$4003,$A292,'Activation Detail'!$N$4:$N$4003,T$2)</f>
        <v>14316.936958</v>
      </c>
      <c r="X292" s="51" t="n">
        <f aca="false">IFERROR(V292/W292,0)</f>
        <v>1.48994781521833</v>
      </c>
      <c r="Y292" s="49" t="n">
        <f aca="false">IFERROR(W292/T292,0)</f>
        <v>106.554067450165</v>
      </c>
      <c r="Z292" s="48" t="n">
        <f aca="false">SUMIFS('Activation Detail'!$H$4:$H$4003,'Activation Detail'!$A$4:$A$4003,$A292,'Activation Detail'!$N$4:$N$4003,Z$2)</f>
        <v>332.911774247027</v>
      </c>
      <c r="AA292" s="50" t="n">
        <f aca="false">Z292*'Model Inputs &amp; Assumptions'!$D$42*'Model Inputs &amp; Assumptions'!$H$42</f>
        <v>1797723.58093395</v>
      </c>
      <c r="AB292" s="50" t="n">
        <f aca="false">Z292*'Model Inputs &amp; Assumptions'!$G$42*'Model Inputs &amp; Assumptions'!$H$42</f>
        <v>37752.1951996129</v>
      </c>
      <c r="AC292" s="50" t="n">
        <f aca="false">SUMIFS('Activation Detail'!$I$4:$I$4003,'Activation Detail'!$A$4:$A$4003,$A292,'Activation Detail'!$N$4:$N$4003,Z$2)</f>
        <v>38916.004</v>
      </c>
      <c r="AD292" s="51" t="n">
        <f aca="false">IFERROR(AB292/AC292,0)</f>
        <v>0.970094339583604</v>
      </c>
      <c r="AE292" s="49" t="n">
        <f aca="false">IFERROR(AC292/Z292,0)</f>
        <v>116.895847520021</v>
      </c>
    </row>
    <row r="293" customFormat="false" ht="15" hidden="false" customHeight="false" outlineLevel="0" collapsed="false">
      <c r="A293" s="43" t="n">
        <v>290</v>
      </c>
      <c r="B293" s="45" t="n">
        <f aca="false">SUM('Activation Detail'!C293,'Activation Detail'!C793,'Activation Detail'!C1293,'Activation Detail'!C1793,'Activation Detail'!C2293,'Activation Detail'!C2793,'Activation Detail'!C3293,'Activation Detail'!C3793)</f>
        <v>4244562</v>
      </c>
      <c r="C293" s="45" t="n">
        <f aca="false">SUM('Activation Detail'!E293,'Activation Detail'!E793,'Activation Detail'!E1293,'Activation Detail'!E1793,'Activation Detail'!E2293,'Activation Detail'!E2793,'Activation Detail'!E3293,'Activation Detail'!E3793)</f>
        <v>531151</v>
      </c>
      <c r="D293" s="45" t="n">
        <f aca="false">SUM('Activation Detail'!G293,'Activation Detail'!G793,'Activation Detail'!G1293,'Activation Detail'!G1793,'Activation Detail'!G2293,'Activation Detail'!G2793,'Activation Detail'!G3293,'Activation Detail'!G3793)</f>
        <v>15881</v>
      </c>
      <c r="E293" s="48" t="n">
        <f aca="false">SUM('Activation Detail'!H293,'Activation Detail'!H793,'Activation Detail'!H1293,'Activation Detail'!H1793,'Activation Detail'!H2293,'Activation Detail'!H2793,'Activation Detail'!H3293,'Activation Detail'!H3793)</f>
        <v>677.262118425312</v>
      </c>
      <c r="F293" s="50" t="n">
        <f aca="false">SUM('Activation Detail'!I293,'Activation Detail'!I793,'Activation Detail'!I1293,'Activation Detail'!I1793,'Activation Detail'!I2293,'Activation Detail'!I2793,'Activation Detail'!I3293,'Activation Detail'!I3793)</f>
        <v>75908.372282</v>
      </c>
      <c r="G293" s="50" t="n">
        <f aca="false">SUM('Activation Detail'!J293,'Activation Detail'!J793,'Activation Detail'!J1293,'Activation Detail'!J1793,'Activation Detail'!J2293,'Activation Detail'!J2793,'Activation Detail'!J3293,'Activation Detail'!J3793)</f>
        <v>4487024.72201487</v>
      </c>
      <c r="H293" s="50" t="n">
        <f aca="false">SUM('Activation Detail'!K293,'Activation Detail'!K793,'Activation Detail'!K1293,'Activation Detail'!K1793,'Activation Detail'!K2293,'Activation Detail'!K2793,'Activation Detail'!K3293,'Activation Detail'!K3793)</f>
        <v>97685.738439611</v>
      </c>
      <c r="I293" s="51" t="n">
        <f aca="false">IFERROR(H293/F293,0)</f>
        <v>1.28689017433687</v>
      </c>
      <c r="J293" s="49" t="n">
        <f aca="false">IFERROR(F293/E293,0)</f>
        <v>112.081231500874</v>
      </c>
      <c r="K293" s="46" t="n">
        <f aca="false">IFERROR(C293/B293,0)</f>
        <v>0.125136822126759</v>
      </c>
      <c r="L293" s="47" t="n">
        <f aca="false">IFERROR(D293/B293,0)</f>
        <v>0.00374149323298847</v>
      </c>
      <c r="N293" s="48" t="n">
        <f aca="false">SUMIFS('Activation Detail'!$H$4:$H$4003,'Activation Detail'!$A$4:$A$4003,$A293,'Activation Detail'!$N$4:$N$4003,N$2)</f>
        <v>99.9248491758937</v>
      </c>
      <c r="O293" s="50" t="n">
        <f aca="false">N293*'Model Inputs &amp; Assumptions'!$D$40*'Model Inputs &amp; Assumptions'!$H$40</f>
        <v>849361.217995096</v>
      </c>
      <c r="P293" s="50" t="n">
        <f aca="false">N293*'Model Inputs &amp; Assumptions'!$G$40*'Model Inputs &amp; Assumptions'!$H$40</f>
        <v>19110.6274048897</v>
      </c>
      <c r="Q293" s="50" t="n">
        <f aca="false">SUMIFS('Activation Detail'!$I$4:$I$4003,'Activation Detail'!$A$4:$A$4003,$A293,'Activation Detail'!$N$4:$N$4003,N$2)</f>
        <v>17516.7195</v>
      </c>
      <c r="R293" s="51" t="n">
        <f aca="false">IFERROR(P293/Q293,0)</f>
        <v>1.09099351650231</v>
      </c>
      <c r="S293" s="49" t="n">
        <f aca="false">IFERROR(Q293/N293,0)</f>
        <v>175.298933593245</v>
      </c>
      <c r="T293" s="48" t="n">
        <f aca="false">SUMIFS('Activation Detail'!$H$4:$H$4003,'Activation Detail'!$A$4:$A$4003,$A293,'Activation Detail'!$N$4:$N$4003,T$2)</f>
        <v>288.912361151616</v>
      </c>
      <c r="U293" s="50" t="n">
        <f aca="false">T293*'Model Inputs &amp; Assumptions'!$D$41*'Model Inputs &amp; Assumptions'!$H$41</f>
        <v>2080169.00029164</v>
      </c>
      <c r="V293" s="50" t="n">
        <f aca="false">T293*'Model Inputs &amp; Assumptions'!$G$41*'Model Inputs &amp; Assumptions'!$H$41</f>
        <v>45867.7264564306</v>
      </c>
      <c r="W293" s="50" t="n">
        <f aca="false">SUMIFS('Activation Detail'!$I$4:$I$4003,'Activation Detail'!$A$4:$A$4003,$A293,'Activation Detail'!$N$4:$N$4003,T$2)</f>
        <v>20014.460782</v>
      </c>
      <c r="X293" s="51" t="n">
        <f aca="false">IFERROR(V293/W293,0)</f>
        <v>2.29172931292167</v>
      </c>
      <c r="Y293" s="49" t="n">
        <f aca="false">IFERROR(W293/T293,0)</f>
        <v>69.2751971643635</v>
      </c>
      <c r="Z293" s="48" t="n">
        <f aca="false">SUMIFS('Activation Detail'!$H$4:$H$4003,'Activation Detail'!$A$4:$A$4003,$A293,'Activation Detail'!$N$4:$N$4003,Z$2)</f>
        <v>288.424908097803</v>
      </c>
      <c r="AA293" s="50" t="n">
        <f aca="false">Z293*'Model Inputs &amp; Assumptions'!$D$42*'Model Inputs &amp; Assumptions'!$H$42</f>
        <v>1557494.50372813</v>
      </c>
      <c r="AB293" s="50" t="n">
        <f aca="false">Z293*'Model Inputs &amp; Assumptions'!$G$42*'Model Inputs &amp; Assumptions'!$H$42</f>
        <v>32707.3845782908</v>
      </c>
      <c r="AC293" s="50" t="n">
        <f aca="false">SUMIFS('Activation Detail'!$I$4:$I$4003,'Activation Detail'!$A$4:$A$4003,$A293,'Activation Detail'!$N$4:$N$4003,Z$2)</f>
        <v>38377.192</v>
      </c>
      <c r="AD293" s="51" t="n">
        <f aca="false">IFERROR(AB293/AC293,0)</f>
        <v>0.852261014257917</v>
      </c>
      <c r="AE293" s="49" t="n">
        <f aca="false">IFERROR(AC293/Z293,0)</f>
        <v>133.057828649759</v>
      </c>
    </row>
    <row r="294" customFormat="false" ht="15" hidden="false" customHeight="false" outlineLevel="0" collapsed="false">
      <c r="A294" s="43" t="n">
        <v>291</v>
      </c>
      <c r="B294" s="45" t="n">
        <f aca="false">SUM('Activation Detail'!C294,'Activation Detail'!C794,'Activation Detail'!C1294,'Activation Detail'!C1794,'Activation Detail'!C2294,'Activation Detail'!C2794,'Activation Detail'!C3294,'Activation Detail'!C3794)</f>
        <v>5134526</v>
      </c>
      <c r="C294" s="45" t="n">
        <f aca="false">SUM('Activation Detail'!E294,'Activation Detail'!E794,'Activation Detail'!E1294,'Activation Detail'!E1794,'Activation Detail'!E2294,'Activation Detail'!E2794,'Activation Detail'!E3294,'Activation Detail'!E3794)</f>
        <v>369038</v>
      </c>
      <c r="D294" s="45" t="n">
        <f aca="false">SUM('Activation Detail'!G294,'Activation Detail'!G794,'Activation Detail'!G1294,'Activation Detail'!G1794,'Activation Detail'!G2294,'Activation Detail'!G2794,'Activation Detail'!G3294,'Activation Detail'!G3794)</f>
        <v>19952</v>
      </c>
      <c r="E294" s="48" t="n">
        <f aca="false">SUM('Activation Detail'!H294,'Activation Detail'!H794,'Activation Detail'!H1294,'Activation Detail'!H1794,'Activation Detail'!H2294,'Activation Detail'!H2794,'Activation Detail'!H3294,'Activation Detail'!H3794)</f>
        <v>658.177662590629</v>
      </c>
      <c r="F294" s="50" t="n">
        <f aca="false">SUM('Activation Detail'!I294,'Activation Detail'!I794,'Activation Detail'!I1294,'Activation Detail'!I1794,'Activation Detail'!I2294,'Activation Detail'!I2794,'Activation Detail'!I3294,'Activation Detail'!I3794)</f>
        <v>81041.700614</v>
      </c>
      <c r="G294" s="50" t="n">
        <f aca="false">SUM('Activation Detail'!J294,'Activation Detail'!J794,'Activation Detail'!J1294,'Activation Detail'!J1794,'Activation Detail'!J2294,'Activation Detail'!J2794,'Activation Detail'!J3294,'Activation Detail'!J3794)</f>
        <v>4086630.12356724</v>
      </c>
      <c r="H294" s="50" t="n">
        <f aca="false">SUM('Activation Detail'!K294,'Activation Detail'!K794,'Activation Detail'!K1294,'Activation Detail'!K1794,'Activation Detail'!K2294,'Activation Detail'!K2794,'Activation Detail'!K3294,'Activation Detail'!K3794)</f>
        <v>88035.0043790366</v>
      </c>
      <c r="I294" s="51" t="n">
        <f aca="false">IFERROR(H294/F294,0)</f>
        <v>1.08629265812604</v>
      </c>
      <c r="J294" s="49" t="n">
        <f aca="false">IFERROR(F294/E294,0)</f>
        <v>123.130433042979</v>
      </c>
      <c r="K294" s="46" t="n">
        <f aca="false">IFERROR(C294/B294,0)</f>
        <v>0.0718738204850847</v>
      </c>
      <c r="L294" s="47" t="n">
        <f aca="false">IFERROR(D294/B294,0)</f>
        <v>0.00388585041735109</v>
      </c>
      <c r="N294" s="48" t="n">
        <f aca="false">SUMIFS('Activation Detail'!$H$4:$H$4003,'Activation Detail'!$A$4:$A$4003,$A294,'Activation Detail'!$N$4:$N$4003,N$2)</f>
        <v>76.3161011202397</v>
      </c>
      <c r="O294" s="50" t="n">
        <f aca="false">N294*'Model Inputs &amp; Assumptions'!$D$40*'Model Inputs &amp; Assumptions'!$H$40</f>
        <v>648686.859522037</v>
      </c>
      <c r="P294" s="50" t="n">
        <f aca="false">N294*'Model Inputs &amp; Assumptions'!$G$40*'Model Inputs &amp; Assumptions'!$H$40</f>
        <v>14595.4543392458</v>
      </c>
      <c r="Q294" s="50" t="n">
        <f aca="false">SUMIFS('Activation Detail'!$I$4:$I$4003,'Activation Detail'!$A$4:$A$4003,$A294,'Activation Detail'!$N$4:$N$4003,N$2)</f>
        <v>18211.485</v>
      </c>
      <c r="R294" s="51" t="n">
        <f aca="false">IFERROR(P294/Q294,0)</f>
        <v>0.801442295301335</v>
      </c>
      <c r="S294" s="49" t="n">
        <f aca="false">IFERROR(Q294/N294,0)</f>
        <v>238.632277234747</v>
      </c>
      <c r="T294" s="48" t="n">
        <f aca="false">SUMIFS('Activation Detail'!$H$4:$H$4003,'Activation Detail'!$A$4:$A$4003,$A294,'Activation Detail'!$N$4:$N$4003,T$2)</f>
        <v>164.383795613947</v>
      </c>
      <c r="U294" s="50" t="n">
        <f aca="false">T294*'Model Inputs &amp; Assumptions'!$D$41*'Model Inputs &amp; Assumptions'!$H$41</f>
        <v>1183563.32842042</v>
      </c>
      <c r="V294" s="50" t="n">
        <f aca="false">T294*'Model Inputs &amp; Assumptions'!$G$41*'Model Inputs &amp; Assumptions'!$H$41</f>
        <v>26097.5713916702</v>
      </c>
      <c r="W294" s="50" t="n">
        <f aca="false">SUMIFS('Activation Detail'!$I$4:$I$4003,'Activation Detail'!$A$4:$A$4003,$A294,'Activation Detail'!$N$4:$N$4003,T$2)</f>
        <v>18635.411614</v>
      </c>
      <c r="X294" s="51" t="n">
        <f aca="false">IFERROR(V294/W294,0)</f>
        <v>1.40042902900327</v>
      </c>
      <c r="Y294" s="49" t="n">
        <f aca="false">IFERROR(W294/T294,0)</f>
        <v>113.365259296999</v>
      </c>
      <c r="Z294" s="48" t="n">
        <f aca="false">SUMIFS('Activation Detail'!$H$4:$H$4003,'Activation Detail'!$A$4:$A$4003,$A294,'Activation Detail'!$N$4:$N$4003,Z$2)</f>
        <v>417.477765856442</v>
      </c>
      <c r="AA294" s="50" t="n">
        <f aca="false">Z294*'Model Inputs &amp; Assumptions'!$D$42*'Model Inputs &amp; Assumptions'!$H$42</f>
        <v>2254379.93562479</v>
      </c>
      <c r="AB294" s="50" t="n">
        <f aca="false">Z294*'Model Inputs &amp; Assumptions'!$G$42*'Model Inputs &amp; Assumptions'!$H$42</f>
        <v>47341.9786481205</v>
      </c>
      <c r="AC294" s="50" t="n">
        <f aca="false">SUMIFS('Activation Detail'!$I$4:$I$4003,'Activation Detail'!$A$4:$A$4003,$A294,'Activation Detail'!$N$4:$N$4003,Z$2)</f>
        <v>44194.804</v>
      </c>
      <c r="AD294" s="51" t="n">
        <f aca="false">IFERROR(AB294/AC294,0)</f>
        <v>1.07121141770694</v>
      </c>
      <c r="AE294" s="49" t="n">
        <f aca="false">IFERROR(AC294/Z294,0)</f>
        <v>105.861455661802</v>
      </c>
    </row>
    <row r="295" customFormat="false" ht="15" hidden="false" customHeight="false" outlineLevel="0" collapsed="false">
      <c r="A295" s="43" t="n">
        <v>292</v>
      </c>
      <c r="B295" s="45" t="n">
        <f aca="false">SUM('Activation Detail'!C295,'Activation Detail'!C795,'Activation Detail'!C1295,'Activation Detail'!C1795,'Activation Detail'!C2295,'Activation Detail'!C2795,'Activation Detail'!C3295,'Activation Detail'!C3795)</f>
        <v>4313514</v>
      </c>
      <c r="C295" s="45" t="n">
        <f aca="false">SUM('Activation Detail'!E295,'Activation Detail'!E795,'Activation Detail'!E1295,'Activation Detail'!E1795,'Activation Detail'!E2295,'Activation Detail'!E2795,'Activation Detail'!E3295,'Activation Detail'!E3795)</f>
        <v>534055</v>
      </c>
      <c r="D295" s="45" t="n">
        <f aca="false">SUM('Activation Detail'!G295,'Activation Detail'!G795,'Activation Detail'!G1295,'Activation Detail'!G1795,'Activation Detail'!G2295,'Activation Detail'!G2795,'Activation Detail'!G3295,'Activation Detail'!G3795)</f>
        <v>21000</v>
      </c>
      <c r="E295" s="48" t="n">
        <f aca="false">SUM('Activation Detail'!H295,'Activation Detail'!H795,'Activation Detail'!H1295,'Activation Detail'!H1795,'Activation Detail'!H2295,'Activation Detail'!H2795,'Activation Detail'!H3295,'Activation Detail'!H3795)</f>
        <v>784.812382330072</v>
      </c>
      <c r="F295" s="50" t="n">
        <f aca="false">SUM('Activation Detail'!I295,'Activation Detail'!I795,'Activation Detail'!I1295,'Activation Detail'!I1795,'Activation Detail'!I2295,'Activation Detail'!I2795,'Activation Detail'!I3295,'Activation Detail'!I3795)</f>
        <v>76705.008592</v>
      </c>
      <c r="G295" s="50" t="n">
        <f aca="false">SUM('Activation Detail'!J295,'Activation Detail'!J795,'Activation Detail'!J1295,'Activation Detail'!J1795,'Activation Detail'!J2295,'Activation Detail'!J2795,'Activation Detail'!J3295,'Activation Detail'!J3795)</f>
        <v>4865413.36369212</v>
      </c>
      <c r="H295" s="50" t="n">
        <f aca="false">SUM('Activation Detail'!K295,'Activation Detail'!K795,'Activation Detail'!K1295,'Activation Detail'!K1795,'Activation Detail'!K2295,'Activation Detail'!K2795,'Activation Detail'!K3295,'Activation Detail'!K3795)</f>
        <v>104788.989032162</v>
      </c>
      <c r="I295" s="51" t="n">
        <f aca="false">IFERROR(H295/F295,0)</f>
        <v>1.3661296824767</v>
      </c>
      <c r="J295" s="49" t="n">
        <f aca="false">IFERROR(F295/E295,0)</f>
        <v>97.7367461561531</v>
      </c>
      <c r="K295" s="46" t="n">
        <f aca="false">IFERROR(C295/B295,0)</f>
        <v>0.123809729144266</v>
      </c>
      <c r="L295" s="47" t="n">
        <f aca="false">IFERROR(D295/B295,0)</f>
        <v>0.0048684205035616</v>
      </c>
      <c r="N295" s="48" t="n">
        <f aca="false">SUMIFS('Activation Detail'!$H$4:$H$4003,'Activation Detail'!$A$4:$A$4003,$A295,'Activation Detail'!$N$4:$N$4003,N$2)</f>
        <v>73.6403764214544</v>
      </c>
      <c r="O295" s="50" t="n">
        <f aca="false">N295*'Model Inputs &amp; Assumptions'!$D$40*'Model Inputs &amp; Assumptions'!$H$40</f>
        <v>625943.199582362</v>
      </c>
      <c r="P295" s="50" t="n">
        <f aca="false">N295*'Model Inputs &amp; Assumptions'!$G$40*'Model Inputs &amp; Assumptions'!$H$40</f>
        <v>14083.7219906031</v>
      </c>
      <c r="Q295" s="50" t="n">
        <f aca="false">SUMIFS('Activation Detail'!$I$4:$I$4003,'Activation Detail'!$A$4:$A$4003,$A295,'Activation Detail'!$N$4:$N$4003,N$2)</f>
        <v>17663.171</v>
      </c>
      <c r="R295" s="51" t="n">
        <f aca="false">IFERROR(P295/Q295,0)</f>
        <v>0.797349580695513</v>
      </c>
      <c r="S295" s="49" t="n">
        <f aca="false">IFERROR(Q295/N295,0)</f>
        <v>239.857152534245</v>
      </c>
      <c r="T295" s="48" t="n">
        <f aca="false">SUMIFS('Activation Detail'!$H$4:$H$4003,'Activation Detail'!$A$4:$A$4003,$A295,'Activation Detail'!$N$4:$N$4003,T$2)</f>
        <v>221.745184557347</v>
      </c>
      <c r="U295" s="50" t="n">
        <f aca="false">T295*'Model Inputs &amp; Assumptions'!$D$41*'Model Inputs &amp; Assumptions'!$H$41</f>
        <v>1596565.3288129</v>
      </c>
      <c r="V295" s="50" t="n">
        <f aca="false">T295*'Model Inputs &amp; Assumptions'!$G$41*'Model Inputs &amp; Assumptions'!$H$41</f>
        <v>35204.2655003244</v>
      </c>
      <c r="W295" s="50" t="n">
        <f aca="false">SUMIFS('Activation Detail'!$I$4:$I$4003,'Activation Detail'!$A$4:$A$4003,$A295,'Activation Detail'!$N$4:$N$4003,T$2)</f>
        <v>20422.713592</v>
      </c>
      <c r="X295" s="51" t="n">
        <f aca="false">IFERROR(V295/W295,0)</f>
        <v>1.72378001296138</v>
      </c>
      <c r="Y295" s="49" t="n">
        <f aca="false">IFERROR(W295/T295,0)</f>
        <v>92.099919250866</v>
      </c>
      <c r="Z295" s="48" t="n">
        <f aca="false">SUMIFS('Activation Detail'!$H$4:$H$4003,'Activation Detail'!$A$4:$A$4003,$A295,'Activation Detail'!$N$4:$N$4003,Z$2)</f>
        <v>489.426821351271</v>
      </c>
      <c r="AA295" s="50" t="n">
        <f aca="false">Z295*'Model Inputs &amp; Assumptions'!$D$42*'Model Inputs &amp; Assumptions'!$H$42</f>
        <v>2642904.83529686</v>
      </c>
      <c r="AB295" s="50" t="n">
        <f aca="false">Z295*'Model Inputs &amp; Assumptions'!$G$42*'Model Inputs &amp; Assumptions'!$H$42</f>
        <v>55501.0015412341</v>
      </c>
      <c r="AC295" s="50" t="n">
        <f aca="false">SUMIFS('Activation Detail'!$I$4:$I$4003,'Activation Detail'!$A$4:$A$4003,$A295,'Activation Detail'!$N$4:$N$4003,Z$2)</f>
        <v>38619.124</v>
      </c>
      <c r="AD295" s="51" t="n">
        <f aca="false">IFERROR(AB295/AC295,0)</f>
        <v>1.43713776473112</v>
      </c>
      <c r="AE295" s="49" t="n">
        <f aca="false">IFERROR(AC295/Z295,0)</f>
        <v>78.9068402368622</v>
      </c>
    </row>
    <row r="296" customFormat="false" ht="15" hidden="false" customHeight="false" outlineLevel="0" collapsed="false">
      <c r="A296" s="43" t="n">
        <v>293</v>
      </c>
      <c r="B296" s="45" t="n">
        <f aca="false">SUM('Activation Detail'!C296,'Activation Detail'!C796,'Activation Detail'!C1296,'Activation Detail'!C1796,'Activation Detail'!C2296,'Activation Detail'!C2796,'Activation Detail'!C3296,'Activation Detail'!C3796)</f>
        <v>3682117</v>
      </c>
      <c r="C296" s="45" t="n">
        <f aca="false">SUM('Activation Detail'!E296,'Activation Detail'!E796,'Activation Detail'!E1296,'Activation Detail'!E1796,'Activation Detail'!E2296,'Activation Detail'!E2796,'Activation Detail'!E3296,'Activation Detail'!E3796)</f>
        <v>336868</v>
      </c>
      <c r="D296" s="45" t="n">
        <f aca="false">SUM('Activation Detail'!G296,'Activation Detail'!G796,'Activation Detail'!G1296,'Activation Detail'!G1796,'Activation Detail'!G2296,'Activation Detail'!G2796,'Activation Detail'!G3296,'Activation Detail'!G3796)</f>
        <v>13694</v>
      </c>
      <c r="E296" s="48" t="n">
        <f aca="false">SUM('Activation Detail'!H296,'Activation Detail'!H796,'Activation Detail'!H1296,'Activation Detail'!H1796,'Activation Detail'!H2296,'Activation Detail'!H2796,'Activation Detail'!H3296,'Activation Detail'!H3796)</f>
        <v>605.849369093243</v>
      </c>
      <c r="F296" s="50" t="n">
        <f aca="false">SUM('Activation Detail'!I296,'Activation Detail'!I796,'Activation Detail'!I1296,'Activation Detail'!I1796,'Activation Detail'!I2296,'Activation Detail'!I2796,'Activation Detail'!I3296,'Activation Detail'!I3796)</f>
        <v>74835.97023</v>
      </c>
      <c r="G296" s="50" t="n">
        <f aca="false">SUM('Activation Detail'!J296,'Activation Detail'!J796,'Activation Detail'!J1296,'Activation Detail'!J1796,'Activation Detail'!J2296,'Activation Detail'!J2796,'Activation Detail'!J3296,'Activation Detail'!J3796)</f>
        <v>4021195.16656608</v>
      </c>
      <c r="H296" s="50" t="n">
        <f aca="false">SUM('Activation Detail'!K296,'Activation Detail'!K796,'Activation Detail'!K1296,'Activation Detail'!K1796,'Activation Detail'!K2296,'Activation Detail'!K2796,'Activation Detail'!K3296,'Activation Detail'!K3796)</f>
        <v>87566.9562211929</v>
      </c>
      <c r="I296" s="51" t="n">
        <f aca="false">IFERROR(H296/F296,0)</f>
        <v>1.17011853994898</v>
      </c>
      <c r="J296" s="49" t="n">
        <f aca="false">IFERROR(F296/E296,0)</f>
        <v>123.522403501063</v>
      </c>
      <c r="K296" s="46" t="n">
        <f aca="false">IFERROR(C296/B296,0)</f>
        <v>0.0914875871679254</v>
      </c>
      <c r="L296" s="47" t="n">
        <f aca="false">IFERROR(D296/B296,0)</f>
        <v>0.00371905618425487</v>
      </c>
      <c r="N296" s="48" t="n">
        <f aca="false">SUMIFS('Activation Detail'!$H$4:$H$4003,'Activation Detail'!$A$4:$A$4003,$A296,'Activation Detail'!$N$4:$N$4003,N$2)</f>
        <v>98.1417971757096</v>
      </c>
      <c r="O296" s="50" t="n">
        <f aca="false">N296*'Model Inputs &amp; Assumptions'!$D$40*'Model Inputs &amp; Assumptions'!$H$40</f>
        <v>834205.275993531</v>
      </c>
      <c r="P296" s="50" t="n">
        <f aca="false">N296*'Model Inputs &amp; Assumptions'!$G$40*'Model Inputs &amp; Assumptions'!$H$40</f>
        <v>18769.6187098545</v>
      </c>
      <c r="Q296" s="50" t="n">
        <f aca="false">SUMIFS('Activation Detail'!$I$4:$I$4003,'Activation Detail'!$A$4:$A$4003,$A296,'Activation Detail'!$N$4:$N$4003,N$2)</f>
        <v>18164.6915</v>
      </c>
      <c r="R296" s="51" t="n">
        <f aca="false">IFERROR(P296/Q296,0)</f>
        <v>1.03330236628871</v>
      </c>
      <c r="S296" s="49" t="n">
        <f aca="false">IFERROR(Q296/N296,0)</f>
        <v>185.086191844221</v>
      </c>
      <c r="T296" s="48" t="n">
        <f aca="false">SUMIFS('Activation Detail'!$H$4:$H$4003,'Activation Detail'!$A$4:$A$4003,$A296,'Activation Detail'!$N$4:$N$4003,T$2)</f>
        <v>247.427223454369</v>
      </c>
      <c r="U296" s="50" t="n">
        <f aca="false">T296*'Model Inputs &amp; Assumptions'!$D$41*'Model Inputs &amp; Assumptions'!$H$41</f>
        <v>1781476.00887146</v>
      </c>
      <c r="V296" s="50" t="n">
        <f aca="false">T296*'Model Inputs &amp; Assumptions'!$G$41*'Model Inputs &amp; Assumptions'!$H$41</f>
        <v>39281.5459956157</v>
      </c>
      <c r="W296" s="50" t="n">
        <f aca="false">SUMIFS('Activation Detail'!$I$4:$I$4003,'Activation Detail'!$A$4:$A$4003,$A296,'Activation Detail'!$N$4:$N$4003,T$2)</f>
        <v>18638.99073</v>
      </c>
      <c r="X296" s="51" t="n">
        <f aca="false">IFERROR(V296/W296,0)</f>
        <v>2.10749318805073</v>
      </c>
      <c r="Y296" s="49" t="n">
        <f aca="false">IFERROR(W296/T296,0)</f>
        <v>75.3312043427486</v>
      </c>
      <c r="Z296" s="48" t="n">
        <f aca="false">SUMIFS('Activation Detail'!$H$4:$H$4003,'Activation Detail'!$A$4:$A$4003,$A296,'Activation Detail'!$N$4:$N$4003,Z$2)</f>
        <v>260.280348463164</v>
      </c>
      <c r="AA296" s="50" t="n">
        <f aca="false">Z296*'Model Inputs &amp; Assumptions'!$D$42*'Model Inputs &amp; Assumptions'!$H$42</f>
        <v>1405513.88170109</v>
      </c>
      <c r="AB296" s="50" t="n">
        <f aca="false">Z296*'Model Inputs &amp; Assumptions'!$G$42*'Model Inputs &amp; Assumptions'!$H$42</f>
        <v>29515.7915157228</v>
      </c>
      <c r="AC296" s="50" t="n">
        <f aca="false">SUMIFS('Activation Detail'!$I$4:$I$4003,'Activation Detail'!$A$4:$A$4003,$A296,'Activation Detail'!$N$4:$N$4003,Z$2)</f>
        <v>38032.288</v>
      </c>
      <c r="AD296" s="51" t="n">
        <f aca="false">IFERROR(AB296/AC296,0)</f>
        <v>0.776071939603603</v>
      </c>
      <c r="AE296" s="49" t="n">
        <f aca="false">IFERROR(AC296/Z296,0)</f>
        <v>146.120474421381</v>
      </c>
    </row>
    <row r="297" customFormat="false" ht="15" hidden="false" customHeight="false" outlineLevel="0" collapsed="false">
      <c r="A297" s="43" t="n">
        <v>294</v>
      </c>
      <c r="B297" s="45" t="n">
        <f aca="false">SUM('Activation Detail'!C297,'Activation Detail'!C797,'Activation Detail'!C1297,'Activation Detail'!C1797,'Activation Detail'!C2297,'Activation Detail'!C2797,'Activation Detail'!C3297,'Activation Detail'!C3797)</f>
        <v>5163317</v>
      </c>
      <c r="C297" s="45" t="n">
        <f aca="false">SUM('Activation Detail'!E297,'Activation Detail'!E797,'Activation Detail'!E1297,'Activation Detail'!E1797,'Activation Detail'!E2297,'Activation Detail'!E2797,'Activation Detail'!E3297,'Activation Detail'!E3797)</f>
        <v>361150</v>
      </c>
      <c r="D297" s="45" t="n">
        <f aca="false">SUM('Activation Detail'!G297,'Activation Detail'!G797,'Activation Detail'!G1297,'Activation Detail'!G1797,'Activation Detail'!G2297,'Activation Detail'!G2797,'Activation Detail'!G3297,'Activation Detail'!G3797)</f>
        <v>19027</v>
      </c>
      <c r="E297" s="48" t="n">
        <f aca="false">SUM('Activation Detail'!H297,'Activation Detail'!H797,'Activation Detail'!H1297,'Activation Detail'!H1797,'Activation Detail'!H2297,'Activation Detail'!H2797,'Activation Detail'!H3297,'Activation Detail'!H3797)</f>
        <v>654.873374179637</v>
      </c>
      <c r="F297" s="50" t="n">
        <f aca="false">SUM('Activation Detail'!I297,'Activation Detail'!I797,'Activation Detail'!I1297,'Activation Detail'!I1797,'Activation Detail'!I2297,'Activation Detail'!I2797,'Activation Detail'!I3297,'Activation Detail'!I3797)</f>
        <v>86300.158562</v>
      </c>
      <c r="G297" s="50" t="n">
        <f aca="false">SUM('Activation Detail'!J297,'Activation Detail'!J797,'Activation Detail'!J1297,'Activation Detail'!J1797,'Activation Detail'!J2297,'Activation Detail'!J2797,'Activation Detail'!J3297,'Activation Detail'!J3797)</f>
        <v>4003113.09249673</v>
      </c>
      <c r="H297" s="50" t="n">
        <f aca="false">SUM('Activation Detail'!K297,'Activation Detail'!K797,'Activation Detail'!K1297,'Activation Detail'!K1797,'Activation Detail'!K2297,'Activation Detail'!K2797,'Activation Detail'!K3297,'Activation Detail'!K3797)</f>
        <v>86003.4523607427</v>
      </c>
      <c r="I297" s="51" t="n">
        <f aca="false">IFERROR(H297/F297,0)</f>
        <v>0.99656192750742</v>
      </c>
      <c r="J297" s="49" t="n">
        <f aca="false">IFERROR(F297/E297,0)</f>
        <v>131.781443504416</v>
      </c>
      <c r="K297" s="46" t="n">
        <f aca="false">IFERROR(C297/B297,0)</f>
        <v>0.0699453471479671</v>
      </c>
      <c r="L297" s="47" t="n">
        <f aca="false">IFERROR(D297/B297,0)</f>
        <v>0.00368503425220648</v>
      </c>
      <c r="N297" s="48" t="n">
        <f aca="false">SUMIFS('Activation Detail'!$H$4:$H$4003,'Activation Detail'!$A$4:$A$4003,$A297,'Activation Detail'!$N$4:$N$4003,N$2)</f>
        <v>83.2201621512087</v>
      </c>
      <c r="O297" s="50" t="n">
        <f aca="false">N297*'Model Inputs &amp; Assumptions'!$D$40*'Model Inputs &amp; Assumptions'!$H$40</f>
        <v>707371.378285274</v>
      </c>
      <c r="P297" s="50" t="n">
        <f aca="false">N297*'Model Inputs &amp; Assumptions'!$G$40*'Model Inputs &amp; Assumptions'!$H$40</f>
        <v>15915.8560114187</v>
      </c>
      <c r="Q297" s="50" t="n">
        <f aca="false">SUMIFS('Activation Detail'!$I$4:$I$4003,'Activation Detail'!$A$4:$A$4003,$A297,'Activation Detail'!$N$4:$N$4003,N$2)</f>
        <v>18695.319</v>
      </c>
      <c r="R297" s="51" t="n">
        <f aca="false">IFERROR(P297/Q297,0)</f>
        <v>0.851328399981764</v>
      </c>
      <c r="S297" s="49" t="n">
        <f aca="false">IFERROR(Q297/N297,0)</f>
        <v>224.648913397106</v>
      </c>
      <c r="T297" s="48" t="n">
        <f aca="false">SUMIFS('Activation Detail'!$H$4:$H$4003,'Activation Detail'!$A$4:$A$4003,$A297,'Activation Detail'!$N$4:$N$4003,T$2)</f>
        <v>116.00798292108</v>
      </c>
      <c r="U297" s="50" t="n">
        <f aca="false">T297*'Model Inputs &amp; Assumptions'!$D$41*'Model Inputs &amp; Assumptions'!$H$41</f>
        <v>835257.477031779</v>
      </c>
      <c r="V297" s="50" t="n">
        <f aca="false">T297*'Model Inputs &amp; Assumptions'!$G$41*'Model Inputs &amp; Assumptions'!$H$41</f>
        <v>18417.4273685507</v>
      </c>
      <c r="W297" s="50" t="n">
        <f aca="false">SUMIFS('Activation Detail'!$I$4:$I$4003,'Activation Detail'!$A$4:$A$4003,$A297,'Activation Detail'!$N$4:$N$4003,T$2)</f>
        <v>18532.827562</v>
      </c>
      <c r="X297" s="51" t="n">
        <f aca="false">IFERROR(V297/W297,0)</f>
        <v>0.993773200928827</v>
      </c>
      <c r="Y297" s="49" t="n">
        <f aca="false">IFERROR(W297/T297,0)</f>
        <v>159.754760796141</v>
      </c>
      <c r="Z297" s="48" t="n">
        <f aca="false">SUMIFS('Activation Detail'!$H$4:$H$4003,'Activation Detail'!$A$4:$A$4003,$A297,'Activation Detail'!$N$4:$N$4003,Z$2)</f>
        <v>455.645229107348</v>
      </c>
      <c r="AA297" s="50" t="n">
        <f aca="false">Z297*'Model Inputs &amp; Assumptions'!$D$42*'Model Inputs &amp; Assumptions'!$H$42</f>
        <v>2460484.23717968</v>
      </c>
      <c r="AB297" s="50" t="n">
        <f aca="false">Z297*'Model Inputs &amp; Assumptions'!$G$42*'Model Inputs &amp; Assumptions'!$H$42</f>
        <v>51670.1689807733</v>
      </c>
      <c r="AC297" s="50" t="n">
        <f aca="false">SUMIFS('Activation Detail'!$I$4:$I$4003,'Activation Detail'!$A$4:$A$4003,$A297,'Activation Detail'!$N$4:$N$4003,Z$2)</f>
        <v>49072.012</v>
      </c>
      <c r="AD297" s="51" t="n">
        <f aca="false">IFERROR(AB297/AC297,0)</f>
        <v>1.05294580097456</v>
      </c>
      <c r="AE297" s="49" t="n">
        <f aca="false">IFERROR(AC297/Z297,0)</f>
        <v>107.697851014783</v>
      </c>
    </row>
    <row r="298" customFormat="false" ht="15" hidden="false" customHeight="false" outlineLevel="0" collapsed="false">
      <c r="A298" s="43" t="n">
        <v>295</v>
      </c>
      <c r="B298" s="45" t="n">
        <f aca="false">SUM('Activation Detail'!C298,'Activation Detail'!C798,'Activation Detail'!C1298,'Activation Detail'!C1798,'Activation Detail'!C2298,'Activation Detail'!C2798,'Activation Detail'!C3298,'Activation Detail'!C3798)</f>
        <v>3618199</v>
      </c>
      <c r="C298" s="45" t="n">
        <f aca="false">SUM('Activation Detail'!E298,'Activation Detail'!E798,'Activation Detail'!E1298,'Activation Detail'!E1798,'Activation Detail'!E2298,'Activation Detail'!E2798,'Activation Detail'!E3298,'Activation Detail'!E3798)</f>
        <v>438386</v>
      </c>
      <c r="D298" s="45" t="n">
        <f aca="false">SUM('Activation Detail'!G298,'Activation Detail'!G798,'Activation Detail'!G1298,'Activation Detail'!G1798,'Activation Detail'!G2298,'Activation Detail'!G2798,'Activation Detail'!G3298,'Activation Detail'!G3798)</f>
        <v>14202</v>
      </c>
      <c r="E298" s="48" t="n">
        <f aca="false">SUM('Activation Detail'!H298,'Activation Detail'!H798,'Activation Detail'!H1298,'Activation Detail'!H1798,'Activation Detail'!H2298,'Activation Detail'!H2798,'Activation Detail'!H3298,'Activation Detail'!H3798)</f>
        <v>619.213752358524</v>
      </c>
      <c r="F298" s="50" t="n">
        <f aca="false">SUM('Activation Detail'!I298,'Activation Detail'!I798,'Activation Detail'!I1298,'Activation Detail'!I1798,'Activation Detail'!I2298,'Activation Detail'!I2798,'Activation Detail'!I3298,'Activation Detail'!I3798)</f>
        <v>72053.022372</v>
      </c>
      <c r="G298" s="50" t="n">
        <f aca="false">SUM('Activation Detail'!J298,'Activation Detail'!J798,'Activation Detail'!J1298,'Activation Detail'!J1798,'Activation Detail'!J2298,'Activation Detail'!J2798,'Activation Detail'!J3298,'Activation Detail'!J3798)</f>
        <v>4075892.34880621</v>
      </c>
      <c r="H298" s="50" t="n">
        <f aca="false">SUM('Activation Detail'!K298,'Activation Detail'!K798,'Activation Detail'!K1298,'Activation Detail'!K1798,'Activation Detail'!K2298,'Activation Detail'!K2798,'Activation Detail'!K3298,'Activation Detail'!K3798)</f>
        <v>88636.5747587759</v>
      </c>
      <c r="I298" s="51" t="n">
        <f aca="false">IFERROR(H298/F298,0)</f>
        <v>1.23015762338403</v>
      </c>
      <c r="J298" s="49" t="n">
        <f aca="false">IFERROR(F298/E298,0)</f>
        <v>116.362115824394</v>
      </c>
      <c r="K298" s="46" t="n">
        <f aca="false">IFERROR(C298/B298,0)</f>
        <v>0.121161384434632</v>
      </c>
      <c r="L298" s="47" t="n">
        <f aca="false">IFERROR(D298/B298,0)</f>
        <v>0.0039251572398312</v>
      </c>
      <c r="N298" s="48" t="n">
        <f aca="false">SUMIFS('Activation Detail'!$H$4:$H$4003,'Activation Detail'!$A$4:$A$4003,$A298,'Activation Detail'!$N$4:$N$4003,N$2)</f>
        <v>119.053806108086</v>
      </c>
      <c r="O298" s="50" t="n">
        <f aca="false">N298*'Model Inputs &amp; Assumptions'!$D$40*'Model Inputs &amp; Assumptions'!$H$40</f>
        <v>1011957.35191873</v>
      </c>
      <c r="P298" s="50" t="n">
        <f aca="false">N298*'Model Inputs &amp; Assumptions'!$G$40*'Model Inputs &amp; Assumptions'!$H$40</f>
        <v>22769.0404181714</v>
      </c>
      <c r="Q298" s="50" t="n">
        <f aca="false">SUMIFS('Activation Detail'!$I$4:$I$4003,'Activation Detail'!$A$4:$A$4003,$A298,'Activation Detail'!$N$4:$N$4003,N$2)</f>
        <v>19144.1895</v>
      </c>
      <c r="R298" s="51" t="n">
        <f aca="false">IFERROR(P298/Q298,0)</f>
        <v>1.18934470525228</v>
      </c>
      <c r="S298" s="49" t="n">
        <f aca="false">IFERROR(Q298/N298,0)</f>
        <v>160.802834666365</v>
      </c>
      <c r="T298" s="48" t="n">
        <f aca="false">SUMIFS('Activation Detail'!$H$4:$H$4003,'Activation Detail'!$A$4:$A$4003,$A298,'Activation Detail'!$N$4:$N$4003,T$2)</f>
        <v>201.706270630618</v>
      </c>
      <c r="U298" s="50" t="n">
        <f aca="false">T298*'Model Inputs &amp; Assumptions'!$D$41*'Model Inputs &amp; Assumptions'!$H$41</f>
        <v>1452285.14854045</v>
      </c>
      <c r="V298" s="50" t="n">
        <f aca="false">T298*'Model Inputs &amp; Assumptions'!$G$41*'Model Inputs &amp; Assumptions'!$H$41</f>
        <v>32022.8875253169</v>
      </c>
      <c r="W298" s="50" t="n">
        <f aca="false">SUMIFS('Activation Detail'!$I$4:$I$4003,'Activation Detail'!$A$4:$A$4003,$A298,'Activation Detail'!$N$4:$N$4003,T$2)</f>
        <v>20036.004872</v>
      </c>
      <c r="X298" s="51" t="n">
        <f aca="false">IFERROR(V298/W298,0)</f>
        <v>1.59826710613693</v>
      </c>
      <c r="Y298" s="49" t="n">
        <f aca="false">IFERROR(W298/T298,0)</f>
        <v>99.3325830146931</v>
      </c>
      <c r="Z298" s="48" t="n">
        <f aca="false">SUMIFS('Activation Detail'!$H$4:$H$4003,'Activation Detail'!$A$4:$A$4003,$A298,'Activation Detail'!$N$4:$N$4003,Z$2)</f>
        <v>298.45367561982</v>
      </c>
      <c r="AA298" s="50" t="n">
        <f aca="false">Z298*'Model Inputs &amp; Assumptions'!$D$42*'Model Inputs &amp; Assumptions'!$H$42</f>
        <v>1611649.84834703</v>
      </c>
      <c r="AB298" s="50" t="n">
        <f aca="false">Z298*'Model Inputs &amp; Assumptions'!$G$42*'Model Inputs &amp; Assumptions'!$H$42</f>
        <v>33844.6468152876</v>
      </c>
      <c r="AC298" s="50" t="n">
        <f aca="false">SUMIFS('Activation Detail'!$I$4:$I$4003,'Activation Detail'!$A$4:$A$4003,$A298,'Activation Detail'!$N$4:$N$4003,Z$2)</f>
        <v>32872.828</v>
      </c>
      <c r="AD298" s="51" t="n">
        <f aca="false">IFERROR(AB298/AC298,0)</f>
        <v>1.02956298178202</v>
      </c>
      <c r="AE298" s="49" t="n">
        <f aca="false">IFERROR(AC298/Z298,0)</f>
        <v>110.143820248589</v>
      </c>
    </row>
    <row r="299" customFormat="false" ht="15" hidden="false" customHeight="false" outlineLevel="0" collapsed="false">
      <c r="A299" s="43" t="n">
        <v>296</v>
      </c>
      <c r="B299" s="45" t="n">
        <f aca="false">SUM('Activation Detail'!C299,'Activation Detail'!C799,'Activation Detail'!C1299,'Activation Detail'!C1799,'Activation Detail'!C2299,'Activation Detail'!C2799,'Activation Detail'!C3299,'Activation Detail'!C3799)</f>
        <v>4031548</v>
      </c>
      <c r="C299" s="45" t="n">
        <f aca="false">SUM('Activation Detail'!E299,'Activation Detail'!E799,'Activation Detail'!E1299,'Activation Detail'!E1799,'Activation Detail'!E2299,'Activation Detail'!E2799,'Activation Detail'!E3299,'Activation Detail'!E3799)</f>
        <v>302795</v>
      </c>
      <c r="D299" s="45" t="n">
        <f aca="false">SUM('Activation Detail'!G299,'Activation Detail'!G799,'Activation Detail'!G1299,'Activation Detail'!G1799,'Activation Detail'!G2299,'Activation Detail'!G2799,'Activation Detail'!G3299,'Activation Detail'!G3799)</f>
        <v>14456</v>
      </c>
      <c r="E299" s="48" t="n">
        <f aca="false">SUM('Activation Detail'!H299,'Activation Detail'!H799,'Activation Detail'!H1299,'Activation Detail'!H1799,'Activation Detail'!H2299,'Activation Detail'!H2799,'Activation Detail'!H3299,'Activation Detail'!H3799)</f>
        <v>536.028950336184</v>
      </c>
      <c r="F299" s="50" t="n">
        <f aca="false">SUM('Activation Detail'!I299,'Activation Detail'!I799,'Activation Detail'!I1299,'Activation Detail'!I1799,'Activation Detail'!I2299,'Activation Detail'!I2799,'Activation Detail'!I3299,'Activation Detail'!I3799)</f>
        <v>73077.4787</v>
      </c>
      <c r="G299" s="50" t="n">
        <f aca="false">SUM('Activation Detail'!J299,'Activation Detail'!J799,'Activation Detail'!J1299,'Activation Detail'!J1799,'Activation Detail'!J2299,'Activation Detail'!J2799,'Activation Detail'!J3299,'Activation Detail'!J3799)</f>
        <v>3397278.50856577</v>
      </c>
      <c r="H299" s="50" t="n">
        <f aca="false">SUM('Activation Detail'!K299,'Activation Detail'!K799,'Activation Detail'!K1299,'Activation Detail'!K1799,'Activation Detail'!K2299,'Activation Detail'!K2799,'Activation Detail'!K3299,'Activation Detail'!K3799)</f>
        <v>73435.1483601331</v>
      </c>
      <c r="I299" s="51" t="n">
        <f aca="false">IFERROR(H299/F299,0)</f>
        <v>1.0048943897148</v>
      </c>
      <c r="J299" s="49" t="n">
        <f aca="false">IFERROR(F299/E299,0)</f>
        <v>136.331216166902</v>
      </c>
      <c r="K299" s="46" t="n">
        <f aca="false">IFERROR(C299/B299,0)</f>
        <v>0.0751063859341375</v>
      </c>
      <c r="L299" s="47" t="n">
        <f aca="false">IFERROR(D299/B299,0)</f>
        <v>0.00358571943084889</v>
      </c>
      <c r="N299" s="48" t="n">
        <f aca="false">SUMIFS('Activation Detail'!$H$4:$H$4003,'Activation Detail'!$A$4:$A$4003,$A299,'Activation Detail'!$N$4:$N$4003,N$2)</f>
        <v>70.8646744431854</v>
      </c>
      <c r="O299" s="50" t="n">
        <f aca="false">N299*'Model Inputs &amp; Assumptions'!$D$40*'Model Inputs &amp; Assumptions'!$H$40</f>
        <v>602349.732767076</v>
      </c>
      <c r="P299" s="50" t="n">
        <f aca="false">N299*'Model Inputs &amp; Assumptions'!$G$40*'Model Inputs &amp; Assumptions'!$H$40</f>
        <v>13552.8689872592</v>
      </c>
      <c r="Q299" s="50" t="n">
        <f aca="false">SUMIFS('Activation Detail'!$I$4:$I$4003,'Activation Detail'!$A$4:$A$4003,$A299,'Activation Detail'!$N$4:$N$4003,N$2)</f>
        <v>18134.5315</v>
      </c>
      <c r="R299" s="51" t="n">
        <f aca="false">IFERROR(P299/Q299,0)</f>
        <v>0.747351481744053</v>
      </c>
      <c r="S299" s="49" t="n">
        <f aca="false">IFERROR(Q299/N299,0)</f>
        <v>255.903687450636</v>
      </c>
      <c r="T299" s="48" t="n">
        <f aca="false">SUMIFS('Activation Detail'!$H$4:$H$4003,'Activation Detail'!$A$4:$A$4003,$A299,'Activation Detail'!$N$4:$N$4003,T$2)</f>
        <v>157.245381098058</v>
      </c>
      <c r="U299" s="50" t="n">
        <f aca="false">T299*'Model Inputs &amp; Assumptions'!$D$41*'Model Inputs &amp; Assumptions'!$H$41</f>
        <v>1132166.74390602</v>
      </c>
      <c r="V299" s="50" t="n">
        <f aca="false">T299*'Model Inputs &amp; Assumptions'!$G$41*'Model Inputs &amp; Assumptions'!$H$41</f>
        <v>24964.2767031277</v>
      </c>
      <c r="W299" s="50" t="n">
        <f aca="false">SUMIFS('Activation Detail'!$I$4:$I$4003,'Activation Detail'!$A$4:$A$4003,$A299,'Activation Detail'!$N$4:$N$4003,T$2)</f>
        <v>16388.6712</v>
      </c>
      <c r="X299" s="51" t="n">
        <f aca="false">IFERROR(V299/W299,0)</f>
        <v>1.52326423530467</v>
      </c>
      <c r="Y299" s="49" t="n">
        <f aca="false">IFERROR(W299/T299,0)</f>
        <v>104.223545935381</v>
      </c>
      <c r="Z299" s="48" t="n">
        <f aca="false">SUMIFS('Activation Detail'!$H$4:$H$4003,'Activation Detail'!$A$4:$A$4003,$A299,'Activation Detail'!$N$4:$N$4003,Z$2)</f>
        <v>307.918894794941</v>
      </c>
      <c r="AA299" s="50" t="n">
        <f aca="false">Z299*'Model Inputs &amp; Assumptions'!$D$42*'Model Inputs &amp; Assumptions'!$H$42</f>
        <v>1662762.03189268</v>
      </c>
      <c r="AB299" s="50" t="n">
        <f aca="false">Z299*'Model Inputs &amp; Assumptions'!$G$42*'Model Inputs &amp; Assumptions'!$H$42</f>
        <v>34918.0026697463</v>
      </c>
      <c r="AC299" s="50" t="n">
        <f aca="false">SUMIFS('Activation Detail'!$I$4:$I$4003,'Activation Detail'!$A$4:$A$4003,$A299,'Activation Detail'!$N$4:$N$4003,Z$2)</f>
        <v>38554.276</v>
      </c>
      <c r="AD299" s="51" t="n">
        <f aca="false">IFERROR(AB299/AC299,0)</f>
        <v>0.905684305153241</v>
      </c>
      <c r="AE299" s="49" t="n">
        <f aca="false">IFERROR(AC299/Z299,0)</f>
        <v>125.209191938921</v>
      </c>
    </row>
    <row r="300" customFormat="false" ht="15" hidden="false" customHeight="false" outlineLevel="0" collapsed="false">
      <c r="A300" s="43" t="n">
        <v>297</v>
      </c>
      <c r="B300" s="45" t="n">
        <f aca="false">SUM('Activation Detail'!C300,'Activation Detail'!C800,'Activation Detail'!C1300,'Activation Detail'!C1800,'Activation Detail'!C2300,'Activation Detail'!C2800,'Activation Detail'!C3300,'Activation Detail'!C3800)</f>
        <v>5296538</v>
      </c>
      <c r="C300" s="45" t="n">
        <f aca="false">SUM('Activation Detail'!E300,'Activation Detail'!E800,'Activation Detail'!E1300,'Activation Detail'!E1800,'Activation Detail'!E2300,'Activation Detail'!E2800,'Activation Detail'!E3300,'Activation Detail'!E3800)</f>
        <v>462421</v>
      </c>
      <c r="D300" s="45" t="n">
        <f aca="false">SUM('Activation Detail'!G300,'Activation Detail'!G800,'Activation Detail'!G1300,'Activation Detail'!G1800,'Activation Detail'!G2300,'Activation Detail'!G2800,'Activation Detail'!G3300,'Activation Detail'!G3800)</f>
        <v>17564</v>
      </c>
      <c r="E300" s="48" t="n">
        <f aca="false">SUM('Activation Detail'!H300,'Activation Detail'!H800,'Activation Detail'!H1300,'Activation Detail'!H1800,'Activation Detail'!H2300,'Activation Detail'!H2800,'Activation Detail'!H3300,'Activation Detail'!H3800)</f>
        <v>608.783669629395</v>
      </c>
      <c r="F300" s="50" t="n">
        <f aca="false">SUM('Activation Detail'!I300,'Activation Detail'!I800,'Activation Detail'!I1300,'Activation Detail'!I1800,'Activation Detail'!I2300,'Activation Detail'!I2800,'Activation Detail'!I3300,'Activation Detail'!I3800)</f>
        <v>77615.71586</v>
      </c>
      <c r="G300" s="50" t="n">
        <f aca="false">SUM('Activation Detail'!J300,'Activation Detail'!J800,'Activation Detail'!J1300,'Activation Detail'!J1800,'Activation Detail'!J2300,'Activation Detail'!J2800,'Activation Detail'!J3300,'Activation Detail'!J3800)</f>
        <v>3891986.78087298</v>
      </c>
      <c r="H300" s="50" t="n">
        <f aca="false">SUM('Activation Detail'!K300,'Activation Detail'!K800,'Activation Detail'!K1300,'Activation Detail'!K1800,'Activation Detail'!K2300,'Activation Detail'!K2800,'Activation Detail'!K3300,'Activation Detail'!K3800)</f>
        <v>84244.1593630526</v>
      </c>
      <c r="I300" s="51" t="n">
        <f aca="false">IFERROR(H300/F300,0)</f>
        <v>1.08540079067246</v>
      </c>
      <c r="J300" s="49" t="n">
        <f aca="false">IFERROR(F300/E300,0)</f>
        <v>127.493097683204</v>
      </c>
      <c r="K300" s="46" t="n">
        <f aca="false">IFERROR(C300/B300,0)</f>
        <v>0.0873062744003725</v>
      </c>
      <c r="L300" s="47" t="n">
        <f aca="false">IFERROR(D300/B300,0)</f>
        <v>0.00331612838423891</v>
      </c>
      <c r="N300" s="48" t="n">
        <f aca="false">SUMIFS('Activation Detail'!$H$4:$H$4003,'Activation Detail'!$A$4:$A$4003,$A300,'Activation Detail'!$N$4:$N$4003,N$2)</f>
        <v>98.8662509324842</v>
      </c>
      <c r="O300" s="50" t="n">
        <f aca="false">N300*'Model Inputs &amp; Assumptions'!$D$40*'Model Inputs &amp; Assumptions'!$H$40</f>
        <v>840363.132926115</v>
      </c>
      <c r="P300" s="50" t="n">
        <f aca="false">N300*'Model Inputs &amp; Assumptions'!$G$40*'Model Inputs &amp; Assumptions'!$H$40</f>
        <v>18908.1704908376</v>
      </c>
      <c r="Q300" s="50" t="n">
        <f aca="false">SUMIFS('Activation Detail'!$I$4:$I$4003,'Activation Detail'!$A$4:$A$4003,$A300,'Activation Detail'!$N$4:$N$4003,N$2)</f>
        <v>18540.034</v>
      </c>
      <c r="R300" s="51" t="n">
        <f aca="false">IFERROR(P300/Q300,0)</f>
        <v>1.0198563007402</v>
      </c>
      <c r="S300" s="49" t="n">
        <f aca="false">IFERROR(Q300/N300,0)</f>
        <v>187.526419027065</v>
      </c>
      <c r="T300" s="48" t="n">
        <f aca="false">SUMIFS('Activation Detail'!$H$4:$H$4003,'Activation Detail'!$A$4:$A$4003,$A300,'Activation Detail'!$N$4:$N$4003,T$2)</f>
        <v>165.594214990859</v>
      </c>
      <c r="U300" s="50" t="n">
        <f aca="false">T300*'Model Inputs &amp; Assumptions'!$D$41*'Model Inputs &amp; Assumptions'!$H$41</f>
        <v>1192278.34793418</v>
      </c>
      <c r="V300" s="50" t="n">
        <f aca="false">T300*'Model Inputs &amp; Assumptions'!$G$41*'Model Inputs &amp; Assumptions'!$H$41</f>
        <v>26289.7375719488</v>
      </c>
      <c r="W300" s="50" t="n">
        <f aca="false">SUMIFS('Activation Detail'!$I$4:$I$4003,'Activation Detail'!$A$4:$A$4003,$A300,'Activation Detail'!$N$4:$N$4003,T$2)</f>
        <v>18953.88186</v>
      </c>
      <c r="X300" s="51" t="n">
        <f aca="false">IFERROR(V300/W300,0)</f>
        <v>1.38703711282649</v>
      </c>
      <c r="Y300" s="49" t="n">
        <f aca="false">IFERROR(W300/T300,0)</f>
        <v>114.459806829884</v>
      </c>
      <c r="Z300" s="48" t="n">
        <f aca="false">SUMIFS('Activation Detail'!$H$4:$H$4003,'Activation Detail'!$A$4:$A$4003,$A300,'Activation Detail'!$N$4:$N$4003,Z$2)</f>
        <v>344.323203706052</v>
      </c>
      <c r="AA300" s="50" t="n">
        <f aca="false">Z300*'Model Inputs &amp; Assumptions'!$D$42*'Model Inputs &amp; Assumptions'!$H$42</f>
        <v>1859345.30001268</v>
      </c>
      <c r="AB300" s="50" t="n">
        <f aca="false">Z300*'Model Inputs &amp; Assumptions'!$G$42*'Model Inputs &amp; Assumptions'!$H$42</f>
        <v>39046.2513002663</v>
      </c>
      <c r="AC300" s="50" t="n">
        <f aca="false">SUMIFS('Activation Detail'!$I$4:$I$4003,'Activation Detail'!$A$4:$A$4003,$A300,'Activation Detail'!$N$4:$N$4003,Z$2)</f>
        <v>40121.8</v>
      </c>
      <c r="AD300" s="51" t="n">
        <f aca="false">IFERROR(AB300/AC300,0)</f>
        <v>0.973192910095416</v>
      </c>
      <c r="AE300" s="49" t="n">
        <f aca="false">IFERROR(AC300/Z300,0)</f>
        <v>116.523660235956</v>
      </c>
    </row>
    <row r="301" customFormat="false" ht="15" hidden="false" customHeight="false" outlineLevel="0" collapsed="false">
      <c r="A301" s="43" t="n">
        <v>298</v>
      </c>
      <c r="B301" s="45" t="n">
        <f aca="false">SUM('Activation Detail'!C301,'Activation Detail'!C801,'Activation Detail'!C1301,'Activation Detail'!C1801,'Activation Detail'!C2301,'Activation Detail'!C2801,'Activation Detail'!C3301,'Activation Detail'!C3801)</f>
        <v>5299297</v>
      </c>
      <c r="C301" s="45" t="n">
        <f aca="false">SUM('Activation Detail'!E301,'Activation Detail'!E801,'Activation Detail'!E1301,'Activation Detail'!E1801,'Activation Detail'!E2301,'Activation Detail'!E2801,'Activation Detail'!E3301,'Activation Detail'!E3801)</f>
        <v>342551</v>
      </c>
      <c r="D301" s="45" t="n">
        <f aca="false">SUM('Activation Detail'!G301,'Activation Detail'!G801,'Activation Detail'!G1301,'Activation Detail'!G1801,'Activation Detail'!G2301,'Activation Detail'!G2801,'Activation Detail'!G3301,'Activation Detail'!G3801)</f>
        <v>16465</v>
      </c>
      <c r="E301" s="48" t="n">
        <f aca="false">SUM('Activation Detail'!H301,'Activation Detail'!H801,'Activation Detail'!H1301,'Activation Detail'!H1801,'Activation Detail'!H2301,'Activation Detail'!H2801,'Activation Detail'!H3301,'Activation Detail'!H3801)</f>
        <v>621.093674559587</v>
      </c>
      <c r="F301" s="50" t="n">
        <f aca="false">SUM('Activation Detail'!I301,'Activation Detail'!I801,'Activation Detail'!I1301,'Activation Detail'!I1801,'Activation Detail'!I2301,'Activation Detail'!I2801,'Activation Detail'!I3301,'Activation Detail'!I3801)</f>
        <v>80225.360434</v>
      </c>
      <c r="G301" s="50" t="n">
        <f aca="false">SUM('Activation Detail'!J301,'Activation Detail'!J801,'Activation Detail'!J1301,'Activation Detail'!J1801,'Activation Detail'!J2301,'Activation Detail'!J2801,'Activation Detail'!J3301,'Activation Detail'!J3801)</f>
        <v>3970267.96683249</v>
      </c>
      <c r="H301" s="50" t="n">
        <f aca="false">SUM('Activation Detail'!K301,'Activation Detail'!K801,'Activation Detail'!K1301,'Activation Detail'!K1801,'Activation Detail'!K2301,'Activation Detail'!K2801,'Activation Detail'!K3301,'Activation Detail'!K3801)</f>
        <v>85941.3341639232</v>
      </c>
      <c r="I301" s="51" t="n">
        <f aca="false">IFERROR(H301/F301,0)</f>
        <v>1.071248962909</v>
      </c>
      <c r="J301" s="49" t="n">
        <f aca="false">IFERROR(F301/E301,0)</f>
        <v>129.167891608117</v>
      </c>
      <c r="K301" s="46" t="n">
        <f aca="false">IFERROR(C301/B301,0)</f>
        <v>0.0646408382092946</v>
      </c>
      <c r="L301" s="47" t="n">
        <f aca="false">IFERROR(D301/B301,0)</f>
        <v>0.00310701589286277</v>
      </c>
      <c r="N301" s="48" t="n">
        <f aca="false">SUMIFS('Activation Detail'!$H$4:$H$4003,'Activation Detail'!$A$4:$A$4003,$A301,'Activation Detail'!$N$4:$N$4003,N$2)</f>
        <v>85.2372638672315</v>
      </c>
      <c r="O301" s="50" t="n">
        <f aca="false">N301*'Model Inputs &amp; Assumptions'!$D$40*'Model Inputs &amp; Assumptions'!$H$40</f>
        <v>724516.742871468</v>
      </c>
      <c r="P301" s="50" t="n">
        <f aca="false">N301*'Model Inputs &amp; Assumptions'!$G$40*'Model Inputs &amp; Assumptions'!$H$40</f>
        <v>16301.626714608</v>
      </c>
      <c r="Q301" s="50" t="n">
        <f aca="false">SUMIFS('Activation Detail'!$I$4:$I$4003,'Activation Detail'!$A$4:$A$4003,$A301,'Activation Detail'!$N$4:$N$4003,N$2)</f>
        <v>17278.735</v>
      </c>
      <c r="R301" s="51" t="n">
        <f aca="false">IFERROR(P301/Q301,0)</f>
        <v>0.943450241849767</v>
      </c>
      <c r="S301" s="49" t="n">
        <f aca="false">IFERROR(Q301/N301,0)</f>
        <v>202.71339336882</v>
      </c>
      <c r="T301" s="48" t="n">
        <f aca="false">SUMIFS('Activation Detail'!$H$4:$H$4003,'Activation Detail'!$A$4:$A$4003,$A301,'Activation Detail'!$N$4:$N$4003,T$2)</f>
        <v>195.625892345724</v>
      </c>
      <c r="U301" s="50" t="n">
        <f aca="false">T301*'Model Inputs &amp; Assumptions'!$D$41*'Model Inputs &amp; Assumptions'!$H$41</f>
        <v>1408506.42488922</v>
      </c>
      <c r="V301" s="50" t="n">
        <f aca="false">T301*'Model Inputs &amp; Assumptions'!$G$41*'Model Inputs &amp; Assumptions'!$H$41</f>
        <v>31057.5666688072</v>
      </c>
      <c r="W301" s="50" t="n">
        <f aca="false">SUMIFS('Activation Detail'!$I$4:$I$4003,'Activation Detail'!$A$4:$A$4003,$A301,'Activation Detail'!$N$4:$N$4003,T$2)</f>
        <v>16707.333434</v>
      </c>
      <c r="X301" s="51" t="n">
        <f aca="false">IFERROR(V301/W301,0)</f>
        <v>1.85891822842321</v>
      </c>
      <c r="Y301" s="49" t="n">
        <f aca="false">IFERROR(W301/T301,0)</f>
        <v>85.4045097694613</v>
      </c>
      <c r="Z301" s="48" t="n">
        <f aca="false">SUMIFS('Activation Detail'!$H$4:$H$4003,'Activation Detail'!$A$4:$A$4003,$A301,'Activation Detail'!$N$4:$N$4003,Z$2)</f>
        <v>340.230518346631</v>
      </c>
      <c r="AA301" s="50" t="n">
        <f aca="false">Z301*'Model Inputs &amp; Assumptions'!$D$42*'Model Inputs &amp; Assumptions'!$H$42</f>
        <v>1837244.79907181</v>
      </c>
      <c r="AB301" s="50" t="n">
        <f aca="false">Z301*'Model Inputs &amp; Assumptions'!$G$42*'Model Inputs &amp; Assumptions'!$H$42</f>
        <v>38582.140780508</v>
      </c>
      <c r="AC301" s="50" t="n">
        <f aca="false">SUMIFS('Activation Detail'!$I$4:$I$4003,'Activation Detail'!$A$4:$A$4003,$A301,'Activation Detail'!$N$4:$N$4003,Z$2)</f>
        <v>46239.292</v>
      </c>
      <c r="AD301" s="51" t="n">
        <f aca="false">IFERROR(AB301/AC301,0)</f>
        <v>0.83440163358271</v>
      </c>
      <c r="AE301" s="49" t="n">
        <f aca="false">IFERROR(AC301/Z301,0)</f>
        <v>135.905774193045</v>
      </c>
    </row>
    <row r="302" customFormat="false" ht="15" hidden="false" customHeight="false" outlineLevel="0" collapsed="false">
      <c r="A302" s="43" t="n">
        <v>299</v>
      </c>
      <c r="B302" s="45" t="n">
        <f aca="false">SUM('Activation Detail'!C302,'Activation Detail'!C802,'Activation Detail'!C1302,'Activation Detail'!C1802,'Activation Detail'!C2302,'Activation Detail'!C2802,'Activation Detail'!C3302,'Activation Detail'!C3802)</f>
        <v>4797513</v>
      </c>
      <c r="C302" s="45" t="n">
        <f aca="false">SUM('Activation Detail'!E302,'Activation Detail'!E802,'Activation Detail'!E1302,'Activation Detail'!E1802,'Activation Detail'!E2302,'Activation Detail'!E2802,'Activation Detail'!E3302,'Activation Detail'!E3802)</f>
        <v>493122</v>
      </c>
      <c r="D302" s="45" t="n">
        <f aca="false">SUM('Activation Detail'!G302,'Activation Detail'!G802,'Activation Detail'!G1302,'Activation Detail'!G1802,'Activation Detail'!G2302,'Activation Detail'!G2802,'Activation Detail'!G3302,'Activation Detail'!G3802)</f>
        <v>16888</v>
      </c>
      <c r="E302" s="48" t="n">
        <f aca="false">SUM('Activation Detail'!H302,'Activation Detail'!H802,'Activation Detail'!H1302,'Activation Detail'!H1802,'Activation Detail'!H2302,'Activation Detail'!H2802,'Activation Detail'!H3302,'Activation Detail'!H3802)</f>
        <v>645.284903925036</v>
      </c>
      <c r="F302" s="50" t="n">
        <f aca="false">SUM('Activation Detail'!I302,'Activation Detail'!I802,'Activation Detail'!I1302,'Activation Detail'!I1802,'Activation Detail'!I2302,'Activation Detail'!I2802,'Activation Detail'!I3302,'Activation Detail'!I3802)</f>
        <v>79281.47899</v>
      </c>
      <c r="G302" s="50" t="n">
        <f aca="false">SUM('Activation Detail'!J302,'Activation Detail'!J802,'Activation Detail'!J1302,'Activation Detail'!J1802,'Activation Detail'!J2302,'Activation Detail'!J2802,'Activation Detail'!J3302,'Activation Detail'!J3802)</f>
        <v>3976909.55016696</v>
      </c>
      <c r="H302" s="50" t="n">
        <f aca="false">SUM('Activation Detail'!K302,'Activation Detail'!K802,'Activation Detail'!K1302,'Activation Detail'!K1802,'Activation Detail'!K2302,'Activation Detail'!K2802,'Activation Detail'!K3302,'Activation Detail'!K3802)</f>
        <v>85561.8022051613</v>
      </c>
      <c r="I302" s="51" t="n">
        <f aca="false">IFERROR(H302/F302,0)</f>
        <v>1.07921551534064</v>
      </c>
      <c r="J302" s="49" t="n">
        <f aca="false">IFERROR(F302/E302,0)</f>
        <v>122.862751798096</v>
      </c>
      <c r="K302" s="46" t="n">
        <f aca="false">IFERROR(C302/B302,0)</f>
        <v>0.102787006517752</v>
      </c>
      <c r="L302" s="47" t="n">
        <f aca="false">IFERROR(D302/B302,0)</f>
        <v>0.00352015721479025</v>
      </c>
      <c r="N302" s="48" t="n">
        <f aca="false">SUMIFS('Activation Detail'!$H$4:$H$4003,'Activation Detail'!$A$4:$A$4003,$A302,'Activation Detail'!$N$4:$N$4003,N$2)</f>
        <v>78.7290297275191</v>
      </c>
      <c r="O302" s="50" t="n">
        <f aca="false">N302*'Model Inputs &amp; Assumptions'!$D$40*'Model Inputs &amp; Assumptions'!$H$40</f>
        <v>669196.752683912</v>
      </c>
      <c r="P302" s="50" t="n">
        <f aca="false">N302*'Model Inputs &amp; Assumptions'!$G$40*'Model Inputs &amp; Assumptions'!$H$40</f>
        <v>15056.926935388</v>
      </c>
      <c r="Q302" s="50" t="n">
        <f aca="false">SUMIFS('Activation Detail'!$I$4:$I$4003,'Activation Detail'!$A$4:$A$4003,$A302,'Activation Detail'!$N$4:$N$4003,N$2)</f>
        <v>18872.4635</v>
      </c>
      <c r="R302" s="51" t="n">
        <f aca="false">IFERROR(P302/Q302,0)</f>
        <v>0.79782519835781</v>
      </c>
      <c r="S302" s="49" t="n">
        <f aca="false">IFERROR(Q302/N302,0)</f>
        <v>239.714163445397</v>
      </c>
      <c r="T302" s="48" t="n">
        <f aca="false">SUMIFS('Activation Detail'!$H$4:$H$4003,'Activation Detail'!$A$4:$A$4003,$A302,'Activation Detail'!$N$4:$N$4003,T$2)</f>
        <v>137.950598231368</v>
      </c>
      <c r="U302" s="50" t="n">
        <f aca="false">T302*'Model Inputs &amp; Assumptions'!$D$41*'Model Inputs &amp; Assumptions'!$H$41</f>
        <v>993244.307265852</v>
      </c>
      <c r="V302" s="50" t="n">
        <f aca="false">T302*'Model Inputs &amp; Assumptions'!$G$41*'Model Inputs &amp; Assumptions'!$H$41</f>
        <v>21901.036975212</v>
      </c>
      <c r="W302" s="50" t="n">
        <f aca="false">SUMIFS('Activation Detail'!$I$4:$I$4003,'Activation Detail'!$A$4:$A$4003,$A302,'Activation Detail'!$N$4:$N$4003,T$2)</f>
        <v>19127.22349</v>
      </c>
      <c r="X302" s="51" t="n">
        <f aca="false">IFERROR(V302/W302,0)</f>
        <v>1.14501913916896</v>
      </c>
      <c r="Y302" s="49" t="n">
        <f aca="false">IFERROR(W302/T302,0)</f>
        <v>138.652704194295</v>
      </c>
      <c r="Z302" s="48" t="n">
        <f aca="false">SUMIFS('Activation Detail'!$H$4:$H$4003,'Activation Detail'!$A$4:$A$4003,$A302,'Activation Detail'!$N$4:$N$4003,Z$2)</f>
        <v>428.605275966148</v>
      </c>
      <c r="AA302" s="50" t="n">
        <f aca="false">Z302*'Model Inputs &amp; Assumptions'!$D$42*'Model Inputs &amp; Assumptions'!$H$42</f>
        <v>2314468.4902172</v>
      </c>
      <c r="AB302" s="50" t="n">
        <f aca="false">Z302*'Model Inputs &amp; Assumptions'!$G$42*'Model Inputs &amp; Assumptions'!$H$42</f>
        <v>48603.8382945612</v>
      </c>
      <c r="AC302" s="50" t="n">
        <f aca="false">SUMIFS('Activation Detail'!$I$4:$I$4003,'Activation Detail'!$A$4:$A$4003,$A302,'Activation Detail'!$N$4:$N$4003,Z$2)</f>
        <v>41281.792</v>
      </c>
      <c r="AD302" s="51" t="n">
        <f aca="false">IFERROR(AB302/AC302,0)</f>
        <v>1.17736745281215</v>
      </c>
      <c r="AE302" s="49" t="n">
        <f aca="false">IFERROR(AC302/Z302,0)</f>
        <v>96.3165745147302</v>
      </c>
    </row>
    <row r="303" customFormat="false" ht="15" hidden="false" customHeight="false" outlineLevel="0" collapsed="false">
      <c r="A303" s="43" t="n">
        <v>300</v>
      </c>
      <c r="B303" s="45" t="n">
        <f aca="false">SUM('Activation Detail'!C303,'Activation Detail'!C803,'Activation Detail'!C1303,'Activation Detail'!C1803,'Activation Detail'!C2303,'Activation Detail'!C2803,'Activation Detail'!C3303,'Activation Detail'!C3803)</f>
        <v>3562721</v>
      </c>
      <c r="C303" s="45" t="n">
        <f aca="false">SUM('Activation Detail'!E303,'Activation Detail'!E803,'Activation Detail'!E1303,'Activation Detail'!E1803,'Activation Detail'!E2303,'Activation Detail'!E2803,'Activation Detail'!E3303,'Activation Detail'!E3803)</f>
        <v>373912</v>
      </c>
      <c r="D303" s="45" t="n">
        <f aca="false">SUM('Activation Detail'!G303,'Activation Detail'!G803,'Activation Detail'!G1303,'Activation Detail'!G1803,'Activation Detail'!G2303,'Activation Detail'!G2803,'Activation Detail'!G3303,'Activation Detail'!G3803)</f>
        <v>13105</v>
      </c>
      <c r="E303" s="48" t="n">
        <f aca="false">SUM('Activation Detail'!H303,'Activation Detail'!H803,'Activation Detail'!H1303,'Activation Detail'!H1803,'Activation Detail'!H2303,'Activation Detail'!H2803,'Activation Detail'!H3303,'Activation Detail'!H3803)</f>
        <v>407.365645169086</v>
      </c>
      <c r="F303" s="50" t="n">
        <f aca="false">SUM('Activation Detail'!I303,'Activation Detail'!I803,'Activation Detail'!I1303,'Activation Detail'!I1803,'Activation Detail'!I2303,'Activation Detail'!I2803,'Activation Detail'!I3303,'Activation Detail'!I3803)</f>
        <v>71098.660476</v>
      </c>
      <c r="G303" s="50" t="n">
        <f aca="false">SUM('Activation Detail'!J303,'Activation Detail'!J803,'Activation Detail'!J1303,'Activation Detail'!J1803,'Activation Detail'!J2303,'Activation Detail'!J2803,'Activation Detail'!J3303,'Activation Detail'!J3803)</f>
        <v>2684164.96669424</v>
      </c>
      <c r="H303" s="50" t="n">
        <f aca="false">SUM('Activation Detail'!K303,'Activation Detail'!K803,'Activation Detail'!K1303,'Activation Detail'!K1803,'Activation Detail'!K2303,'Activation Detail'!K2803,'Activation Detail'!K3303,'Activation Detail'!K3803)</f>
        <v>58382.7378926594</v>
      </c>
      <c r="I303" s="51" t="n">
        <f aca="false">IFERROR(H303/F303,0)</f>
        <v>0.821151024531145</v>
      </c>
      <c r="J303" s="49" t="n">
        <f aca="false">IFERROR(F303/E303,0)</f>
        <v>174.532784782303</v>
      </c>
      <c r="K303" s="46" t="n">
        <f aca="false">IFERROR(C303/B303,0)</f>
        <v>0.104951243726354</v>
      </c>
      <c r="L303" s="47" t="n">
        <f aca="false">IFERROR(D303/B303,0)</f>
        <v>0.00367836830332771</v>
      </c>
      <c r="N303" s="48" t="n">
        <f aca="false">SUMIFS('Activation Detail'!$H$4:$H$4003,'Activation Detail'!$A$4:$A$4003,$A303,'Activation Detail'!$N$4:$N$4003,N$2)</f>
        <v>70.9867985208905</v>
      </c>
      <c r="O303" s="50" t="n">
        <f aca="false">N303*'Model Inputs &amp; Assumptions'!$D$40*'Model Inputs &amp; Assumptions'!$H$40</f>
        <v>603387.787427569</v>
      </c>
      <c r="P303" s="50" t="n">
        <f aca="false">N303*'Model Inputs &amp; Assumptions'!$G$40*'Model Inputs &amp; Assumptions'!$H$40</f>
        <v>13576.2252171203</v>
      </c>
      <c r="Q303" s="50" t="n">
        <f aca="false">SUMIFS('Activation Detail'!$I$4:$I$4003,'Activation Detail'!$A$4:$A$4003,$A303,'Activation Detail'!$N$4:$N$4003,N$2)</f>
        <v>17970.2895</v>
      </c>
      <c r="R303" s="51" t="n">
        <f aca="false">IFERROR(P303/Q303,0)</f>
        <v>0.755481719819834</v>
      </c>
      <c r="S303" s="49" t="n">
        <f aca="false">IFERROR(Q303/N303,0)</f>
        <v>253.149738746305</v>
      </c>
      <c r="T303" s="48" t="n">
        <f aca="false">SUMIFS('Activation Detail'!$H$4:$H$4003,'Activation Detail'!$A$4:$A$4003,$A303,'Activation Detail'!$N$4:$N$4003,T$2)</f>
        <v>146.850781870231</v>
      </c>
      <c r="U303" s="50" t="n">
        <f aca="false">T303*'Model Inputs &amp; Assumptions'!$D$41*'Model Inputs &amp; Assumptions'!$H$41</f>
        <v>1057325.62946566</v>
      </c>
      <c r="V303" s="50" t="n">
        <f aca="false">T303*'Model Inputs &amp; Assumptions'!$G$41*'Model Inputs &amp; Assumptions'!$H$41</f>
        <v>23314.0301297179</v>
      </c>
      <c r="W303" s="50" t="n">
        <f aca="false">SUMIFS('Activation Detail'!$I$4:$I$4003,'Activation Detail'!$A$4:$A$4003,$A303,'Activation Detail'!$N$4:$N$4003,T$2)</f>
        <v>17239.402976</v>
      </c>
      <c r="X303" s="51" t="n">
        <f aca="false">IFERROR(V303/W303,0)</f>
        <v>1.35236876602831</v>
      </c>
      <c r="Y303" s="49" t="n">
        <f aca="false">IFERROR(W303/T303,0)</f>
        <v>117.39401558811</v>
      </c>
      <c r="Z303" s="48" t="n">
        <f aca="false">SUMIFS('Activation Detail'!$H$4:$H$4003,'Activation Detail'!$A$4:$A$4003,$A303,'Activation Detail'!$N$4:$N$4003,Z$2)</f>
        <v>189.528064777965</v>
      </c>
      <c r="AA303" s="50" t="n">
        <f aca="false">Z303*'Model Inputs &amp; Assumptions'!$D$42*'Model Inputs &amp; Assumptions'!$H$42</f>
        <v>1023451.54980101</v>
      </c>
      <c r="AB303" s="50" t="n">
        <f aca="false">Z303*'Model Inputs &amp; Assumptions'!$G$42*'Model Inputs &amp; Assumptions'!$H$42</f>
        <v>21492.4825458212</v>
      </c>
      <c r="AC303" s="50" t="n">
        <f aca="false">SUMIFS('Activation Detail'!$I$4:$I$4003,'Activation Detail'!$A$4:$A$4003,$A303,'Activation Detail'!$N$4:$N$4003,Z$2)</f>
        <v>35888.968</v>
      </c>
      <c r="AD303" s="51" t="n">
        <f aca="false">IFERROR(AB303/AC303,0)</f>
        <v>0.59886042267421</v>
      </c>
      <c r="AE303" s="49" t="n">
        <f aca="false">IFERROR(AC303/Z303,0)</f>
        <v>189.35964993915</v>
      </c>
    </row>
    <row r="304" customFormat="false" ht="15" hidden="false" customHeight="false" outlineLevel="0" collapsed="false">
      <c r="A304" s="43" t="n">
        <v>301</v>
      </c>
      <c r="B304" s="45" t="n">
        <f aca="false">SUM('Activation Detail'!C304,'Activation Detail'!C804,'Activation Detail'!C1304,'Activation Detail'!C1804,'Activation Detail'!C2304,'Activation Detail'!C2804,'Activation Detail'!C3304,'Activation Detail'!C3804)</f>
        <v>4568832</v>
      </c>
      <c r="C304" s="45" t="n">
        <f aca="false">SUM('Activation Detail'!E304,'Activation Detail'!E804,'Activation Detail'!E1304,'Activation Detail'!E1804,'Activation Detail'!E2304,'Activation Detail'!E2804,'Activation Detail'!E3304,'Activation Detail'!E3804)</f>
        <v>589802</v>
      </c>
      <c r="D304" s="45" t="n">
        <f aca="false">SUM('Activation Detail'!G304,'Activation Detail'!G804,'Activation Detail'!G1304,'Activation Detail'!G1804,'Activation Detail'!G2304,'Activation Detail'!G2804,'Activation Detail'!G3304,'Activation Detail'!G3804)</f>
        <v>19063</v>
      </c>
      <c r="E304" s="48" t="n">
        <f aca="false">SUM('Activation Detail'!H304,'Activation Detail'!H804,'Activation Detail'!H1304,'Activation Detail'!H1804,'Activation Detail'!H2304,'Activation Detail'!H2804,'Activation Detail'!H3304,'Activation Detail'!H3804)</f>
        <v>896.703838606224</v>
      </c>
      <c r="F304" s="50" t="n">
        <f aca="false">SUM('Activation Detail'!I304,'Activation Detail'!I804,'Activation Detail'!I1304,'Activation Detail'!I1804,'Activation Detail'!I2304,'Activation Detail'!I2804,'Activation Detail'!I3304,'Activation Detail'!I3804)</f>
        <v>76300.48524</v>
      </c>
      <c r="G304" s="50" t="n">
        <f aca="false">SUM('Activation Detail'!J304,'Activation Detail'!J804,'Activation Detail'!J1304,'Activation Detail'!J1804,'Activation Detail'!J2304,'Activation Detail'!J2804,'Activation Detail'!J3304,'Activation Detail'!J3804)</f>
        <v>5527353.92016241</v>
      </c>
      <c r="H304" s="50" t="n">
        <f aca="false">SUM('Activation Detail'!K304,'Activation Detail'!K804,'Activation Detail'!K1304,'Activation Detail'!K1804,'Activation Detail'!K2304,'Activation Detail'!K2804,'Activation Detail'!K3304,'Activation Detail'!K3804)</f>
        <v>118936.997750891</v>
      </c>
      <c r="I304" s="51" t="n">
        <f aca="false">IFERROR(H304/F304,0)</f>
        <v>1.55879739659295</v>
      </c>
      <c r="J304" s="49" t="n">
        <f aca="false">IFERROR(F304/E304,0)</f>
        <v>85.0899504998176</v>
      </c>
      <c r="K304" s="46" t="n">
        <f aca="false">IFERROR(C304/B304,0)</f>
        <v>0.129092512046843</v>
      </c>
      <c r="L304" s="47" t="n">
        <f aca="false">IFERROR(D304/B304,0)</f>
        <v>0.00417240117386676</v>
      </c>
      <c r="N304" s="48" t="n">
        <f aca="false">SUMIFS('Activation Detail'!$H$4:$H$4003,'Activation Detail'!$A$4:$A$4003,$A304,'Activation Detail'!$N$4:$N$4003,N$2)</f>
        <v>55.8443615284134</v>
      </c>
      <c r="O304" s="50" t="n">
        <f aca="false">N304*'Model Inputs &amp; Assumptions'!$D$40*'Model Inputs &amp; Assumptions'!$H$40</f>
        <v>474677.072991514</v>
      </c>
      <c r="P304" s="50" t="n">
        <f aca="false">N304*'Model Inputs &amp; Assumptions'!$G$40*'Model Inputs &amp; Assumptions'!$H$40</f>
        <v>10680.2341423091</v>
      </c>
      <c r="Q304" s="50" t="n">
        <f aca="false">SUMIFS('Activation Detail'!$I$4:$I$4003,'Activation Detail'!$A$4:$A$4003,$A304,'Activation Detail'!$N$4:$N$4003,N$2)</f>
        <v>17815.973</v>
      </c>
      <c r="R304" s="51" t="n">
        <f aca="false">IFERROR(P304/Q304,0)</f>
        <v>0.599475209257954</v>
      </c>
      <c r="S304" s="49" t="n">
        <f aca="false">IFERROR(Q304/N304,0)</f>
        <v>319.029039143644</v>
      </c>
      <c r="T304" s="48" t="n">
        <f aca="false">SUMIFS('Activation Detail'!$H$4:$H$4003,'Activation Detail'!$A$4:$A$4003,$A304,'Activation Detail'!$N$4:$N$4003,T$2)</f>
        <v>284.464261639291</v>
      </c>
      <c r="U304" s="50" t="n">
        <f aca="false">T304*'Model Inputs &amp; Assumptions'!$D$41*'Model Inputs &amp; Assumptions'!$H$41</f>
        <v>2048142.6838029</v>
      </c>
      <c r="V304" s="50" t="n">
        <f aca="false">T304*'Model Inputs &amp; Assumptions'!$G$41*'Model Inputs &amp; Assumptions'!$H$41</f>
        <v>45161.5461778539</v>
      </c>
      <c r="W304" s="50" t="n">
        <f aca="false">SUMIFS('Activation Detail'!$I$4:$I$4003,'Activation Detail'!$A$4:$A$4003,$A304,'Activation Detail'!$N$4:$N$4003,T$2)</f>
        <v>19139.34024</v>
      </c>
      <c r="X304" s="51" t="n">
        <f aca="false">IFERROR(V304/W304,0)</f>
        <v>2.35961875443696</v>
      </c>
      <c r="Y304" s="49" t="n">
        <f aca="false">IFERROR(W304/T304,0)</f>
        <v>67.2820555021749</v>
      </c>
      <c r="Z304" s="48" t="n">
        <f aca="false">SUMIFS('Activation Detail'!$H$4:$H$4003,'Activation Detail'!$A$4:$A$4003,$A304,'Activation Detail'!$N$4:$N$4003,Z$2)</f>
        <v>556.395215438519</v>
      </c>
      <c r="AA304" s="50" t="n">
        <f aca="false">Z304*'Model Inputs &amp; Assumptions'!$D$42*'Model Inputs &amp; Assumptions'!$H$42</f>
        <v>3004534.163368</v>
      </c>
      <c r="AB304" s="50" t="n">
        <f aca="false">Z304*'Model Inputs &amp; Assumptions'!$G$42*'Model Inputs &amp; Assumptions'!$H$42</f>
        <v>63095.217430728</v>
      </c>
      <c r="AC304" s="50" t="n">
        <f aca="false">SUMIFS('Activation Detail'!$I$4:$I$4003,'Activation Detail'!$A$4:$A$4003,$A304,'Activation Detail'!$N$4:$N$4003,Z$2)</f>
        <v>39345.172</v>
      </c>
      <c r="AD304" s="51" t="n">
        <f aca="false">IFERROR(AB304/AC304,0)</f>
        <v>1.60363303102927</v>
      </c>
      <c r="AE304" s="49" t="n">
        <f aca="false">IFERROR(AC304/Z304,0)</f>
        <v>70.714432669933</v>
      </c>
    </row>
    <row r="305" customFormat="false" ht="15" hidden="false" customHeight="false" outlineLevel="0" collapsed="false">
      <c r="A305" s="43" t="n">
        <v>302</v>
      </c>
      <c r="B305" s="45" t="n">
        <f aca="false">SUM('Activation Detail'!C305,'Activation Detail'!C805,'Activation Detail'!C1305,'Activation Detail'!C1805,'Activation Detail'!C2305,'Activation Detail'!C2805,'Activation Detail'!C3305,'Activation Detail'!C3805)</f>
        <v>4950795</v>
      </c>
      <c r="C305" s="45" t="n">
        <f aca="false">SUM('Activation Detail'!E305,'Activation Detail'!E805,'Activation Detail'!E1305,'Activation Detail'!E1805,'Activation Detail'!E2305,'Activation Detail'!E2805,'Activation Detail'!E3305,'Activation Detail'!E3805)</f>
        <v>309819</v>
      </c>
      <c r="D305" s="45" t="n">
        <f aca="false">SUM('Activation Detail'!G305,'Activation Detail'!G805,'Activation Detail'!G1305,'Activation Detail'!G1805,'Activation Detail'!G2305,'Activation Detail'!G2805,'Activation Detail'!G3305,'Activation Detail'!G3805)</f>
        <v>18365</v>
      </c>
      <c r="E305" s="48" t="n">
        <f aca="false">SUM('Activation Detail'!H305,'Activation Detail'!H805,'Activation Detail'!H1305,'Activation Detail'!H1805,'Activation Detail'!H2305,'Activation Detail'!H2805,'Activation Detail'!H3305,'Activation Detail'!H3805)</f>
        <v>753.529513263798</v>
      </c>
      <c r="F305" s="50" t="n">
        <f aca="false">SUM('Activation Detail'!I305,'Activation Detail'!I805,'Activation Detail'!I1305,'Activation Detail'!I1805,'Activation Detail'!I2305,'Activation Detail'!I2805,'Activation Detail'!I3305,'Activation Detail'!I3805)</f>
        <v>75368.7576</v>
      </c>
      <c r="G305" s="50" t="n">
        <f aca="false">SUM('Activation Detail'!J305,'Activation Detail'!J805,'Activation Detail'!J1305,'Activation Detail'!J1805,'Activation Detail'!J2305,'Activation Detail'!J2805,'Activation Detail'!J3305,'Activation Detail'!J3805)</f>
        <v>4630169.97054885</v>
      </c>
      <c r="H305" s="50" t="n">
        <f aca="false">SUM('Activation Detail'!K305,'Activation Detail'!K805,'Activation Detail'!K1305,'Activation Detail'!K1805,'Activation Detail'!K2305,'Activation Detail'!K2805,'Activation Detail'!K3305,'Activation Detail'!K3805)</f>
        <v>99567.466593233</v>
      </c>
      <c r="I305" s="51" t="n">
        <f aca="false">IFERROR(H305/F305,0)</f>
        <v>1.32107082249732</v>
      </c>
      <c r="J305" s="49" t="n">
        <f aca="false">IFERROR(F305/E305,0)</f>
        <v>100.020976316577</v>
      </c>
      <c r="K305" s="46" t="n">
        <f aca="false">IFERROR(C305/B305,0)</f>
        <v>0.0625796462992307</v>
      </c>
      <c r="L305" s="47" t="n">
        <f aca="false">IFERROR(D305/B305,0)</f>
        <v>0.00370950524107744</v>
      </c>
      <c r="N305" s="48" t="n">
        <f aca="false">SUMIFS('Activation Detail'!$H$4:$H$4003,'Activation Detail'!$A$4:$A$4003,$A305,'Activation Detail'!$N$4:$N$4003,N$2)</f>
        <v>84.3233473145262</v>
      </c>
      <c r="O305" s="50" t="n">
        <f aca="false">N305*'Model Inputs &amp; Assumptions'!$D$40*'Model Inputs &amp; Assumptions'!$H$40</f>
        <v>716748.452173473</v>
      </c>
      <c r="P305" s="50" t="n">
        <f aca="false">N305*'Model Inputs &amp; Assumptions'!$G$40*'Model Inputs &amp; Assumptions'!$H$40</f>
        <v>16126.8401739031</v>
      </c>
      <c r="Q305" s="50" t="n">
        <f aca="false">SUMIFS('Activation Detail'!$I$4:$I$4003,'Activation Detail'!$A$4:$A$4003,$A305,'Activation Detail'!$N$4:$N$4003,N$2)</f>
        <v>18111.0145</v>
      </c>
      <c r="R305" s="51" t="n">
        <f aca="false">IFERROR(P305/Q305,0)</f>
        <v>0.890443777950878</v>
      </c>
      <c r="S305" s="49" t="n">
        <f aca="false">IFERROR(Q305/N305,0)</f>
        <v>214.780545089676</v>
      </c>
      <c r="T305" s="48" t="n">
        <f aca="false">SUMIFS('Activation Detail'!$H$4:$H$4003,'Activation Detail'!$A$4:$A$4003,$A305,'Activation Detail'!$N$4:$N$4003,T$2)</f>
        <v>166.504567916281</v>
      </c>
      <c r="U305" s="50" t="n">
        <f aca="false">T305*'Model Inputs &amp; Assumptions'!$D$41*'Model Inputs &amp; Assumptions'!$H$41</f>
        <v>1198832.88899722</v>
      </c>
      <c r="V305" s="50" t="n">
        <f aca="false">T305*'Model Inputs &amp; Assumptions'!$G$41*'Model Inputs &amp; Assumptions'!$H$41</f>
        <v>26434.2652023887</v>
      </c>
      <c r="W305" s="50" t="n">
        <f aca="false">SUMIFS('Activation Detail'!$I$4:$I$4003,'Activation Detail'!$A$4:$A$4003,$A305,'Activation Detail'!$N$4:$N$4003,T$2)</f>
        <v>16360.6951</v>
      </c>
      <c r="X305" s="51" t="n">
        <f aca="false">IFERROR(V305/W305,0)</f>
        <v>1.61571773331249</v>
      </c>
      <c r="Y305" s="49" t="n">
        <f aca="false">IFERROR(W305/T305,0)</f>
        <v>98.2597372837617</v>
      </c>
      <c r="Z305" s="48" t="n">
        <f aca="false">SUMIFS('Activation Detail'!$H$4:$H$4003,'Activation Detail'!$A$4:$A$4003,$A305,'Activation Detail'!$N$4:$N$4003,Z$2)</f>
        <v>502.701598032991</v>
      </c>
      <c r="AA305" s="50" t="n">
        <f aca="false">Z305*'Model Inputs &amp; Assumptions'!$D$42*'Model Inputs &amp; Assumptions'!$H$42</f>
        <v>2714588.62937815</v>
      </c>
      <c r="AB305" s="50" t="n">
        <f aca="false">Z305*'Model Inputs &amp; Assumptions'!$G$42*'Model Inputs &amp; Assumptions'!$H$42</f>
        <v>57006.3612169412</v>
      </c>
      <c r="AC305" s="50" t="n">
        <f aca="false">SUMIFS('Activation Detail'!$I$4:$I$4003,'Activation Detail'!$A$4:$A$4003,$A305,'Activation Detail'!$N$4:$N$4003,Z$2)</f>
        <v>40897.048</v>
      </c>
      <c r="AD305" s="51" t="n">
        <f aca="false">IFERROR(AB305/AC305,0)</f>
        <v>1.39389916888234</v>
      </c>
      <c r="AE305" s="49" t="n">
        <f aca="false">IFERROR(AC305/Z305,0)</f>
        <v>81.354521569108</v>
      </c>
    </row>
    <row r="306" customFormat="false" ht="15" hidden="false" customHeight="false" outlineLevel="0" collapsed="false">
      <c r="A306" s="43" t="n">
        <v>303</v>
      </c>
      <c r="B306" s="45" t="n">
        <f aca="false">SUM('Activation Detail'!C306,'Activation Detail'!C806,'Activation Detail'!C1306,'Activation Detail'!C1806,'Activation Detail'!C2306,'Activation Detail'!C2806,'Activation Detail'!C3306,'Activation Detail'!C3806)</f>
        <v>3804165</v>
      </c>
      <c r="C306" s="45" t="n">
        <f aca="false">SUM('Activation Detail'!E306,'Activation Detail'!E806,'Activation Detail'!E1306,'Activation Detail'!E1806,'Activation Detail'!E2306,'Activation Detail'!E2806,'Activation Detail'!E3306,'Activation Detail'!E3806)</f>
        <v>301787</v>
      </c>
      <c r="D306" s="45" t="n">
        <f aca="false">SUM('Activation Detail'!G306,'Activation Detail'!G806,'Activation Detail'!G1306,'Activation Detail'!G1806,'Activation Detail'!G2306,'Activation Detail'!G2806,'Activation Detail'!G3306,'Activation Detail'!G3806)</f>
        <v>16641</v>
      </c>
      <c r="E306" s="48" t="n">
        <f aca="false">SUM('Activation Detail'!H306,'Activation Detail'!H806,'Activation Detail'!H1306,'Activation Detail'!H1806,'Activation Detail'!H2306,'Activation Detail'!H2806,'Activation Detail'!H3306,'Activation Detail'!H3806)</f>
        <v>655.248112666209</v>
      </c>
      <c r="F306" s="50" t="n">
        <f aca="false">SUM('Activation Detail'!I306,'Activation Detail'!I806,'Activation Detail'!I1306,'Activation Detail'!I1806,'Activation Detail'!I2306,'Activation Detail'!I2806,'Activation Detail'!I3306,'Activation Detail'!I3806)</f>
        <v>74579.16954</v>
      </c>
      <c r="G306" s="50" t="n">
        <f aca="false">SUM('Activation Detail'!J306,'Activation Detail'!J806,'Activation Detail'!J1306,'Activation Detail'!J1806,'Activation Detail'!J2306,'Activation Detail'!J2806,'Activation Detail'!J3306,'Activation Detail'!J3806)</f>
        <v>3992044.1458676</v>
      </c>
      <c r="H306" s="50" t="n">
        <f aca="false">SUM('Activation Detail'!K306,'Activation Detail'!K806,'Activation Detail'!K1306,'Activation Detail'!K1806,'Activation Detail'!K2306,'Activation Detail'!K2806,'Activation Detail'!K3306,'Activation Detail'!K3806)</f>
        <v>85718.5210711272</v>
      </c>
      <c r="I306" s="51" t="n">
        <f aca="false">IFERROR(H306/F306,0)</f>
        <v>1.14936277247164</v>
      </c>
      <c r="J306" s="49" t="n">
        <f aca="false">IFERROR(F306/E306,0)</f>
        <v>113.818213434506</v>
      </c>
      <c r="K306" s="46" t="n">
        <f aca="false">IFERROR(C306/B306,0)</f>
        <v>0.0793306809772973</v>
      </c>
      <c r="L306" s="47" t="n">
        <f aca="false">IFERROR(D306/B306,0)</f>
        <v>0.00437441593621728</v>
      </c>
      <c r="N306" s="48" t="n">
        <f aca="false">SUMIFS('Activation Detail'!$H$4:$H$4003,'Activation Detail'!$A$4:$A$4003,$A306,'Activation Detail'!$N$4:$N$4003,N$2)</f>
        <v>73.9415165435885</v>
      </c>
      <c r="O306" s="50" t="n">
        <f aca="false">N306*'Model Inputs &amp; Assumptions'!$D$40*'Model Inputs &amp; Assumptions'!$H$40</f>
        <v>628502.890620503</v>
      </c>
      <c r="P306" s="50" t="n">
        <f aca="false">N306*'Model Inputs &amp; Assumptions'!$G$40*'Model Inputs &amp; Assumptions'!$H$40</f>
        <v>14141.3150389613</v>
      </c>
      <c r="Q306" s="50" t="n">
        <f aca="false">SUMIFS('Activation Detail'!$I$4:$I$4003,'Activation Detail'!$A$4:$A$4003,$A306,'Activation Detail'!$N$4:$N$4003,N$2)</f>
        <v>17164.608</v>
      </c>
      <c r="R306" s="51" t="n">
        <f aca="false">IFERROR(P306/Q306,0)</f>
        <v>0.82386472437712</v>
      </c>
      <c r="S306" s="49" t="n">
        <f aca="false">IFERROR(Q306/N306,0)</f>
        <v>232.137624468136</v>
      </c>
      <c r="T306" s="48" t="n">
        <f aca="false">SUMIFS('Activation Detail'!$H$4:$H$4003,'Activation Detail'!$A$4:$A$4003,$A306,'Activation Detail'!$N$4:$N$4003,T$2)</f>
        <v>124.714242324973</v>
      </c>
      <c r="U306" s="50" t="n">
        <f aca="false">T306*'Model Inputs &amp; Assumptions'!$D$41*'Model Inputs &amp; Assumptions'!$H$41</f>
        <v>897942.544739807</v>
      </c>
      <c r="V306" s="50" t="n">
        <f aca="false">T306*'Model Inputs &amp; Assumptions'!$G$41*'Model Inputs &amp; Assumptions'!$H$41</f>
        <v>19799.6331115127</v>
      </c>
      <c r="W306" s="50" t="n">
        <f aca="false">SUMIFS('Activation Detail'!$I$4:$I$4003,'Activation Detail'!$A$4:$A$4003,$A306,'Activation Detail'!$N$4:$N$4003,T$2)</f>
        <v>17260.62554</v>
      </c>
      <c r="X306" s="51" t="n">
        <f aca="false">IFERROR(V306/W306,0)</f>
        <v>1.14709823613454</v>
      </c>
      <c r="Y306" s="49" t="n">
        <f aca="false">IFERROR(W306/T306,0)</f>
        <v>138.401398414651</v>
      </c>
      <c r="Z306" s="48" t="n">
        <f aca="false">SUMIFS('Activation Detail'!$H$4:$H$4003,'Activation Detail'!$A$4:$A$4003,$A306,'Activation Detail'!$N$4:$N$4003,Z$2)</f>
        <v>456.592353797647</v>
      </c>
      <c r="AA306" s="50" t="n">
        <f aca="false">Z306*'Model Inputs &amp; Assumptions'!$D$42*'Model Inputs &amp; Assumptions'!$H$42</f>
        <v>2465598.71050729</v>
      </c>
      <c r="AB306" s="50" t="n">
        <f aca="false">Z306*'Model Inputs &amp; Assumptions'!$G$42*'Model Inputs &amp; Assumptions'!$H$42</f>
        <v>51777.5729206532</v>
      </c>
      <c r="AC306" s="50" t="n">
        <f aca="false">SUMIFS('Activation Detail'!$I$4:$I$4003,'Activation Detail'!$A$4:$A$4003,$A306,'Activation Detail'!$N$4:$N$4003,Z$2)</f>
        <v>40153.936</v>
      </c>
      <c r="AD306" s="51" t="n">
        <f aca="false">IFERROR(AB306/AC306,0)</f>
        <v>1.28947690011393</v>
      </c>
      <c r="AE306" s="49" t="n">
        <f aca="false">IFERROR(AC306/Z306,0)</f>
        <v>87.9426378169168</v>
      </c>
    </row>
    <row r="307" customFormat="false" ht="15" hidden="false" customHeight="false" outlineLevel="0" collapsed="false">
      <c r="A307" s="43" t="n">
        <v>304</v>
      </c>
      <c r="B307" s="45" t="n">
        <f aca="false">SUM('Activation Detail'!C307,'Activation Detail'!C807,'Activation Detail'!C1307,'Activation Detail'!C1807,'Activation Detail'!C2307,'Activation Detail'!C2807,'Activation Detail'!C3307,'Activation Detail'!C3807)</f>
        <v>4525764</v>
      </c>
      <c r="C307" s="45" t="n">
        <f aca="false">SUM('Activation Detail'!E307,'Activation Detail'!E807,'Activation Detail'!E1307,'Activation Detail'!E1807,'Activation Detail'!E2307,'Activation Detail'!E2807,'Activation Detail'!E3307,'Activation Detail'!E3807)</f>
        <v>359401</v>
      </c>
      <c r="D307" s="45" t="n">
        <f aca="false">SUM('Activation Detail'!G307,'Activation Detail'!G807,'Activation Detail'!G1307,'Activation Detail'!G1807,'Activation Detail'!G2307,'Activation Detail'!G2807,'Activation Detail'!G3307,'Activation Detail'!G3807)</f>
        <v>18170</v>
      </c>
      <c r="E307" s="48" t="n">
        <f aca="false">SUM('Activation Detail'!H307,'Activation Detail'!H807,'Activation Detail'!H1307,'Activation Detail'!H1807,'Activation Detail'!H2307,'Activation Detail'!H2807,'Activation Detail'!H3307,'Activation Detail'!H3807)</f>
        <v>629.611020558137</v>
      </c>
      <c r="F307" s="50" t="n">
        <f aca="false">SUM('Activation Detail'!I307,'Activation Detail'!I807,'Activation Detail'!I1307,'Activation Detail'!I1807,'Activation Detail'!I2307,'Activation Detail'!I2807,'Activation Detail'!I3307,'Activation Detail'!I3807)</f>
        <v>67802.43512</v>
      </c>
      <c r="G307" s="50" t="n">
        <f aca="false">SUM('Activation Detail'!J307,'Activation Detail'!J807,'Activation Detail'!J1307,'Activation Detail'!J1807,'Activation Detail'!J2307,'Activation Detail'!J2807,'Activation Detail'!J3307,'Activation Detail'!J3807)</f>
        <v>4022704.37485566</v>
      </c>
      <c r="H307" s="50" t="n">
        <f aca="false">SUM('Activation Detail'!K307,'Activation Detail'!K807,'Activation Detail'!K1307,'Activation Detail'!K1807,'Activation Detail'!K2307,'Activation Detail'!K2807,'Activation Detail'!K3307,'Activation Detail'!K3807)</f>
        <v>87064.7758769027</v>
      </c>
      <c r="I307" s="51" t="n">
        <f aca="false">IFERROR(H307/F307,0)</f>
        <v>1.28409511727435</v>
      </c>
      <c r="J307" s="49" t="n">
        <f aca="false">IFERROR(F307/E307,0)</f>
        <v>107.689403307926</v>
      </c>
      <c r="K307" s="46" t="n">
        <f aca="false">IFERROR(C307/B307,0)</f>
        <v>0.0794122274161887</v>
      </c>
      <c r="L307" s="47" t="n">
        <f aca="false">IFERROR(D307/B307,0)</f>
        <v>0.00401479175670671</v>
      </c>
      <c r="N307" s="48" t="n">
        <f aca="false">SUMIFS('Activation Detail'!$H$4:$H$4003,'Activation Detail'!$A$4:$A$4003,$A307,'Activation Detail'!$N$4:$N$4003,N$2)</f>
        <v>102.949715560555</v>
      </c>
      <c r="O307" s="50" t="n">
        <f aca="false">N307*'Model Inputs &amp; Assumptions'!$D$40*'Model Inputs &amp; Assumptions'!$H$40</f>
        <v>875072.582264719</v>
      </c>
      <c r="P307" s="50" t="n">
        <f aca="false">N307*'Model Inputs &amp; Assumptions'!$G$40*'Model Inputs &amp; Assumptions'!$H$40</f>
        <v>19689.1331009562</v>
      </c>
      <c r="Q307" s="50" t="n">
        <f aca="false">SUMIFS('Activation Detail'!$I$4:$I$4003,'Activation Detail'!$A$4:$A$4003,$A307,'Activation Detail'!$N$4:$N$4003,N$2)</f>
        <v>17638.237</v>
      </c>
      <c r="R307" s="51" t="n">
        <f aca="false">IFERROR(P307/Q307,0)</f>
        <v>1.11627557226701</v>
      </c>
      <c r="S307" s="49" t="n">
        <f aca="false">IFERROR(Q307/N307,0)</f>
        <v>171.328661803103</v>
      </c>
      <c r="T307" s="48" t="n">
        <f aca="false">SUMIFS('Activation Detail'!$H$4:$H$4003,'Activation Detail'!$A$4:$A$4003,$A307,'Activation Detail'!$N$4:$N$4003,T$2)</f>
        <v>168.700414224443</v>
      </c>
      <c r="U307" s="50" t="n">
        <f aca="false">T307*'Model Inputs &amp; Assumptions'!$D$41*'Model Inputs &amp; Assumptions'!$H$41</f>
        <v>1214642.98241599</v>
      </c>
      <c r="V307" s="50" t="n">
        <f aca="false">T307*'Model Inputs &amp; Assumptions'!$G$41*'Model Inputs &amp; Assumptions'!$H$41</f>
        <v>26782.8777622726</v>
      </c>
      <c r="W307" s="50" t="n">
        <f aca="false">SUMIFS('Activation Detail'!$I$4:$I$4003,'Activation Detail'!$A$4:$A$4003,$A307,'Activation Detail'!$N$4:$N$4003,T$2)</f>
        <v>18890.44212</v>
      </c>
      <c r="X307" s="51" t="n">
        <f aca="false">IFERROR(V307/W307,0)</f>
        <v>1.41780047243662</v>
      </c>
      <c r="Y307" s="49" t="n">
        <f aca="false">IFERROR(W307/T307,0)</f>
        <v>111.976263999374</v>
      </c>
      <c r="Z307" s="48" t="n">
        <f aca="false">SUMIFS('Activation Detail'!$H$4:$H$4003,'Activation Detail'!$A$4:$A$4003,$A307,'Activation Detail'!$N$4:$N$4003,Z$2)</f>
        <v>357.960890773139</v>
      </c>
      <c r="AA307" s="50" t="n">
        <f aca="false">Z307*'Model Inputs &amp; Assumptions'!$D$42*'Model Inputs &amp; Assumptions'!$H$42</f>
        <v>1932988.81017495</v>
      </c>
      <c r="AB307" s="50" t="n">
        <f aca="false">Z307*'Model Inputs &amp; Assumptions'!$G$42*'Model Inputs &amp; Assumptions'!$H$42</f>
        <v>40592.7650136739</v>
      </c>
      <c r="AC307" s="50" t="n">
        <f aca="false">SUMIFS('Activation Detail'!$I$4:$I$4003,'Activation Detail'!$A$4:$A$4003,$A307,'Activation Detail'!$N$4:$N$4003,Z$2)</f>
        <v>31273.756</v>
      </c>
      <c r="AD307" s="51" t="n">
        <f aca="false">IFERROR(AB307/AC307,0)</f>
        <v>1.2979817650836</v>
      </c>
      <c r="AE307" s="49" t="n">
        <f aca="false">IFERROR(AC307/Z307,0)</f>
        <v>87.3664045601564</v>
      </c>
    </row>
    <row r="308" customFormat="false" ht="15" hidden="false" customHeight="false" outlineLevel="0" collapsed="false">
      <c r="A308" s="43" t="n">
        <v>305</v>
      </c>
      <c r="B308" s="45" t="n">
        <f aca="false">SUM('Activation Detail'!C308,'Activation Detail'!C808,'Activation Detail'!C1308,'Activation Detail'!C1808,'Activation Detail'!C2308,'Activation Detail'!C2808,'Activation Detail'!C3308,'Activation Detail'!C3808)</f>
        <v>4675014</v>
      </c>
      <c r="C308" s="45" t="n">
        <f aca="false">SUM('Activation Detail'!E308,'Activation Detail'!E808,'Activation Detail'!E1308,'Activation Detail'!E1808,'Activation Detail'!E2308,'Activation Detail'!E2808,'Activation Detail'!E3308,'Activation Detail'!E3808)</f>
        <v>611675</v>
      </c>
      <c r="D308" s="45" t="n">
        <f aca="false">SUM('Activation Detail'!G308,'Activation Detail'!G808,'Activation Detail'!G1308,'Activation Detail'!G1808,'Activation Detail'!G2308,'Activation Detail'!G2808,'Activation Detail'!G3308,'Activation Detail'!G3808)</f>
        <v>19600</v>
      </c>
      <c r="E308" s="48" t="n">
        <f aca="false">SUM('Activation Detail'!H308,'Activation Detail'!H808,'Activation Detail'!H1308,'Activation Detail'!H1808,'Activation Detail'!H2308,'Activation Detail'!H2808,'Activation Detail'!H3308,'Activation Detail'!H3808)</f>
        <v>934.422863198454</v>
      </c>
      <c r="F308" s="50" t="n">
        <f aca="false">SUM('Activation Detail'!I308,'Activation Detail'!I808,'Activation Detail'!I1308,'Activation Detail'!I1808,'Activation Detail'!I2308,'Activation Detail'!I2808,'Activation Detail'!I3308,'Activation Detail'!I3808)</f>
        <v>74755.413292</v>
      </c>
      <c r="G308" s="50" t="n">
        <f aca="false">SUM('Activation Detail'!J308,'Activation Detail'!J808,'Activation Detail'!J1308,'Activation Detail'!J1808,'Activation Detail'!J2308,'Activation Detail'!J2808,'Activation Detail'!J3308,'Activation Detail'!J3808)</f>
        <v>5724679.4287933</v>
      </c>
      <c r="H308" s="50" t="n">
        <f aca="false">SUM('Activation Detail'!K308,'Activation Detail'!K808,'Activation Detail'!K1308,'Activation Detail'!K1808,'Activation Detail'!K2308,'Activation Detail'!K2808,'Activation Detail'!K3308,'Activation Detail'!K3808)</f>
        <v>123038.515182597</v>
      </c>
      <c r="I308" s="51" t="n">
        <f aca="false">IFERROR(H308/F308,0)</f>
        <v>1.64588101067678</v>
      </c>
      <c r="J308" s="49" t="n">
        <f aca="false">IFERROR(F308/E308,0)</f>
        <v>80.0016954166963</v>
      </c>
      <c r="K308" s="46" t="n">
        <f aca="false">IFERROR(C308/B308,0)</f>
        <v>0.130839180374647</v>
      </c>
      <c r="L308" s="47" t="n">
        <f aca="false">IFERROR(D308/B308,0)</f>
        <v>0.00419250081390131</v>
      </c>
      <c r="N308" s="48" t="n">
        <f aca="false">SUMIFS('Activation Detail'!$H$4:$H$4003,'Activation Detail'!$A$4:$A$4003,$A308,'Activation Detail'!$N$4:$N$4003,N$2)</f>
        <v>113.688465382569</v>
      </c>
      <c r="O308" s="50" t="n">
        <f aca="false">N308*'Model Inputs &amp; Assumptions'!$D$40*'Model Inputs &amp; Assumptions'!$H$40</f>
        <v>966351.955751833</v>
      </c>
      <c r="P308" s="50" t="n">
        <f aca="false">N308*'Model Inputs &amp; Assumptions'!$G$40*'Model Inputs &amp; Assumptions'!$H$40</f>
        <v>21742.9190044162</v>
      </c>
      <c r="Q308" s="50" t="n">
        <f aca="false">SUMIFS('Activation Detail'!$I$4:$I$4003,'Activation Detail'!$A$4:$A$4003,$A308,'Activation Detail'!$N$4:$N$4003,N$2)</f>
        <v>18291.1425</v>
      </c>
      <c r="R308" s="51" t="n">
        <f aca="false">IFERROR(P308/Q308,0)</f>
        <v>1.18871300709708</v>
      </c>
      <c r="S308" s="49" t="n">
        <f aca="false">IFERROR(Q308/N308,0)</f>
        <v>160.888287465656</v>
      </c>
      <c r="T308" s="48" t="n">
        <f aca="false">SUMIFS('Activation Detail'!$H$4:$H$4003,'Activation Detail'!$A$4:$A$4003,$A308,'Activation Detail'!$N$4:$N$4003,T$2)</f>
        <v>181.312069353161</v>
      </c>
      <c r="U308" s="50" t="n">
        <f aca="false">T308*'Model Inputs &amp; Assumptions'!$D$41*'Model Inputs &amp; Assumptions'!$H$41</f>
        <v>1305446.89934276</v>
      </c>
      <c r="V308" s="50" t="n">
        <f aca="false">T308*'Model Inputs &amp; Assumptions'!$G$41*'Model Inputs &amp; Assumptions'!$H$41</f>
        <v>28785.1041305078</v>
      </c>
      <c r="W308" s="50" t="n">
        <f aca="false">SUMIFS('Activation Detail'!$I$4:$I$4003,'Activation Detail'!$A$4:$A$4003,$A308,'Activation Detail'!$N$4:$N$4003,T$2)</f>
        <v>20627.250792</v>
      </c>
      <c r="X308" s="51" t="n">
        <f aca="false">IFERROR(V308/W308,0)</f>
        <v>1.39548912362435</v>
      </c>
      <c r="Y308" s="49" t="n">
        <f aca="false">IFERROR(W308/T308,0)</f>
        <v>113.766562069413</v>
      </c>
      <c r="Z308" s="48" t="n">
        <f aca="false">SUMIFS('Activation Detail'!$H$4:$H$4003,'Activation Detail'!$A$4:$A$4003,$A308,'Activation Detail'!$N$4:$N$4003,Z$2)</f>
        <v>639.422328462725</v>
      </c>
      <c r="AA308" s="50" t="n">
        <f aca="false">Z308*'Model Inputs &amp; Assumptions'!$D$42*'Model Inputs &amp; Assumptions'!$H$42</f>
        <v>3452880.57369871</v>
      </c>
      <c r="AB308" s="50" t="n">
        <f aca="false">Z308*'Model Inputs &amp; Assumptions'!$G$42*'Model Inputs &amp; Assumptions'!$H$42</f>
        <v>72510.492047673</v>
      </c>
      <c r="AC308" s="50" t="n">
        <f aca="false">SUMIFS('Activation Detail'!$I$4:$I$4003,'Activation Detail'!$A$4:$A$4003,$A308,'Activation Detail'!$N$4:$N$4003,Z$2)</f>
        <v>35837.02</v>
      </c>
      <c r="AD308" s="51" t="n">
        <f aca="false">IFERROR(AB308/AC308,0)</f>
        <v>2.02334044649005</v>
      </c>
      <c r="AE308" s="49" t="n">
        <f aca="false">IFERROR(AC308/Z308,0)</f>
        <v>56.0459314677954</v>
      </c>
    </row>
    <row r="309" customFormat="false" ht="15" hidden="false" customHeight="false" outlineLevel="0" collapsed="false">
      <c r="A309" s="43" t="n">
        <v>306</v>
      </c>
      <c r="B309" s="45" t="n">
        <f aca="false">SUM('Activation Detail'!C309,'Activation Detail'!C809,'Activation Detail'!C1309,'Activation Detail'!C1809,'Activation Detail'!C2309,'Activation Detail'!C2809,'Activation Detail'!C3309,'Activation Detail'!C3809)</f>
        <v>5200636</v>
      </c>
      <c r="C309" s="45" t="n">
        <f aca="false">SUM('Activation Detail'!E309,'Activation Detail'!E809,'Activation Detail'!E1309,'Activation Detail'!E1809,'Activation Detail'!E2309,'Activation Detail'!E2809,'Activation Detail'!E3309,'Activation Detail'!E3809)</f>
        <v>418749</v>
      </c>
      <c r="D309" s="45" t="n">
        <f aca="false">SUM('Activation Detail'!G309,'Activation Detail'!G809,'Activation Detail'!G1309,'Activation Detail'!G1809,'Activation Detail'!G2309,'Activation Detail'!G2809,'Activation Detail'!G3309,'Activation Detail'!G3809)</f>
        <v>18094</v>
      </c>
      <c r="E309" s="48" t="n">
        <f aca="false">SUM('Activation Detail'!H309,'Activation Detail'!H809,'Activation Detail'!H1309,'Activation Detail'!H1809,'Activation Detail'!H2309,'Activation Detail'!H2809,'Activation Detail'!H3309,'Activation Detail'!H3809)</f>
        <v>678.655938382187</v>
      </c>
      <c r="F309" s="50" t="n">
        <f aca="false">SUM('Activation Detail'!I309,'Activation Detail'!I809,'Activation Detail'!I1309,'Activation Detail'!I1809,'Activation Detail'!I2309,'Activation Detail'!I2809,'Activation Detail'!I3309,'Activation Detail'!I3809)</f>
        <v>91603.038892</v>
      </c>
      <c r="G309" s="50" t="n">
        <f aca="false">SUM('Activation Detail'!J309,'Activation Detail'!J809,'Activation Detail'!J1309,'Activation Detail'!J1809,'Activation Detail'!J2309,'Activation Detail'!J2809,'Activation Detail'!J3309,'Activation Detail'!J3809)</f>
        <v>4236341.46381332</v>
      </c>
      <c r="H309" s="50" t="n">
        <f aca="false">SUM('Activation Detail'!K309,'Activation Detail'!K809,'Activation Detail'!K1309,'Activation Detail'!K1809,'Activation Detail'!K2309,'Activation Detail'!K2809,'Activation Detail'!K3309,'Activation Detail'!K3809)</f>
        <v>91337.254804936</v>
      </c>
      <c r="I309" s="51" t="n">
        <f aca="false">IFERROR(H309/F309,0)</f>
        <v>0.997098523255573</v>
      </c>
      <c r="J309" s="49" t="n">
        <f aca="false">IFERROR(F309/E309,0)</f>
        <v>134.977141893679</v>
      </c>
      <c r="K309" s="46" t="n">
        <f aca="false">IFERROR(C309/B309,0)</f>
        <v>0.0805188057768319</v>
      </c>
      <c r="L309" s="47" t="n">
        <f aca="false">IFERROR(D309/B309,0)</f>
        <v>0.00347918985293337</v>
      </c>
      <c r="N309" s="48" t="n">
        <f aca="false">SUMIFS('Activation Detail'!$H$4:$H$4003,'Activation Detail'!$A$4:$A$4003,$A309,'Activation Detail'!$N$4:$N$4003,N$2)</f>
        <v>98.6422246357408</v>
      </c>
      <c r="O309" s="50" t="n">
        <f aca="false">N309*'Model Inputs &amp; Assumptions'!$D$40*'Model Inputs &amp; Assumptions'!$H$40</f>
        <v>838458.909403797</v>
      </c>
      <c r="P309" s="50" t="n">
        <f aca="false">N309*'Model Inputs &amp; Assumptions'!$G$40*'Model Inputs &amp; Assumptions'!$H$40</f>
        <v>18865.3254615854</v>
      </c>
      <c r="Q309" s="50" t="n">
        <f aca="false">SUMIFS('Activation Detail'!$I$4:$I$4003,'Activation Detail'!$A$4:$A$4003,$A309,'Activation Detail'!$N$4:$N$4003,N$2)</f>
        <v>18956.515</v>
      </c>
      <c r="R309" s="51" t="n">
        <f aca="false">IFERROR(P309/Q309,0)</f>
        <v>0.995189540988174</v>
      </c>
      <c r="S309" s="49" t="n">
        <f aca="false">IFERROR(Q309/N309,0)</f>
        <v>192.174447301866</v>
      </c>
      <c r="T309" s="48" t="n">
        <f aca="false">SUMIFS('Activation Detail'!$H$4:$H$4003,'Activation Detail'!$A$4:$A$4003,$A309,'Activation Detail'!$N$4:$N$4003,T$2)</f>
        <v>147.671388988175</v>
      </c>
      <c r="U309" s="50" t="n">
        <f aca="false">T309*'Model Inputs &amp; Assumptions'!$D$41*'Model Inputs &amp; Assumptions'!$H$41</f>
        <v>1063234.00071486</v>
      </c>
      <c r="V309" s="50" t="n">
        <f aca="false">T309*'Model Inputs &amp; Assumptions'!$G$41*'Model Inputs &amp; Assumptions'!$H$41</f>
        <v>23444.3097157627</v>
      </c>
      <c r="W309" s="50" t="n">
        <f aca="false">SUMIFS('Activation Detail'!$I$4:$I$4003,'Activation Detail'!$A$4:$A$4003,$A309,'Activation Detail'!$N$4:$N$4003,T$2)</f>
        <v>17656.435892</v>
      </c>
      <c r="X309" s="51" t="n">
        <f aca="false">IFERROR(V309/W309,0)</f>
        <v>1.32780533167428</v>
      </c>
      <c r="Y309" s="49" t="n">
        <f aca="false">IFERROR(W309/T309,0)</f>
        <v>119.565719622329</v>
      </c>
      <c r="Z309" s="48" t="n">
        <f aca="false">SUMIFS('Activation Detail'!$H$4:$H$4003,'Activation Detail'!$A$4:$A$4003,$A309,'Activation Detail'!$N$4:$N$4003,Z$2)</f>
        <v>432.342324758271</v>
      </c>
      <c r="AA309" s="50" t="n">
        <f aca="false">Z309*'Model Inputs &amp; Assumptions'!$D$42*'Model Inputs &amp; Assumptions'!$H$42</f>
        <v>2334648.55369466</v>
      </c>
      <c r="AB309" s="50" t="n">
        <f aca="false">Z309*'Model Inputs &amp; Assumptions'!$G$42*'Model Inputs &amp; Assumptions'!$H$42</f>
        <v>49027.6196275879</v>
      </c>
      <c r="AC309" s="50" t="n">
        <f aca="false">SUMIFS('Activation Detail'!$I$4:$I$4003,'Activation Detail'!$A$4:$A$4003,$A309,'Activation Detail'!$N$4:$N$4003,Z$2)</f>
        <v>54990.088</v>
      </c>
      <c r="AD309" s="51" t="n">
        <f aca="false">IFERROR(AB309/AC309,0)</f>
        <v>0.891571943430748</v>
      </c>
      <c r="AE309" s="49" t="n">
        <f aca="false">IFERROR(AC309/Z309,0)</f>
        <v>127.191081814037</v>
      </c>
    </row>
    <row r="310" customFormat="false" ht="15" hidden="false" customHeight="false" outlineLevel="0" collapsed="false">
      <c r="A310" s="43" t="n">
        <v>307</v>
      </c>
      <c r="B310" s="45" t="n">
        <f aca="false">SUM('Activation Detail'!C310,'Activation Detail'!C810,'Activation Detail'!C1310,'Activation Detail'!C1810,'Activation Detail'!C2310,'Activation Detail'!C2810,'Activation Detail'!C3310,'Activation Detail'!C3810)</f>
        <v>3545013</v>
      </c>
      <c r="C310" s="45" t="n">
        <f aca="false">SUM('Activation Detail'!E310,'Activation Detail'!E810,'Activation Detail'!E1310,'Activation Detail'!E1810,'Activation Detail'!E2310,'Activation Detail'!E2810,'Activation Detail'!E3310,'Activation Detail'!E3810)</f>
        <v>267961</v>
      </c>
      <c r="D310" s="45" t="n">
        <f aca="false">SUM('Activation Detail'!G310,'Activation Detail'!G810,'Activation Detail'!G1310,'Activation Detail'!G1810,'Activation Detail'!G2310,'Activation Detail'!G2810,'Activation Detail'!G3310,'Activation Detail'!G3810)</f>
        <v>11557</v>
      </c>
      <c r="E310" s="48" t="n">
        <f aca="false">SUM('Activation Detail'!H310,'Activation Detail'!H810,'Activation Detail'!H1310,'Activation Detail'!H1810,'Activation Detail'!H2310,'Activation Detail'!H2810,'Activation Detail'!H3310,'Activation Detail'!H3810)</f>
        <v>525.777144216712</v>
      </c>
      <c r="F310" s="50" t="n">
        <f aca="false">SUM('Activation Detail'!I310,'Activation Detail'!I810,'Activation Detail'!I1310,'Activation Detail'!I1810,'Activation Detail'!I2310,'Activation Detail'!I2810,'Activation Detail'!I3310,'Activation Detail'!I3810)</f>
        <v>68704.08356</v>
      </c>
      <c r="G310" s="50" t="n">
        <f aca="false">SUM('Activation Detail'!J310,'Activation Detail'!J810,'Activation Detail'!J1310,'Activation Detail'!J1810,'Activation Detail'!J2310,'Activation Detail'!J2810,'Activation Detail'!J3310,'Activation Detail'!J3810)</f>
        <v>3302275.03663951</v>
      </c>
      <c r="H310" s="50" t="n">
        <f aca="false">SUM('Activation Detail'!K310,'Activation Detail'!K810,'Activation Detail'!K1310,'Activation Detail'!K1810,'Activation Detail'!K2310,'Activation Detail'!K2810,'Activation Detail'!K3310,'Activation Detail'!K3810)</f>
        <v>71266.5135243267</v>
      </c>
      <c r="I310" s="51" t="n">
        <f aca="false">IFERROR(H310/F310,0)</f>
        <v>1.03729661806913</v>
      </c>
      <c r="J310" s="49" t="n">
        <f aca="false">IFERROR(F310/E310,0)</f>
        <v>130.671491364185</v>
      </c>
      <c r="K310" s="46" t="n">
        <f aca="false">IFERROR(C310/B310,0)</f>
        <v>0.0755881572225546</v>
      </c>
      <c r="L310" s="47" t="n">
        <f aca="false">IFERROR(D310/B310,0)</f>
        <v>0.00326007267110163</v>
      </c>
      <c r="N310" s="48" t="n">
        <f aca="false">SUMIFS('Activation Detail'!$H$4:$H$4003,'Activation Detail'!$A$4:$A$4003,$A310,'Activation Detail'!$N$4:$N$4003,N$2)</f>
        <v>97.0065487185253</v>
      </c>
      <c r="O310" s="50" t="n">
        <f aca="false">N310*'Model Inputs &amp; Assumptions'!$D$40*'Model Inputs &amp; Assumptions'!$H$40</f>
        <v>824555.664107465</v>
      </c>
      <c r="P310" s="50" t="n">
        <f aca="false">N310*'Model Inputs &amp; Assumptions'!$G$40*'Model Inputs &amp; Assumptions'!$H$40</f>
        <v>18552.502442418</v>
      </c>
      <c r="Q310" s="50" t="n">
        <f aca="false">SUMIFS('Activation Detail'!$I$4:$I$4003,'Activation Detail'!$A$4:$A$4003,$A310,'Activation Detail'!$N$4:$N$4003,N$2)</f>
        <v>17924.1005</v>
      </c>
      <c r="R310" s="51" t="n">
        <f aca="false">IFERROR(P310/Q310,0)</f>
        <v>1.03505905037845</v>
      </c>
      <c r="S310" s="49" t="n">
        <f aca="false">IFERROR(Q310/N310,0)</f>
        <v>184.772066801476</v>
      </c>
      <c r="T310" s="48" t="n">
        <f aca="false">SUMIFS('Activation Detail'!$H$4:$H$4003,'Activation Detail'!$A$4:$A$4003,$A310,'Activation Detail'!$N$4:$N$4003,T$2)</f>
        <v>90.1989760232452</v>
      </c>
      <c r="U310" s="50" t="n">
        <f aca="false">T310*'Model Inputs &amp; Assumptions'!$D$41*'Model Inputs &amp; Assumptions'!$H$41</f>
        <v>649432.627367365</v>
      </c>
      <c r="V310" s="50" t="n">
        <f aca="false">T310*'Model Inputs &amp; Assumptions'!$G$41*'Model Inputs &amp; Assumptions'!$H$41</f>
        <v>14319.9894334504</v>
      </c>
      <c r="W310" s="50" t="n">
        <f aca="false">SUMIFS('Activation Detail'!$I$4:$I$4003,'Activation Detail'!$A$4:$A$4003,$A310,'Activation Detail'!$N$4:$N$4003,T$2)</f>
        <v>13858.60706</v>
      </c>
      <c r="X310" s="51" t="n">
        <f aca="false">IFERROR(V310/W310,0)</f>
        <v>1.03329211741504</v>
      </c>
      <c r="Y310" s="49" t="n">
        <f aca="false">IFERROR(W310/T310,0)</f>
        <v>153.644838012668</v>
      </c>
      <c r="Z310" s="48" t="n">
        <f aca="false">SUMIFS('Activation Detail'!$H$4:$H$4003,'Activation Detail'!$A$4:$A$4003,$A310,'Activation Detail'!$N$4:$N$4003,Z$2)</f>
        <v>338.571619474942</v>
      </c>
      <c r="AA310" s="50" t="n">
        <f aca="false">Z310*'Model Inputs &amp; Assumptions'!$D$42*'Model Inputs &amp; Assumptions'!$H$42</f>
        <v>1828286.74516468</v>
      </c>
      <c r="AB310" s="50" t="n">
        <f aca="false">Z310*'Model Inputs &amp; Assumptions'!$G$42*'Model Inputs &amp; Assumptions'!$H$42</f>
        <v>38394.0216484584</v>
      </c>
      <c r="AC310" s="50" t="n">
        <f aca="false">SUMIFS('Activation Detail'!$I$4:$I$4003,'Activation Detail'!$A$4:$A$4003,$A310,'Activation Detail'!$N$4:$N$4003,Z$2)</f>
        <v>36921.376</v>
      </c>
      <c r="AD310" s="51" t="n">
        <f aca="false">IFERROR(AB310/AC310,0)</f>
        <v>1.0398859903937</v>
      </c>
      <c r="AE310" s="49" t="n">
        <f aca="false">IFERROR(AC310/Z310,0)</f>
        <v>109.05041614905</v>
      </c>
    </row>
    <row r="311" customFormat="false" ht="15" hidden="false" customHeight="false" outlineLevel="0" collapsed="false">
      <c r="A311" s="43" t="n">
        <v>308</v>
      </c>
      <c r="B311" s="45" t="n">
        <f aca="false">SUM('Activation Detail'!C311,'Activation Detail'!C811,'Activation Detail'!C1311,'Activation Detail'!C1811,'Activation Detail'!C2311,'Activation Detail'!C2811,'Activation Detail'!C3311,'Activation Detail'!C3811)</f>
        <v>4217743</v>
      </c>
      <c r="C311" s="45" t="n">
        <f aca="false">SUM('Activation Detail'!E311,'Activation Detail'!E811,'Activation Detail'!E1311,'Activation Detail'!E1811,'Activation Detail'!E2311,'Activation Detail'!E2811,'Activation Detail'!E3311,'Activation Detail'!E3811)</f>
        <v>378190</v>
      </c>
      <c r="D311" s="45" t="n">
        <f aca="false">SUM('Activation Detail'!G311,'Activation Detail'!G811,'Activation Detail'!G1311,'Activation Detail'!G1811,'Activation Detail'!G2311,'Activation Detail'!G2811,'Activation Detail'!G3311,'Activation Detail'!G3811)</f>
        <v>17020</v>
      </c>
      <c r="E311" s="48" t="n">
        <f aca="false">SUM('Activation Detail'!H311,'Activation Detail'!H811,'Activation Detail'!H1311,'Activation Detail'!H1811,'Activation Detail'!H2311,'Activation Detail'!H2811,'Activation Detail'!H3311,'Activation Detail'!H3811)</f>
        <v>765.473947133</v>
      </c>
      <c r="F311" s="50" t="n">
        <f aca="false">SUM('Activation Detail'!I311,'Activation Detail'!I811,'Activation Detail'!I1311,'Activation Detail'!I1811,'Activation Detail'!I2311,'Activation Detail'!I2811,'Activation Detail'!I3311,'Activation Detail'!I3811)</f>
        <v>79149.688666</v>
      </c>
      <c r="G311" s="50" t="n">
        <f aca="false">SUM('Activation Detail'!J311,'Activation Detail'!J811,'Activation Detail'!J1311,'Activation Detail'!J1811,'Activation Detail'!J2311,'Activation Detail'!J2811,'Activation Detail'!J3311,'Activation Detail'!J3811)</f>
        <v>4743626.31055374</v>
      </c>
      <c r="H311" s="50" t="n">
        <f aca="false">SUM('Activation Detail'!K311,'Activation Detail'!K811,'Activation Detail'!K1311,'Activation Detail'!K1811,'Activation Detail'!K2311,'Activation Detail'!K2811,'Activation Detail'!K3311,'Activation Detail'!K3811)</f>
        <v>102152.457303043</v>
      </c>
      <c r="I311" s="51" t="n">
        <f aca="false">IFERROR(H311/F311,0)</f>
        <v>1.29062361488383</v>
      </c>
      <c r="J311" s="49" t="n">
        <f aca="false">IFERROR(F311/E311,0)</f>
        <v>103.399585266679</v>
      </c>
      <c r="K311" s="46" t="n">
        <f aca="false">IFERROR(C311/B311,0)</f>
        <v>0.0896664400841872</v>
      </c>
      <c r="L311" s="47" t="n">
        <f aca="false">IFERROR(D311/B311,0)</f>
        <v>0.00403533358955252</v>
      </c>
      <c r="N311" s="48" t="n">
        <f aca="false">SUMIFS('Activation Detail'!$H$4:$H$4003,'Activation Detail'!$A$4:$A$4003,$A311,'Activation Detail'!$N$4:$N$4003,N$2)</f>
        <v>96.2096367975733</v>
      </c>
      <c r="O311" s="50" t="n">
        <f aca="false">N311*'Model Inputs &amp; Assumptions'!$D$40*'Model Inputs &amp; Assumptions'!$H$40</f>
        <v>817781.912779373</v>
      </c>
      <c r="P311" s="50" t="n">
        <f aca="false">N311*'Model Inputs &amp; Assumptions'!$G$40*'Model Inputs &amp; Assumptions'!$H$40</f>
        <v>18400.0930375359</v>
      </c>
      <c r="Q311" s="50" t="n">
        <f aca="false">SUMIFS('Activation Detail'!$I$4:$I$4003,'Activation Detail'!$A$4:$A$4003,$A311,'Activation Detail'!$N$4:$N$4003,N$2)</f>
        <v>17635.442</v>
      </c>
      <c r="R311" s="51" t="n">
        <f aca="false">IFERROR(P311/Q311,0)</f>
        <v>1.0433587679592</v>
      </c>
      <c r="S311" s="49" t="n">
        <f aca="false">IFERROR(Q311/N311,0)</f>
        <v>183.302240679957</v>
      </c>
      <c r="T311" s="48" t="n">
        <f aca="false">SUMIFS('Activation Detail'!$H$4:$H$4003,'Activation Detail'!$A$4:$A$4003,$A311,'Activation Detail'!$N$4:$N$4003,T$2)</f>
        <v>173.231734423926</v>
      </c>
      <c r="U311" s="50" t="n">
        <f aca="false">T311*'Model Inputs &amp; Assumptions'!$D$41*'Model Inputs &amp; Assumptions'!$H$41</f>
        <v>1247268.48785227</v>
      </c>
      <c r="V311" s="50" t="n">
        <f aca="false">T311*'Model Inputs &amp; Assumptions'!$G$41*'Model Inputs &amp; Assumptions'!$H$41</f>
        <v>27502.2701571424</v>
      </c>
      <c r="W311" s="50" t="n">
        <f aca="false">SUMIFS('Activation Detail'!$I$4:$I$4003,'Activation Detail'!$A$4:$A$4003,$A311,'Activation Detail'!$N$4:$N$4003,T$2)</f>
        <v>19098.082666</v>
      </c>
      <c r="X311" s="51" t="n">
        <f aca="false">IFERROR(V311/W311,0)</f>
        <v>1.44005399066076</v>
      </c>
      <c r="Y311" s="49" t="n">
        <f aca="false">IFERROR(W311/T311,0)</f>
        <v>110.245866495015</v>
      </c>
      <c r="Z311" s="48" t="n">
        <f aca="false">SUMIFS('Activation Detail'!$H$4:$H$4003,'Activation Detail'!$A$4:$A$4003,$A311,'Activation Detail'!$N$4:$N$4003,Z$2)</f>
        <v>496.032575911501</v>
      </c>
      <c r="AA311" s="50" t="n">
        <f aca="false">Z311*'Model Inputs &amp; Assumptions'!$D$42*'Model Inputs &amp; Assumptions'!$H$42</f>
        <v>2678575.9099221</v>
      </c>
      <c r="AB311" s="50" t="n">
        <f aca="false">Z311*'Model Inputs &amp; Assumptions'!$G$42*'Model Inputs &amp; Assumptions'!$H$42</f>
        <v>56250.0941083642</v>
      </c>
      <c r="AC311" s="50" t="n">
        <f aca="false">SUMIFS('Activation Detail'!$I$4:$I$4003,'Activation Detail'!$A$4:$A$4003,$A311,'Activation Detail'!$N$4:$N$4003,Z$2)</f>
        <v>42416.164</v>
      </c>
      <c r="AD311" s="51" t="n">
        <f aca="false">IFERROR(AB311/AC311,0)</f>
        <v>1.32614760043752</v>
      </c>
      <c r="AE311" s="49" t="n">
        <f aca="false">IFERROR(AC311/Z311,0)</f>
        <v>85.5108435611448</v>
      </c>
    </row>
    <row r="312" customFormat="false" ht="15" hidden="false" customHeight="false" outlineLevel="0" collapsed="false">
      <c r="A312" s="43" t="n">
        <v>309</v>
      </c>
      <c r="B312" s="45" t="n">
        <f aca="false">SUM('Activation Detail'!C312,'Activation Detail'!C812,'Activation Detail'!C1312,'Activation Detail'!C1812,'Activation Detail'!C2312,'Activation Detail'!C2812,'Activation Detail'!C3312,'Activation Detail'!C3812)</f>
        <v>4171395</v>
      </c>
      <c r="C312" s="45" t="n">
        <f aca="false">SUM('Activation Detail'!E312,'Activation Detail'!E812,'Activation Detail'!E1312,'Activation Detail'!E1812,'Activation Detail'!E2312,'Activation Detail'!E2812,'Activation Detail'!E3312,'Activation Detail'!E3812)</f>
        <v>375204</v>
      </c>
      <c r="D312" s="45" t="n">
        <f aca="false">SUM('Activation Detail'!G312,'Activation Detail'!G812,'Activation Detail'!G1312,'Activation Detail'!G1812,'Activation Detail'!G2312,'Activation Detail'!G2812,'Activation Detail'!G3312,'Activation Detail'!G3812)</f>
        <v>15892</v>
      </c>
      <c r="E312" s="48" t="n">
        <f aca="false">SUM('Activation Detail'!H312,'Activation Detail'!H812,'Activation Detail'!H1312,'Activation Detail'!H1812,'Activation Detail'!H2312,'Activation Detail'!H2812,'Activation Detail'!H3312,'Activation Detail'!H3812)</f>
        <v>786.8851933856</v>
      </c>
      <c r="F312" s="50" t="n">
        <f aca="false">SUM('Activation Detail'!I312,'Activation Detail'!I812,'Activation Detail'!I1312,'Activation Detail'!I1812,'Activation Detail'!I2312,'Activation Detail'!I2812,'Activation Detail'!I3312,'Activation Detail'!I3812)</f>
        <v>75022.17657</v>
      </c>
      <c r="G312" s="50" t="n">
        <f aca="false">SUM('Activation Detail'!J312,'Activation Detail'!J812,'Activation Detail'!J1312,'Activation Detail'!J1812,'Activation Detail'!J2312,'Activation Detail'!J2812,'Activation Detail'!J3312,'Activation Detail'!J3812)</f>
        <v>4823869.03413224</v>
      </c>
      <c r="H312" s="50" t="n">
        <f aca="false">SUM('Activation Detail'!K312,'Activation Detail'!K812,'Activation Detail'!K1312,'Activation Detail'!K1812,'Activation Detail'!K2312,'Activation Detail'!K2812,'Activation Detail'!K3312,'Activation Detail'!K3812)</f>
        <v>103695.221197324</v>
      </c>
      <c r="I312" s="51" t="n">
        <f aca="false">IFERROR(H312/F312,0)</f>
        <v>1.38219425159667</v>
      </c>
      <c r="J312" s="49" t="n">
        <f aca="false">IFERROR(F312/E312,0)</f>
        <v>95.34068908733</v>
      </c>
      <c r="K312" s="46" t="n">
        <f aca="false">IFERROR(C312/B312,0)</f>
        <v>0.0899468882711899</v>
      </c>
      <c r="L312" s="47" t="n">
        <f aca="false">IFERROR(D312/B312,0)</f>
        <v>0.00380975668811033</v>
      </c>
      <c r="N312" s="48" t="n">
        <f aca="false">SUMIFS('Activation Detail'!$H$4:$H$4003,'Activation Detail'!$A$4:$A$4003,$A312,'Activation Detail'!$N$4:$N$4003,N$2)</f>
        <v>73.0454697127995</v>
      </c>
      <c r="O312" s="50" t="n">
        <f aca="false">N312*'Model Inputs &amp; Assumptions'!$D$40*'Model Inputs &amp; Assumptions'!$H$40</f>
        <v>620886.492558796</v>
      </c>
      <c r="P312" s="50" t="n">
        <f aca="false">N312*'Model Inputs &amp; Assumptions'!$G$40*'Model Inputs &amp; Assumptions'!$H$40</f>
        <v>13969.9460825729</v>
      </c>
      <c r="Q312" s="50" t="n">
        <f aca="false">SUMIFS('Activation Detail'!$I$4:$I$4003,'Activation Detail'!$A$4:$A$4003,$A312,'Activation Detail'!$N$4:$N$4003,N$2)</f>
        <v>19125.1445</v>
      </c>
      <c r="R312" s="51" t="n">
        <f aca="false">IFERROR(P312/Q312,0)</f>
        <v>0.730449178178649</v>
      </c>
      <c r="S312" s="49" t="n">
        <f aca="false">IFERROR(Q312/N312,0)</f>
        <v>261.825197034071</v>
      </c>
      <c r="T312" s="48" t="n">
        <f aca="false">SUMIFS('Activation Detail'!$H$4:$H$4003,'Activation Detail'!$A$4:$A$4003,$A312,'Activation Detail'!$N$4:$N$4003,T$2)</f>
        <v>193.471129855733</v>
      </c>
      <c r="U312" s="50" t="n">
        <f aca="false">T312*'Model Inputs &amp; Assumptions'!$D$41*'Model Inputs &amp; Assumptions'!$H$41</f>
        <v>1392992.13496128</v>
      </c>
      <c r="V312" s="50" t="n">
        <f aca="false">T312*'Model Inputs &amp; Assumptions'!$G$41*'Model Inputs &amp; Assumptions'!$H$41</f>
        <v>30715.4765758961</v>
      </c>
      <c r="W312" s="50" t="n">
        <f aca="false">SUMIFS('Activation Detail'!$I$4:$I$4003,'Activation Detail'!$A$4:$A$4003,$A312,'Activation Detail'!$N$4:$N$4003,T$2)</f>
        <v>16464.02007</v>
      </c>
      <c r="X312" s="51" t="n">
        <f aca="false">IFERROR(V312/W312,0)</f>
        <v>1.86561219224122</v>
      </c>
      <c r="Y312" s="49" t="n">
        <f aca="false">IFERROR(W312/T312,0)</f>
        <v>85.0980716465391</v>
      </c>
      <c r="Z312" s="48" t="n">
        <f aca="false">SUMIFS('Activation Detail'!$H$4:$H$4003,'Activation Detail'!$A$4:$A$4003,$A312,'Activation Detail'!$N$4:$N$4003,Z$2)</f>
        <v>520.368593817067</v>
      </c>
      <c r="AA312" s="50" t="n">
        <f aca="false">Z312*'Model Inputs &amp; Assumptions'!$D$42*'Model Inputs &amp; Assumptions'!$H$42</f>
        <v>2809990.40661216</v>
      </c>
      <c r="AB312" s="50" t="n">
        <f aca="false">Z312*'Model Inputs &amp; Assumptions'!$G$42*'Model Inputs &amp; Assumptions'!$H$42</f>
        <v>59009.7985388554</v>
      </c>
      <c r="AC312" s="50" t="n">
        <f aca="false">SUMIFS('Activation Detail'!$I$4:$I$4003,'Activation Detail'!$A$4:$A$4003,$A312,'Activation Detail'!$N$4:$N$4003,Z$2)</f>
        <v>39433.012</v>
      </c>
      <c r="AD312" s="51" t="n">
        <f aca="false">IFERROR(AB312/AC312,0)</f>
        <v>1.49645678952588</v>
      </c>
      <c r="AE312" s="49" t="n">
        <f aca="false">IFERROR(AC312/Z312,0)</f>
        <v>75.7790006325064</v>
      </c>
    </row>
    <row r="313" customFormat="false" ht="15" hidden="false" customHeight="false" outlineLevel="0" collapsed="false">
      <c r="A313" s="43" t="n">
        <v>310</v>
      </c>
      <c r="B313" s="45" t="n">
        <f aca="false">SUM('Activation Detail'!C313,'Activation Detail'!C813,'Activation Detail'!C1313,'Activation Detail'!C1813,'Activation Detail'!C2313,'Activation Detail'!C2813,'Activation Detail'!C3313,'Activation Detail'!C3813)</f>
        <v>4384019</v>
      </c>
      <c r="C313" s="45" t="n">
        <f aca="false">SUM('Activation Detail'!E313,'Activation Detail'!E813,'Activation Detail'!E1313,'Activation Detail'!E1813,'Activation Detail'!E2313,'Activation Detail'!E2813,'Activation Detail'!E3313,'Activation Detail'!E3813)</f>
        <v>366955</v>
      </c>
      <c r="D313" s="45" t="n">
        <f aca="false">SUM('Activation Detail'!G313,'Activation Detail'!G813,'Activation Detail'!G1313,'Activation Detail'!G1813,'Activation Detail'!G2313,'Activation Detail'!G2813,'Activation Detail'!G3313,'Activation Detail'!G3813)</f>
        <v>13650</v>
      </c>
      <c r="E313" s="48" t="n">
        <f aca="false">SUM('Activation Detail'!H313,'Activation Detail'!H813,'Activation Detail'!H1313,'Activation Detail'!H1813,'Activation Detail'!H2313,'Activation Detail'!H2813,'Activation Detail'!H3313,'Activation Detail'!H3813)</f>
        <v>478.94476019049</v>
      </c>
      <c r="F313" s="50" t="n">
        <f aca="false">SUM('Activation Detail'!I313,'Activation Detail'!I813,'Activation Detail'!I1313,'Activation Detail'!I1813,'Activation Detail'!I2313,'Activation Detail'!I2813,'Activation Detail'!I3313,'Activation Detail'!I3813)</f>
        <v>73942.83999</v>
      </c>
      <c r="G313" s="50" t="n">
        <f aca="false">SUM('Activation Detail'!J313,'Activation Detail'!J813,'Activation Detail'!J1313,'Activation Detail'!J1813,'Activation Detail'!J2313,'Activation Detail'!J2813,'Activation Detail'!J3313,'Activation Detail'!J3813)</f>
        <v>3117515.01695606</v>
      </c>
      <c r="H313" s="50" t="n">
        <f aca="false">SUM('Activation Detail'!K313,'Activation Detail'!K813,'Activation Detail'!K1313,'Activation Detail'!K1813,'Activation Detail'!K2313,'Activation Detail'!K2813,'Activation Detail'!K3313,'Activation Detail'!K3813)</f>
        <v>67679.5472697951</v>
      </c>
      <c r="I313" s="51" t="n">
        <f aca="false">IFERROR(H313/F313,0)</f>
        <v>0.91529548065706</v>
      </c>
      <c r="J313" s="49" t="n">
        <f aca="false">IFERROR(F313/E313,0)</f>
        <v>154.386990183567</v>
      </c>
      <c r="K313" s="46" t="n">
        <f aca="false">IFERROR(C313/B313,0)</f>
        <v>0.0837028762877168</v>
      </c>
      <c r="L313" s="47" t="n">
        <f aca="false">IFERROR(D313/B313,0)</f>
        <v>0.00311358139643099</v>
      </c>
      <c r="N313" s="48" t="n">
        <f aca="false">SUMIFS('Activation Detail'!$H$4:$H$4003,'Activation Detail'!$A$4:$A$4003,$A313,'Activation Detail'!$N$4:$N$4003,N$2)</f>
        <v>71.718505100723</v>
      </c>
      <c r="O313" s="50" t="n">
        <f aca="false">N313*'Model Inputs &amp; Assumptions'!$D$40*'Model Inputs &amp; Assumptions'!$H$40</f>
        <v>609607.293356146</v>
      </c>
      <c r="P313" s="50" t="n">
        <f aca="false">N313*'Model Inputs &amp; Assumptions'!$G$40*'Model Inputs &amp; Assumptions'!$H$40</f>
        <v>13716.1641005133</v>
      </c>
      <c r="Q313" s="50" t="n">
        <f aca="false">SUMIFS('Activation Detail'!$I$4:$I$4003,'Activation Detail'!$A$4:$A$4003,$A313,'Activation Detail'!$N$4:$N$4003,N$2)</f>
        <v>18271.415</v>
      </c>
      <c r="R313" s="51" t="n">
        <f aca="false">IFERROR(P313/Q313,0)</f>
        <v>0.750689757772634</v>
      </c>
      <c r="S313" s="49" t="n">
        <f aca="false">IFERROR(Q313/N313,0)</f>
        <v>254.765697839619</v>
      </c>
      <c r="T313" s="48" t="n">
        <f aca="false">SUMIFS('Activation Detail'!$H$4:$H$4003,'Activation Detail'!$A$4:$A$4003,$A313,'Activation Detail'!$N$4:$N$4003,T$2)</f>
        <v>171.603303397316</v>
      </c>
      <c r="U313" s="50" t="n">
        <f aca="false">T313*'Model Inputs &amp; Assumptions'!$D$41*'Model Inputs &amp; Assumptions'!$H$41</f>
        <v>1235543.78446068</v>
      </c>
      <c r="V313" s="50" t="n">
        <f aca="false">T313*'Model Inputs &amp; Assumptions'!$G$41*'Model Inputs &amp; Assumptions'!$H$41</f>
        <v>27243.7404473579</v>
      </c>
      <c r="W313" s="50" t="n">
        <f aca="false">SUMIFS('Activation Detail'!$I$4:$I$4003,'Activation Detail'!$A$4:$A$4003,$A313,'Activation Detail'!$N$4:$N$4003,T$2)</f>
        <v>16885.58499</v>
      </c>
      <c r="X313" s="51" t="n">
        <f aca="false">IFERROR(V313/W313,0)</f>
        <v>1.6134318392577</v>
      </c>
      <c r="Y313" s="49" t="n">
        <f aca="false">IFERROR(W313/T313,0)</f>
        <v>98.3989506944659</v>
      </c>
      <c r="Z313" s="48" t="n">
        <f aca="false">SUMIFS('Activation Detail'!$H$4:$H$4003,'Activation Detail'!$A$4:$A$4003,$A313,'Activation Detail'!$N$4:$N$4003,Z$2)</f>
        <v>235.622951692451</v>
      </c>
      <c r="AA313" s="50" t="n">
        <f aca="false">Z313*'Model Inputs &amp; Assumptions'!$D$42*'Model Inputs &amp; Assumptions'!$H$42</f>
        <v>1272363.93913923</v>
      </c>
      <c r="AB313" s="50" t="n">
        <f aca="false">Z313*'Model Inputs &amp; Assumptions'!$G$42*'Model Inputs &amp; Assumptions'!$H$42</f>
        <v>26719.6427219239</v>
      </c>
      <c r="AC313" s="50" t="n">
        <f aca="false">SUMIFS('Activation Detail'!$I$4:$I$4003,'Activation Detail'!$A$4:$A$4003,$A313,'Activation Detail'!$N$4:$N$4003,Z$2)</f>
        <v>38785.84</v>
      </c>
      <c r="AD313" s="51" t="n">
        <f aca="false">IFERROR(AB313/AC313,0)</f>
        <v>0.688901999335941</v>
      </c>
      <c r="AE313" s="49" t="n">
        <f aca="false">IFERROR(AC313/Z313,0)</f>
        <v>164.609770488851</v>
      </c>
    </row>
    <row r="314" customFormat="false" ht="15" hidden="false" customHeight="false" outlineLevel="0" collapsed="false">
      <c r="A314" s="43" t="n">
        <v>311</v>
      </c>
      <c r="B314" s="45" t="n">
        <f aca="false">SUM('Activation Detail'!C314,'Activation Detail'!C814,'Activation Detail'!C1314,'Activation Detail'!C1814,'Activation Detail'!C2314,'Activation Detail'!C2814,'Activation Detail'!C3314,'Activation Detail'!C3814)</f>
        <v>4447023</v>
      </c>
      <c r="C314" s="45" t="n">
        <f aca="false">SUM('Activation Detail'!E314,'Activation Detail'!E814,'Activation Detail'!E1314,'Activation Detail'!E1814,'Activation Detail'!E2314,'Activation Detail'!E2814,'Activation Detail'!E3314,'Activation Detail'!E3814)</f>
        <v>396927</v>
      </c>
      <c r="D314" s="45" t="n">
        <f aca="false">SUM('Activation Detail'!G314,'Activation Detail'!G814,'Activation Detail'!G1314,'Activation Detail'!G1814,'Activation Detail'!G2314,'Activation Detail'!G2814,'Activation Detail'!G3314,'Activation Detail'!G3814)</f>
        <v>16491</v>
      </c>
      <c r="E314" s="48" t="n">
        <f aca="false">SUM('Activation Detail'!H314,'Activation Detail'!H814,'Activation Detail'!H1314,'Activation Detail'!H1814,'Activation Detail'!H2314,'Activation Detail'!H2814,'Activation Detail'!H3314,'Activation Detail'!H3814)</f>
        <v>744.417522944656</v>
      </c>
      <c r="F314" s="50" t="n">
        <f aca="false">SUM('Activation Detail'!I314,'Activation Detail'!I814,'Activation Detail'!I1314,'Activation Detail'!I1814,'Activation Detail'!I2314,'Activation Detail'!I2814,'Activation Detail'!I3314,'Activation Detail'!I3814)</f>
        <v>82428.401958</v>
      </c>
      <c r="G314" s="50" t="n">
        <f aca="false">SUM('Activation Detail'!J314,'Activation Detail'!J814,'Activation Detail'!J1314,'Activation Detail'!J1814,'Activation Detail'!J2314,'Activation Detail'!J2814,'Activation Detail'!J3314,'Activation Detail'!J3814)</f>
        <v>4527290.43640539</v>
      </c>
      <c r="H314" s="50" t="n">
        <f aca="false">SUM('Activation Detail'!K314,'Activation Detail'!K814,'Activation Detail'!K1314,'Activation Detail'!K1814,'Activation Detail'!K2314,'Activation Detail'!K2814,'Activation Detail'!K3314,'Activation Detail'!K3814)</f>
        <v>97182.1178816926</v>
      </c>
      <c r="I314" s="51" t="n">
        <f aca="false">IFERROR(H314/F314,0)</f>
        <v>1.17898825614999</v>
      </c>
      <c r="J314" s="49" t="n">
        <f aca="false">IFERROR(F314/E314,0)</f>
        <v>110.728723353988</v>
      </c>
      <c r="K314" s="46" t="n">
        <f aca="false">IFERROR(C314/B314,0)</f>
        <v>0.0892567904416056</v>
      </c>
      <c r="L314" s="47" t="n">
        <f aca="false">IFERROR(D314/B314,0)</f>
        <v>0.00370832352339981</v>
      </c>
      <c r="N314" s="48" t="n">
        <f aca="false">SUMIFS('Activation Detail'!$H$4:$H$4003,'Activation Detail'!$A$4:$A$4003,$A314,'Activation Detail'!$N$4:$N$4003,N$2)</f>
        <v>82.2655382905822</v>
      </c>
      <c r="O314" s="50" t="n">
        <f aca="false">N314*'Model Inputs &amp; Assumptions'!$D$40*'Model Inputs &amp; Assumptions'!$H$40</f>
        <v>699257.075469949</v>
      </c>
      <c r="P314" s="50" t="n">
        <f aca="false">N314*'Model Inputs &amp; Assumptions'!$G$40*'Model Inputs &amp; Assumptions'!$H$40</f>
        <v>15733.2841980738</v>
      </c>
      <c r="Q314" s="50" t="n">
        <f aca="false">SUMIFS('Activation Detail'!$I$4:$I$4003,'Activation Detail'!$A$4:$A$4003,$A314,'Activation Detail'!$N$4:$N$4003,N$2)</f>
        <v>17899.0235</v>
      </c>
      <c r="R314" s="51" t="n">
        <f aca="false">IFERROR(P314/Q314,0)</f>
        <v>0.879002376753896</v>
      </c>
      <c r="S314" s="49" t="n">
        <f aca="false">IFERROR(Q314/N314,0)</f>
        <v>217.576203498192</v>
      </c>
      <c r="T314" s="48" t="n">
        <f aca="false">SUMIFS('Activation Detail'!$H$4:$H$4003,'Activation Detail'!$A$4:$A$4003,$A314,'Activation Detail'!$N$4:$N$4003,T$2)</f>
        <v>140.229246557468</v>
      </c>
      <c r="U314" s="50" t="n">
        <f aca="false">T314*'Model Inputs &amp; Assumptions'!$D$41*'Model Inputs &amp; Assumptions'!$H$41</f>
        <v>1009650.57521377</v>
      </c>
      <c r="V314" s="50" t="n">
        <f aca="false">T314*'Model Inputs &amp; Assumptions'!$G$41*'Model Inputs &amp; Assumptions'!$H$41</f>
        <v>22262.7951834636</v>
      </c>
      <c r="W314" s="50" t="n">
        <f aca="false">SUMIFS('Activation Detail'!$I$4:$I$4003,'Activation Detail'!$A$4:$A$4003,$A314,'Activation Detail'!$N$4:$N$4003,T$2)</f>
        <v>17048.242458</v>
      </c>
      <c r="X314" s="51" t="n">
        <f aca="false">IFERROR(V314/W314,0)</f>
        <v>1.30587039915171</v>
      </c>
      <c r="Y314" s="49" t="n">
        <f aca="false">IFERROR(W314/T314,0)</f>
        <v>121.574085838173</v>
      </c>
      <c r="Z314" s="48" t="n">
        <f aca="false">SUMIFS('Activation Detail'!$H$4:$H$4003,'Activation Detail'!$A$4:$A$4003,$A314,'Activation Detail'!$N$4:$N$4003,Z$2)</f>
        <v>521.922738096606</v>
      </c>
      <c r="AA314" s="50" t="n">
        <f aca="false">Z314*'Model Inputs &amp; Assumptions'!$D$42*'Model Inputs &amp; Assumptions'!$H$42</f>
        <v>2818382.78572167</v>
      </c>
      <c r="AB314" s="50" t="n">
        <f aca="false">Z314*'Model Inputs &amp; Assumptions'!$G$42*'Model Inputs &amp; Assumptions'!$H$42</f>
        <v>59186.0385001551</v>
      </c>
      <c r="AC314" s="50" t="n">
        <f aca="false">SUMIFS('Activation Detail'!$I$4:$I$4003,'Activation Detail'!$A$4:$A$4003,$A314,'Activation Detail'!$N$4:$N$4003,Z$2)</f>
        <v>47481.136</v>
      </c>
      <c r="AD314" s="51" t="n">
        <f aca="false">IFERROR(AB314/AC314,0)</f>
        <v>1.24651690094683</v>
      </c>
      <c r="AE314" s="49" t="n">
        <f aca="false">IFERROR(AC314/Z314,0)</f>
        <v>90.9734957575491</v>
      </c>
    </row>
    <row r="315" customFormat="false" ht="15" hidden="false" customHeight="false" outlineLevel="0" collapsed="false">
      <c r="A315" s="43" t="n">
        <v>312</v>
      </c>
      <c r="B315" s="45" t="n">
        <f aca="false">SUM('Activation Detail'!C315,'Activation Detail'!C815,'Activation Detail'!C1315,'Activation Detail'!C1815,'Activation Detail'!C2315,'Activation Detail'!C2815,'Activation Detail'!C3315,'Activation Detail'!C3815)</f>
        <v>3624782</v>
      </c>
      <c r="C315" s="45" t="n">
        <f aca="false">SUM('Activation Detail'!E315,'Activation Detail'!E815,'Activation Detail'!E1315,'Activation Detail'!E1815,'Activation Detail'!E2315,'Activation Detail'!E2815,'Activation Detail'!E3315,'Activation Detail'!E3815)</f>
        <v>393069</v>
      </c>
      <c r="D315" s="45" t="n">
        <f aca="false">SUM('Activation Detail'!G315,'Activation Detail'!G815,'Activation Detail'!G1315,'Activation Detail'!G1815,'Activation Detail'!G2315,'Activation Detail'!G2815,'Activation Detail'!G3315,'Activation Detail'!G3815)</f>
        <v>12188</v>
      </c>
      <c r="E315" s="48" t="n">
        <f aca="false">SUM('Activation Detail'!H315,'Activation Detail'!H815,'Activation Detail'!H1315,'Activation Detail'!H1815,'Activation Detail'!H2315,'Activation Detail'!H2815,'Activation Detail'!H3315,'Activation Detail'!H3815)</f>
        <v>492.158602973417</v>
      </c>
      <c r="F315" s="50" t="n">
        <f aca="false">SUM('Activation Detail'!I315,'Activation Detail'!I815,'Activation Detail'!I1315,'Activation Detail'!I1815,'Activation Detail'!I2315,'Activation Detail'!I2815,'Activation Detail'!I3315,'Activation Detail'!I3815)</f>
        <v>68501.353722</v>
      </c>
      <c r="G315" s="50" t="n">
        <f aca="false">SUM('Activation Detail'!J315,'Activation Detail'!J815,'Activation Detail'!J1315,'Activation Detail'!J1815,'Activation Detail'!J2315,'Activation Detail'!J2815,'Activation Detail'!J3315,'Activation Detail'!J3815)</f>
        <v>3175302.8294073</v>
      </c>
      <c r="H315" s="50" t="n">
        <f aca="false">SUM('Activation Detail'!K315,'Activation Detail'!K815,'Activation Detail'!K1315,'Activation Detail'!K1815,'Activation Detail'!K2315,'Activation Detail'!K2815,'Activation Detail'!K3315,'Activation Detail'!K3815)</f>
        <v>68833.0872391027</v>
      </c>
      <c r="I315" s="51" t="n">
        <f aca="false">IFERROR(H315/F315,0)</f>
        <v>1.00484272936341</v>
      </c>
      <c r="J315" s="49" t="n">
        <f aca="false">IFERROR(F315/E315,0)</f>
        <v>139.185525373616</v>
      </c>
      <c r="K315" s="46" t="n">
        <f aca="false">IFERROR(C315/B315,0)</f>
        <v>0.108439348904293</v>
      </c>
      <c r="L315" s="47" t="n">
        <f aca="false">IFERROR(D315/B315,0)</f>
        <v>0.00336240910487858</v>
      </c>
      <c r="N315" s="48" t="n">
        <f aca="false">SUMIFS('Activation Detail'!$H$4:$H$4003,'Activation Detail'!$A$4:$A$4003,$A315,'Activation Detail'!$N$4:$N$4003,N$2)</f>
        <v>82.9146167562187</v>
      </c>
      <c r="O315" s="50" t="n">
        <f aca="false">N315*'Model Inputs &amp; Assumptions'!$D$40*'Model Inputs &amp; Assumptions'!$H$40</f>
        <v>704774.242427859</v>
      </c>
      <c r="P315" s="50" t="n">
        <f aca="false">N315*'Model Inputs &amp; Assumptions'!$G$40*'Model Inputs &amp; Assumptions'!$H$40</f>
        <v>15857.4204546268</v>
      </c>
      <c r="Q315" s="50" t="n">
        <f aca="false">SUMIFS('Activation Detail'!$I$4:$I$4003,'Activation Detail'!$A$4:$A$4003,$A315,'Activation Detail'!$N$4:$N$4003,N$2)</f>
        <v>18233.975</v>
      </c>
      <c r="R315" s="51" t="n">
        <f aca="false">IFERROR(P315/Q315,0)</f>
        <v>0.869663386871311</v>
      </c>
      <c r="S315" s="49" t="n">
        <f aca="false">IFERROR(Q315/N315,0)</f>
        <v>219.912672980334</v>
      </c>
      <c r="T315" s="48" t="n">
        <f aca="false">SUMIFS('Activation Detail'!$H$4:$H$4003,'Activation Detail'!$A$4:$A$4003,$A315,'Activation Detail'!$N$4:$N$4003,T$2)</f>
        <v>144.783923003651</v>
      </c>
      <c r="U315" s="50" t="n">
        <f aca="false">T315*'Model Inputs &amp; Assumptions'!$D$41*'Model Inputs &amp; Assumptions'!$H$41</f>
        <v>1042444.24562629</v>
      </c>
      <c r="V315" s="50" t="n">
        <f aca="false">T315*'Model Inputs &amp; Assumptions'!$G$41*'Model Inputs &amp; Assumptions'!$H$41</f>
        <v>22985.8956160596</v>
      </c>
      <c r="W315" s="50" t="n">
        <f aca="false">SUMIFS('Activation Detail'!$I$4:$I$4003,'Activation Detail'!$A$4:$A$4003,$A315,'Activation Detail'!$N$4:$N$4003,T$2)</f>
        <v>14659.414722</v>
      </c>
      <c r="X315" s="51" t="n">
        <f aca="false">IFERROR(V315/W315,0)</f>
        <v>1.5679954522034</v>
      </c>
      <c r="Y315" s="49" t="n">
        <f aca="false">IFERROR(W315/T315,0)</f>
        <v>101.250293664376</v>
      </c>
      <c r="Z315" s="48" t="n">
        <f aca="false">SUMIFS('Activation Detail'!$H$4:$H$4003,'Activation Detail'!$A$4:$A$4003,$A315,'Activation Detail'!$N$4:$N$4003,Z$2)</f>
        <v>264.460063213547</v>
      </c>
      <c r="AA315" s="50" t="n">
        <f aca="false">Z315*'Model Inputs &amp; Assumptions'!$D$42*'Model Inputs &amp; Assumptions'!$H$42</f>
        <v>1428084.34135315</v>
      </c>
      <c r="AB315" s="50" t="n">
        <f aca="false">Z315*'Model Inputs &amp; Assumptions'!$G$42*'Model Inputs &amp; Assumptions'!$H$42</f>
        <v>29989.7711684163</v>
      </c>
      <c r="AC315" s="50" t="n">
        <f aca="false">SUMIFS('Activation Detail'!$I$4:$I$4003,'Activation Detail'!$A$4:$A$4003,$A315,'Activation Detail'!$N$4:$N$4003,Z$2)</f>
        <v>35607.964</v>
      </c>
      <c r="AD315" s="51" t="n">
        <f aca="false">IFERROR(AB315/AC315,0)</f>
        <v>0.842220891046066</v>
      </c>
      <c r="AE315" s="49" t="n">
        <f aca="false">IFERROR(AC315/Z315,0)</f>
        <v>134.644012284181</v>
      </c>
    </row>
    <row r="316" customFormat="false" ht="15" hidden="false" customHeight="false" outlineLevel="0" collapsed="false">
      <c r="A316" s="43" t="n">
        <v>313</v>
      </c>
      <c r="B316" s="45" t="n">
        <f aca="false">SUM('Activation Detail'!C316,'Activation Detail'!C816,'Activation Detail'!C1316,'Activation Detail'!C1816,'Activation Detail'!C2316,'Activation Detail'!C2816,'Activation Detail'!C3316,'Activation Detail'!C3816)</f>
        <v>5351445</v>
      </c>
      <c r="C316" s="45" t="n">
        <f aca="false">SUM('Activation Detail'!E316,'Activation Detail'!E816,'Activation Detail'!E1316,'Activation Detail'!E1816,'Activation Detail'!E2316,'Activation Detail'!E2816,'Activation Detail'!E3316,'Activation Detail'!E3816)</f>
        <v>392495</v>
      </c>
      <c r="D316" s="45" t="n">
        <f aca="false">SUM('Activation Detail'!G316,'Activation Detail'!G816,'Activation Detail'!G1316,'Activation Detail'!G1816,'Activation Detail'!G2316,'Activation Detail'!G2816,'Activation Detail'!G3316,'Activation Detail'!G3816)</f>
        <v>21528</v>
      </c>
      <c r="E316" s="48" t="n">
        <f aca="false">SUM('Activation Detail'!H316,'Activation Detail'!H816,'Activation Detail'!H1316,'Activation Detail'!H1816,'Activation Detail'!H2316,'Activation Detail'!H2816,'Activation Detail'!H3316,'Activation Detail'!H3816)</f>
        <v>1124.60457478178</v>
      </c>
      <c r="F316" s="50" t="n">
        <f aca="false">SUM('Activation Detail'!I316,'Activation Detail'!I816,'Activation Detail'!I1316,'Activation Detail'!I1816,'Activation Detail'!I2316,'Activation Detail'!I2816,'Activation Detail'!I3316,'Activation Detail'!I3816)</f>
        <v>73218.53873</v>
      </c>
      <c r="G316" s="50" t="n">
        <f aca="false">SUM('Activation Detail'!J316,'Activation Detail'!J816,'Activation Detail'!J1316,'Activation Detail'!J1816,'Activation Detail'!J2316,'Activation Detail'!J2816,'Activation Detail'!J3316,'Activation Detail'!J3816)</f>
        <v>7031126.77206435</v>
      </c>
      <c r="H316" s="50" t="n">
        <f aca="false">SUM('Activation Detail'!K316,'Activation Detail'!K816,'Activation Detail'!K1316,'Activation Detail'!K1816,'Activation Detail'!K2316,'Activation Detail'!K2816,'Activation Detail'!K3316,'Activation Detail'!K3816)</f>
        <v>151631.888580665</v>
      </c>
      <c r="I316" s="51" t="n">
        <f aca="false">IFERROR(H316/F316,0)</f>
        <v>2.07094939629732</v>
      </c>
      <c r="J316" s="49" t="n">
        <f aca="false">IFERROR(F316/E316,0)</f>
        <v>65.1060295964092</v>
      </c>
      <c r="K316" s="46" t="n">
        <f aca="false">IFERROR(C316/B316,0)</f>
        <v>0.0733437417370449</v>
      </c>
      <c r="L316" s="47" t="n">
        <f aca="false">IFERROR(D316/B316,0)</f>
        <v>0.00402283869123199</v>
      </c>
      <c r="N316" s="48" t="n">
        <f aca="false">SUMIFS('Activation Detail'!$H$4:$H$4003,'Activation Detail'!$A$4:$A$4003,$A316,'Activation Detail'!$N$4:$N$4003,N$2)</f>
        <v>172.127108538761</v>
      </c>
      <c r="O316" s="50" t="n">
        <f aca="false">N316*'Model Inputs &amp; Assumptions'!$D$40*'Model Inputs &amp; Assumptions'!$H$40</f>
        <v>1463080.42257947</v>
      </c>
      <c r="P316" s="50" t="n">
        <f aca="false">N316*'Model Inputs &amp; Assumptions'!$G$40*'Model Inputs &amp; Assumptions'!$H$40</f>
        <v>32919.3095080381</v>
      </c>
      <c r="Q316" s="50" t="n">
        <f aca="false">SUMIFS('Activation Detail'!$I$4:$I$4003,'Activation Detail'!$A$4:$A$4003,$A316,'Activation Detail'!$N$4:$N$4003,N$2)</f>
        <v>17787.594</v>
      </c>
      <c r="R316" s="51" t="n">
        <f aca="false">IFERROR(P316/Q316,0)</f>
        <v>1.85068927860834</v>
      </c>
      <c r="S316" s="49" t="n">
        <f aca="false">IFERROR(Q316/N316,0)</f>
        <v>103.339875694214</v>
      </c>
      <c r="T316" s="48" t="n">
        <f aca="false">SUMIFS('Activation Detail'!$H$4:$H$4003,'Activation Detail'!$A$4:$A$4003,$A316,'Activation Detail'!$N$4:$N$4003,T$2)</f>
        <v>235.926684318085</v>
      </c>
      <c r="U316" s="50" t="n">
        <f aca="false">T316*'Model Inputs &amp; Assumptions'!$D$41*'Model Inputs &amp; Assumptions'!$H$41</f>
        <v>1698672.12709022</v>
      </c>
      <c r="V316" s="50" t="n">
        <f aca="false">T316*'Model Inputs &amp; Assumptions'!$G$41*'Model Inputs &amp; Assumptions'!$H$41</f>
        <v>37455.7204023393</v>
      </c>
      <c r="W316" s="50" t="n">
        <f aca="false">SUMIFS('Activation Detail'!$I$4:$I$4003,'Activation Detail'!$A$4:$A$4003,$A316,'Activation Detail'!$N$4:$N$4003,T$2)</f>
        <v>17438.38873</v>
      </c>
      <c r="X316" s="51" t="n">
        <f aca="false">IFERROR(V316/W316,0)</f>
        <v>2.14788883206294</v>
      </c>
      <c r="Y316" s="49" t="n">
        <f aca="false">IFERROR(W316/T316,0)</f>
        <v>73.9144399049363</v>
      </c>
      <c r="Z316" s="48" t="n">
        <f aca="false">SUMIFS('Activation Detail'!$H$4:$H$4003,'Activation Detail'!$A$4:$A$4003,$A316,'Activation Detail'!$N$4:$N$4003,Z$2)</f>
        <v>716.550781924938</v>
      </c>
      <c r="AA316" s="50" t="n">
        <f aca="false">Z316*'Model Inputs &amp; Assumptions'!$D$42*'Model Inputs &amp; Assumptions'!$H$42</f>
        <v>3869374.22239466</v>
      </c>
      <c r="AB316" s="50" t="n">
        <f aca="false">Z316*'Model Inputs &amp; Assumptions'!$G$42*'Model Inputs &amp; Assumptions'!$H$42</f>
        <v>81256.8586702879</v>
      </c>
      <c r="AC316" s="50" t="n">
        <f aca="false">SUMIFS('Activation Detail'!$I$4:$I$4003,'Activation Detail'!$A$4:$A$4003,$A316,'Activation Detail'!$N$4:$N$4003,Z$2)</f>
        <v>37992.556</v>
      </c>
      <c r="AD316" s="51" t="n">
        <f aca="false">IFERROR(AB316/AC316,0)</f>
        <v>2.1387573573699</v>
      </c>
      <c r="AE316" s="49" t="n">
        <f aca="false">IFERROR(AC316/Z316,0)</f>
        <v>53.0214423853352</v>
      </c>
    </row>
    <row r="317" customFormat="false" ht="15" hidden="false" customHeight="false" outlineLevel="0" collapsed="false">
      <c r="A317" s="43" t="n">
        <v>314</v>
      </c>
      <c r="B317" s="45" t="n">
        <f aca="false">SUM('Activation Detail'!C317,'Activation Detail'!C817,'Activation Detail'!C1317,'Activation Detail'!C1817,'Activation Detail'!C2317,'Activation Detail'!C2817,'Activation Detail'!C3317,'Activation Detail'!C3817)</f>
        <v>4875805</v>
      </c>
      <c r="C317" s="45" t="n">
        <f aca="false">SUM('Activation Detail'!E317,'Activation Detail'!E817,'Activation Detail'!E1317,'Activation Detail'!E1817,'Activation Detail'!E2317,'Activation Detail'!E2817,'Activation Detail'!E3317,'Activation Detail'!E3817)</f>
        <v>319480</v>
      </c>
      <c r="D317" s="45" t="n">
        <f aca="false">SUM('Activation Detail'!G317,'Activation Detail'!G817,'Activation Detail'!G1317,'Activation Detail'!G1817,'Activation Detail'!G2317,'Activation Detail'!G2817,'Activation Detail'!G3317,'Activation Detail'!G3817)</f>
        <v>23707</v>
      </c>
      <c r="E317" s="48" t="n">
        <f aca="false">SUM('Activation Detail'!H317,'Activation Detail'!H817,'Activation Detail'!H1317,'Activation Detail'!H1817,'Activation Detail'!H2317,'Activation Detail'!H2817,'Activation Detail'!H3317,'Activation Detail'!H3817)</f>
        <v>1195.05599555444</v>
      </c>
      <c r="F317" s="50" t="n">
        <f aca="false">SUM('Activation Detail'!I317,'Activation Detail'!I817,'Activation Detail'!I1317,'Activation Detail'!I1817,'Activation Detail'!I2317,'Activation Detail'!I2817,'Activation Detail'!I3317,'Activation Detail'!I3817)</f>
        <v>74675.665456</v>
      </c>
      <c r="G317" s="50" t="n">
        <f aca="false">SUM('Activation Detail'!J317,'Activation Detail'!J817,'Activation Detail'!J1317,'Activation Detail'!J1817,'Activation Detail'!J2317,'Activation Detail'!J2817,'Activation Detail'!J3317,'Activation Detail'!J3817)</f>
        <v>7123177.55187434</v>
      </c>
      <c r="H317" s="50" t="n">
        <f aca="false">SUM('Activation Detail'!K317,'Activation Detail'!K817,'Activation Detail'!K1317,'Activation Detail'!K1817,'Activation Detail'!K2317,'Activation Detail'!K2817,'Activation Detail'!K3317,'Activation Detail'!K3817)</f>
        <v>152369.981719567</v>
      </c>
      <c r="I317" s="51" t="n">
        <f aca="false">IFERROR(H317/F317,0)</f>
        <v>2.04042348721145</v>
      </c>
      <c r="J317" s="49" t="n">
        <f aca="false">IFERROR(F317/E317,0)</f>
        <v>62.4871685793724</v>
      </c>
      <c r="K317" s="46" t="n">
        <f aca="false">IFERROR(C317/B317,0)</f>
        <v>0.0655235391899389</v>
      </c>
      <c r="L317" s="47" t="n">
        <f aca="false">IFERROR(D317/B317,0)</f>
        <v>0.00486217147732528</v>
      </c>
      <c r="N317" s="48" t="n">
        <f aca="false">SUMIFS('Activation Detail'!$H$4:$H$4003,'Activation Detail'!$A$4:$A$4003,$A317,'Activation Detail'!$N$4:$N$4003,N$2)</f>
        <v>111.935587005535</v>
      </c>
      <c r="O317" s="50" t="n">
        <f aca="false">N317*'Model Inputs &amp; Assumptions'!$D$40*'Model Inputs &amp; Assumptions'!$H$40</f>
        <v>951452.489547044</v>
      </c>
      <c r="P317" s="50" t="n">
        <f aca="false">N317*'Model Inputs &amp; Assumptions'!$G$40*'Model Inputs &amp; Assumptions'!$H$40</f>
        <v>21407.6810148085</v>
      </c>
      <c r="Q317" s="50" t="n">
        <f aca="false">SUMIFS('Activation Detail'!$I$4:$I$4003,'Activation Detail'!$A$4:$A$4003,$A317,'Activation Detail'!$N$4:$N$4003,N$2)</f>
        <v>17705.928</v>
      </c>
      <c r="R317" s="51" t="n">
        <f aca="false">IFERROR(P317/Q317,0)</f>
        <v>1.2090685681546</v>
      </c>
      <c r="S317" s="49" t="n">
        <f aca="false">IFERROR(Q317/N317,0)</f>
        <v>158.179614487791</v>
      </c>
      <c r="T317" s="48" t="n">
        <f aca="false">SUMIFS('Activation Detail'!$H$4:$H$4003,'Activation Detail'!$A$4:$A$4003,$A317,'Activation Detail'!$N$4:$N$4003,T$2)</f>
        <v>179.37492009067</v>
      </c>
      <c r="U317" s="50" t="n">
        <f aca="false">T317*'Model Inputs &amp; Assumptions'!$D$41*'Model Inputs &amp; Assumptions'!$H$41</f>
        <v>1291499.42465283</v>
      </c>
      <c r="V317" s="50" t="n">
        <f aca="false">T317*'Model Inputs &amp; Assumptions'!$G$41*'Model Inputs &amp; Assumptions'!$H$41</f>
        <v>28477.5623135948</v>
      </c>
      <c r="W317" s="50" t="n">
        <f aca="false">SUMIFS('Activation Detail'!$I$4:$I$4003,'Activation Detail'!$A$4:$A$4003,$A317,'Activation Detail'!$N$4:$N$4003,T$2)</f>
        <v>18002.181456</v>
      </c>
      <c r="X317" s="51" t="n">
        <f aca="false">IFERROR(V317/W317,0)</f>
        <v>1.58189508217091</v>
      </c>
      <c r="Y317" s="49" t="n">
        <f aca="false">IFERROR(W317/T317,0)</f>
        <v>100.360638192342</v>
      </c>
      <c r="Z317" s="48" t="n">
        <f aca="false">SUMIFS('Activation Detail'!$H$4:$H$4003,'Activation Detail'!$A$4:$A$4003,$A317,'Activation Detail'!$N$4:$N$4003,Z$2)</f>
        <v>903.745488458235</v>
      </c>
      <c r="AA317" s="50" t="n">
        <f aca="false">Z317*'Model Inputs &amp; Assumptions'!$D$42*'Model Inputs &amp; Assumptions'!$H$42</f>
        <v>4880225.63767447</v>
      </c>
      <c r="AB317" s="50" t="n">
        <f aca="false">Z317*'Model Inputs &amp; Assumptions'!$G$42*'Model Inputs &amp; Assumptions'!$H$42</f>
        <v>102484.738391164</v>
      </c>
      <c r="AC317" s="50" t="n">
        <f aca="false">SUMIFS('Activation Detail'!$I$4:$I$4003,'Activation Detail'!$A$4:$A$4003,$A317,'Activation Detail'!$N$4:$N$4003,Z$2)</f>
        <v>38967.556</v>
      </c>
      <c r="AD317" s="51" t="n">
        <f aca="false">IFERROR(AB317/AC317,0)</f>
        <v>2.63000169656942</v>
      </c>
      <c r="AE317" s="49" t="n">
        <f aca="false">IFERROR(AC317/Z317,0)</f>
        <v>43.1178429078275</v>
      </c>
    </row>
    <row r="318" customFormat="false" ht="15" hidden="false" customHeight="false" outlineLevel="0" collapsed="false">
      <c r="A318" s="43" t="n">
        <v>315</v>
      </c>
      <c r="B318" s="45" t="n">
        <f aca="false">SUM('Activation Detail'!C318,'Activation Detail'!C818,'Activation Detail'!C1318,'Activation Detail'!C1818,'Activation Detail'!C2318,'Activation Detail'!C2818,'Activation Detail'!C3318,'Activation Detail'!C3818)</f>
        <v>3829767</v>
      </c>
      <c r="C318" s="45" t="n">
        <f aca="false">SUM('Activation Detail'!E318,'Activation Detail'!E818,'Activation Detail'!E1318,'Activation Detail'!E1818,'Activation Detail'!E2318,'Activation Detail'!E2818,'Activation Detail'!E3318,'Activation Detail'!E3818)</f>
        <v>229500</v>
      </c>
      <c r="D318" s="45" t="n">
        <f aca="false">SUM('Activation Detail'!G318,'Activation Detail'!G818,'Activation Detail'!G1318,'Activation Detail'!G1818,'Activation Detail'!G2318,'Activation Detail'!G2818,'Activation Detail'!G3318,'Activation Detail'!G3818)</f>
        <v>12248</v>
      </c>
      <c r="E318" s="48" t="n">
        <f aca="false">SUM('Activation Detail'!H318,'Activation Detail'!H818,'Activation Detail'!H1318,'Activation Detail'!H1818,'Activation Detail'!H2318,'Activation Detail'!H2818,'Activation Detail'!H3318,'Activation Detail'!H3818)</f>
        <v>392.5049690199</v>
      </c>
      <c r="F318" s="50" t="n">
        <f aca="false">SUM('Activation Detail'!I318,'Activation Detail'!I818,'Activation Detail'!I1318,'Activation Detail'!I1818,'Activation Detail'!I2318,'Activation Detail'!I2818,'Activation Detail'!I3318,'Activation Detail'!I3818)</f>
        <v>72643.657518</v>
      </c>
      <c r="G318" s="50" t="n">
        <f aca="false">SUM('Activation Detail'!J318,'Activation Detail'!J818,'Activation Detail'!J1318,'Activation Detail'!J1818,'Activation Detail'!J2318,'Activation Detail'!J2818,'Activation Detail'!J3318,'Activation Detail'!J3818)</f>
        <v>2538647.41437564</v>
      </c>
      <c r="H318" s="50" t="n">
        <f aca="false">SUM('Activation Detail'!K318,'Activation Detail'!K818,'Activation Detail'!K1318,'Activation Detail'!K1818,'Activation Detail'!K2318,'Activation Detail'!K2818,'Activation Detail'!K3318,'Activation Detail'!K3818)</f>
        <v>55055.5216890719</v>
      </c>
      <c r="I318" s="51" t="n">
        <f aca="false">IFERROR(H318/F318,0)</f>
        <v>0.757884770262703</v>
      </c>
      <c r="J318" s="49" t="n">
        <f aca="false">IFERROR(F318/E318,0)</f>
        <v>185.077039150343</v>
      </c>
      <c r="K318" s="46" t="n">
        <f aca="false">IFERROR(C318/B318,0)</f>
        <v>0.0599253166054227</v>
      </c>
      <c r="L318" s="47" t="n">
        <f aca="false">IFERROR(D318/B318,0)</f>
        <v>0.00319810578554779</v>
      </c>
      <c r="N318" s="48" t="n">
        <f aca="false">SUMIFS('Activation Detail'!$H$4:$H$4003,'Activation Detail'!$A$4:$A$4003,$A318,'Activation Detail'!$N$4:$N$4003,N$2)</f>
        <v>60.6683548994523</v>
      </c>
      <c r="O318" s="50" t="n">
        <f aca="false">N318*'Model Inputs &amp; Assumptions'!$D$40*'Model Inputs &amp; Assumptions'!$H$40</f>
        <v>515681.016645345</v>
      </c>
      <c r="P318" s="50" t="n">
        <f aca="false">N318*'Model Inputs &amp; Assumptions'!$G$40*'Model Inputs &amp; Assumptions'!$H$40</f>
        <v>11602.8228745203</v>
      </c>
      <c r="Q318" s="50" t="n">
        <f aca="false">SUMIFS('Activation Detail'!$I$4:$I$4003,'Activation Detail'!$A$4:$A$4003,$A318,'Activation Detail'!$N$4:$N$4003,N$2)</f>
        <v>18943.528</v>
      </c>
      <c r="R318" s="51" t="n">
        <f aca="false">IFERROR(P318/Q318,0)</f>
        <v>0.612495353268951</v>
      </c>
      <c r="S318" s="49" t="n">
        <f aca="false">IFERROR(Q318/N318,0)</f>
        <v>312.247266822971</v>
      </c>
      <c r="T318" s="48" t="n">
        <f aca="false">SUMIFS('Activation Detail'!$H$4:$H$4003,'Activation Detail'!$A$4:$A$4003,$A318,'Activation Detail'!$N$4:$N$4003,T$2)</f>
        <v>128.360378599933</v>
      </c>
      <c r="U318" s="50" t="n">
        <f aca="false">T318*'Model Inputs &amp; Assumptions'!$D$41*'Model Inputs &amp; Assumptions'!$H$41</f>
        <v>924194.72591952</v>
      </c>
      <c r="V318" s="50" t="n">
        <f aca="false">T318*'Model Inputs &amp; Assumptions'!$G$41*'Model Inputs &amp; Assumptions'!$H$41</f>
        <v>20378.4937065254</v>
      </c>
      <c r="W318" s="50" t="n">
        <f aca="false">SUMIFS('Activation Detail'!$I$4:$I$4003,'Activation Detail'!$A$4:$A$4003,$A318,'Activation Detail'!$N$4:$N$4003,T$2)</f>
        <v>14190.341518</v>
      </c>
      <c r="X318" s="51" t="n">
        <f aca="false">IFERROR(V318/W318,0)</f>
        <v>1.43608197735593</v>
      </c>
      <c r="Y318" s="49" t="n">
        <f aca="false">IFERROR(W318/T318,0)</f>
        <v>110.550792018366</v>
      </c>
      <c r="Z318" s="48" t="n">
        <f aca="false">SUMIFS('Activation Detail'!$H$4:$H$4003,'Activation Detail'!$A$4:$A$4003,$A318,'Activation Detail'!$N$4:$N$4003,Z$2)</f>
        <v>203.476235520514</v>
      </c>
      <c r="AA318" s="50" t="n">
        <f aca="false">Z318*'Model Inputs &amp; Assumptions'!$D$42*'Model Inputs &amp; Assumptions'!$H$42</f>
        <v>1098771.67181078</v>
      </c>
      <c r="AB318" s="50" t="n">
        <f aca="false">Z318*'Model Inputs &amp; Assumptions'!$G$42*'Model Inputs &amp; Assumptions'!$H$42</f>
        <v>23074.2051080263</v>
      </c>
      <c r="AC318" s="50" t="n">
        <f aca="false">SUMIFS('Activation Detail'!$I$4:$I$4003,'Activation Detail'!$A$4:$A$4003,$A318,'Activation Detail'!$N$4:$N$4003,Z$2)</f>
        <v>39509.788</v>
      </c>
      <c r="AD318" s="51" t="n">
        <f aca="false">IFERROR(AB318/AC318,0)</f>
        <v>0.584012374554535</v>
      </c>
      <c r="AE318" s="49" t="n">
        <f aca="false">IFERROR(AC318/Z318,0)</f>
        <v>194.173967780216</v>
      </c>
    </row>
    <row r="319" customFormat="false" ht="15" hidden="false" customHeight="false" outlineLevel="0" collapsed="false">
      <c r="A319" s="43" t="n">
        <v>316</v>
      </c>
      <c r="B319" s="45" t="n">
        <f aca="false">SUM('Activation Detail'!C319,'Activation Detail'!C819,'Activation Detail'!C1319,'Activation Detail'!C1819,'Activation Detail'!C2319,'Activation Detail'!C2819,'Activation Detail'!C3319,'Activation Detail'!C3819)</f>
        <v>3706311</v>
      </c>
      <c r="C319" s="45" t="n">
        <f aca="false">SUM('Activation Detail'!E319,'Activation Detail'!E819,'Activation Detail'!E1319,'Activation Detail'!E1819,'Activation Detail'!E2319,'Activation Detail'!E2819,'Activation Detail'!E3319,'Activation Detail'!E3819)</f>
        <v>265435</v>
      </c>
      <c r="D319" s="45" t="n">
        <f aca="false">SUM('Activation Detail'!G319,'Activation Detail'!G819,'Activation Detail'!G1319,'Activation Detail'!G1819,'Activation Detail'!G2319,'Activation Detail'!G2819,'Activation Detail'!G3319,'Activation Detail'!G3819)</f>
        <v>14795</v>
      </c>
      <c r="E319" s="48" t="n">
        <f aca="false">SUM('Activation Detail'!H319,'Activation Detail'!H819,'Activation Detail'!H1319,'Activation Detail'!H1819,'Activation Detail'!H2319,'Activation Detail'!H2819,'Activation Detail'!H3319,'Activation Detail'!H3819)</f>
        <v>585.137191540883</v>
      </c>
      <c r="F319" s="50" t="n">
        <f aca="false">SUM('Activation Detail'!I319,'Activation Detail'!I819,'Activation Detail'!I1319,'Activation Detail'!I1819,'Activation Detail'!I2319,'Activation Detail'!I2819,'Activation Detail'!I3319,'Activation Detail'!I3819)</f>
        <v>71472.02647</v>
      </c>
      <c r="G319" s="50" t="n">
        <f aca="false">SUM('Activation Detail'!J319,'Activation Detail'!J819,'Activation Detail'!J1319,'Activation Detail'!J1819,'Activation Detail'!J2319,'Activation Detail'!J2819,'Activation Detail'!J3319,'Activation Detail'!J3819)</f>
        <v>3627511.56992387</v>
      </c>
      <c r="H319" s="50" t="n">
        <f aca="false">SUM('Activation Detail'!K319,'Activation Detail'!K819,'Activation Detail'!K1319,'Activation Detail'!K1819,'Activation Detail'!K2319,'Activation Detail'!K2819,'Activation Detail'!K3319,'Activation Detail'!K3819)</f>
        <v>78118.785115306</v>
      </c>
      <c r="I319" s="51" t="n">
        <f aca="false">IFERROR(H319/F319,0)</f>
        <v>1.09299804376046</v>
      </c>
      <c r="J319" s="49" t="n">
        <f aca="false">IFERROR(F319/E319,0)</f>
        <v>122.145759153999</v>
      </c>
      <c r="K319" s="46" t="n">
        <f aca="false">IFERROR(C319/B319,0)</f>
        <v>0.0716170337567463</v>
      </c>
      <c r="L319" s="47" t="n">
        <f aca="false">IFERROR(D319/B319,0)</f>
        <v>0.00399183986449059</v>
      </c>
      <c r="N319" s="48" t="n">
        <f aca="false">SUMIFS('Activation Detail'!$H$4:$H$4003,'Activation Detail'!$A$4:$A$4003,$A319,'Activation Detail'!$N$4:$N$4003,N$2)</f>
        <v>87.3886764008076</v>
      </c>
      <c r="O319" s="50" t="n">
        <f aca="false">N319*'Model Inputs &amp; Assumptions'!$D$40*'Model Inputs &amp; Assumptions'!$H$40</f>
        <v>742803.749406864</v>
      </c>
      <c r="P319" s="50" t="n">
        <f aca="false">N319*'Model Inputs &amp; Assumptions'!$G$40*'Model Inputs &amp; Assumptions'!$H$40</f>
        <v>16713.0843616545</v>
      </c>
      <c r="Q319" s="50" t="n">
        <f aca="false">SUMIFS('Activation Detail'!$I$4:$I$4003,'Activation Detail'!$A$4:$A$4003,$A319,'Activation Detail'!$N$4:$N$4003,N$2)</f>
        <v>17876.956</v>
      </c>
      <c r="R319" s="51" t="n">
        <f aca="false">IFERROR(P319/Q319,0)</f>
        <v>0.934895424123349</v>
      </c>
      <c r="S319" s="49" t="n">
        <f aca="false">IFERROR(Q319/N319,0)</f>
        <v>204.568334666238</v>
      </c>
      <c r="T319" s="48" t="n">
        <f aca="false">SUMIFS('Activation Detail'!$H$4:$H$4003,'Activation Detail'!$A$4:$A$4003,$A319,'Activation Detail'!$N$4:$N$4003,T$2)</f>
        <v>109.369910422554</v>
      </c>
      <c r="U319" s="50" t="n">
        <f aca="false">T319*'Model Inputs &amp; Assumptions'!$D$41*'Model Inputs &amp; Assumptions'!$H$41</f>
        <v>787463.355042389</v>
      </c>
      <c r="V319" s="50" t="n">
        <f aca="false">T319*'Model Inputs &amp; Assumptions'!$G$41*'Model Inputs &amp; Assumptions'!$H$41</f>
        <v>17363.5669786847</v>
      </c>
      <c r="W319" s="50" t="n">
        <f aca="false">SUMIFS('Activation Detail'!$I$4:$I$4003,'Activation Detail'!$A$4:$A$4003,$A319,'Activation Detail'!$N$4:$N$4003,T$2)</f>
        <v>14420.65847</v>
      </c>
      <c r="X319" s="51" t="n">
        <f aca="false">IFERROR(V319/W319,0)</f>
        <v>1.20407587592529</v>
      </c>
      <c r="Y319" s="49" t="n">
        <f aca="false">IFERROR(W319/T319,0)</f>
        <v>131.852155810363</v>
      </c>
      <c r="Z319" s="48" t="n">
        <f aca="false">SUMIFS('Activation Detail'!$H$4:$H$4003,'Activation Detail'!$A$4:$A$4003,$A319,'Activation Detail'!$N$4:$N$4003,Z$2)</f>
        <v>388.378604717521</v>
      </c>
      <c r="AA319" s="50" t="n">
        <f aca="false">Z319*'Model Inputs &amp; Assumptions'!$D$42*'Model Inputs &amp; Assumptions'!$H$42</f>
        <v>2097244.46547461</v>
      </c>
      <c r="AB319" s="50" t="n">
        <f aca="false">Z319*'Model Inputs &amp; Assumptions'!$G$42*'Model Inputs &amp; Assumptions'!$H$42</f>
        <v>44042.1337749669</v>
      </c>
      <c r="AC319" s="50" t="n">
        <f aca="false">SUMIFS('Activation Detail'!$I$4:$I$4003,'Activation Detail'!$A$4:$A$4003,$A319,'Activation Detail'!$N$4:$N$4003,Z$2)</f>
        <v>39174.412</v>
      </c>
      <c r="AD319" s="51" t="n">
        <f aca="false">IFERROR(AB319/AC319,0)</f>
        <v>1.12425768573034</v>
      </c>
      <c r="AE319" s="49" t="n">
        <f aca="false">IFERROR(AC319/Z319,0)</f>
        <v>100.866555274055</v>
      </c>
    </row>
    <row r="320" customFormat="false" ht="15" hidden="false" customHeight="false" outlineLevel="0" collapsed="false">
      <c r="A320" s="43" t="n">
        <v>317</v>
      </c>
      <c r="B320" s="45" t="n">
        <f aca="false">SUM('Activation Detail'!C320,'Activation Detail'!C820,'Activation Detail'!C1320,'Activation Detail'!C1820,'Activation Detail'!C2320,'Activation Detail'!C2820,'Activation Detail'!C3320,'Activation Detail'!C3820)</f>
        <v>4392930</v>
      </c>
      <c r="C320" s="45" t="n">
        <f aca="false">SUM('Activation Detail'!E320,'Activation Detail'!E820,'Activation Detail'!E1320,'Activation Detail'!E1820,'Activation Detail'!E2320,'Activation Detail'!E2820,'Activation Detail'!E3320,'Activation Detail'!E3820)</f>
        <v>383515</v>
      </c>
      <c r="D320" s="45" t="n">
        <f aca="false">SUM('Activation Detail'!G320,'Activation Detail'!G820,'Activation Detail'!G1320,'Activation Detail'!G1820,'Activation Detail'!G2320,'Activation Detail'!G2820,'Activation Detail'!G3320,'Activation Detail'!G3820)</f>
        <v>14675</v>
      </c>
      <c r="E320" s="48" t="n">
        <f aca="false">SUM('Activation Detail'!H320,'Activation Detail'!H820,'Activation Detail'!H1320,'Activation Detail'!H1820,'Activation Detail'!H2320,'Activation Detail'!H2820,'Activation Detail'!H3320,'Activation Detail'!H3820)</f>
        <v>606.65834314113</v>
      </c>
      <c r="F320" s="50" t="n">
        <f aca="false">SUM('Activation Detail'!I320,'Activation Detail'!I820,'Activation Detail'!I1320,'Activation Detail'!I1820,'Activation Detail'!I2320,'Activation Detail'!I2820,'Activation Detail'!I3320,'Activation Detail'!I3820)</f>
        <v>74967.874844</v>
      </c>
      <c r="G320" s="50" t="n">
        <f aca="false">SUM('Activation Detail'!J320,'Activation Detail'!J820,'Activation Detail'!J1320,'Activation Detail'!J1820,'Activation Detail'!J2320,'Activation Detail'!J2820,'Activation Detail'!J3320,'Activation Detail'!J3820)</f>
        <v>3917660.62045692</v>
      </c>
      <c r="H320" s="50" t="n">
        <f aca="false">SUM('Activation Detail'!K320,'Activation Detail'!K820,'Activation Detail'!K1320,'Activation Detail'!K1820,'Activation Detail'!K2320,'Activation Detail'!K2820,'Activation Detail'!K3320,'Activation Detail'!K3820)</f>
        <v>84939.5978308182</v>
      </c>
      <c r="I320" s="51" t="n">
        <f aca="false">IFERROR(H320/F320,0)</f>
        <v>1.13301328078952</v>
      </c>
      <c r="J320" s="49" t="n">
        <f aca="false">IFERROR(F320/E320,0)</f>
        <v>123.575115535104</v>
      </c>
      <c r="K320" s="46" t="n">
        <f aca="false">IFERROR(C320/B320,0)</f>
        <v>0.0873027796937352</v>
      </c>
      <c r="L320" s="47" t="n">
        <f aca="false">IFERROR(D320/B320,0)</f>
        <v>0.0033405950015138</v>
      </c>
      <c r="N320" s="48" t="n">
        <f aca="false">SUMIFS('Activation Detail'!$H$4:$H$4003,'Activation Detail'!$A$4:$A$4003,$A320,'Activation Detail'!$N$4:$N$4003,N$2)</f>
        <v>97.9206750198186</v>
      </c>
      <c r="O320" s="50" t="n">
        <f aca="false">N320*'Model Inputs &amp; Assumptions'!$D$40*'Model Inputs &amp; Assumptions'!$H$40</f>
        <v>832325.737668458</v>
      </c>
      <c r="P320" s="50" t="n">
        <f aca="false">N320*'Model Inputs &amp; Assumptions'!$G$40*'Model Inputs &amp; Assumptions'!$H$40</f>
        <v>18727.3290975403</v>
      </c>
      <c r="Q320" s="50" t="n">
        <f aca="false">SUMIFS('Activation Detail'!$I$4:$I$4003,'Activation Detail'!$A$4:$A$4003,$A320,'Activation Detail'!$N$4:$N$4003,N$2)</f>
        <v>18543.0565</v>
      </c>
      <c r="R320" s="51" t="n">
        <f aca="false">IFERROR(P320/Q320,0)</f>
        <v>1.00993755250329</v>
      </c>
      <c r="S320" s="49" t="n">
        <f aca="false">IFERROR(Q320/N320,0)</f>
        <v>189.368144125303</v>
      </c>
      <c r="T320" s="48" t="n">
        <f aca="false">SUMIFS('Activation Detail'!$H$4:$H$4003,'Activation Detail'!$A$4:$A$4003,$A320,'Activation Detail'!$N$4:$N$4003,T$2)</f>
        <v>187.861930518545</v>
      </c>
      <c r="U320" s="50" t="n">
        <f aca="false">T320*'Model Inputs &amp; Assumptions'!$D$41*'Model Inputs &amp; Assumptions'!$H$41</f>
        <v>1352605.89973353</v>
      </c>
      <c r="V320" s="50" t="n">
        <f aca="false">T320*'Model Inputs &amp; Assumptions'!$G$41*'Model Inputs &amp; Assumptions'!$H$41</f>
        <v>29824.9600891243</v>
      </c>
      <c r="W320" s="50" t="n">
        <f aca="false">SUMIFS('Activation Detail'!$I$4:$I$4003,'Activation Detail'!$A$4:$A$4003,$A320,'Activation Detail'!$N$4:$N$4003,T$2)</f>
        <v>17643.298344</v>
      </c>
      <c r="X320" s="51" t="n">
        <f aca="false">IFERROR(V320/W320,0)</f>
        <v>1.69044129434375</v>
      </c>
      <c r="Y320" s="49" t="n">
        <f aca="false">IFERROR(W320/T320,0)</f>
        <v>93.9163048910449</v>
      </c>
      <c r="Z320" s="48" t="n">
        <f aca="false">SUMIFS('Activation Detail'!$H$4:$H$4003,'Activation Detail'!$A$4:$A$4003,$A320,'Activation Detail'!$N$4:$N$4003,Z$2)</f>
        <v>320.875737602766</v>
      </c>
      <c r="AA320" s="50" t="n">
        <f aca="false">Z320*'Model Inputs &amp; Assumptions'!$D$42*'Model Inputs &amp; Assumptions'!$H$42</f>
        <v>1732728.98305494</v>
      </c>
      <c r="AB320" s="50" t="n">
        <f aca="false">Z320*'Model Inputs &amp; Assumptions'!$G$42*'Model Inputs &amp; Assumptions'!$H$42</f>
        <v>36387.3086441537</v>
      </c>
      <c r="AC320" s="50" t="n">
        <f aca="false">SUMIFS('Activation Detail'!$I$4:$I$4003,'Activation Detail'!$A$4:$A$4003,$A320,'Activation Detail'!$N$4:$N$4003,Z$2)</f>
        <v>38781.52</v>
      </c>
      <c r="AD320" s="51" t="n">
        <f aca="false">IFERROR(AB320/AC320,0)</f>
        <v>0.938264117655875</v>
      </c>
      <c r="AE320" s="49" t="n">
        <f aca="false">IFERROR(AC320/Z320,0)</f>
        <v>120.861490774383</v>
      </c>
    </row>
    <row r="321" customFormat="false" ht="15" hidden="false" customHeight="false" outlineLevel="0" collapsed="false">
      <c r="A321" s="43" t="n">
        <v>318</v>
      </c>
      <c r="B321" s="45" t="n">
        <f aca="false">SUM('Activation Detail'!C321,'Activation Detail'!C821,'Activation Detail'!C1321,'Activation Detail'!C1821,'Activation Detail'!C2321,'Activation Detail'!C2821,'Activation Detail'!C3321,'Activation Detail'!C3821)</f>
        <v>4183948</v>
      </c>
      <c r="C321" s="45" t="n">
        <f aca="false">SUM('Activation Detail'!E321,'Activation Detail'!E821,'Activation Detail'!E1321,'Activation Detail'!E1821,'Activation Detail'!E2321,'Activation Detail'!E2821,'Activation Detail'!E3321,'Activation Detail'!E3821)</f>
        <v>370515</v>
      </c>
      <c r="D321" s="45" t="n">
        <f aca="false">SUM('Activation Detail'!G321,'Activation Detail'!G821,'Activation Detail'!G1321,'Activation Detail'!G1821,'Activation Detail'!G2321,'Activation Detail'!G2821,'Activation Detail'!G3321,'Activation Detail'!G3821)</f>
        <v>17379</v>
      </c>
      <c r="E321" s="48" t="n">
        <f aca="false">SUM('Activation Detail'!H321,'Activation Detail'!H821,'Activation Detail'!H1321,'Activation Detail'!H1821,'Activation Detail'!H2321,'Activation Detail'!H2821,'Activation Detail'!H3321,'Activation Detail'!H3821)</f>
        <v>757.312024828152</v>
      </c>
      <c r="F321" s="50" t="n">
        <f aca="false">SUM('Activation Detail'!I321,'Activation Detail'!I821,'Activation Detail'!I1321,'Activation Detail'!I1821,'Activation Detail'!I2321,'Activation Detail'!I2821,'Activation Detail'!I3321,'Activation Detail'!I3821)</f>
        <v>75854.246552</v>
      </c>
      <c r="G321" s="50" t="n">
        <f aca="false">SUM('Activation Detail'!J321,'Activation Detail'!J821,'Activation Detail'!J1321,'Activation Detail'!J1821,'Activation Detail'!J2321,'Activation Detail'!J2821,'Activation Detail'!J3321,'Activation Detail'!J3821)</f>
        <v>4637885.12556886</v>
      </c>
      <c r="H321" s="50" t="n">
        <f aca="false">SUM('Activation Detail'!K321,'Activation Detail'!K821,'Activation Detail'!K1321,'Activation Detail'!K1821,'Activation Detail'!K2321,'Activation Detail'!K2821,'Activation Detail'!K3321,'Activation Detail'!K3821)</f>
        <v>99672.9436478597</v>
      </c>
      <c r="I321" s="51" t="n">
        <f aca="false">IFERROR(H321/F321,0)</f>
        <v>1.31400611275641</v>
      </c>
      <c r="J321" s="49" t="n">
        <f aca="false">IFERROR(F321/E321,0)</f>
        <v>100.162474733202</v>
      </c>
      <c r="K321" s="46" t="n">
        <f aca="false">IFERROR(C321/B321,0)</f>
        <v>0.0885563109292945</v>
      </c>
      <c r="L321" s="47" t="n">
        <f aca="false">IFERROR(D321/B321,0)</f>
        <v>0.00415373231216067</v>
      </c>
      <c r="N321" s="48" t="n">
        <f aca="false">SUMIFS('Activation Detail'!$H$4:$H$4003,'Activation Detail'!$A$4:$A$4003,$A321,'Activation Detail'!$N$4:$N$4003,N$2)</f>
        <v>96.0177532337727</v>
      </c>
      <c r="O321" s="50" t="n">
        <f aca="false">N321*'Model Inputs &amp; Assumptions'!$D$40*'Model Inputs &amp; Assumptions'!$H$40</f>
        <v>816150.902487068</v>
      </c>
      <c r="P321" s="50" t="n">
        <f aca="false">N321*'Model Inputs &amp; Assumptions'!$G$40*'Model Inputs &amp; Assumptions'!$H$40</f>
        <v>18363.395305959</v>
      </c>
      <c r="Q321" s="50" t="n">
        <f aca="false">SUMIFS('Activation Detail'!$I$4:$I$4003,'Activation Detail'!$A$4:$A$4003,$A321,'Activation Detail'!$N$4:$N$4003,N$2)</f>
        <v>18994.501</v>
      </c>
      <c r="R321" s="51" t="n">
        <f aca="false">IFERROR(P321/Q321,0)</f>
        <v>0.966774294621324</v>
      </c>
      <c r="S321" s="49" t="n">
        <f aca="false">IFERROR(Q321/N321,0)</f>
        <v>197.822802141125</v>
      </c>
      <c r="T321" s="48" t="n">
        <f aca="false">SUMIFS('Activation Detail'!$H$4:$H$4003,'Activation Detail'!$A$4:$A$4003,$A321,'Activation Detail'!$N$4:$N$4003,T$2)</f>
        <v>139.302864706749</v>
      </c>
      <c r="U321" s="50" t="n">
        <f aca="false">T321*'Model Inputs &amp; Assumptions'!$D$41*'Model Inputs &amp; Assumptions'!$H$41</f>
        <v>1002980.62588859</v>
      </c>
      <c r="V321" s="50" t="n">
        <f aca="false">T321*'Model Inputs &amp; Assumptions'!$G$41*'Model Inputs &amp; Assumptions'!$H$41</f>
        <v>22115.7228008434</v>
      </c>
      <c r="W321" s="50" t="n">
        <f aca="false">SUMIFS('Activation Detail'!$I$4:$I$4003,'Activation Detail'!$A$4:$A$4003,$A321,'Activation Detail'!$N$4:$N$4003,T$2)</f>
        <v>17277.861552</v>
      </c>
      <c r="X321" s="51" t="n">
        <f aca="false">IFERROR(V321/W321,0)</f>
        <v>1.28000347347866</v>
      </c>
      <c r="Y321" s="49" t="n">
        <f aca="false">IFERROR(W321/T321,0)</f>
        <v>124.030913422866</v>
      </c>
      <c r="Z321" s="48" t="n">
        <f aca="false">SUMIFS('Activation Detail'!$H$4:$H$4003,'Activation Detail'!$A$4:$A$4003,$A321,'Activation Detail'!$N$4:$N$4003,Z$2)</f>
        <v>521.99140688763</v>
      </c>
      <c r="AA321" s="50" t="n">
        <f aca="false">Z321*'Model Inputs &amp; Assumptions'!$D$42*'Model Inputs &amp; Assumptions'!$H$42</f>
        <v>2818753.5971932</v>
      </c>
      <c r="AB321" s="50" t="n">
        <f aca="false">Z321*'Model Inputs &amp; Assumptions'!$G$42*'Model Inputs &amp; Assumptions'!$H$42</f>
        <v>59193.8255410573</v>
      </c>
      <c r="AC321" s="50" t="n">
        <f aca="false">SUMIFS('Activation Detail'!$I$4:$I$4003,'Activation Detail'!$A$4:$A$4003,$A321,'Activation Detail'!$N$4:$N$4003,Z$2)</f>
        <v>39581.884</v>
      </c>
      <c r="AD321" s="51" t="n">
        <f aca="false">IFERROR(AB321/AC321,0)</f>
        <v>1.49547771756032</v>
      </c>
      <c r="AE321" s="49" t="n">
        <f aca="false">IFERROR(AC321/Z321,0)</f>
        <v>75.8286122677894</v>
      </c>
    </row>
    <row r="322" customFormat="false" ht="15" hidden="false" customHeight="false" outlineLevel="0" collapsed="false">
      <c r="A322" s="43" t="n">
        <v>319</v>
      </c>
      <c r="B322" s="45" t="n">
        <f aca="false">SUM('Activation Detail'!C322,'Activation Detail'!C822,'Activation Detail'!C1322,'Activation Detail'!C1822,'Activation Detail'!C2322,'Activation Detail'!C2822,'Activation Detail'!C3322,'Activation Detail'!C3822)</f>
        <v>4031269</v>
      </c>
      <c r="C322" s="45" t="n">
        <f aca="false">SUM('Activation Detail'!E322,'Activation Detail'!E822,'Activation Detail'!E1322,'Activation Detail'!E1822,'Activation Detail'!E2322,'Activation Detail'!E2822,'Activation Detail'!E3322,'Activation Detail'!E3822)</f>
        <v>332775</v>
      </c>
      <c r="D322" s="45" t="n">
        <f aca="false">SUM('Activation Detail'!G322,'Activation Detail'!G822,'Activation Detail'!G1322,'Activation Detail'!G1822,'Activation Detail'!G2322,'Activation Detail'!G2822,'Activation Detail'!G3322,'Activation Detail'!G3822)</f>
        <v>13912</v>
      </c>
      <c r="E322" s="48" t="n">
        <f aca="false">SUM('Activation Detail'!H322,'Activation Detail'!H822,'Activation Detail'!H1322,'Activation Detail'!H1822,'Activation Detail'!H2322,'Activation Detail'!H2822,'Activation Detail'!H3322,'Activation Detail'!H3822)</f>
        <v>637.090395627861</v>
      </c>
      <c r="F322" s="50" t="n">
        <f aca="false">SUM('Activation Detail'!I322,'Activation Detail'!I822,'Activation Detail'!I1322,'Activation Detail'!I1822,'Activation Detail'!I2322,'Activation Detail'!I2822,'Activation Detail'!I3322,'Activation Detail'!I3822)</f>
        <v>69899.378234</v>
      </c>
      <c r="G322" s="50" t="n">
        <f aca="false">SUM('Activation Detail'!J322,'Activation Detail'!J822,'Activation Detail'!J1322,'Activation Detail'!J1822,'Activation Detail'!J2322,'Activation Detail'!J2822,'Activation Detail'!J3322,'Activation Detail'!J3822)</f>
        <v>3965644.75433382</v>
      </c>
      <c r="H322" s="50" t="n">
        <f aca="false">SUM('Activation Detail'!K322,'Activation Detail'!K822,'Activation Detail'!K1322,'Activation Detail'!K1822,'Activation Detail'!K2322,'Activation Detail'!K2822,'Activation Detail'!K3322,'Activation Detail'!K3822)</f>
        <v>85461.5517642604</v>
      </c>
      <c r="I322" s="51" t="n">
        <f aca="false">IFERROR(H322/F322,0)</f>
        <v>1.22263679482475</v>
      </c>
      <c r="J322" s="49" t="n">
        <f aca="false">IFERROR(F322/E322,0)</f>
        <v>109.716578233946</v>
      </c>
      <c r="K322" s="46" t="n">
        <f aca="false">IFERROR(C322/B322,0)</f>
        <v>0.0825484481437483</v>
      </c>
      <c r="L322" s="47" t="n">
        <f aca="false">IFERROR(D322/B322,0)</f>
        <v>0.00345102249440561</v>
      </c>
      <c r="N322" s="48" t="n">
        <f aca="false">SUMIFS('Activation Detail'!$H$4:$H$4003,'Activation Detail'!$A$4:$A$4003,$A322,'Activation Detail'!$N$4:$N$4003,N$2)</f>
        <v>86.9847115255879</v>
      </c>
      <c r="O322" s="50" t="n">
        <f aca="false">N322*'Model Inputs &amp; Assumptions'!$D$40*'Model Inputs &amp; Assumptions'!$H$40</f>
        <v>739370.047967497</v>
      </c>
      <c r="P322" s="50" t="n">
        <f aca="false">N322*'Model Inputs &amp; Assumptions'!$G$40*'Model Inputs &amp; Assumptions'!$H$40</f>
        <v>16635.8260792687</v>
      </c>
      <c r="Q322" s="50" t="n">
        <f aca="false">SUMIFS('Activation Detail'!$I$4:$I$4003,'Activation Detail'!$A$4:$A$4003,$A322,'Activation Detail'!$N$4:$N$4003,N$2)</f>
        <v>18298.182</v>
      </c>
      <c r="R322" s="51" t="n">
        <f aca="false">IFERROR(P322/Q322,0)</f>
        <v>0.909151853406457</v>
      </c>
      <c r="S322" s="49" t="n">
        <f aca="false">IFERROR(Q322/N322,0)</f>
        <v>210.360897668981</v>
      </c>
      <c r="T322" s="48" t="n">
        <f aca="false">SUMIFS('Activation Detail'!$H$4:$H$4003,'Activation Detail'!$A$4:$A$4003,$A322,'Activation Detail'!$N$4:$N$4003,T$2)</f>
        <v>142.057784563359</v>
      </c>
      <c r="U322" s="50" t="n">
        <f aca="false">T322*'Model Inputs &amp; Assumptions'!$D$41*'Model Inputs &amp; Assumptions'!$H$41</f>
        <v>1022816.04885618</v>
      </c>
      <c r="V322" s="50" t="n">
        <f aca="false">T322*'Model Inputs &amp; Assumptions'!$G$41*'Model Inputs &amp; Assumptions'!$H$41</f>
        <v>22553.0938772788</v>
      </c>
      <c r="W322" s="50" t="n">
        <f aca="false">SUMIFS('Activation Detail'!$I$4:$I$4003,'Activation Detail'!$A$4:$A$4003,$A322,'Activation Detail'!$N$4:$N$4003,T$2)</f>
        <v>15617.344234</v>
      </c>
      <c r="X322" s="51" t="n">
        <f aca="false">IFERROR(V322/W322,0)</f>
        <v>1.44410557514505</v>
      </c>
      <c r="Y322" s="49" t="n">
        <f aca="false">IFERROR(W322/T322,0)</f>
        <v>109.936560548251</v>
      </c>
      <c r="Z322" s="48" t="n">
        <f aca="false">SUMIFS('Activation Detail'!$H$4:$H$4003,'Activation Detail'!$A$4:$A$4003,$A322,'Activation Detail'!$N$4:$N$4003,Z$2)</f>
        <v>408.047899538915</v>
      </c>
      <c r="AA322" s="50" t="n">
        <f aca="false">Z322*'Model Inputs &amp; Assumptions'!$D$42*'Model Inputs &amp; Assumptions'!$H$42</f>
        <v>2203458.65751014</v>
      </c>
      <c r="AB322" s="50" t="n">
        <f aca="false">Z322*'Model Inputs &amp; Assumptions'!$G$42*'Model Inputs &amp; Assumptions'!$H$42</f>
        <v>46272.6318077129</v>
      </c>
      <c r="AC322" s="50" t="n">
        <f aca="false">SUMIFS('Activation Detail'!$I$4:$I$4003,'Activation Detail'!$A$4:$A$4003,$A322,'Activation Detail'!$N$4:$N$4003,Z$2)</f>
        <v>35983.852</v>
      </c>
      <c r="AD322" s="51" t="n">
        <f aca="false">IFERROR(AB322/AC322,0)</f>
        <v>1.28592769355857</v>
      </c>
      <c r="AE322" s="49" t="n">
        <f aca="false">IFERROR(AC322/Z322,0)</f>
        <v>88.185362651446</v>
      </c>
    </row>
    <row r="323" customFormat="false" ht="15" hidden="false" customHeight="false" outlineLevel="0" collapsed="false">
      <c r="A323" s="43" t="n">
        <v>320</v>
      </c>
      <c r="B323" s="45" t="n">
        <f aca="false">SUM('Activation Detail'!C323,'Activation Detail'!C823,'Activation Detail'!C1323,'Activation Detail'!C1823,'Activation Detail'!C2323,'Activation Detail'!C2823,'Activation Detail'!C3323,'Activation Detail'!C3823)</f>
        <v>4670308</v>
      </c>
      <c r="C323" s="45" t="n">
        <f aca="false">SUM('Activation Detail'!E323,'Activation Detail'!E823,'Activation Detail'!E1323,'Activation Detail'!E1823,'Activation Detail'!E2323,'Activation Detail'!E2823,'Activation Detail'!E3323,'Activation Detail'!E3823)</f>
        <v>295900</v>
      </c>
      <c r="D323" s="45" t="n">
        <f aca="false">SUM('Activation Detail'!G323,'Activation Detail'!G823,'Activation Detail'!G1323,'Activation Detail'!G1823,'Activation Detail'!G2323,'Activation Detail'!G2823,'Activation Detail'!G3323,'Activation Detail'!G3823)</f>
        <v>22001</v>
      </c>
      <c r="E323" s="48" t="n">
        <f aca="false">SUM('Activation Detail'!H323,'Activation Detail'!H823,'Activation Detail'!H1323,'Activation Detail'!H1823,'Activation Detail'!H2323,'Activation Detail'!H2823,'Activation Detail'!H3323,'Activation Detail'!H3823)</f>
        <v>877.722524785408</v>
      </c>
      <c r="F323" s="50" t="n">
        <f aca="false">SUM('Activation Detail'!I323,'Activation Detail'!I823,'Activation Detail'!I1323,'Activation Detail'!I1823,'Activation Detail'!I2323,'Activation Detail'!I2823,'Activation Detail'!I3323,'Activation Detail'!I3823)</f>
        <v>71288.041474</v>
      </c>
      <c r="G323" s="50" t="n">
        <f aca="false">SUM('Activation Detail'!J323,'Activation Detail'!J823,'Activation Detail'!J1323,'Activation Detail'!J1823,'Activation Detail'!J2323,'Activation Detail'!J2823,'Activation Detail'!J3323,'Activation Detail'!J3823)</f>
        <v>5404580.7119435</v>
      </c>
      <c r="H323" s="50" t="n">
        <f aca="false">SUM('Activation Detail'!K323,'Activation Detail'!K823,'Activation Detail'!K1323,'Activation Detail'!K1823,'Activation Detail'!K2323,'Activation Detail'!K2823,'Activation Detail'!K3323,'Activation Detail'!K3823)</f>
        <v>116254.186909993</v>
      </c>
      <c r="I323" s="51" t="n">
        <f aca="false">IFERROR(H323/F323,0)</f>
        <v>1.63076701935195</v>
      </c>
      <c r="J323" s="49" t="n">
        <f aca="false">IFERROR(F323/E323,0)</f>
        <v>81.2193369327385</v>
      </c>
      <c r="K323" s="46" t="n">
        <f aca="false">IFERROR(C323/B323,0)</f>
        <v>0.0633577057444605</v>
      </c>
      <c r="L323" s="47" t="n">
        <f aca="false">IFERROR(D323/B323,0)</f>
        <v>0.00471082421116552</v>
      </c>
      <c r="N323" s="48" t="n">
        <f aca="false">SUMIFS('Activation Detail'!$H$4:$H$4003,'Activation Detail'!$A$4:$A$4003,$A323,'Activation Detail'!$N$4:$N$4003,N$2)</f>
        <v>127.778403147177</v>
      </c>
      <c r="O323" s="50" t="n">
        <f aca="false">N323*'Model Inputs &amp; Assumptions'!$D$40*'Model Inputs &amp; Assumptions'!$H$40</f>
        <v>1086116.42675101</v>
      </c>
      <c r="P323" s="50" t="n">
        <f aca="false">N323*'Model Inputs &amp; Assumptions'!$G$40*'Model Inputs &amp; Assumptions'!$H$40</f>
        <v>24437.6196018976</v>
      </c>
      <c r="Q323" s="50" t="n">
        <f aca="false">SUMIFS('Activation Detail'!$I$4:$I$4003,'Activation Detail'!$A$4:$A$4003,$A323,'Activation Detail'!$N$4:$N$4003,N$2)</f>
        <v>18897.508</v>
      </c>
      <c r="R323" s="51" t="n">
        <f aca="false">IFERROR(P323/Q323,0)</f>
        <v>1.29316625249729</v>
      </c>
      <c r="S323" s="49" t="n">
        <f aca="false">IFERROR(Q323/N323,0)</f>
        <v>147.892817053235</v>
      </c>
      <c r="T323" s="48" t="n">
        <f aca="false">SUMIFS('Activation Detail'!$H$4:$H$4003,'Activation Detail'!$A$4:$A$4003,$A323,'Activation Detail'!$N$4:$N$4003,T$2)</f>
        <v>149.31446019225</v>
      </c>
      <c r="U323" s="50" t="n">
        <f aca="false">T323*'Model Inputs &amp; Assumptions'!$D$41*'Model Inputs &amp; Assumptions'!$H$41</f>
        <v>1075064.1133842</v>
      </c>
      <c r="V323" s="50" t="n">
        <f aca="false">T323*'Model Inputs &amp; Assumptions'!$G$41*'Model Inputs &amp; Assumptions'!$H$41</f>
        <v>23705.1637001216</v>
      </c>
      <c r="W323" s="50" t="n">
        <f aca="false">SUMIFS('Activation Detail'!$I$4:$I$4003,'Activation Detail'!$A$4:$A$4003,$A323,'Activation Detail'!$N$4:$N$4003,T$2)</f>
        <v>15464.057474</v>
      </c>
      <c r="X323" s="51" t="n">
        <f aca="false">IFERROR(V323/W323,0)</f>
        <v>1.53292004637059</v>
      </c>
      <c r="Y323" s="49" t="n">
        <f aca="false">IFERROR(W323/T323,0)</f>
        <v>103.567045375841</v>
      </c>
      <c r="Z323" s="48" t="n">
        <f aca="false">SUMIFS('Activation Detail'!$H$4:$H$4003,'Activation Detail'!$A$4:$A$4003,$A323,'Activation Detail'!$N$4:$N$4003,Z$2)</f>
        <v>600.629661445981</v>
      </c>
      <c r="AA323" s="50" t="n">
        <f aca="false">Z323*'Model Inputs &amp; Assumptions'!$D$42*'Model Inputs &amp; Assumptions'!$H$42</f>
        <v>3243400.1718083</v>
      </c>
      <c r="AB323" s="50" t="n">
        <f aca="false">Z323*'Model Inputs &amp; Assumptions'!$G$42*'Model Inputs &amp; Assumptions'!$H$42</f>
        <v>68111.4036079742</v>
      </c>
      <c r="AC323" s="50" t="n">
        <f aca="false">SUMIFS('Activation Detail'!$I$4:$I$4003,'Activation Detail'!$A$4:$A$4003,$A323,'Activation Detail'!$N$4:$N$4003,Z$2)</f>
        <v>36926.476</v>
      </c>
      <c r="AD323" s="51" t="n">
        <f aca="false">IFERROR(AB323/AC323,0)</f>
        <v>1.84451404482719</v>
      </c>
      <c r="AE323" s="49" t="n">
        <f aca="false">IFERROR(AC323/Z323,0)</f>
        <v>61.47960776879</v>
      </c>
    </row>
    <row r="324" customFormat="false" ht="15" hidden="false" customHeight="false" outlineLevel="0" collapsed="false">
      <c r="A324" s="43" t="n">
        <v>321</v>
      </c>
      <c r="B324" s="45" t="n">
        <f aca="false">SUM('Activation Detail'!C324,'Activation Detail'!C824,'Activation Detail'!C1324,'Activation Detail'!C1824,'Activation Detail'!C2324,'Activation Detail'!C2824,'Activation Detail'!C3324,'Activation Detail'!C3824)</f>
        <v>4598027</v>
      </c>
      <c r="C324" s="45" t="n">
        <f aca="false">SUM('Activation Detail'!E324,'Activation Detail'!E824,'Activation Detail'!E1324,'Activation Detail'!E1824,'Activation Detail'!E2324,'Activation Detail'!E2824,'Activation Detail'!E3324,'Activation Detail'!E3824)</f>
        <v>447064</v>
      </c>
      <c r="D324" s="45" t="n">
        <f aca="false">SUM('Activation Detail'!G324,'Activation Detail'!G824,'Activation Detail'!G1324,'Activation Detail'!G1824,'Activation Detail'!G2324,'Activation Detail'!G2824,'Activation Detail'!G3324,'Activation Detail'!G3824)</f>
        <v>18402</v>
      </c>
      <c r="E324" s="48" t="n">
        <f aca="false">SUM('Activation Detail'!H324,'Activation Detail'!H824,'Activation Detail'!H1324,'Activation Detail'!H1824,'Activation Detail'!H2324,'Activation Detail'!H2824,'Activation Detail'!H3324,'Activation Detail'!H3824)</f>
        <v>714.709981058265</v>
      </c>
      <c r="F324" s="50" t="n">
        <f aca="false">SUM('Activation Detail'!I324,'Activation Detail'!I824,'Activation Detail'!I1324,'Activation Detail'!I1824,'Activation Detail'!I2324,'Activation Detail'!I2824,'Activation Detail'!I3324,'Activation Detail'!I3824)</f>
        <v>74086.953002</v>
      </c>
      <c r="G324" s="50" t="n">
        <f aca="false">SUM('Activation Detail'!J324,'Activation Detail'!J824,'Activation Detail'!J1324,'Activation Detail'!J1824,'Activation Detail'!J2324,'Activation Detail'!J2824,'Activation Detail'!J3324,'Activation Detail'!J3824)</f>
        <v>4379778.5360997</v>
      </c>
      <c r="H324" s="50" t="n">
        <f aca="false">SUM('Activation Detail'!K324,'Activation Detail'!K824,'Activation Detail'!K1324,'Activation Detail'!K1824,'Activation Detail'!K2324,'Activation Detail'!K2824,'Activation Detail'!K3324,'Activation Detail'!K3824)</f>
        <v>94147.4008942707</v>
      </c>
      <c r="I324" s="51" t="n">
        <f aca="false">IFERROR(H324/F324,0)</f>
        <v>1.27076896915614</v>
      </c>
      <c r="J324" s="49" t="n">
        <f aca="false">IFERROR(F324/E324,0)</f>
        <v>103.660162814993</v>
      </c>
      <c r="K324" s="46" t="n">
        <f aca="false">IFERROR(C324/B324,0)</f>
        <v>0.0972295291001988</v>
      </c>
      <c r="L324" s="47" t="n">
        <f aca="false">IFERROR(D324/B324,0)</f>
        <v>0.00400215135752791</v>
      </c>
      <c r="N324" s="48" t="n">
        <f aca="false">SUMIFS('Activation Detail'!$H$4:$H$4003,'Activation Detail'!$A$4:$A$4003,$A324,'Activation Detail'!$N$4:$N$4003,N$2)</f>
        <v>49.6142408898986</v>
      </c>
      <c r="O324" s="50" t="n">
        <f aca="false">N324*'Model Inputs &amp; Assumptions'!$D$40*'Model Inputs &amp; Assumptions'!$H$40</f>
        <v>421721.047564138</v>
      </c>
      <c r="P324" s="50" t="n">
        <f aca="false">N324*'Model Inputs &amp; Assumptions'!$G$40*'Model Inputs &amp; Assumptions'!$H$40</f>
        <v>9488.72357019311</v>
      </c>
      <c r="Q324" s="50" t="n">
        <f aca="false">SUMIFS('Activation Detail'!$I$4:$I$4003,'Activation Detail'!$A$4:$A$4003,$A324,'Activation Detail'!$N$4:$N$4003,N$2)</f>
        <v>17998.129</v>
      </c>
      <c r="R324" s="51" t="n">
        <f aca="false">IFERROR(P324/Q324,0)</f>
        <v>0.527206109601343</v>
      </c>
      <c r="S324" s="49" t="n">
        <f aca="false">IFERROR(Q324/N324,0)</f>
        <v>362.761349910412</v>
      </c>
      <c r="T324" s="48" t="n">
        <f aca="false">SUMIFS('Activation Detail'!$H$4:$H$4003,'Activation Detail'!$A$4:$A$4003,$A324,'Activation Detail'!$N$4:$N$4003,T$2)</f>
        <v>203.633606459102</v>
      </c>
      <c r="U324" s="50" t="n">
        <f aca="false">T324*'Model Inputs &amp; Assumptions'!$D$41*'Model Inputs &amp; Assumptions'!$H$41</f>
        <v>1466161.96650553</v>
      </c>
      <c r="V324" s="50" t="n">
        <f aca="false">T324*'Model Inputs &amp; Assumptions'!$G$41*'Model Inputs &amp; Assumptions'!$H$41</f>
        <v>32328.871361447</v>
      </c>
      <c r="W324" s="50" t="n">
        <f aca="false">SUMIFS('Activation Detail'!$I$4:$I$4003,'Activation Detail'!$A$4:$A$4003,$A324,'Activation Detail'!$N$4:$N$4003,T$2)</f>
        <v>17829.508002</v>
      </c>
      <c r="X324" s="51" t="n">
        <f aca="false">IFERROR(V324/W324,0)</f>
        <v>1.81322285269008</v>
      </c>
      <c r="Y324" s="49" t="n">
        <f aca="false">IFERROR(W324/T324,0)</f>
        <v>87.5568051464085</v>
      </c>
      <c r="Z324" s="48" t="n">
        <f aca="false">SUMIFS('Activation Detail'!$H$4:$H$4003,'Activation Detail'!$A$4:$A$4003,$A324,'Activation Detail'!$N$4:$N$4003,Z$2)</f>
        <v>461.462133709264</v>
      </c>
      <c r="AA324" s="50" t="n">
        <f aca="false">Z324*'Model Inputs &amp; Assumptions'!$D$42*'Model Inputs &amp; Assumptions'!$H$42</f>
        <v>2491895.52203003</v>
      </c>
      <c r="AB324" s="50" t="n">
        <f aca="false">Z324*'Model Inputs &amp; Assumptions'!$G$42*'Model Inputs &amp; Assumptions'!$H$42</f>
        <v>52329.8059626306</v>
      </c>
      <c r="AC324" s="50" t="n">
        <f aca="false">SUMIFS('Activation Detail'!$I$4:$I$4003,'Activation Detail'!$A$4:$A$4003,$A324,'Activation Detail'!$N$4:$N$4003,Z$2)</f>
        <v>38259.316</v>
      </c>
      <c r="AD324" s="51" t="n">
        <f aca="false">IFERROR(AB324/AC324,0)</f>
        <v>1.36776637519162</v>
      </c>
      <c r="AE324" s="49" t="n">
        <f aca="false">IFERROR(AC324/Z324,0)</f>
        <v>82.908895888096</v>
      </c>
    </row>
    <row r="325" customFormat="false" ht="15" hidden="false" customHeight="false" outlineLevel="0" collapsed="false">
      <c r="A325" s="43" t="n">
        <v>322</v>
      </c>
      <c r="B325" s="45" t="n">
        <f aca="false">SUM('Activation Detail'!C325,'Activation Detail'!C825,'Activation Detail'!C1325,'Activation Detail'!C1825,'Activation Detail'!C2325,'Activation Detail'!C2825,'Activation Detail'!C3325,'Activation Detail'!C3825)</f>
        <v>4476357</v>
      </c>
      <c r="C325" s="45" t="n">
        <f aca="false">SUM('Activation Detail'!E325,'Activation Detail'!E825,'Activation Detail'!E1325,'Activation Detail'!E1825,'Activation Detail'!E2325,'Activation Detail'!E2825,'Activation Detail'!E3325,'Activation Detail'!E3825)</f>
        <v>472887</v>
      </c>
      <c r="D325" s="45" t="n">
        <f aca="false">SUM('Activation Detail'!G325,'Activation Detail'!G825,'Activation Detail'!G1325,'Activation Detail'!G1825,'Activation Detail'!G2325,'Activation Detail'!G2825,'Activation Detail'!G3325,'Activation Detail'!G3825)</f>
        <v>20789</v>
      </c>
      <c r="E325" s="48" t="n">
        <f aca="false">SUM('Activation Detail'!H325,'Activation Detail'!H825,'Activation Detail'!H1325,'Activation Detail'!H1825,'Activation Detail'!H2325,'Activation Detail'!H2825,'Activation Detail'!H3325,'Activation Detail'!H3825)</f>
        <v>885.016312725987</v>
      </c>
      <c r="F325" s="50" t="n">
        <f aca="false">SUM('Activation Detail'!I325,'Activation Detail'!I825,'Activation Detail'!I1325,'Activation Detail'!I1825,'Activation Detail'!I2325,'Activation Detail'!I2825,'Activation Detail'!I3325,'Activation Detail'!I3825)</f>
        <v>75919.891924</v>
      </c>
      <c r="G325" s="50" t="n">
        <f aca="false">SUM('Activation Detail'!J325,'Activation Detail'!J825,'Activation Detail'!J1325,'Activation Detail'!J1825,'Activation Detail'!J2325,'Activation Detail'!J2825,'Activation Detail'!J3325,'Activation Detail'!J3825)</f>
        <v>5487462.43334185</v>
      </c>
      <c r="H325" s="50" t="n">
        <f aca="false">SUM('Activation Detail'!K325,'Activation Detail'!K825,'Activation Detail'!K1325,'Activation Detail'!K1825,'Activation Detail'!K2325,'Activation Detail'!K2825,'Activation Detail'!K3325,'Activation Detail'!K3825)</f>
        <v>118178.40739382</v>
      </c>
      <c r="I325" s="51" t="n">
        <f aca="false">IFERROR(H325/F325,0)</f>
        <v>1.55661980541441</v>
      </c>
      <c r="J325" s="49" t="n">
        <f aca="false">IFERROR(F325/E325,0)</f>
        <v>85.7836074118849</v>
      </c>
      <c r="K325" s="46" t="n">
        <f aca="false">IFERROR(C325/B325,0)</f>
        <v>0.105641038013724</v>
      </c>
      <c r="L325" s="47" t="n">
        <f aca="false">IFERROR(D325/B325,0)</f>
        <v>0.00464417829051615</v>
      </c>
      <c r="N325" s="48" t="n">
        <f aca="false">SUMIFS('Activation Detail'!$H$4:$H$4003,'Activation Detail'!$A$4:$A$4003,$A325,'Activation Detail'!$N$4:$N$4003,N$2)</f>
        <v>123.985013960013</v>
      </c>
      <c r="O325" s="50" t="n">
        <f aca="false">N325*'Model Inputs &amp; Assumptions'!$D$40*'Model Inputs &amp; Assumptions'!$H$40</f>
        <v>1053872.61866011</v>
      </c>
      <c r="P325" s="50" t="n">
        <f aca="false">N325*'Model Inputs &amp; Assumptions'!$G$40*'Model Inputs &amp; Assumptions'!$H$40</f>
        <v>23712.1339198524</v>
      </c>
      <c r="Q325" s="50" t="n">
        <f aca="false">SUMIFS('Activation Detail'!$I$4:$I$4003,'Activation Detail'!$A$4:$A$4003,$A325,'Activation Detail'!$N$4:$N$4003,N$2)</f>
        <v>18201.4165</v>
      </c>
      <c r="R325" s="51" t="n">
        <f aca="false">IFERROR(P325/Q325,0)</f>
        <v>1.30276310746762</v>
      </c>
      <c r="S325" s="49" t="n">
        <f aca="false">IFERROR(Q325/N325,0)</f>
        <v>146.803358879084</v>
      </c>
      <c r="T325" s="48" t="n">
        <f aca="false">SUMIFS('Activation Detail'!$H$4:$H$4003,'Activation Detail'!$A$4:$A$4003,$A325,'Activation Detail'!$N$4:$N$4003,T$2)</f>
        <v>180.011556303042</v>
      </c>
      <c r="U325" s="50" t="n">
        <f aca="false">T325*'Model Inputs &amp; Assumptions'!$D$41*'Model Inputs &amp; Assumptions'!$H$41</f>
        <v>1296083.2053819</v>
      </c>
      <c r="V325" s="50" t="n">
        <f aca="false">T325*'Model Inputs &amp; Assumptions'!$G$41*'Model Inputs &amp; Assumptions'!$H$41</f>
        <v>28578.634678671</v>
      </c>
      <c r="W325" s="50" t="n">
        <f aca="false">SUMIFS('Activation Detail'!$I$4:$I$4003,'Activation Detail'!$A$4:$A$4003,$A325,'Activation Detail'!$N$4:$N$4003,T$2)</f>
        <v>18664.831424</v>
      </c>
      <c r="X325" s="51" t="n">
        <f aca="false">IFERROR(V325/W325,0)</f>
        <v>1.53114882366006</v>
      </c>
      <c r="Y325" s="49" t="n">
        <f aca="false">IFERROR(W325/T325,0)</f>
        <v>103.68685104071</v>
      </c>
      <c r="Z325" s="48" t="n">
        <f aca="false">SUMIFS('Activation Detail'!$H$4:$H$4003,'Activation Detail'!$A$4:$A$4003,$A325,'Activation Detail'!$N$4:$N$4003,Z$2)</f>
        <v>581.019742462932</v>
      </c>
      <c r="AA325" s="50" t="n">
        <f aca="false">Z325*'Model Inputs &amp; Assumptions'!$D$42*'Model Inputs &amp; Assumptions'!$H$42</f>
        <v>3137506.60929983</v>
      </c>
      <c r="AB325" s="50" t="n">
        <f aca="false">Z325*'Model Inputs &amp; Assumptions'!$G$42*'Model Inputs &amp; Assumptions'!$H$42</f>
        <v>65887.6387952965</v>
      </c>
      <c r="AC325" s="50" t="n">
        <f aca="false">SUMIFS('Activation Detail'!$I$4:$I$4003,'Activation Detail'!$A$4:$A$4003,$A325,'Activation Detail'!$N$4:$N$4003,Z$2)</f>
        <v>39053.644</v>
      </c>
      <c r="AD325" s="51" t="n">
        <f aca="false">IFERROR(AB325/AC325,0)</f>
        <v>1.68710604304419</v>
      </c>
      <c r="AE325" s="49" t="n">
        <f aca="false">IFERROR(AC325/Z325,0)</f>
        <v>67.2156919048091</v>
      </c>
    </row>
    <row r="326" customFormat="false" ht="15" hidden="false" customHeight="false" outlineLevel="0" collapsed="false">
      <c r="A326" s="43" t="n">
        <v>323</v>
      </c>
      <c r="B326" s="45" t="n">
        <f aca="false">SUM('Activation Detail'!C326,'Activation Detail'!C826,'Activation Detail'!C1326,'Activation Detail'!C1826,'Activation Detail'!C2326,'Activation Detail'!C2826,'Activation Detail'!C3326,'Activation Detail'!C3826)</f>
        <v>5037813</v>
      </c>
      <c r="C326" s="45" t="n">
        <f aca="false">SUM('Activation Detail'!E326,'Activation Detail'!E826,'Activation Detail'!E1326,'Activation Detail'!E1826,'Activation Detail'!E2326,'Activation Detail'!E2826,'Activation Detail'!E3326,'Activation Detail'!E3826)</f>
        <v>704666</v>
      </c>
      <c r="D326" s="45" t="n">
        <f aca="false">SUM('Activation Detail'!G326,'Activation Detail'!G826,'Activation Detail'!G1326,'Activation Detail'!G1826,'Activation Detail'!G2326,'Activation Detail'!G2826,'Activation Detail'!G3326,'Activation Detail'!G3826)</f>
        <v>17775</v>
      </c>
      <c r="E326" s="48" t="n">
        <f aca="false">SUM('Activation Detail'!H326,'Activation Detail'!H826,'Activation Detail'!H1326,'Activation Detail'!H1826,'Activation Detail'!H2326,'Activation Detail'!H2826,'Activation Detail'!H3326,'Activation Detail'!H3826)</f>
        <v>556.61797162148</v>
      </c>
      <c r="F326" s="50" t="n">
        <f aca="false">SUM('Activation Detail'!I326,'Activation Detail'!I826,'Activation Detail'!I1326,'Activation Detail'!I1826,'Activation Detail'!I2326,'Activation Detail'!I2826,'Activation Detail'!I3326,'Activation Detail'!I3826)</f>
        <v>87515.898902</v>
      </c>
      <c r="G326" s="50" t="n">
        <f aca="false">SUM('Activation Detail'!J326,'Activation Detail'!J826,'Activation Detail'!J1326,'Activation Detail'!J1826,'Activation Detail'!J2326,'Activation Detail'!J2826,'Activation Detail'!J3326,'Activation Detail'!J3826)</f>
        <v>3677703.88268132</v>
      </c>
      <c r="H326" s="50" t="n">
        <f aca="false">SUM('Activation Detail'!K326,'Activation Detail'!K826,'Activation Detail'!K1326,'Activation Detail'!K1826,'Activation Detail'!K2326,'Activation Detail'!K2826,'Activation Detail'!K3326,'Activation Detail'!K3826)</f>
        <v>80026.3207002147</v>
      </c>
      <c r="I326" s="51" t="n">
        <f aca="false">IFERROR(H326/F326,0)</f>
        <v>0.914420370518366</v>
      </c>
      <c r="J326" s="49" t="n">
        <f aca="false">IFERROR(F326/E326,0)</f>
        <v>157.227943336177</v>
      </c>
      <c r="K326" s="46" t="n">
        <f aca="false">IFERROR(C326/B326,0)</f>
        <v>0.139875378462837</v>
      </c>
      <c r="L326" s="47" t="n">
        <f aca="false">IFERROR(D326/B326,0)</f>
        <v>0.00352831675173334</v>
      </c>
      <c r="N326" s="48" t="n">
        <f aca="false">SUMIFS('Activation Detail'!$H$4:$H$4003,'Activation Detail'!$A$4:$A$4003,$A326,'Activation Detail'!$N$4:$N$4003,N$2)</f>
        <v>102.672396220007</v>
      </c>
      <c r="O326" s="50" t="n">
        <f aca="false">N326*'Model Inputs &amp; Assumptions'!$D$40*'Model Inputs &amp; Assumptions'!$H$40</f>
        <v>872715.367870055</v>
      </c>
      <c r="P326" s="50" t="n">
        <f aca="false">N326*'Model Inputs &amp; Assumptions'!$G$40*'Model Inputs &amp; Assumptions'!$H$40</f>
        <v>19636.0957770762</v>
      </c>
      <c r="Q326" s="50" t="n">
        <f aca="false">SUMIFS('Activation Detail'!$I$4:$I$4003,'Activation Detail'!$A$4:$A$4003,$A326,'Activation Detail'!$N$4:$N$4003,N$2)</f>
        <v>18700.649</v>
      </c>
      <c r="R326" s="51" t="n">
        <f aca="false">IFERROR(P326/Q326,0)</f>
        <v>1.05002215575921</v>
      </c>
      <c r="S326" s="49" t="n">
        <f aca="false">IFERROR(Q326/N326,0)</f>
        <v>182.139013877968</v>
      </c>
      <c r="T326" s="48" t="n">
        <f aca="false">SUMIFS('Activation Detail'!$H$4:$H$4003,'Activation Detail'!$A$4:$A$4003,$A326,'Activation Detail'!$N$4:$N$4003,T$2)</f>
        <v>196.490226468504</v>
      </c>
      <c r="U326" s="50" t="n">
        <f aca="false">T326*'Model Inputs &amp; Assumptions'!$D$41*'Model Inputs &amp; Assumptions'!$H$41</f>
        <v>1414729.63057323</v>
      </c>
      <c r="V326" s="50" t="n">
        <f aca="false">T326*'Model Inputs &amp; Assumptions'!$G$41*'Model Inputs &amp; Assumptions'!$H$41</f>
        <v>31194.7883541397</v>
      </c>
      <c r="W326" s="50" t="n">
        <f aca="false">SUMIFS('Activation Detail'!$I$4:$I$4003,'Activation Detail'!$A$4:$A$4003,$A326,'Activation Detail'!$N$4:$N$4003,T$2)</f>
        <v>23676.357902</v>
      </c>
      <c r="X326" s="51" t="n">
        <f aca="false">IFERROR(V326/W326,0)</f>
        <v>1.31755012672387</v>
      </c>
      <c r="Y326" s="49" t="n">
        <f aca="false">IFERROR(W326/T326,0)</f>
        <v>120.496364259599</v>
      </c>
      <c r="Z326" s="48" t="n">
        <f aca="false">SUMIFS('Activation Detail'!$H$4:$H$4003,'Activation Detail'!$A$4:$A$4003,$A326,'Activation Detail'!$N$4:$N$4003,Z$2)</f>
        <v>257.455348932969</v>
      </c>
      <c r="AA326" s="50" t="n">
        <f aca="false">Z326*'Model Inputs &amp; Assumptions'!$D$42*'Model Inputs &amp; Assumptions'!$H$42</f>
        <v>1390258.88423803</v>
      </c>
      <c r="AB326" s="50" t="n">
        <f aca="false">Z326*'Model Inputs &amp; Assumptions'!$G$42*'Model Inputs &amp; Assumptions'!$H$42</f>
        <v>29195.4365689987</v>
      </c>
      <c r="AC326" s="50" t="n">
        <f aca="false">SUMIFS('Activation Detail'!$I$4:$I$4003,'Activation Detail'!$A$4:$A$4003,$A326,'Activation Detail'!$N$4:$N$4003,Z$2)</f>
        <v>45138.892</v>
      </c>
      <c r="AD326" s="51" t="n">
        <f aca="false">IFERROR(AB326/AC326,0)</f>
        <v>0.646791165565134</v>
      </c>
      <c r="AE326" s="49" t="n">
        <f aca="false">IFERROR(AC326/Z326,0)</f>
        <v>175.327070061195</v>
      </c>
    </row>
    <row r="327" customFormat="false" ht="15" hidden="false" customHeight="false" outlineLevel="0" collapsed="false">
      <c r="A327" s="43" t="n">
        <v>324</v>
      </c>
      <c r="B327" s="45" t="n">
        <f aca="false">SUM('Activation Detail'!C327,'Activation Detail'!C827,'Activation Detail'!C1327,'Activation Detail'!C1827,'Activation Detail'!C2327,'Activation Detail'!C2827,'Activation Detail'!C3327,'Activation Detail'!C3827)</f>
        <v>4679564</v>
      </c>
      <c r="C327" s="45" t="n">
        <f aca="false">SUM('Activation Detail'!E327,'Activation Detail'!E827,'Activation Detail'!E1327,'Activation Detail'!E1827,'Activation Detail'!E2327,'Activation Detail'!E2827,'Activation Detail'!E3327,'Activation Detail'!E3827)</f>
        <v>625778</v>
      </c>
      <c r="D327" s="45" t="n">
        <f aca="false">SUM('Activation Detail'!G327,'Activation Detail'!G827,'Activation Detail'!G1327,'Activation Detail'!G1827,'Activation Detail'!G2327,'Activation Detail'!G2827,'Activation Detail'!G3327,'Activation Detail'!G3827)</f>
        <v>21624</v>
      </c>
      <c r="E327" s="48" t="n">
        <f aca="false">SUM('Activation Detail'!H327,'Activation Detail'!H827,'Activation Detail'!H1327,'Activation Detail'!H1827,'Activation Detail'!H2327,'Activation Detail'!H2827,'Activation Detail'!H3327,'Activation Detail'!H3827)</f>
        <v>715.496430809113</v>
      </c>
      <c r="F327" s="50" t="n">
        <f aca="false">SUM('Activation Detail'!I327,'Activation Detail'!I827,'Activation Detail'!I1327,'Activation Detail'!I1827,'Activation Detail'!I2327,'Activation Detail'!I2827,'Activation Detail'!I3327,'Activation Detail'!I3827)</f>
        <v>79795.32108</v>
      </c>
      <c r="G327" s="50" t="n">
        <f aca="false">SUM('Activation Detail'!J327,'Activation Detail'!J827,'Activation Detail'!J1327,'Activation Detail'!J1827,'Activation Detail'!J2327,'Activation Detail'!J2827,'Activation Detail'!J3327,'Activation Detail'!J3827)</f>
        <v>4516137.22846263</v>
      </c>
      <c r="H327" s="50" t="n">
        <f aca="false">SUM('Activation Detail'!K327,'Activation Detail'!K827,'Activation Detail'!K1327,'Activation Detail'!K1827,'Activation Detail'!K2327,'Activation Detail'!K2827,'Activation Detail'!K3327,'Activation Detail'!K3827)</f>
        <v>97559.805299623</v>
      </c>
      <c r="I327" s="51" t="n">
        <f aca="false">IFERROR(H327/F327,0)</f>
        <v>1.22262563743321</v>
      </c>
      <c r="J327" s="49" t="n">
        <f aca="false">IFERROR(F327/E327,0)</f>
        <v>111.524415278724</v>
      </c>
      <c r="K327" s="46" t="n">
        <f aca="false">IFERROR(C327/B327,0)</f>
        <v>0.133725706070053</v>
      </c>
      <c r="L327" s="47" t="n">
        <f aca="false">IFERROR(D327/B327,0)</f>
        <v>0.00462094331865105</v>
      </c>
      <c r="N327" s="48" t="n">
        <f aca="false">SUMIFS('Activation Detail'!$H$4:$H$4003,'Activation Detail'!$A$4:$A$4003,$A327,'Activation Detail'!$N$4:$N$4003,N$2)</f>
        <v>71.8289143877319</v>
      </c>
      <c r="O327" s="50" t="n">
        <f aca="false">N327*'Model Inputs &amp; Assumptions'!$D$40*'Model Inputs &amp; Assumptions'!$H$40</f>
        <v>610545.772295721</v>
      </c>
      <c r="P327" s="50" t="n">
        <f aca="false">N327*'Model Inputs &amp; Assumptions'!$G$40*'Model Inputs &amp; Assumptions'!$H$40</f>
        <v>13737.2798766537</v>
      </c>
      <c r="Q327" s="50" t="n">
        <f aca="false">SUMIFS('Activation Detail'!$I$4:$I$4003,'Activation Detail'!$A$4:$A$4003,$A327,'Activation Detail'!$N$4:$N$4003,N$2)</f>
        <v>19079.3065</v>
      </c>
      <c r="R327" s="51" t="n">
        <f aca="false">IFERROR(P327/Q327,0)</f>
        <v>0.72000939219954</v>
      </c>
      <c r="S327" s="49" t="n">
        <f aca="false">IFERROR(Q327/N327,0)</f>
        <v>265.621535041029</v>
      </c>
      <c r="T327" s="48" t="n">
        <f aca="false">SUMIFS('Activation Detail'!$H$4:$H$4003,'Activation Detail'!$A$4:$A$4003,$A327,'Activation Detail'!$N$4:$N$4003,T$2)</f>
        <v>238.770481939697</v>
      </c>
      <c r="U327" s="50" t="n">
        <f aca="false">T327*'Model Inputs &amp; Assumptions'!$D$41*'Model Inputs &amp; Assumptions'!$H$41</f>
        <v>1719147.46996582</v>
      </c>
      <c r="V327" s="50" t="n">
        <f aca="false">T327*'Model Inputs &amp; Assumptions'!$G$41*'Model Inputs &amp; Assumptions'!$H$41</f>
        <v>37907.2017127463</v>
      </c>
      <c r="W327" s="50" t="n">
        <f aca="false">SUMIFS('Activation Detail'!$I$4:$I$4003,'Activation Detail'!$A$4:$A$4003,$A327,'Activation Detail'!$N$4:$N$4003,T$2)</f>
        <v>21644.92258</v>
      </c>
      <c r="X327" s="51" t="n">
        <f aca="false">IFERROR(V327/W327,0)</f>
        <v>1.75132073458062</v>
      </c>
      <c r="Y327" s="49" t="n">
        <f aca="false">IFERROR(W327/T327,0)</f>
        <v>90.6515847527022</v>
      </c>
      <c r="Z327" s="48" t="n">
        <f aca="false">SUMIFS('Activation Detail'!$H$4:$H$4003,'Activation Detail'!$A$4:$A$4003,$A327,'Activation Detail'!$N$4:$N$4003,Z$2)</f>
        <v>404.897034481684</v>
      </c>
      <c r="AA327" s="50" t="n">
        <f aca="false">Z327*'Model Inputs &amp; Assumptions'!$D$42*'Model Inputs &amp; Assumptions'!$H$42</f>
        <v>2186443.98620109</v>
      </c>
      <c r="AB327" s="50" t="n">
        <f aca="false">Z327*'Model Inputs &amp; Assumptions'!$G$42*'Model Inputs &amp; Assumptions'!$H$42</f>
        <v>45915.3237102229</v>
      </c>
      <c r="AC327" s="50" t="n">
        <f aca="false">SUMIFS('Activation Detail'!$I$4:$I$4003,'Activation Detail'!$A$4:$A$4003,$A327,'Activation Detail'!$N$4:$N$4003,Z$2)</f>
        <v>39071.092</v>
      </c>
      <c r="AD327" s="51" t="n">
        <f aca="false">IFERROR(AB327/AC327,0)</f>
        <v>1.17517380139319</v>
      </c>
      <c r="AE327" s="49" t="n">
        <f aca="false">IFERROR(AC327/Z327,0)</f>
        <v>96.4963649339039</v>
      </c>
    </row>
    <row r="328" customFormat="false" ht="15" hidden="false" customHeight="false" outlineLevel="0" collapsed="false">
      <c r="A328" s="43" t="n">
        <v>325</v>
      </c>
      <c r="B328" s="45" t="n">
        <f aca="false">SUM('Activation Detail'!C328,'Activation Detail'!C828,'Activation Detail'!C1328,'Activation Detail'!C1828,'Activation Detail'!C2328,'Activation Detail'!C2828,'Activation Detail'!C3328,'Activation Detail'!C3828)</f>
        <v>5196293</v>
      </c>
      <c r="C328" s="45" t="n">
        <f aca="false">SUM('Activation Detail'!E328,'Activation Detail'!E828,'Activation Detail'!E1328,'Activation Detail'!E1828,'Activation Detail'!E2328,'Activation Detail'!E2828,'Activation Detail'!E3328,'Activation Detail'!E3828)</f>
        <v>452491</v>
      </c>
      <c r="D328" s="45" t="n">
        <f aca="false">SUM('Activation Detail'!G328,'Activation Detail'!G828,'Activation Detail'!G1328,'Activation Detail'!G1828,'Activation Detail'!G2328,'Activation Detail'!G2828,'Activation Detail'!G3328,'Activation Detail'!G3828)</f>
        <v>17674</v>
      </c>
      <c r="E328" s="48" t="n">
        <f aca="false">SUM('Activation Detail'!H328,'Activation Detail'!H828,'Activation Detail'!H1328,'Activation Detail'!H1828,'Activation Detail'!H2328,'Activation Detail'!H2828,'Activation Detail'!H3328,'Activation Detail'!H3828)</f>
        <v>862.468681864031</v>
      </c>
      <c r="F328" s="50" t="n">
        <f aca="false">SUM('Activation Detail'!I328,'Activation Detail'!I828,'Activation Detail'!I1328,'Activation Detail'!I1828,'Activation Detail'!I2328,'Activation Detail'!I2828,'Activation Detail'!I3328,'Activation Detail'!I3828)</f>
        <v>75481.640192</v>
      </c>
      <c r="G328" s="50" t="n">
        <f aca="false">SUM('Activation Detail'!J328,'Activation Detail'!J828,'Activation Detail'!J1328,'Activation Detail'!J1828,'Activation Detail'!J2328,'Activation Detail'!J2828,'Activation Detail'!J3328,'Activation Detail'!J3828)</f>
        <v>5284352.00777615</v>
      </c>
      <c r="H328" s="50" t="n">
        <f aca="false">SUM('Activation Detail'!K328,'Activation Detail'!K828,'Activation Detail'!K1328,'Activation Detail'!K1828,'Activation Detail'!K2328,'Activation Detail'!K2828,'Activation Detail'!K3328,'Activation Detail'!K3828)</f>
        <v>113582.649369389</v>
      </c>
      <c r="I328" s="51" t="n">
        <f aca="false">IFERROR(H328/F328,0)</f>
        <v>1.50477187671694</v>
      </c>
      <c r="J328" s="49" t="n">
        <f aca="false">IFERROR(F328/E328,0)</f>
        <v>87.5181230104072</v>
      </c>
      <c r="K328" s="46" t="n">
        <f aca="false">IFERROR(C328/B328,0)</f>
        <v>0.0870795776912503</v>
      </c>
      <c r="L328" s="47" t="n">
        <f aca="false">IFERROR(D328/B328,0)</f>
        <v>0.00340127086752037</v>
      </c>
      <c r="N328" s="48" t="n">
        <f aca="false">SUMIFS('Activation Detail'!$H$4:$H$4003,'Activation Detail'!$A$4:$A$4003,$A328,'Activation Detail'!$N$4:$N$4003,N$2)</f>
        <v>82.3389699782345</v>
      </c>
      <c r="O328" s="50" t="n">
        <f aca="false">N328*'Model Inputs &amp; Assumptions'!$D$40*'Model Inputs &amp; Assumptions'!$H$40</f>
        <v>699881.244814993</v>
      </c>
      <c r="P328" s="50" t="n">
        <f aca="false">N328*'Model Inputs &amp; Assumptions'!$G$40*'Model Inputs &amp; Assumptions'!$H$40</f>
        <v>15747.3280083373</v>
      </c>
      <c r="Q328" s="50" t="n">
        <f aca="false">SUMIFS('Activation Detail'!$I$4:$I$4003,'Activation Detail'!$A$4:$A$4003,$A328,'Activation Detail'!$N$4:$N$4003,N$2)</f>
        <v>17797.214</v>
      </c>
      <c r="R328" s="51" t="n">
        <f aca="false">IFERROR(P328/Q328,0)</f>
        <v>0.884819838000338</v>
      </c>
      <c r="S328" s="49" t="n">
        <f aca="false">IFERROR(Q328/N328,0)</f>
        <v>216.145696317364</v>
      </c>
      <c r="T328" s="48" t="n">
        <f aca="false">SUMIFS('Activation Detail'!$H$4:$H$4003,'Activation Detail'!$A$4:$A$4003,$A328,'Activation Detail'!$N$4:$N$4003,T$2)</f>
        <v>206.539065987696</v>
      </c>
      <c r="U328" s="50" t="n">
        <f aca="false">T328*'Model Inputs &amp; Assumptions'!$D$41*'Model Inputs &amp; Assumptions'!$H$41</f>
        <v>1487081.27511141</v>
      </c>
      <c r="V328" s="50" t="n">
        <f aca="false">T328*'Model Inputs &amp; Assumptions'!$G$41*'Model Inputs &amp; Assumptions'!$H$41</f>
        <v>32790.1421162067</v>
      </c>
      <c r="W328" s="50" t="n">
        <f aca="false">SUMIFS('Activation Detail'!$I$4:$I$4003,'Activation Detail'!$A$4:$A$4003,$A328,'Activation Detail'!$N$4:$N$4003,T$2)</f>
        <v>18820.478192</v>
      </c>
      <c r="X328" s="51" t="n">
        <f aca="false">IFERROR(V328/W328,0)</f>
        <v>1.74225871317896</v>
      </c>
      <c r="Y328" s="49" t="n">
        <f aca="false">IFERROR(W328/T328,0)</f>
        <v>91.1230914209767</v>
      </c>
      <c r="Z328" s="48" t="n">
        <f aca="false">SUMIFS('Activation Detail'!$H$4:$H$4003,'Activation Detail'!$A$4:$A$4003,$A328,'Activation Detail'!$N$4:$N$4003,Z$2)</f>
        <v>573.5906458981</v>
      </c>
      <c r="AA328" s="50" t="n">
        <f aca="false">Z328*'Model Inputs &amp; Assumptions'!$D$42*'Model Inputs &amp; Assumptions'!$H$42</f>
        <v>3097389.48784974</v>
      </c>
      <c r="AB328" s="50" t="n">
        <f aca="false">Z328*'Model Inputs &amp; Assumptions'!$G$42*'Model Inputs &amp; Assumptions'!$H$42</f>
        <v>65045.1792448446</v>
      </c>
      <c r="AC328" s="50" t="n">
        <f aca="false">SUMIFS('Activation Detail'!$I$4:$I$4003,'Activation Detail'!$A$4:$A$4003,$A328,'Activation Detail'!$N$4:$N$4003,Z$2)</f>
        <v>38863.948</v>
      </c>
      <c r="AD328" s="51" t="n">
        <f aca="false">IFERROR(AB328/AC328,0)</f>
        <v>1.67366370613826</v>
      </c>
      <c r="AE328" s="49" t="n">
        <f aca="false">IFERROR(AC328/Z328,0)</f>
        <v>67.7555470576908</v>
      </c>
    </row>
    <row r="329" customFormat="false" ht="15" hidden="false" customHeight="false" outlineLevel="0" collapsed="false">
      <c r="A329" s="43" t="n">
        <v>326</v>
      </c>
      <c r="B329" s="45" t="n">
        <f aca="false">SUM('Activation Detail'!C329,'Activation Detail'!C829,'Activation Detail'!C1329,'Activation Detail'!C1829,'Activation Detail'!C2329,'Activation Detail'!C2829,'Activation Detail'!C3329,'Activation Detail'!C3829)</f>
        <v>4158041</v>
      </c>
      <c r="C329" s="45" t="n">
        <f aca="false">SUM('Activation Detail'!E329,'Activation Detail'!E829,'Activation Detail'!E1329,'Activation Detail'!E1829,'Activation Detail'!E2329,'Activation Detail'!E2829,'Activation Detail'!E3329,'Activation Detail'!E3829)</f>
        <v>479377</v>
      </c>
      <c r="D329" s="45" t="n">
        <f aca="false">SUM('Activation Detail'!G329,'Activation Detail'!G829,'Activation Detail'!G1329,'Activation Detail'!G1829,'Activation Detail'!G2329,'Activation Detail'!G2829,'Activation Detail'!G3329,'Activation Detail'!G3829)</f>
        <v>16779</v>
      </c>
      <c r="E329" s="48" t="n">
        <f aca="false">SUM('Activation Detail'!H329,'Activation Detail'!H829,'Activation Detail'!H1329,'Activation Detail'!H1829,'Activation Detail'!H2329,'Activation Detail'!H2829,'Activation Detail'!H3329,'Activation Detail'!H3829)</f>
        <v>588.743776609944</v>
      </c>
      <c r="F329" s="50" t="n">
        <f aca="false">SUM('Activation Detail'!I329,'Activation Detail'!I829,'Activation Detail'!I1329,'Activation Detail'!I1829,'Activation Detail'!I2329,'Activation Detail'!I2829,'Activation Detail'!I3329,'Activation Detail'!I3829)</f>
        <v>76836.16741</v>
      </c>
      <c r="G329" s="50" t="n">
        <f aca="false">SUM('Activation Detail'!J329,'Activation Detail'!J829,'Activation Detail'!J1329,'Activation Detail'!J1829,'Activation Detail'!J2329,'Activation Detail'!J2829,'Activation Detail'!J3329,'Activation Detail'!J3829)</f>
        <v>3692336.123432</v>
      </c>
      <c r="H329" s="50" t="n">
        <f aca="false">SUM('Activation Detail'!K329,'Activation Detail'!K829,'Activation Detail'!K1329,'Activation Detail'!K1829,'Activation Detail'!K2329,'Activation Detail'!K2829,'Activation Detail'!K3329,'Activation Detail'!K3829)</f>
        <v>79676.8979556005</v>
      </c>
      <c r="I329" s="51" t="n">
        <f aca="false">IFERROR(H329/F329,0)</f>
        <v>1.03697126810662</v>
      </c>
      <c r="J329" s="49" t="n">
        <f aca="false">IFERROR(F329/E329,0)</f>
        <v>130.508670261335</v>
      </c>
      <c r="K329" s="46" t="n">
        <f aca="false">IFERROR(C329/B329,0)</f>
        <v>0.115289146980513</v>
      </c>
      <c r="L329" s="47" t="n">
        <f aca="false">IFERROR(D329/B329,0)</f>
        <v>0.00403531374510256</v>
      </c>
      <c r="N329" s="48" t="n">
        <f aca="false">SUMIFS('Activation Detail'!$H$4:$H$4003,'Activation Detail'!$A$4:$A$4003,$A329,'Activation Detail'!$N$4:$N$4003,N$2)</f>
        <v>63.9388939715215</v>
      </c>
      <c r="O329" s="50" t="n">
        <f aca="false">N329*'Model Inputs &amp; Assumptions'!$D$40*'Model Inputs &amp; Assumptions'!$H$40</f>
        <v>543480.598757933</v>
      </c>
      <c r="P329" s="50" t="n">
        <f aca="false">N329*'Model Inputs &amp; Assumptions'!$G$40*'Model Inputs &amp; Assumptions'!$H$40</f>
        <v>12228.3134720535</v>
      </c>
      <c r="Q329" s="50" t="n">
        <f aca="false">SUMIFS('Activation Detail'!$I$4:$I$4003,'Activation Detail'!$A$4:$A$4003,$A329,'Activation Detail'!$N$4:$N$4003,N$2)</f>
        <v>17340.9205</v>
      </c>
      <c r="R329" s="51" t="n">
        <f aca="false">IFERROR(P329/Q329,0)</f>
        <v>0.705170955143557</v>
      </c>
      <c r="S329" s="49" t="n">
        <f aca="false">IFERROR(Q329/N329,0)</f>
        <v>271.210829948414</v>
      </c>
      <c r="T329" s="48" t="n">
        <f aca="false">SUMIFS('Activation Detail'!$H$4:$H$4003,'Activation Detail'!$A$4:$A$4003,$A329,'Activation Detail'!$N$4:$N$4003,T$2)</f>
        <v>174.949532459214</v>
      </c>
      <c r="U329" s="50" t="n">
        <f aca="false">T329*'Model Inputs &amp; Assumptions'!$D$41*'Model Inputs &amp; Assumptions'!$H$41</f>
        <v>1259636.63370634</v>
      </c>
      <c r="V329" s="50" t="n">
        <f aca="false">T329*'Model Inputs &amp; Assumptions'!$G$41*'Model Inputs &amp; Assumptions'!$H$41</f>
        <v>27774.9877732248</v>
      </c>
      <c r="W329" s="50" t="n">
        <f aca="false">SUMIFS('Activation Detail'!$I$4:$I$4003,'Activation Detail'!$A$4:$A$4003,$A329,'Activation Detail'!$N$4:$N$4003,T$2)</f>
        <v>18088.01891</v>
      </c>
      <c r="X329" s="51" t="n">
        <f aca="false">IFERROR(V329/W329,0)</f>
        <v>1.53554614860941</v>
      </c>
      <c r="Y329" s="49" t="n">
        <f aca="false">IFERROR(W329/T329,0)</f>
        <v>103.389924258397</v>
      </c>
      <c r="Z329" s="48" t="n">
        <f aca="false">SUMIFS('Activation Detail'!$H$4:$H$4003,'Activation Detail'!$A$4:$A$4003,$A329,'Activation Detail'!$N$4:$N$4003,Z$2)</f>
        <v>349.855350179209</v>
      </c>
      <c r="AA329" s="50" t="n">
        <f aca="false">Z329*'Model Inputs &amp; Assumptions'!$D$42*'Model Inputs &amp; Assumptions'!$H$42</f>
        <v>1889218.89096773</v>
      </c>
      <c r="AB329" s="50" t="n">
        <f aca="false">Z329*'Model Inputs &amp; Assumptions'!$G$42*'Model Inputs &amp; Assumptions'!$H$42</f>
        <v>39673.5967103222</v>
      </c>
      <c r="AC329" s="50" t="n">
        <f aca="false">SUMIFS('Activation Detail'!$I$4:$I$4003,'Activation Detail'!$A$4:$A$4003,$A329,'Activation Detail'!$N$4:$N$4003,Z$2)</f>
        <v>41407.228</v>
      </c>
      <c r="AD329" s="51" t="n">
        <f aca="false">IFERROR(AB329/AC329,0)</f>
        <v>0.9581321577557</v>
      </c>
      <c r="AE329" s="49" t="n">
        <f aca="false">IFERROR(AC329/Z329,0)</f>
        <v>118.355280200202</v>
      </c>
    </row>
    <row r="330" customFormat="false" ht="15" hidden="false" customHeight="false" outlineLevel="0" collapsed="false">
      <c r="A330" s="43" t="n">
        <v>327</v>
      </c>
      <c r="B330" s="45" t="n">
        <f aca="false">SUM('Activation Detail'!C330,'Activation Detail'!C830,'Activation Detail'!C1330,'Activation Detail'!C1830,'Activation Detail'!C2330,'Activation Detail'!C2830,'Activation Detail'!C3330,'Activation Detail'!C3830)</f>
        <v>3994065</v>
      </c>
      <c r="C330" s="45" t="n">
        <f aca="false">SUM('Activation Detail'!E330,'Activation Detail'!E830,'Activation Detail'!E1330,'Activation Detail'!E1830,'Activation Detail'!E2330,'Activation Detail'!E2830,'Activation Detail'!E3330,'Activation Detail'!E3830)</f>
        <v>286815</v>
      </c>
      <c r="D330" s="45" t="n">
        <f aca="false">SUM('Activation Detail'!G330,'Activation Detail'!G830,'Activation Detail'!G1330,'Activation Detail'!G1830,'Activation Detail'!G2330,'Activation Detail'!G2830,'Activation Detail'!G3330,'Activation Detail'!G3830)</f>
        <v>15515</v>
      </c>
      <c r="E330" s="48" t="n">
        <f aca="false">SUM('Activation Detail'!H330,'Activation Detail'!H830,'Activation Detail'!H1330,'Activation Detail'!H1830,'Activation Detail'!H2330,'Activation Detail'!H2830,'Activation Detail'!H3330,'Activation Detail'!H3830)</f>
        <v>797.118308242237</v>
      </c>
      <c r="F330" s="50" t="n">
        <f aca="false">SUM('Activation Detail'!I330,'Activation Detail'!I830,'Activation Detail'!I1330,'Activation Detail'!I1830,'Activation Detail'!I2330,'Activation Detail'!I2830,'Activation Detail'!I3330,'Activation Detail'!I3830)</f>
        <v>70340.361782</v>
      </c>
      <c r="G330" s="50" t="n">
        <f aca="false">SUM('Activation Detail'!J330,'Activation Detail'!J830,'Activation Detail'!J1330,'Activation Detail'!J1830,'Activation Detail'!J2330,'Activation Detail'!J2830,'Activation Detail'!J3330,'Activation Detail'!J3830)</f>
        <v>4982690.21643166</v>
      </c>
      <c r="H330" s="50" t="n">
        <f aca="false">SUM('Activation Detail'!K330,'Activation Detail'!K830,'Activation Detail'!K1330,'Activation Detail'!K1830,'Activation Detail'!K2330,'Activation Detail'!K2830,'Activation Detail'!K3330,'Activation Detail'!K3830)</f>
        <v>107458.445872752</v>
      </c>
      <c r="I330" s="51" t="n">
        <f aca="false">IFERROR(H330/F330,0)</f>
        <v>1.52769253882699</v>
      </c>
      <c r="J330" s="49" t="n">
        <f aca="false">IFERROR(F330/E330,0)</f>
        <v>88.2433147685578</v>
      </c>
      <c r="K330" s="46" t="n">
        <f aca="false">IFERROR(C330/B330,0)</f>
        <v>0.0718102985304445</v>
      </c>
      <c r="L330" s="47" t="n">
        <f aca="false">IFERROR(D330/B330,0)</f>
        <v>0.00388451364712392</v>
      </c>
      <c r="N330" s="48" t="n">
        <f aca="false">SUMIFS('Activation Detail'!$H$4:$H$4003,'Activation Detail'!$A$4:$A$4003,$A330,'Activation Detail'!$N$4:$N$4003,N$2)</f>
        <v>98.9050014498927</v>
      </c>
      <c r="O330" s="50" t="n">
        <f aca="false">N330*'Model Inputs &amp; Assumptions'!$D$40*'Model Inputs &amp; Assumptions'!$H$40</f>
        <v>840692.512324088</v>
      </c>
      <c r="P330" s="50" t="n">
        <f aca="false">N330*'Model Inputs &amp; Assumptions'!$G$40*'Model Inputs &amp; Assumptions'!$H$40</f>
        <v>18915.581527292</v>
      </c>
      <c r="Q330" s="50" t="n">
        <f aca="false">SUMIFS('Activation Detail'!$I$4:$I$4003,'Activation Detail'!$A$4:$A$4003,$A330,'Activation Detail'!$N$4:$N$4003,N$2)</f>
        <v>17966.0255</v>
      </c>
      <c r="R330" s="51" t="n">
        <f aca="false">IFERROR(P330/Q330,0)</f>
        <v>1.05285287095312</v>
      </c>
      <c r="S330" s="49" t="n">
        <f aca="false">IFERROR(Q330/N330,0)</f>
        <v>181.649312336363</v>
      </c>
      <c r="T330" s="48" t="n">
        <f aca="false">SUMIFS('Activation Detail'!$H$4:$H$4003,'Activation Detail'!$A$4:$A$4003,$A330,'Activation Detail'!$N$4:$N$4003,T$2)</f>
        <v>206.469915238283</v>
      </c>
      <c r="U330" s="50" t="n">
        <f aca="false">T330*'Model Inputs &amp; Assumptions'!$D$41*'Model Inputs &amp; Assumptions'!$H$41</f>
        <v>1486583.38971564</v>
      </c>
      <c r="V330" s="50" t="n">
        <f aca="false">T330*'Model Inputs &amp; Assumptions'!$G$41*'Model Inputs &amp; Assumptions'!$H$41</f>
        <v>32779.1637432298</v>
      </c>
      <c r="W330" s="50" t="n">
        <f aca="false">SUMIFS('Activation Detail'!$I$4:$I$4003,'Activation Detail'!$A$4:$A$4003,$A330,'Activation Detail'!$N$4:$N$4003,T$2)</f>
        <v>16814.660282</v>
      </c>
      <c r="X330" s="51" t="n">
        <f aca="false">IFERROR(V330/W330,0)</f>
        <v>1.9494395481971</v>
      </c>
      <c r="Y330" s="49" t="n">
        <f aca="false">IFERROR(W330/T330,0)</f>
        <v>81.438791034493</v>
      </c>
      <c r="Z330" s="48" t="n">
        <f aca="false">SUMIFS('Activation Detail'!$H$4:$H$4003,'Activation Detail'!$A$4:$A$4003,$A330,'Activation Detail'!$N$4:$N$4003,Z$2)</f>
        <v>491.743391554061</v>
      </c>
      <c r="AA330" s="50" t="n">
        <f aca="false">Z330*'Model Inputs &amp; Assumptions'!$D$42*'Model Inputs &amp; Assumptions'!$H$42</f>
        <v>2655414.31439193</v>
      </c>
      <c r="AB330" s="50" t="n">
        <f aca="false">Z330*'Model Inputs &amp; Assumptions'!$G$42*'Model Inputs &amp; Assumptions'!$H$42</f>
        <v>55763.7006022306</v>
      </c>
      <c r="AC330" s="50" t="n">
        <f aca="false">SUMIFS('Activation Detail'!$I$4:$I$4003,'Activation Detail'!$A$4:$A$4003,$A330,'Activation Detail'!$N$4:$N$4003,Z$2)</f>
        <v>35559.676</v>
      </c>
      <c r="AD330" s="51" t="n">
        <f aca="false">IFERROR(AB330/AC330,0)</f>
        <v>1.56817234786477</v>
      </c>
      <c r="AE330" s="49" t="n">
        <f aca="false">IFERROR(AC330/Z330,0)</f>
        <v>72.3134801824594</v>
      </c>
    </row>
    <row r="331" customFormat="false" ht="15" hidden="false" customHeight="false" outlineLevel="0" collapsed="false">
      <c r="A331" s="43" t="n">
        <v>328</v>
      </c>
      <c r="B331" s="45" t="n">
        <f aca="false">SUM('Activation Detail'!C331,'Activation Detail'!C831,'Activation Detail'!C1331,'Activation Detail'!C1831,'Activation Detail'!C2331,'Activation Detail'!C2831,'Activation Detail'!C3331,'Activation Detail'!C3831)</f>
        <v>4130182</v>
      </c>
      <c r="C331" s="45" t="n">
        <f aca="false">SUM('Activation Detail'!E331,'Activation Detail'!E831,'Activation Detail'!E1331,'Activation Detail'!E1831,'Activation Detail'!E2331,'Activation Detail'!E2831,'Activation Detail'!E3331,'Activation Detail'!E3831)</f>
        <v>417457</v>
      </c>
      <c r="D331" s="45" t="n">
        <f aca="false">SUM('Activation Detail'!G331,'Activation Detail'!G831,'Activation Detail'!G1331,'Activation Detail'!G1831,'Activation Detail'!G2331,'Activation Detail'!G2831,'Activation Detail'!G3331,'Activation Detail'!G3831)</f>
        <v>18247</v>
      </c>
      <c r="E331" s="48" t="n">
        <f aca="false">SUM('Activation Detail'!H331,'Activation Detail'!H831,'Activation Detail'!H1331,'Activation Detail'!H1831,'Activation Detail'!H2331,'Activation Detail'!H2831,'Activation Detail'!H3331,'Activation Detail'!H3831)</f>
        <v>710.85182245878</v>
      </c>
      <c r="F331" s="50" t="n">
        <f aca="false">SUM('Activation Detail'!I331,'Activation Detail'!I831,'Activation Detail'!I1331,'Activation Detail'!I1831,'Activation Detail'!I2331,'Activation Detail'!I2831,'Activation Detail'!I3331,'Activation Detail'!I3831)</f>
        <v>72377.453352</v>
      </c>
      <c r="G331" s="50" t="n">
        <f aca="false">SUM('Activation Detail'!J331,'Activation Detail'!J831,'Activation Detail'!J1331,'Activation Detail'!J1831,'Activation Detail'!J2331,'Activation Detail'!J2831,'Activation Detail'!J3331,'Activation Detail'!J3831)</f>
        <v>4484848.48859816</v>
      </c>
      <c r="H331" s="50" t="n">
        <f aca="false">SUM('Activation Detail'!K331,'Activation Detail'!K831,'Activation Detail'!K1331,'Activation Detail'!K1831,'Activation Detail'!K2331,'Activation Detail'!K2831,'Activation Detail'!K3331,'Activation Detail'!K3831)</f>
        <v>96874.2020631915</v>
      </c>
      <c r="I331" s="51" t="n">
        <f aca="false">IFERROR(H331/F331,0)</f>
        <v>1.3384582846823</v>
      </c>
      <c r="J331" s="49" t="n">
        <f aca="false">IFERROR(F331/E331,0)</f>
        <v>101.817919101132</v>
      </c>
      <c r="K331" s="46" t="n">
        <f aca="false">IFERROR(C331/B331,0)</f>
        <v>0.101074722615129</v>
      </c>
      <c r="L331" s="47" t="n">
        <f aca="false">IFERROR(D331/B331,0)</f>
        <v>0.00441796511630722</v>
      </c>
      <c r="N331" s="48" t="n">
        <f aca="false">SUMIFS('Activation Detail'!$H$4:$H$4003,'Activation Detail'!$A$4:$A$4003,$A331,'Activation Detail'!$N$4:$N$4003,N$2)</f>
        <v>80.9648745076484</v>
      </c>
      <c r="O331" s="50" t="n">
        <f aca="false">N331*'Model Inputs &amp; Assumptions'!$D$40*'Model Inputs &amp; Assumptions'!$H$40</f>
        <v>688201.433315012</v>
      </c>
      <c r="P331" s="50" t="n">
        <f aca="false">N331*'Model Inputs &amp; Assumptions'!$G$40*'Model Inputs &amp; Assumptions'!$H$40</f>
        <v>15484.5322495878</v>
      </c>
      <c r="Q331" s="50" t="n">
        <f aca="false">SUMIFS('Activation Detail'!$I$4:$I$4003,'Activation Detail'!$A$4:$A$4003,$A331,'Activation Detail'!$N$4:$N$4003,N$2)</f>
        <v>17772.319</v>
      </c>
      <c r="R331" s="51" t="n">
        <f aca="false">IFERROR(P331/Q331,0)</f>
        <v>0.871272468696278</v>
      </c>
      <c r="S331" s="49" t="n">
        <f aca="false">IFERROR(Q331/N331,0)</f>
        <v>219.506534260374</v>
      </c>
      <c r="T331" s="48" t="n">
        <f aca="false">SUMIFS('Activation Detail'!$H$4:$H$4003,'Activation Detail'!$A$4:$A$4003,$A331,'Activation Detail'!$N$4:$N$4003,T$2)</f>
        <v>219.5875201928</v>
      </c>
      <c r="U331" s="50" t="n">
        <f aca="false">T331*'Model Inputs &amp; Assumptions'!$D$41*'Model Inputs &amp; Assumptions'!$H$41</f>
        <v>1581030.14538816</v>
      </c>
      <c r="V331" s="50" t="n">
        <f aca="false">T331*'Model Inputs &amp; Assumptions'!$G$41*'Model Inputs &amp; Assumptions'!$H$41</f>
        <v>34861.714705809</v>
      </c>
      <c r="W331" s="50" t="n">
        <f aca="false">SUMIFS('Activation Detail'!$I$4:$I$4003,'Activation Detail'!$A$4:$A$4003,$A331,'Activation Detail'!$N$4:$N$4003,T$2)</f>
        <v>20073.726352</v>
      </c>
      <c r="X331" s="51" t="n">
        <f aca="false">IFERROR(V331/W331,0)</f>
        <v>1.73668376735322</v>
      </c>
      <c r="Y331" s="49" t="n">
        <f aca="false">IFERROR(W331/T331,0)</f>
        <v>91.4156065625908</v>
      </c>
      <c r="Z331" s="48" t="n">
        <f aca="false">SUMIFS('Activation Detail'!$H$4:$H$4003,'Activation Detail'!$A$4:$A$4003,$A331,'Activation Detail'!$N$4:$N$4003,Z$2)</f>
        <v>410.299427758331</v>
      </c>
      <c r="AA331" s="50" t="n">
        <f aca="false">Z331*'Model Inputs &amp; Assumptions'!$D$42*'Model Inputs &amp; Assumptions'!$H$42</f>
        <v>2215616.90989499</v>
      </c>
      <c r="AB331" s="50" t="n">
        <f aca="false">Z331*'Model Inputs &amp; Assumptions'!$G$42*'Model Inputs &amp; Assumptions'!$H$42</f>
        <v>46527.9551077947</v>
      </c>
      <c r="AC331" s="50" t="n">
        <f aca="false">SUMIFS('Activation Detail'!$I$4:$I$4003,'Activation Detail'!$A$4:$A$4003,$A331,'Activation Detail'!$N$4:$N$4003,Z$2)</f>
        <v>34531.408</v>
      </c>
      <c r="AD331" s="51" t="n">
        <f aca="false">IFERROR(AB331/AC331,0)</f>
        <v>1.34740972936275</v>
      </c>
      <c r="AE331" s="49" t="n">
        <f aca="false">IFERROR(AC331/Z331,0)</f>
        <v>84.1614822342361</v>
      </c>
    </row>
    <row r="332" customFormat="false" ht="15" hidden="false" customHeight="false" outlineLevel="0" collapsed="false">
      <c r="A332" s="43" t="n">
        <v>329</v>
      </c>
      <c r="B332" s="45" t="n">
        <f aca="false">SUM('Activation Detail'!C332,'Activation Detail'!C832,'Activation Detail'!C1332,'Activation Detail'!C1832,'Activation Detail'!C2332,'Activation Detail'!C2832,'Activation Detail'!C3332,'Activation Detail'!C3832)</f>
        <v>3737177</v>
      </c>
      <c r="C332" s="45" t="n">
        <f aca="false">SUM('Activation Detail'!E332,'Activation Detail'!E832,'Activation Detail'!E1332,'Activation Detail'!E1832,'Activation Detail'!E2332,'Activation Detail'!E2832,'Activation Detail'!E3332,'Activation Detail'!E3832)</f>
        <v>382160</v>
      </c>
      <c r="D332" s="45" t="n">
        <f aca="false">SUM('Activation Detail'!G332,'Activation Detail'!G832,'Activation Detail'!G1332,'Activation Detail'!G1832,'Activation Detail'!G2332,'Activation Detail'!G2832,'Activation Detail'!G3332,'Activation Detail'!G3832)</f>
        <v>14202</v>
      </c>
      <c r="E332" s="48" t="n">
        <f aca="false">SUM('Activation Detail'!H332,'Activation Detail'!H832,'Activation Detail'!H1332,'Activation Detail'!H1832,'Activation Detail'!H2332,'Activation Detail'!H2832,'Activation Detail'!H3332,'Activation Detail'!H3832)</f>
        <v>609.876782419458</v>
      </c>
      <c r="F332" s="50" t="n">
        <f aca="false">SUM('Activation Detail'!I332,'Activation Detail'!I832,'Activation Detail'!I1332,'Activation Detail'!I1832,'Activation Detail'!I2332,'Activation Detail'!I2832,'Activation Detail'!I3332,'Activation Detail'!I3832)</f>
        <v>71567.389128</v>
      </c>
      <c r="G332" s="50" t="n">
        <f aca="false">SUM('Activation Detail'!J332,'Activation Detail'!J832,'Activation Detail'!J1332,'Activation Detail'!J1832,'Activation Detail'!J2332,'Activation Detail'!J2832,'Activation Detail'!J3332,'Activation Detail'!J3832)</f>
        <v>3810229.63723772</v>
      </c>
      <c r="H332" s="50" t="n">
        <f aca="false">SUM('Activation Detail'!K332,'Activation Detail'!K832,'Activation Detail'!K1332,'Activation Detail'!K1832,'Activation Detail'!K2332,'Activation Detail'!K2832,'Activation Detail'!K3332,'Activation Detail'!K3832)</f>
        <v>82166.2986927616</v>
      </c>
      <c r="I332" s="51" t="n">
        <f aca="false">IFERROR(H332/F332,0)</f>
        <v>1.14809691528365</v>
      </c>
      <c r="J332" s="49" t="n">
        <f aca="false">IFERROR(F332/E332,0)</f>
        <v>117.347292422058</v>
      </c>
      <c r="K332" s="46" t="n">
        <f aca="false">IFERROR(C332/B332,0)</f>
        <v>0.102259004590898</v>
      </c>
      <c r="L332" s="47" t="n">
        <f aca="false">IFERROR(D332/B332,0)</f>
        <v>0.00380019463889455</v>
      </c>
      <c r="N332" s="48" t="n">
        <f aca="false">SUMIFS('Activation Detail'!$H$4:$H$4003,'Activation Detail'!$A$4:$A$4003,$A332,'Activation Detail'!$N$4:$N$4003,N$2)</f>
        <v>72.1582976136737</v>
      </c>
      <c r="O332" s="50" t="n">
        <f aca="false">N332*'Model Inputs &amp; Assumptions'!$D$40*'Model Inputs &amp; Assumptions'!$H$40</f>
        <v>613345.529716226</v>
      </c>
      <c r="P332" s="50" t="n">
        <f aca="false">N332*'Model Inputs &amp; Assumptions'!$G$40*'Model Inputs &amp; Assumptions'!$H$40</f>
        <v>13800.2744186151</v>
      </c>
      <c r="Q332" s="50" t="n">
        <f aca="false">SUMIFS('Activation Detail'!$I$4:$I$4003,'Activation Detail'!$A$4:$A$4003,$A332,'Activation Detail'!$N$4:$N$4003,N$2)</f>
        <v>17844.5535</v>
      </c>
      <c r="R332" s="51" t="n">
        <f aca="false">IFERROR(P332/Q332,0)</f>
        <v>0.773360589751662</v>
      </c>
      <c r="S332" s="49" t="n">
        <f aca="false">IFERROR(Q332/N332,0)</f>
        <v>247.297318397636</v>
      </c>
      <c r="T332" s="48" t="n">
        <f aca="false">SUMIFS('Activation Detail'!$H$4:$H$4003,'Activation Detail'!$A$4:$A$4003,$A332,'Activation Detail'!$N$4:$N$4003,T$2)</f>
        <v>162.891271983477</v>
      </c>
      <c r="U332" s="50" t="n">
        <f aca="false">T332*'Model Inputs &amp; Assumptions'!$D$41*'Model Inputs &amp; Assumptions'!$H$41</f>
        <v>1172817.15828104</v>
      </c>
      <c r="V332" s="50" t="n">
        <f aca="false">T332*'Model Inputs &amp; Assumptions'!$G$41*'Model Inputs &amp; Assumptions'!$H$41</f>
        <v>25860.6183400968</v>
      </c>
      <c r="W332" s="50" t="n">
        <f aca="false">SUMIFS('Activation Detail'!$I$4:$I$4003,'Activation Detail'!$A$4:$A$4003,$A332,'Activation Detail'!$N$4:$N$4003,T$2)</f>
        <v>15502.411628</v>
      </c>
      <c r="X332" s="51" t="n">
        <f aca="false">IFERROR(V332/W332,0)</f>
        <v>1.66816744134107</v>
      </c>
      <c r="Y332" s="49" t="n">
        <f aca="false">IFERROR(W332/T332,0)</f>
        <v>95.1703024921586</v>
      </c>
      <c r="Z332" s="48" t="n">
        <f aca="false">SUMIFS('Activation Detail'!$H$4:$H$4003,'Activation Detail'!$A$4:$A$4003,$A332,'Activation Detail'!$N$4:$N$4003,Z$2)</f>
        <v>374.827212822307</v>
      </c>
      <c r="AA332" s="50" t="n">
        <f aca="false">Z332*'Model Inputs &amp; Assumptions'!$D$42*'Model Inputs &amp; Assumptions'!$H$42</f>
        <v>2024066.94924046</v>
      </c>
      <c r="AB332" s="50" t="n">
        <f aca="false">Z332*'Model Inputs &amp; Assumptions'!$G$42*'Model Inputs &amp; Assumptions'!$H$42</f>
        <v>42505.4059340497</v>
      </c>
      <c r="AC332" s="50" t="n">
        <f aca="false">SUMIFS('Activation Detail'!$I$4:$I$4003,'Activation Detail'!$A$4:$A$4003,$A332,'Activation Detail'!$N$4:$N$4003,Z$2)</f>
        <v>38220.424</v>
      </c>
      <c r="AD332" s="51" t="n">
        <f aca="false">IFERROR(AB332/AC332,0)</f>
        <v>1.1121123599793</v>
      </c>
      <c r="AE332" s="49" t="n">
        <f aca="false">IFERROR(AC332/Z332,0)</f>
        <v>101.968114087061</v>
      </c>
    </row>
    <row r="333" customFormat="false" ht="15" hidden="false" customHeight="false" outlineLevel="0" collapsed="false">
      <c r="A333" s="43" t="n">
        <v>330</v>
      </c>
      <c r="B333" s="45" t="n">
        <f aca="false">SUM('Activation Detail'!C333,'Activation Detail'!C833,'Activation Detail'!C1333,'Activation Detail'!C1833,'Activation Detail'!C2333,'Activation Detail'!C2833,'Activation Detail'!C3333,'Activation Detail'!C3833)</f>
        <v>5428043</v>
      </c>
      <c r="C333" s="45" t="n">
        <f aca="false">SUM('Activation Detail'!E333,'Activation Detail'!E833,'Activation Detail'!E1333,'Activation Detail'!E1833,'Activation Detail'!E2333,'Activation Detail'!E2833,'Activation Detail'!E3333,'Activation Detail'!E3833)</f>
        <v>285494</v>
      </c>
      <c r="D333" s="45" t="n">
        <f aca="false">SUM('Activation Detail'!G333,'Activation Detail'!G833,'Activation Detail'!G1333,'Activation Detail'!G1833,'Activation Detail'!G2333,'Activation Detail'!G2833,'Activation Detail'!G3333,'Activation Detail'!G3833)</f>
        <v>19714</v>
      </c>
      <c r="E333" s="48" t="n">
        <f aca="false">SUM('Activation Detail'!H333,'Activation Detail'!H833,'Activation Detail'!H1333,'Activation Detail'!H1833,'Activation Detail'!H2333,'Activation Detail'!H2833,'Activation Detail'!H3333,'Activation Detail'!H3833)</f>
        <v>737.79832604212</v>
      </c>
      <c r="F333" s="50" t="n">
        <f aca="false">SUM('Activation Detail'!I333,'Activation Detail'!I833,'Activation Detail'!I1333,'Activation Detail'!I1833,'Activation Detail'!I2333,'Activation Detail'!I2833,'Activation Detail'!I3333,'Activation Detail'!I3833)</f>
        <v>77474.088976</v>
      </c>
      <c r="G333" s="50" t="n">
        <f aca="false">SUM('Activation Detail'!J333,'Activation Detail'!J833,'Activation Detail'!J1333,'Activation Detail'!J1833,'Activation Detail'!J2333,'Activation Detail'!J2833,'Activation Detail'!J3333,'Activation Detail'!J3833)</f>
        <v>4651192.68105735</v>
      </c>
      <c r="H333" s="50" t="n">
        <f aca="false">SUM('Activation Detail'!K333,'Activation Detail'!K833,'Activation Detail'!K1333,'Activation Detail'!K1833,'Activation Detail'!K2333,'Activation Detail'!K2833,'Activation Detail'!K3333,'Activation Detail'!K3833)</f>
        <v>100447.93805843</v>
      </c>
      <c r="I333" s="51" t="n">
        <f aca="false">IFERROR(H333/F333,0)</f>
        <v>1.29653590492102</v>
      </c>
      <c r="J333" s="49" t="n">
        <f aca="false">IFERROR(F333/E333,0)</f>
        <v>105.007135746167</v>
      </c>
      <c r="K333" s="46" t="n">
        <f aca="false">IFERROR(C333/B333,0)</f>
        <v>0.0525961198170317</v>
      </c>
      <c r="L333" s="47" t="n">
        <f aca="false">IFERROR(D333/B333,0)</f>
        <v>0.0036318798506202</v>
      </c>
      <c r="N333" s="48" t="n">
        <f aca="false">SUMIFS('Activation Detail'!$H$4:$H$4003,'Activation Detail'!$A$4:$A$4003,$A333,'Activation Detail'!$N$4:$N$4003,N$2)</f>
        <v>106.85729474015</v>
      </c>
      <c r="O333" s="50" t="n">
        <f aca="false">N333*'Model Inputs &amp; Assumptions'!$D$40*'Model Inputs &amp; Assumptions'!$H$40</f>
        <v>908287.005291274</v>
      </c>
      <c r="P333" s="50" t="n">
        <f aca="false">N333*'Model Inputs &amp; Assumptions'!$G$40*'Model Inputs &amp; Assumptions'!$H$40</f>
        <v>20436.4576190537</v>
      </c>
      <c r="Q333" s="50" t="n">
        <f aca="false">SUMIFS('Activation Detail'!$I$4:$I$4003,'Activation Detail'!$A$4:$A$4003,$A333,'Activation Detail'!$N$4:$N$4003,N$2)</f>
        <v>18476.8475</v>
      </c>
      <c r="R333" s="51" t="n">
        <f aca="false">IFERROR(P333/Q333,0)</f>
        <v>1.10605760095458</v>
      </c>
      <c r="S333" s="49" t="n">
        <f aca="false">IFERROR(Q333/N333,0)</f>
        <v>172.911428694981</v>
      </c>
      <c r="T333" s="48" t="n">
        <f aca="false">SUMIFS('Activation Detail'!$H$4:$H$4003,'Activation Detail'!$A$4:$A$4003,$A333,'Activation Detail'!$N$4:$N$4003,T$2)</f>
        <v>186.568948186351</v>
      </c>
      <c r="U333" s="50" t="n">
        <f aca="false">T333*'Model Inputs &amp; Assumptions'!$D$41*'Model Inputs &amp; Assumptions'!$H$41</f>
        <v>1343296.42694172</v>
      </c>
      <c r="V333" s="50" t="n">
        <f aca="false">T333*'Model Inputs &amp; Assumptions'!$G$41*'Model Inputs &amp; Assumptions'!$H$41</f>
        <v>29619.686214065</v>
      </c>
      <c r="W333" s="50" t="n">
        <f aca="false">SUMIFS('Activation Detail'!$I$4:$I$4003,'Activation Detail'!$A$4:$A$4003,$A333,'Activation Detail'!$N$4:$N$4003,T$2)</f>
        <v>17141.189476</v>
      </c>
      <c r="X333" s="51" t="n">
        <f aca="false">IFERROR(V333/W333,0)</f>
        <v>1.72798312833171</v>
      </c>
      <c r="Y333" s="49" t="n">
        <f aca="false">IFERROR(W333/T333,0)</f>
        <v>91.8758970484139</v>
      </c>
      <c r="Z333" s="48" t="n">
        <f aca="false">SUMIFS('Activation Detail'!$H$4:$H$4003,'Activation Detail'!$A$4:$A$4003,$A333,'Activation Detail'!$N$4:$N$4003,Z$2)</f>
        <v>444.37208311562</v>
      </c>
      <c r="AA333" s="50" t="n">
        <f aca="false">Z333*'Model Inputs &amp; Assumptions'!$D$42*'Model Inputs &amp; Assumptions'!$H$42</f>
        <v>2399609.24882435</v>
      </c>
      <c r="AB333" s="50" t="n">
        <f aca="false">Z333*'Model Inputs &amp; Assumptions'!$G$42*'Model Inputs &amp; Assumptions'!$H$42</f>
        <v>50391.7942253113</v>
      </c>
      <c r="AC333" s="50" t="n">
        <f aca="false">SUMIFS('Activation Detail'!$I$4:$I$4003,'Activation Detail'!$A$4:$A$4003,$A333,'Activation Detail'!$N$4:$N$4003,Z$2)</f>
        <v>41856.052</v>
      </c>
      <c r="AD333" s="51" t="n">
        <f aca="false">IFERROR(AB333/AC333,0)</f>
        <v>1.20393089690617</v>
      </c>
      <c r="AE333" s="49" t="n">
        <f aca="false">IFERROR(AC333/Z333,0)</f>
        <v>94.1914525920153</v>
      </c>
    </row>
    <row r="334" customFormat="false" ht="15" hidden="false" customHeight="false" outlineLevel="0" collapsed="false">
      <c r="A334" s="43" t="n">
        <v>331</v>
      </c>
      <c r="B334" s="45" t="n">
        <f aca="false">SUM('Activation Detail'!C334,'Activation Detail'!C834,'Activation Detail'!C1334,'Activation Detail'!C1834,'Activation Detail'!C2334,'Activation Detail'!C2834,'Activation Detail'!C3334,'Activation Detail'!C3834)</f>
        <v>4865672</v>
      </c>
      <c r="C334" s="45" t="n">
        <f aca="false">SUM('Activation Detail'!E334,'Activation Detail'!E834,'Activation Detail'!E1334,'Activation Detail'!E1834,'Activation Detail'!E2334,'Activation Detail'!E2834,'Activation Detail'!E3334,'Activation Detail'!E3834)</f>
        <v>289058</v>
      </c>
      <c r="D334" s="45" t="n">
        <f aca="false">SUM('Activation Detail'!G334,'Activation Detail'!G834,'Activation Detail'!G1334,'Activation Detail'!G1834,'Activation Detail'!G2334,'Activation Detail'!G2834,'Activation Detail'!G3334,'Activation Detail'!G3834)</f>
        <v>16340</v>
      </c>
      <c r="E334" s="48" t="n">
        <f aca="false">SUM('Activation Detail'!H334,'Activation Detail'!H834,'Activation Detail'!H1334,'Activation Detail'!H1834,'Activation Detail'!H2334,'Activation Detail'!H2834,'Activation Detail'!H3334,'Activation Detail'!H3834)</f>
        <v>655.79824969726</v>
      </c>
      <c r="F334" s="50" t="n">
        <f aca="false">SUM('Activation Detail'!I334,'Activation Detail'!I834,'Activation Detail'!I1334,'Activation Detail'!I1834,'Activation Detail'!I2334,'Activation Detail'!I2834,'Activation Detail'!I3334,'Activation Detail'!I3834)</f>
        <v>80746.982488</v>
      </c>
      <c r="G334" s="50" t="n">
        <f aca="false">SUM('Activation Detail'!J334,'Activation Detail'!J834,'Activation Detail'!J1334,'Activation Detail'!J1834,'Activation Detail'!J2334,'Activation Detail'!J2834,'Activation Detail'!J3334,'Activation Detail'!J3834)</f>
        <v>3992730.83765615</v>
      </c>
      <c r="H334" s="50" t="n">
        <f aca="false">SUM('Activation Detail'!K334,'Activation Detail'!K834,'Activation Detail'!K1334,'Activation Detail'!K1834,'Activation Detail'!K2334,'Activation Detail'!K2834,'Activation Detail'!K3334,'Activation Detail'!K3834)</f>
        <v>85726.5839330921</v>
      </c>
      <c r="I334" s="51" t="n">
        <f aca="false">IFERROR(H334/F334,0)</f>
        <v>1.06166919545052</v>
      </c>
      <c r="J334" s="49" t="n">
        <f aca="false">IFERROR(F334/E334,0)</f>
        <v>123.127779809226</v>
      </c>
      <c r="K334" s="46" t="n">
        <f aca="false">IFERROR(C334/B334,0)</f>
        <v>0.0594076213933039</v>
      </c>
      <c r="L334" s="47" t="n">
        <f aca="false">IFERROR(D334/B334,0)</f>
        <v>0.00335822061166474</v>
      </c>
      <c r="N334" s="48" t="n">
        <f aca="false">SUMIFS('Activation Detail'!$H$4:$H$4003,'Activation Detail'!$A$4:$A$4003,$A334,'Activation Detail'!$N$4:$N$4003,N$2)</f>
        <v>61.9587878110563</v>
      </c>
      <c r="O334" s="50" t="n">
        <f aca="false">N334*'Model Inputs &amp; Assumptions'!$D$40*'Model Inputs &amp; Assumptions'!$H$40</f>
        <v>526649.696393978</v>
      </c>
      <c r="P334" s="50" t="n">
        <f aca="false">N334*'Model Inputs &amp; Assumptions'!$G$40*'Model Inputs &amp; Assumptions'!$H$40</f>
        <v>11849.6181688645</v>
      </c>
      <c r="Q334" s="50" t="n">
        <f aca="false">SUMIFS('Activation Detail'!$I$4:$I$4003,'Activation Detail'!$A$4:$A$4003,$A334,'Activation Detail'!$N$4:$N$4003,N$2)</f>
        <v>17620.544</v>
      </c>
      <c r="R334" s="51" t="n">
        <f aca="false">IFERROR(P334/Q334,0)</f>
        <v>0.672488781780205</v>
      </c>
      <c r="S334" s="49" t="n">
        <f aca="false">IFERROR(Q334/N334,0)</f>
        <v>284.391361137245</v>
      </c>
      <c r="T334" s="48" t="n">
        <f aca="false">SUMIFS('Activation Detail'!$H$4:$H$4003,'Activation Detail'!$A$4:$A$4003,$A334,'Activation Detail'!$N$4:$N$4003,T$2)</f>
        <v>144.08224837593</v>
      </c>
      <c r="U334" s="50" t="n">
        <f aca="false">T334*'Model Inputs &amp; Assumptions'!$D$41*'Model Inputs &amp; Assumptions'!$H$41</f>
        <v>1037392.18830669</v>
      </c>
      <c r="V334" s="50" t="n">
        <f aca="false">T334*'Model Inputs &amp; Assumptions'!$G$41*'Model Inputs &amp; Assumptions'!$H$41</f>
        <v>22874.4977521626</v>
      </c>
      <c r="W334" s="50" t="n">
        <f aca="false">SUMIFS('Activation Detail'!$I$4:$I$4003,'Activation Detail'!$A$4:$A$4003,$A334,'Activation Detail'!$N$4:$N$4003,T$2)</f>
        <v>14359.970488</v>
      </c>
      <c r="X334" s="51" t="n">
        <f aca="false">IFERROR(V334/W334,0)</f>
        <v>1.59293487206522</v>
      </c>
      <c r="Y334" s="49" t="n">
        <f aca="false">IFERROR(W334/T334,0)</f>
        <v>99.6650916394152</v>
      </c>
      <c r="Z334" s="48" t="n">
        <f aca="false">SUMIFS('Activation Detail'!$H$4:$H$4003,'Activation Detail'!$A$4:$A$4003,$A334,'Activation Detail'!$N$4:$N$4003,Z$2)</f>
        <v>449.757213510274</v>
      </c>
      <c r="AA334" s="50" t="n">
        <f aca="false">Z334*'Model Inputs &amp; Assumptions'!$D$42*'Model Inputs &amp; Assumptions'!$H$42</f>
        <v>2428688.95295548</v>
      </c>
      <c r="AB334" s="50" t="n">
        <f aca="false">Z334*'Model Inputs &amp; Assumptions'!$G$42*'Model Inputs &amp; Assumptions'!$H$42</f>
        <v>51002.4680120651</v>
      </c>
      <c r="AC334" s="50" t="n">
        <f aca="false">SUMIFS('Activation Detail'!$I$4:$I$4003,'Activation Detail'!$A$4:$A$4003,$A334,'Activation Detail'!$N$4:$N$4003,Z$2)</f>
        <v>48766.468</v>
      </c>
      <c r="AD334" s="51" t="n">
        <f aca="false">IFERROR(AB334/AC334,0)</f>
        <v>1.04585117815104</v>
      </c>
      <c r="AE334" s="49" t="n">
        <f aca="false">IFERROR(AC334/Z334,0)</f>
        <v>108.428428794697</v>
      </c>
    </row>
    <row r="335" customFormat="false" ht="15" hidden="false" customHeight="false" outlineLevel="0" collapsed="false">
      <c r="A335" s="43" t="n">
        <v>332</v>
      </c>
      <c r="B335" s="45" t="n">
        <f aca="false">SUM('Activation Detail'!C335,'Activation Detail'!C835,'Activation Detail'!C1335,'Activation Detail'!C1835,'Activation Detail'!C2335,'Activation Detail'!C2835,'Activation Detail'!C3335,'Activation Detail'!C3835)</f>
        <v>4749231</v>
      </c>
      <c r="C335" s="45" t="n">
        <f aca="false">SUM('Activation Detail'!E335,'Activation Detail'!E835,'Activation Detail'!E1335,'Activation Detail'!E1835,'Activation Detail'!E2335,'Activation Detail'!E2835,'Activation Detail'!E3335,'Activation Detail'!E3835)</f>
        <v>318246</v>
      </c>
      <c r="D335" s="45" t="n">
        <f aca="false">SUM('Activation Detail'!G335,'Activation Detail'!G835,'Activation Detail'!G1335,'Activation Detail'!G1835,'Activation Detail'!G2335,'Activation Detail'!G2835,'Activation Detail'!G3335,'Activation Detail'!G3835)</f>
        <v>19168</v>
      </c>
      <c r="E335" s="48" t="n">
        <f aca="false">SUM('Activation Detail'!H335,'Activation Detail'!H835,'Activation Detail'!H1335,'Activation Detail'!H1835,'Activation Detail'!H2335,'Activation Detail'!H2835,'Activation Detail'!H3335,'Activation Detail'!H3835)</f>
        <v>704.772226823415</v>
      </c>
      <c r="F335" s="50" t="n">
        <f aca="false">SUM('Activation Detail'!I335,'Activation Detail'!I835,'Activation Detail'!I1335,'Activation Detail'!I1835,'Activation Detail'!I2335,'Activation Detail'!I2835,'Activation Detail'!I3335,'Activation Detail'!I3835)</f>
        <v>73274.280182</v>
      </c>
      <c r="G335" s="50" t="n">
        <f aca="false">SUM('Activation Detail'!J335,'Activation Detail'!J835,'Activation Detail'!J1335,'Activation Detail'!J1835,'Activation Detail'!J2335,'Activation Detail'!J2835,'Activation Detail'!J3335,'Activation Detail'!J3835)</f>
        <v>4401792.06590031</v>
      </c>
      <c r="H335" s="50" t="n">
        <f aca="false">SUM('Activation Detail'!K335,'Activation Detail'!K835,'Activation Detail'!K1335,'Activation Detail'!K1835,'Activation Detail'!K2335,'Activation Detail'!K2835,'Activation Detail'!K3335,'Activation Detail'!K3835)</f>
        <v>94912.0483333034</v>
      </c>
      <c r="I335" s="51" t="n">
        <f aca="false">IFERROR(H335/F335,0)</f>
        <v>1.29529826970062</v>
      </c>
      <c r="J335" s="49" t="n">
        <f aca="false">IFERROR(F335/E335,0)</f>
        <v>103.96873967674</v>
      </c>
      <c r="K335" s="46" t="n">
        <f aca="false">IFERROR(C335/B335,0)</f>
        <v>0.0670100064620988</v>
      </c>
      <c r="L335" s="47" t="n">
        <f aca="false">IFERROR(D335/B335,0)</f>
        <v>0.00403602183174497</v>
      </c>
      <c r="N335" s="48" t="n">
        <f aca="false">SUMIFS('Activation Detail'!$H$4:$H$4003,'Activation Detail'!$A$4:$A$4003,$A335,'Activation Detail'!$N$4:$N$4003,N$2)</f>
        <v>106.954159367629</v>
      </c>
      <c r="O335" s="50" t="n">
        <f aca="false">N335*'Model Inputs &amp; Assumptions'!$D$40*'Model Inputs &amp; Assumptions'!$H$40</f>
        <v>909110.354624849</v>
      </c>
      <c r="P335" s="50" t="n">
        <f aca="false">N335*'Model Inputs &amp; Assumptions'!$G$40*'Model Inputs &amp; Assumptions'!$H$40</f>
        <v>20454.9829790591</v>
      </c>
      <c r="Q335" s="50" t="n">
        <f aca="false">SUMIFS('Activation Detail'!$I$4:$I$4003,'Activation Detail'!$A$4:$A$4003,$A335,'Activation Detail'!$N$4:$N$4003,N$2)</f>
        <v>18096.0125</v>
      </c>
      <c r="R335" s="51" t="n">
        <f aca="false">IFERROR(P335/Q335,0)</f>
        <v>1.13035857922065</v>
      </c>
      <c r="S335" s="49" t="n">
        <f aca="false">IFERROR(Q335/N335,0)</f>
        <v>169.194097798472</v>
      </c>
      <c r="T335" s="48" t="n">
        <f aca="false">SUMIFS('Activation Detail'!$H$4:$H$4003,'Activation Detail'!$A$4:$A$4003,$A335,'Activation Detail'!$N$4:$N$4003,T$2)</f>
        <v>146.924526119008</v>
      </c>
      <c r="U335" s="50" t="n">
        <f aca="false">T335*'Model Inputs &amp; Assumptions'!$D$41*'Model Inputs &amp; Assumptions'!$H$41</f>
        <v>1057856.58805686</v>
      </c>
      <c r="V335" s="50" t="n">
        <f aca="false">T335*'Model Inputs &amp; Assumptions'!$G$41*'Model Inputs &amp; Assumptions'!$H$41</f>
        <v>23325.7377666537</v>
      </c>
      <c r="W335" s="50" t="n">
        <f aca="false">SUMIFS('Activation Detail'!$I$4:$I$4003,'Activation Detail'!$A$4:$A$4003,$A335,'Activation Detail'!$N$4:$N$4003,T$2)</f>
        <v>17705.875682</v>
      </c>
      <c r="X335" s="51" t="n">
        <f aca="false">IFERROR(V335/W335,0)</f>
        <v>1.31740096822022</v>
      </c>
      <c r="Y335" s="49" t="n">
        <f aca="false">IFERROR(W335/T335,0)</f>
        <v>120.51000707437</v>
      </c>
      <c r="Z335" s="48" t="n">
        <f aca="false">SUMIFS('Activation Detail'!$H$4:$H$4003,'Activation Detail'!$A$4:$A$4003,$A335,'Activation Detail'!$N$4:$N$4003,Z$2)</f>
        <v>450.893541336778</v>
      </c>
      <c r="AA335" s="50" t="n">
        <f aca="false">Z335*'Model Inputs &amp; Assumptions'!$D$42*'Model Inputs &amp; Assumptions'!$H$42</f>
        <v>2434825.1232186</v>
      </c>
      <c r="AB335" s="50" t="n">
        <f aca="false">Z335*'Model Inputs &amp; Assumptions'!$G$42*'Model Inputs &amp; Assumptions'!$H$42</f>
        <v>51131.3275875906</v>
      </c>
      <c r="AC335" s="50" t="n">
        <f aca="false">SUMIFS('Activation Detail'!$I$4:$I$4003,'Activation Detail'!$A$4:$A$4003,$A335,'Activation Detail'!$N$4:$N$4003,Z$2)</f>
        <v>37472.392</v>
      </c>
      <c r="AD335" s="51" t="n">
        <f aca="false">IFERROR(AB335/AC335,0)</f>
        <v>1.36450663698199</v>
      </c>
      <c r="AE335" s="49" t="n">
        <f aca="false">IFERROR(AC335/Z335,0)</f>
        <v>83.1069610997408</v>
      </c>
    </row>
    <row r="336" customFormat="false" ht="15" hidden="false" customHeight="false" outlineLevel="0" collapsed="false">
      <c r="A336" s="43" t="n">
        <v>333</v>
      </c>
      <c r="B336" s="45" t="n">
        <f aca="false">SUM('Activation Detail'!C336,'Activation Detail'!C836,'Activation Detail'!C1336,'Activation Detail'!C1836,'Activation Detail'!C2336,'Activation Detail'!C2836,'Activation Detail'!C3336,'Activation Detail'!C3836)</f>
        <v>3644472</v>
      </c>
      <c r="C336" s="45" t="n">
        <f aca="false">SUM('Activation Detail'!E336,'Activation Detail'!E836,'Activation Detail'!E1336,'Activation Detail'!E1836,'Activation Detail'!E2336,'Activation Detail'!E2836,'Activation Detail'!E3336,'Activation Detail'!E3836)</f>
        <v>374908</v>
      </c>
      <c r="D336" s="45" t="n">
        <f aca="false">SUM('Activation Detail'!G336,'Activation Detail'!G836,'Activation Detail'!G1336,'Activation Detail'!G1836,'Activation Detail'!G2336,'Activation Detail'!G2836,'Activation Detail'!G3336,'Activation Detail'!G3836)</f>
        <v>13441</v>
      </c>
      <c r="E336" s="48" t="n">
        <f aca="false">SUM('Activation Detail'!H336,'Activation Detail'!H836,'Activation Detail'!H1336,'Activation Detail'!H1836,'Activation Detail'!H2336,'Activation Detail'!H2836,'Activation Detail'!H3336,'Activation Detail'!H3836)</f>
        <v>505.764655743694</v>
      </c>
      <c r="F336" s="50" t="n">
        <f aca="false">SUM('Activation Detail'!I336,'Activation Detail'!I836,'Activation Detail'!I1336,'Activation Detail'!I1836,'Activation Detail'!I2336,'Activation Detail'!I2836,'Activation Detail'!I3336,'Activation Detail'!I3836)</f>
        <v>69661.885042</v>
      </c>
      <c r="G336" s="50" t="n">
        <f aca="false">SUM('Activation Detail'!J336,'Activation Detail'!J836,'Activation Detail'!J1336,'Activation Detail'!J1836,'Activation Detail'!J2336,'Activation Detail'!J2836,'Activation Detail'!J3336,'Activation Detail'!J3836)</f>
        <v>3310706.11921375</v>
      </c>
      <c r="H336" s="50" t="n">
        <f aca="false">SUM('Activation Detail'!K336,'Activation Detail'!K836,'Activation Detail'!K1336,'Activation Detail'!K1836,'Activation Detail'!K2336,'Activation Detail'!K2836,'Activation Detail'!K3336,'Activation Detail'!K3836)</f>
        <v>71933.5295746382</v>
      </c>
      <c r="I336" s="51" t="n">
        <f aca="false">IFERROR(H336/F336,0)</f>
        <v>1.03260957597212</v>
      </c>
      <c r="J336" s="49" t="n">
        <f aca="false">IFERROR(F336/E336,0)</f>
        <v>137.735771471747</v>
      </c>
      <c r="K336" s="46" t="n">
        <f aca="false">IFERROR(C336/B336,0)</f>
        <v>0.102870319760997</v>
      </c>
      <c r="L336" s="47" t="n">
        <f aca="false">IFERROR(D336/B336,0)</f>
        <v>0.00368805138302613</v>
      </c>
      <c r="N336" s="48" t="n">
        <f aca="false">SUMIFS('Activation Detail'!$H$4:$H$4003,'Activation Detail'!$A$4:$A$4003,$A336,'Activation Detail'!$N$4:$N$4003,N$2)</f>
        <v>94.5268047454892</v>
      </c>
      <c r="O336" s="50" t="n">
        <f aca="false">N336*'Model Inputs &amp; Assumptions'!$D$40*'Model Inputs &amp; Assumptions'!$H$40</f>
        <v>803477.840336658</v>
      </c>
      <c r="P336" s="50" t="n">
        <f aca="false">N336*'Model Inputs &amp; Assumptions'!$G$40*'Model Inputs &amp; Assumptions'!$H$40</f>
        <v>18078.2514075748</v>
      </c>
      <c r="Q336" s="50" t="n">
        <f aca="false">SUMIFS('Activation Detail'!$I$4:$I$4003,'Activation Detail'!$A$4:$A$4003,$A336,'Activation Detail'!$N$4:$N$4003,N$2)</f>
        <v>17518.1625</v>
      </c>
      <c r="R336" s="51" t="n">
        <f aca="false">IFERROR(P336/Q336,0)</f>
        <v>1.03197189816996</v>
      </c>
      <c r="S336" s="49" t="n">
        <f aca="false">IFERROR(Q336/N336,0)</f>
        <v>185.324813920953</v>
      </c>
      <c r="T336" s="48" t="n">
        <f aca="false">SUMIFS('Activation Detail'!$H$4:$H$4003,'Activation Detail'!$A$4:$A$4003,$A336,'Activation Detail'!$N$4:$N$4003,T$2)</f>
        <v>159.191046381549</v>
      </c>
      <c r="U336" s="50" t="n">
        <f aca="false">T336*'Model Inputs &amp; Assumptions'!$D$41*'Model Inputs &amp; Assumptions'!$H$41</f>
        <v>1146175.53394715</v>
      </c>
      <c r="V336" s="50" t="n">
        <f aca="false">T336*'Model Inputs &amp; Assumptions'!$G$41*'Model Inputs &amp; Assumptions'!$H$41</f>
        <v>25273.1705235347</v>
      </c>
      <c r="W336" s="50" t="n">
        <f aca="false">SUMIFS('Activation Detail'!$I$4:$I$4003,'Activation Detail'!$A$4:$A$4003,$A336,'Activation Detail'!$N$4:$N$4003,T$2)</f>
        <v>17399.818542</v>
      </c>
      <c r="X336" s="51" t="n">
        <f aca="false">IFERROR(V336/W336,0)</f>
        <v>1.45249621210301</v>
      </c>
      <c r="Y336" s="49" t="n">
        <f aca="false">IFERROR(W336/T336,0)</f>
        <v>109.301489860781</v>
      </c>
      <c r="Z336" s="48" t="n">
        <f aca="false">SUMIFS('Activation Detail'!$H$4:$H$4003,'Activation Detail'!$A$4:$A$4003,$A336,'Activation Detail'!$N$4:$N$4003,Z$2)</f>
        <v>252.046804616655</v>
      </c>
      <c r="AA336" s="50" t="n">
        <f aca="false">Z336*'Model Inputs &amp; Assumptions'!$D$42*'Model Inputs &amp; Assumptions'!$H$42</f>
        <v>1361052.74492994</v>
      </c>
      <c r="AB336" s="50" t="n">
        <f aca="false">Z336*'Model Inputs &amp; Assumptions'!$G$42*'Model Inputs &amp; Assumptions'!$H$42</f>
        <v>28582.1076435287</v>
      </c>
      <c r="AC336" s="50" t="n">
        <f aca="false">SUMIFS('Activation Detail'!$I$4:$I$4003,'Activation Detail'!$A$4:$A$4003,$A336,'Activation Detail'!$N$4:$N$4003,Z$2)</f>
        <v>34743.904</v>
      </c>
      <c r="AD336" s="51" t="n">
        <f aca="false">IFERROR(AB336/AC336,0)</f>
        <v>0.822651007886987</v>
      </c>
      <c r="AE336" s="49" t="n">
        <f aca="false">IFERROR(AC336/Z336,0)</f>
        <v>137.84703223214</v>
      </c>
    </row>
    <row r="337" customFormat="false" ht="15" hidden="false" customHeight="false" outlineLevel="0" collapsed="false">
      <c r="A337" s="43" t="n">
        <v>334</v>
      </c>
      <c r="B337" s="45" t="n">
        <f aca="false">SUM('Activation Detail'!C337,'Activation Detail'!C837,'Activation Detail'!C1337,'Activation Detail'!C1837,'Activation Detail'!C2337,'Activation Detail'!C2837,'Activation Detail'!C3337,'Activation Detail'!C3837)</f>
        <v>4820916</v>
      </c>
      <c r="C337" s="45" t="n">
        <f aca="false">SUM('Activation Detail'!E337,'Activation Detail'!E837,'Activation Detail'!E1337,'Activation Detail'!E1837,'Activation Detail'!E2337,'Activation Detail'!E2837,'Activation Detail'!E3337,'Activation Detail'!E3837)</f>
        <v>500265</v>
      </c>
      <c r="D337" s="45" t="n">
        <f aca="false">SUM('Activation Detail'!G337,'Activation Detail'!G837,'Activation Detail'!G1337,'Activation Detail'!G1837,'Activation Detail'!G2337,'Activation Detail'!G2837,'Activation Detail'!G3337,'Activation Detail'!G3837)</f>
        <v>19968</v>
      </c>
      <c r="E337" s="48" t="n">
        <f aca="false">SUM('Activation Detail'!H337,'Activation Detail'!H837,'Activation Detail'!H1337,'Activation Detail'!H1837,'Activation Detail'!H2337,'Activation Detail'!H2837,'Activation Detail'!H3337,'Activation Detail'!H3837)</f>
        <v>655.541152264634</v>
      </c>
      <c r="F337" s="50" t="n">
        <f aca="false">SUM('Activation Detail'!I337,'Activation Detail'!I837,'Activation Detail'!I1337,'Activation Detail'!I1837,'Activation Detail'!I2337,'Activation Detail'!I2837,'Activation Detail'!I3337,'Activation Detail'!I3837)</f>
        <v>72924.66398</v>
      </c>
      <c r="G337" s="50" t="n">
        <f aca="false">SUM('Activation Detail'!J337,'Activation Detail'!J837,'Activation Detail'!J1337,'Activation Detail'!J1837,'Activation Detail'!J2337,'Activation Detail'!J2837,'Activation Detail'!J3337,'Activation Detail'!J3837)</f>
        <v>4149179.38663527</v>
      </c>
      <c r="H337" s="50" t="n">
        <f aca="false">SUM('Activation Detail'!K337,'Activation Detail'!K837,'Activation Detail'!K1337,'Activation Detail'!K1837,'Activation Detail'!K2337,'Activation Detail'!K2837,'Activation Detail'!K3337,'Activation Detail'!K3837)</f>
        <v>89665.7719825607</v>
      </c>
      <c r="I337" s="51" t="n">
        <f aca="false">IFERROR(H337/F337,0)</f>
        <v>1.22956715998242</v>
      </c>
      <c r="J337" s="49" t="n">
        <f aca="false">IFERROR(F337/E337,0)</f>
        <v>111.243456994384</v>
      </c>
      <c r="K337" s="46" t="n">
        <f aca="false">IFERROR(C337/B337,0)</f>
        <v>0.103769698538618</v>
      </c>
      <c r="L337" s="47" t="n">
        <f aca="false">IFERROR(D337/B337,0)</f>
        <v>0.00414195144657156</v>
      </c>
      <c r="N337" s="48" t="n">
        <f aca="false">SUMIFS('Activation Detail'!$H$4:$H$4003,'Activation Detail'!$A$4:$A$4003,$A337,'Activation Detail'!$N$4:$N$4003,N$2)</f>
        <v>95.8341751341542</v>
      </c>
      <c r="O337" s="50" t="n">
        <f aca="false">N337*'Model Inputs &amp; Assumptions'!$D$40*'Model Inputs &amp; Assumptions'!$H$40</f>
        <v>814590.488640311</v>
      </c>
      <c r="P337" s="50" t="n">
        <f aca="false">N337*'Model Inputs &amp; Assumptions'!$G$40*'Model Inputs &amp; Assumptions'!$H$40</f>
        <v>18328.285994407</v>
      </c>
      <c r="Q337" s="50" t="n">
        <f aca="false">SUMIFS('Activation Detail'!$I$4:$I$4003,'Activation Detail'!$A$4:$A$4003,$A337,'Activation Detail'!$N$4:$N$4003,N$2)</f>
        <v>18144.002</v>
      </c>
      <c r="R337" s="51" t="n">
        <f aca="false">IFERROR(P337/Q337,0)</f>
        <v>1.01015674460392</v>
      </c>
      <c r="S337" s="49" t="n">
        <f aca="false">IFERROR(Q337/N337,0)</f>
        <v>189.32705347128</v>
      </c>
      <c r="T337" s="48" t="n">
        <f aca="false">SUMIFS('Activation Detail'!$H$4:$H$4003,'Activation Detail'!$A$4:$A$4003,$A337,'Activation Detail'!$N$4:$N$4003,T$2)</f>
        <v>173.428456383537</v>
      </c>
      <c r="U337" s="50" t="n">
        <f aca="false">T337*'Model Inputs &amp; Assumptions'!$D$41*'Model Inputs &amp; Assumptions'!$H$41</f>
        <v>1248684.88596147</v>
      </c>
      <c r="V337" s="50" t="n">
        <f aca="false">T337*'Model Inputs &amp; Assumptions'!$G$41*'Model Inputs &amp; Assumptions'!$H$41</f>
        <v>27533.5017354504</v>
      </c>
      <c r="W337" s="50" t="n">
        <f aca="false">SUMIFS('Activation Detail'!$I$4:$I$4003,'Activation Detail'!$A$4:$A$4003,$A337,'Activation Detail'!$N$4:$N$4003,T$2)</f>
        <v>20064.42998</v>
      </c>
      <c r="X337" s="51" t="n">
        <f aca="false">IFERROR(V337/W337,0)</f>
        <v>1.3722543706896</v>
      </c>
      <c r="Y337" s="49" t="n">
        <f aca="false">IFERROR(W337/T337,0)</f>
        <v>115.692836103133</v>
      </c>
      <c r="Z337" s="48" t="n">
        <f aca="false">SUMIFS('Activation Detail'!$H$4:$H$4003,'Activation Detail'!$A$4:$A$4003,$A337,'Activation Detail'!$N$4:$N$4003,Z$2)</f>
        <v>386.278520746943</v>
      </c>
      <c r="AA337" s="50" t="n">
        <f aca="false">Z337*'Model Inputs &amp; Assumptions'!$D$42*'Model Inputs &amp; Assumptions'!$H$42</f>
        <v>2085904.01203349</v>
      </c>
      <c r="AB337" s="50" t="n">
        <f aca="false">Z337*'Model Inputs &amp; Assumptions'!$G$42*'Model Inputs &amp; Assumptions'!$H$42</f>
        <v>43803.9842527033</v>
      </c>
      <c r="AC337" s="50" t="n">
        <f aca="false">SUMIFS('Activation Detail'!$I$4:$I$4003,'Activation Detail'!$A$4:$A$4003,$A337,'Activation Detail'!$N$4:$N$4003,Z$2)</f>
        <v>34716.232</v>
      </c>
      <c r="AD337" s="51" t="n">
        <f aca="false">IFERROR(AB337/AC337,0)</f>
        <v>1.26177242543786</v>
      </c>
      <c r="AE337" s="49" t="n">
        <f aca="false">IFERROR(AC337/Z337,0)</f>
        <v>89.8735760219584</v>
      </c>
    </row>
    <row r="338" customFormat="false" ht="15" hidden="false" customHeight="false" outlineLevel="0" collapsed="false">
      <c r="A338" s="43" t="n">
        <v>335</v>
      </c>
      <c r="B338" s="45" t="n">
        <f aca="false">SUM('Activation Detail'!C338,'Activation Detail'!C838,'Activation Detail'!C1338,'Activation Detail'!C1838,'Activation Detail'!C2338,'Activation Detail'!C2838,'Activation Detail'!C3338,'Activation Detail'!C3838)</f>
        <v>3453131</v>
      </c>
      <c r="C338" s="45" t="n">
        <f aca="false">SUM('Activation Detail'!E338,'Activation Detail'!E838,'Activation Detail'!E1338,'Activation Detail'!E1838,'Activation Detail'!E2338,'Activation Detail'!E2838,'Activation Detail'!E3338,'Activation Detail'!E3838)</f>
        <v>313214</v>
      </c>
      <c r="D338" s="45" t="n">
        <f aca="false">SUM('Activation Detail'!G338,'Activation Detail'!G838,'Activation Detail'!G1338,'Activation Detail'!G1838,'Activation Detail'!G2338,'Activation Detail'!G2838,'Activation Detail'!G3338,'Activation Detail'!G3838)</f>
        <v>11244</v>
      </c>
      <c r="E338" s="48" t="n">
        <f aca="false">SUM('Activation Detail'!H338,'Activation Detail'!H838,'Activation Detail'!H1338,'Activation Detail'!H1838,'Activation Detail'!H2338,'Activation Detail'!H2838,'Activation Detail'!H3338,'Activation Detail'!H3838)</f>
        <v>512.438422815988</v>
      </c>
      <c r="F338" s="50" t="n">
        <f aca="false">SUM('Activation Detail'!I338,'Activation Detail'!I838,'Activation Detail'!I1338,'Activation Detail'!I1838,'Activation Detail'!I2338,'Activation Detail'!I2838,'Activation Detail'!I3338,'Activation Detail'!I3838)</f>
        <v>71747.825864</v>
      </c>
      <c r="G338" s="50" t="n">
        <f aca="false">SUM('Activation Detail'!J338,'Activation Detail'!J838,'Activation Detail'!J1338,'Activation Detail'!J1838,'Activation Detail'!J2338,'Activation Detail'!J2838,'Activation Detail'!J3338,'Activation Detail'!J3838)</f>
        <v>3411793.08543876</v>
      </c>
      <c r="H338" s="50" t="n">
        <f aca="false">SUM('Activation Detail'!K338,'Activation Detail'!K838,'Activation Detail'!K1338,'Activation Detail'!K1838,'Activation Detail'!K2338,'Activation Detail'!K2838,'Activation Detail'!K3338,'Activation Detail'!K3838)</f>
        <v>74329.314429211</v>
      </c>
      <c r="I338" s="51" t="n">
        <f aca="false">IFERROR(H338/F338,0)</f>
        <v>1.03598002495719</v>
      </c>
      <c r="J338" s="49" t="n">
        <f aca="false">IFERROR(F338/E338,0)</f>
        <v>140.012580379368</v>
      </c>
      <c r="K338" s="46" t="n">
        <f aca="false">IFERROR(C338/B338,0)</f>
        <v>0.0907043491833933</v>
      </c>
      <c r="L338" s="47" t="n">
        <f aca="false">IFERROR(D338/B338,0)</f>
        <v>0.00325617533768629</v>
      </c>
      <c r="N338" s="48" t="n">
        <f aca="false">SUMIFS('Activation Detail'!$H$4:$H$4003,'Activation Detail'!$A$4:$A$4003,$A338,'Activation Detail'!$N$4:$N$4003,N$2)</f>
        <v>95.4366458481296</v>
      </c>
      <c r="O338" s="50" t="n">
        <f aca="false">N338*'Model Inputs &amp; Assumptions'!$D$40*'Model Inputs &amp; Assumptions'!$H$40</f>
        <v>811211.489709102</v>
      </c>
      <c r="P338" s="50" t="n">
        <f aca="false">N338*'Model Inputs &amp; Assumptions'!$G$40*'Model Inputs &amp; Assumptions'!$H$40</f>
        <v>18252.2585184548</v>
      </c>
      <c r="Q338" s="50" t="n">
        <f aca="false">SUMIFS('Activation Detail'!$I$4:$I$4003,'Activation Detail'!$A$4:$A$4003,$A338,'Activation Detail'!$N$4:$N$4003,N$2)</f>
        <v>18556.2255</v>
      </c>
      <c r="R338" s="51" t="n">
        <f aca="false">IFERROR(P338/Q338,0)</f>
        <v>0.983619137332363</v>
      </c>
      <c r="S338" s="49" t="n">
        <f aca="false">IFERROR(Q338/N338,0)</f>
        <v>194.435013249826</v>
      </c>
      <c r="T338" s="48" t="n">
        <f aca="false">SUMIFS('Activation Detail'!$H$4:$H$4003,'Activation Detail'!$A$4:$A$4003,$A338,'Activation Detail'!$N$4:$N$4003,T$2)</f>
        <v>193.762222279565</v>
      </c>
      <c r="U338" s="50" t="n">
        <f aca="false">T338*'Model Inputs &amp; Assumptions'!$D$41*'Model Inputs &amp; Assumptions'!$H$41</f>
        <v>1395088.00041287</v>
      </c>
      <c r="V338" s="50" t="n">
        <f aca="false">T338*'Model Inputs &amp; Assumptions'!$G$41*'Model Inputs &amp; Assumptions'!$H$41</f>
        <v>30761.6904091037</v>
      </c>
      <c r="W338" s="50" t="n">
        <f aca="false">SUMIFS('Activation Detail'!$I$4:$I$4003,'Activation Detail'!$A$4:$A$4003,$A338,'Activation Detail'!$N$4:$N$4003,T$2)</f>
        <v>15619.848364</v>
      </c>
      <c r="X338" s="51" t="n">
        <f aca="false">IFERROR(V338/W338,0)</f>
        <v>1.96939750580435</v>
      </c>
      <c r="Y338" s="49" t="n">
        <f aca="false">IFERROR(W338/T338,0)</f>
        <v>80.613486882202</v>
      </c>
      <c r="Z338" s="48" t="n">
        <f aca="false">SUMIFS('Activation Detail'!$H$4:$H$4003,'Activation Detail'!$A$4:$A$4003,$A338,'Activation Detail'!$N$4:$N$4003,Z$2)</f>
        <v>223.239554688294</v>
      </c>
      <c r="AA338" s="50" t="n">
        <f aca="false">Z338*'Model Inputs &amp; Assumptions'!$D$42*'Model Inputs &amp; Assumptions'!$H$42</f>
        <v>1205493.59531679</v>
      </c>
      <c r="AB338" s="50" t="n">
        <f aca="false">Z338*'Model Inputs &amp; Assumptions'!$G$42*'Model Inputs &amp; Assumptions'!$H$42</f>
        <v>25315.3655016525</v>
      </c>
      <c r="AC338" s="50" t="n">
        <f aca="false">SUMIFS('Activation Detail'!$I$4:$I$4003,'Activation Detail'!$A$4:$A$4003,$A338,'Activation Detail'!$N$4:$N$4003,Z$2)</f>
        <v>37571.752</v>
      </c>
      <c r="AD338" s="51" t="n">
        <f aca="false">IFERROR(AB338/AC338,0)</f>
        <v>0.673787197936697</v>
      </c>
      <c r="AE338" s="49" t="n">
        <f aca="false">IFERROR(AC338/Z338,0)</f>
        <v>168.30239628663</v>
      </c>
    </row>
    <row r="339" customFormat="false" ht="15" hidden="false" customHeight="false" outlineLevel="0" collapsed="false">
      <c r="A339" s="43" t="n">
        <v>336</v>
      </c>
      <c r="B339" s="45" t="n">
        <f aca="false">SUM('Activation Detail'!C339,'Activation Detail'!C839,'Activation Detail'!C1339,'Activation Detail'!C1839,'Activation Detail'!C2339,'Activation Detail'!C2839,'Activation Detail'!C3339,'Activation Detail'!C3839)</f>
        <v>3538380</v>
      </c>
      <c r="C339" s="45" t="n">
        <f aca="false">SUM('Activation Detail'!E339,'Activation Detail'!E839,'Activation Detail'!E1339,'Activation Detail'!E1839,'Activation Detail'!E2339,'Activation Detail'!E2839,'Activation Detail'!E3339,'Activation Detail'!E3839)</f>
        <v>274396</v>
      </c>
      <c r="D339" s="45" t="n">
        <f aca="false">SUM('Activation Detail'!G339,'Activation Detail'!G839,'Activation Detail'!G1339,'Activation Detail'!G1839,'Activation Detail'!G2339,'Activation Detail'!G2839,'Activation Detail'!G3339,'Activation Detail'!G3839)</f>
        <v>12677</v>
      </c>
      <c r="E339" s="48" t="n">
        <f aca="false">SUM('Activation Detail'!H339,'Activation Detail'!H839,'Activation Detail'!H1339,'Activation Detail'!H1839,'Activation Detail'!H2339,'Activation Detail'!H2839,'Activation Detail'!H3339,'Activation Detail'!H3839)</f>
        <v>543.962897221421</v>
      </c>
      <c r="F339" s="50" t="n">
        <f aca="false">SUM('Activation Detail'!I339,'Activation Detail'!I839,'Activation Detail'!I1339,'Activation Detail'!I1839,'Activation Detail'!I2339,'Activation Detail'!I2839,'Activation Detail'!I3339,'Activation Detail'!I3839)</f>
        <v>71689.220994</v>
      </c>
      <c r="G339" s="50" t="n">
        <f aca="false">SUM('Activation Detail'!J339,'Activation Detail'!J839,'Activation Detail'!J1339,'Activation Detail'!J1839,'Activation Detail'!J2339,'Activation Detail'!J2839,'Activation Detail'!J3339,'Activation Detail'!J3839)</f>
        <v>3332674.39027667</v>
      </c>
      <c r="H339" s="50" t="n">
        <f aca="false">SUM('Activation Detail'!K339,'Activation Detail'!K839,'Activation Detail'!K1339,'Activation Detail'!K1839,'Activation Detail'!K2339,'Activation Detail'!K2839,'Activation Detail'!K3339,'Activation Detail'!K3839)</f>
        <v>71628.6131035139</v>
      </c>
      <c r="I339" s="51" t="n">
        <f aca="false">IFERROR(H339/F339,0)</f>
        <v>0.999154574569988</v>
      </c>
      <c r="J339" s="49" t="n">
        <f aca="false">IFERROR(F339/E339,0)</f>
        <v>131.790644840284</v>
      </c>
      <c r="K339" s="46" t="n">
        <f aca="false">IFERROR(C339/B339,0)</f>
        <v>0.0775484826389478</v>
      </c>
      <c r="L339" s="47" t="n">
        <f aca="false">IFERROR(D339/B339,0)</f>
        <v>0.00358271299295158</v>
      </c>
      <c r="N339" s="48" t="n">
        <f aca="false">SUMIFS('Activation Detail'!$H$4:$H$4003,'Activation Detail'!$A$4:$A$4003,$A339,'Activation Detail'!$N$4:$N$4003,N$2)</f>
        <v>65.5667499125842</v>
      </c>
      <c r="O339" s="50" t="n">
        <f aca="false">N339*'Model Inputs &amp; Assumptions'!$D$40*'Model Inputs &amp; Assumptions'!$H$40</f>
        <v>557317.374256966</v>
      </c>
      <c r="P339" s="50" t="n">
        <f aca="false">N339*'Model Inputs &amp; Assumptions'!$G$40*'Model Inputs &amp; Assumptions'!$H$40</f>
        <v>12539.6409207817</v>
      </c>
      <c r="Q339" s="50" t="n">
        <f aca="false">SUMIFS('Activation Detail'!$I$4:$I$4003,'Activation Detail'!$A$4:$A$4003,$A339,'Activation Detail'!$N$4:$N$4003,N$2)</f>
        <v>19376.324</v>
      </c>
      <c r="R339" s="51" t="n">
        <f aca="false">IFERROR(P339/Q339,0)</f>
        <v>0.647163049130564</v>
      </c>
      <c r="S339" s="49" t="n">
        <f aca="false">IFERROR(Q339/N339,0)</f>
        <v>295.520580566113</v>
      </c>
      <c r="T339" s="48" t="n">
        <f aca="false">SUMIFS('Activation Detail'!$H$4:$H$4003,'Activation Detail'!$A$4:$A$4003,$A339,'Activation Detail'!$N$4:$N$4003,T$2)</f>
        <v>106.676566973326</v>
      </c>
      <c r="U339" s="50" t="n">
        <f aca="false">T339*'Model Inputs &amp; Assumptions'!$D$41*'Model Inputs &amp; Assumptions'!$H$41</f>
        <v>768071.282207947</v>
      </c>
      <c r="V339" s="50" t="n">
        <f aca="false">T339*'Model Inputs &amp; Assumptions'!$G$41*'Model Inputs &amp; Assumptions'!$H$41</f>
        <v>16935.9717726852</v>
      </c>
      <c r="W339" s="50" t="n">
        <f aca="false">SUMIFS('Activation Detail'!$I$4:$I$4003,'Activation Detail'!$A$4:$A$4003,$A339,'Activation Detail'!$N$4:$N$4003,T$2)</f>
        <v>15007.268994</v>
      </c>
      <c r="X339" s="51" t="n">
        <f aca="false">IFERROR(V339/W339,0)</f>
        <v>1.12851790552007</v>
      </c>
      <c r="Y339" s="49" t="n">
        <f aca="false">IFERROR(W339/T339,0)</f>
        <v>140.680089543494</v>
      </c>
      <c r="Z339" s="48" t="n">
        <f aca="false">SUMIFS('Activation Detail'!$H$4:$H$4003,'Activation Detail'!$A$4:$A$4003,$A339,'Activation Detail'!$N$4:$N$4003,Z$2)</f>
        <v>371.719580335511</v>
      </c>
      <c r="AA339" s="50" t="n">
        <f aca="false">Z339*'Model Inputs &amp; Assumptions'!$D$42*'Model Inputs &amp; Assumptions'!$H$42</f>
        <v>2007285.73381176</v>
      </c>
      <c r="AB339" s="50" t="n">
        <f aca="false">Z339*'Model Inputs &amp; Assumptions'!$G$42*'Model Inputs &amp; Assumptions'!$H$42</f>
        <v>42153.000410047</v>
      </c>
      <c r="AC339" s="50" t="n">
        <f aca="false">SUMIFS('Activation Detail'!$I$4:$I$4003,'Activation Detail'!$A$4:$A$4003,$A339,'Activation Detail'!$N$4:$N$4003,Z$2)</f>
        <v>37305.628</v>
      </c>
      <c r="AD339" s="51" t="n">
        <f aca="false">IFERROR(AB339/AC339,0)</f>
        <v>1.12993675940925</v>
      </c>
      <c r="AE339" s="49" t="n">
        <f aca="false">IFERROR(AC339/Z339,0)</f>
        <v>100.35959893834</v>
      </c>
    </row>
    <row r="340" customFormat="false" ht="15" hidden="false" customHeight="false" outlineLevel="0" collapsed="false">
      <c r="A340" s="43" t="n">
        <v>337</v>
      </c>
      <c r="B340" s="45" t="n">
        <f aca="false">SUM('Activation Detail'!C340,'Activation Detail'!C840,'Activation Detail'!C1340,'Activation Detail'!C1840,'Activation Detail'!C2340,'Activation Detail'!C2840,'Activation Detail'!C3340,'Activation Detail'!C3840)</f>
        <v>3725167</v>
      </c>
      <c r="C340" s="45" t="n">
        <f aca="false">SUM('Activation Detail'!E340,'Activation Detail'!E840,'Activation Detail'!E1340,'Activation Detail'!E1840,'Activation Detail'!E2340,'Activation Detail'!E2840,'Activation Detail'!E3340,'Activation Detail'!E3840)</f>
        <v>288698</v>
      </c>
      <c r="D340" s="45" t="n">
        <f aca="false">SUM('Activation Detail'!G340,'Activation Detail'!G840,'Activation Detail'!G1340,'Activation Detail'!G1840,'Activation Detail'!G2340,'Activation Detail'!G2840,'Activation Detail'!G3340,'Activation Detail'!G3840)</f>
        <v>15098</v>
      </c>
      <c r="E340" s="48" t="n">
        <f aca="false">SUM('Activation Detail'!H340,'Activation Detail'!H840,'Activation Detail'!H1340,'Activation Detail'!H1840,'Activation Detail'!H2340,'Activation Detail'!H2840,'Activation Detail'!H3340,'Activation Detail'!H3840)</f>
        <v>630.057171420956</v>
      </c>
      <c r="F340" s="50" t="n">
        <f aca="false">SUM('Activation Detail'!I340,'Activation Detail'!I840,'Activation Detail'!I1340,'Activation Detail'!I1840,'Activation Detail'!I2340,'Activation Detail'!I2840,'Activation Detail'!I3340,'Activation Detail'!I3840)</f>
        <v>74231.576538</v>
      </c>
      <c r="G340" s="50" t="n">
        <f aca="false">SUM('Activation Detail'!J340,'Activation Detail'!J840,'Activation Detail'!J1340,'Activation Detail'!J1840,'Activation Detail'!J2340,'Activation Detail'!J2840,'Activation Detail'!J3340,'Activation Detail'!J3840)</f>
        <v>3909976.17866763</v>
      </c>
      <c r="H340" s="50" t="n">
        <f aca="false">SUM('Activation Detail'!K340,'Activation Detail'!K840,'Activation Detail'!K1340,'Activation Detail'!K1840,'Activation Detail'!K2340,'Activation Detail'!K2840,'Activation Detail'!K3340,'Activation Detail'!K3840)</f>
        <v>84219.7241854974</v>
      </c>
      <c r="I340" s="51" t="n">
        <f aca="false">IFERROR(H340/F340,0)</f>
        <v>1.13455389354939</v>
      </c>
      <c r="J340" s="49" t="n">
        <f aca="false">IFERROR(F340/E340,0)</f>
        <v>117.817207556875</v>
      </c>
      <c r="K340" s="46" t="n">
        <f aca="false">IFERROR(C340/B340,0)</f>
        <v>0.0774993443246974</v>
      </c>
      <c r="L340" s="47" t="n">
        <f aca="false">IFERROR(D340/B340,0)</f>
        <v>0.00405297265867544</v>
      </c>
      <c r="N340" s="48" t="n">
        <f aca="false">SUMIFS('Activation Detail'!$H$4:$H$4003,'Activation Detail'!$A$4:$A$4003,$A340,'Activation Detail'!$N$4:$N$4003,N$2)</f>
        <v>81.403218887078</v>
      </c>
      <c r="O340" s="50" t="n">
        <f aca="false">N340*'Model Inputs &amp; Assumptions'!$D$40*'Model Inputs &amp; Assumptions'!$H$40</f>
        <v>691927.360540163</v>
      </c>
      <c r="P340" s="50" t="n">
        <f aca="false">N340*'Model Inputs &amp; Assumptions'!$G$40*'Model Inputs &amp; Assumptions'!$H$40</f>
        <v>15568.3656121537</v>
      </c>
      <c r="Q340" s="50" t="n">
        <f aca="false">SUMIFS('Activation Detail'!$I$4:$I$4003,'Activation Detail'!$A$4:$A$4003,$A340,'Activation Detail'!$N$4:$N$4003,N$2)</f>
        <v>17894.649</v>
      </c>
      <c r="R340" s="51" t="n">
        <f aca="false">IFERROR(P340/Q340,0)</f>
        <v>0.870001172537873</v>
      </c>
      <c r="S340" s="49" t="n">
        <f aca="false">IFERROR(Q340/N340,0)</f>
        <v>219.827289935836</v>
      </c>
      <c r="T340" s="48" t="n">
        <f aca="false">SUMIFS('Activation Detail'!$H$4:$H$4003,'Activation Detail'!$A$4:$A$4003,$A340,'Activation Detail'!$N$4:$N$4003,T$2)</f>
        <v>141.84304135807</v>
      </c>
      <c r="U340" s="50" t="n">
        <f aca="false">T340*'Model Inputs &amp; Assumptions'!$D$41*'Model Inputs &amp; Assumptions'!$H$41</f>
        <v>1021269.89777811</v>
      </c>
      <c r="V340" s="50" t="n">
        <f aca="false">T340*'Model Inputs &amp; Assumptions'!$G$41*'Model Inputs &amp; Assumptions'!$H$41</f>
        <v>22519.0012460073</v>
      </c>
      <c r="W340" s="50" t="n">
        <f aca="false">SUMIFS('Activation Detail'!$I$4:$I$4003,'Activation Detail'!$A$4:$A$4003,$A340,'Activation Detail'!$N$4:$N$4003,T$2)</f>
        <v>15138.619538</v>
      </c>
      <c r="X340" s="51" t="n">
        <f aca="false">IFERROR(V340/W340,0)</f>
        <v>1.48752012622297</v>
      </c>
      <c r="Y340" s="49" t="n">
        <f aca="false">IFERROR(W340/T340,0)</f>
        <v>106.727967710336</v>
      </c>
      <c r="Z340" s="48" t="n">
        <f aca="false">SUMIFS('Activation Detail'!$H$4:$H$4003,'Activation Detail'!$A$4:$A$4003,$A340,'Activation Detail'!$N$4:$N$4003,Z$2)</f>
        <v>406.810911175807</v>
      </c>
      <c r="AA340" s="50" t="n">
        <f aca="false">Z340*'Model Inputs &amp; Assumptions'!$D$42*'Model Inputs &amp; Assumptions'!$H$42</f>
        <v>2196778.92034936</v>
      </c>
      <c r="AB340" s="50" t="n">
        <f aca="false">Z340*'Model Inputs &amp; Assumptions'!$G$42*'Model Inputs &amp; Assumptions'!$H$42</f>
        <v>46132.3573273365</v>
      </c>
      <c r="AC340" s="50" t="n">
        <f aca="false">SUMIFS('Activation Detail'!$I$4:$I$4003,'Activation Detail'!$A$4:$A$4003,$A340,'Activation Detail'!$N$4:$N$4003,Z$2)</f>
        <v>41198.308</v>
      </c>
      <c r="AD340" s="51" t="n">
        <f aca="false">IFERROR(AB340/AC340,0)</f>
        <v>1.1197633972574</v>
      </c>
      <c r="AE340" s="49" t="n">
        <f aca="false">IFERROR(AC340/Z340,0)</f>
        <v>101.271393829935</v>
      </c>
    </row>
    <row r="341" customFormat="false" ht="15" hidden="false" customHeight="false" outlineLevel="0" collapsed="false">
      <c r="A341" s="43" t="n">
        <v>338</v>
      </c>
      <c r="B341" s="45" t="n">
        <f aca="false">SUM('Activation Detail'!C341,'Activation Detail'!C841,'Activation Detail'!C1341,'Activation Detail'!C1841,'Activation Detail'!C2341,'Activation Detail'!C2841,'Activation Detail'!C3341,'Activation Detail'!C3841)</f>
        <v>4272218</v>
      </c>
      <c r="C341" s="45" t="n">
        <f aca="false">SUM('Activation Detail'!E341,'Activation Detail'!E841,'Activation Detail'!E1341,'Activation Detail'!E1841,'Activation Detail'!E2341,'Activation Detail'!E2841,'Activation Detail'!E3341,'Activation Detail'!E3841)</f>
        <v>384084</v>
      </c>
      <c r="D341" s="45" t="n">
        <f aca="false">SUM('Activation Detail'!G341,'Activation Detail'!G841,'Activation Detail'!G1341,'Activation Detail'!G1841,'Activation Detail'!G2341,'Activation Detail'!G2841,'Activation Detail'!G3341,'Activation Detail'!G3841)</f>
        <v>19096</v>
      </c>
      <c r="E341" s="48" t="n">
        <f aca="false">SUM('Activation Detail'!H341,'Activation Detail'!H841,'Activation Detail'!H1341,'Activation Detail'!H1841,'Activation Detail'!H2341,'Activation Detail'!H2841,'Activation Detail'!H3341,'Activation Detail'!H3841)</f>
        <v>1089.83396083877</v>
      </c>
      <c r="F341" s="50" t="n">
        <f aca="false">SUM('Activation Detail'!I341,'Activation Detail'!I841,'Activation Detail'!I1341,'Activation Detail'!I1841,'Activation Detail'!I2341,'Activation Detail'!I2841,'Activation Detail'!I3341,'Activation Detail'!I3841)</f>
        <v>70002.575404</v>
      </c>
      <c r="G341" s="50" t="n">
        <f aca="false">SUM('Activation Detail'!J341,'Activation Detail'!J841,'Activation Detail'!J1341,'Activation Detail'!J1841,'Activation Detail'!J2341,'Activation Detail'!J2841,'Activation Detail'!J3341,'Activation Detail'!J3841)</f>
        <v>6572157.17975047</v>
      </c>
      <c r="H341" s="50" t="n">
        <f aca="false">SUM('Activation Detail'!K341,'Activation Detail'!K841,'Activation Detail'!K1341,'Activation Detail'!K1841,'Activation Detail'!K2341,'Activation Detail'!K2841,'Activation Detail'!K3341,'Activation Detail'!K3841)</f>
        <v>140876.284454983</v>
      </c>
      <c r="I341" s="51" t="n">
        <f aca="false">IFERROR(H341/F341,0)</f>
        <v>2.01244430854087</v>
      </c>
      <c r="J341" s="49" t="n">
        <f aca="false">IFERROR(F341/E341,0)</f>
        <v>64.2323307213919</v>
      </c>
      <c r="K341" s="46" t="n">
        <f aca="false">IFERROR(C341/B341,0)</f>
        <v>0.0899027156385746</v>
      </c>
      <c r="L341" s="47" t="n">
        <f aca="false">IFERROR(D341/B341,0)</f>
        <v>0.00446980935897934</v>
      </c>
      <c r="N341" s="48" t="n">
        <f aca="false">SUMIFS('Activation Detail'!$H$4:$H$4003,'Activation Detail'!$A$4:$A$4003,$A341,'Activation Detail'!$N$4:$N$4003,N$2)</f>
        <v>91.2675663170781</v>
      </c>
      <c r="O341" s="50" t="n">
        <f aca="false">N341*'Model Inputs &amp; Assumptions'!$D$40*'Model Inputs &amp; Assumptions'!$H$40</f>
        <v>775774.313695164</v>
      </c>
      <c r="P341" s="50" t="n">
        <f aca="false">N341*'Model Inputs &amp; Assumptions'!$G$40*'Model Inputs &amp; Assumptions'!$H$40</f>
        <v>17454.9220581412</v>
      </c>
      <c r="Q341" s="50" t="n">
        <f aca="false">SUMIFS('Activation Detail'!$I$4:$I$4003,'Activation Detail'!$A$4:$A$4003,$A341,'Activation Detail'!$N$4:$N$4003,N$2)</f>
        <v>17861.7655</v>
      </c>
      <c r="R341" s="51" t="n">
        <f aca="false">IFERROR(P341/Q341,0)</f>
        <v>0.977222663579431</v>
      </c>
      <c r="S341" s="49" t="n">
        <f aca="false">IFERROR(Q341/N341,0)</f>
        <v>195.707700125863</v>
      </c>
      <c r="T341" s="48" t="n">
        <f aca="false">SUMIFS('Activation Detail'!$H$4:$H$4003,'Activation Detail'!$A$4:$A$4003,$A341,'Activation Detail'!$N$4:$N$4003,T$2)</f>
        <v>224.513519799</v>
      </c>
      <c r="U341" s="50" t="n">
        <f aca="false">T341*'Model Inputs &amp; Assumptions'!$D$41*'Model Inputs &amp; Assumptions'!$H$41</f>
        <v>1616497.3425528</v>
      </c>
      <c r="V341" s="50" t="n">
        <f aca="false">T341*'Model Inputs &amp; Assumptions'!$G$41*'Model Inputs &amp; Assumptions'!$H$41</f>
        <v>35643.7664032892</v>
      </c>
      <c r="W341" s="50" t="n">
        <f aca="false">SUMIFS('Activation Detail'!$I$4:$I$4003,'Activation Detail'!$A$4:$A$4003,$A341,'Activation Detail'!$N$4:$N$4003,T$2)</f>
        <v>16698.013904</v>
      </c>
      <c r="X341" s="51" t="n">
        <f aca="false">IFERROR(V341/W341,0)</f>
        <v>2.13461113448653</v>
      </c>
      <c r="Y341" s="49" t="n">
        <f aca="false">IFERROR(W341/T341,0)</f>
        <v>74.3742021369102</v>
      </c>
      <c r="Z341" s="48" t="n">
        <f aca="false">SUMIFS('Activation Detail'!$H$4:$H$4003,'Activation Detail'!$A$4:$A$4003,$A341,'Activation Detail'!$N$4:$N$4003,Z$2)</f>
        <v>774.052874722687</v>
      </c>
      <c r="AA341" s="50" t="n">
        <f aca="false">Z341*'Model Inputs &amp; Assumptions'!$D$42*'Model Inputs &amp; Assumptions'!$H$42</f>
        <v>4179885.52350251</v>
      </c>
      <c r="AB341" s="50" t="n">
        <f aca="false">Z341*'Model Inputs &amp; Assumptions'!$G$42*'Model Inputs &amp; Assumptions'!$H$42</f>
        <v>87777.5959935527</v>
      </c>
      <c r="AC341" s="50" t="n">
        <f aca="false">SUMIFS('Activation Detail'!$I$4:$I$4003,'Activation Detail'!$A$4:$A$4003,$A341,'Activation Detail'!$N$4:$N$4003,Z$2)</f>
        <v>35442.796</v>
      </c>
      <c r="AD341" s="51" t="n">
        <f aca="false">IFERROR(AB341/AC341,0)</f>
        <v>2.47659908077096</v>
      </c>
      <c r="AE341" s="49" t="n">
        <f aca="false">IFERROR(AC341/Z341,0)</f>
        <v>45.7885981144347</v>
      </c>
    </row>
    <row r="342" customFormat="false" ht="15" hidden="false" customHeight="false" outlineLevel="0" collapsed="false">
      <c r="A342" s="43" t="n">
        <v>339</v>
      </c>
      <c r="B342" s="45" t="n">
        <f aca="false">SUM('Activation Detail'!C342,'Activation Detail'!C842,'Activation Detail'!C1342,'Activation Detail'!C1842,'Activation Detail'!C2342,'Activation Detail'!C2842,'Activation Detail'!C3342,'Activation Detail'!C3842)</f>
        <v>4337386</v>
      </c>
      <c r="C342" s="45" t="n">
        <f aca="false">SUM('Activation Detail'!E342,'Activation Detail'!E842,'Activation Detail'!E1342,'Activation Detail'!E1842,'Activation Detail'!E2342,'Activation Detail'!E2842,'Activation Detail'!E3342,'Activation Detail'!E3842)</f>
        <v>419666</v>
      </c>
      <c r="D342" s="45" t="n">
        <f aca="false">SUM('Activation Detail'!G342,'Activation Detail'!G842,'Activation Detail'!G1342,'Activation Detail'!G1842,'Activation Detail'!G2342,'Activation Detail'!G2842,'Activation Detail'!G3342,'Activation Detail'!G3842)</f>
        <v>15668</v>
      </c>
      <c r="E342" s="48" t="n">
        <f aca="false">SUM('Activation Detail'!H342,'Activation Detail'!H842,'Activation Detail'!H1342,'Activation Detail'!H1842,'Activation Detail'!H2342,'Activation Detail'!H2842,'Activation Detail'!H3342,'Activation Detail'!H3842)</f>
        <v>559.047076920104</v>
      </c>
      <c r="F342" s="50" t="n">
        <f aca="false">SUM('Activation Detail'!I342,'Activation Detail'!I842,'Activation Detail'!I1342,'Activation Detail'!I1842,'Activation Detail'!I2342,'Activation Detail'!I2842,'Activation Detail'!I3342,'Activation Detail'!I3842)</f>
        <v>77075.01652</v>
      </c>
      <c r="G342" s="50" t="n">
        <f aca="false">SUM('Activation Detail'!J342,'Activation Detail'!J842,'Activation Detail'!J1342,'Activation Detail'!J1842,'Activation Detail'!J2342,'Activation Detail'!J2842,'Activation Detail'!J3342,'Activation Detail'!J3842)</f>
        <v>3570842.84397901</v>
      </c>
      <c r="H342" s="50" t="n">
        <f aca="false">SUM('Activation Detail'!K342,'Activation Detail'!K842,'Activation Detail'!K1342,'Activation Detail'!K1842,'Activation Detail'!K2342,'Activation Detail'!K2842,'Activation Detail'!K3342,'Activation Detail'!K3842)</f>
        <v>77286.6424245732</v>
      </c>
      <c r="I342" s="51" t="n">
        <f aca="false">IFERROR(H342/F342,0)</f>
        <v>1.00274571338585</v>
      </c>
      <c r="J342" s="49" t="n">
        <f aca="false">IFERROR(F342/E342,0)</f>
        <v>137.868561883233</v>
      </c>
      <c r="K342" s="46" t="n">
        <f aca="false">IFERROR(C342/B342,0)</f>
        <v>0.0967555112687688</v>
      </c>
      <c r="L342" s="47" t="n">
        <f aca="false">IFERROR(D342/B342,0)</f>
        <v>0.0036123139605283</v>
      </c>
      <c r="N342" s="48" t="n">
        <f aca="false">SUMIFS('Activation Detail'!$H$4:$H$4003,'Activation Detail'!$A$4:$A$4003,$A342,'Activation Detail'!$N$4:$N$4003,N$2)</f>
        <v>71.8871820362832</v>
      </c>
      <c r="O342" s="50" t="n">
        <f aca="false">N342*'Model Inputs &amp; Assumptions'!$D$40*'Model Inputs &amp; Assumptions'!$H$40</f>
        <v>611041.047308407</v>
      </c>
      <c r="P342" s="50" t="n">
        <f aca="false">N342*'Model Inputs &amp; Assumptions'!$G$40*'Model Inputs &amp; Assumptions'!$H$40</f>
        <v>13748.4235644392</v>
      </c>
      <c r="Q342" s="50" t="n">
        <f aca="false">SUMIFS('Activation Detail'!$I$4:$I$4003,'Activation Detail'!$A$4:$A$4003,$A342,'Activation Detail'!$N$4:$N$4003,N$2)</f>
        <v>17949.145</v>
      </c>
      <c r="R342" s="51" t="n">
        <f aca="false">IFERROR(P342/Q342,0)</f>
        <v>0.765965374085459</v>
      </c>
      <c r="S342" s="49" t="n">
        <f aca="false">IFERROR(Q342/N342,0)</f>
        <v>249.684915885848</v>
      </c>
      <c r="T342" s="48" t="n">
        <f aca="false">SUMIFS('Activation Detail'!$H$4:$H$4003,'Activation Detail'!$A$4:$A$4003,$A342,'Activation Detail'!$N$4:$N$4003,T$2)</f>
        <v>182.854646832203</v>
      </c>
      <c r="U342" s="50" t="n">
        <f aca="false">T342*'Model Inputs &amp; Assumptions'!$D$41*'Model Inputs &amp; Assumptions'!$H$41</f>
        <v>1316553.45719186</v>
      </c>
      <c r="V342" s="50" t="n">
        <f aca="false">T342*'Model Inputs &amp; Assumptions'!$G$41*'Model Inputs &amp; Assumptions'!$H$41</f>
        <v>29030.0037310805</v>
      </c>
      <c r="W342" s="50" t="n">
        <f aca="false">SUMIFS('Activation Detail'!$I$4:$I$4003,'Activation Detail'!$A$4:$A$4003,$A342,'Activation Detail'!$N$4:$N$4003,T$2)</f>
        <v>17733.33152</v>
      </c>
      <c r="X342" s="51" t="n">
        <f aca="false">IFERROR(V342/W342,0)</f>
        <v>1.63703045298284</v>
      </c>
      <c r="Y342" s="49" t="n">
        <f aca="false">IFERROR(W342/T342,0)</f>
        <v>96.9804805467868</v>
      </c>
      <c r="Z342" s="48" t="n">
        <f aca="false">SUMIFS('Activation Detail'!$H$4:$H$4003,'Activation Detail'!$A$4:$A$4003,$A342,'Activation Detail'!$N$4:$N$4003,Z$2)</f>
        <v>304.305248051619</v>
      </c>
      <c r="AA342" s="50" t="n">
        <f aca="false">Z342*'Model Inputs &amp; Assumptions'!$D$42*'Model Inputs &amp; Assumptions'!$H$42</f>
        <v>1643248.33947874</v>
      </c>
      <c r="AB342" s="50" t="n">
        <f aca="false">Z342*'Model Inputs &amp; Assumptions'!$G$42*'Model Inputs &amp; Assumptions'!$H$42</f>
        <v>34508.2151290536</v>
      </c>
      <c r="AC342" s="50" t="n">
        <f aca="false">SUMIFS('Activation Detail'!$I$4:$I$4003,'Activation Detail'!$A$4:$A$4003,$A342,'Activation Detail'!$N$4:$N$4003,Z$2)</f>
        <v>41392.54</v>
      </c>
      <c r="AD342" s="51" t="n">
        <f aca="false">IFERROR(AB342/AC342,0)</f>
        <v>0.833681990258475</v>
      </c>
      <c r="AE342" s="49" t="n">
        <f aca="false">IFERROR(AC342/Z342,0)</f>
        <v>136.023089529428</v>
      </c>
    </row>
    <row r="343" customFormat="false" ht="15" hidden="false" customHeight="false" outlineLevel="0" collapsed="false">
      <c r="A343" s="43" t="n">
        <v>340</v>
      </c>
      <c r="B343" s="45" t="n">
        <f aca="false">SUM('Activation Detail'!C343,'Activation Detail'!C843,'Activation Detail'!C1343,'Activation Detail'!C1843,'Activation Detail'!C2343,'Activation Detail'!C2843,'Activation Detail'!C3343,'Activation Detail'!C3843)</f>
        <v>4057240</v>
      </c>
      <c r="C343" s="45" t="n">
        <f aca="false">SUM('Activation Detail'!E343,'Activation Detail'!E843,'Activation Detail'!E1343,'Activation Detail'!E1843,'Activation Detail'!E2343,'Activation Detail'!E2843,'Activation Detail'!E3343,'Activation Detail'!E3843)</f>
        <v>430217</v>
      </c>
      <c r="D343" s="45" t="n">
        <f aca="false">SUM('Activation Detail'!G343,'Activation Detail'!G843,'Activation Detail'!G1343,'Activation Detail'!G1843,'Activation Detail'!G2343,'Activation Detail'!G2843,'Activation Detail'!G3343,'Activation Detail'!G3843)</f>
        <v>22024</v>
      </c>
      <c r="E343" s="48" t="n">
        <f aca="false">SUM('Activation Detail'!H343,'Activation Detail'!H843,'Activation Detail'!H1343,'Activation Detail'!H1843,'Activation Detail'!H2343,'Activation Detail'!H2843,'Activation Detail'!H3343,'Activation Detail'!H3843)</f>
        <v>792.159614565725</v>
      </c>
      <c r="F343" s="50" t="n">
        <f aca="false">SUM('Activation Detail'!I343,'Activation Detail'!I843,'Activation Detail'!I1343,'Activation Detail'!I1843,'Activation Detail'!I2343,'Activation Detail'!I2843,'Activation Detail'!I3343,'Activation Detail'!I3843)</f>
        <v>77287.550318</v>
      </c>
      <c r="G343" s="50" t="n">
        <f aca="false">SUM('Activation Detail'!J343,'Activation Detail'!J843,'Activation Detail'!J1343,'Activation Detail'!J1843,'Activation Detail'!J2343,'Activation Detail'!J2843,'Activation Detail'!J3343,'Activation Detail'!J3843)</f>
        <v>4798362.62849322</v>
      </c>
      <c r="H343" s="50" t="n">
        <f aca="false">SUM('Activation Detail'!K343,'Activation Detail'!K843,'Activation Detail'!K1343,'Activation Detail'!K1843,'Activation Detail'!K2343,'Activation Detail'!K2843,'Activation Detail'!K3343,'Activation Detail'!K3843)</f>
        <v>102926.609465744</v>
      </c>
      <c r="I343" s="51" t="n">
        <f aca="false">IFERROR(H343/F343,0)</f>
        <v>1.3317359528443</v>
      </c>
      <c r="J343" s="49" t="n">
        <f aca="false">IFERROR(F343/E343,0)</f>
        <v>97.5656280588986</v>
      </c>
      <c r="K343" s="46" t="n">
        <f aca="false">IFERROR(C343/B343,0)</f>
        <v>0.106036862497659</v>
      </c>
      <c r="L343" s="47" t="n">
        <f aca="false">IFERROR(D343/B343,0)</f>
        <v>0.00542832073034871</v>
      </c>
      <c r="N343" s="48" t="n">
        <f aca="false">SUMIFS('Activation Detail'!$H$4:$H$4003,'Activation Detail'!$A$4:$A$4003,$A343,'Activation Detail'!$N$4:$N$4003,N$2)</f>
        <v>96.1063479070482</v>
      </c>
      <c r="O343" s="50" t="n">
        <f aca="false">N343*'Model Inputs &amp; Assumptions'!$D$40*'Model Inputs &amp; Assumptions'!$H$40</f>
        <v>816903.95720991</v>
      </c>
      <c r="P343" s="50" t="n">
        <f aca="false">N343*'Model Inputs &amp; Assumptions'!$G$40*'Model Inputs &amp; Assumptions'!$H$40</f>
        <v>18380.339037223</v>
      </c>
      <c r="Q343" s="50" t="n">
        <f aca="false">SUMIFS('Activation Detail'!$I$4:$I$4003,'Activation Detail'!$A$4:$A$4003,$A343,'Activation Detail'!$N$4:$N$4003,N$2)</f>
        <v>17653.5315</v>
      </c>
      <c r="R343" s="51" t="n">
        <f aca="false">IFERROR(P343/Q343,0)</f>
        <v>1.04117065966223</v>
      </c>
      <c r="S343" s="49" t="n">
        <f aca="false">IFERROR(Q343/N343,0)</f>
        <v>183.687465858905</v>
      </c>
      <c r="T343" s="48" t="n">
        <f aca="false">SUMIFS('Activation Detail'!$H$4:$H$4003,'Activation Detail'!$A$4:$A$4003,$A343,'Activation Detail'!$N$4:$N$4003,T$2)</f>
        <v>123.761684070256</v>
      </c>
      <c r="U343" s="50" t="n">
        <f aca="false">T343*'Model Inputs &amp; Assumptions'!$D$41*'Model Inputs &amp; Assumptions'!$H$41</f>
        <v>891084.125305842</v>
      </c>
      <c r="V343" s="50" t="n">
        <f aca="false">T343*'Model Inputs &amp; Assumptions'!$G$41*'Model Inputs &amp; Assumptions'!$H$41</f>
        <v>19648.4049629938</v>
      </c>
      <c r="W343" s="50" t="n">
        <f aca="false">SUMIFS('Activation Detail'!$I$4:$I$4003,'Activation Detail'!$A$4:$A$4003,$A343,'Activation Detail'!$N$4:$N$4003,T$2)</f>
        <v>19230.098818</v>
      </c>
      <c r="X343" s="51" t="n">
        <f aca="false">IFERROR(V343/W343,0)</f>
        <v>1.02175267786988</v>
      </c>
      <c r="Y343" s="49" t="n">
        <f aca="false">IFERROR(W343/T343,0)</f>
        <v>155.380067445459</v>
      </c>
      <c r="Z343" s="48" t="n">
        <f aca="false">SUMIFS('Activation Detail'!$H$4:$H$4003,'Activation Detail'!$A$4:$A$4003,$A343,'Activation Detail'!$N$4:$N$4003,Z$2)</f>
        <v>572.291582588421</v>
      </c>
      <c r="AA343" s="50" t="n">
        <f aca="false">Z343*'Model Inputs &amp; Assumptions'!$D$42*'Model Inputs &amp; Assumptions'!$H$42</f>
        <v>3090374.54597747</v>
      </c>
      <c r="AB343" s="50" t="n">
        <f aca="false">Z343*'Model Inputs &amp; Assumptions'!$G$42*'Model Inputs &amp; Assumptions'!$H$42</f>
        <v>64897.8654655269</v>
      </c>
      <c r="AC343" s="50" t="n">
        <f aca="false">SUMIFS('Activation Detail'!$I$4:$I$4003,'Activation Detail'!$A$4:$A$4003,$A343,'Activation Detail'!$N$4:$N$4003,Z$2)</f>
        <v>40403.92</v>
      </c>
      <c r="AD343" s="51" t="n">
        <f aca="false">IFERROR(AB343/AC343,0)</f>
        <v>1.60622695682812</v>
      </c>
      <c r="AE343" s="49" t="n">
        <f aca="false">IFERROR(AC343/Z343,0)</f>
        <v>70.6002346168659</v>
      </c>
    </row>
    <row r="344" customFormat="false" ht="15" hidden="false" customHeight="false" outlineLevel="0" collapsed="false">
      <c r="A344" s="43" t="n">
        <v>341</v>
      </c>
      <c r="B344" s="45" t="n">
        <f aca="false">SUM('Activation Detail'!C344,'Activation Detail'!C844,'Activation Detail'!C1344,'Activation Detail'!C1844,'Activation Detail'!C2344,'Activation Detail'!C2844,'Activation Detail'!C3344,'Activation Detail'!C3844)</f>
        <v>3420576</v>
      </c>
      <c r="C344" s="45" t="n">
        <f aca="false">SUM('Activation Detail'!E344,'Activation Detail'!E844,'Activation Detail'!E1344,'Activation Detail'!E1844,'Activation Detail'!E2344,'Activation Detail'!E2844,'Activation Detail'!E3344,'Activation Detail'!E3844)</f>
        <v>343645</v>
      </c>
      <c r="D344" s="45" t="n">
        <f aca="false">SUM('Activation Detail'!G344,'Activation Detail'!G844,'Activation Detail'!G1344,'Activation Detail'!G1844,'Activation Detail'!G2344,'Activation Detail'!G2844,'Activation Detail'!G3344,'Activation Detail'!G3844)</f>
        <v>14517</v>
      </c>
      <c r="E344" s="48" t="n">
        <f aca="false">SUM('Activation Detail'!H344,'Activation Detail'!H844,'Activation Detail'!H1344,'Activation Detail'!H1844,'Activation Detail'!H2344,'Activation Detail'!H2844,'Activation Detail'!H3344,'Activation Detail'!H3844)</f>
        <v>617.557522756754</v>
      </c>
      <c r="F344" s="50" t="n">
        <f aca="false">SUM('Activation Detail'!I344,'Activation Detail'!I844,'Activation Detail'!I1344,'Activation Detail'!I1844,'Activation Detail'!I2344,'Activation Detail'!I2844,'Activation Detail'!I3344,'Activation Detail'!I3844)</f>
        <v>70365.799444</v>
      </c>
      <c r="G344" s="50" t="n">
        <f aca="false">SUM('Activation Detail'!J344,'Activation Detail'!J844,'Activation Detail'!J1344,'Activation Detail'!J1844,'Activation Detail'!J2344,'Activation Detail'!J2844,'Activation Detail'!J3344,'Activation Detail'!J3844)</f>
        <v>3872962.32113857</v>
      </c>
      <c r="H344" s="50" t="n">
        <f aca="false">SUM('Activation Detail'!K344,'Activation Detail'!K844,'Activation Detail'!K1344,'Activation Detail'!K1844,'Activation Detail'!K2344,'Activation Detail'!K2844,'Activation Detail'!K3344,'Activation Detail'!K3844)</f>
        <v>83563.8097028553</v>
      </c>
      <c r="I344" s="51" t="n">
        <f aca="false">IFERROR(H344/F344,0)</f>
        <v>1.18756285529533</v>
      </c>
      <c r="J344" s="49" t="n">
        <f aca="false">IFERROR(F344/E344,0)</f>
        <v>113.942097458209</v>
      </c>
      <c r="K344" s="46" t="n">
        <f aca="false">IFERROR(C344/B344,0)</f>
        <v>0.100464073886971</v>
      </c>
      <c r="L344" s="47" t="n">
        <f aca="false">IFERROR(D344/B344,0)</f>
        <v>0.00424402205944262</v>
      </c>
      <c r="N344" s="48" t="n">
        <f aca="false">SUMIFS('Activation Detail'!$H$4:$H$4003,'Activation Detail'!$A$4:$A$4003,$A344,'Activation Detail'!$N$4:$N$4003,N$2)</f>
        <v>106.059902642845</v>
      </c>
      <c r="O344" s="50" t="n">
        <f aca="false">N344*'Model Inputs &amp; Assumptions'!$D$40*'Model Inputs &amp; Assumptions'!$H$40</f>
        <v>901509.172464182</v>
      </c>
      <c r="P344" s="50" t="n">
        <f aca="false">N344*'Model Inputs &amp; Assumptions'!$G$40*'Model Inputs &amp; Assumptions'!$H$40</f>
        <v>20283.9563804441</v>
      </c>
      <c r="Q344" s="50" t="n">
        <f aca="false">SUMIFS('Activation Detail'!$I$4:$I$4003,'Activation Detail'!$A$4:$A$4003,$A344,'Activation Detail'!$N$4:$N$4003,N$2)</f>
        <v>18051.0065</v>
      </c>
      <c r="R344" s="51" t="n">
        <f aca="false">IFERROR(P344/Q344,0)</f>
        <v>1.12370223679461</v>
      </c>
      <c r="S344" s="49" t="n">
        <f aca="false">IFERROR(Q344/N344,0)</f>
        <v>170.196332923164</v>
      </c>
      <c r="T344" s="48" t="n">
        <f aca="false">SUMIFS('Activation Detail'!$H$4:$H$4003,'Activation Detail'!$A$4:$A$4003,$A344,'Activation Detail'!$N$4:$N$4003,T$2)</f>
        <v>116.31444447738</v>
      </c>
      <c r="U344" s="50" t="n">
        <f aca="false">T344*'Model Inputs &amp; Assumptions'!$D$41*'Model Inputs &amp; Assumptions'!$H$41</f>
        <v>837464.000237138</v>
      </c>
      <c r="V344" s="50" t="n">
        <f aca="false">T344*'Model Inputs &amp; Assumptions'!$G$41*'Model Inputs &amp; Assumptions'!$H$41</f>
        <v>18466.0812052289</v>
      </c>
      <c r="W344" s="50" t="n">
        <f aca="false">SUMIFS('Activation Detail'!$I$4:$I$4003,'Activation Detail'!$A$4:$A$4003,$A344,'Activation Detail'!$N$4:$N$4003,T$2)</f>
        <v>15709.076944</v>
      </c>
      <c r="X344" s="51" t="n">
        <f aca="false">IFERROR(V344/W344,0)</f>
        <v>1.17550389950072</v>
      </c>
      <c r="Y344" s="49" t="n">
        <f aca="false">IFERROR(W344/T344,0)</f>
        <v>135.056974347283</v>
      </c>
      <c r="Z344" s="48" t="n">
        <f aca="false">SUMIFS('Activation Detail'!$H$4:$H$4003,'Activation Detail'!$A$4:$A$4003,$A344,'Activation Detail'!$N$4:$N$4003,Z$2)</f>
        <v>395.183175636529</v>
      </c>
      <c r="AA344" s="50" t="n">
        <f aca="false">Z344*'Model Inputs &amp; Assumptions'!$D$42*'Model Inputs &amp; Assumptions'!$H$42</f>
        <v>2133989.14843725</v>
      </c>
      <c r="AB344" s="50" t="n">
        <f aca="false">Z344*'Model Inputs &amp; Assumptions'!$G$42*'Model Inputs &amp; Assumptions'!$H$42</f>
        <v>44813.7721171823</v>
      </c>
      <c r="AC344" s="50" t="n">
        <f aca="false">SUMIFS('Activation Detail'!$I$4:$I$4003,'Activation Detail'!$A$4:$A$4003,$A344,'Activation Detail'!$N$4:$N$4003,Z$2)</f>
        <v>36605.716</v>
      </c>
      <c r="AD344" s="51" t="n">
        <f aca="false">IFERROR(AB344/AC344,0)</f>
        <v>1.22422880943463</v>
      </c>
      <c r="AE344" s="49" t="n">
        <f aca="false">IFERROR(AC344/Z344,0)</f>
        <v>92.6297430072485</v>
      </c>
    </row>
    <row r="345" customFormat="false" ht="15" hidden="false" customHeight="false" outlineLevel="0" collapsed="false">
      <c r="A345" s="43" t="n">
        <v>342</v>
      </c>
      <c r="B345" s="45" t="n">
        <f aca="false">SUM('Activation Detail'!C345,'Activation Detail'!C845,'Activation Detail'!C1345,'Activation Detail'!C1845,'Activation Detail'!C2345,'Activation Detail'!C2845,'Activation Detail'!C3345,'Activation Detail'!C3845)</f>
        <v>4366954</v>
      </c>
      <c r="C345" s="45" t="n">
        <f aca="false">SUM('Activation Detail'!E345,'Activation Detail'!E845,'Activation Detail'!E1345,'Activation Detail'!E1845,'Activation Detail'!E2345,'Activation Detail'!E2845,'Activation Detail'!E3345,'Activation Detail'!E3845)</f>
        <v>450953</v>
      </c>
      <c r="D345" s="45" t="n">
        <f aca="false">SUM('Activation Detail'!G345,'Activation Detail'!G845,'Activation Detail'!G1345,'Activation Detail'!G1845,'Activation Detail'!G2345,'Activation Detail'!G2845,'Activation Detail'!G3345,'Activation Detail'!G3845)</f>
        <v>16088</v>
      </c>
      <c r="E345" s="48" t="n">
        <f aca="false">SUM('Activation Detail'!H345,'Activation Detail'!H845,'Activation Detail'!H1345,'Activation Detail'!H1845,'Activation Detail'!H2345,'Activation Detail'!H2845,'Activation Detail'!H3345,'Activation Detail'!H3845)</f>
        <v>839.586753939812</v>
      </c>
      <c r="F345" s="50" t="n">
        <f aca="false">SUM('Activation Detail'!I345,'Activation Detail'!I845,'Activation Detail'!I1345,'Activation Detail'!I1845,'Activation Detail'!I2345,'Activation Detail'!I2845,'Activation Detail'!I3345,'Activation Detail'!I3845)</f>
        <v>76963.48871</v>
      </c>
      <c r="G345" s="50" t="n">
        <f aca="false">SUM('Activation Detail'!J345,'Activation Detail'!J845,'Activation Detail'!J1345,'Activation Detail'!J1845,'Activation Detail'!J2345,'Activation Detail'!J2845,'Activation Detail'!J3345,'Activation Detail'!J3845)</f>
        <v>5617595.15579676</v>
      </c>
      <c r="H345" s="50" t="n">
        <f aca="false">SUM('Activation Detail'!K345,'Activation Detail'!K845,'Activation Detail'!K1345,'Activation Detail'!K1845,'Activation Detail'!K2345,'Activation Detail'!K2845,'Activation Detail'!K3345,'Activation Detail'!K3845)</f>
        <v>122485.849334497</v>
      </c>
      <c r="I345" s="51" t="n">
        <f aca="false">IFERROR(H345/F345,0)</f>
        <v>1.59147995221509</v>
      </c>
      <c r="J345" s="49" t="n">
        <f aca="false">IFERROR(F345/E345,0)</f>
        <v>91.6682979440113</v>
      </c>
      <c r="K345" s="46" t="n">
        <f aca="false">IFERROR(C345/B345,0)</f>
        <v>0.103264884402263</v>
      </c>
      <c r="L345" s="47" t="n">
        <f aca="false">IFERROR(D345/B345,0)</f>
        <v>0.00368403239420429</v>
      </c>
      <c r="N345" s="48" t="n">
        <f aca="false">SUMIFS('Activation Detail'!$H$4:$H$4003,'Activation Detail'!$A$4:$A$4003,$A345,'Activation Detail'!$N$4:$N$4003,N$2)</f>
        <v>132.300045282684</v>
      </c>
      <c r="O345" s="50" t="n">
        <f aca="false">N345*'Model Inputs &amp; Assumptions'!$D$40*'Model Inputs &amp; Assumptions'!$H$40</f>
        <v>1124550.38490281</v>
      </c>
      <c r="P345" s="50" t="n">
        <f aca="false">N345*'Model Inputs &amp; Assumptions'!$G$40*'Model Inputs &amp; Assumptions'!$H$40</f>
        <v>25302.3836603133</v>
      </c>
      <c r="Q345" s="50" t="n">
        <f aca="false">SUMIFS('Activation Detail'!$I$4:$I$4003,'Activation Detail'!$A$4:$A$4003,$A345,'Activation Detail'!$N$4:$N$4003,N$2)</f>
        <v>17986.78</v>
      </c>
      <c r="R345" s="51" t="n">
        <f aca="false">IFERROR(P345/Q345,0)</f>
        <v>1.40672113965442</v>
      </c>
      <c r="S345" s="49" t="n">
        <f aca="false">IFERROR(Q345/N345,0)</f>
        <v>135.954450820994</v>
      </c>
      <c r="T345" s="48" t="n">
        <f aca="false">SUMIFS('Activation Detail'!$H$4:$H$4003,'Activation Detail'!$A$4:$A$4003,$A345,'Activation Detail'!$N$4:$N$4003,T$2)</f>
        <v>374.275857858588</v>
      </c>
      <c r="U345" s="50" t="n">
        <f aca="false">T345*'Model Inputs &amp; Assumptions'!$D$41*'Model Inputs &amp; Assumptions'!$H$41</f>
        <v>2694786.17658183</v>
      </c>
      <c r="V345" s="50" t="n">
        <f aca="false">T345*'Model Inputs &amp; Assumptions'!$G$41*'Model Inputs &amp; Assumptions'!$H$41</f>
        <v>59420.0351936294</v>
      </c>
      <c r="W345" s="50" t="n">
        <f aca="false">SUMIFS('Activation Detail'!$I$4:$I$4003,'Activation Detail'!$A$4:$A$4003,$A345,'Activation Detail'!$N$4:$N$4003,T$2)</f>
        <v>20330.80071</v>
      </c>
      <c r="X345" s="51" t="n">
        <f aca="false">IFERROR(V345/W345,0)</f>
        <v>2.92266084554175</v>
      </c>
      <c r="Y345" s="49" t="n">
        <f aca="false">IFERROR(W345/T345,0)</f>
        <v>54.320363665245</v>
      </c>
      <c r="Z345" s="48" t="n">
        <f aca="false">SUMIFS('Activation Detail'!$H$4:$H$4003,'Activation Detail'!$A$4:$A$4003,$A345,'Activation Detail'!$N$4:$N$4003,Z$2)</f>
        <v>333.010850798541</v>
      </c>
      <c r="AA345" s="50" t="n">
        <f aca="false">Z345*'Model Inputs &amp; Assumptions'!$D$42*'Model Inputs &amp; Assumptions'!$H$42</f>
        <v>1798258.59431212</v>
      </c>
      <c r="AB345" s="50" t="n">
        <f aca="false">Z345*'Model Inputs &amp; Assumptions'!$G$42*'Model Inputs &amp; Assumptions'!$H$42</f>
        <v>37763.4304805545</v>
      </c>
      <c r="AC345" s="50" t="n">
        <f aca="false">SUMIFS('Activation Detail'!$I$4:$I$4003,'Activation Detail'!$A$4:$A$4003,$A345,'Activation Detail'!$N$4:$N$4003,Z$2)</f>
        <v>38645.908</v>
      </c>
      <c r="AD345" s="51" t="n">
        <f aca="false">IFERROR(AB345/AC345,0)</f>
        <v>0.9771650463111</v>
      </c>
      <c r="AE345" s="49" t="n">
        <f aca="false">IFERROR(AC345/Z345,0)</f>
        <v>116.0499962909</v>
      </c>
    </row>
    <row r="346" customFormat="false" ht="15" hidden="false" customHeight="false" outlineLevel="0" collapsed="false">
      <c r="A346" s="43" t="n">
        <v>343</v>
      </c>
      <c r="B346" s="45" t="n">
        <f aca="false">SUM('Activation Detail'!C346,'Activation Detail'!C846,'Activation Detail'!C1346,'Activation Detail'!C1846,'Activation Detail'!C2346,'Activation Detail'!C2846,'Activation Detail'!C3346,'Activation Detail'!C3846)</f>
        <v>4789894</v>
      </c>
      <c r="C346" s="45" t="n">
        <f aca="false">SUM('Activation Detail'!E346,'Activation Detail'!E846,'Activation Detail'!E1346,'Activation Detail'!E1846,'Activation Detail'!E2346,'Activation Detail'!E2846,'Activation Detail'!E3346,'Activation Detail'!E3846)</f>
        <v>544213</v>
      </c>
      <c r="D346" s="45" t="n">
        <f aca="false">SUM('Activation Detail'!G346,'Activation Detail'!G846,'Activation Detail'!G1346,'Activation Detail'!G1846,'Activation Detail'!G2346,'Activation Detail'!G2846,'Activation Detail'!G3346,'Activation Detail'!G3846)</f>
        <v>20135</v>
      </c>
      <c r="E346" s="48" t="n">
        <f aca="false">SUM('Activation Detail'!H346,'Activation Detail'!H846,'Activation Detail'!H1346,'Activation Detail'!H1846,'Activation Detail'!H2346,'Activation Detail'!H2846,'Activation Detail'!H3346,'Activation Detail'!H3846)</f>
        <v>990.256921545316</v>
      </c>
      <c r="F346" s="50" t="n">
        <f aca="false">SUM('Activation Detail'!I346,'Activation Detail'!I846,'Activation Detail'!I1346,'Activation Detail'!I1846,'Activation Detail'!I2346,'Activation Detail'!I2846,'Activation Detail'!I3346,'Activation Detail'!I3846)</f>
        <v>87308.31374</v>
      </c>
      <c r="G346" s="50" t="n">
        <f aca="false">SUM('Activation Detail'!J346,'Activation Detail'!J846,'Activation Detail'!J1346,'Activation Detail'!J1846,'Activation Detail'!J2346,'Activation Detail'!J2846,'Activation Detail'!J3346,'Activation Detail'!J3846)</f>
        <v>6079749.66553317</v>
      </c>
      <c r="H346" s="50" t="n">
        <f aca="false">SUM('Activation Detail'!K346,'Activation Detail'!K846,'Activation Detail'!K1346,'Activation Detail'!K1846,'Activation Detail'!K2346,'Activation Detail'!K2846,'Activation Detail'!K3346,'Activation Detail'!K3846)</f>
        <v>130722.728432163</v>
      </c>
      <c r="I346" s="51" t="n">
        <f aca="false">IFERROR(H346/F346,0)</f>
        <v>1.49725407389552</v>
      </c>
      <c r="J346" s="49" t="n">
        <f aca="false">IFERROR(F346/E346,0)</f>
        <v>88.1673350020655</v>
      </c>
      <c r="K346" s="46" t="n">
        <f aca="false">IFERROR(C346/B346,0)</f>
        <v>0.113616919288819</v>
      </c>
      <c r="L346" s="47" t="n">
        <f aca="false">IFERROR(D346/B346,0)</f>
        <v>0.00420364208477265</v>
      </c>
      <c r="N346" s="48" t="n">
        <f aca="false">SUMIFS('Activation Detail'!$H$4:$H$4003,'Activation Detail'!$A$4:$A$4003,$A346,'Activation Detail'!$N$4:$N$4003,N$2)</f>
        <v>103.467254165272</v>
      </c>
      <c r="O346" s="50" t="n">
        <f aca="false">N346*'Model Inputs &amp; Assumptions'!$D$40*'Model Inputs &amp; Assumptions'!$H$40</f>
        <v>879471.660404811</v>
      </c>
      <c r="P346" s="50" t="n">
        <f aca="false">N346*'Model Inputs &amp; Assumptions'!$G$40*'Model Inputs &amp; Assumptions'!$H$40</f>
        <v>19788.1123591082</v>
      </c>
      <c r="Q346" s="50" t="n">
        <f aca="false">SUMIFS('Activation Detail'!$I$4:$I$4003,'Activation Detail'!$A$4:$A$4003,$A346,'Activation Detail'!$N$4:$N$4003,N$2)</f>
        <v>18185.2965</v>
      </c>
      <c r="R346" s="51" t="n">
        <f aca="false">IFERROR(P346/Q346,0)</f>
        <v>1.08813801078845</v>
      </c>
      <c r="S346" s="49" t="n">
        <f aca="false">IFERROR(Q346/N346,0)</f>
        <v>175.758955301471</v>
      </c>
      <c r="T346" s="48" t="n">
        <f aca="false">SUMIFS('Activation Detail'!$H$4:$H$4003,'Activation Detail'!$A$4:$A$4003,$A346,'Activation Detail'!$N$4:$N$4003,T$2)</f>
        <v>228.674334042286</v>
      </c>
      <c r="U346" s="50" t="n">
        <f aca="false">T346*'Model Inputs &amp; Assumptions'!$D$41*'Model Inputs &amp; Assumptions'!$H$41</f>
        <v>1646455.20510446</v>
      </c>
      <c r="V346" s="50" t="n">
        <f aca="false">T346*'Model Inputs &amp; Assumptions'!$G$41*'Model Inputs &amp; Assumptions'!$H$41</f>
        <v>36304.3372725533</v>
      </c>
      <c r="W346" s="50" t="n">
        <f aca="false">SUMIFS('Activation Detail'!$I$4:$I$4003,'Activation Detail'!$A$4:$A$4003,$A346,'Activation Detail'!$N$4:$N$4003,T$2)</f>
        <v>19063.80124</v>
      </c>
      <c r="X346" s="51" t="n">
        <f aca="false">IFERROR(V346/W346,0)</f>
        <v>1.90435982916035</v>
      </c>
      <c r="Y346" s="49" t="n">
        <f aca="false">IFERROR(W346/T346,0)</f>
        <v>83.3665978293601</v>
      </c>
      <c r="Z346" s="48" t="n">
        <f aca="false">SUMIFS('Activation Detail'!$H$4:$H$4003,'Activation Detail'!$A$4:$A$4003,$A346,'Activation Detail'!$N$4:$N$4003,Z$2)</f>
        <v>658.115333337759</v>
      </c>
      <c r="AA346" s="50" t="n">
        <f aca="false">Z346*'Model Inputs &amp; Assumptions'!$D$42*'Model Inputs &amp; Assumptions'!$H$42</f>
        <v>3553822.8000239</v>
      </c>
      <c r="AB346" s="50" t="n">
        <f aca="false">Z346*'Model Inputs &amp; Assumptions'!$G$42*'Model Inputs &amp; Assumptions'!$H$42</f>
        <v>74630.2788005018</v>
      </c>
      <c r="AC346" s="50" t="n">
        <f aca="false">SUMIFS('Activation Detail'!$I$4:$I$4003,'Activation Detail'!$A$4:$A$4003,$A346,'Activation Detail'!$N$4:$N$4003,Z$2)</f>
        <v>50059.216</v>
      </c>
      <c r="AD346" s="51" t="n">
        <f aca="false">IFERROR(AB346/AC346,0)</f>
        <v>1.49083994444703</v>
      </c>
      <c r="AE346" s="49" t="n">
        <f aca="false">IFERROR(AC346/Z346,0)</f>
        <v>76.0645033844069</v>
      </c>
    </row>
    <row r="347" customFormat="false" ht="15" hidden="false" customHeight="false" outlineLevel="0" collapsed="false">
      <c r="A347" s="43" t="n">
        <v>344</v>
      </c>
      <c r="B347" s="45" t="n">
        <f aca="false">SUM('Activation Detail'!C347,'Activation Detail'!C847,'Activation Detail'!C1347,'Activation Detail'!C1847,'Activation Detail'!C2347,'Activation Detail'!C2847,'Activation Detail'!C3347,'Activation Detail'!C3847)</f>
        <v>3114955</v>
      </c>
      <c r="C347" s="45" t="n">
        <f aca="false">SUM('Activation Detail'!E347,'Activation Detail'!E847,'Activation Detail'!E1347,'Activation Detail'!E1847,'Activation Detail'!E2347,'Activation Detail'!E2847,'Activation Detail'!E3347,'Activation Detail'!E3847)</f>
        <v>284247</v>
      </c>
      <c r="D347" s="45" t="n">
        <f aca="false">SUM('Activation Detail'!G347,'Activation Detail'!G847,'Activation Detail'!G1347,'Activation Detail'!G1847,'Activation Detail'!G2347,'Activation Detail'!G2847,'Activation Detail'!G3347,'Activation Detail'!G3847)</f>
        <v>11422</v>
      </c>
      <c r="E347" s="48" t="n">
        <f aca="false">SUM('Activation Detail'!H347,'Activation Detail'!H847,'Activation Detail'!H1347,'Activation Detail'!H1847,'Activation Detail'!H2347,'Activation Detail'!H2847,'Activation Detail'!H3347,'Activation Detail'!H3847)</f>
        <v>359.094916263227</v>
      </c>
      <c r="F347" s="50" t="n">
        <f aca="false">SUM('Activation Detail'!I347,'Activation Detail'!I847,'Activation Detail'!I1347,'Activation Detail'!I1847,'Activation Detail'!I2347,'Activation Detail'!I2847,'Activation Detail'!I3347,'Activation Detail'!I3847)</f>
        <v>65902.23631</v>
      </c>
      <c r="G347" s="50" t="n">
        <f aca="false">SUM('Activation Detail'!J347,'Activation Detail'!J847,'Activation Detail'!J1347,'Activation Detail'!J1847,'Activation Detail'!J2347,'Activation Detail'!J2847,'Activation Detail'!J3347,'Activation Detail'!J3847)</f>
        <v>2323405.99319536</v>
      </c>
      <c r="H347" s="50" t="n">
        <f aca="false">SUM('Activation Detail'!K347,'Activation Detail'!K847,'Activation Detail'!K1347,'Activation Detail'!K1847,'Activation Detail'!K2347,'Activation Detail'!K2847,'Activation Detail'!K3347,'Activation Detail'!K3847)</f>
        <v>50388.8040362647</v>
      </c>
      <c r="I347" s="51" t="n">
        <f aca="false">IFERROR(H347/F347,0)</f>
        <v>0.764599304327685</v>
      </c>
      <c r="J347" s="49" t="n">
        <f aca="false">IFERROR(F347/E347,0)</f>
        <v>183.523167066202</v>
      </c>
      <c r="K347" s="46" t="n">
        <f aca="false">IFERROR(C347/B347,0)</f>
        <v>0.0912523615910984</v>
      </c>
      <c r="L347" s="47" t="n">
        <f aca="false">IFERROR(D347/B347,0)</f>
        <v>0.00366682664757597</v>
      </c>
      <c r="N347" s="48" t="n">
        <f aca="false">SUMIFS('Activation Detail'!$H$4:$H$4003,'Activation Detail'!$A$4:$A$4003,$A347,'Activation Detail'!$N$4:$N$4003,N$2)</f>
        <v>62.0529311418646</v>
      </c>
      <c r="O347" s="50" t="n">
        <f aca="false">N347*'Model Inputs &amp; Assumptions'!$D$40*'Model Inputs &amp; Assumptions'!$H$40</f>
        <v>527449.914705849</v>
      </c>
      <c r="P347" s="50" t="n">
        <f aca="false">N347*'Model Inputs &amp; Assumptions'!$G$40*'Model Inputs &amp; Assumptions'!$H$40</f>
        <v>11867.6230808816</v>
      </c>
      <c r="Q347" s="50" t="n">
        <f aca="false">SUMIFS('Activation Detail'!$I$4:$I$4003,'Activation Detail'!$A$4:$A$4003,$A347,'Activation Detail'!$N$4:$N$4003,N$2)</f>
        <v>17764.5515</v>
      </c>
      <c r="R347" s="51" t="n">
        <f aca="false">IFERROR(P347/Q347,0)</f>
        <v>0.668050813491216</v>
      </c>
      <c r="S347" s="49" t="n">
        <f aca="false">IFERROR(Q347/N347,0)</f>
        <v>286.280618386695</v>
      </c>
      <c r="T347" s="48" t="n">
        <f aca="false">SUMIFS('Activation Detail'!$H$4:$H$4003,'Activation Detail'!$A$4:$A$4003,$A347,'Activation Detail'!$N$4:$N$4003,T$2)</f>
        <v>106.627421574528</v>
      </c>
      <c r="U347" s="50" t="n">
        <f aca="false">T347*'Model Inputs &amp; Assumptions'!$D$41*'Model Inputs &amp; Assumptions'!$H$41</f>
        <v>767717.435336604</v>
      </c>
      <c r="V347" s="50" t="n">
        <f aca="false">T347*'Model Inputs &amp; Assumptions'!$G$41*'Model Inputs &amp; Assumptions'!$H$41</f>
        <v>16928.1694491721</v>
      </c>
      <c r="W347" s="50" t="n">
        <f aca="false">SUMIFS('Activation Detail'!$I$4:$I$4003,'Activation Detail'!$A$4:$A$4003,$A347,'Activation Detail'!$N$4:$N$4003,T$2)</f>
        <v>15226.66081</v>
      </c>
      <c r="X347" s="51" t="n">
        <f aca="false">IFERROR(V347/W347,0)</f>
        <v>1.11174535641161</v>
      </c>
      <c r="Y347" s="49" t="n">
        <f aca="false">IFERROR(W347/T347,0)</f>
        <v>142.802485375276</v>
      </c>
      <c r="Z347" s="48" t="n">
        <f aca="false">SUMIFS('Activation Detail'!$H$4:$H$4003,'Activation Detail'!$A$4:$A$4003,$A347,'Activation Detail'!$N$4:$N$4003,Z$2)</f>
        <v>190.414563546834</v>
      </c>
      <c r="AA347" s="50" t="n">
        <f aca="false">Z347*'Model Inputs &amp; Assumptions'!$D$42*'Model Inputs &amp; Assumptions'!$H$42</f>
        <v>1028238.6431529</v>
      </c>
      <c r="AB347" s="50" t="n">
        <f aca="false">Z347*'Model Inputs &amp; Assumptions'!$G$42*'Model Inputs &amp; Assumptions'!$H$42</f>
        <v>21593.0115062109</v>
      </c>
      <c r="AC347" s="50" t="n">
        <f aca="false">SUMIFS('Activation Detail'!$I$4:$I$4003,'Activation Detail'!$A$4:$A$4003,$A347,'Activation Detail'!$N$4:$N$4003,Z$2)</f>
        <v>32911.024</v>
      </c>
      <c r="AD347" s="51" t="n">
        <f aca="false">IFERROR(AB347/AC347,0)</f>
        <v>0.656102693924411</v>
      </c>
      <c r="AE347" s="49" t="n">
        <f aca="false">IFERROR(AC347/Z347,0)</f>
        <v>172.838796502586</v>
      </c>
    </row>
    <row r="348" customFormat="false" ht="15" hidden="false" customHeight="false" outlineLevel="0" collapsed="false">
      <c r="A348" s="43" t="n">
        <v>345</v>
      </c>
      <c r="B348" s="45" t="n">
        <f aca="false">SUM('Activation Detail'!C348,'Activation Detail'!C848,'Activation Detail'!C1348,'Activation Detail'!C1848,'Activation Detail'!C2348,'Activation Detail'!C2848,'Activation Detail'!C3348,'Activation Detail'!C3848)</f>
        <v>4351785</v>
      </c>
      <c r="C348" s="45" t="n">
        <f aca="false">SUM('Activation Detail'!E348,'Activation Detail'!E848,'Activation Detail'!E1348,'Activation Detail'!E1848,'Activation Detail'!E2348,'Activation Detail'!E2848,'Activation Detail'!E3348,'Activation Detail'!E3848)</f>
        <v>426246</v>
      </c>
      <c r="D348" s="45" t="n">
        <f aca="false">SUM('Activation Detail'!G348,'Activation Detail'!G848,'Activation Detail'!G1348,'Activation Detail'!G1848,'Activation Detail'!G2348,'Activation Detail'!G2848,'Activation Detail'!G3348,'Activation Detail'!G3848)</f>
        <v>19032</v>
      </c>
      <c r="E348" s="48" t="n">
        <f aca="false">SUM('Activation Detail'!H348,'Activation Detail'!H848,'Activation Detail'!H1348,'Activation Detail'!H1848,'Activation Detail'!H2348,'Activation Detail'!H2848,'Activation Detail'!H3348,'Activation Detail'!H3848)</f>
        <v>905.436850163534</v>
      </c>
      <c r="F348" s="50" t="n">
        <f aca="false">SUM('Activation Detail'!I348,'Activation Detail'!I848,'Activation Detail'!I1348,'Activation Detail'!I1848,'Activation Detail'!I2348,'Activation Detail'!I2848,'Activation Detail'!I3348,'Activation Detail'!I3848)</f>
        <v>76398.86198</v>
      </c>
      <c r="G348" s="50" t="n">
        <f aca="false">SUM('Activation Detail'!J348,'Activation Detail'!J848,'Activation Detail'!J1348,'Activation Detail'!J1848,'Activation Detail'!J2348,'Activation Detail'!J2848,'Activation Detail'!J3348,'Activation Detail'!J3848)</f>
        <v>5502441.35268769</v>
      </c>
      <c r="H348" s="50" t="n">
        <f aca="false">SUM('Activation Detail'!K348,'Activation Detail'!K848,'Activation Detail'!K1348,'Activation Detail'!K1848,'Activation Detail'!K2348,'Activation Detail'!K2848,'Activation Detail'!K3348,'Activation Detail'!K3848)</f>
        <v>118104.224067058</v>
      </c>
      <c r="I348" s="51" t="n">
        <f aca="false">IFERROR(H348/F348,0)</f>
        <v>1.54588983403936</v>
      </c>
      <c r="J348" s="49" t="n">
        <f aca="false">IFERROR(F348/E348,0)</f>
        <v>84.3779021874373</v>
      </c>
      <c r="K348" s="46" t="n">
        <f aca="false">IFERROR(C348/B348,0)</f>
        <v>0.0979473940003929</v>
      </c>
      <c r="L348" s="47" t="n">
        <f aca="false">IFERROR(D348/B348,0)</f>
        <v>0.00437337782082525</v>
      </c>
      <c r="N348" s="48" t="n">
        <f aca="false">SUMIFS('Activation Detail'!$H$4:$H$4003,'Activation Detail'!$A$4:$A$4003,$A348,'Activation Detail'!$N$4:$N$4003,N$2)</f>
        <v>81.4454035668968</v>
      </c>
      <c r="O348" s="50" t="n">
        <f aca="false">N348*'Model Inputs &amp; Assumptions'!$D$40*'Model Inputs &amp; Assumptions'!$H$40</f>
        <v>692285.930318623</v>
      </c>
      <c r="P348" s="50" t="n">
        <f aca="false">N348*'Model Inputs &amp; Assumptions'!$G$40*'Model Inputs &amp; Assumptions'!$H$40</f>
        <v>15576.433432169</v>
      </c>
      <c r="Q348" s="50" t="n">
        <f aca="false">SUMIFS('Activation Detail'!$I$4:$I$4003,'Activation Detail'!$A$4:$A$4003,$A348,'Activation Detail'!$N$4:$N$4003,N$2)</f>
        <v>18768.184</v>
      </c>
      <c r="R348" s="51" t="n">
        <f aca="false">IFERROR(P348/Q348,0)</f>
        <v>0.829938231219868</v>
      </c>
      <c r="S348" s="49" t="n">
        <f aca="false">IFERROR(Q348/N348,0)</f>
        <v>230.438836055179</v>
      </c>
      <c r="T348" s="48" t="n">
        <f aca="false">SUMIFS('Activation Detail'!$H$4:$H$4003,'Activation Detail'!$A$4:$A$4003,$A348,'Activation Detail'!$N$4:$N$4003,T$2)</f>
        <v>200.334228192904</v>
      </c>
      <c r="U348" s="50" t="n">
        <f aca="false">T348*'Model Inputs &amp; Assumptions'!$D$41*'Model Inputs &amp; Assumptions'!$H$41</f>
        <v>1442406.44298891</v>
      </c>
      <c r="V348" s="50" t="n">
        <f aca="false">T348*'Model Inputs &amp; Assumptions'!$G$41*'Model Inputs &amp; Assumptions'!$H$41</f>
        <v>31805.0620679055</v>
      </c>
      <c r="W348" s="50" t="n">
        <f aca="false">SUMIFS('Activation Detail'!$I$4:$I$4003,'Activation Detail'!$A$4:$A$4003,$A348,'Activation Detail'!$N$4:$N$4003,T$2)</f>
        <v>17499.87798</v>
      </c>
      <c r="X348" s="51" t="n">
        <f aca="false">IFERROR(V348/W348,0)</f>
        <v>1.81744479042965</v>
      </c>
      <c r="Y348" s="49" t="n">
        <f aca="false">IFERROR(W348/T348,0)</f>
        <v>87.3534100380946</v>
      </c>
      <c r="Z348" s="48" t="n">
        <f aca="false">SUMIFS('Activation Detail'!$H$4:$H$4003,'Activation Detail'!$A$4:$A$4003,$A348,'Activation Detail'!$N$4:$N$4003,Z$2)</f>
        <v>623.657218403733</v>
      </c>
      <c r="AA348" s="50" t="n">
        <f aca="false">Z348*'Model Inputs &amp; Assumptions'!$D$42*'Model Inputs &amp; Assumptions'!$H$42</f>
        <v>3367748.97938016</v>
      </c>
      <c r="AB348" s="50" t="n">
        <f aca="false">Z348*'Model Inputs &amp; Assumptions'!$G$42*'Model Inputs &amp; Assumptions'!$H$42</f>
        <v>70722.7285669833</v>
      </c>
      <c r="AC348" s="50" t="n">
        <f aca="false">SUMIFS('Activation Detail'!$I$4:$I$4003,'Activation Detail'!$A$4:$A$4003,$A348,'Activation Detail'!$N$4:$N$4003,Z$2)</f>
        <v>40130.8</v>
      </c>
      <c r="AD348" s="51" t="n">
        <f aca="false">IFERROR(AB348/AC348,0)</f>
        <v>1.76230547527045</v>
      </c>
      <c r="AE348" s="49" t="n">
        <f aca="false">IFERROR(AC348/Z348,0)</f>
        <v>64.347527481067</v>
      </c>
    </row>
    <row r="349" customFormat="false" ht="15" hidden="false" customHeight="false" outlineLevel="0" collapsed="false">
      <c r="A349" s="43" t="n">
        <v>346</v>
      </c>
      <c r="B349" s="45" t="n">
        <f aca="false">SUM('Activation Detail'!C349,'Activation Detail'!C849,'Activation Detail'!C1349,'Activation Detail'!C1849,'Activation Detail'!C2349,'Activation Detail'!C2849,'Activation Detail'!C3349,'Activation Detail'!C3849)</f>
        <v>4346297</v>
      </c>
      <c r="C349" s="45" t="n">
        <f aca="false">SUM('Activation Detail'!E349,'Activation Detail'!E849,'Activation Detail'!E1349,'Activation Detail'!E1849,'Activation Detail'!E2349,'Activation Detail'!E2849,'Activation Detail'!E3349,'Activation Detail'!E3849)</f>
        <v>353907</v>
      </c>
      <c r="D349" s="45" t="n">
        <f aca="false">SUM('Activation Detail'!G349,'Activation Detail'!G849,'Activation Detail'!G1349,'Activation Detail'!G1849,'Activation Detail'!G2349,'Activation Detail'!G2849,'Activation Detail'!G3349,'Activation Detail'!G3849)</f>
        <v>16493</v>
      </c>
      <c r="E349" s="48" t="n">
        <f aca="false">SUM('Activation Detail'!H349,'Activation Detail'!H849,'Activation Detail'!H1349,'Activation Detail'!H1849,'Activation Detail'!H2349,'Activation Detail'!H2849,'Activation Detail'!H3349,'Activation Detail'!H3849)</f>
        <v>530.407888544272</v>
      </c>
      <c r="F349" s="50" t="n">
        <f aca="false">SUM('Activation Detail'!I349,'Activation Detail'!I849,'Activation Detail'!I1349,'Activation Detail'!I1849,'Activation Detail'!I2349,'Activation Detail'!I2849,'Activation Detail'!I3349,'Activation Detail'!I3849)</f>
        <v>80561.697848</v>
      </c>
      <c r="G349" s="50" t="n">
        <f aca="false">SUM('Activation Detail'!J349,'Activation Detail'!J849,'Activation Detail'!J1349,'Activation Detail'!J1849,'Activation Detail'!J2349,'Activation Detail'!J2849,'Activation Detail'!J3349,'Activation Detail'!J3849)</f>
        <v>3419931.52649532</v>
      </c>
      <c r="H349" s="50" t="n">
        <f aca="false">SUM('Activation Detail'!K349,'Activation Detail'!K849,'Activation Detail'!K1349,'Activation Detail'!K1849,'Activation Detail'!K2349,'Activation Detail'!K2849,'Activation Detail'!K3349,'Activation Detail'!K3849)</f>
        <v>74131.8189171651</v>
      </c>
      <c r="I349" s="51" t="n">
        <f aca="false">IFERROR(H349/F349,0)</f>
        <v>0.920186898953316</v>
      </c>
      <c r="J349" s="49" t="n">
        <f aca="false">IFERROR(F349/E349,0)</f>
        <v>151.886311625389</v>
      </c>
      <c r="K349" s="46" t="n">
        <f aca="false">IFERROR(C349/B349,0)</f>
        <v>0.0814272471485497</v>
      </c>
      <c r="L349" s="47" t="n">
        <f aca="false">IFERROR(D349/B349,0)</f>
        <v>0.00379472456668286</v>
      </c>
      <c r="N349" s="48" t="n">
        <f aca="false">SUMIFS('Activation Detail'!$H$4:$H$4003,'Activation Detail'!$A$4:$A$4003,$A349,'Activation Detail'!$N$4:$N$4003,N$2)</f>
        <v>77.0542160474988</v>
      </c>
      <c r="O349" s="50" t="n">
        <f aca="false">N349*'Model Inputs &amp; Assumptions'!$D$40*'Model Inputs &amp; Assumptions'!$H$40</f>
        <v>654960.83640374</v>
      </c>
      <c r="P349" s="50" t="n">
        <f aca="false">N349*'Model Inputs &amp; Assumptions'!$G$40*'Model Inputs &amp; Assumptions'!$H$40</f>
        <v>14736.6188190841</v>
      </c>
      <c r="Q349" s="50" t="n">
        <f aca="false">SUMIFS('Activation Detail'!$I$4:$I$4003,'Activation Detail'!$A$4:$A$4003,$A349,'Activation Detail'!$N$4:$N$4003,N$2)</f>
        <v>17733.6765</v>
      </c>
      <c r="R349" s="51" t="n">
        <f aca="false">IFERROR(P349/Q349,0)</f>
        <v>0.83099625839482</v>
      </c>
      <c r="S349" s="49" t="n">
        <f aca="false">IFERROR(Q349/N349,0)</f>
        <v>230.145440569642</v>
      </c>
      <c r="T349" s="48" t="n">
        <f aca="false">SUMIFS('Activation Detail'!$H$4:$H$4003,'Activation Detail'!$A$4:$A$4003,$A349,'Activation Detail'!$N$4:$N$4003,T$2)</f>
        <v>176.033810338336</v>
      </c>
      <c r="U349" s="50" t="n">
        <f aca="false">T349*'Model Inputs &amp; Assumptions'!$D$41*'Model Inputs &amp; Assumptions'!$H$41</f>
        <v>1267443.43443602</v>
      </c>
      <c r="V349" s="50" t="n">
        <f aca="false">T349*'Model Inputs &amp; Assumptions'!$G$41*'Model Inputs &amp; Assumptions'!$H$41</f>
        <v>27947.1277293142</v>
      </c>
      <c r="W349" s="50" t="n">
        <f aca="false">SUMIFS('Activation Detail'!$I$4:$I$4003,'Activation Detail'!$A$4:$A$4003,$A349,'Activation Detail'!$N$4:$N$4003,T$2)</f>
        <v>18807.685348</v>
      </c>
      <c r="X349" s="51" t="n">
        <f aca="false">IFERROR(V349/W349,0)</f>
        <v>1.48594190152623</v>
      </c>
      <c r="Y349" s="49" t="n">
        <f aca="false">IFERROR(W349/T349,0)</f>
        <v>106.841323901651</v>
      </c>
      <c r="Z349" s="48" t="n">
        <f aca="false">SUMIFS('Activation Detail'!$H$4:$H$4003,'Activation Detail'!$A$4:$A$4003,$A349,'Activation Detail'!$N$4:$N$4003,Z$2)</f>
        <v>277.319862158437</v>
      </c>
      <c r="AA349" s="50" t="n">
        <f aca="false">Z349*'Model Inputs &amp; Assumptions'!$D$42*'Model Inputs &amp; Assumptions'!$H$42</f>
        <v>1497527.25565556</v>
      </c>
      <c r="AB349" s="50" t="n">
        <f aca="false">Z349*'Model Inputs &amp; Assumptions'!$G$42*'Model Inputs &amp; Assumptions'!$H$42</f>
        <v>31448.0723687668</v>
      </c>
      <c r="AC349" s="50" t="n">
        <f aca="false">SUMIFS('Activation Detail'!$I$4:$I$4003,'Activation Detail'!$A$4:$A$4003,$A349,'Activation Detail'!$N$4:$N$4003,Z$2)</f>
        <v>44020.336</v>
      </c>
      <c r="AD349" s="51" t="n">
        <f aca="false">IFERROR(AB349/AC349,0)</f>
        <v>0.714398735365555</v>
      </c>
      <c r="AE349" s="49" t="n">
        <f aca="false">IFERROR(AC349/Z349,0)</f>
        <v>158.734883456889</v>
      </c>
    </row>
    <row r="350" customFormat="false" ht="15" hidden="false" customHeight="false" outlineLevel="0" collapsed="false">
      <c r="A350" s="43" t="n">
        <v>347</v>
      </c>
      <c r="B350" s="45" t="n">
        <f aca="false">SUM('Activation Detail'!C350,'Activation Detail'!C850,'Activation Detail'!C1350,'Activation Detail'!C1850,'Activation Detail'!C2350,'Activation Detail'!C2850,'Activation Detail'!C3350,'Activation Detail'!C3850)</f>
        <v>4691296</v>
      </c>
      <c r="C350" s="45" t="n">
        <f aca="false">SUM('Activation Detail'!E350,'Activation Detail'!E850,'Activation Detail'!E1350,'Activation Detail'!E1850,'Activation Detail'!E2350,'Activation Detail'!E2850,'Activation Detail'!E3350,'Activation Detail'!E3850)</f>
        <v>358193</v>
      </c>
      <c r="D350" s="45" t="n">
        <f aca="false">SUM('Activation Detail'!G350,'Activation Detail'!G850,'Activation Detail'!G1350,'Activation Detail'!G1850,'Activation Detail'!G2350,'Activation Detail'!G2850,'Activation Detail'!G3350,'Activation Detail'!G3850)</f>
        <v>15422</v>
      </c>
      <c r="E350" s="48" t="n">
        <f aca="false">SUM('Activation Detail'!H350,'Activation Detail'!H850,'Activation Detail'!H1350,'Activation Detail'!H1850,'Activation Detail'!H2350,'Activation Detail'!H2850,'Activation Detail'!H3350,'Activation Detail'!H3850)</f>
        <v>606.816909785276</v>
      </c>
      <c r="F350" s="50" t="n">
        <f aca="false">SUM('Activation Detail'!I350,'Activation Detail'!I850,'Activation Detail'!I1350,'Activation Detail'!I1850,'Activation Detail'!I2350,'Activation Detail'!I2850,'Activation Detail'!I3350,'Activation Detail'!I3850)</f>
        <v>73952.40663</v>
      </c>
      <c r="G350" s="50" t="n">
        <f aca="false">SUM('Activation Detail'!J350,'Activation Detail'!J850,'Activation Detail'!J1350,'Activation Detail'!J1850,'Activation Detail'!J2350,'Activation Detail'!J2850,'Activation Detail'!J3350,'Activation Detail'!J3850)</f>
        <v>3893941.0485639</v>
      </c>
      <c r="H350" s="50" t="n">
        <f aca="false">SUM('Activation Detail'!K350,'Activation Detail'!K850,'Activation Detail'!K1350,'Activation Detail'!K1850,'Activation Detail'!K2350,'Activation Detail'!K2850,'Activation Detail'!K3350,'Activation Detail'!K3850)</f>
        <v>84345.5526006925</v>
      </c>
      <c r="I350" s="51" t="n">
        <f aca="false">IFERROR(H350/F350,0)</f>
        <v>1.14053830624731</v>
      </c>
      <c r="J350" s="49" t="n">
        <f aca="false">IFERROR(F350/E350,0)</f>
        <v>121.869389988108</v>
      </c>
      <c r="K350" s="46" t="n">
        <f aca="false">IFERROR(C350/B350,0)</f>
        <v>0.0763526752522118</v>
      </c>
      <c r="L350" s="47" t="n">
        <f aca="false">IFERROR(D350/B350,0)</f>
        <v>0.00328736451505085</v>
      </c>
      <c r="N350" s="48" t="n">
        <f aca="false">SUMIFS('Activation Detail'!$H$4:$H$4003,'Activation Detail'!$A$4:$A$4003,$A350,'Activation Detail'!$N$4:$N$4003,N$2)</f>
        <v>70.9418858799474</v>
      </c>
      <c r="O350" s="50" t="n">
        <f aca="false">N350*'Model Inputs &amp; Assumptions'!$D$40*'Model Inputs &amp; Assumptions'!$H$40</f>
        <v>603006.029979553</v>
      </c>
      <c r="P350" s="50" t="n">
        <f aca="false">N350*'Model Inputs &amp; Assumptions'!$G$40*'Model Inputs &amp; Assumptions'!$H$40</f>
        <v>13567.6356745399</v>
      </c>
      <c r="Q350" s="50" t="n">
        <f aca="false">SUMIFS('Activation Detail'!$I$4:$I$4003,'Activation Detail'!$A$4:$A$4003,$A350,'Activation Detail'!$N$4:$N$4003,N$2)</f>
        <v>18090.7995</v>
      </c>
      <c r="R350" s="51" t="n">
        <f aca="false">IFERROR(P350/Q350,0)</f>
        <v>0.749974354341827</v>
      </c>
      <c r="S350" s="49" t="n">
        <f aca="false">IFERROR(Q350/N350,0)</f>
        <v>255.008719821946</v>
      </c>
      <c r="T350" s="48" t="n">
        <f aca="false">SUMIFS('Activation Detail'!$H$4:$H$4003,'Activation Detail'!$A$4:$A$4003,$A350,'Activation Detail'!$N$4:$N$4003,T$2)</f>
        <v>220.672160830872</v>
      </c>
      <c r="U350" s="50" t="n">
        <f aca="false">T350*'Model Inputs &amp; Assumptions'!$D$41*'Model Inputs &amp; Assumptions'!$H$41</f>
        <v>1588839.55798228</v>
      </c>
      <c r="V350" s="50" t="n">
        <f aca="false">T350*'Model Inputs &amp; Assumptions'!$G$41*'Model Inputs &amp; Assumptions'!$H$41</f>
        <v>35033.9122535093</v>
      </c>
      <c r="W350" s="50" t="n">
        <f aca="false">SUMIFS('Activation Detail'!$I$4:$I$4003,'Activation Detail'!$A$4:$A$4003,$A350,'Activation Detail'!$N$4:$N$4003,T$2)</f>
        <v>17900.86313</v>
      </c>
      <c r="X350" s="51" t="n">
        <f aca="false">IFERROR(V350/W350,0)</f>
        <v>1.95710743102639</v>
      </c>
      <c r="Y350" s="49" t="n">
        <f aca="false">IFERROR(W350/T350,0)</f>
        <v>81.1197165179326</v>
      </c>
      <c r="Z350" s="48" t="n">
        <f aca="false">SUMIFS('Activation Detail'!$H$4:$H$4003,'Activation Detail'!$A$4:$A$4003,$A350,'Activation Detail'!$N$4:$N$4003,Z$2)</f>
        <v>315.202863074456</v>
      </c>
      <c r="AA350" s="50" t="n">
        <f aca="false">Z350*'Model Inputs &amp; Assumptions'!$D$42*'Model Inputs &amp; Assumptions'!$H$42</f>
        <v>1702095.46060206</v>
      </c>
      <c r="AB350" s="50" t="n">
        <f aca="false">Z350*'Model Inputs &amp; Assumptions'!$G$42*'Model Inputs &amp; Assumptions'!$H$42</f>
        <v>35744.0046726433</v>
      </c>
      <c r="AC350" s="50" t="n">
        <f aca="false">SUMIFS('Activation Detail'!$I$4:$I$4003,'Activation Detail'!$A$4:$A$4003,$A350,'Activation Detail'!$N$4:$N$4003,Z$2)</f>
        <v>37960.744</v>
      </c>
      <c r="AD350" s="51" t="n">
        <f aca="false">IFERROR(AB350/AC350,0)</f>
        <v>0.94160442884479</v>
      </c>
      <c r="AE350" s="49" t="n">
        <f aca="false">IFERROR(AC350/Z350,0)</f>
        <v>120.432738553625</v>
      </c>
    </row>
    <row r="351" customFormat="false" ht="15" hidden="false" customHeight="false" outlineLevel="0" collapsed="false">
      <c r="A351" s="43" t="n">
        <v>348</v>
      </c>
      <c r="B351" s="45" t="n">
        <f aca="false">SUM('Activation Detail'!C351,'Activation Detail'!C851,'Activation Detail'!C1351,'Activation Detail'!C1851,'Activation Detail'!C2351,'Activation Detail'!C2851,'Activation Detail'!C3351,'Activation Detail'!C3851)</f>
        <v>5629579</v>
      </c>
      <c r="C351" s="45" t="n">
        <f aca="false">SUM('Activation Detail'!E351,'Activation Detail'!E851,'Activation Detail'!E1351,'Activation Detail'!E1851,'Activation Detail'!E2351,'Activation Detail'!E2851,'Activation Detail'!E3351,'Activation Detail'!E3851)</f>
        <v>559699</v>
      </c>
      <c r="D351" s="45" t="n">
        <f aca="false">SUM('Activation Detail'!G351,'Activation Detail'!G851,'Activation Detail'!G1351,'Activation Detail'!G1851,'Activation Detail'!G2351,'Activation Detail'!G2851,'Activation Detail'!G3351,'Activation Detail'!G3851)</f>
        <v>22908</v>
      </c>
      <c r="E351" s="48" t="n">
        <f aca="false">SUM('Activation Detail'!H351,'Activation Detail'!H851,'Activation Detail'!H1351,'Activation Detail'!H1851,'Activation Detail'!H2351,'Activation Detail'!H2851,'Activation Detail'!H3351,'Activation Detail'!H3851)</f>
        <v>980.874853955099</v>
      </c>
      <c r="F351" s="50" t="n">
        <f aca="false">SUM('Activation Detail'!I351,'Activation Detail'!I851,'Activation Detail'!I1351,'Activation Detail'!I1851,'Activation Detail'!I2351,'Activation Detail'!I2851,'Activation Detail'!I3351,'Activation Detail'!I3851)</f>
        <v>81543.88398</v>
      </c>
      <c r="G351" s="50" t="n">
        <f aca="false">SUM('Activation Detail'!J351,'Activation Detail'!J851,'Activation Detail'!J1351,'Activation Detail'!J1851,'Activation Detail'!J2351,'Activation Detail'!J2851,'Activation Detail'!J3351,'Activation Detail'!J3851)</f>
        <v>6251436.11750928</v>
      </c>
      <c r="H351" s="50" t="n">
        <f aca="false">SUM('Activation Detail'!K351,'Activation Detail'!K851,'Activation Detail'!K1351,'Activation Detail'!K1851,'Activation Detail'!K2351,'Activation Detail'!K2851,'Activation Detail'!K3351,'Activation Detail'!K3851)</f>
        <v>135249.878955535</v>
      </c>
      <c r="I351" s="51" t="n">
        <f aca="false">IFERROR(H351/F351,0)</f>
        <v>1.65861462999122</v>
      </c>
      <c r="J351" s="49" t="n">
        <f aca="false">IFERROR(F351/E351,0)</f>
        <v>83.1338306321112</v>
      </c>
      <c r="K351" s="46" t="n">
        <f aca="false">IFERROR(C351/B351,0)</f>
        <v>0.0994211112411781</v>
      </c>
      <c r="L351" s="47" t="n">
        <f aca="false">IFERROR(D351/B351,0)</f>
        <v>0.00406922080674239</v>
      </c>
      <c r="N351" s="48" t="n">
        <f aca="false">SUMIFS('Activation Detail'!$H$4:$H$4003,'Activation Detail'!$A$4:$A$4003,$A351,'Activation Detail'!$N$4:$N$4003,N$2)</f>
        <v>148.405622211938</v>
      </c>
      <c r="O351" s="50" t="n">
        <f aca="false">N351*'Model Inputs &amp; Assumptions'!$D$40*'Model Inputs &amp; Assumptions'!$H$40</f>
        <v>1261447.78880147</v>
      </c>
      <c r="P351" s="50" t="n">
        <f aca="false">N351*'Model Inputs &amp; Assumptions'!$G$40*'Model Inputs &amp; Assumptions'!$H$40</f>
        <v>28382.5752480331</v>
      </c>
      <c r="Q351" s="50" t="n">
        <f aca="false">SUMIFS('Activation Detail'!$I$4:$I$4003,'Activation Detail'!$A$4:$A$4003,$A351,'Activation Detail'!$N$4:$N$4003,N$2)</f>
        <v>17700.429</v>
      </c>
      <c r="R351" s="51" t="n">
        <f aca="false">IFERROR(P351/Q351,0)</f>
        <v>1.6034964603419</v>
      </c>
      <c r="S351" s="49" t="n">
        <f aca="false">IFERROR(Q351/N351,0)</f>
        <v>119.270609402668</v>
      </c>
      <c r="T351" s="48" t="n">
        <f aca="false">SUMIFS('Activation Detail'!$H$4:$H$4003,'Activation Detail'!$A$4:$A$4003,$A351,'Activation Detail'!$N$4:$N$4003,T$2)</f>
        <v>274.808042941523</v>
      </c>
      <c r="U351" s="50" t="n">
        <f aca="false">T351*'Model Inputs &amp; Assumptions'!$D$41*'Model Inputs &amp; Assumptions'!$H$41</f>
        <v>1978617.90917896</v>
      </c>
      <c r="V351" s="50" t="n">
        <f aca="false">T351*'Model Inputs &amp; Assumptions'!$G$41*'Model Inputs &amp; Assumptions'!$H$41</f>
        <v>43628.5248973961</v>
      </c>
      <c r="W351" s="50" t="n">
        <f aca="false">SUMIFS('Activation Detail'!$I$4:$I$4003,'Activation Detail'!$A$4:$A$4003,$A351,'Activation Detail'!$N$4:$N$4003,T$2)</f>
        <v>22219.00298</v>
      </c>
      <c r="X351" s="51" t="n">
        <f aca="false">IFERROR(V351/W351,0)</f>
        <v>1.96356807443914</v>
      </c>
      <c r="Y351" s="49" t="n">
        <f aca="false">IFERROR(W351/T351,0)</f>
        <v>80.8528118106356</v>
      </c>
      <c r="Z351" s="48" t="n">
        <f aca="false">SUMIFS('Activation Detail'!$H$4:$H$4003,'Activation Detail'!$A$4:$A$4003,$A351,'Activation Detail'!$N$4:$N$4003,Z$2)</f>
        <v>557.661188801638</v>
      </c>
      <c r="AA351" s="50" t="n">
        <f aca="false">Z351*'Model Inputs &amp; Assumptions'!$D$42*'Model Inputs &amp; Assumptions'!$H$42</f>
        <v>3011370.41952885</v>
      </c>
      <c r="AB351" s="50" t="n">
        <f aca="false">Z351*'Model Inputs &amp; Assumptions'!$G$42*'Model Inputs &amp; Assumptions'!$H$42</f>
        <v>63238.7788101058</v>
      </c>
      <c r="AC351" s="50" t="n">
        <f aca="false">SUMIFS('Activation Detail'!$I$4:$I$4003,'Activation Detail'!$A$4:$A$4003,$A351,'Activation Detail'!$N$4:$N$4003,Z$2)</f>
        <v>41624.452</v>
      </c>
      <c r="AD351" s="51" t="n">
        <f aca="false">IFERROR(AB351/AC351,0)</f>
        <v>1.51926994282365</v>
      </c>
      <c r="AE351" s="49" t="n">
        <f aca="false">IFERROR(AC351/Z351,0)</f>
        <v>74.6411133423989</v>
      </c>
    </row>
    <row r="352" customFormat="false" ht="15" hidden="false" customHeight="false" outlineLevel="0" collapsed="false">
      <c r="A352" s="43" t="n">
        <v>349</v>
      </c>
      <c r="B352" s="45" t="n">
        <f aca="false">SUM('Activation Detail'!C352,'Activation Detail'!C852,'Activation Detail'!C1352,'Activation Detail'!C1852,'Activation Detail'!C2352,'Activation Detail'!C2852,'Activation Detail'!C3352,'Activation Detail'!C3852)</f>
        <v>4169891</v>
      </c>
      <c r="C352" s="45" t="n">
        <f aca="false">SUM('Activation Detail'!E352,'Activation Detail'!E852,'Activation Detail'!E1352,'Activation Detail'!E1852,'Activation Detail'!E2352,'Activation Detail'!E2852,'Activation Detail'!E3352,'Activation Detail'!E3852)</f>
        <v>286899</v>
      </c>
      <c r="D352" s="45" t="n">
        <f aca="false">SUM('Activation Detail'!G352,'Activation Detail'!G852,'Activation Detail'!G1352,'Activation Detail'!G1852,'Activation Detail'!G2352,'Activation Detail'!G2852,'Activation Detail'!G3352,'Activation Detail'!G3852)</f>
        <v>12554</v>
      </c>
      <c r="E352" s="48" t="n">
        <f aca="false">SUM('Activation Detail'!H352,'Activation Detail'!H852,'Activation Detail'!H1352,'Activation Detail'!H1852,'Activation Detail'!H2352,'Activation Detail'!H2852,'Activation Detail'!H3352,'Activation Detail'!H3852)</f>
        <v>451.044760713718</v>
      </c>
      <c r="F352" s="50" t="n">
        <f aca="false">SUM('Activation Detail'!I352,'Activation Detail'!I852,'Activation Detail'!I1352,'Activation Detail'!I1852,'Activation Detail'!I2352,'Activation Detail'!I2852,'Activation Detail'!I3352,'Activation Detail'!I3852)</f>
        <v>72878.725476</v>
      </c>
      <c r="G352" s="50" t="n">
        <f aca="false">SUM('Activation Detail'!J352,'Activation Detail'!J852,'Activation Detail'!J1352,'Activation Detail'!J1852,'Activation Detail'!J2352,'Activation Detail'!J2852,'Activation Detail'!J3352,'Activation Detail'!J3852)</f>
        <v>2817288.1757557</v>
      </c>
      <c r="H352" s="50" t="n">
        <f aca="false">SUM('Activation Detail'!K352,'Activation Detail'!K852,'Activation Detail'!K1352,'Activation Detail'!K1852,'Activation Detail'!K2352,'Activation Detail'!K2852,'Activation Detail'!K3352,'Activation Detail'!K3852)</f>
        <v>60750.0118099382</v>
      </c>
      <c r="I352" s="51" t="n">
        <f aca="false">IFERROR(H352/F352,0)</f>
        <v>0.833576759378758</v>
      </c>
      <c r="J352" s="49" t="n">
        <f aca="false">IFERROR(F352/E352,0)</f>
        <v>161.577590128038</v>
      </c>
      <c r="K352" s="46" t="n">
        <f aca="false">IFERROR(C352/B352,0)</f>
        <v>0.0688025178595795</v>
      </c>
      <c r="L352" s="47" t="n">
        <f aca="false">IFERROR(D352/B352,0)</f>
        <v>0.00301063025388433</v>
      </c>
      <c r="N352" s="48" t="n">
        <f aca="false">SUMIFS('Activation Detail'!$H$4:$H$4003,'Activation Detail'!$A$4:$A$4003,$A352,'Activation Detail'!$N$4:$N$4003,N$2)</f>
        <v>59.0927634006553</v>
      </c>
      <c r="O352" s="50" t="n">
        <f aca="false">N352*'Model Inputs &amp; Assumptions'!$D$40*'Model Inputs &amp; Assumptions'!$H$40</f>
        <v>502288.48890557</v>
      </c>
      <c r="P352" s="50" t="n">
        <f aca="false">N352*'Model Inputs &amp; Assumptions'!$G$40*'Model Inputs &amp; Assumptions'!$H$40</f>
        <v>11301.4910003753</v>
      </c>
      <c r="Q352" s="50" t="n">
        <f aca="false">SUMIFS('Activation Detail'!$I$4:$I$4003,'Activation Detail'!$A$4:$A$4003,$A352,'Activation Detail'!$N$4:$N$4003,N$2)</f>
        <v>17589.7665</v>
      </c>
      <c r="R352" s="51" t="n">
        <f aca="false">IFERROR(P352/Q352,0)</f>
        <v>0.642503753553256</v>
      </c>
      <c r="S352" s="49" t="n">
        <f aca="false">IFERROR(Q352/N352,0)</f>
        <v>297.663630667253</v>
      </c>
      <c r="T352" s="48" t="n">
        <f aca="false">SUMIFS('Activation Detail'!$H$4:$H$4003,'Activation Detail'!$A$4:$A$4003,$A352,'Activation Detail'!$N$4:$N$4003,T$2)</f>
        <v>110.254945199769</v>
      </c>
      <c r="U352" s="50" t="n">
        <f aca="false">T352*'Model Inputs &amp; Assumptions'!$D$41*'Model Inputs &amp; Assumptions'!$H$41</f>
        <v>793835.605438338</v>
      </c>
      <c r="V352" s="50" t="n">
        <f aca="false">T352*'Model Inputs &amp; Assumptions'!$G$41*'Model Inputs &amp; Assumptions'!$H$41</f>
        <v>17504.0750999153</v>
      </c>
      <c r="W352" s="50" t="n">
        <f aca="false">SUMIFS('Activation Detail'!$I$4:$I$4003,'Activation Detail'!$A$4:$A$4003,$A352,'Activation Detail'!$N$4:$N$4003,T$2)</f>
        <v>15119.962976</v>
      </c>
      <c r="X352" s="51" t="n">
        <f aca="false">IFERROR(V352/W352,0)</f>
        <v>1.15767975938166</v>
      </c>
      <c r="Y352" s="49" t="n">
        <f aca="false">IFERROR(W352/T352,0)</f>
        <v>137.136370151964</v>
      </c>
      <c r="Z352" s="48" t="n">
        <f aca="false">SUMIFS('Activation Detail'!$H$4:$H$4003,'Activation Detail'!$A$4:$A$4003,$A352,'Activation Detail'!$N$4:$N$4003,Z$2)</f>
        <v>281.697052113294</v>
      </c>
      <c r="AA352" s="50" t="n">
        <f aca="false">Z352*'Model Inputs &amp; Assumptions'!$D$42*'Model Inputs &amp; Assumptions'!$H$42</f>
        <v>1521164.08141179</v>
      </c>
      <c r="AB352" s="50" t="n">
        <f aca="false">Z352*'Model Inputs &amp; Assumptions'!$G$42*'Model Inputs &amp; Assumptions'!$H$42</f>
        <v>31944.4457096475</v>
      </c>
      <c r="AC352" s="50" t="n">
        <f aca="false">SUMIFS('Activation Detail'!$I$4:$I$4003,'Activation Detail'!$A$4:$A$4003,$A352,'Activation Detail'!$N$4:$N$4003,Z$2)</f>
        <v>40168.996</v>
      </c>
      <c r="AD352" s="51" t="n">
        <f aca="false">IFERROR(AB352/AC352,0)</f>
        <v>0.795251285584722</v>
      </c>
      <c r="AE352" s="49" t="n">
        <f aca="false">IFERROR(AC352/Z352,0)</f>
        <v>142.596437196101</v>
      </c>
    </row>
    <row r="353" customFormat="false" ht="15" hidden="false" customHeight="false" outlineLevel="0" collapsed="false">
      <c r="A353" s="43" t="n">
        <v>350</v>
      </c>
      <c r="B353" s="45" t="n">
        <f aca="false">SUM('Activation Detail'!C353,'Activation Detail'!C853,'Activation Detail'!C1353,'Activation Detail'!C1853,'Activation Detail'!C2353,'Activation Detail'!C2853,'Activation Detail'!C3353,'Activation Detail'!C3853)</f>
        <v>4726326</v>
      </c>
      <c r="C353" s="45" t="n">
        <f aca="false">SUM('Activation Detail'!E353,'Activation Detail'!E853,'Activation Detail'!E1353,'Activation Detail'!E1853,'Activation Detail'!E2353,'Activation Detail'!E2853,'Activation Detail'!E3353,'Activation Detail'!E3853)</f>
        <v>441720</v>
      </c>
      <c r="D353" s="45" t="n">
        <f aca="false">SUM('Activation Detail'!G353,'Activation Detail'!G853,'Activation Detail'!G1353,'Activation Detail'!G1853,'Activation Detail'!G2353,'Activation Detail'!G2853,'Activation Detail'!G3353,'Activation Detail'!G3853)</f>
        <v>21641</v>
      </c>
      <c r="E353" s="48" t="n">
        <f aca="false">SUM('Activation Detail'!H353,'Activation Detail'!H853,'Activation Detail'!H1353,'Activation Detail'!H1853,'Activation Detail'!H2353,'Activation Detail'!H2853,'Activation Detail'!H3353,'Activation Detail'!H3853)</f>
        <v>1175.15996751871</v>
      </c>
      <c r="F353" s="50" t="n">
        <f aca="false">SUM('Activation Detail'!I353,'Activation Detail'!I853,'Activation Detail'!I1353,'Activation Detail'!I1853,'Activation Detail'!I2353,'Activation Detail'!I2853,'Activation Detail'!I3353,'Activation Detail'!I3853)</f>
        <v>77419.41426</v>
      </c>
      <c r="G353" s="50" t="n">
        <f aca="false">SUM('Activation Detail'!J353,'Activation Detail'!J853,'Activation Detail'!J1353,'Activation Detail'!J1853,'Activation Detail'!J2353,'Activation Detail'!J2853,'Activation Detail'!J3353,'Activation Detail'!J3853)</f>
        <v>7046342.24345077</v>
      </c>
      <c r="H353" s="50" t="n">
        <f aca="false">SUM('Activation Detail'!K353,'Activation Detail'!K853,'Activation Detail'!K1353,'Activation Detail'!K1853,'Activation Detail'!K2353,'Activation Detail'!K2853,'Activation Detail'!K3353,'Activation Detail'!K3853)</f>
        <v>150877.485549584</v>
      </c>
      <c r="I353" s="51" t="n">
        <f aca="false">IFERROR(H353/F353,0)</f>
        <v>1.94883269257098</v>
      </c>
      <c r="J353" s="49" t="n">
        <f aca="false">IFERROR(F353/E353,0)</f>
        <v>65.8798941419583</v>
      </c>
      <c r="K353" s="46" t="n">
        <f aca="false">IFERROR(C353/B353,0)</f>
        <v>0.0934594862901967</v>
      </c>
      <c r="L353" s="47" t="n">
        <f aca="false">IFERROR(D353/B353,0)</f>
        <v>0.00457882084308192</v>
      </c>
      <c r="N353" s="48" t="n">
        <f aca="false">SUMIFS('Activation Detail'!$H$4:$H$4003,'Activation Detail'!$A$4:$A$4003,$A353,'Activation Detail'!$N$4:$N$4003,N$2)</f>
        <v>139.670081671029</v>
      </c>
      <c r="O353" s="50" t="n">
        <f aca="false">N353*'Model Inputs &amp; Assumptions'!$D$40*'Model Inputs &amp; Assumptions'!$H$40</f>
        <v>1187195.69420374</v>
      </c>
      <c r="P353" s="50" t="n">
        <f aca="false">N353*'Model Inputs &amp; Assumptions'!$G$40*'Model Inputs &amp; Assumptions'!$H$40</f>
        <v>26711.9031195842</v>
      </c>
      <c r="Q353" s="50" t="n">
        <f aca="false">SUMIFS('Activation Detail'!$I$4:$I$4003,'Activation Detail'!$A$4:$A$4003,$A353,'Activation Detail'!$N$4:$N$4003,N$2)</f>
        <v>18245.4605</v>
      </c>
      <c r="R353" s="51" t="n">
        <f aca="false">IFERROR(P353/Q353,0)</f>
        <v>1.46403008680347</v>
      </c>
      <c r="S353" s="49" t="n">
        <f aca="false">IFERROR(Q353/N353,0)</f>
        <v>130.632561259428</v>
      </c>
      <c r="T353" s="48" t="n">
        <f aca="false">SUMIFS('Activation Detail'!$H$4:$H$4003,'Activation Detail'!$A$4:$A$4003,$A353,'Activation Detail'!$N$4:$N$4003,T$2)</f>
        <v>148.61175870529</v>
      </c>
      <c r="U353" s="50" t="n">
        <f aca="false">T353*'Model Inputs &amp; Assumptions'!$D$41*'Model Inputs &amp; Assumptions'!$H$41</f>
        <v>1070004.66267809</v>
      </c>
      <c r="V353" s="50" t="n">
        <f aca="false">T353*'Model Inputs &amp; Assumptions'!$G$41*'Model Inputs &amp; Assumptions'!$H$41</f>
        <v>23593.6028120519</v>
      </c>
      <c r="W353" s="50" t="n">
        <f aca="false">SUMIFS('Activation Detail'!$I$4:$I$4003,'Activation Detail'!$A$4:$A$4003,$A353,'Activation Detail'!$N$4:$N$4003,T$2)</f>
        <v>18812.89776</v>
      </c>
      <c r="X353" s="51" t="n">
        <f aca="false">IFERROR(V353/W353,0)</f>
        <v>1.2541184836616</v>
      </c>
      <c r="Y353" s="49" t="n">
        <f aca="false">IFERROR(W353/T353,0)</f>
        <v>126.590909924615</v>
      </c>
      <c r="Z353" s="48" t="n">
        <f aca="false">SUMIFS('Activation Detail'!$H$4:$H$4003,'Activation Detail'!$A$4:$A$4003,$A353,'Activation Detail'!$N$4:$N$4003,Z$2)</f>
        <v>886.878127142395</v>
      </c>
      <c r="AA353" s="50" t="n">
        <f aca="false">Z353*'Model Inputs &amp; Assumptions'!$D$42*'Model Inputs &amp; Assumptions'!$H$42</f>
        <v>4789141.88656893</v>
      </c>
      <c r="AB353" s="50" t="n">
        <f aca="false">Z353*'Model Inputs &amp; Assumptions'!$G$42*'Model Inputs &amp; Assumptions'!$H$42</f>
        <v>100571.979617948</v>
      </c>
      <c r="AC353" s="50" t="n">
        <f aca="false">SUMIFS('Activation Detail'!$I$4:$I$4003,'Activation Detail'!$A$4:$A$4003,$A353,'Activation Detail'!$N$4:$N$4003,Z$2)</f>
        <v>40361.056</v>
      </c>
      <c r="AD353" s="51" t="n">
        <f aca="false">IFERROR(AB353/AC353,0)</f>
        <v>2.49180743977431</v>
      </c>
      <c r="AE353" s="49" t="n">
        <f aca="false">IFERROR(AC353/Z353,0)</f>
        <v>45.509134530183</v>
      </c>
    </row>
    <row r="354" customFormat="false" ht="15" hidden="false" customHeight="false" outlineLevel="0" collapsed="false">
      <c r="A354" s="43" t="n">
        <v>351</v>
      </c>
      <c r="B354" s="45" t="n">
        <f aca="false">SUM('Activation Detail'!C354,'Activation Detail'!C854,'Activation Detail'!C1354,'Activation Detail'!C1854,'Activation Detail'!C2354,'Activation Detail'!C2854,'Activation Detail'!C3354,'Activation Detail'!C3854)</f>
        <v>4621763</v>
      </c>
      <c r="C354" s="45" t="n">
        <f aca="false">SUM('Activation Detail'!E354,'Activation Detail'!E854,'Activation Detail'!E1354,'Activation Detail'!E1854,'Activation Detail'!E2354,'Activation Detail'!E2854,'Activation Detail'!E3354,'Activation Detail'!E3854)</f>
        <v>314947</v>
      </c>
      <c r="D354" s="45" t="n">
        <f aca="false">SUM('Activation Detail'!G354,'Activation Detail'!G854,'Activation Detail'!G1354,'Activation Detail'!G1854,'Activation Detail'!G2354,'Activation Detail'!G2854,'Activation Detail'!G3354,'Activation Detail'!G3854)</f>
        <v>19626</v>
      </c>
      <c r="E354" s="48" t="n">
        <f aca="false">SUM('Activation Detail'!H354,'Activation Detail'!H854,'Activation Detail'!H1354,'Activation Detail'!H1854,'Activation Detail'!H2354,'Activation Detail'!H2854,'Activation Detail'!H3354,'Activation Detail'!H3854)</f>
        <v>1304.09566932584</v>
      </c>
      <c r="F354" s="50" t="n">
        <f aca="false">SUM('Activation Detail'!I354,'Activation Detail'!I854,'Activation Detail'!I1354,'Activation Detail'!I1854,'Activation Detail'!I2354,'Activation Detail'!I2854,'Activation Detail'!I3354,'Activation Detail'!I3854)</f>
        <v>77118.277556</v>
      </c>
      <c r="G354" s="50" t="n">
        <f aca="false">SUM('Activation Detail'!J354,'Activation Detail'!J854,'Activation Detail'!J1354,'Activation Detail'!J1854,'Activation Detail'!J2354,'Activation Detail'!J2854,'Activation Detail'!J3354,'Activation Detail'!J3854)</f>
        <v>7515170.32436098</v>
      </c>
      <c r="H354" s="50" t="n">
        <f aca="false">SUM('Activation Detail'!K354,'Activation Detail'!K854,'Activation Detail'!K1354,'Activation Detail'!K1854,'Activation Detail'!K2354,'Activation Detail'!K2854,'Activation Detail'!K3354,'Activation Detail'!K3854)</f>
        <v>159785.333477822</v>
      </c>
      <c r="I354" s="51" t="n">
        <f aca="false">IFERROR(H354/F354,0)</f>
        <v>2.07195153395111</v>
      </c>
      <c r="J354" s="49" t="n">
        <f aca="false">IFERROR(F354/E354,0)</f>
        <v>59.1354448679881</v>
      </c>
      <c r="K354" s="46" t="n">
        <f aca="false">IFERROR(C354/B354,0)</f>
        <v>0.0681443423213177</v>
      </c>
      <c r="L354" s="47" t="n">
        <f aca="false">IFERROR(D354/B354,0)</f>
        <v>0.00424643150243749</v>
      </c>
      <c r="N354" s="48" t="n">
        <f aca="false">SUMIFS('Activation Detail'!$H$4:$H$4003,'Activation Detail'!$A$4:$A$4003,$A354,'Activation Detail'!$N$4:$N$4003,N$2)</f>
        <v>74.3293176476786</v>
      </c>
      <c r="O354" s="50" t="n">
        <f aca="false">N354*'Model Inputs &amp; Assumptions'!$D$40*'Model Inputs &amp; Assumptions'!$H$40</f>
        <v>631799.200005268</v>
      </c>
      <c r="P354" s="50" t="n">
        <f aca="false">N354*'Model Inputs &amp; Assumptions'!$G$40*'Model Inputs &amp; Assumptions'!$H$40</f>
        <v>14215.4820001185</v>
      </c>
      <c r="Q354" s="50" t="n">
        <f aca="false">SUMIFS('Activation Detail'!$I$4:$I$4003,'Activation Detail'!$A$4:$A$4003,$A354,'Activation Detail'!$N$4:$N$4003,N$2)</f>
        <v>17692.0245</v>
      </c>
      <c r="R354" s="51" t="n">
        <f aca="false">IFERROR(P354/Q354,0)</f>
        <v>0.803496626410309</v>
      </c>
      <c r="S354" s="49" t="n">
        <f aca="false">IFERROR(Q354/N354,0)</f>
        <v>238.022156800367</v>
      </c>
      <c r="T354" s="48" t="n">
        <f aca="false">SUMIFS('Activation Detail'!$H$4:$H$4003,'Activation Detail'!$A$4:$A$4003,$A354,'Activation Detail'!$N$4:$N$4003,T$2)</f>
        <v>134.796014052036</v>
      </c>
      <c r="U354" s="50" t="n">
        <f aca="false">T354*'Model Inputs &amp; Assumptions'!$D$41*'Model Inputs &amp; Assumptions'!$H$41</f>
        <v>970531.301174657</v>
      </c>
      <c r="V354" s="50" t="n">
        <f aca="false">T354*'Model Inputs &amp; Assumptions'!$G$41*'Model Inputs &amp; Assumptions'!$H$41</f>
        <v>21400.2151909012</v>
      </c>
      <c r="W354" s="50" t="n">
        <f aca="false">SUMIFS('Activation Detail'!$I$4:$I$4003,'Activation Detail'!$A$4:$A$4003,$A354,'Activation Detail'!$N$4:$N$4003,T$2)</f>
        <v>16182.605056</v>
      </c>
      <c r="X354" s="51" t="n">
        <f aca="false">IFERROR(V354/W354,0)</f>
        <v>1.32242090299093</v>
      </c>
      <c r="Y354" s="49" t="n">
        <f aca="false">IFERROR(W354/T354,0)</f>
        <v>120.052548807215</v>
      </c>
      <c r="Z354" s="48" t="n">
        <f aca="false">SUMIFS('Activation Detail'!$H$4:$H$4003,'Activation Detail'!$A$4:$A$4003,$A354,'Activation Detail'!$N$4:$N$4003,Z$2)</f>
        <v>1094.97033762612</v>
      </c>
      <c r="AA354" s="50" t="n">
        <f aca="false">Z354*'Model Inputs &amp; Assumptions'!$D$42*'Model Inputs &amp; Assumptions'!$H$42</f>
        <v>5912839.82318105</v>
      </c>
      <c r="AB354" s="50" t="n">
        <f aca="false">Z354*'Model Inputs &amp; Assumptions'!$G$42*'Model Inputs &amp; Assumptions'!$H$42</f>
        <v>124169.636286802</v>
      </c>
      <c r="AC354" s="50" t="n">
        <f aca="false">SUMIFS('Activation Detail'!$I$4:$I$4003,'Activation Detail'!$A$4:$A$4003,$A354,'Activation Detail'!$N$4:$N$4003,Z$2)</f>
        <v>43243.648</v>
      </c>
      <c r="AD354" s="51" t="n">
        <f aca="false">IFERROR(AB354/AC354,0)</f>
        <v>2.87139596286609</v>
      </c>
      <c r="AE354" s="49" t="n">
        <f aca="false">IFERROR(AC354/Z354,0)</f>
        <v>39.4929858043019</v>
      </c>
    </row>
    <row r="355" customFormat="false" ht="15" hidden="false" customHeight="false" outlineLevel="0" collapsed="false">
      <c r="A355" s="43" t="n">
        <v>352</v>
      </c>
      <c r="B355" s="45" t="n">
        <f aca="false">SUM('Activation Detail'!C355,'Activation Detail'!C855,'Activation Detail'!C1355,'Activation Detail'!C1855,'Activation Detail'!C2355,'Activation Detail'!C2855,'Activation Detail'!C3355,'Activation Detail'!C3855)</f>
        <v>4184392</v>
      </c>
      <c r="C355" s="45" t="n">
        <f aca="false">SUM('Activation Detail'!E355,'Activation Detail'!E855,'Activation Detail'!E1355,'Activation Detail'!E1855,'Activation Detail'!E2355,'Activation Detail'!E2855,'Activation Detail'!E3355,'Activation Detail'!E3855)</f>
        <v>412479</v>
      </c>
      <c r="D355" s="45" t="n">
        <f aca="false">SUM('Activation Detail'!G355,'Activation Detail'!G855,'Activation Detail'!G1355,'Activation Detail'!G1855,'Activation Detail'!G2355,'Activation Detail'!G2855,'Activation Detail'!G3355,'Activation Detail'!G3855)</f>
        <v>17330</v>
      </c>
      <c r="E355" s="48" t="n">
        <f aca="false">SUM('Activation Detail'!H355,'Activation Detail'!H855,'Activation Detail'!H1355,'Activation Detail'!H1855,'Activation Detail'!H2355,'Activation Detail'!H2855,'Activation Detail'!H3355,'Activation Detail'!H3855)</f>
        <v>804.329072839868</v>
      </c>
      <c r="F355" s="50" t="n">
        <f aca="false">SUM('Activation Detail'!I355,'Activation Detail'!I855,'Activation Detail'!I1355,'Activation Detail'!I1855,'Activation Detail'!I2355,'Activation Detail'!I2855,'Activation Detail'!I3355,'Activation Detail'!I3855)</f>
        <v>76235.962636</v>
      </c>
      <c r="G355" s="50" t="n">
        <f aca="false">SUM('Activation Detail'!J355,'Activation Detail'!J855,'Activation Detail'!J1355,'Activation Detail'!J1855,'Activation Detail'!J2355,'Activation Detail'!J2855,'Activation Detail'!J3355,'Activation Detail'!J3855)</f>
        <v>5079937.93500261</v>
      </c>
      <c r="H355" s="50" t="n">
        <f aca="false">SUM('Activation Detail'!K355,'Activation Detail'!K855,'Activation Detail'!K1355,'Activation Detail'!K1855,'Activation Detail'!K2355,'Activation Detail'!K2855,'Activation Detail'!K3355,'Activation Detail'!K3855)</f>
        <v>109747.125242803</v>
      </c>
      <c r="I355" s="51" t="n">
        <f aca="false">IFERROR(H355/F355,0)</f>
        <v>1.43957158076179</v>
      </c>
      <c r="J355" s="49" t="n">
        <f aca="false">IFERROR(F355/E355,0)</f>
        <v>94.7820552685376</v>
      </c>
      <c r="K355" s="46" t="n">
        <f aca="false">IFERROR(C355/B355,0)</f>
        <v>0.0985756114627884</v>
      </c>
      <c r="L355" s="47" t="n">
        <f aca="false">IFERROR(D355/B355,0)</f>
        <v>0.00414158138147669</v>
      </c>
      <c r="N355" s="48" t="n">
        <f aca="false">SUMIFS('Activation Detail'!$H$4:$H$4003,'Activation Detail'!$A$4:$A$4003,$A355,'Activation Detail'!$N$4:$N$4003,N$2)</f>
        <v>93.0642490896477</v>
      </c>
      <c r="O355" s="50" t="n">
        <f aca="false">N355*'Model Inputs &amp; Assumptions'!$D$40*'Model Inputs &amp; Assumptions'!$H$40</f>
        <v>791046.117262005</v>
      </c>
      <c r="P355" s="50" t="n">
        <f aca="false">N355*'Model Inputs &amp; Assumptions'!$G$40*'Model Inputs &amp; Assumptions'!$H$40</f>
        <v>17798.5376383951</v>
      </c>
      <c r="Q355" s="50" t="n">
        <f aca="false">SUMIFS('Activation Detail'!$I$4:$I$4003,'Activation Detail'!$A$4:$A$4003,$A355,'Activation Detail'!$N$4:$N$4003,N$2)</f>
        <v>18392.588</v>
      </c>
      <c r="R355" s="51" t="n">
        <f aca="false">IFERROR(P355/Q355,0)</f>
        <v>0.967701643640097</v>
      </c>
      <c r="S355" s="49" t="n">
        <f aca="false">IFERROR(Q355/N355,0)</f>
        <v>197.633228440737</v>
      </c>
      <c r="T355" s="48" t="n">
        <f aca="false">SUMIFS('Activation Detail'!$H$4:$H$4003,'Activation Detail'!$A$4:$A$4003,$A355,'Activation Detail'!$N$4:$N$4003,T$2)</f>
        <v>248.923205271896</v>
      </c>
      <c r="U355" s="50" t="n">
        <f aca="false">T355*'Model Inputs &amp; Assumptions'!$D$41*'Model Inputs &amp; Assumptions'!$H$41</f>
        <v>1792247.07795765</v>
      </c>
      <c r="V355" s="50" t="n">
        <f aca="false">T355*'Model Inputs &amp; Assumptions'!$G$41*'Model Inputs &amp; Assumptions'!$H$41</f>
        <v>39519.0480689662</v>
      </c>
      <c r="W355" s="50" t="n">
        <f aca="false">SUMIFS('Activation Detail'!$I$4:$I$4003,'Activation Detail'!$A$4:$A$4003,$A355,'Activation Detail'!$N$4:$N$4003,T$2)</f>
        <v>21857.746636</v>
      </c>
      <c r="X355" s="51" t="n">
        <f aca="false">IFERROR(V355/W355,0)</f>
        <v>1.80801107850147</v>
      </c>
      <c r="Y355" s="49" t="n">
        <f aca="false">IFERROR(W355/T355,0)</f>
        <v>87.8091964633231</v>
      </c>
      <c r="Z355" s="48" t="n">
        <f aca="false">SUMIFS('Activation Detail'!$H$4:$H$4003,'Activation Detail'!$A$4:$A$4003,$A355,'Activation Detail'!$N$4:$N$4003,Z$2)</f>
        <v>462.341618478325</v>
      </c>
      <c r="AA355" s="50" t="n">
        <f aca="false">Z355*'Model Inputs &amp; Assumptions'!$D$42*'Model Inputs &amp; Assumptions'!$H$42</f>
        <v>2496644.73978295</v>
      </c>
      <c r="AB355" s="50" t="n">
        <f aca="false">Z355*'Model Inputs &amp; Assumptions'!$G$42*'Model Inputs &amp; Assumptions'!$H$42</f>
        <v>52429.539535442</v>
      </c>
      <c r="AC355" s="50" t="n">
        <f aca="false">SUMIFS('Activation Detail'!$I$4:$I$4003,'Activation Detail'!$A$4:$A$4003,$A355,'Activation Detail'!$N$4:$N$4003,Z$2)</f>
        <v>35985.628</v>
      </c>
      <c r="AD355" s="51" t="n">
        <f aca="false">IFERROR(AB355/AC355,0)</f>
        <v>1.45695774811661</v>
      </c>
      <c r="AE355" s="49" t="n">
        <f aca="false">IFERROR(AC355/Z355,0)</f>
        <v>77.8334170270831</v>
      </c>
    </row>
    <row r="356" customFormat="false" ht="15" hidden="false" customHeight="false" outlineLevel="0" collapsed="false">
      <c r="A356" s="43" t="n">
        <v>353</v>
      </c>
      <c r="B356" s="45" t="n">
        <f aca="false">SUM('Activation Detail'!C356,'Activation Detail'!C856,'Activation Detail'!C1356,'Activation Detail'!C1856,'Activation Detail'!C2356,'Activation Detail'!C2856,'Activation Detail'!C3356,'Activation Detail'!C3856)</f>
        <v>4113758</v>
      </c>
      <c r="C356" s="45" t="n">
        <f aca="false">SUM('Activation Detail'!E356,'Activation Detail'!E856,'Activation Detail'!E1356,'Activation Detail'!E1856,'Activation Detail'!E2356,'Activation Detail'!E2856,'Activation Detail'!E3356,'Activation Detail'!E3856)</f>
        <v>514110</v>
      </c>
      <c r="D356" s="45" t="n">
        <f aca="false">SUM('Activation Detail'!G356,'Activation Detail'!G856,'Activation Detail'!G1356,'Activation Detail'!G1856,'Activation Detail'!G2356,'Activation Detail'!G2856,'Activation Detail'!G3356,'Activation Detail'!G3856)</f>
        <v>16426</v>
      </c>
      <c r="E356" s="48" t="n">
        <f aca="false">SUM('Activation Detail'!H356,'Activation Detail'!H856,'Activation Detail'!H1356,'Activation Detail'!H1856,'Activation Detail'!H2356,'Activation Detail'!H2856,'Activation Detail'!H3356,'Activation Detail'!H3856)</f>
        <v>711.909402214992</v>
      </c>
      <c r="F356" s="50" t="n">
        <f aca="false">SUM('Activation Detail'!I356,'Activation Detail'!I856,'Activation Detail'!I1356,'Activation Detail'!I1856,'Activation Detail'!I2356,'Activation Detail'!I2856,'Activation Detail'!I3356,'Activation Detail'!I3856)</f>
        <v>73929.695292</v>
      </c>
      <c r="G356" s="50" t="n">
        <f aca="false">SUM('Activation Detail'!J356,'Activation Detail'!J856,'Activation Detail'!J1356,'Activation Detail'!J1856,'Activation Detail'!J2356,'Activation Detail'!J2856,'Activation Detail'!J3356,'Activation Detail'!J3856)</f>
        <v>4468585.32064353</v>
      </c>
      <c r="H356" s="50" t="n">
        <f aca="false">SUM('Activation Detail'!K356,'Activation Detail'!K856,'Activation Detail'!K1356,'Activation Detail'!K1856,'Activation Detail'!K2356,'Activation Detail'!K2856,'Activation Detail'!K3356,'Activation Detail'!K3856)</f>
        <v>96437.6447461986</v>
      </c>
      <c r="I356" s="51" t="n">
        <f aca="false">IFERROR(H356/F356,0)</f>
        <v>1.30445072667078</v>
      </c>
      <c r="J356" s="49" t="n">
        <f aca="false">IFERROR(F356/E356,0)</f>
        <v>103.847055625308</v>
      </c>
      <c r="K356" s="46" t="n">
        <f aca="false">IFERROR(C356/B356,0)</f>
        <v>0.124973321230855</v>
      </c>
      <c r="L356" s="47" t="n">
        <f aca="false">IFERROR(D356/B356,0)</f>
        <v>0.00399294270591513</v>
      </c>
      <c r="N356" s="48" t="n">
        <f aca="false">SUMIFS('Activation Detail'!$H$4:$H$4003,'Activation Detail'!$A$4:$A$4003,$A356,'Activation Detail'!$N$4:$N$4003,N$2)</f>
        <v>91.1114510452634</v>
      </c>
      <c r="O356" s="50" t="n">
        <f aca="false">N356*'Model Inputs &amp; Assumptions'!$D$40*'Model Inputs &amp; Assumptions'!$H$40</f>
        <v>774447.333884739</v>
      </c>
      <c r="P356" s="50" t="n">
        <f aca="false">N356*'Model Inputs &amp; Assumptions'!$G$40*'Model Inputs &amp; Assumptions'!$H$40</f>
        <v>17425.0650124066</v>
      </c>
      <c r="Q356" s="50" t="n">
        <f aca="false">SUMIFS('Activation Detail'!$I$4:$I$4003,'Activation Detail'!$A$4:$A$4003,$A356,'Activation Detail'!$N$4:$N$4003,N$2)</f>
        <v>18314.367</v>
      </c>
      <c r="R356" s="51" t="n">
        <f aca="false">IFERROR(P356/Q356,0)</f>
        <v>0.951442384681198</v>
      </c>
      <c r="S356" s="49" t="n">
        <f aca="false">IFERROR(Q356/N356,0)</f>
        <v>201.010595154517</v>
      </c>
      <c r="T356" s="48" t="n">
        <f aca="false">SUMIFS('Activation Detail'!$H$4:$H$4003,'Activation Detail'!$A$4:$A$4003,$A356,'Activation Detail'!$N$4:$N$4003,T$2)</f>
        <v>189.905028023473</v>
      </c>
      <c r="U356" s="50" t="n">
        <f aca="false">T356*'Model Inputs &amp; Assumptions'!$D$41*'Model Inputs &amp; Assumptions'!$H$41</f>
        <v>1367316.20176901</v>
      </c>
      <c r="V356" s="50" t="n">
        <f aca="false">T356*'Model Inputs &amp; Assumptions'!$G$41*'Model Inputs &amp; Assumptions'!$H$41</f>
        <v>30149.3222490066</v>
      </c>
      <c r="W356" s="50" t="n">
        <f aca="false">SUMIFS('Activation Detail'!$I$4:$I$4003,'Activation Detail'!$A$4:$A$4003,$A356,'Activation Detail'!$N$4:$N$4003,T$2)</f>
        <v>21117.364292</v>
      </c>
      <c r="X356" s="51" t="n">
        <f aca="false">IFERROR(V356/W356,0)</f>
        <v>1.42770290042438</v>
      </c>
      <c r="Y356" s="49" t="n">
        <f aca="false">IFERROR(W356/T356,0)</f>
        <v>111.199605991421</v>
      </c>
      <c r="Z356" s="48" t="n">
        <f aca="false">SUMIFS('Activation Detail'!$H$4:$H$4003,'Activation Detail'!$A$4:$A$4003,$A356,'Activation Detail'!$N$4:$N$4003,Z$2)</f>
        <v>430.892923146256</v>
      </c>
      <c r="AA356" s="50" t="n">
        <f aca="false">Z356*'Model Inputs &amp; Assumptions'!$D$42*'Model Inputs &amp; Assumptions'!$H$42</f>
        <v>2326821.78498978</v>
      </c>
      <c r="AB356" s="50" t="n">
        <f aca="false">Z356*'Model Inputs &amp; Assumptions'!$G$42*'Model Inputs &amp; Assumptions'!$H$42</f>
        <v>48863.2574847854</v>
      </c>
      <c r="AC356" s="50" t="n">
        <f aca="false">SUMIFS('Activation Detail'!$I$4:$I$4003,'Activation Detail'!$A$4:$A$4003,$A356,'Activation Detail'!$N$4:$N$4003,Z$2)</f>
        <v>34497.964</v>
      </c>
      <c r="AD356" s="51" t="n">
        <f aca="false">IFERROR(AB356/AC356,0)</f>
        <v>1.41640989261817</v>
      </c>
      <c r="AE356" s="49" t="n">
        <f aca="false">IFERROR(AC356/Z356,0)</f>
        <v>80.0615701648239</v>
      </c>
    </row>
    <row r="357" customFormat="false" ht="15" hidden="false" customHeight="false" outlineLevel="0" collapsed="false">
      <c r="A357" s="43" t="n">
        <v>354</v>
      </c>
      <c r="B357" s="45" t="n">
        <f aca="false">SUM('Activation Detail'!C357,'Activation Detail'!C857,'Activation Detail'!C1357,'Activation Detail'!C1857,'Activation Detail'!C2357,'Activation Detail'!C2857,'Activation Detail'!C3357,'Activation Detail'!C3857)</f>
        <v>3588729</v>
      </c>
      <c r="C357" s="45" t="n">
        <f aca="false">SUM('Activation Detail'!E357,'Activation Detail'!E857,'Activation Detail'!E1357,'Activation Detail'!E1857,'Activation Detail'!E2357,'Activation Detail'!E2857,'Activation Detail'!E3357,'Activation Detail'!E3857)</f>
        <v>287458</v>
      </c>
      <c r="D357" s="45" t="n">
        <f aca="false">SUM('Activation Detail'!G357,'Activation Detail'!G857,'Activation Detail'!G1357,'Activation Detail'!G1857,'Activation Detail'!G2357,'Activation Detail'!G2857,'Activation Detail'!G3357,'Activation Detail'!G3857)</f>
        <v>11466</v>
      </c>
      <c r="E357" s="48" t="n">
        <f aca="false">SUM('Activation Detail'!H357,'Activation Detail'!H857,'Activation Detail'!H1357,'Activation Detail'!H1857,'Activation Detail'!H2357,'Activation Detail'!H2857,'Activation Detail'!H3357,'Activation Detail'!H3857)</f>
        <v>421.01628802298</v>
      </c>
      <c r="F357" s="50" t="n">
        <f aca="false">SUM('Activation Detail'!I357,'Activation Detail'!I857,'Activation Detail'!I1357,'Activation Detail'!I1857,'Activation Detail'!I2357,'Activation Detail'!I2857,'Activation Detail'!I3357,'Activation Detail'!I3857)</f>
        <v>70096.740642</v>
      </c>
      <c r="G357" s="50" t="n">
        <f aca="false">SUM('Activation Detail'!J357,'Activation Detail'!J857,'Activation Detail'!J1357,'Activation Detail'!J1857,'Activation Detail'!J2357,'Activation Detail'!J2857,'Activation Detail'!J3357,'Activation Detail'!J3857)</f>
        <v>2703799.63103075</v>
      </c>
      <c r="H357" s="50" t="n">
        <f aca="false">SUM('Activation Detail'!K357,'Activation Detail'!K857,'Activation Detail'!K1357,'Activation Detail'!K1857,'Activation Detail'!K2357,'Activation Detail'!K2857,'Activation Detail'!K3357,'Activation Detail'!K3857)</f>
        <v>58568.1335319077</v>
      </c>
      <c r="I357" s="51" t="n">
        <f aca="false">IFERROR(H357/F357,0)</f>
        <v>0.835532907742864</v>
      </c>
      <c r="J357" s="49" t="n">
        <f aca="false">IFERROR(F357/E357,0)</f>
        <v>166.494130122999</v>
      </c>
      <c r="K357" s="46" t="n">
        <f aca="false">IFERROR(C357/B357,0)</f>
        <v>0.0801002248985644</v>
      </c>
      <c r="L357" s="47" t="n">
        <f aca="false">IFERROR(D357/B357,0)</f>
        <v>0.00319500302196126</v>
      </c>
      <c r="N357" s="48" t="n">
        <f aca="false">SUMIFS('Activation Detail'!$H$4:$H$4003,'Activation Detail'!$A$4:$A$4003,$A357,'Activation Detail'!$N$4:$N$4003,N$2)</f>
        <v>70.2509544667723</v>
      </c>
      <c r="O357" s="50" t="n">
        <f aca="false">N357*'Model Inputs &amp; Assumptions'!$D$40*'Model Inputs &amp; Assumptions'!$H$40</f>
        <v>597133.112967564</v>
      </c>
      <c r="P357" s="50" t="n">
        <f aca="false">N357*'Model Inputs &amp; Assumptions'!$G$40*'Model Inputs &amp; Assumptions'!$H$40</f>
        <v>13435.4950417702</v>
      </c>
      <c r="Q357" s="50" t="n">
        <f aca="false">SUMIFS('Activation Detail'!$I$4:$I$4003,'Activation Detail'!$A$4:$A$4003,$A357,'Activation Detail'!$N$4:$N$4003,N$2)</f>
        <v>18672.725</v>
      </c>
      <c r="R357" s="51" t="n">
        <f aca="false">IFERROR(P357/Q357,0)</f>
        <v>0.719525138498543</v>
      </c>
      <c r="S357" s="49" t="n">
        <f aca="false">IFERROR(Q357/N357,0)</f>
        <v>265.800303237616</v>
      </c>
      <c r="T357" s="48" t="n">
        <f aca="false">SUMIFS('Activation Detail'!$H$4:$H$4003,'Activation Detail'!$A$4:$A$4003,$A357,'Activation Detail'!$N$4:$N$4003,T$2)</f>
        <v>118.074287144257</v>
      </c>
      <c r="U357" s="50" t="n">
        <f aca="false">T357*'Model Inputs &amp; Assumptions'!$D$41*'Model Inputs &amp; Assumptions'!$H$41</f>
        <v>850134.867438651</v>
      </c>
      <c r="V357" s="50" t="n">
        <f aca="false">T357*'Model Inputs &amp; Assumptions'!$G$41*'Model Inputs &amp; Assumptions'!$H$41</f>
        <v>18745.4738270223</v>
      </c>
      <c r="W357" s="50" t="n">
        <f aca="false">SUMIFS('Activation Detail'!$I$4:$I$4003,'Activation Detail'!$A$4:$A$4003,$A357,'Activation Detail'!$N$4:$N$4003,T$2)</f>
        <v>15366.243642</v>
      </c>
      <c r="X357" s="51" t="n">
        <f aca="false">IFERROR(V357/W357,0)</f>
        <v>1.21991257354439</v>
      </c>
      <c r="Y357" s="49" t="n">
        <f aca="false">IFERROR(W357/T357,0)</f>
        <v>130.140473541257</v>
      </c>
      <c r="Z357" s="48" t="n">
        <f aca="false">SUMIFS('Activation Detail'!$H$4:$H$4003,'Activation Detail'!$A$4:$A$4003,$A357,'Activation Detail'!$N$4:$N$4003,Z$2)</f>
        <v>232.691046411951</v>
      </c>
      <c r="AA357" s="50" t="n">
        <f aca="false">Z357*'Model Inputs &amp; Assumptions'!$D$42*'Model Inputs &amp; Assumptions'!$H$42</f>
        <v>1256531.65062453</v>
      </c>
      <c r="AB357" s="50" t="n">
        <f aca="false">Z357*'Model Inputs &amp; Assumptions'!$G$42*'Model Inputs &amp; Assumptions'!$H$42</f>
        <v>26387.1646631152</v>
      </c>
      <c r="AC357" s="50" t="n">
        <f aca="false">SUMIFS('Activation Detail'!$I$4:$I$4003,'Activation Detail'!$A$4:$A$4003,$A357,'Activation Detail'!$N$4:$N$4003,Z$2)</f>
        <v>36057.772</v>
      </c>
      <c r="AD357" s="51" t="n">
        <f aca="false">IFERROR(AB357/AC357,0)</f>
        <v>0.731802415942815</v>
      </c>
      <c r="AE357" s="49" t="n">
        <f aca="false">IFERROR(AC357/Z357,0)</f>
        <v>154.959860106367</v>
      </c>
    </row>
    <row r="358" customFormat="false" ht="15" hidden="false" customHeight="false" outlineLevel="0" collapsed="false">
      <c r="A358" s="43" t="n">
        <v>355</v>
      </c>
      <c r="B358" s="45" t="n">
        <f aca="false">SUM('Activation Detail'!C358,'Activation Detail'!C858,'Activation Detail'!C1358,'Activation Detail'!C1858,'Activation Detail'!C2358,'Activation Detail'!C2858,'Activation Detail'!C3358,'Activation Detail'!C3858)</f>
        <v>3990836</v>
      </c>
      <c r="C358" s="45" t="n">
        <f aca="false">SUM('Activation Detail'!E358,'Activation Detail'!E858,'Activation Detail'!E1358,'Activation Detail'!E1858,'Activation Detail'!E2358,'Activation Detail'!E2858,'Activation Detail'!E3358,'Activation Detail'!E3858)</f>
        <v>344194</v>
      </c>
      <c r="D358" s="45" t="n">
        <f aca="false">SUM('Activation Detail'!G358,'Activation Detail'!G858,'Activation Detail'!G1358,'Activation Detail'!G1858,'Activation Detail'!G2358,'Activation Detail'!G2858,'Activation Detail'!G3358,'Activation Detail'!G3858)</f>
        <v>14027</v>
      </c>
      <c r="E358" s="48" t="n">
        <f aca="false">SUM('Activation Detail'!H358,'Activation Detail'!H858,'Activation Detail'!H1358,'Activation Detail'!H1858,'Activation Detail'!H2358,'Activation Detail'!H2858,'Activation Detail'!H3358,'Activation Detail'!H3858)</f>
        <v>599.321959266874</v>
      </c>
      <c r="F358" s="50" t="n">
        <f aca="false">SUM('Activation Detail'!I358,'Activation Detail'!I858,'Activation Detail'!I1358,'Activation Detail'!I1858,'Activation Detail'!I2358,'Activation Detail'!I2858,'Activation Detail'!I3358,'Activation Detail'!I3858)</f>
        <v>74766.18173</v>
      </c>
      <c r="G358" s="50" t="n">
        <f aca="false">SUM('Activation Detail'!J358,'Activation Detail'!J858,'Activation Detail'!J1358,'Activation Detail'!J1858,'Activation Detail'!J2358,'Activation Detail'!J2858,'Activation Detail'!J3358,'Activation Detail'!J3858)</f>
        <v>3789585.28617811</v>
      </c>
      <c r="H358" s="50" t="n">
        <f aca="false">SUM('Activation Detail'!K358,'Activation Detail'!K858,'Activation Detail'!K1358,'Activation Detail'!K1858,'Activation Detail'!K2358,'Activation Detail'!K2858,'Activation Detail'!K3358,'Activation Detail'!K3858)</f>
        <v>81885.875007934</v>
      </c>
      <c r="I358" s="51" t="n">
        <f aca="false">IFERROR(H358/F358,0)</f>
        <v>1.09522611845614</v>
      </c>
      <c r="J358" s="49" t="n">
        <f aca="false">IFERROR(F358/E358,0)</f>
        <v>124.751280299254</v>
      </c>
      <c r="K358" s="46" t="n">
        <f aca="false">IFERROR(C358/B358,0)</f>
        <v>0.0862460897917128</v>
      </c>
      <c r="L358" s="47" t="n">
        <f aca="false">IFERROR(D358/B358,0)</f>
        <v>0.00351480241232664</v>
      </c>
      <c r="N358" s="48" t="n">
        <f aca="false">SUMIFS('Activation Detail'!$H$4:$H$4003,'Activation Detail'!$A$4:$A$4003,$A358,'Activation Detail'!$N$4:$N$4003,N$2)</f>
        <v>70.5635836357723</v>
      </c>
      <c r="O358" s="50" t="n">
        <f aca="false">N358*'Model Inputs &amp; Assumptions'!$D$40*'Model Inputs &amp; Assumptions'!$H$40</f>
        <v>599790.460904065</v>
      </c>
      <c r="P358" s="50" t="n">
        <f aca="false">N358*'Model Inputs &amp; Assumptions'!$G$40*'Model Inputs &amp; Assumptions'!$H$40</f>
        <v>13495.2853703415</v>
      </c>
      <c r="Q358" s="50" t="n">
        <f aca="false">SUMIFS('Activation Detail'!$I$4:$I$4003,'Activation Detail'!$A$4:$A$4003,$A358,'Activation Detail'!$N$4:$N$4003,N$2)</f>
        <v>18203.477</v>
      </c>
      <c r="R358" s="51" t="n">
        <f aca="false">IFERROR(P358/Q358,0)</f>
        <v>0.741357564290682</v>
      </c>
      <c r="S358" s="49" t="n">
        <f aca="false">IFERROR(Q358/N358,0)</f>
        <v>257.972683104656</v>
      </c>
      <c r="T358" s="48" t="n">
        <f aca="false">SUMIFS('Activation Detail'!$H$4:$H$4003,'Activation Detail'!$A$4:$A$4003,$A358,'Activation Detail'!$N$4:$N$4003,T$2)</f>
        <v>185.833109370053</v>
      </c>
      <c r="U358" s="50" t="n">
        <f aca="false">T358*'Model Inputs &amp; Assumptions'!$D$41*'Model Inputs &amp; Assumptions'!$H$41</f>
        <v>1337998.38746438</v>
      </c>
      <c r="V358" s="50" t="n">
        <f aca="false">T358*'Model Inputs &amp; Assumptions'!$G$41*'Model Inputs &amp; Assumptions'!$H$41</f>
        <v>29502.8644435896</v>
      </c>
      <c r="W358" s="50" t="n">
        <f aca="false">SUMIFS('Activation Detail'!$I$4:$I$4003,'Activation Detail'!$A$4:$A$4003,$A358,'Activation Detail'!$N$4:$N$4003,T$2)</f>
        <v>17688.86873</v>
      </c>
      <c r="X358" s="51" t="n">
        <f aca="false">IFERROR(V358/W358,0)</f>
        <v>1.66787740323683</v>
      </c>
      <c r="Y358" s="49" t="n">
        <f aca="false">IFERROR(W358/T358,0)</f>
        <v>95.1868522781688</v>
      </c>
      <c r="Z358" s="48" t="n">
        <f aca="false">SUMIFS('Activation Detail'!$H$4:$H$4003,'Activation Detail'!$A$4:$A$4003,$A358,'Activation Detail'!$N$4:$N$4003,Z$2)</f>
        <v>342.925266261049</v>
      </c>
      <c r="AA358" s="50" t="n">
        <f aca="false">Z358*'Model Inputs &amp; Assumptions'!$D$42*'Model Inputs &amp; Assumptions'!$H$42</f>
        <v>1851796.43780966</v>
      </c>
      <c r="AB358" s="50" t="n">
        <f aca="false">Z358*'Model Inputs &amp; Assumptions'!$G$42*'Model Inputs &amp; Assumptions'!$H$42</f>
        <v>38887.7251940029</v>
      </c>
      <c r="AC358" s="50" t="n">
        <f aca="false">SUMIFS('Activation Detail'!$I$4:$I$4003,'Activation Detail'!$A$4:$A$4003,$A358,'Activation Detail'!$N$4:$N$4003,Z$2)</f>
        <v>38873.836</v>
      </c>
      <c r="AD358" s="51" t="n">
        <f aca="false">IFERROR(AB358/AC358,0)</f>
        <v>1.00035728900032</v>
      </c>
      <c r="AE358" s="49" t="n">
        <f aca="false">IFERROR(AC358/Z358,0)</f>
        <v>113.359497898319</v>
      </c>
    </row>
    <row r="359" customFormat="false" ht="15" hidden="false" customHeight="false" outlineLevel="0" collapsed="false">
      <c r="A359" s="43" t="n">
        <v>356</v>
      </c>
      <c r="B359" s="45" t="n">
        <f aca="false">SUM('Activation Detail'!C359,'Activation Detail'!C859,'Activation Detail'!C1359,'Activation Detail'!C1859,'Activation Detail'!C2359,'Activation Detail'!C2859,'Activation Detail'!C3359,'Activation Detail'!C3859)</f>
        <v>3641798</v>
      </c>
      <c r="C359" s="45" t="n">
        <f aca="false">SUM('Activation Detail'!E359,'Activation Detail'!E859,'Activation Detail'!E1359,'Activation Detail'!E1859,'Activation Detail'!E2359,'Activation Detail'!E2859,'Activation Detail'!E3359,'Activation Detail'!E3859)</f>
        <v>396193</v>
      </c>
      <c r="D359" s="45" t="n">
        <f aca="false">SUM('Activation Detail'!G359,'Activation Detail'!G859,'Activation Detail'!G1359,'Activation Detail'!G1859,'Activation Detail'!G2359,'Activation Detail'!G2859,'Activation Detail'!G3359,'Activation Detail'!G3859)</f>
        <v>14160</v>
      </c>
      <c r="E359" s="48" t="n">
        <f aca="false">SUM('Activation Detail'!H359,'Activation Detail'!H859,'Activation Detail'!H1359,'Activation Detail'!H1859,'Activation Detail'!H2359,'Activation Detail'!H2859,'Activation Detail'!H3359,'Activation Detail'!H3859)</f>
        <v>491.686495202839</v>
      </c>
      <c r="F359" s="50" t="n">
        <f aca="false">SUM('Activation Detail'!I359,'Activation Detail'!I859,'Activation Detail'!I1359,'Activation Detail'!I1859,'Activation Detail'!I2359,'Activation Detail'!I2859,'Activation Detail'!I3359,'Activation Detail'!I3859)</f>
        <v>71275.329694</v>
      </c>
      <c r="G359" s="50" t="n">
        <f aca="false">SUM('Activation Detail'!J359,'Activation Detail'!J859,'Activation Detail'!J1359,'Activation Detail'!J1859,'Activation Detail'!J2359,'Activation Detail'!J2859,'Activation Detail'!J3359,'Activation Detail'!J3859)</f>
        <v>3141705.5033501</v>
      </c>
      <c r="H359" s="50" t="n">
        <f aca="false">SUM('Activation Detail'!K359,'Activation Detail'!K859,'Activation Detail'!K1359,'Activation Detail'!K1859,'Activation Detail'!K2359,'Activation Detail'!K2859,'Activation Detail'!K3359,'Activation Detail'!K3859)</f>
        <v>67999.1060758129</v>
      </c>
      <c r="I359" s="51" t="n">
        <f aca="false">IFERROR(H359/F359,0)</f>
        <v>0.954034255158796</v>
      </c>
      <c r="J359" s="49" t="n">
        <f aca="false">IFERROR(F359/E359,0)</f>
        <v>144.960926097017</v>
      </c>
      <c r="K359" s="46" t="n">
        <f aca="false">IFERROR(C359/B359,0)</f>
        <v>0.108790493047665</v>
      </c>
      <c r="L359" s="47" t="n">
        <f aca="false">IFERROR(D359/B359,0)</f>
        <v>0.00388818929550733</v>
      </c>
      <c r="N359" s="48" t="n">
        <f aca="false">SUMIFS('Activation Detail'!$H$4:$H$4003,'Activation Detail'!$A$4:$A$4003,$A359,'Activation Detail'!$N$4:$N$4003,N$2)</f>
        <v>75.640360774793</v>
      </c>
      <c r="O359" s="50" t="n">
        <f aca="false">N359*'Model Inputs &amp; Assumptions'!$D$40*'Model Inputs &amp; Assumptions'!$H$40</f>
        <v>642943.06658574</v>
      </c>
      <c r="P359" s="50" t="n">
        <f aca="false">N359*'Model Inputs &amp; Assumptions'!$G$40*'Model Inputs &amp; Assumptions'!$H$40</f>
        <v>14466.2189981792</v>
      </c>
      <c r="Q359" s="50" t="n">
        <f aca="false">SUMIFS('Activation Detail'!$I$4:$I$4003,'Activation Detail'!$A$4:$A$4003,$A359,'Activation Detail'!$N$4:$N$4003,N$2)</f>
        <v>18754.1895</v>
      </c>
      <c r="R359" s="51" t="n">
        <f aca="false">IFERROR(P359/Q359,0)</f>
        <v>0.77135932737478</v>
      </c>
      <c r="S359" s="49" t="n">
        <f aca="false">IFERROR(Q359/N359,0)</f>
        <v>247.938921865241</v>
      </c>
      <c r="T359" s="48" t="n">
        <f aca="false">SUMIFS('Activation Detail'!$H$4:$H$4003,'Activation Detail'!$A$4:$A$4003,$A359,'Activation Detail'!$N$4:$N$4003,T$2)</f>
        <v>140.062950473839</v>
      </c>
      <c r="U359" s="50" t="n">
        <f aca="false">T359*'Model Inputs &amp; Assumptions'!$D$41*'Model Inputs &amp; Assumptions'!$H$41</f>
        <v>1008453.24341164</v>
      </c>
      <c r="V359" s="50" t="n">
        <f aca="false">T359*'Model Inputs &amp; Assumptions'!$G$41*'Model Inputs &amp; Assumptions'!$H$41</f>
        <v>22236.3940172266</v>
      </c>
      <c r="W359" s="50" t="n">
        <f aca="false">SUMIFS('Activation Detail'!$I$4:$I$4003,'Activation Detail'!$A$4:$A$4003,$A359,'Activation Detail'!$N$4:$N$4003,T$2)</f>
        <v>17087.884194</v>
      </c>
      <c r="X359" s="51" t="n">
        <f aca="false">IFERROR(V359/W359,0)</f>
        <v>1.30129592199802</v>
      </c>
      <c r="Y359" s="49" t="n">
        <f aca="false">IFERROR(W359/T359,0)</f>
        <v>122.001458174278</v>
      </c>
      <c r="Z359" s="48" t="n">
        <f aca="false">SUMIFS('Activation Detail'!$H$4:$H$4003,'Activation Detail'!$A$4:$A$4003,$A359,'Activation Detail'!$N$4:$N$4003,Z$2)</f>
        <v>275.983183954208</v>
      </c>
      <c r="AA359" s="50" t="n">
        <f aca="false">Z359*'Model Inputs &amp; Assumptions'!$D$42*'Model Inputs &amp; Assumptions'!$H$42</f>
        <v>1490309.19335272</v>
      </c>
      <c r="AB359" s="50" t="n">
        <f aca="false">Z359*'Model Inputs &amp; Assumptions'!$G$42*'Model Inputs &amp; Assumptions'!$H$42</f>
        <v>31296.4930604071</v>
      </c>
      <c r="AC359" s="50" t="n">
        <f aca="false">SUMIFS('Activation Detail'!$I$4:$I$4003,'Activation Detail'!$A$4:$A$4003,$A359,'Activation Detail'!$N$4:$N$4003,Z$2)</f>
        <v>35433.256</v>
      </c>
      <c r="AD359" s="51" t="n">
        <f aca="false">IFERROR(AB359/AC359,0)</f>
        <v>0.883251967033657</v>
      </c>
      <c r="AE359" s="49" t="n">
        <f aca="false">IFERROR(AC359/Z359,0)</f>
        <v>128.38918477685</v>
      </c>
    </row>
    <row r="360" customFormat="false" ht="15" hidden="false" customHeight="false" outlineLevel="0" collapsed="false">
      <c r="A360" s="43" t="n">
        <v>357</v>
      </c>
      <c r="B360" s="45" t="n">
        <f aca="false">SUM('Activation Detail'!C360,'Activation Detail'!C860,'Activation Detail'!C1360,'Activation Detail'!C1860,'Activation Detail'!C2360,'Activation Detail'!C2860,'Activation Detail'!C3360,'Activation Detail'!C3860)</f>
        <v>4528441</v>
      </c>
      <c r="C360" s="45" t="n">
        <f aca="false">SUM('Activation Detail'!E360,'Activation Detail'!E860,'Activation Detail'!E1360,'Activation Detail'!E1860,'Activation Detail'!E2360,'Activation Detail'!E2860,'Activation Detail'!E3360,'Activation Detail'!E3860)</f>
        <v>376014</v>
      </c>
      <c r="D360" s="45" t="n">
        <f aca="false">SUM('Activation Detail'!G360,'Activation Detail'!G860,'Activation Detail'!G1360,'Activation Detail'!G1860,'Activation Detail'!G2360,'Activation Detail'!G2860,'Activation Detail'!G3360,'Activation Detail'!G3860)</f>
        <v>16206</v>
      </c>
      <c r="E360" s="48" t="n">
        <f aca="false">SUM('Activation Detail'!H360,'Activation Detail'!H860,'Activation Detail'!H1360,'Activation Detail'!H1860,'Activation Detail'!H2360,'Activation Detail'!H2860,'Activation Detail'!H3360,'Activation Detail'!H3860)</f>
        <v>559.25816294852</v>
      </c>
      <c r="F360" s="50" t="n">
        <f aca="false">SUM('Activation Detail'!I360,'Activation Detail'!I860,'Activation Detail'!I1360,'Activation Detail'!I1860,'Activation Detail'!I2360,'Activation Detail'!I2860,'Activation Detail'!I3360,'Activation Detail'!I3860)</f>
        <v>77435.010386</v>
      </c>
      <c r="G360" s="50" t="n">
        <f aca="false">SUM('Activation Detail'!J360,'Activation Detail'!J860,'Activation Detail'!J1360,'Activation Detail'!J1860,'Activation Detail'!J2360,'Activation Detail'!J2860,'Activation Detail'!J3360,'Activation Detail'!J3860)</f>
        <v>3575593.07361492</v>
      </c>
      <c r="H360" s="50" t="n">
        <f aca="false">SUM('Activation Detail'!K360,'Activation Detail'!K860,'Activation Detail'!K1360,'Activation Detail'!K1860,'Activation Detail'!K2360,'Activation Detail'!K2860,'Activation Detail'!K3360,'Activation Detail'!K3860)</f>
        <v>77398.8461748107</v>
      </c>
      <c r="I360" s="51" t="n">
        <f aca="false">IFERROR(H360/F360,0)</f>
        <v>0.999532973379753</v>
      </c>
      <c r="J360" s="49" t="n">
        <f aca="false">IFERROR(F360/E360,0)</f>
        <v>138.46022376812</v>
      </c>
      <c r="K360" s="46" t="n">
        <f aca="false">IFERROR(C360/B360,0)</f>
        <v>0.0830338741301918</v>
      </c>
      <c r="L360" s="47" t="n">
        <f aca="false">IFERROR(D360/B360,0)</f>
        <v>0.00357871505889113</v>
      </c>
      <c r="N360" s="48" t="n">
        <f aca="false">SUMIFS('Activation Detail'!$H$4:$H$4003,'Activation Detail'!$A$4:$A$4003,$A360,'Activation Detail'!$N$4:$N$4003,N$2)</f>
        <v>81.9412763440559</v>
      </c>
      <c r="O360" s="50" t="n">
        <f aca="false">N360*'Model Inputs &amp; Assumptions'!$D$40*'Model Inputs &amp; Assumptions'!$H$40</f>
        <v>696500.848924475</v>
      </c>
      <c r="P360" s="50" t="n">
        <f aca="false">N360*'Model Inputs &amp; Assumptions'!$G$40*'Model Inputs &amp; Assumptions'!$H$40</f>
        <v>15671.2691008007</v>
      </c>
      <c r="Q360" s="50" t="n">
        <f aca="false">SUMIFS('Activation Detail'!$I$4:$I$4003,'Activation Detail'!$A$4:$A$4003,$A360,'Activation Detail'!$N$4:$N$4003,N$2)</f>
        <v>19996.4305</v>
      </c>
      <c r="R360" s="51" t="n">
        <f aca="false">IFERROR(P360/Q360,0)</f>
        <v>0.78370332649123</v>
      </c>
      <c r="S360" s="49" t="n">
        <f aca="false">IFERROR(Q360/N360,0)</f>
        <v>244.033671333588</v>
      </c>
      <c r="T360" s="48" t="n">
        <f aca="false">SUMIFS('Activation Detail'!$H$4:$H$4003,'Activation Detail'!$A$4:$A$4003,$A360,'Activation Detail'!$N$4:$N$4003,T$2)</f>
        <v>167.545020570188</v>
      </c>
      <c r="U360" s="50" t="n">
        <f aca="false">T360*'Model Inputs &amp; Assumptions'!$D$41*'Model Inputs &amp; Assumptions'!$H$41</f>
        <v>1206324.14810535</v>
      </c>
      <c r="V360" s="50" t="n">
        <f aca="false">T360*'Model Inputs &amp; Assumptions'!$G$41*'Model Inputs &amp; Assumptions'!$H$41</f>
        <v>26599.447465723</v>
      </c>
      <c r="W360" s="50" t="n">
        <f aca="false">SUMIFS('Activation Detail'!$I$4:$I$4003,'Activation Detail'!$A$4:$A$4003,$A360,'Activation Detail'!$N$4:$N$4003,T$2)</f>
        <v>18691.715886</v>
      </c>
      <c r="X360" s="51" t="n">
        <f aca="false">IFERROR(V360/W360,0)</f>
        <v>1.42306076274388</v>
      </c>
      <c r="Y360" s="49" t="n">
        <f aca="false">IFERROR(W360/T360,0)</f>
        <v>111.562347973031</v>
      </c>
      <c r="Z360" s="48" t="n">
        <f aca="false">SUMIFS('Activation Detail'!$H$4:$H$4003,'Activation Detail'!$A$4:$A$4003,$A360,'Activation Detail'!$N$4:$N$4003,Z$2)</f>
        <v>309.771866034276</v>
      </c>
      <c r="AA360" s="50" t="n">
        <f aca="false">Z360*'Model Inputs &amp; Assumptions'!$D$42*'Model Inputs &amp; Assumptions'!$H$42</f>
        <v>1672768.07658509</v>
      </c>
      <c r="AB360" s="50" t="n">
        <f aca="false">Z360*'Model Inputs &amp; Assumptions'!$G$42*'Model Inputs &amp; Assumptions'!$H$42</f>
        <v>35128.1296082869</v>
      </c>
      <c r="AC360" s="50" t="n">
        <f aca="false">SUMIFS('Activation Detail'!$I$4:$I$4003,'Activation Detail'!$A$4:$A$4003,$A360,'Activation Detail'!$N$4:$N$4003,Z$2)</f>
        <v>38746.864</v>
      </c>
      <c r="AD360" s="51" t="n">
        <f aca="false">IFERROR(AB360/AC360,0)</f>
        <v>0.906605747713852</v>
      </c>
      <c r="AE360" s="49" t="n">
        <f aca="false">IFERROR(AC360/Z360,0)</f>
        <v>125.081933669576</v>
      </c>
    </row>
    <row r="361" customFormat="false" ht="15" hidden="false" customHeight="false" outlineLevel="0" collapsed="false">
      <c r="A361" s="43" t="n">
        <v>358</v>
      </c>
      <c r="B361" s="45" t="n">
        <f aca="false">SUM('Activation Detail'!C361,'Activation Detail'!C861,'Activation Detail'!C1361,'Activation Detail'!C1861,'Activation Detail'!C2361,'Activation Detail'!C2861,'Activation Detail'!C3361,'Activation Detail'!C3861)</f>
        <v>4085718</v>
      </c>
      <c r="C361" s="45" t="n">
        <f aca="false">SUM('Activation Detail'!E361,'Activation Detail'!E861,'Activation Detail'!E1361,'Activation Detail'!E1861,'Activation Detail'!E2361,'Activation Detail'!E2861,'Activation Detail'!E3361,'Activation Detail'!E3861)</f>
        <v>387809</v>
      </c>
      <c r="D361" s="45" t="n">
        <f aca="false">SUM('Activation Detail'!G361,'Activation Detail'!G861,'Activation Detail'!G1361,'Activation Detail'!G1861,'Activation Detail'!G2361,'Activation Detail'!G2861,'Activation Detail'!G3361,'Activation Detail'!G3861)</f>
        <v>13784</v>
      </c>
      <c r="E361" s="48" t="n">
        <f aca="false">SUM('Activation Detail'!H361,'Activation Detail'!H861,'Activation Detail'!H1361,'Activation Detail'!H1861,'Activation Detail'!H2361,'Activation Detail'!H2861,'Activation Detail'!H3361,'Activation Detail'!H3861)</f>
        <v>629.983288844041</v>
      </c>
      <c r="F361" s="50" t="n">
        <f aca="false">SUM('Activation Detail'!I361,'Activation Detail'!I861,'Activation Detail'!I1361,'Activation Detail'!I1861,'Activation Detail'!I2361,'Activation Detail'!I2861,'Activation Detail'!I3361,'Activation Detail'!I3861)</f>
        <v>75285.395694</v>
      </c>
      <c r="G361" s="50" t="n">
        <f aca="false">SUM('Activation Detail'!J361,'Activation Detail'!J861,'Activation Detail'!J1361,'Activation Detail'!J1861,'Activation Detail'!J2361,'Activation Detail'!J2861,'Activation Detail'!J3361,'Activation Detail'!J3861)</f>
        <v>3943423.24411047</v>
      </c>
      <c r="H361" s="50" t="n">
        <f aca="false">SUM('Activation Detail'!K361,'Activation Detail'!K861,'Activation Detail'!K1361,'Activation Detail'!K1861,'Activation Detail'!K2361,'Activation Detail'!K2861,'Activation Detail'!K3361,'Activation Detail'!K3861)</f>
        <v>85067.2954730834</v>
      </c>
      <c r="I361" s="51" t="n">
        <f aca="false">IFERROR(H361/F361,0)</f>
        <v>1.12993090743445</v>
      </c>
      <c r="J361" s="49" t="n">
        <f aca="false">IFERROR(F361/E361,0)</f>
        <v>119.503798000962</v>
      </c>
      <c r="K361" s="46" t="n">
        <f aca="false">IFERROR(C361/B361,0)</f>
        <v>0.0949182004240136</v>
      </c>
      <c r="L361" s="47" t="n">
        <f aca="false">IFERROR(D361/B361,0)</f>
        <v>0.00337370322670336</v>
      </c>
      <c r="N361" s="48" t="n">
        <f aca="false">SUMIFS('Activation Detail'!$H$4:$H$4003,'Activation Detail'!$A$4:$A$4003,$A361,'Activation Detail'!$N$4:$N$4003,N$2)</f>
        <v>70.1825463611814</v>
      </c>
      <c r="O361" s="50" t="n">
        <f aca="false">N361*'Model Inputs &amp; Assumptions'!$D$40*'Model Inputs &amp; Assumptions'!$H$40</f>
        <v>596551.644070042</v>
      </c>
      <c r="P361" s="50" t="n">
        <f aca="false">N361*'Model Inputs &amp; Assumptions'!$G$40*'Model Inputs &amp; Assumptions'!$H$40</f>
        <v>13422.4119915759</v>
      </c>
      <c r="Q361" s="50" t="n">
        <f aca="false">SUMIFS('Activation Detail'!$I$4:$I$4003,'Activation Detail'!$A$4:$A$4003,$A361,'Activation Detail'!$N$4:$N$4003,N$2)</f>
        <v>17958.596</v>
      </c>
      <c r="R361" s="51" t="n">
        <f aca="false">IFERROR(P361/Q361,0)</f>
        <v>0.747408761329445</v>
      </c>
      <c r="S361" s="49" t="n">
        <f aca="false">IFERROR(Q361/N361,0)</f>
        <v>255.884075615887</v>
      </c>
      <c r="T361" s="48" t="n">
        <f aca="false">SUMIFS('Activation Detail'!$H$4:$H$4003,'Activation Detail'!$A$4:$A$4003,$A361,'Activation Detail'!$N$4:$N$4003,T$2)</f>
        <v>179.970883684992</v>
      </c>
      <c r="U361" s="50" t="n">
        <f aca="false">T361*'Model Inputs &amp; Assumptions'!$D$41*'Model Inputs &amp; Assumptions'!$H$41</f>
        <v>1295790.36253194</v>
      </c>
      <c r="V361" s="50" t="n">
        <f aca="false">T361*'Model Inputs &amp; Assumptions'!$G$41*'Model Inputs &amp; Assumptions'!$H$41</f>
        <v>28572.1774938293</v>
      </c>
      <c r="W361" s="50" t="n">
        <f aca="false">SUMIFS('Activation Detail'!$I$4:$I$4003,'Activation Detail'!$A$4:$A$4003,$A361,'Activation Detail'!$N$4:$N$4003,T$2)</f>
        <v>17309.939694</v>
      </c>
      <c r="X361" s="51" t="n">
        <f aca="false">IFERROR(V361/W361,0)</f>
        <v>1.65062259019499</v>
      </c>
      <c r="Y361" s="49" t="n">
        <f aca="false">IFERROR(W361/T361,0)</f>
        <v>96.1818897566679</v>
      </c>
      <c r="Z361" s="48" t="n">
        <f aca="false">SUMIFS('Activation Detail'!$H$4:$H$4003,'Activation Detail'!$A$4:$A$4003,$A361,'Activation Detail'!$N$4:$N$4003,Z$2)</f>
        <v>379.829858797867</v>
      </c>
      <c r="AA361" s="50" t="n">
        <f aca="false">Z361*'Model Inputs &amp; Assumptions'!$D$42*'Model Inputs &amp; Assumptions'!$H$42</f>
        <v>2051081.23750848</v>
      </c>
      <c r="AB361" s="50" t="n">
        <f aca="false">Z361*'Model Inputs &amp; Assumptions'!$G$42*'Model Inputs &amp; Assumptions'!$H$42</f>
        <v>43072.7059876782</v>
      </c>
      <c r="AC361" s="50" t="n">
        <f aca="false">SUMIFS('Activation Detail'!$I$4:$I$4003,'Activation Detail'!$A$4:$A$4003,$A361,'Activation Detail'!$N$4:$N$4003,Z$2)</f>
        <v>40016.86</v>
      </c>
      <c r="AD361" s="51" t="n">
        <f aca="false">IFERROR(AB361/AC361,0)</f>
        <v>1.07636396228185</v>
      </c>
      <c r="AE361" s="49" t="n">
        <f aca="false">IFERROR(AC361/Z361,0)</f>
        <v>105.354697828787</v>
      </c>
    </row>
    <row r="362" customFormat="false" ht="15" hidden="false" customHeight="false" outlineLevel="0" collapsed="false">
      <c r="A362" s="43" t="n">
        <v>359</v>
      </c>
      <c r="B362" s="45" t="n">
        <f aca="false">SUM('Activation Detail'!C362,'Activation Detail'!C862,'Activation Detail'!C1362,'Activation Detail'!C1862,'Activation Detail'!C2362,'Activation Detail'!C2862,'Activation Detail'!C3362,'Activation Detail'!C3862)</f>
        <v>4867960</v>
      </c>
      <c r="C362" s="45" t="n">
        <f aca="false">SUM('Activation Detail'!E362,'Activation Detail'!E862,'Activation Detail'!E1362,'Activation Detail'!E1862,'Activation Detail'!E2362,'Activation Detail'!E2862,'Activation Detail'!E3362,'Activation Detail'!E3862)</f>
        <v>539839</v>
      </c>
      <c r="D362" s="45" t="n">
        <f aca="false">SUM('Activation Detail'!G362,'Activation Detail'!G862,'Activation Detail'!G1362,'Activation Detail'!G1862,'Activation Detail'!G2362,'Activation Detail'!G2862,'Activation Detail'!G3362,'Activation Detail'!G3862)</f>
        <v>23820</v>
      </c>
      <c r="E362" s="48" t="n">
        <f aca="false">SUM('Activation Detail'!H362,'Activation Detail'!H862,'Activation Detail'!H1362,'Activation Detail'!H1862,'Activation Detail'!H2362,'Activation Detail'!H2862,'Activation Detail'!H3362,'Activation Detail'!H3862)</f>
        <v>738.043690797431</v>
      </c>
      <c r="F362" s="50" t="n">
        <f aca="false">SUM('Activation Detail'!I362,'Activation Detail'!I862,'Activation Detail'!I1362,'Activation Detail'!I1862,'Activation Detail'!I2362,'Activation Detail'!I2862,'Activation Detail'!I3362,'Activation Detail'!I3862)</f>
        <v>79189.381522</v>
      </c>
      <c r="G362" s="50" t="n">
        <f aca="false">SUM('Activation Detail'!J362,'Activation Detail'!J862,'Activation Detail'!J1362,'Activation Detail'!J1862,'Activation Detail'!J2362,'Activation Detail'!J2862,'Activation Detail'!J3362,'Activation Detail'!J3862)</f>
        <v>4585117.38166374</v>
      </c>
      <c r="H362" s="50" t="n">
        <f aca="false">SUM('Activation Detail'!K362,'Activation Detail'!K862,'Activation Detail'!K1362,'Activation Detail'!K1862,'Activation Detail'!K2362,'Activation Detail'!K2862,'Activation Detail'!K3362,'Activation Detail'!K3862)</f>
        <v>98780.1456051883</v>
      </c>
      <c r="I362" s="51" t="n">
        <f aca="false">IFERROR(H362/F362,0)</f>
        <v>1.24739130053372</v>
      </c>
      <c r="J362" s="49" t="n">
        <f aca="false">IFERROR(F362/E362,0)</f>
        <v>107.296332872162</v>
      </c>
      <c r="K362" s="46" t="n">
        <f aca="false">IFERROR(C362/B362,0)</f>
        <v>0.110896350832792</v>
      </c>
      <c r="L362" s="47" t="n">
        <f aca="false">IFERROR(D362/B362,0)</f>
        <v>0.00489322015793063</v>
      </c>
      <c r="N362" s="48" t="n">
        <f aca="false">SUMIFS('Activation Detail'!$H$4:$H$4003,'Activation Detail'!$A$4:$A$4003,$A362,'Activation Detail'!$N$4:$N$4003,N$2)</f>
        <v>96.2277979708396</v>
      </c>
      <c r="O362" s="50" t="n">
        <f aca="false">N362*'Model Inputs &amp; Assumptions'!$D$40*'Model Inputs &amp; Assumptions'!$H$40</f>
        <v>817936.282752137</v>
      </c>
      <c r="P362" s="50" t="n">
        <f aca="false">N362*'Model Inputs &amp; Assumptions'!$G$40*'Model Inputs &amp; Assumptions'!$H$40</f>
        <v>18403.5663619231</v>
      </c>
      <c r="Q362" s="50" t="n">
        <f aca="false">SUMIFS('Activation Detail'!$I$4:$I$4003,'Activation Detail'!$A$4:$A$4003,$A362,'Activation Detail'!$N$4:$N$4003,N$2)</f>
        <v>19460.0635</v>
      </c>
      <c r="R362" s="51" t="n">
        <f aca="false">IFERROR(P362/Q362,0)</f>
        <v>0.945709471190732</v>
      </c>
      <c r="S362" s="49" t="n">
        <f aca="false">IFERROR(Q362/N362,0)</f>
        <v>202.229126202151</v>
      </c>
      <c r="T362" s="48" t="n">
        <f aca="false">SUMIFS('Activation Detail'!$H$4:$H$4003,'Activation Detail'!$A$4:$A$4003,$A362,'Activation Detail'!$N$4:$N$4003,T$2)</f>
        <v>167.43070980445</v>
      </c>
      <c r="U362" s="50" t="n">
        <f aca="false">T362*'Model Inputs &amp; Assumptions'!$D$41*'Model Inputs &amp; Assumptions'!$H$41</f>
        <v>1205501.11059204</v>
      </c>
      <c r="V362" s="50" t="n">
        <f aca="false">T362*'Model Inputs &amp; Assumptions'!$G$41*'Model Inputs &amp; Assumptions'!$H$41</f>
        <v>26581.2994885545</v>
      </c>
      <c r="W362" s="50" t="n">
        <f aca="false">SUMIFS('Activation Detail'!$I$4:$I$4003,'Activation Detail'!$A$4:$A$4003,$A362,'Activation Detail'!$N$4:$N$4003,T$2)</f>
        <v>18944.698022</v>
      </c>
      <c r="X362" s="51" t="n">
        <f aca="false">IFERROR(V362/W362,0)</f>
        <v>1.40309966713042</v>
      </c>
      <c r="Y362" s="49" t="n">
        <f aca="false">IFERROR(W362/T362,0)</f>
        <v>113.149481622137</v>
      </c>
      <c r="Z362" s="48" t="n">
        <f aca="false">SUMIFS('Activation Detail'!$H$4:$H$4003,'Activation Detail'!$A$4:$A$4003,$A362,'Activation Detail'!$N$4:$N$4003,Z$2)</f>
        <v>474.385183022141</v>
      </c>
      <c r="AA362" s="50" t="n">
        <f aca="false">Z362*'Model Inputs &amp; Assumptions'!$D$42*'Model Inputs &amp; Assumptions'!$H$42</f>
        <v>2561679.98831956</v>
      </c>
      <c r="AB362" s="50" t="n">
        <f aca="false">Z362*'Model Inputs &amp; Assumptions'!$G$42*'Model Inputs &amp; Assumptions'!$H$42</f>
        <v>53795.2797547108</v>
      </c>
      <c r="AC362" s="50" t="n">
        <f aca="false">SUMIFS('Activation Detail'!$I$4:$I$4003,'Activation Detail'!$A$4:$A$4003,$A362,'Activation Detail'!$N$4:$N$4003,Z$2)</f>
        <v>40784.62</v>
      </c>
      <c r="AD362" s="51" t="n">
        <f aca="false">IFERROR(AB362/AC362,0)</f>
        <v>1.319008973351</v>
      </c>
      <c r="AE362" s="49" t="n">
        <f aca="false">IFERROR(AC362/Z362,0)</f>
        <v>85.9736380048288</v>
      </c>
    </row>
    <row r="363" customFormat="false" ht="15" hidden="false" customHeight="false" outlineLevel="0" collapsed="false">
      <c r="A363" s="43" t="n">
        <v>360</v>
      </c>
      <c r="B363" s="45" t="n">
        <f aca="false">SUM('Activation Detail'!C363,'Activation Detail'!C863,'Activation Detail'!C1363,'Activation Detail'!C1863,'Activation Detail'!C2363,'Activation Detail'!C2863,'Activation Detail'!C3363,'Activation Detail'!C3863)</f>
        <v>3952705</v>
      </c>
      <c r="C363" s="45" t="n">
        <f aca="false">SUM('Activation Detail'!E363,'Activation Detail'!E863,'Activation Detail'!E1363,'Activation Detail'!E1863,'Activation Detail'!E2363,'Activation Detail'!E2863,'Activation Detail'!E3363,'Activation Detail'!E3863)</f>
        <v>502316</v>
      </c>
      <c r="D363" s="45" t="n">
        <f aca="false">SUM('Activation Detail'!G363,'Activation Detail'!G863,'Activation Detail'!G1363,'Activation Detail'!G1863,'Activation Detail'!G2363,'Activation Detail'!G2863,'Activation Detail'!G3363,'Activation Detail'!G3863)</f>
        <v>12206</v>
      </c>
      <c r="E363" s="48" t="n">
        <f aca="false">SUM('Activation Detail'!H363,'Activation Detail'!H863,'Activation Detail'!H1363,'Activation Detail'!H1863,'Activation Detail'!H2363,'Activation Detail'!H2863,'Activation Detail'!H3363,'Activation Detail'!H3863)</f>
        <v>631.068628231408</v>
      </c>
      <c r="F363" s="50" t="n">
        <f aca="false">SUM('Activation Detail'!I363,'Activation Detail'!I863,'Activation Detail'!I1363,'Activation Detail'!I1863,'Activation Detail'!I2363,'Activation Detail'!I2863,'Activation Detail'!I3363,'Activation Detail'!I3863)</f>
        <v>70781.803076</v>
      </c>
      <c r="G363" s="50" t="n">
        <f aca="false">SUM('Activation Detail'!J363,'Activation Detail'!J863,'Activation Detail'!J1363,'Activation Detail'!J1863,'Activation Detail'!J2363,'Activation Detail'!J2863,'Activation Detail'!J3363,'Activation Detail'!J3863)</f>
        <v>3953921.46293453</v>
      </c>
      <c r="H363" s="50" t="n">
        <f aca="false">SUM('Activation Detail'!K363,'Activation Detail'!K863,'Activation Detail'!K1363,'Activation Detail'!K1863,'Activation Detail'!K2363,'Activation Detail'!K2863,'Activation Detail'!K3363,'Activation Detail'!K3863)</f>
        <v>85294.3479113547</v>
      </c>
      <c r="I363" s="51" t="n">
        <f aca="false">IFERROR(H363/F363,0)</f>
        <v>1.20503214392225</v>
      </c>
      <c r="J363" s="49" t="n">
        <f aca="false">IFERROR(F363/E363,0)</f>
        <v>112.161815545115</v>
      </c>
      <c r="K363" s="46" t="n">
        <f aca="false">IFERROR(C363/B363,0)</f>
        <v>0.127081580841474</v>
      </c>
      <c r="L363" s="47" t="n">
        <f aca="false">IFERROR(D363/B363,0)</f>
        <v>0.00308801188047173</v>
      </c>
      <c r="N363" s="48" t="n">
        <f aca="false">SUMIFS('Activation Detail'!$H$4:$H$4003,'Activation Detail'!$A$4:$A$4003,$A363,'Activation Detail'!$N$4:$N$4003,N$2)</f>
        <v>117.912838174681</v>
      </c>
      <c r="O363" s="50" t="n">
        <f aca="false">N363*'Model Inputs &amp; Assumptions'!$D$40*'Model Inputs &amp; Assumptions'!$H$40</f>
        <v>1002259.12448479</v>
      </c>
      <c r="P363" s="50" t="n">
        <f aca="false">N363*'Model Inputs &amp; Assumptions'!$G$40*'Model Inputs &amp; Assumptions'!$H$40</f>
        <v>22550.8303009078</v>
      </c>
      <c r="Q363" s="50" t="n">
        <f aca="false">SUMIFS('Activation Detail'!$I$4:$I$4003,'Activation Detail'!$A$4:$A$4003,$A363,'Activation Detail'!$N$4:$N$4003,N$2)</f>
        <v>18610.585</v>
      </c>
      <c r="R363" s="51" t="n">
        <f aca="false">IFERROR(P363/Q363,0)</f>
        <v>1.2117206579432</v>
      </c>
      <c r="S363" s="49" t="n">
        <f aca="false">IFERROR(Q363/N363,0)</f>
        <v>157.83340718531</v>
      </c>
      <c r="T363" s="48" t="n">
        <f aca="false">SUMIFS('Activation Detail'!$H$4:$H$4003,'Activation Detail'!$A$4:$A$4003,$A363,'Activation Detail'!$N$4:$N$4003,T$2)</f>
        <v>100.345040079677</v>
      </c>
      <c r="U363" s="50" t="n">
        <f aca="false">T363*'Model Inputs &amp; Assumptions'!$D$41*'Model Inputs &amp; Assumptions'!$H$41</f>
        <v>722484.288573674</v>
      </c>
      <c r="V363" s="50" t="n">
        <f aca="false">T363*'Model Inputs &amp; Assumptions'!$G$41*'Model Inputs &amp; Assumptions'!$H$41</f>
        <v>15930.7785630495</v>
      </c>
      <c r="W363" s="50" t="n">
        <f aca="false">SUMIFS('Activation Detail'!$I$4:$I$4003,'Activation Detail'!$A$4:$A$4003,$A363,'Activation Detail'!$N$4:$N$4003,T$2)</f>
        <v>16935.506076</v>
      </c>
      <c r="X363" s="51" t="n">
        <f aca="false">IFERROR(V363/W363,0)</f>
        <v>0.940673310355081</v>
      </c>
      <c r="Y363" s="49" t="n">
        <f aca="false">IFERROR(W363/T363,0)</f>
        <v>168.77272720757</v>
      </c>
      <c r="Z363" s="48" t="n">
        <f aca="false">SUMIFS('Activation Detail'!$H$4:$H$4003,'Activation Detail'!$A$4:$A$4003,$A363,'Activation Detail'!$N$4:$N$4003,Z$2)</f>
        <v>412.810749977049</v>
      </c>
      <c r="AA363" s="50" t="n">
        <f aca="false">Z363*'Model Inputs &amp; Assumptions'!$D$42*'Model Inputs &amp; Assumptions'!$H$42</f>
        <v>2229178.04987607</v>
      </c>
      <c r="AB363" s="50" t="n">
        <f aca="false">Z363*'Model Inputs &amp; Assumptions'!$G$42*'Model Inputs &amp; Assumptions'!$H$42</f>
        <v>46812.7390473974</v>
      </c>
      <c r="AC363" s="50" t="n">
        <f aca="false">SUMIFS('Activation Detail'!$I$4:$I$4003,'Activation Detail'!$A$4:$A$4003,$A363,'Activation Detail'!$N$4:$N$4003,Z$2)</f>
        <v>35235.712</v>
      </c>
      <c r="AD363" s="51" t="n">
        <f aca="false">IFERROR(AB363/AC363,0)</f>
        <v>1.32855947532428</v>
      </c>
      <c r="AE363" s="49" t="n">
        <f aca="false">IFERROR(AC363/Z363,0)</f>
        <v>85.3556066598531</v>
      </c>
    </row>
    <row r="364" customFormat="false" ht="15" hidden="false" customHeight="false" outlineLevel="0" collapsed="false">
      <c r="A364" s="43" t="n">
        <v>361</v>
      </c>
      <c r="B364" s="45" t="n">
        <f aca="false">SUM('Activation Detail'!C364,'Activation Detail'!C864,'Activation Detail'!C1364,'Activation Detail'!C1864,'Activation Detail'!C2364,'Activation Detail'!C2864,'Activation Detail'!C3364,'Activation Detail'!C3864)</f>
        <v>3005247</v>
      </c>
      <c r="C364" s="45" t="n">
        <f aca="false">SUM('Activation Detail'!E364,'Activation Detail'!E864,'Activation Detail'!E1364,'Activation Detail'!E1864,'Activation Detail'!E2364,'Activation Detail'!E2864,'Activation Detail'!E3364,'Activation Detail'!E3864)</f>
        <v>348937</v>
      </c>
      <c r="D364" s="45" t="n">
        <f aca="false">SUM('Activation Detail'!G364,'Activation Detail'!G864,'Activation Detail'!G1364,'Activation Detail'!G1864,'Activation Detail'!G2364,'Activation Detail'!G2864,'Activation Detail'!G3364,'Activation Detail'!G3864)</f>
        <v>11741</v>
      </c>
      <c r="E364" s="48" t="n">
        <f aca="false">SUM('Activation Detail'!H364,'Activation Detail'!H864,'Activation Detail'!H1364,'Activation Detail'!H1864,'Activation Detail'!H2364,'Activation Detail'!H2864,'Activation Detail'!H3364,'Activation Detail'!H3864)</f>
        <v>426.028070329265</v>
      </c>
      <c r="F364" s="50" t="n">
        <f aca="false">SUM('Activation Detail'!I364,'Activation Detail'!I864,'Activation Detail'!I1364,'Activation Detail'!I1864,'Activation Detail'!I2364,'Activation Detail'!I2864,'Activation Detail'!I3364,'Activation Detail'!I3864)</f>
        <v>67584.326672</v>
      </c>
      <c r="G364" s="50" t="n">
        <f aca="false">SUM('Activation Detail'!J364,'Activation Detail'!J864,'Activation Detail'!J1364,'Activation Detail'!J1864,'Activation Detail'!J2364,'Activation Detail'!J2864,'Activation Detail'!J3364,'Activation Detail'!J3864)</f>
        <v>2843083.7217561</v>
      </c>
      <c r="H364" s="50" t="n">
        <f aca="false">SUM('Activation Detail'!K364,'Activation Detail'!K864,'Activation Detail'!K1364,'Activation Detail'!K1864,'Activation Detail'!K2364,'Activation Detail'!K2864,'Activation Detail'!K3364,'Activation Detail'!K3864)</f>
        <v>61961.0456888609</v>
      </c>
      <c r="I364" s="51" t="n">
        <f aca="false">IFERROR(H364/F364,0)</f>
        <v>0.916796078912942</v>
      </c>
      <c r="J364" s="49" t="n">
        <f aca="false">IFERROR(F364/E364,0)</f>
        <v>158.638201045687</v>
      </c>
      <c r="K364" s="46" t="n">
        <f aca="false">IFERROR(C364/B364,0)</f>
        <v>0.11610925824067</v>
      </c>
      <c r="L364" s="47" t="n">
        <f aca="false">IFERROR(D364/B364,0)</f>
        <v>0.0039068336146746</v>
      </c>
      <c r="N364" s="48" t="n">
        <f aca="false">SUMIFS('Activation Detail'!$H$4:$H$4003,'Activation Detail'!$A$4:$A$4003,$A364,'Activation Detail'!$N$4:$N$4003,N$2)</f>
        <v>82.7683863886462</v>
      </c>
      <c r="O364" s="50" t="n">
        <f aca="false">N364*'Model Inputs &amp; Assumptions'!$D$40*'Model Inputs &amp; Assumptions'!$H$40</f>
        <v>703531.284303492</v>
      </c>
      <c r="P364" s="50" t="n">
        <f aca="false">N364*'Model Inputs &amp; Assumptions'!$G$40*'Model Inputs &amp; Assumptions'!$H$40</f>
        <v>15829.4538968286</v>
      </c>
      <c r="Q364" s="50" t="n">
        <f aca="false">SUMIFS('Activation Detail'!$I$4:$I$4003,'Activation Detail'!$A$4:$A$4003,$A364,'Activation Detail'!$N$4:$N$4003,N$2)</f>
        <v>18861.2185</v>
      </c>
      <c r="R364" s="51" t="n">
        <f aca="false">IFERROR(P364/Q364,0)</f>
        <v>0.839259345668923</v>
      </c>
      <c r="S364" s="49" t="n">
        <f aca="false">IFERROR(Q364/N364,0)</f>
        <v>227.879499926886</v>
      </c>
      <c r="T364" s="48" t="n">
        <f aca="false">SUMIFS('Activation Detail'!$H$4:$H$4003,'Activation Detail'!$A$4:$A$4003,$A364,'Activation Detail'!$N$4:$N$4003,T$2)</f>
        <v>158.861191207367</v>
      </c>
      <c r="U364" s="50" t="n">
        <f aca="false">T364*'Model Inputs &amp; Assumptions'!$D$41*'Model Inputs &amp; Assumptions'!$H$41</f>
        <v>1143800.57669304</v>
      </c>
      <c r="V364" s="50" t="n">
        <f aca="false">T364*'Model Inputs &amp; Assumptions'!$G$41*'Model Inputs &amp; Assumptions'!$H$41</f>
        <v>25220.8027160816</v>
      </c>
      <c r="W364" s="50" t="n">
        <f aca="false">SUMIFS('Activation Detail'!$I$4:$I$4003,'Activation Detail'!$A$4:$A$4003,$A364,'Activation Detail'!$N$4:$N$4003,T$2)</f>
        <v>17641.916172</v>
      </c>
      <c r="X364" s="51" t="n">
        <f aca="false">IFERROR(V364/W364,0)</f>
        <v>1.42959542887469</v>
      </c>
      <c r="Y364" s="49" t="n">
        <f aca="false">IFERROR(W364/T364,0)</f>
        <v>111.052397617813</v>
      </c>
      <c r="Z364" s="48" t="n">
        <f aca="false">SUMIFS('Activation Detail'!$H$4:$H$4003,'Activation Detail'!$A$4:$A$4003,$A364,'Activation Detail'!$N$4:$N$4003,Z$2)</f>
        <v>184.398492733252</v>
      </c>
      <c r="AA364" s="50" t="n">
        <f aca="false">Z364*'Model Inputs &amp; Assumptions'!$D$42*'Model Inputs &amp; Assumptions'!$H$42</f>
        <v>995751.860759559</v>
      </c>
      <c r="AB364" s="50" t="n">
        <f aca="false">Z364*'Model Inputs &amp; Assumptions'!$G$42*'Model Inputs &amp; Assumptions'!$H$42</f>
        <v>20910.7890759507</v>
      </c>
      <c r="AC364" s="50" t="n">
        <f aca="false">SUMIFS('Activation Detail'!$I$4:$I$4003,'Activation Detail'!$A$4:$A$4003,$A364,'Activation Detail'!$N$4:$N$4003,Z$2)</f>
        <v>31081.192</v>
      </c>
      <c r="AD364" s="51" t="n">
        <f aca="false">IFERROR(AB364/AC364,0)</f>
        <v>0.672779508454847</v>
      </c>
      <c r="AE364" s="49" t="n">
        <f aca="false">IFERROR(AC364/Z364,0)</f>
        <v>168.554479699363</v>
      </c>
    </row>
    <row r="365" customFormat="false" ht="15" hidden="false" customHeight="false" outlineLevel="0" collapsed="false">
      <c r="A365" s="43" t="n">
        <v>362</v>
      </c>
      <c r="B365" s="45" t="n">
        <f aca="false">SUM('Activation Detail'!C365,'Activation Detail'!C865,'Activation Detail'!C1365,'Activation Detail'!C1865,'Activation Detail'!C2365,'Activation Detail'!C2865,'Activation Detail'!C3365,'Activation Detail'!C3865)</f>
        <v>3518951</v>
      </c>
      <c r="C365" s="45" t="n">
        <f aca="false">SUM('Activation Detail'!E365,'Activation Detail'!E865,'Activation Detail'!E1365,'Activation Detail'!E1865,'Activation Detail'!E2365,'Activation Detail'!E2865,'Activation Detail'!E3365,'Activation Detail'!E3865)</f>
        <v>330442</v>
      </c>
      <c r="D365" s="45" t="n">
        <f aca="false">SUM('Activation Detail'!G365,'Activation Detail'!G865,'Activation Detail'!G1365,'Activation Detail'!G1865,'Activation Detail'!G2365,'Activation Detail'!G2865,'Activation Detail'!G3365,'Activation Detail'!G3865)</f>
        <v>13748</v>
      </c>
      <c r="E365" s="48" t="n">
        <f aca="false">SUM('Activation Detail'!H365,'Activation Detail'!H865,'Activation Detail'!H1365,'Activation Detail'!H1865,'Activation Detail'!H2365,'Activation Detail'!H2865,'Activation Detail'!H3365,'Activation Detail'!H3865)</f>
        <v>578.418634045273</v>
      </c>
      <c r="F365" s="50" t="n">
        <f aca="false">SUM('Activation Detail'!I365,'Activation Detail'!I865,'Activation Detail'!I1365,'Activation Detail'!I1865,'Activation Detail'!I2365,'Activation Detail'!I2865,'Activation Detail'!I3365,'Activation Detail'!I3865)</f>
        <v>74003.866476</v>
      </c>
      <c r="G365" s="50" t="n">
        <f aca="false">SUM('Activation Detail'!J365,'Activation Detail'!J865,'Activation Detail'!J1365,'Activation Detail'!J1865,'Activation Detail'!J2365,'Activation Detail'!J2865,'Activation Detail'!J3365,'Activation Detail'!J3865)</f>
        <v>3778531.82805248</v>
      </c>
      <c r="H365" s="50" t="n">
        <f aca="false">SUM('Activation Detail'!K365,'Activation Detail'!K865,'Activation Detail'!K1365,'Activation Detail'!K1865,'Activation Detail'!K2365,'Activation Detail'!K2865,'Activation Detail'!K3365,'Activation Detail'!K3865)</f>
        <v>82072.2862920011</v>
      </c>
      <c r="I365" s="51" t="n">
        <f aca="false">IFERROR(H365/F365,0)</f>
        <v>1.10902700359065</v>
      </c>
      <c r="J365" s="49" t="n">
        <f aca="false">IFERROR(F365/E365,0)</f>
        <v>127.941705401918</v>
      </c>
      <c r="K365" s="46" t="n">
        <f aca="false">IFERROR(C365/B365,0)</f>
        <v>0.0939035525075513</v>
      </c>
      <c r="L365" s="47" t="n">
        <f aca="false">IFERROR(D365/B365,0)</f>
        <v>0.00390684610271641</v>
      </c>
      <c r="N365" s="48" t="n">
        <f aca="false">SUMIFS('Activation Detail'!$H$4:$H$4003,'Activation Detail'!$A$4:$A$4003,$A365,'Activation Detail'!$N$4:$N$4003,N$2)</f>
        <v>104.374647313086</v>
      </c>
      <c r="O365" s="50" t="n">
        <f aca="false">N365*'Model Inputs &amp; Assumptions'!$D$40*'Model Inputs &amp; Assumptions'!$H$40</f>
        <v>887184.502161235</v>
      </c>
      <c r="P365" s="50" t="n">
        <f aca="false">N365*'Model Inputs &amp; Assumptions'!$G$40*'Model Inputs &amp; Assumptions'!$H$40</f>
        <v>19961.6512986278</v>
      </c>
      <c r="Q365" s="50" t="n">
        <f aca="false">SUMIFS('Activation Detail'!$I$4:$I$4003,'Activation Detail'!$A$4:$A$4003,$A365,'Activation Detail'!$N$4:$N$4003,N$2)</f>
        <v>19090.3565</v>
      </c>
      <c r="R365" s="51" t="n">
        <f aca="false">IFERROR(P365/Q365,0)</f>
        <v>1.04564057243393</v>
      </c>
      <c r="S365" s="49" t="n">
        <f aca="false">IFERROR(Q365/N365,0)</f>
        <v>182.902237194975</v>
      </c>
      <c r="T365" s="48" t="n">
        <f aca="false">SUMIFS('Activation Detail'!$H$4:$H$4003,'Activation Detail'!$A$4:$A$4003,$A365,'Activation Detail'!$N$4:$N$4003,T$2)</f>
        <v>184.172109743018</v>
      </c>
      <c r="U365" s="50" t="n">
        <f aca="false">T365*'Model Inputs &amp; Assumptions'!$D$41*'Model Inputs &amp; Assumptions'!$H$41</f>
        <v>1326039.19014973</v>
      </c>
      <c r="V365" s="50" t="n">
        <f aca="false">T365*'Model Inputs &amp; Assumptions'!$G$41*'Model Inputs &amp; Assumptions'!$H$41</f>
        <v>29239.1641428016</v>
      </c>
      <c r="W365" s="50" t="n">
        <f aca="false">SUMIFS('Activation Detail'!$I$4:$I$4003,'Activation Detail'!$A$4:$A$4003,$A365,'Activation Detail'!$N$4:$N$4003,T$2)</f>
        <v>17611.229976</v>
      </c>
      <c r="X365" s="51" t="n">
        <f aca="false">IFERROR(V365/W365,0)</f>
        <v>1.66025678971019</v>
      </c>
      <c r="Y365" s="49" t="n">
        <f aca="false">IFERROR(W365/T365,0)</f>
        <v>95.6237619288478</v>
      </c>
      <c r="Z365" s="48" t="n">
        <f aca="false">SUMIFS('Activation Detail'!$H$4:$H$4003,'Activation Detail'!$A$4:$A$4003,$A365,'Activation Detail'!$N$4:$N$4003,Z$2)</f>
        <v>289.871876989169</v>
      </c>
      <c r="AA365" s="50" t="n">
        <f aca="false">Z365*'Model Inputs &amp; Assumptions'!$D$42*'Model Inputs &amp; Assumptions'!$H$42</f>
        <v>1565308.13574151</v>
      </c>
      <c r="AB365" s="50" t="n">
        <f aca="false">Z365*'Model Inputs &amp; Assumptions'!$G$42*'Model Inputs &amp; Assumptions'!$H$42</f>
        <v>32871.4708505717</v>
      </c>
      <c r="AC365" s="50" t="n">
        <f aca="false">SUMIFS('Activation Detail'!$I$4:$I$4003,'Activation Detail'!$A$4:$A$4003,$A365,'Activation Detail'!$N$4:$N$4003,Z$2)</f>
        <v>37302.28</v>
      </c>
      <c r="AD365" s="51" t="n">
        <f aca="false">IFERROR(AB365/AC365,0)</f>
        <v>0.881218811573226</v>
      </c>
      <c r="AE365" s="49" t="n">
        <f aca="false">IFERROR(AC365/Z365,0)</f>
        <v>128.685405384786</v>
      </c>
    </row>
    <row r="366" customFormat="false" ht="15" hidden="false" customHeight="false" outlineLevel="0" collapsed="false">
      <c r="A366" s="43" t="n">
        <v>363</v>
      </c>
      <c r="B366" s="45" t="n">
        <f aca="false">SUM('Activation Detail'!C366,'Activation Detail'!C866,'Activation Detail'!C1366,'Activation Detail'!C1866,'Activation Detail'!C2366,'Activation Detail'!C2866,'Activation Detail'!C3366,'Activation Detail'!C3866)</f>
        <v>5083867</v>
      </c>
      <c r="C366" s="45" t="n">
        <f aca="false">SUM('Activation Detail'!E366,'Activation Detail'!E866,'Activation Detail'!E1366,'Activation Detail'!E1866,'Activation Detail'!E2366,'Activation Detail'!E2866,'Activation Detail'!E3366,'Activation Detail'!E3866)</f>
        <v>435241</v>
      </c>
      <c r="D366" s="45" t="n">
        <f aca="false">SUM('Activation Detail'!G366,'Activation Detail'!G866,'Activation Detail'!G1366,'Activation Detail'!G1866,'Activation Detail'!G2366,'Activation Detail'!G2866,'Activation Detail'!G3366,'Activation Detail'!G3866)</f>
        <v>22700</v>
      </c>
      <c r="E366" s="48" t="n">
        <f aca="false">SUM('Activation Detail'!H366,'Activation Detail'!H866,'Activation Detail'!H1366,'Activation Detail'!H1866,'Activation Detail'!H2366,'Activation Detail'!H2866,'Activation Detail'!H3366,'Activation Detail'!H3866)</f>
        <v>736.534340832306</v>
      </c>
      <c r="F366" s="50" t="n">
        <f aca="false">SUM('Activation Detail'!I366,'Activation Detail'!I866,'Activation Detail'!I1366,'Activation Detail'!I1866,'Activation Detail'!I2366,'Activation Detail'!I2866,'Activation Detail'!I3366,'Activation Detail'!I3866)</f>
        <v>90822.033626</v>
      </c>
      <c r="G366" s="50" t="n">
        <f aca="false">SUM('Activation Detail'!J366,'Activation Detail'!J866,'Activation Detail'!J1366,'Activation Detail'!J1866,'Activation Detail'!J2366,'Activation Detail'!J2866,'Activation Detail'!J3366,'Activation Detail'!J3866)</f>
        <v>4878244.42456759</v>
      </c>
      <c r="H366" s="50" t="n">
        <f aca="false">SUM('Activation Detail'!K366,'Activation Detail'!K866,'Activation Detail'!K1366,'Activation Detail'!K1866,'Activation Detail'!K2366,'Activation Detail'!K2866,'Activation Detail'!K3366,'Activation Detail'!K3866)</f>
        <v>106202.131686984</v>
      </c>
      <c r="I366" s="51" t="n">
        <f aca="false">IFERROR(H366/F366,0)</f>
        <v>1.16934324686362</v>
      </c>
      <c r="J366" s="49" t="n">
        <f aca="false">IFERROR(F366/E366,0)</f>
        <v>123.309978355345</v>
      </c>
      <c r="K366" s="46" t="n">
        <f aca="false">IFERROR(C366/B366,0)</f>
        <v>0.0856121924511401</v>
      </c>
      <c r="L366" s="47" t="n">
        <f aca="false">IFERROR(D366/B366,0)</f>
        <v>0.00446510500766444</v>
      </c>
      <c r="N366" s="48" t="n">
        <f aca="false">SUMIFS('Activation Detail'!$H$4:$H$4003,'Activation Detail'!$A$4:$A$4003,$A366,'Activation Detail'!$N$4:$N$4003,N$2)</f>
        <v>92.6998594182869</v>
      </c>
      <c r="O366" s="50" t="n">
        <f aca="false">N366*'Model Inputs &amp; Assumptions'!$D$40*'Model Inputs &amp; Assumptions'!$H$40</f>
        <v>787948.805055439</v>
      </c>
      <c r="P366" s="50" t="n">
        <f aca="false">N366*'Model Inputs &amp; Assumptions'!$G$40*'Model Inputs &amp; Assumptions'!$H$40</f>
        <v>17728.8481137474</v>
      </c>
      <c r="Q366" s="50" t="n">
        <f aca="false">SUMIFS('Activation Detail'!$I$4:$I$4003,'Activation Detail'!$A$4:$A$4003,$A366,'Activation Detail'!$N$4:$N$4003,N$2)</f>
        <v>19018.343</v>
      </c>
      <c r="R366" s="51" t="n">
        <f aca="false">IFERROR(P366/Q366,0)</f>
        <v>0.932197306239948</v>
      </c>
      <c r="S366" s="49" t="n">
        <f aca="false">IFERROR(Q366/N366,0)</f>
        <v>205.160429792931</v>
      </c>
      <c r="T366" s="48" t="n">
        <f aca="false">SUMIFS('Activation Detail'!$H$4:$H$4003,'Activation Detail'!$A$4:$A$4003,$A366,'Activation Detail'!$N$4:$N$4003,T$2)</f>
        <v>340.883011042475</v>
      </c>
      <c r="U366" s="50" t="n">
        <f aca="false">T366*'Model Inputs &amp; Assumptions'!$D$41*'Model Inputs &amp; Assumptions'!$H$41</f>
        <v>2454357.67950582</v>
      </c>
      <c r="V366" s="50" t="n">
        <f aca="false">T366*'Model Inputs &amp; Assumptions'!$G$41*'Model Inputs &amp; Assumptions'!$H$41</f>
        <v>54118.5868331033</v>
      </c>
      <c r="W366" s="50" t="n">
        <f aca="false">SUMIFS('Activation Detail'!$I$4:$I$4003,'Activation Detail'!$A$4:$A$4003,$A366,'Activation Detail'!$N$4:$N$4003,T$2)</f>
        <v>23789.826626</v>
      </c>
      <c r="X366" s="51" t="n">
        <f aca="false">IFERROR(V366/W366,0)</f>
        <v>2.27486259920688</v>
      </c>
      <c r="Y366" s="49" t="n">
        <f aca="false">IFERROR(W366/T366,0)</f>
        <v>69.7888303475345</v>
      </c>
      <c r="Z366" s="48" t="n">
        <f aca="false">SUMIFS('Activation Detail'!$H$4:$H$4003,'Activation Detail'!$A$4:$A$4003,$A366,'Activation Detail'!$N$4:$N$4003,Z$2)</f>
        <v>302.951470371544</v>
      </c>
      <c r="AA366" s="50" t="n">
        <f aca="false">Z366*'Model Inputs &amp; Assumptions'!$D$42*'Model Inputs &amp; Assumptions'!$H$42</f>
        <v>1635937.94000634</v>
      </c>
      <c r="AB366" s="50" t="n">
        <f aca="false">Z366*'Model Inputs &amp; Assumptions'!$G$42*'Model Inputs &amp; Assumptions'!$H$42</f>
        <v>34354.6967401331</v>
      </c>
      <c r="AC366" s="50" t="n">
        <f aca="false">SUMIFS('Activation Detail'!$I$4:$I$4003,'Activation Detail'!$A$4:$A$4003,$A366,'Activation Detail'!$N$4:$N$4003,Z$2)</f>
        <v>48013.864</v>
      </c>
      <c r="AD366" s="51" t="n">
        <f aca="false">IFERROR(AB366/AC366,0)</f>
        <v>0.715516183828343</v>
      </c>
      <c r="AE366" s="49" t="n">
        <f aca="false">IFERROR(AC366/Z366,0)</f>
        <v>158.486981235361</v>
      </c>
    </row>
    <row r="367" customFormat="false" ht="15" hidden="false" customHeight="false" outlineLevel="0" collapsed="false">
      <c r="A367" s="43" t="n">
        <v>364</v>
      </c>
      <c r="B367" s="45" t="n">
        <f aca="false">SUM('Activation Detail'!C367,'Activation Detail'!C867,'Activation Detail'!C1367,'Activation Detail'!C1867,'Activation Detail'!C2367,'Activation Detail'!C2867,'Activation Detail'!C3367,'Activation Detail'!C3867)</f>
        <v>3505436</v>
      </c>
      <c r="C367" s="45" t="n">
        <f aca="false">SUM('Activation Detail'!E367,'Activation Detail'!E867,'Activation Detail'!E1367,'Activation Detail'!E1867,'Activation Detail'!E2367,'Activation Detail'!E2867,'Activation Detail'!E3367,'Activation Detail'!E3867)</f>
        <v>289000</v>
      </c>
      <c r="D367" s="45" t="n">
        <f aca="false">SUM('Activation Detail'!G367,'Activation Detail'!G867,'Activation Detail'!G1367,'Activation Detail'!G1867,'Activation Detail'!G2367,'Activation Detail'!G2867,'Activation Detail'!G3367,'Activation Detail'!G3867)</f>
        <v>12926</v>
      </c>
      <c r="E367" s="48" t="n">
        <f aca="false">SUM('Activation Detail'!H367,'Activation Detail'!H867,'Activation Detail'!H1367,'Activation Detail'!H1867,'Activation Detail'!H2367,'Activation Detail'!H2867,'Activation Detail'!H3367,'Activation Detail'!H3867)</f>
        <v>514.936691236963</v>
      </c>
      <c r="F367" s="50" t="n">
        <f aca="false">SUM('Activation Detail'!I367,'Activation Detail'!I867,'Activation Detail'!I1367,'Activation Detail'!I1867,'Activation Detail'!I2367,'Activation Detail'!I2867,'Activation Detail'!I3367,'Activation Detail'!I3867)</f>
        <v>71846.46585</v>
      </c>
      <c r="G367" s="50" t="n">
        <f aca="false">SUM('Activation Detail'!J367,'Activation Detail'!J867,'Activation Detail'!J1367,'Activation Detail'!J1867,'Activation Detail'!J2367,'Activation Detail'!J2867,'Activation Detail'!J3367,'Activation Detail'!J3867)</f>
        <v>3304366.66456954</v>
      </c>
      <c r="H367" s="50" t="n">
        <f aca="false">SUM('Activation Detail'!K367,'Activation Detail'!K867,'Activation Detail'!K1367,'Activation Detail'!K1867,'Activation Detail'!K2367,'Activation Detail'!K2867,'Activation Detail'!K3367,'Activation Detail'!K3867)</f>
        <v>71569.2649232468</v>
      </c>
      <c r="I367" s="51" t="n">
        <f aca="false">IFERROR(H367/F367,0)</f>
        <v>0.996141759744566</v>
      </c>
      <c r="J367" s="49" t="n">
        <f aca="false">IFERROR(F367/E367,0)</f>
        <v>139.524852419067</v>
      </c>
      <c r="K367" s="46" t="n">
        <f aca="false">IFERROR(C367/B367,0)</f>
        <v>0.082443382221213</v>
      </c>
      <c r="L367" s="47" t="n">
        <f aca="false">IFERROR(D367/B367,0)</f>
        <v>0.00368741577367266</v>
      </c>
      <c r="N367" s="48" t="n">
        <f aca="false">SUMIFS('Activation Detail'!$H$4:$H$4003,'Activation Detail'!$A$4:$A$4003,$A367,'Activation Detail'!$N$4:$N$4003,N$2)</f>
        <v>81.5217283374888</v>
      </c>
      <c r="O367" s="50" t="n">
        <f aca="false">N367*'Model Inputs &amp; Assumptions'!$D$40*'Model Inputs &amp; Assumptions'!$H$40</f>
        <v>692934.690868655</v>
      </c>
      <c r="P367" s="50" t="n">
        <f aca="false">N367*'Model Inputs &amp; Assumptions'!$G$40*'Model Inputs &amp; Assumptions'!$H$40</f>
        <v>15591.0305445447</v>
      </c>
      <c r="Q367" s="50" t="n">
        <f aca="false">SUMIFS('Activation Detail'!$I$4:$I$4003,'Activation Detail'!$A$4:$A$4003,$A367,'Activation Detail'!$N$4:$N$4003,N$2)</f>
        <v>18322.1735</v>
      </c>
      <c r="R367" s="51" t="n">
        <f aca="false">IFERROR(P367/Q367,0)</f>
        <v>0.850937829212497</v>
      </c>
      <c r="S367" s="49" t="n">
        <f aca="false">IFERROR(Q367/N367,0)</f>
        <v>224.752024689034</v>
      </c>
      <c r="T367" s="48" t="n">
        <f aca="false">SUMIFS('Activation Detail'!$H$4:$H$4003,'Activation Detail'!$A$4:$A$4003,$A367,'Activation Detail'!$N$4:$N$4003,T$2)</f>
        <v>150.55065224651</v>
      </c>
      <c r="U367" s="50" t="n">
        <f aca="false">T367*'Model Inputs &amp; Assumptions'!$D$41*'Model Inputs &amp; Assumptions'!$H$41</f>
        <v>1083964.69617487</v>
      </c>
      <c r="V367" s="50" t="n">
        <f aca="false">T367*'Model Inputs &amp; Assumptions'!$G$41*'Model Inputs &amp; Assumptions'!$H$41</f>
        <v>23901.421550656</v>
      </c>
      <c r="W367" s="50" t="n">
        <f aca="false">SUMIFS('Activation Detail'!$I$4:$I$4003,'Activation Detail'!$A$4:$A$4003,$A367,'Activation Detail'!$N$4:$N$4003,T$2)</f>
        <v>18126.22035</v>
      </c>
      <c r="X367" s="51" t="n">
        <f aca="false">IFERROR(V367/W367,0)</f>
        <v>1.3186103384568</v>
      </c>
      <c r="Y367" s="49" t="n">
        <f aca="false">IFERROR(W367/T367,0)</f>
        <v>120.399480703148</v>
      </c>
      <c r="Z367" s="48" t="n">
        <f aca="false">SUMIFS('Activation Detail'!$H$4:$H$4003,'Activation Detail'!$A$4:$A$4003,$A367,'Activation Detail'!$N$4:$N$4003,Z$2)</f>
        <v>282.864310652964</v>
      </c>
      <c r="AA367" s="50" t="n">
        <f aca="false">Z367*'Model Inputs &amp; Assumptions'!$D$42*'Model Inputs &amp; Assumptions'!$H$42</f>
        <v>1527467.27752601</v>
      </c>
      <c r="AB367" s="50" t="n">
        <f aca="false">Z367*'Model Inputs &amp; Assumptions'!$G$42*'Model Inputs &amp; Assumptions'!$H$42</f>
        <v>32076.8128280461</v>
      </c>
      <c r="AC367" s="50" t="n">
        <f aca="false">SUMIFS('Activation Detail'!$I$4:$I$4003,'Activation Detail'!$A$4:$A$4003,$A367,'Activation Detail'!$N$4:$N$4003,Z$2)</f>
        <v>35398.072</v>
      </c>
      <c r="AD367" s="51" t="n">
        <f aca="false">IFERROR(AB367/AC367,0)</f>
        <v>0.906174009365429</v>
      </c>
      <c r="AE367" s="49" t="n">
        <f aca="false">IFERROR(AC367/Z367,0)</f>
        <v>125.141527816949</v>
      </c>
    </row>
    <row r="368" customFormat="false" ht="15" hidden="false" customHeight="false" outlineLevel="0" collapsed="false">
      <c r="A368" s="43" t="n">
        <v>365</v>
      </c>
      <c r="B368" s="45" t="n">
        <f aca="false">SUM('Activation Detail'!C368,'Activation Detail'!C868,'Activation Detail'!C1368,'Activation Detail'!C1868,'Activation Detail'!C2368,'Activation Detail'!C2868,'Activation Detail'!C3368,'Activation Detail'!C3868)</f>
        <v>4549217</v>
      </c>
      <c r="C368" s="45" t="n">
        <f aca="false">SUM('Activation Detail'!E368,'Activation Detail'!E868,'Activation Detail'!E1368,'Activation Detail'!E1868,'Activation Detail'!E2368,'Activation Detail'!E2868,'Activation Detail'!E3368,'Activation Detail'!E3868)</f>
        <v>394674</v>
      </c>
      <c r="D368" s="45" t="n">
        <f aca="false">SUM('Activation Detail'!G368,'Activation Detail'!G868,'Activation Detail'!G1368,'Activation Detail'!G1868,'Activation Detail'!G2368,'Activation Detail'!G2868,'Activation Detail'!G3368,'Activation Detail'!G3868)</f>
        <v>15329</v>
      </c>
      <c r="E368" s="48" t="n">
        <f aca="false">SUM('Activation Detail'!H368,'Activation Detail'!H868,'Activation Detail'!H1368,'Activation Detail'!H1868,'Activation Detail'!H2368,'Activation Detail'!H2868,'Activation Detail'!H3368,'Activation Detail'!H3868)</f>
        <v>710.93831807835</v>
      </c>
      <c r="F368" s="50" t="n">
        <f aca="false">SUM('Activation Detail'!I368,'Activation Detail'!I868,'Activation Detail'!I1368,'Activation Detail'!I1868,'Activation Detail'!I2368,'Activation Detail'!I2868,'Activation Detail'!I3368,'Activation Detail'!I3868)</f>
        <v>78017.455804</v>
      </c>
      <c r="G368" s="50" t="n">
        <f aca="false">SUM('Activation Detail'!J368,'Activation Detail'!J868,'Activation Detail'!J1368,'Activation Detail'!J1868,'Activation Detail'!J2368,'Activation Detail'!J2868,'Activation Detail'!J3368,'Activation Detail'!J3868)</f>
        <v>4440678.24907715</v>
      </c>
      <c r="H368" s="50" t="n">
        <f aca="false">SUM('Activation Detail'!K368,'Activation Detail'!K868,'Activation Detail'!K1368,'Activation Detail'!K1868,'Activation Detail'!K2368,'Activation Detail'!K2868,'Activation Detail'!K3368,'Activation Detail'!K3868)</f>
        <v>95748.0872893568</v>
      </c>
      <c r="I368" s="51" t="n">
        <f aca="false">IFERROR(H368/F368,0)</f>
        <v>1.22726492811943</v>
      </c>
      <c r="J368" s="49" t="n">
        <f aca="false">IFERROR(F368/E368,0)</f>
        <v>109.738712656366</v>
      </c>
      <c r="K368" s="46" t="n">
        <f aca="false">IFERROR(C368/B368,0)</f>
        <v>0.0867564682010113</v>
      </c>
      <c r="L368" s="47" t="n">
        <f aca="false">IFERROR(D368/B368,0)</f>
        <v>0.00336959085486579</v>
      </c>
      <c r="N368" s="48" t="n">
        <f aca="false">SUMIFS('Activation Detail'!$H$4:$H$4003,'Activation Detail'!$A$4:$A$4003,$A368,'Activation Detail'!$N$4:$N$4003,N$2)</f>
        <v>121.939012482596</v>
      </c>
      <c r="O368" s="50" t="n">
        <f aca="false">N368*'Model Inputs &amp; Assumptions'!$D$40*'Model Inputs &amp; Assumptions'!$H$40</f>
        <v>1036481.60610207</v>
      </c>
      <c r="P368" s="50" t="n">
        <f aca="false">N368*'Model Inputs &amp; Assumptions'!$G$40*'Model Inputs &amp; Assumptions'!$H$40</f>
        <v>23320.8361372966</v>
      </c>
      <c r="Q368" s="50" t="n">
        <f aca="false">SUMIFS('Activation Detail'!$I$4:$I$4003,'Activation Detail'!$A$4:$A$4003,$A368,'Activation Detail'!$N$4:$N$4003,N$2)</f>
        <v>18292.5075</v>
      </c>
      <c r="R368" s="51" t="n">
        <f aca="false">IFERROR(P368/Q368,0)</f>
        <v>1.27488460164887</v>
      </c>
      <c r="S368" s="49" t="n">
        <f aca="false">IFERROR(Q368/N368,0)</f>
        <v>150.013577505483</v>
      </c>
      <c r="T368" s="48" t="n">
        <f aca="false">SUMIFS('Activation Detail'!$H$4:$H$4003,'Activation Detail'!$A$4:$A$4003,$A368,'Activation Detail'!$N$4:$N$4003,T$2)</f>
        <v>124.222440421115</v>
      </c>
      <c r="U368" s="50" t="n">
        <f aca="false">T368*'Model Inputs &amp; Assumptions'!$D$41*'Model Inputs &amp; Assumptions'!$H$41</f>
        <v>894401.571032027</v>
      </c>
      <c r="V368" s="50" t="n">
        <f aca="false">T368*'Model Inputs &amp; Assumptions'!$G$41*'Model Inputs &amp; Assumptions'!$H$41</f>
        <v>19721.5546412562</v>
      </c>
      <c r="W368" s="50" t="n">
        <f aca="false">SUMIFS('Activation Detail'!$I$4:$I$4003,'Activation Detail'!$A$4:$A$4003,$A368,'Activation Detail'!$N$4:$N$4003,T$2)</f>
        <v>16446.740304</v>
      </c>
      <c r="X368" s="51" t="n">
        <f aca="false">IFERROR(V368/W368,0)</f>
        <v>1.19911631586107</v>
      </c>
      <c r="Y368" s="49" t="n">
        <f aca="false">IFERROR(W368/T368,0)</f>
        <v>132.397497974162</v>
      </c>
      <c r="Z368" s="48" t="n">
        <f aca="false">SUMIFS('Activation Detail'!$H$4:$H$4003,'Activation Detail'!$A$4:$A$4003,$A368,'Activation Detail'!$N$4:$N$4003,Z$2)</f>
        <v>464.776865174639</v>
      </c>
      <c r="AA368" s="50" t="n">
        <f aca="false">Z368*'Model Inputs &amp; Assumptions'!$D$42*'Model Inputs &amp; Assumptions'!$H$42</f>
        <v>2509795.07194305</v>
      </c>
      <c r="AB368" s="50" t="n">
        <f aca="false">Z368*'Model Inputs &amp; Assumptions'!$G$42*'Model Inputs &amp; Assumptions'!$H$42</f>
        <v>52705.6965108041</v>
      </c>
      <c r="AC368" s="50" t="n">
        <f aca="false">SUMIFS('Activation Detail'!$I$4:$I$4003,'Activation Detail'!$A$4:$A$4003,$A368,'Activation Detail'!$N$4:$N$4003,Z$2)</f>
        <v>43278.208</v>
      </c>
      <c r="AD368" s="51" t="n">
        <f aca="false">IFERROR(AB368/AC368,0)</f>
        <v>1.21783453951707</v>
      </c>
      <c r="AE368" s="49" t="n">
        <f aca="false">IFERROR(AC368/Z368,0)</f>
        <v>93.1160977294734</v>
      </c>
    </row>
    <row r="369" customFormat="false" ht="15" hidden="false" customHeight="false" outlineLevel="0" collapsed="false">
      <c r="A369" s="43" t="n">
        <v>366</v>
      </c>
      <c r="B369" s="45" t="n">
        <f aca="false">SUM('Activation Detail'!C369,'Activation Detail'!C869,'Activation Detail'!C1369,'Activation Detail'!C1869,'Activation Detail'!C2369,'Activation Detail'!C2869,'Activation Detail'!C3369,'Activation Detail'!C3869)</f>
        <v>4418807</v>
      </c>
      <c r="C369" s="45" t="n">
        <f aca="false">SUM('Activation Detail'!E369,'Activation Detail'!E869,'Activation Detail'!E1369,'Activation Detail'!E1869,'Activation Detail'!E2369,'Activation Detail'!E2869,'Activation Detail'!E3369,'Activation Detail'!E3869)</f>
        <v>391810</v>
      </c>
      <c r="D369" s="45" t="n">
        <f aca="false">SUM('Activation Detail'!G369,'Activation Detail'!G869,'Activation Detail'!G1369,'Activation Detail'!G1869,'Activation Detail'!G2369,'Activation Detail'!G2869,'Activation Detail'!G3369,'Activation Detail'!G3869)</f>
        <v>19564</v>
      </c>
      <c r="E369" s="48" t="n">
        <f aca="false">SUM('Activation Detail'!H369,'Activation Detail'!H869,'Activation Detail'!H1369,'Activation Detail'!H1869,'Activation Detail'!H2369,'Activation Detail'!H2869,'Activation Detail'!H3369,'Activation Detail'!H3869)</f>
        <v>812.450622448094</v>
      </c>
      <c r="F369" s="50" t="n">
        <f aca="false">SUM('Activation Detail'!I369,'Activation Detail'!I869,'Activation Detail'!I1369,'Activation Detail'!I1869,'Activation Detail'!I2369,'Activation Detail'!I2869,'Activation Detail'!I3369,'Activation Detail'!I3869)</f>
        <v>83045.288388</v>
      </c>
      <c r="G369" s="50" t="n">
        <f aca="false">SUM('Activation Detail'!J369,'Activation Detail'!J869,'Activation Detail'!J1369,'Activation Detail'!J1869,'Activation Detail'!J2369,'Activation Detail'!J2869,'Activation Detail'!J3369,'Activation Detail'!J3869)</f>
        <v>5023417.63948806</v>
      </c>
      <c r="H369" s="50" t="n">
        <f aca="false">SUM('Activation Detail'!K369,'Activation Detail'!K869,'Activation Detail'!K1369,'Activation Detail'!K1869,'Activation Detail'!K2369,'Activation Detail'!K2869,'Activation Detail'!K3369,'Activation Detail'!K3869)</f>
        <v>108142.72188515</v>
      </c>
      <c r="I369" s="51" t="n">
        <f aca="false">IFERROR(H369/F369,0)</f>
        <v>1.30221381591079</v>
      </c>
      <c r="J369" s="49" t="n">
        <f aca="false">IFERROR(F369/E369,0)</f>
        <v>102.215797604741</v>
      </c>
      <c r="K369" s="46" t="n">
        <f aca="false">IFERROR(C369/B369,0)</f>
        <v>0.0886687289125775</v>
      </c>
      <c r="L369" s="47" t="n">
        <f aca="false">IFERROR(D369/B369,0)</f>
        <v>0.00442743935184316</v>
      </c>
      <c r="N369" s="48" t="n">
        <f aca="false">SUMIFS('Activation Detail'!$H$4:$H$4003,'Activation Detail'!$A$4:$A$4003,$A369,'Activation Detail'!$N$4:$N$4003,N$2)</f>
        <v>77.8611586173329</v>
      </c>
      <c r="O369" s="50" t="n">
        <f aca="false">N369*'Model Inputs &amp; Assumptions'!$D$40*'Model Inputs &amp; Assumptions'!$H$40</f>
        <v>661819.84824733</v>
      </c>
      <c r="P369" s="50" t="n">
        <f aca="false">N369*'Model Inputs &amp; Assumptions'!$G$40*'Model Inputs &amp; Assumptions'!$H$40</f>
        <v>14890.9465855649</v>
      </c>
      <c r="Q369" s="50" t="n">
        <f aca="false">SUMIFS('Activation Detail'!$I$4:$I$4003,'Activation Detail'!$A$4:$A$4003,$A369,'Activation Detail'!$N$4:$N$4003,N$2)</f>
        <v>17869.3445</v>
      </c>
      <c r="R369" s="51" t="n">
        <f aca="false">IFERROR(P369/Q369,0)</f>
        <v>0.833323605438628</v>
      </c>
      <c r="S369" s="49" t="n">
        <f aca="false">IFERROR(Q369/N369,0)</f>
        <v>229.502679093476</v>
      </c>
      <c r="T369" s="48" t="n">
        <f aca="false">SUMIFS('Activation Detail'!$H$4:$H$4003,'Activation Detail'!$A$4:$A$4003,$A369,'Activation Detail'!$N$4:$N$4003,T$2)</f>
        <v>219.341492530345</v>
      </c>
      <c r="U369" s="50" t="n">
        <f aca="false">T369*'Model Inputs &amp; Assumptions'!$D$41*'Model Inputs &amp; Assumptions'!$H$41</f>
        <v>1579258.74621849</v>
      </c>
      <c r="V369" s="50" t="n">
        <f aca="false">T369*'Model Inputs &amp; Assumptions'!$G$41*'Model Inputs &amp; Assumptions'!$H$41</f>
        <v>34822.6553541176</v>
      </c>
      <c r="W369" s="50" t="n">
        <f aca="false">SUMIFS('Activation Detail'!$I$4:$I$4003,'Activation Detail'!$A$4:$A$4003,$A369,'Activation Detail'!$N$4:$N$4003,T$2)</f>
        <v>19708.503888</v>
      </c>
      <c r="X369" s="51" t="n">
        <f aca="false">IFERROR(V369/W369,0)</f>
        <v>1.76688476974248</v>
      </c>
      <c r="Y369" s="49" t="n">
        <f aca="false">IFERROR(W369/T369,0)</f>
        <v>89.8530581726272</v>
      </c>
      <c r="Z369" s="48" t="n">
        <f aca="false">SUMIFS('Activation Detail'!$H$4:$H$4003,'Activation Detail'!$A$4:$A$4003,$A369,'Activation Detail'!$N$4:$N$4003,Z$2)</f>
        <v>515.247971300416</v>
      </c>
      <c r="AA369" s="50" t="n">
        <f aca="false">Z369*'Model Inputs &amp; Assumptions'!$D$42*'Model Inputs &amp; Assumptions'!$H$42</f>
        <v>2782339.04502225</v>
      </c>
      <c r="AB369" s="50" t="n">
        <f aca="false">Z369*'Model Inputs &amp; Assumptions'!$G$42*'Model Inputs &amp; Assumptions'!$H$42</f>
        <v>58429.1199454672</v>
      </c>
      <c r="AC369" s="50" t="n">
        <f aca="false">SUMIFS('Activation Detail'!$I$4:$I$4003,'Activation Detail'!$A$4:$A$4003,$A369,'Activation Detail'!$N$4:$N$4003,Z$2)</f>
        <v>45467.44</v>
      </c>
      <c r="AD369" s="51" t="n">
        <f aca="false">IFERROR(AB369/AC369,0)</f>
        <v>1.28507608841552</v>
      </c>
      <c r="AE369" s="49" t="n">
        <f aca="false">IFERROR(AC369/Z369,0)</f>
        <v>88.2438020769812</v>
      </c>
    </row>
    <row r="370" customFormat="false" ht="15" hidden="false" customHeight="false" outlineLevel="0" collapsed="false">
      <c r="A370" s="43" t="n">
        <v>367</v>
      </c>
      <c r="B370" s="45" t="n">
        <f aca="false">SUM('Activation Detail'!C370,'Activation Detail'!C870,'Activation Detail'!C1370,'Activation Detail'!C1870,'Activation Detail'!C2370,'Activation Detail'!C2870,'Activation Detail'!C3370,'Activation Detail'!C3870)</f>
        <v>3200100</v>
      </c>
      <c r="C370" s="45" t="n">
        <f aca="false">SUM('Activation Detail'!E370,'Activation Detail'!E870,'Activation Detail'!E1370,'Activation Detail'!E1870,'Activation Detail'!E2370,'Activation Detail'!E2870,'Activation Detail'!E3370,'Activation Detail'!E3870)</f>
        <v>440787</v>
      </c>
      <c r="D370" s="45" t="n">
        <f aca="false">SUM('Activation Detail'!G370,'Activation Detail'!G870,'Activation Detail'!G1370,'Activation Detail'!G1870,'Activation Detail'!G2370,'Activation Detail'!G2870,'Activation Detail'!G3370,'Activation Detail'!G3870)</f>
        <v>11774</v>
      </c>
      <c r="E370" s="48" t="n">
        <f aca="false">SUM('Activation Detail'!H370,'Activation Detail'!H870,'Activation Detail'!H1370,'Activation Detail'!H1870,'Activation Detail'!H2370,'Activation Detail'!H2870,'Activation Detail'!H3370,'Activation Detail'!H3870)</f>
        <v>452.541707044334</v>
      </c>
      <c r="F370" s="50" t="n">
        <f aca="false">SUM('Activation Detail'!I370,'Activation Detail'!I870,'Activation Detail'!I1370,'Activation Detail'!I1870,'Activation Detail'!I2370,'Activation Detail'!I2870,'Activation Detail'!I3370,'Activation Detail'!I3870)</f>
        <v>71343.151692</v>
      </c>
      <c r="G370" s="50" t="n">
        <f aca="false">SUM('Activation Detail'!J370,'Activation Detail'!J870,'Activation Detail'!J1370,'Activation Detail'!J1870,'Activation Detail'!J2370,'Activation Detail'!J2870,'Activation Detail'!J3370,'Activation Detail'!J3870)</f>
        <v>3221803.51849761</v>
      </c>
      <c r="H370" s="50" t="n">
        <f aca="false">SUM('Activation Detail'!K370,'Activation Detail'!K870,'Activation Detail'!K1370,'Activation Detail'!K1870,'Activation Detail'!K2370,'Activation Detail'!K2870,'Activation Detail'!K3370,'Activation Detail'!K3870)</f>
        <v>70899.0070669911</v>
      </c>
      <c r="I370" s="51" t="n">
        <f aca="false">IFERROR(H370/F370,0)</f>
        <v>0.993774530358199</v>
      </c>
      <c r="J370" s="49" t="n">
        <f aca="false">IFERROR(F370/E370,0)</f>
        <v>157.649892996516</v>
      </c>
      <c r="K370" s="46" t="n">
        <f aca="false">IFERROR(C370/B370,0)</f>
        <v>0.137741633073966</v>
      </c>
      <c r="L370" s="47" t="n">
        <f aca="false">IFERROR(D370/B370,0)</f>
        <v>0.00367926002312428</v>
      </c>
      <c r="N370" s="48" t="n">
        <f aca="false">SUMIFS('Activation Detail'!$H$4:$H$4003,'Activation Detail'!$A$4:$A$4003,$A370,'Activation Detail'!$N$4:$N$4003,N$2)</f>
        <v>99.2432717893857</v>
      </c>
      <c r="O370" s="50" t="n">
        <f aca="false">N370*'Model Inputs &amp; Assumptions'!$D$40*'Model Inputs &amp; Assumptions'!$H$40</f>
        <v>843567.810209779</v>
      </c>
      <c r="P370" s="50" t="n">
        <f aca="false">N370*'Model Inputs &amp; Assumptions'!$G$40*'Model Inputs &amp; Assumptions'!$H$40</f>
        <v>18980.27572972</v>
      </c>
      <c r="Q370" s="50" t="n">
        <f aca="false">SUMIFS('Activation Detail'!$I$4:$I$4003,'Activation Detail'!$A$4:$A$4003,$A370,'Activation Detail'!$N$4:$N$4003,N$2)</f>
        <v>17292.1965</v>
      </c>
      <c r="R370" s="51" t="n">
        <f aca="false">IFERROR(P370/Q370,0)</f>
        <v>1.09762086787066</v>
      </c>
      <c r="S370" s="49" t="n">
        <f aca="false">IFERROR(Q370/N370,0)</f>
        <v>174.240491956951</v>
      </c>
      <c r="T370" s="48" t="n">
        <f aca="false">SUMIFS('Activation Detail'!$H$4:$H$4003,'Activation Detail'!$A$4:$A$4003,$A370,'Activation Detail'!$N$4:$N$4003,T$2)</f>
        <v>261.346754395061</v>
      </c>
      <c r="U370" s="50" t="n">
        <f aca="false">T370*'Model Inputs &amp; Assumptions'!$D$41*'Model Inputs &amp; Assumptions'!$H$41</f>
        <v>1881696.63164444</v>
      </c>
      <c r="V370" s="50" t="n">
        <f aca="false">T370*'Model Inputs &amp; Assumptions'!$G$41*'Model Inputs &amp; Assumptions'!$H$41</f>
        <v>41491.4107277599</v>
      </c>
      <c r="W370" s="50" t="n">
        <f aca="false">SUMIFS('Activation Detail'!$I$4:$I$4003,'Activation Detail'!$A$4:$A$4003,$A370,'Activation Detail'!$N$4:$N$4003,T$2)</f>
        <v>18220.967192</v>
      </c>
      <c r="X370" s="51" t="n">
        <f aca="false">IFERROR(V370/W370,0)</f>
        <v>2.27712449567315</v>
      </c>
      <c r="Y370" s="49" t="n">
        <f aca="false">IFERROR(W370/T370,0)</f>
        <v>69.7195082226142</v>
      </c>
      <c r="Z370" s="48" t="n">
        <f aca="false">SUMIFS('Activation Detail'!$H$4:$H$4003,'Activation Detail'!$A$4:$A$4003,$A370,'Activation Detail'!$N$4:$N$4003,Z$2)</f>
        <v>91.9516808598867</v>
      </c>
      <c r="AA370" s="50" t="n">
        <f aca="false">Z370*'Model Inputs &amp; Assumptions'!$D$42*'Model Inputs &amp; Assumptions'!$H$42</f>
        <v>496539.076643388</v>
      </c>
      <c r="AB370" s="50" t="n">
        <f aca="false">Z370*'Model Inputs &amp; Assumptions'!$G$42*'Model Inputs &amp; Assumptions'!$H$42</f>
        <v>10427.3206095112</v>
      </c>
      <c r="AC370" s="50" t="n">
        <f aca="false">SUMIFS('Activation Detail'!$I$4:$I$4003,'Activation Detail'!$A$4:$A$4003,$A370,'Activation Detail'!$N$4:$N$4003,Z$2)</f>
        <v>35829.988</v>
      </c>
      <c r="AD370" s="51" t="n">
        <f aca="false">IFERROR(AB370/AC370,0)</f>
        <v>0.291022163041505</v>
      </c>
      <c r="AE370" s="49" t="n">
        <f aca="false">IFERROR(AC370/Z370,0)</f>
        <v>389.661044419587</v>
      </c>
    </row>
    <row r="371" customFormat="false" ht="15" hidden="false" customHeight="false" outlineLevel="0" collapsed="false">
      <c r="A371" s="43" t="n">
        <v>368</v>
      </c>
      <c r="B371" s="45" t="n">
        <f aca="false">SUM('Activation Detail'!C371,'Activation Detail'!C871,'Activation Detail'!C1371,'Activation Detail'!C1871,'Activation Detail'!C2371,'Activation Detail'!C2871,'Activation Detail'!C3371,'Activation Detail'!C3871)</f>
        <v>4006971</v>
      </c>
      <c r="C371" s="45" t="n">
        <f aca="false">SUM('Activation Detail'!E371,'Activation Detail'!E871,'Activation Detail'!E1371,'Activation Detail'!E1871,'Activation Detail'!E2371,'Activation Detail'!E2871,'Activation Detail'!E3371,'Activation Detail'!E3871)</f>
        <v>444179</v>
      </c>
      <c r="D371" s="45" t="n">
        <f aca="false">SUM('Activation Detail'!G371,'Activation Detail'!G871,'Activation Detail'!G1371,'Activation Detail'!G1871,'Activation Detail'!G2371,'Activation Detail'!G2871,'Activation Detail'!G3371,'Activation Detail'!G3871)</f>
        <v>13153</v>
      </c>
      <c r="E371" s="48" t="n">
        <f aca="false">SUM('Activation Detail'!H371,'Activation Detail'!H871,'Activation Detail'!H1371,'Activation Detail'!H1871,'Activation Detail'!H2371,'Activation Detail'!H2871,'Activation Detail'!H3371,'Activation Detail'!H3871)</f>
        <v>532.977724540109</v>
      </c>
      <c r="F371" s="50" t="n">
        <f aca="false">SUM('Activation Detail'!I371,'Activation Detail'!I871,'Activation Detail'!I1371,'Activation Detail'!I1871,'Activation Detail'!I2371,'Activation Detail'!I2871,'Activation Detail'!I3371,'Activation Detail'!I3871)</f>
        <v>75318.685772</v>
      </c>
      <c r="G371" s="50" t="n">
        <f aca="false">SUM('Activation Detail'!J371,'Activation Detail'!J871,'Activation Detail'!J1371,'Activation Detail'!J1871,'Activation Detail'!J2371,'Activation Detail'!J2871,'Activation Detail'!J3371,'Activation Detail'!J3871)</f>
        <v>3377543.53144484</v>
      </c>
      <c r="H371" s="50" t="n">
        <f aca="false">SUM('Activation Detail'!K371,'Activation Detail'!K871,'Activation Detail'!K1371,'Activation Detail'!K1871,'Activation Detail'!K2371,'Activation Detail'!K2871,'Activation Detail'!K3371,'Activation Detail'!K3871)</f>
        <v>72999.7650198992</v>
      </c>
      <c r="I371" s="51" t="n">
        <f aca="false">IFERROR(H371/F371,0)</f>
        <v>0.969211879783451</v>
      </c>
      <c r="J371" s="49" t="n">
        <f aca="false">IFERROR(F371/E371,0)</f>
        <v>141.316761102897</v>
      </c>
      <c r="K371" s="46" t="n">
        <f aca="false">IFERROR(C371/B371,0)</f>
        <v>0.110851563437819</v>
      </c>
      <c r="L371" s="47" t="n">
        <f aca="false">IFERROR(D371/B371,0)</f>
        <v>0.00328252937193706</v>
      </c>
      <c r="N371" s="48" t="n">
        <f aca="false">SUMIFS('Activation Detail'!$H$4:$H$4003,'Activation Detail'!$A$4:$A$4003,$A371,'Activation Detail'!$N$4:$N$4003,N$2)</f>
        <v>97.7673331157061</v>
      </c>
      <c r="O371" s="50" t="n">
        <f aca="false">N371*'Model Inputs &amp; Assumptions'!$D$40*'Model Inputs &amp; Assumptions'!$H$40</f>
        <v>831022.331483502</v>
      </c>
      <c r="P371" s="50" t="n">
        <f aca="false">N371*'Model Inputs &amp; Assumptions'!$G$40*'Model Inputs &amp; Assumptions'!$H$40</f>
        <v>18698.0024583788</v>
      </c>
      <c r="Q371" s="50" t="n">
        <f aca="false">SUMIFS('Activation Detail'!$I$4:$I$4003,'Activation Detail'!$A$4:$A$4003,$A371,'Activation Detail'!$N$4:$N$4003,N$2)</f>
        <v>18123.865</v>
      </c>
      <c r="R371" s="51" t="n">
        <f aca="false">IFERROR(P371/Q371,0)</f>
        <v>1.03167853315939</v>
      </c>
      <c r="S371" s="49" t="n">
        <f aca="false">IFERROR(Q371/N371,0)</f>
        <v>185.37751232869</v>
      </c>
      <c r="T371" s="48" t="n">
        <f aca="false">SUMIFS('Activation Detail'!$H$4:$H$4003,'Activation Detail'!$A$4:$A$4003,$A371,'Activation Detail'!$N$4:$N$4003,T$2)</f>
        <v>109.102825705314</v>
      </c>
      <c r="U371" s="50" t="n">
        <f aca="false">T371*'Model Inputs &amp; Assumptions'!$D$41*'Model Inputs &amp; Assumptions'!$H$41</f>
        <v>785540.345078264</v>
      </c>
      <c r="V371" s="50" t="n">
        <f aca="false">T371*'Model Inputs &amp; Assumptions'!$G$41*'Model Inputs &amp; Assumptions'!$H$41</f>
        <v>17321.1646089757</v>
      </c>
      <c r="W371" s="50" t="n">
        <f aca="false">SUMIFS('Activation Detail'!$I$4:$I$4003,'Activation Detail'!$A$4:$A$4003,$A371,'Activation Detail'!$N$4:$N$4003,T$2)</f>
        <v>16132.388772</v>
      </c>
      <c r="X371" s="51" t="n">
        <f aca="false">IFERROR(V371/W371,0)</f>
        <v>1.07368876697535</v>
      </c>
      <c r="Y371" s="49" t="n">
        <f aca="false">IFERROR(W371/T371,0)</f>
        <v>147.86407838394</v>
      </c>
      <c r="Z371" s="48" t="n">
        <f aca="false">SUMIFS('Activation Detail'!$H$4:$H$4003,'Activation Detail'!$A$4:$A$4003,$A371,'Activation Detail'!$N$4:$N$4003,Z$2)</f>
        <v>326.107565719089</v>
      </c>
      <c r="AA371" s="50" t="n">
        <f aca="false">Z371*'Model Inputs &amp; Assumptions'!$D$42*'Model Inputs &amp; Assumptions'!$H$42</f>
        <v>1760980.85488308</v>
      </c>
      <c r="AB371" s="50" t="n">
        <f aca="false">Z371*'Model Inputs &amp; Assumptions'!$G$42*'Model Inputs &amp; Assumptions'!$H$42</f>
        <v>36980.5979525446</v>
      </c>
      <c r="AC371" s="50" t="n">
        <f aca="false">SUMIFS('Activation Detail'!$I$4:$I$4003,'Activation Detail'!$A$4:$A$4003,$A371,'Activation Detail'!$N$4:$N$4003,Z$2)</f>
        <v>41062.432</v>
      </c>
      <c r="AD371" s="51" t="n">
        <f aca="false">IFERROR(AB371/AC371,0)</f>
        <v>0.900594440011362</v>
      </c>
      <c r="AE371" s="49" t="n">
        <f aca="false">IFERROR(AC371/Z371,0)</f>
        <v>125.916833329072</v>
      </c>
    </row>
    <row r="372" customFormat="false" ht="15" hidden="false" customHeight="false" outlineLevel="0" collapsed="false">
      <c r="A372" s="43" t="n">
        <v>369</v>
      </c>
      <c r="B372" s="45" t="n">
        <f aca="false">SUM('Activation Detail'!C372,'Activation Detail'!C872,'Activation Detail'!C1372,'Activation Detail'!C1872,'Activation Detail'!C2372,'Activation Detail'!C2872,'Activation Detail'!C3372,'Activation Detail'!C3872)</f>
        <v>4698970</v>
      </c>
      <c r="C372" s="45" t="n">
        <f aca="false">SUM('Activation Detail'!E372,'Activation Detail'!E872,'Activation Detail'!E1372,'Activation Detail'!E1872,'Activation Detail'!E2372,'Activation Detail'!E2872,'Activation Detail'!E3372,'Activation Detail'!E3872)</f>
        <v>513382</v>
      </c>
      <c r="D372" s="45" t="n">
        <f aca="false">SUM('Activation Detail'!G372,'Activation Detail'!G872,'Activation Detail'!G1372,'Activation Detail'!G1872,'Activation Detail'!G2372,'Activation Detail'!G2872,'Activation Detail'!G3372,'Activation Detail'!G3872)</f>
        <v>18869</v>
      </c>
      <c r="E372" s="48" t="n">
        <f aca="false">SUM('Activation Detail'!H372,'Activation Detail'!H872,'Activation Detail'!H1372,'Activation Detail'!H1872,'Activation Detail'!H2372,'Activation Detail'!H2872,'Activation Detail'!H3372,'Activation Detail'!H3872)</f>
        <v>622.835948486146</v>
      </c>
      <c r="F372" s="50" t="n">
        <f aca="false">SUM('Activation Detail'!I372,'Activation Detail'!I872,'Activation Detail'!I1372,'Activation Detail'!I1872,'Activation Detail'!I2372,'Activation Detail'!I2872,'Activation Detail'!I3372,'Activation Detail'!I3872)</f>
        <v>80210.097662</v>
      </c>
      <c r="G372" s="50" t="n">
        <f aca="false">SUM('Activation Detail'!J372,'Activation Detail'!J872,'Activation Detail'!J1372,'Activation Detail'!J1872,'Activation Detail'!J2372,'Activation Detail'!J2872,'Activation Detail'!J3372,'Activation Detail'!J3872)</f>
        <v>3983391.55375581</v>
      </c>
      <c r="H372" s="50" t="n">
        <f aca="false">SUM('Activation Detail'!K372,'Activation Detail'!K872,'Activation Detail'!K1372,'Activation Detail'!K1872,'Activation Detail'!K2372,'Activation Detail'!K2872,'Activation Detail'!K3372,'Activation Detail'!K3872)</f>
        <v>86231.558779818</v>
      </c>
      <c r="I372" s="51" t="n">
        <f aca="false">IFERROR(H372/F372,0)</f>
        <v>1.0750711106623</v>
      </c>
      <c r="J372" s="49" t="n">
        <f aca="false">IFERROR(F372/E372,0)</f>
        <v>128.782061884766</v>
      </c>
      <c r="K372" s="46" t="n">
        <f aca="false">IFERROR(C372/B372,0)</f>
        <v>0.109254155697951</v>
      </c>
      <c r="L372" s="47" t="n">
        <f aca="false">IFERROR(D372/B372,0)</f>
        <v>0.00401556085695376</v>
      </c>
      <c r="N372" s="48" t="n">
        <f aca="false">SUMIFS('Activation Detail'!$H$4:$H$4003,'Activation Detail'!$A$4:$A$4003,$A372,'Activation Detail'!$N$4:$N$4003,N$2)</f>
        <v>88.8483820837198</v>
      </c>
      <c r="O372" s="50" t="n">
        <f aca="false">N372*'Model Inputs &amp; Assumptions'!$D$40*'Model Inputs &amp; Assumptions'!$H$40</f>
        <v>755211.247711618</v>
      </c>
      <c r="P372" s="50" t="n">
        <f aca="false">N372*'Model Inputs &amp; Assumptions'!$G$40*'Model Inputs &amp; Assumptions'!$H$40</f>
        <v>16992.2530735114</v>
      </c>
      <c r="Q372" s="50" t="n">
        <f aca="false">SUMIFS('Activation Detail'!$I$4:$I$4003,'Activation Detail'!$A$4:$A$4003,$A372,'Activation Detail'!$N$4:$N$4003,N$2)</f>
        <v>18529.062</v>
      </c>
      <c r="R372" s="51" t="n">
        <f aca="false">IFERROR(P372/Q372,0)</f>
        <v>0.917059539954662</v>
      </c>
      <c r="S372" s="49" t="n">
        <f aca="false">IFERROR(Q372/N372,0)</f>
        <v>208.546982684958</v>
      </c>
      <c r="T372" s="48" t="n">
        <f aca="false">SUMIFS('Activation Detail'!$H$4:$H$4003,'Activation Detail'!$A$4:$A$4003,$A372,'Activation Detail'!$N$4:$N$4003,T$2)</f>
        <v>191.470804150604</v>
      </c>
      <c r="U372" s="50" t="n">
        <f aca="false">T372*'Model Inputs &amp; Assumptions'!$D$41*'Model Inputs &amp; Assumptions'!$H$41</f>
        <v>1378589.78988435</v>
      </c>
      <c r="V372" s="50" t="n">
        <f aca="false">T372*'Model Inputs &amp; Assumptions'!$G$41*'Model Inputs &amp; Assumptions'!$H$41</f>
        <v>30397.9048669499</v>
      </c>
      <c r="W372" s="50" t="n">
        <f aca="false">SUMIFS('Activation Detail'!$I$4:$I$4003,'Activation Detail'!$A$4:$A$4003,$A372,'Activation Detail'!$N$4:$N$4003,T$2)</f>
        <v>23291.831662</v>
      </c>
      <c r="X372" s="51" t="n">
        <f aca="false">IFERROR(V372/W372,0)</f>
        <v>1.30508863828615</v>
      </c>
      <c r="Y372" s="49" t="n">
        <f aca="false">IFERROR(W372/T372,0)</f>
        <v>121.64690990528</v>
      </c>
      <c r="Z372" s="48" t="n">
        <f aca="false">SUMIFS('Activation Detail'!$H$4:$H$4003,'Activation Detail'!$A$4:$A$4003,$A372,'Activation Detail'!$N$4:$N$4003,Z$2)</f>
        <v>342.516762251823</v>
      </c>
      <c r="AA372" s="50" t="n">
        <f aca="false">Z372*'Model Inputs &amp; Assumptions'!$D$42*'Model Inputs &amp; Assumptions'!$H$42</f>
        <v>1849590.51615984</v>
      </c>
      <c r="AB372" s="50" t="n">
        <f aca="false">Z372*'Model Inputs &amp; Assumptions'!$G$42*'Model Inputs &amp; Assumptions'!$H$42</f>
        <v>38841.4008393567</v>
      </c>
      <c r="AC372" s="50" t="n">
        <f aca="false">SUMIFS('Activation Detail'!$I$4:$I$4003,'Activation Detail'!$A$4:$A$4003,$A372,'Activation Detail'!$N$4:$N$4003,Z$2)</f>
        <v>38389.204</v>
      </c>
      <c r="AD372" s="51" t="n">
        <f aca="false">IFERROR(AB372/AC372,0)</f>
        <v>1.01177927105122</v>
      </c>
      <c r="AE372" s="49" t="n">
        <f aca="false">IFERROR(AC372/Z372,0)</f>
        <v>112.079781869991</v>
      </c>
    </row>
    <row r="373" customFormat="false" ht="15" hidden="false" customHeight="false" outlineLevel="0" collapsed="false">
      <c r="A373" s="43" t="n">
        <v>370</v>
      </c>
      <c r="B373" s="45" t="n">
        <f aca="false">SUM('Activation Detail'!C373,'Activation Detail'!C873,'Activation Detail'!C1373,'Activation Detail'!C1873,'Activation Detail'!C2373,'Activation Detail'!C2873,'Activation Detail'!C3373,'Activation Detail'!C3873)</f>
        <v>3883063</v>
      </c>
      <c r="C373" s="45" t="n">
        <f aca="false">SUM('Activation Detail'!E373,'Activation Detail'!E873,'Activation Detail'!E1373,'Activation Detail'!E1873,'Activation Detail'!E2373,'Activation Detail'!E2873,'Activation Detail'!E3373,'Activation Detail'!E3873)</f>
        <v>468753</v>
      </c>
      <c r="D373" s="45" t="n">
        <f aca="false">SUM('Activation Detail'!G373,'Activation Detail'!G873,'Activation Detail'!G1373,'Activation Detail'!G1873,'Activation Detail'!G2373,'Activation Detail'!G2873,'Activation Detail'!G3373,'Activation Detail'!G3873)</f>
        <v>15782</v>
      </c>
      <c r="E373" s="48" t="n">
        <f aca="false">SUM('Activation Detail'!H373,'Activation Detail'!H873,'Activation Detail'!H1373,'Activation Detail'!H1873,'Activation Detail'!H2373,'Activation Detail'!H2873,'Activation Detail'!H3373,'Activation Detail'!H3873)</f>
        <v>627.518387127369</v>
      </c>
      <c r="F373" s="50" t="n">
        <f aca="false">SUM('Activation Detail'!I373,'Activation Detail'!I873,'Activation Detail'!I1373,'Activation Detail'!I1873,'Activation Detail'!I2373,'Activation Detail'!I2873,'Activation Detail'!I3373,'Activation Detail'!I3873)</f>
        <v>72215.061162</v>
      </c>
      <c r="G373" s="50" t="n">
        <f aca="false">SUM('Activation Detail'!J373,'Activation Detail'!J873,'Activation Detail'!J1373,'Activation Detail'!J1873,'Activation Detail'!J2373,'Activation Detail'!J2873,'Activation Detail'!J3373,'Activation Detail'!J3873)</f>
        <v>3839749.46211173</v>
      </c>
      <c r="H373" s="50" t="n">
        <f aca="false">SUM('Activation Detail'!K373,'Activation Detail'!K873,'Activation Detail'!K1373,'Activation Detail'!K1873,'Activation Detail'!K2373,'Activation Detail'!K2873,'Activation Detail'!K3373,'Activation Detail'!K3873)</f>
        <v>82507.2721579358</v>
      </c>
      <c r="I373" s="51" t="n">
        <f aca="false">IFERROR(H373/F373,0)</f>
        <v>1.14252166833796</v>
      </c>
      <c r="J373" s="49" t="n">
        <f aca="false">IFERROR(F373/E373,0)</f>
        <v>115.080390699918</v>
      </c>
      <c r="K373" s="46" t="n">
        <f aca="false">IFERROR(C373/B373,0)</f>
        <v>0.120717330622758</v>
      </c>
      <c r="L373" s="47" t="n">
        <f aca="false">IFERROR(D373/B373,0)</f>
        <v>0.00406431726706469</v>
      </c>
      <c r="N373" s="48" t="n">
        <f aca="false">SUMIFS('Activation Detail'!$H$4:$H$4003,'Activation Detail'!$A$4:$A$4003,$A373,'Activation Detail'!$N$4:$N$4003,N$2)</f>
        <v>82.5824712261616</v>
      </c>
      <c r="O373" s="50" t="n">
        <f aca="false">N373*'Model Inputs &amp; Assumptions'!$D$40*'Model Inputs &amp; Assumptions'!$H$40</f>
        <v>701951.005422374</v>
      </c>
      <c r="P373" s="50" t="n">
        <f aca="false">N373*'Model Inputs &amp; Assumptions'!$G$40*'Model Inputs &amp; Assumptions'!$H$40</f>
        <v>15793.8976220034</v>
      </c>
      <c r="Q373" s="50" t="n">
        <f aca="false">SUMIFS('Activation Detail'!$I$4:$I$4003,'Activation Detail'!$A$4:$A$4003,$A373,'Activation Detail'!$N$4:$N$4003,N$2)</f>
        <v>17684.738</v>
      </c>
      <c r="R373" s="51" t="n">
        <f aca="false">IFERROR(P373/Q373,0)</f>
        <v>0.893080667748847</v>
      </c>
      <c r="S373" s="49" t="n">
        <f aca="false">IFERROR(Q373/N373,0)</f>
        <v>214.146388905804</v>
      </c>
      <c r="T373" s="48" t="n">
        <f aca="false">SUMIFS('Activation Detail'!$H$4:$H$4003,'Activation Detail'!$A$4:$A$4003,$A373,'Activation Detail'!$N$4:$N$4003,T$2)</f>
        <v>108.413617123798</v>
      </c>
      <c r="U373" s="50" t="n">
        <f aca="false">T373*'Model Inputs &amp; Assumptions'!$D$41*'Model Inputs &amp; Assumptions'!$H$41</f>
        <v>780578.043291342</v>
      </c>
      <c r="V373" s="50" t="n">
        <f aca="false">T373*'Model Inputs &amp; Assumptions'!$G$41*'Model Inputs &amp; Assumptions'!$H$41</f>
        <v>17211.7458545741</v>
      </c>
      <c r="W373" s="50" t="n">
        <f aca="false">SUMIFS('Activation Detail'!$I$4:$I$4003,'Activation Detail'!$A$4:$A$4003,$A373,'Activation Detail'!$N$4:$N$4003,T$2)</f>
        <v>18517.995162</v>
      </c>
      <c r="X373" s="51" t="n">
        <f aca="false">IFERROR(V373/W373,0)</f>
        <v>0.929460543865656</v>
      </c>
      <c r="Y373" s="49" t="n">
        <f aca="false">IFERROR(W373/T373,0)</f>
        <v>170.808756808236</v>
      </c>
      <c r="Z373" s="48" t="n">
        <f aca="false">SUMIFS('Activation Detail'!$H$4:$H$4003,'Activation Detail'!$A$4:$A$4003,$A373,'Activation Detail'!$N$4:$N$4003,Z$2)</f>
        <v>436.52229877741</v>
      </c>
      <c r="AA373" s="50" t="n">
        <f aca="false">Z373*'Model Inputs &amp; Assumptions'!$D$42*'Model Inputs &amp; Assumptions'!$H$42</f>
        <v>2357220.41339802</v>
      </c>
      <c r="AB373" s="50" t="n">
        <f aca="false">Z373*'Model Inputs &amp; Assumptions'!$G$42*'Model Inputs &amp; Assumptions'!$H$42</f>
        <v>49501.6286813583</v>
      </c>
      <c r="AC373" s="50" t="n">
        <f aca="false">SUMIFS('Activation Detail'!$I$4:$I$4003,'Activation Detail'!$A$4:$A$4003,$A373,'Activation Detail'!$N$4:$N$4003,Z$2)</f>
        <v>36012.328</v>
      </c>
      <c r="AD373" s="51" t="n">
        <f aca="false">IFERROR(AB373/AC373,0)</f>
        <v>1.37457452573903</v>
      </c>
      <c r="AE373" s="49" t="n">
        <f aca="false">IFERROR(AC373/Z373,0)</f>
        <v>82.4982551884784</v>
      </c>
    </row>
    <row r="374" customFormat="false" ht="15" hidden="false" customHeight="false" outlineLevel="0" collapsed="false">
      <c r="A374" s="43" t="n">
        <v>371</v>
      </c>
      <c r="B374" s="45" t="n">
        <f aca="false">SUM('Activation Detail'!C374,'Activation Detail'!C874,'Activation Detail'!C1374,'Activation Detail'!C1874,'Activation Detail'!C2374,'Activation Detail'!C2874,'Activation Detail'!C3374,'Activation Detail'!C3874)</f>
        <v>4615927</v>
      </c>
      <c r="C374" s="45" t="n">
        <f aca="false">SUM('Activation Detail'!E374,'Activation Detail'!E874,'Activation Detail'!E1374,'Activation Detail'!E1874,'Activation Detail'!E2374,'Activation Detail'!E2874,'Activation Detail'!E3374,'Activation Detail'!E3874)</f>
        <v>560267</v>
      </c>
      <c r="D374" s="45" t="n">
        <f aca="false">SUM('Activation Detail'!G374,'Activation Detail'!G874,'Activation Detail'!G1374,'Activation Detail'!G1874,'Activation Detail'!G2374,'Activation Detail'!G2874,'Activation Detail'!G3374,'Activation Detail'!G3874)</f>
        <v>17018</v>
      </c>
      <c r="E374" s="48" t="n">
        <f aca="false">SUM('Activation Detail'!H374,'Activation Detail'!H874,'Activation Detail'!H1374,'Activation Detail'!H1874,'Activation Detail'!H2374,'Activation Detail'!H2874,'Activation Detail'!H3374,'Activation Detail'!H3874)</f>
        <v>543.364947781619</v>
      </c>
      <c r="F374" s="50" t="n">
        <f aca="false">SUM('Activation Detail'!I374,'Activation Detail'!I874,'Activation Detail'!I1374,'Activation Detail'!I1874,'Activation Detail'!I2374,'Activation Detail'!I2874,'Activation Detail'!I3374,'Activation Detail'!I3874)</f>
        <v>80262.133352</v>
      </c>
      <c r="G374" s="50" t="n">
        <f aca="false">SUM('Activation Detail'!J374,'Activation Detail'!J874,'Activation Detail'!J1374,'Activation Detail'!J1874,'Activation Detail'!J2374,'Activation Detail'!J2874,'Activation Detail'!J3374,'Activation Detail'!J3874)</f>
        <v>3480819.57762717</v>
      </c>
      <c r="H374" s="50" t="n">
        <f aca="false">SUM('Activation Detail'!K374,'Activation Detail'!K874,'Activation Detail'!K1374,'Activation Detail'!K1874,'Activation Detail'!K2374,'Activation Detail'!K2874,'Activation Detail'!K3374,'Activation Detail'!K3874)</f>
        <v>75366.6531027922</v>
      </c>
      <c r="I374" s="51" t="n">
        <f aca="false">IFERROR(H374/F374,0)</f>
        <v>0.939006352749957</v>
      </c>
      <c r="J374" s="49" t="n">
        <f aca="false">IFERROR(F374/E374,0)</f>
        <v>147.713122975054</v>
      </c>
      <c r="K374" s="46" t="n">
        <f aca="false">IFERROR(C374/B374,0)</f>
        <v>0.121376919522341</v>
      </c>
      <c r="L374" s="47" t="n">
        <f aca="false">IFERROR(D374/B374,0)</f>
        <v>0.0036868000728781</v>
      </c>
      <c r="N374" s="48" t="n">
        <f aca="false">SUMIFS('Activation Detail'!$H$4:$H$4003,'Activation Detail'!$A$4:$A$4003,$A374,'Activation Detail'!$N$4:$N$4003,N$2)</f>
        <v>98.0860656497911</v>
      </c>
      <c r="O374" s="50" t="n">
        <f aca="false">N374*'Model Inputs &amp; Assumptions'!$D$40*'Model Inputs &amp; Assumptions'!$H$40</f>
        <v>833731.558023225</v>
      </c>
      <c r="P374" s="50" t="n">
        <f aca="false">N374*'Model Inputs &amp; Assumptions'!$G$40*'Model Inputs &amp; Assumptions'!$H$40</f>
        <v>18758.9600555225</v>
      </c>
      <c r="Q374" s="50" t="n">
        <f aca="false">SUMIFS('Activation Detail'!$I$4:$I$4003,'Activation Detail'!$A$4:$A$4003,$A374,'Activation Detail'!$N$4:$N$4003,N$2)</f>
        <v>18772.6105</v>
      </c>
      <c r="R374" s="51" t="n">
        <f aca="false">IFERROR(P374/Q374,0)</f>
        <v>0.999272853156067</v>
      </c>
      <c r="S374" s="49" t="n">
        <f aca="false">IFERROR(Q374/N374,0)</f>
        <v>191.389168029496</v>
      </c>
      <c r="T374" s="48" t="n">
        <f aca="false">SUMIFS('Activation Detail'!$H$4:$H$4003,'Activation Detail'!$A$4:$A$4003,$A374,'Activation Detail'!$N$4:$N$4003,T$2)</f>
        <v>134.767808940042</v>
      </c>
      <c r="U374" s="50" t="n">
        <f aca="false">T374*'Model Inputs &amp; Assumptions'!$D$41*'Model Inputs &amp; Assumptions'!$H$41</f>
        <v>970328.224368301</v>
      </c>
      <c r="V374" s="50" t="n">
        <f aca="false">T374*'Model Inputs &amp; Assumptions'!$G$41*'Model Inputs &amp; Assumptions'!$H$41</f>
        <v>21395.737347321</v>
      </c>
      <c r="W374" s="50" t="n">
        <f aca="false">SUMIFS('Activation Detail'!$I$4:$I$4003,'Activation Detail'!$A$4:$A$4003,$A374,'Activation Detail'!$N$4:$N$4003,T$2)</f>
        <v>20075.634852</v>
      </c>
      <c r="X374" s="51" t="n">
        <f aca="false">IFERROR(V374/W374,0)</f>
        <v>1.06575645079486</v>
      </c>
      <c r="Y374" s="49" t="n">
        <f aca="false">IFERROR(W374/T374,0)</f>
        <v>148.964615585103</v>
      </c>
      <c r="Z374" s="48" t="n">
        <f aca="false">SUMIFS('Activation Detail'!$H$4:$H$4003,'Activation Detail'!$A$4:$A$4003,$A374,'Activation Detail'!$N$4:$N$4003,Z$2)</f>
        <v>310.511073191787</v>
      </c>
      <c r="AA374" s="50" t="n">
        <f aca="false">Z374*'Model Inputs &amp; Assumptions'!$D$42*'Model Inputs &amp; Assumptions'!$H$42</f>
        <v>1676759.79523565</v>
      </c>
      <c r="AB374" s="50" t="n">
        <f aca="false">Z374*'Model Inputs &amp; Assumptions'!$G$42*'Model Inputs &amp; Assumptions'!$H$42</f>
        <v>35211.9556999486</v>
      </c>
      <c r="AC374" s="50" t="n">
        <f aca="false">SUMIFS('Activation Detail'!$I$4:$I$4003,'Activation Detail'!$A$4:$A$4003,$A374,'Activation Detail'!$N$4:$N$4003,Z$2)</f>
        <v>41413.888</v>
      </c>
      <c r="AD374" s="51" t="n">
        <f aca="false">IFERROR(AB374/AC374,0)</f>
        <v>0.850245108596145</v>
      </c>
      <c r="AE374" s="49" t="n">
        <f aca="false">IFERROR(AC374/Z374,0)</f>
        <v>133.373304772358</v>
      </c>
    </row>
    <row r="375" customFormat="false" ht="15" hidden="false" customHeight="false" outlineLevel="0" collapsed="false">
      <c r="A375" s="43" t="n">
        <v>372</v>
      </c>
      <c r="B375" s="45" t="n">
        <f aca="false">SUM('Activation Detail'!C375,'Activation Detail'!C875,'Activation Detail'!C1375,'Activation Detail'!C1875,'Activation Detail'!C2375,'Activation Detail'!C2875,'Activation Detail'!C3375,'Activation Detail'!C3875)</f>
        <v>4767028</v>
      </c>
      <c r="C375" s="45" t="n">
        <f aca="false">SUM('Activation Detail'!E375,'Activation Detail'!E875,'Activation Detail'!E1375,'Activation Detail'!E1875,'Activation Detail'!E2375,'Activation Detail'!E2875,'Activation Detail'!E3375,'Activation Detail'!E3875)</f>
        <v>425201</v>
      </c>
      <c r="D375" s="45" t="n">
        <f aca="false">SUM('Activation Detail'!G375,'Activation Detail'!G875,'Activation Detail'!G1375,'Activation Detail'!G1875,'Activation Detail'!G2375,'Activation Detail'!G2875,'Activation Detail'!G3375,'Activation Detail'!G3875)</f>
        <v>16683</v>
      </c>
      <c r="E375" s="48" t="n">
        <f aca="false">SUM('Activation Detail'!H375,'Activation Detail'!H875,'Activation Detail'!H1375,'Activation Detail'!H1875,'Activation Detail'!H2375,'Activation Detail'!H2875,'Activation Detail'!H3375,'Activation Detail'!H3875)</f>
        <v>644.531822764557</v>
      </c>
      <c r="F375" s="50" t="n">
        <f aca="false">SUM('Activation Detail'!I375,'Activation Detail'!I875,'Activation Detail'!I1375,'Activation Detail'!I1875,'Activation Detail'!I2375,'Activation Detail'!I2875,'Activation Detail'!I3375,'Activation Detail'!I3875)</f>
        <v>75395.608176</v>
      </c>
      <c r="G375" s="50" t="n">
        <f aca="false">SUM('Activation Detail'!J375,'Activation Detail'!J875,'Activation Detail'!J1375,'Activation Detail'!J1875,'Activation Detail'!J2375,'Activation Detail'!J2875,'Activation Detail'!J3375,'Activation Detail'!J3875)</f>
        <v>4011221.73700569</v>
      </c>
      <c r="H375" s="50" t="n">
        <f aca="false">SUM('Activation Detail'!K375,'Activation Detail'!K875,'Activation Detail'!K1375,'Activation Detail'!K1875,'Activation Detail'!K2375,'Activation Detail'!K2875,'Activation Detail'!K3375,'Activation Detail'!K3875)</f>
        <v>86447.257261067</v>
      </c>
      <c r="I375" s="51" t="n">
        <f aca="false">IFERROR(H375/F375,0)</f>
        <v>1.14658213326257</v>
      </c>
      <c r="J375" s="49" t="n">
        <f aca="false">IFERROR(F375/E375,0)</f>
        <v>116.977324490526</v>
      </c>
      <c r="K375" s="46" t="n">
        <f aca="false">IFERROR(C375/B375,0)</f>
        <v>0.0891962455433448</v>
      </c>
      <c r="L375" s="47" t="n">
        <f aca="false">IFERROR(D375/B375,0)</f>
        <v>0.00349966478065579</v>
      </c>
      <c r="N375" s="48" t="n">
        <f aca="false">SUMIFS('Activation Detail'!$H$4:$H$4003,'Activation Detail'!$A$4:$A$4003,$A375,'Activation Detail'!$N$4:$N$4003,N$2)</f>
        <v>64.995448800819</v>
      </c>
      <c r="O375" s="50" t="n">
        <f aca="false">N375*'Model Inputs &amp; Assumptions'!$D$40*'Model Inputs &amp; Assumptions'!$H$40</f>
        <v>552461.314806962</v>
      </c>
      <c r="P375" s="50" t="n">
        <f aca="false">N375*'Model Inputs &amp; Assumptions'!$G$40*'Model Inputs &amp; Assumptions'!$H$40</f>
        <v>12430.3795831566</v>
      </c>
      <c r="Q375" s="50" t="n">
        <f aca="false">SUMIFS('Activation Detail'!$I$4:$I$4003,'Activation Detail'!$A$4:$A$4003,$A375,'Activation Detail'!$N$4:$N$4003,N$2)</f>
        <v>18181.7475</v>
      </c>
      <c r="R375" s="51" t="n">
        <f aca="false">IFERROR(P375/Q375,0)</f>
        <v>0.683673534854482</v>
      </c>
      <c r="S375" s="49" t="n">
        <f aca="false">IFERROR(Q375/N375,0)</f>
        <v>279.738779183119</v>
      </c>
      <c r="T375" s="48" t="n">
        <f aca="false">SUMIFS('Activation Detail'!$H$4:$H$4003,'Activation Detail'!$A$4:$A$4003,$A375,'Activation Detail'!$N$4:$N$4003,T$2)</f>
        <v>182.924445996969</v>
      </c>
      <c r="U375" s="50" t="n">
        <f aca="false">T375*'Model Inputs &amp; Assumptions'!$D$41*'Model Inputs &amp; Assumptions'!$H$41</f>
        <v>1317056.01117817</v>
      </c>
      <c r="V375" s="50" t="n">
        <f aca="false">T375*'Model Inputs &amp; Assumptions'!$G$41*'Model Inputs &amp; Assumptions'!$H$41</f>
        <v>29041.0850464787</v>
      </c>
      <c r="W375" s="50" t="n">
        <f aca="false">SUMIFS('Activation Detail'!$I$4:$I$4003,'Activation Detail'!$A$4:$A$4003,$A375,'Activation Detail'!$N$4:$N$4003,T$2)</f>
        <v>19077.808676</v>
      </c>
      <c r="X375" s="51" t="n">
        <f aca="false">IFERROR(V375/W375,0)</f>
        <v>1.52224427551853</v>
      </c>
      <c r="Y375" s="49" t="n">
        <f aca="false">IFERROR(W375/T375,0)</f>
        <v>104.293379553634</v>
      </c>
      <c r="Z375" s="48" t="n">
        <f aca="false">SUMIFS('Activation Detail'!$H$4:$H$4003,'Activation Detail'!$A$4:$A$4003,$A375,'Activation Detail'!$N$4:$N$4003,Z$2)</f>
        <v>396.61192796677</v>
      </c>
      <c r="AA375" s="50" t="n">
        <f aca="false">Z375*'Model Inputs &amp; Assumptions'!$D$42*'Model Inputs &amp; Assumptions'!$H$42</f>
        <v>2141704.41102056</v>
      </c>
      <c r="AB375" s="50" t="n">
        <f aca="false">Z375*'Model Inputs &amp; Assumptions'!$G$42*'Model Inputs &amp; Assumptions'!$H$42</f>
        <v>44975.7926314317</v>
      </c>
      <c r="AC375" s="50" t="n">
        <f aca="false">SUMIFS('Activation Detail'!$I$4:$I$4003,'Activation Detail'!$A$4:$A$4003,$A375,'Activation Detail'!$N$4:$N$4003,Z$2)</f>
        <v>38136.052</v>
      </c>
      <c r="AD375" s="51" t="n">
        <f aca="false">IFERROR(AB375/AC375,0)</f>
        <v>1.17935104114688</v>
      </c>
      <c r="AE375" s="49" t="n">
        <f aca="false">IFERROR(AC375/Z375,0)</f>
        <v>96.1545765794398</v>
      </c>
    </row>
    <row r="376" customFormat="false" ht="15" hidden="false" customHeight="false" outlineLevel="0" collapsed="false">
      <c r="A376" s="43" t="n">
        <v>373</v>
      </c>
      <c r="B376" s="45" t="n">
        <f aca="false">SUM('Activation Detail'!C376,'Activation Detail'!C876,'Activation Detail'!C1376,'Activation Detail'!C1876,'Activation Detail'!C2376,'Activation Detail'!C2876,'Activation Detail'!C3376,'Activation Detail'!C3876)</f>
        <v>3501436</v>
      </c>
      <c r="C376" s="45" t="n">
        <f aca="false">SUM('Activation Detail'!E376,'Activation Detail'!E876,'Activation Detail'!E1376,'Activation Detail'!E1876,'Activation Detail'!E2376,'Activation Detail'!E2876,'Activation Detail'!E3376,'Activation Detail'!E3876)</f>
        <v>368564</v>
      </c>
      <c r="D376" s="45" t="n">
        <f aca="false">SUM('Activation Detail'!G376,'Activation Detail'!G876,'Activation Detail'!G1376,'Activation Detail'!G1876,'Activation Detail'!G2376,'Activation Detail'!G2876,'Activation Detail'!G3376,'Activation Detail'!G3876)</f>
        <v>12234</v>
      </c>
      <c r="E376" s="48" t="n">
        <f aca="false">SUM('Activation Detail'!H376,'Activation Detail'!H876,'Activation Detail'!H1376,'Activation Detail'!H1876,'Activation Detail'!H2376,'Activation Detail'!H2876,'Activation Detail'!H3376,'Activation Detail'!H3876)</f>
        <v>558.677024509157</v>
      </c>
      <c r="F376" s="50" t="n">
        <f aca="false">SUM('Activation Detail'!I376,'Activation Detail'!I876,'Activation Detail'!I1376,'Activation Detail'!I1876,'Activation Detail'!I2376,'Activation Detail'!I2876,'Activation Detail'!I3376,'Activation Detail'!I3876)</f>
        <v>73027.35231</v>
      </c>
      <c r="G376" s="50" t="n">
        <f aca="false">SUM('Activation Detail'!J376,'Activation Detail'!J876,'Activation Detail'!J1376,'Activation Detail'!J1876,'Activation Detail'!J2376,'Activation Detail'!J2876,'Activation Detail'!J3376,'Activation Detail'!J3876)</f>
        <v>3627503.28311955</v>
      </c>
      <c r="H376" s="50" t="n">
        <f aca="false">SUM('Activation Detail'!K376,'Activation Detail'!K876,'Activation Detail'!K1376,'Activation Detail'!K1876,'Activation Detail'!K2376,'Activation Detail'!K2876,'Activation Detail'!K3376,'Activation Detail'!K3876)</f>
        <v>78717.0886724294</v>
      </c>
      <c r="I376" s="51" t="n">
        <f aca="false">IFERROR(H376/F376,0)</f>
        <v>1.07791240107236</v>
      </c>
      <c r="J376" s="49" t="n">
        <f aca="false">IFERROR(F376/E376,0)</f>
        <v>130.714794248359</v>
      </c>
      <c r="K376" s="46" t="n">
        <f aca="false">IFERROR(C376/B376,0)</f>
        <v>0.105260812992155</v>
      </c>
      <c r="L376" s="47" t="n">
        <f aca="false">IFERROR(D376/B376,0)</f>
        <v>0.00349399503517985</v>
      </c>
      <c r="N376" s="48" t="n">
        <f aca="false">SUMIFS('Activation Detail'!$H$4:$H$4003,'Activation Detail'!$A$4:$A$4003,$A376,'Activation Detail'!$N$4:$N$4003,N$2)</f>
        <v>93.3301715394983</v>
      </c>
      <c r="O376" s="50" t="n">
        <f aca="false">N376*'Model Inputs &amp; Assumptions'!$D$40*'Model Inputs &amp; Assumptions'!$H$40</f>
        <v>793306.458085735</v>
      </c>
      <c r="P376" s="50" t="n">
        <f aca="false">N376*'Model Inputs &amp; Assumptions'!$G$40*'Model Inputs &amp; Assumptions'!$H$40</f>
        <v>17849.395306929</v>
      </c>
      <c r="Q376" s="50" t="n">
        <f aca="false">SUMIFS('Activation Detail'!$I$4:$I$4003,'Activation Detail'!$A$4:$A$4003,$A376,'Activation Detail'!$N$4:$N$4003,N$2)</f>
        <v>18014.847</v>
      </c>
      <c r="R376" s="51" t="n">
        <f aca="false">IFERROR(P376/Q376,0)</f>
        <v>0.990815814696014</v>
      </c>
      <c r="S376" s="49" t="n">
        <f aca="false">IFERROR(Q376/N376,0)</f>
        <v>193.022756766025</v>
      </c>
      <c r="T376" s="48" t="n">
        <f aca="false">SUMIFS('Activation Detail'!$H$4:$H$4003,'Activation Detail'!$A$4:$A$4003,$A376,'Activation Detail'!$N$4:$N$4003,T$2)</f>
        <v>178.513232776477</v>
      </c>
      <c r="U376" s="50" t="n">
        <f aca="false">T376*'Model Inputs &amp; Assumptions'!$D$41*'Model Inputs &amp; Assumptions'!$H$41</f>
        <v>1285295.27599063</v>
      </c>
      <c r="V376" s="50" t="n">
        <f aca="false">T376*'Model Inputs &amp; Assumptions'!$G$41*'Model Inputs &amp; Assumptions'!$H$41</f>
        <v>28340.7608355934</v>
      </c>
      <c r="W376" s="50" t="n">
        <f aca="false">SUMIFS('Activation Detail'!$I$4:$I$4003,'Activation Detail'!$A$4:$A$4003,$A376,'Activation Detail'!$N$4:$N$4003,T$2)</f>
        <v>18624.54131</v>
      </c>
      <c r="X376" s="51" t="n">
        <f aca="false">IFERROR(V376/W376,0)</f>
        <v>1.52168906411545</v>
      </c>
      <c r="Y376" s="49" t="n">
        <f aca="false">IFERROR(W376/T376,0)</f>
        <v>104.331432579682</v>
      </c>
      <c r="Z376" s="48" t="n">
        <f aca="false">SUMIFS('Activation Detail'!$H$4:$H$4003,'Activation Detail'!$A$4:$A$4003,$A376,'Activation Detail'!$N$4:$N$4003,Z$2)</f>
        <v>286.833620193182</v>
      </c>
      <c r="AA376" s="50" t="n">
        <f aca="false">Z376*'Model Inputs &amp; Assumptions'!$D$42*'Model Inputs &amp; Assumptions'!$H$42</f>
        <v>1548901.54904319</v>
      </c>
      <c r="AB376" s="50" t="n">
        <f aca="false">Z376*'Model Inputs &amp; Assumptions'!$G$42*'Model Inputs &amp; Assumptions'!$H$42</f>
        <v>32526.9325299069</v>
      </c>
      <c r="AC376" s="50" t="n">
        <f aca="false">SUMIFS('Activation Detail'!$I$4:$I$4003,'Activation Detail'!$A$4:$A$4003,$A376,'Activation Detail'!$N$4:$N$4003,Z$2)</f>
        <v>36387.964</v>
      </c>
      <c r="AD376" s="51" t="n">
        <f aca="false">IFERROR(AB376/AC376,0)</f>
        <v>0.89389262146975</v>
      </c>
      <c r="AE376" s="49" t="n">
        <f aca="false">IFERROR(AC376/Z376,0)</f>
        <v>126.86087487057</v>
      </c>
    </row>
    <row r="377" customFormat="false" ht="15" hidden="false" customHeight="false" outlineLevel="0" collapsed="false">
      <c r="A377" s="43" t="n">
        <v>374</v>
      </c>
      <c r="B377" s="45" t="n">
        <f aca="false">SUM('Activation Detail'!C377,'Activation Detail'!C877,'Activation Detail'!C1377,'Activation Detail'!C1877,'Activation Detail'!C2377,'Activation Detail'!C2877,'Activation Detail'!C3377,'Activation Detail'!C3877)</f>
        <v>3836943</v>
      </c>
      <c r="C377" s="45" t="n">
        <f aca="false">SUM('Activation Detail'!E377,'Activation Detail'!E877,'Activation Detail'!E1377,'Activation Detail'!E1877,'Activation Detail'!E2377,'Activation Detail'!E2877,'Activation Detail'!E3377,'Activation Detail'!E3877)</f>
        <v>453297</v>
      </c>
      <c r="D377" s="45" t="n">
        <f aca="false">SUM('Activation Detail'!G377,'Activation Detail'!G877,'Activation Detail'!G1377,'Activation Detail'!G1877,'Activation Detail'!G2377,'Activation Detail'!G2877,'Activation Detail'!G3377,'Activation Detail'!G3877)</f>
        <v>12891</v>
      </c>
      <c r="E377" s="48" t="n">
        <f aca="false">SUM('Activation Detail'!H377,'Activation Detail'!H877,'Activation Detail'!H1377,'Activation Detail'!H1877,'Activation Detail'!H2377,'Activation Detail'!H2877,'Activation Detail'!H3377,'Activation Detail'!H3877)</f>
        <v>517.349389068082</v>
      </c>
      <c r="F377" s="50" t="n">
        <f aca="false">SUM('Activation Detail'!I377,'Activation Detail'!I877,'Activation Detail'!I1377,'Activation Detail'!I1877,'Activation Detail'!I2377,'Activation Detail'!I2877,'Activation Detail'!I3377,'Activation Detail'!I3877)</f>
        <v>72044.650764</v>
      </c>
      <c r="G377" s="50" t="n">
        <f aca="false">SUM('Activation Detail'!J377,'Activation Detail'!J877,'Activation Detail'!J1377,'Activation Detail'!J1877,'Activation Detail'!J2377,'Activation Detail'!J2877,'Activation Detail'!J3377,'Activation Detail'!J3877)</f>
        <v>3372294.38897172</v>
      </c>
      <c r="H377" s="50" t="n">
        <f aca="false">SUM('Activation Detail'!K377,'Activation Detail'!K877,'Activation Detail'!K1377,'Activation Detail'!K1877,'Activation Detail'!K2377,'Activation Detail'!K2877,'Activation Detail'!K3377,'Activation Detail'!K3877)</f>
        <v>73224.5891490712</v>
      </c>
      <c r="I377" s="51" t="n">
        <f aca="false">IFERROR(H377/F377,0)</f>
        <v>1.01637787639413</v>
      </c>
      <c r="J377" s="49" t="n">
        <f aca="false">IFERROR(F377/E377,0)</f>
        <v>139.257245270505</v>
      </c>
      <c r="K377" s="46" t="n">
        <f aca="false">IFERROR(C377/B377,0)</f>
        <v>0.118140144380565</v>
      </c>
      <c r="L377" s="47" t="n">
        <f aca="false">IFERROR(D377/B377,0)</f>
        <v>0.00335970589086155</v>
      </c>
      <c r="N377" s="48" t="n">
        <f aca="false">SUMIFS('Activation Detail'!$H$4:$H$4003,'Activation Detail'!$A$4:$A$4003,$A377,'Activation Detail'!$N$4:$N$4003,N$2)</f>
        <v>87.9455887110851</v>
      </c>
      <c r="O377" s="50" t="n">
        <f aca="false">N377*'Model Inputs &amp; Assumptions'!$D$40*'Model Inputs &amp; Assumptions'!$H$40</f>
        <v>747537.504044223</v>
      </c>
      <c r="P377" s="50" t="n">
        <f aca="false">N377*'Model Inputs &amp; Assumptions'!$G$40*'Model Inputs &amp; Assumptions'!$H$40</f>
        <v>16819.593840995</v>
      </c>
      <c r="Q377" s="50" t="n">
        <f aca="false">SUMIFS('Activation Detail'!$I$4:$I$4003,'Activation Detail'!$A$4:$A$4003,$A377,'Activation Detail'!$N$4:$N$4003,N$2)</f>
        <v>17933.155</v>
      </c>
      <c r="R377" s="51" t="n">
        <f aca="false">IFERROR(P377/Q377,0)</f>
        <v>0.937904894091141</v>
      </c>
      <c r="S377" s="49" t="n">
        <f aca="false">IFERROR(Q377/N377,0)</f>
        <v>203.911933080728</v>
      </c>
      <c r="T377" s="48" t="n">
        <f aca="false">SUMIFS('Activation Detail'!$H$4:$H$4003,'Activation Detail'!$A$4:$A$4003,$A377,'Activation Detail'!$N$4:$N$4003,T$2)</f>
        <v>169.986868333173</v>
      </c>
      <c r="U377" s="50" t="n">
        <f aca="false">T377*'Model Inputs &amp; Assumptions'!$D$41*'Model Inputs &amp; Assumptions'!$H$41</f>
        <v>1223905.45199884</v>
      </c>
      <c r="V377" s="50" t="n">
        <f aca="false">T377*'Model Inputs &amp; Assumptions'!$G$41*'Model Inputs &amp; Assumptions'!$H$41</f>
        <v>26987.1152165745</v>
      </c>
      <c r="W377" s="50" t="n">
        <f aca="false">SUMIFS('Activation Detail'!$I$4:$I$4003,'Activation Detail'!$A$4:$A$4003,$A377,'Activation Detail'!$N$4:$N$4003,T$2)</f>
        <v>16140.875764</v>
      </c>
      <c r="X377" s="51" t="n">
        <f aca="false">IFERROR(V377/W377,0)</f>
        <v>1.6719734177476</v>
      </c>
      <c r="Y377" s="49" t="n">
        <f aca="false">IFERROR(W377/T377,0)</f>
        <v>94.9536627286057</v>
      </c>
      <c r="Z377" s="48" t="n">
        <f aca="false">SUMIFS('Activation Detail'!$H$4:$H$4003,'Activation Detail'!$A$4:$A$4003,$A377,'Activation Detail'!$N$4:$N$4003,Z$2)</f>
        <v>259.416932023824</v>
      </c>
      <c r="AA377" s="50" t="n">
        <f aca="false">Z377*'Model Inputs &amp; Assumptions'!$D$42*'Model Inputs &amp; Assumptions'!$H$42</f>
        <v>1400851.43292865</v>
      </c>
      <c r="AB377" s="50" t="n">
        <f aca="false">Z377*'Model Inputs &amp; Assumptions'!$G$42*'Model Inputs &amp; Assumptions'!$H$42</f>
        <v>29417.8800915017</v>
      </c>
      <c r="AC377" s="50" t="n">
        <f aca="false">SUMIFS('Activation Detail'!$I$4:$I$4003,'Activation Detail'!$A$4:$A$4003,$A377,'Activation Detail'!$N$4:$N$4003,Z$2)</f>
        <v>37970.62</v>
      </c>
      <c r="AD377" s="51" t="n">
        <f aca="false">IFERROR(AB377/AC377,0)</f>
        <v>0.774753746225415</v>
      </c>
      <c r="AE377" s="49" t="n">
        <f aca="false">IFERROR(AC377/Z377,0)</f>
        <v>146.369088955662</v>
      </c>
    </row>
    <row r="378" customFormat="false" ht="15" hidden="false" customHeight="false" outlineLevel="0" collapsed="false">
      <c r="A378" s="43" t="n">
        <v>375</v>
      </c>
      <c r="B378" s="45" t="n">
        <f aca="false">SUM('Activation Detail'!C378,'Activation Detail'!C878,'Activation Detail'!C1378,'Activation Detail'!C1878,'Activation Detail'!C2378,'Activation Detail'!C2878,'Activation Detail'!C3378,'Activation Detail'!C3878)</f>
        <v>4535615</v>
      </c>
      <c r="C378" s="45" t="n">
        <f aca="false">SUM('Activation Detail'!E378,'Activation Detail'!E878,'Activation Detail'!E1378,'Activation Detail'!E1878,'Activation Detail'!E2378,'Activation Detail'!E2878,'Activation Detail'!E3378,'Activation Detail'!E3878)</f>
        <v>523104</v>
      </c>
      <c r="D378" s="45" t="n">
        <f aca="false">SUM('Activation Detail'!G378,'Activation Detail'!G878,'Activation Detail'!G1378,'Activation Detail'!G1878,'Activation Detail'!G2378,'Activation Detail'!G2878,'Activation Detail'!G3378,'Activation Detail'!G3878)</f>
        <v>18195</v>
      </c>
      <c r="E378" s="48" t="n">
        <f aca="false">SUM('Activation Detail'!H378,'Activation Detail'!H878,'Activation Detail'!H1378,'Activation Detail'!H1878,'Activation Detail'!H2378,'Activation Detail'!H2878,'Activation Detail'!H3378,'Activation Detail'!H3878)</f>
        <v>650.455216458469</v>
      </c>
      <c r="F378" s="50" t="n">
        <f aca="false">SUM('Activation Detail'!I378,'Activation Detail'!I878,'Activation Detail'!I1378,'Activation Detail'!I1878,'Activation Detail'!I2378,'Activation Detail'!I2878,'Activation Detail'!I3378,'Activation Detail'!I3878)</f>
        <v>76236.298776</v>
      </c>
      <c r="G378" s="50" t="n">
        <f aca="false">SUM('Activation Detail'!J378,'Activation Detail'!J878,'Activation Detail'!J1378,'Activation Detail'!J1878,'Activation Detail'!J2378,'Activation Detail'!J2878,'Activation Detail'!J3378,'Activation Detail'!J3878)</f>
        <v>4165708.95952734</v>
      </c>
      <c r="H378" s="50" t="n">
        <f aca="false">SUM('Activation Detail'!K378,'Activation Detail'!K878,'Activation Detail'!K1378,'Activation Detail'!K1878,'Activation Detail'!K2378,'Activation Detail'!K2878,'Activation Detail'!K3378,'Activation Detail'!K3878)</f>
        <v>90196.4668672708</v>
      </c>
      <c r="I378" s="51" t="n">
        <f aca="false">IFERROR(H378/F378,0)</f>
        <v>1.18311707566351</v>
      </c>
      <c r="J378" s="49" t="n">
        <f aca="false">IFERROR(F378/E378,0)</f>
        <v>117.204531298993</v>
      </c>
      <c r="K378" s="46" t="n">
        <f aca="false">IFERROR(C378/B378,0)</f>
        <v>0.115332540350096</v>
      </c>
      <c r="L378" s="47" t="n">
        <f aca="false">IFERROR(D378/B378,0)</f>
        <v>0.00401158387561555</v>
      </c>
      <c r="N378" s="48" t="n">
        <f aca="false">SUMIFS('Activation Detail'!$H$4:$H$4003,'Activation Detail'!$A$4:$A$4003,$A378,'Activation Detail'!$N$4:$N$4003,N$2)</f>
        <v>100.276309407502</v>
      </c>
      <c r="O378" s="50" t="n">
        <f aca="false">N378*'Model Inputs &amp; Assumptions'!$D$40*'Model Inputs &amp; Assumptions'!$H$40</f>
        <v>852348.629963763</v>
      </c>
      <c r="P378" s="50" t="n">
        <f aca="false">N378*'Model Inputs &amp; Assumptions'!$G$40*'Model Inputs &amp; Assumptions'!$H$40</f>
        <v>19177.8441741847</v>
      </c>
      <c r="Q378" s="50" t="n">
        <f aca="false">SUMIFS('Activation Detail'!$I$4:$I$4003,'Activation Detail'!$A$4:$A$4003,$A378,'Activation Detail'!$N$4:$N$4003,N$2)</f>
        <v>19592.0915</v>
      </c>
      <c r="R378" s="51" t="n">
        <f aca="false">IFERROR(P378/Q378,0)</f>
        <v>0.978856401022048</v>
      </c>
      <c r="S378" s="49" t="n">
        <f aca="false">IFERROR(Q378/N378,0)</f>
        <v>195.381058754186</v>
      </c>
      <c r="T378" s="48" t="n">
        <f aca="false">SUMIFS('Activation Detail'!$H$4:$H$4003,'Activation Detail'!$A$4:$A$4003,$A378,'Activation Detail'!$N$4:$N$4003,T$2)</f>
        <v>190.219017493528</v>
      </c>
      <c r="U378" s="50" t="n">
        <f aca="false">T378*'Model Inputs &amp; Assumptions'!$D$41*'Model Inputs &amp; Assumptions'!$H$41</f>
        <v>1369576.9259534</v>
      </c>
      <c r="V378" s="50" t="n">
        <f aca="false">T378*'Model Inputs &amp; Assumptions'!$G$41*'Model Inputs &amp; Assumptions'!$H$41</f>
        <v>30199.1712172725</v>
      </c>
      <c r="W378" s="50" t="n">
        <f aca="false">SUMIFS('Activation Detail'!$I$4:$I$4003,'Activation Detail'!$A$4:$A$4003,$A378,'Activation Detail'!$N$4:$N$4003,T$2)</f>
        <v>20934.579276</v>
      </c>
      <c r="X378" s="51" t="n">
        <f aca="false">IFERROR(V378/W378,0)</f>
        <v>1.44254970778867</v>
      </c>
      <c r="Y378" s="49" t="n">
        <f aca="false">IFERROR(W378/T378,0)</f>
        <v>110.055133034804</v>
      </c>
      <c r="Z378" s="48" t="n">
        <f aca="false">SUMIFS('Activation Detail'!$H$4:$H$4003,'Activation Detail'!$A$4:$A$4003,$A378,'Activation Detail'!$N$4:$N$4003,Z$2)</f>
        <v>359.959889557439</v>
      </c>
      <c r="AA378" s="50" t="n">
        <f aca="false">Z378*'Model Inputs &amp; Assumptions'!$D$42*'Model Inputs &amp; Assumptions'!$H$42</f>
        <v>1943783.40361017</v>
      </c>
      <c r="AB378" s="50" t="n">
        <f aca="false">Z378*'Model Inputs &amp; Assumptions'!$G$42*'Model Inputs &amp; Assumptions'!$H$42</f>
        <v>40819.4514758136</v>
      </c>
      <c r="AC378" s="50" t="n">
        <f aca="false">SUMIFS('Activation Detail'!$I$4:$I$4003,'Activation Detail'!$A$4:$A$4003,$A378,'Activation Detail'!$N$4:$N$4003,Z$2)</f>
        <v>35709.628</v>
      </c>
      <c r="AD378" s="51" t="n">
        <f aca="false">IFERROR(AB378/AC378,0)</f>
        <v>1.14309371903324</v>
      </c>
      <c r="AE378" s="49" t="n">
        <f aca="false">IFERROR(AC378/Z378,0)</f>
        <v>99.2044642637934</v>
      </c>
    </row>
    <row r="379" customFormat="false" ht="15" hidden="false" customHeight="false" outlineLevel="0" collapsed="false">
      <c r="A379" s="43" t="n">
        <v>376</v>
      </c>
      <c r="B379" s="45" t="n">
        <f aca="false">SUM('Activation Detail'!C379,'Activation Detail'!C879,'Activation Detail'!C1379,'Activation Detail'!C1879,'Activation Detail'!C2379,'Activation Detail'!C2879,'Activation Detail'!C3379,'Activation Detail'!C3879)</f>
        <v>4466935</v>
      </c>
      <c r="C379" s="45" t="n">
        <f aca="false">SUM('Activation Detail'!E379,'Activation Detail'!E879,'Activation Detail'!E1379,'Activation Detail'!E1879,'Activation Detail'!E2379,'Activation Detail'!E2879,'Activation Detail'!E3379,'Activation Detail'!E3879)</f>
        <v>273780</v>
      </c>
      <c r="D379" s="45" t="n">
        <f aca="false">SUM('Activation Detail'!G379,'Activation Detail'!G879,'Activation Detail'!G1379,'Activation Detail'!G1879,'Activation Detail'!G2379,'Activation Detail'!G2879,'Activation Detail'!G3379,'Activation Detail'!G3879)</f>
        <v>24634</v>
      </c>
      <c r="E379" s="48" t="n">
        <f aca="false">SUM('Activation Detail'!H379,'Activation Detail'!H879,'Activation Detail'!H1379,'Activation Detail'!H1879,'Activation Detail'!H2379,'Activation Detail'!H2879,'Activation Detail'!H3379,'Activation Detail'!H3879)</f>
        <v>1085.66779167965</v>
      </c>
      <c r="F379" s="50" t="n">
        <f aca="false">SUM('Activation Detail'!I379,'Activation Detail'!I879,'Activation Detail'!I1379,'Activation Detail'!I1879,'Activation Detail'!I2379,'Activation Detail'!I2879,'Activation Detail'!I3379,'Activation Detail'!I3879)</f>
        <v>81496.24491</v>
      </c>
      <c r="G379" s="50" t="n">
        <f aca="false">SUM('Activation Detail'!J379,'Activation Detail'!J879,'Activation Detail'!J1379,'Activation Detail'!J1879,'Activation Detail'!J2379,'Activation Detail'!J2879,'Activation Detail'!J3379,'Activation Detail'!J3879)</f>
        <v>6443551.42348471</v>
      </c>
      <c r="H379" s="50" t="n">
        <f aca="false">SUM('Activation Detail'!K379,'Activation Detail'!K879,'Activation Detail'!K1379,'Activation Detail'!K1879,'Activation Detail'!K2379,'Activation Detail'!K2879,'Activation Detail'!K3379,'Activation Detail'!K3879)</f>
        <v>137727.693882883</v>
      </c>
      <c r="I379" s="51" t="n">
        <f aca="false">IFERROR(H379/F379,0)</f>
        <v>1.68998822013188</v>
      </c>
      <c r="J379" s="49" t="n">
        <f aca="false">IFERROR(F379/E379,0)</f>
        <v>75.0655454040097</v>
      </c>
      <c r="K379" s="46" t="n">
        <f aca="false">IFERROR(C379/B379,0)</f>
        <v>0.0612903478559684</v>
      </c>
      <c r="L379" s="47" t="n">
        <f aca="false">IFERROR(D379/B379,0)</f>
        <v>0.00551474333071782</v>
      </c>
      <c r="N379" s="48" t="n">
        <f aca="false">SUMIFS('Activation Detail'!$H$4:$H$4003,'Activation Detail'!$A$4:$A$4003,$A379,'Activation Detail'!$N$4:$N$4003,N$2)</f>
        <v>99.4684208792634</v>
      </c>
      <c r="O379" s="50" t="n">
        <f aca="false">N379*'Model Inputs &amp; Assumptions'!$D$40*'Model Inputs &amp; Assumptions'!$H$40</f>
        <v>845481.577473739</v>
      </c>
      <c r="P379" s="50" t="n">
        <f aca="false">N379*'Model Inputs &amp; Assumptions'!$G$40*'Model Inputs &amp; Assumptions'!$H$40</f>
        <v>19023.3354931591</v>
      </c>
      <c r="Q379" s="50" t="n">
        <f aca="false">SUMIFS('Activation Detail'!$I$4:$I$4003,'Activation Detail'!$A$4:$A$4003,$A379,'Activation Detail'!$N$4:$N$4003,N$2)</f>
        <v>18169.937</v>
      </c>
      <c r="R379" s="51" t="n">
        <f aca="false">IFERROR(P379/Q379,0)</f>
        <v>1.04696760881224</v>
      </c>
      <c r="S379" s="49" t="n">
        <f aca="false">IFERROR(Q379/N379,0)</f>
        <v>182.670407747349</v>
      </c>
      <c r="T379" s="48" t="n">
        <f aca="false">SUMIFS('Activation Detail'!$H$4:$H$4003,'Activation Detail'!$A$4:$A$4003,$A379,'Activation Detail'!$N$4:$N$4003,T$2)</f>
        <v>151.440690938253</v>
      </c>
      <c r="U379" s="50" t="n">
        <f aca="false">T379*'Model Inputs &amp; Assumptions'!$D$41*'Model Inputs &amp; Assumptions'!$H$41</f>
        <v>1090372.97475542</v>
      </c>
      <c r="V379" s="50" t="n">
        <f aca="false">T379*'Model Inputs &amp; Assumptions'!$G$41*'Model Inputs &amp; Assumptions'!$H$41</f>
        <v>24042.7240933571</v>
      </c>
      <c r="W379" s="50" t="n">
        <f aca="false">SUMIFS('Activation Detail'!$I$4:$I$4003,'Activation Detail'!$A$4:$A$4003,$A379,'Activation Detail'!$N$4:$N$4003,T$2)</f>
        <v>14310.50391</v>
      </c>
      <c r="X379" s="51" t="n">
        <f aca="false">IFERROR(V379/W379,0)</f>
        <v>1.68007529605973</v>
      </c>
      <c r="Y379" s="49" t="n">
        <f aca="false">IFERROR(W379/T379,0)</f>
        <v>94.4957647864588</v>
      </c>
      <c r="Z379" s="48" t="n">
        <f aca="false">SUMIFS('Activation Detail'!$H$4:$H$4003,'Activation Detail'!$A$4:$A$4003,$A379,'Activation Detail'!$N$4:$N$4003,Z$2)</f>
        <v>834.758679862138</v>
      </c>
      <c r="AA379" s="50" t="n">
        <f aca="false">Z379*'Model Inputs &amp; Assumptions'!$D$42*'Model Inputs &amp; Assumptions'!$H$42</f>
        <v>4507696.87125554</v>
      </c>
      <c r="AB379" s="50" t="n">
        <f aca="false">Z379*'Model Inputs &amp; Assumptions'!$G$42*'Model Inputs &amp; Assumptions'!$H$42</f>
        <v>94661.6342963664</v>
      </c>
      <c r="AC379" s="50" t="n">
        <f aca="false">SUMIFS('Activation Detail'!$I$4:$I$4003,'Activation Detail'!$A$4:$A$4003,$A379,'Activation Detail'!$N$4:$N$4003,Z$2)</f>
        <v>49015.804</v>
      </c>
      <c r="AD379" s="51" t="n">
        <f aca="false">IFERROR(AB379/AC379,0)</f>
        <v>1.9312472013387</v>
      </c>
      <c r="AE379" s="49" t="n">
        <f aca="false">IFERROR(AC379/Z379,0)</f>
        <v>58.7185316936089</v>
      </c>
    </row>
    <row r="380" customFormat="false" ht="15" hidden="false" customHeight="false" outlineLevel="0" collapsed="false">
      <c r="A380" s="43" t="n">
        <v>377</v>
      </c>
      <c r="B380" s="45" t="n">
        <f aca="false">SUM('Activation Detail'!C380,'Activation Detail'!C880,'Activation Detail'!C1380,'Activation Detail'!C1880,'Activation Detail'!C2380,'Activation Detail'!C2880,'Activation Detail'!C3380,'Activation Detail'!C3880)</f>
        <v>4359761</v>
      </c>
      <c r="C380" s="45" t="n">
        <f aca="false">SUM('Activation Detail'!E380,'Activation Detail'!E880,'Activation Detail'!E1380,'Activation Detail'!E1880,'Activation Detail'!E2380,'Activation Detail'!E2880,'Activation Detail'!E3380,'Activation Detail'!E3880)</f>
        <v>404854</v>
      </c>
      <c r="D380" s="45" t="n">
        <f aca="false">SUM('Activation Detail'!G380,'Activation Detail'!G880,'Activation Detail'!G1380,'Activation Detail'!G1880,'Activation Detail'!G2380,'Activation Detail'!G2880,'Activation Detail'!G3380,'Activation Detail'!G3880)</f>
        <v>16075</v>
      </c>
      <c r="E380" s="48" t="n">
        <f aca="false">SUM('Activation Detail'!H380,'Activation Detail'!H880,'Activation Detail'!H1380,'Activation Detail'!H1880,'Activation Detail'!H2380,'Activation Detail'!H2880,'Activation Detail'!H3380,'Activation Detail'!H3880)</f>
        <v>742.371977029522</v>
      </c>
      <c r="F380" s="50" t="n">
        <f aca="false">SUM('Activation Detail'!I380,'Activation Detail'!I880,'Activation Detail'!I1380,'Activation Detail'!I1880,'Activation Detail'!I2380,'Activation Detail'!I2880,'Activation Detail'!I3380,'Activation Detail'!I3880)</f>
        <v>75667.056116</v>
      </c>
      <c r="G380" s="50" t="n">
        <f aca="false">SUM('Activation Detail'!J380,'Activation Detail'!J880,'Activation Detail'!J1380,'Activation Detail'!J1880,'Activation Detail'!J2380,'Activation Detail'!J2880,'Activation Detail'!J3380,'Activation Detail'!J3880)</f>
        <v>4702596.62994948</v>
      </c>
      <c r="H380" s="50" t="n">
        <f aca="false">SUM('Activation Detail'!K380,'Activation Detail'!K880,'Activation Detail'!K1380,'Activation Detail'!K1880,'Activation Detail'!K2380,'Activation Detail'!K2880,'Activation Detail'!K3380,'Activation Detail'!K3880)</f>
        <v>101637.058113376</v>
      </c>
      <c r="I380" s="51" t="n">
        <f aca="false">IFERROR(H380/F380,0)</f>
        <v>1.34321411893656</v>
      </c>
      <c r="J380" s="49" t="n">
        <f aca="false">IFERROR(F380/E380,0)</f>
        <v>101.926067331864</v>
      </c>
      <c r="K380" s="46" t="n">
        <f aca="false">IFERROR(C380/B380,0)</f>
        <v>0.092861512362719</v>
      </c>
      <c r="L380" s="47" t="n">
        <f aca="false">IFERROR(D380/B380,0)</f>
        <v>0.00368712872104686</v>
      </c>
      <c r="N380" s="48" t="n">
        <f aca="false">SUMIFS('Activation Detail'!$H$4:$H$4003,'Activation Detail'!$A$4:$A$4003,$A380,'Activation Detail'!$N$4:$N$4003,N$2)</f>
        <v>116.224156745049</v>
      </c>
      <c r="O380" s="50" t="n">
        <f aca="false">N380*'Model Inputs &amp; Assumptions'!$D$40*'Model Inputs &amp; Assumptions'!$H$40</f>
        <v>987905.33233292</v>
      </c>
      <c r="P380" s="50" t="n">
        <f aca="false">N380*'Model Inputs &amp; Assumptions'!$G$40*'Model Inputs &amp; Assumptions'!$H$40</f>
        <v>22227.8699774907</v>
      </c>
      <c r="Q380" s="50" t="n">
        <f aca="false">SUMIFS('Activation Detail'!$I$4:$I$4003,'Activation Detail'!$A$4:$A$4003,$A380,'Activation Detail'!$N$4:$N$4003,N$2)</f>
        <v>17933.051</v>
      </c>
      <c r="R380" s="51" t="n">
        <f aca="false">IFERROR(P380/Q380,0)</f>
        <v>1.23949181751007</v>
      </c>
      <c r="S380" s="49" t="n">
        <f aca="false">IFERROR(Q380/N380,0)</f>
        <v>154.297105715623</v>
      </c>
      <c r="T380" s="48" t="n">
        <f aca="false">SUMIFS('Activation Detail'!$H$4:$H$4003,'Activation Detail'!$A$4:$A$4003,$A380,'Activation Detail'!$N$4:$N$4003,T$2)</f>
        <v>185.273926711341</v>
      </c>
      <c r="U380" s="50" t="n">
        <f aca="false">T380*'Model Inputs &amp; Assumptions'!$D$41*'Model Inputs &amp; Assumptions'!$H$41</f>
        <v>1333972.27232165</v>
      </c>
      <c r="V380" s="50" t="n">
        <f aca="false">T380*'Model Inputs &amp; Assumptions'!$G$41*'Model Inputs &amp; Assumptions'!$H$41</f>
        <v>29414.0886046925</v>
      </c>
      <c r="W380" s="50" t="n">
        <f aca="false">SUMIFS('Activation Detail'!$I$4:$I$4003,'Activation Detail'!$A$4:$A$4003,$A380,'Activation Detail'!$N$4:$N$4003,T$2)</f>
        <v>19855.677116</v>
      </c>
      <c r="X380" s="51" t="n">
        <f aca="false">IFERROR(V380/W380,0)</f>
        <v>1.48139438573919</v>
      </c>
      <c r="Y380" s="49" t="n">
        <f aca="false">IFERROR(W380/T380,0)</f>
        <v>107.169300443097</v>
      </c>
      <c r="Z380" s="48" t="n">
        <f aca="false">SUMIFS('Activation Detail'!$H$4:$H$4003,'Activation Detail'!$A$4:$A$4003,$A380,'Activation Detail'!$N$4:$N$4003,Z$2)</f>
        <v>440.873893573132</v>
      </c>
      <c r="AA380" s="50" t="n">
        <f aca="false">Z380*'Model Inputs &amp; Assumptions'!$D$42*'Model Inputs &amp; Assumptions'!$H$42</f>
        <v>2380719.02529491</v>
      </c>
      <c r="AB380" s="50" t="n">
        <f aca="false">Z380*'Model Inputs &amp; Assumptions'!$G$42*'Model Inputs &amp; Assumptions'!$H$42</f>
        <v>49995.0995311931</v>
      </c>
      <c r="AC380" s="50" t="n">
        <f aca="false">SUMIFS('Activation Detail'!$I$4:$I$4003,'Activation Detail'!$A$4:$A$4003,$A380,'Activation Detail'!$N$4:$N$4003,Z$2)</f>
        <v>37878.328</v>
      </c>
      <c r="AD380" s="51" t="n">
        <f aca="false">IFERROR(AB380/AC380,0)</f>
        <v>1.31988665210336</v>
      </c>
      <c r="AE380" s="49" t="n">
        <f aca="false">IFERROR(AC380/Z380,0)</f>
        <v>85.9164685234799</v>
      </c>
    </row>
    <row r="381" customFormat="false" ht="15" hidden="false" customHeight="false" outlineLevel="0" collapsed="false">
      <c r="A381" s="43" t="n">
        <v>378</v>
      </c>
      <c r="B381" s="45" t="n">
        <f aca="false">SUM('Activation Detail'!C381,'Activation Detail'!C881,'Activation Detail'!C1381,'Activation Detail'!C1881,'Activation Detail'!C2381,'Activation Detail'!C2881,'Activation Detail'!C3381,'Activation Detail'!C3881)</f>
        <v>4167555</v>
      </c>
      <c r="C381" s="45" t="n">
        <f aca="false">SUM('Activation Detail'!E381,'Activation Detail'!E881,'Activation Detail'!E1381,'Activation Detail'!E1881,'Activation Detail'!E2381,'Activation Detail'!E2881,'Activation Detail'!E3381,'Activation Detail'!E3881)</f>
        <v>353845</v>
      </c>
      <c r="D381" s="45" t="n">
        <f aca="false">SUM('Activation Detail'!G381,'Activation Detail'!G881,'Activation Detail'!G1381,'Activation Detail'!G1881,'Activation Detail'!G2381,'Activation Detail'!G2881,'Activation Detail'!G3381,'Activation Detail'!G3881)</f>
        <v>15327</v>
      </c>
      <c r="E381" s="48" t="n">
        <f aca="false">SUM('Activation Detail'!H381,'Activation Detail'!H881,'Activation Detail'!H1381,'Activation Detail'!H1881,'Activation Detail'!H2381,'Activation Detail'!H2881,'Activation Detail'!H3381,'Activation Detail'!H3881)</f>
        <v>564.607285528688</v>
      </c>
      <c r="F381" s="50" t="n">
        <f aca="false">SUM('Activation Detail'!I381,'Activation Detail'!I881,'Activation Detail'!I1381,'Activation Detail'!I1881,'Activation Detail'!I2381,'Activation Detail'!I2881,'Activation Detail'!I3381,'Activation Detail'!I3881)</f>
        <v>79399.867166</v>
      </c>
      <c r="G381" s="50" t="n">
        <f aca="false">SUM('Activation Detail'!J381,'Activation Detail'!J881,'Activation Detail'!J1381,'Activation Detail'!J1881,'Activation Detail'!J2381,'Activation Detail'!J2881,'Activation Detail'!J3381,'Activation Detail'!J3881)</f>
        <v>3721889.44872761</v>
      </c>
      <c r="H381" s="50" t="n">
        <f aca="false">SUM('Activation Detail'!K381,'Activation Detail'!K881,'Activation Detail'!K1381,'Activation Detail'!K1881,'Activation Detail'!K2381,'Activation Detail'!K2881,'Activation Detail'!K3381,'Activation Detail'!K3881)</f>
        <v>80956.2717242435</v>
      </c>
      <c r="I381" s="51" t="n">
        <f aca="false">IFERROR(H381/F381,0)</f>
        <v>1.01960210531574</v>
      </c>
      <c r="J381" s="49" t="n">
        <f aca="false">IFERROR(F381/E381,0)</f>
        <v>140.628484968364</v>
      </c>
      <c r="K381" s="46" t="n">
        <f aca="false">IFERROR(C381/B381,0)</f>
        <v>0.0849046983183185</v>
      </c>
      <c r="L381" s="47" t="n">
        <f aca="false">IFERROR(D381/B381,0)</f>
        <v>0.00367769591523087</v>
      </c>
      <c r="N381" s="48" t="n">
        <f aca="false">SUMIFS('Activation Detail'!$H$4:$H$4003,'Activation Detail'!$A$4:$A$4003,$A381,'Activation Detail'!$N$4:$N$4003,N$2)</f>
        <v>111.293140376718</v>
      </c>
      <c r="O381" s="50" t="n">
        <f aca="false">N381*'Model Inputs &amp; Assumptions'!$D$40*'Model Inputs &amp; Assumptions'!$H$40</f>
        <v>945991.693202104</v>
      </c>
      <c r="P381" s="50" t="n">
        <f aca="false">N381*'Model Inputs &amp; Assumptions'!$G$40*'Model Inputs &amp; Assumptions'!$H$40</f>
        <v>21284.8130970474</v>
      </c>
      <c r="Q381" s="50" t="n">
        <f aca="false">SUMIFS('Activation Detail'!$I$4:$I$4003,'Activation Detail'!$A$4:$A$4003,$A381,'Activation Detail'!$N$4:$N$4003,N$2)</f>
        <v>17876.462</v>
      </c>
      <c r="R381" s="51" t="n">
        <f aca="false">IFERROR(P381/Q381,0)</f>
        <v>1.1906613902151</v>
      </c>
      <c r="S381" s="49" t="n">
        <f aca="false">IFERROR(Q381/N381,0)</f>
        <v>160.625011923373</v>
      </c>
      <c r="T381" s="48" t="n">
        <f aca="false">SUMIFS('Activation Detail'!$H$4:$H$4003,'Activation Detail'!$A$4:$A$4003,$A381,'Activation Detail'!$N$4:$N$4003,T$2)</f>
        <v>182.222984280484</v>
      </c>
      <c r="U381" s="50" t="n">
        <f aca="false">T381*'Model Inputs &amp; Assumptions'!$D$41*'Model Inputs &amp; Assumptions'!$H$41</f>
        <v>1312005.48681948</v>
      </c>
      <c r="V381" s="50" t="n">
        <f aca="false">T381*'Model Inputs &amp; Assumptions'!$G$41*'Model Inputs &amp; Assumptions'!$H$41</f>
        <v>28929.7209843696</v>
      </c>
      <c r="W381" s="50" t="n">
        <f aca="false">SUMIFS('Activation Detail'!$I$4:$I$4003,'Activation Detail'!$A$4:$A$4003,$A381,'Activation Detail'!$N$4:$N$4003,T$2)</f>
        <v>19931.629166</v>
      </c>
      <c r="X381" s="51" t="n">
        <f aca="false">IFERROR(V381/W381,0)</f>
        <v>1.45144788433646</v>
      </c>
      <c r="Y381" s="49" t="n">
        <f aca="false">IFERROR(W381/T381,0)</f>
        <v>109.3804343327</v>
      </c>
      <c r="Z381" s="48" t="n">
        <f aca="false">SUMIFS('Activation Detail'!$H$4:$H$4003,'Activation Detail'!$A$4:$A$4003,$A381,'Activation Detail'!$N$4:$N$4003,Z$2)</f>
        <v>271.091160871486</v>
      </c>
      <c r="AA381" s="50" t="n">
        <f aca="false">Z381*'Model Inputs &amp; Assumptions'!$D$42*'Model Inputs &amp; Assumptions'!$H$42</f>
        <v>1463892.26870603</v>
      </c>
      <c r="AB381" s="50" t="n">
        <f aca="false">Z381*'Model Inputs &amp; Assumptions'!$G$42*'Model Inputs &amp; Assumptions'!$H$42</f>
        <v>30741.7376428266</v>
      </c>
      <c r="AC381" s="50" t="n">
        <f aca="false">SUMIFS('Activation Detail'!$I$4:$I$4003,'Activation Detail'!$A$4:$A$4003,$A381,'Activation Detail'!$N$4:$N$4003,Z$2)</f>
        <v>41591.776</v>
      </c>
      <c r="AD381" s="51" t="n">
        <f aca="false">IFERROR(AB381/AC381,0)</f>
        <v>0.73913019830715</v>
      </c>
      <c r="AE381" s="49" t="n">
        <f aca="false">IFERROR(AC381/Z381,0)</f>
        <v>153.423578497703</v>
      </c>
    </row>
    <row r="382" customFormat="false" ht="15" hidden="false" customHeight="false" outlineLevel="0" collapsed="false">
      <c r="A382" s="43" t="n">
        <v>379</v>
      </c>
      <c r="B382" s="45" t="n">
        <f aca="false">SUM('Activation Detail'!C382,'Activation Detail'!C882,'Activation Detail'!C1382,'Activation Detail'!C1882,'Activation Detail'!C2382,'Activation Detail'!C2882,'Activation Detail'!C3382,'Activation Detail'!C3882)</f>
        <v>3781251</v>
      </c>
      <c r="C382" s="45" t="n">
        <f aca="false">SUM('Activation Detail'!E382,'Activation Detail'!E882,'Activation Detail'!E1382,'Activation Detail'!E1882,'Activation Detail'!E2382,'Activation Detail'!E2882,'Activation Detail'!E3382,'Activation Detail'!E3882)</f>
        <v>337654</v>
      </c>
      <c r="D382" s="45" t="n">
        <f aca="false">SUM('Activation Detail'!G382,'Activation Detail'!G882,'Activation Detail'!G1382,'Activation Detail'!G1882,'Activation Detail'!G2382,'Activation Detail'!G2882,'Activation Detail'!G3382,'Activation Detail'!G3882)</f>
        <v>15680</v>
      </c>
      <c r="E382" s="48" t="n">
        <f aca="false">SUM('Activation Detail'!H382,'Activation Detail'!H882,'Activation Detail'!H1382,'Activation Detail'!H1882,'Activation Detail'!H2382,'Activation Detail'!H2882,'Activation Detail'!H3382,'Activation Detail'!H3882)</f>
        <v>660.153784217541</v>
      </c>
      <c r="F382" s="50" t="n">
        <f aca="false">SUM('Activation Detail'!I382,'Activation Detail'!I882,'Activation Detail'!I1382,'Activation Detail'!I1882,'Activation Detail'!I2382,'Activation Detail'!I2882,'Activation Detail'!I3382,'Activation Detail'!I3882)</f>
        <v>74886.710156</v>
      </c>
      <c r="G382" s="50" t="n">
        <f aca="false">SUM('Activation Detail'!J382,'Activation Detail'!J882,'Activation Detail'!J1382,'Activation Detail'!J1882,'Activation Detail'!J2382,'Activation Detail'!J2882,'Activation Detail'!J3382,'Activation Detail'!J3882)</f>
        <v>4270645.00966679</v>
      </c>
      <c r="H382" s="50" t="n">
        <f aca="false">SUM('Activation Detail'!K382,'Activation Detail'!K882,'Activation Detail'!K1382,'Activation Detail'!K1882,'Activation Detail'!K2382,'Activation Detail'!K2882,'Activation Detail'!K3382,'Activation Detail'!K3882)</f>
        <v>92624.3024439543</v>
      </c>
      <c r="I382" s="51" t="n">
        <f aca="false">IFERROR(H382/F382,0)</f>
        <v>1.23685901344851</v>
      </c>
      <c r="J382" s="49" t="n">
        <f aca="false">IFERROR(F382/E382,0)</f>
        <v>113.438280513321</v>
      </c>
      <c r="K382" s="46" t="n">
        <f aca="false">IFERROR(C382/B382,0)</f>
        <v>0.0892969020041251</v>
      </c>
      <c r="L382" s="47" t="n">
        <f aca="false">IFERROR(D382/B382,0)</f>
        <v>0.00414677576283616</v>
      </c>
      <c r="N382" s="48" t="n">
        <f aca="false">SUMIFS('Activation Detail'!$H$4:$H$4003,'Activation Detail'!$A$4:$A$4003,$A382,'Activation Detail'!$N$4:$N$4003,N$2)</f>
        <v>87.6443466477451</v>
      </c>
      <c r="O382" s="50" t="n">
        <f aca="false">N382*'Model Inputs &amp; Assumptions'!$D$40*'Model Inputs &amp; Assumptions'!$H$40</f>
        <v>744976.946505834</v>
      </c>
      <c r="P382" s="50" t="n">
        <f aca="false">N382*'Model Inputs &amp; Assumptions'!$G$40*'Model Inputs &amp; Assumptions'!$H$40</f>
        <v>16761.9812963813</v>
      </c>
      <c r="Q382" s="50" t="n">
        <f aca="false">SUMIFS('Activation Detail'!$I$4:$I$4003,'Activation Detail'!$A$4:$A$4003,$A382,'Activation Detail'!$N$4:$N$4003,N$2)</f>
        <v>17921.234</v>
      </c>
      <c r="R382" s="51" t="n">
        <f aca="false">IFERROR(P382/Q382,0)</f>
        <v>0.935314013330848</v>
      </c>
      <c r="S382" s="49" t="n">
        <f aca="false">IFERROR(Q382/N382,0)</f>
        <v>204.476782421894</v>
      </c>
      <c r="T382" s="48" t="n">
        <f aca="false">SUMIFS('Activation Detail'!$H$4:$H$4003,'Activation Detail'!$A$4:$A$4003,$A382,'Activation Detail'!$N$4:$N$4003,T$2)</f>
        <v>241.176166824477</v>
      </c>
      <c r="U382" s="50" t="n">
        <f aca="false">T382*'Model Inputs &amp; Assumptions'!$D$41*'Model Inputs &amp; Assumptions'!$H$41</f>
        <v>1736468.40113624</v>
      </c>
      <c r="V382" s="50" t="n">
        <f aca="false">T382*'Model Inputs &amp; Assumptions'!$G$41*'Model Inputs &amp; Assumptions'!$H$41</f>
        <v>38289.128245054</v>
      </c>
      <c r="W382" s="50" t="n">
        <f aca="false">SUMIFS('Activation Detail'!$I$4:$I$4003,'Activation Detail'!$A$4:$A$4003,$A382,'Activation Detail'!$N$4:$N$4003,T$2)</f>
        <v>18317.432156</v>
      </c>
      <c r="X382" s="51" t="n">
        <f aca="false">IFERROR(V382/W382,0)</f>
        <v>2.0903109081538</v>
      </c>
      <c r="Y382" s="49" t="n">
        <f aca="false">IFERROR(W382/T382,0)</f>
        <v>75.9504241118943</v>
      </c>
      <c r="Z382" s="48" t="n">
        <f aca="false">SUMIFS('Activation Detail'!$H$4:$H$4003,'Activation Detail'!$A$4:$A$4003,$A382,'Activation Detail'!$N$4:$N$4003,Z$2)</f>
        <v>331.333270745318</v>
      </c>
      <c r="AA382" s="50" t="n">
        <f aca="false">Z382*'Model Inputs &amp; Assumptions'!$D$42*'Model Inputs &amp; Assumptions'!$H$42</f>
        <v>1789199.66202472</v>
      </c>
      <c r="AB382" s="50" t="n">
        <f aca="false">Z382*'Model Inputs &amp; Assumptions'!$G$42*'Model Inputs &amp; Assumptions'!$H$42</f>
        <v>37573.1929025191</v>
      </c>
      <c r="AC382" s="50" t="n">
        <f aca="false">SUMIFS('Activation Detail'!$I$4:$I$4003,'Activation Detail'!$A$4:$A$4003,$A382,'Activation Detail'!$N$4:$N$4003,Z$2)</f>
        <v>38648.044</v>
      </c>
      <c r="AD382" s="51" t="n">
        <f aca="false">IFERROR(AB382/AC382,0)</f>
        <v>0.972188732307361</v>
      </c>
      <c r="AE382" s="49" t="n">
        <f aca="false">IFERROR(AC382/Z382,0)</f>
        <v>116.64401800961</v>
      </c>
    </row>
    <row r="383" customFormat="false" ht="15" hidden="false" customHeight="false" outlineLevel="0" collapsed="false">
      <c r="A383" s="43" t="n">
        <v>380</v>
      </c>
      <c r="B383" s="45" t="n">
        <f aca="false">SUM('Activation Detail'!C383,'Activation Detail'!C883,'Activation Detail'!C1383,'Activation Detail'!C1883,'Activation Detail'!C2383,'Activation Detail'!C2883,'Activation Detail'!C3383,'Activation Detail'!C3883)</f>
        <v>6080446</v>
      </c>
      <c r="C383" s="45" t="n">
        <f aca="false">SUM('Activation Detail'!E383,'Activation Detail'!E883,'Activation Detail'!E1383,'Activation Detail'!E1883,'Activation Detail'!E2383,'Activation Detail'!E2883,'Activation Detail'!E3383,'Activation Detail'!E3883)</f>
        <v>413267</v>
      </c>
      <c r="D383" s="45" t="n">
        <f aca="false">SUM('Activation Detail'!G383,'Activation Detail'!G883,'Activation Detail'!G1383,'Activation Detail'!G1883,'Activation Detail'!G2383,'Activation Detail'!G2883,'Activation Detail'!G3383,'Activation Detail'!G3883)</f>
        <v>23496</v>
      </c>
      <c r="E383" s="48" t="n">
        <f aca="false">SUM('Activation Detail'!H383,'Activation Detail'!H883,'Activation Detail'!H1383,'Activation Detail'!H1883,'Activation Detail'!H2383,'Activation Detail'!H2883,'Activation Detail'!H3383,'Activation Detail'!H3883)</f>
        <v>981.028103358549</v>
      </c>
      <c r="F383" s="50" t="n">
        <f aca="false">SUM('Activation Detail'!I383,'Activation Detail'!I883,'Activation Detail'!I1383,'Activation Detail'!I1883,'Activation Detail'!I2383,'Activation Detail'!I2883,'Activation Detail'!I3383,'Activation Detail'!I3883)</f>
        <v>91953.54265</v>
      </c>
      <c r="G383" s="50" t="n">
        <f aca="false">SUM('Activation Detail'!J383,'Activation Detail'!J883,'Activation Detail'!J1383,'Activation Detail'!J1883,'Activation Detail'!J2383,'Activation Detail'!J2883,'Activation Detail'!J3383,'Activation Detail'!J3883)</f>
        <v>5890661.08433721</v>
      </c>
      <c r="H383" s="50" t="n">
        <f aca="false">SUM('Activation Detail'!K383,'Activation Detail'!K883,'Activation Detail'!K1383,'Activation Detail'!K1883,'Activation Detail'!K2383,'Activation Detail'!K2883,'Activation Detail'!K3383,'Activation Detail'!K3883)</f>
        <v>126167.023432601</v>
      </c>
      <c r="I383" s="51" t="n">
        <f aca="false">IFERROR(H383/F383,0)</f>
        <v>1.37207354710439</v>
      </c>
      <c r="J383" s="49" t="n">
        <f aca="false">IFERROR(F383/E383,0)</f>
        <v>93.731812916671</v>
      </c>
      <c r="K383" s="46" t="n">
        <f aca="false">IFERROR(C383/B383,0)</f>
        <v>0.0679665603477113</v>
      </c>
      <c r="L383" s="47" t="n">
        <f aca="false">IFERROR(D383/B383,0)</f>
        <v>0.00386419022551964</v>
      </c>
      <c r="N383" s="48" t="n">
        <f aca="false">SUMIFS('Activation Detail'!$H$4:$H$4003,'Activation Detail'!$A$4:$A$4003,$A383,'Activation Detail'!$N$4:$N$4003,N$2)</f>
        <v>103.401883426635</v>
      </c>
      <c r="O383" s="50" t="n">
        <f aca="false">N383*'Model Inputs &amp; Assumptions'!$D$40*'Model Inputs &amp; Assumptions'!$H$40</f>
        <v>878916.009126394</v>
      </c>
      <c r="P383" s="50" t="n">
        <f aca="false">N383*'Model Inputs &amp; Assumptions'!$G$40*'Model Inputs &amp; Assumptions'!$H$40</f>
        <v>19775.6102053439</v>
      </c>
      <c r="Q383" s="50" t="n">
        <f aca="false">SUMIFS('Activation Detail'!$I$4:$I$4003,'Activation Detail'!$A$4:$A$4003,$A383,'Activation Detail'!$N$4:$N$4003,N$2)</f>
        <v>18988.5275</v>
      </c>
      <c r="R383" s="51" t="n">
        <f aca="false">IFERROR(P383/Q383,0)</f>
        <v>1.04145043397093</v>
      </c>
      <c r="S383" s="49" t="n">
        <f aca="false">IFERROR(Q383/N383,0)</f>
        <v>183.638120223146</v>
      </c>
      <c r="T383" s="48" t="n">
        <f aca="false">SUMIFS('Activation Detail'!$H$4:$H$4003,'Activation Detail'!$A$4:$A$4003,$A383,'Activation Detail'!$N$4:$N$4003,T$2)</f>
        <v>151.424159765821</v>
      </c>
      <c r="U383" s="50" t="n">
        <f aca="false">T383*'Model Inputs &amp; Assumptions'!$D$41*'Model Inputs &amp; Assumptions'!$H$41</f>
        <v>1090253.95031391</v>
      </c>
      <c r="V383" s="50" t="n">
        <f aca="false">T383*'Model Inputs &amp; Assumptions'!$G$41*'Model Inputs &amp; Assumptions'!$H$41</f>
        <v>24040.0996044218</v>
      </c>
      <c r="W383" s="50" t="n">
        <f aca="false">SUMIFS('Activation Detail'!$I$4:$I$4003,'Activation Detail'!$A$4:$A$4003,$A383,'Activation Detail'!$N$4:$N$4003,T$2)</f>
        <v>18698.22715</v>
      </c>
      <c r="X383" s="51" t="n">
        <f aca="false">IFERROR(V383/W383,0)</f>
        <v>1.28568871324369</v>
      </c>
      <c r="Y383" s="49" t="n">
        <f aca="false">IFERROR(W383/T383,0)</f>
        <v>123.482456028925</v>
      </c>
      <c r="Z383" s="48" t="n">
        <f aca="false">SUMIFS('Activation Detail'!$H$4:$H$4003,'Activation Detail'!$A$4:$A$4003,$A383,'Activation Detail'!$N$4:$N$4003,Z$2)</f>
        <v>726.202060166093</v>
      </c>
      <c r="AA383" s="50" t="n">
        <f aca="false">Z383*'Model Inputs &amp; Assumptions'!$D$42*'Model Inputs &amp; Assumptions'!$H$42</f>
        <v>3921491.1248969</v>
      </c>
      <c r="AB383" s="50" t="n">
        <f aca="false">Z383*'Model Inputs &amp; Assumptions'!$G$42*'Model Inputs &amp; Assumptions'!$H$42</f>
        <v>82351.3136228349</v>
      </c>
      <c r="AC383" s="50" t="n">
        <f aca="false">SUMIFS('Activation Detail'!$I$4:$I$4003,'Activation Detail'!$A$4:$A$4003,$A383,'Activation Detail'!$N$4:$N$4003,Z$2)</f>
        <v>54266.788</v>
      </c>
      <c r="AD383" s="51" t="n">
        <f aca="false">IFERROR(AB383/AC383,0)</f>
        <v>1.51752695631875</v>
      </c>
      <c r="AE383" s="49" t="n">
        <f aca="false">IFERROR(AC383/Z383,0)</f>
        <v>74.7268439139217</v>
      </c>
    </row>
    <row r="384" customFormat="false" ht="15" hidden="false" customHeight="false" outlineLevel="0" collapsed="false">
      <c r="A384" s="43" t="n">
        <v>381</v>
      </c>
      <c r="B384" s="45" t="n">
        <f aca="false">SUM('Activation Detail'!C384,'Activation Detail'!C884,'Activation Detail'!C1384,'Activation Detail'!C1884,'Activation Detail'!C2384,'Activation Detail'!C2884,'Activation Detail'!C3384,'Activation Detail'!C3884)</f>
        <v>4699586</v>
      </c>
      <c r="C384" s="45" t="n">
        <f aca="false">SUM('Activation Detail'!E384,'Activation Detail'!E884,'Activation Detail'!E1384,'Activation Detail'!E1884,'Activation Detail'!E2384,'Activation Detail'!E2884,'Activation Detail'!E3384,'Activation Detail'!E3884)</f>
        <v>437899</v>
      </c>
      <c r="D384" s="45" t="n">
        <f aca="false">SUM('Activation Detail'!G384,'Activation Detail'!G884,'Activation Detail'!G1384,'Activation Detail'!G1884,'Activation Detail'!G2384,'Activation Detail'!G2884,'Activation Detail'!G3384,'Activation Detail'!G3884)</f>
        <v>17608</v>
      </c>
      <c r="E384" s="48" t="n">
        <f aca="false">SUM('Activation Detail'!H384,'Activation Detail'!H884,'Activation Detail'!H1384,'Activation Detail'!H1884,'Activation Detail'!H2384,'Activation Detail'!H2884,'Activation Detail'!H3384,'Activation Detail'!H3884)</f>
        <v>727.438168016322</v>
      </c>
      <c r="F384" s="50" t="n">
        <f aca="false">SUM('Activation Detail'!I384,'Activation Detail'!I884,'Activation Detail'!I1384,'Activation Detail'!I1884,'Activation Detail'!I2384,'Activation Detail'!I2884,'Activation Detail'!I3384,'Activation Detail'!I3884)</f>
        <v>76618.113184</v>
      </c>
      <c r="G384" s="50" t="n">
        <f aca="false">SUM('Activation Detail'!J384,'Activation Detail'!J884,'Activation Detail'!J1384,'Activation Detail'!J1884,'Activation Detail'!J2384,'Activation Detail'!J2884,'Activation Detail'!J3384,'Activation Detail'!J3884)</f>
        <v>4472990.49876798</v>
      </c>
      <c r="H384" s="50" t="n">
        <f aca="false">SUM('Activation Detail'!K384,'Activation Detail'!K884,'Activation Detail'!K1384,'Activation Detail'!K1884,'Activation Detail'!K2384,'Activation Detail'!K2884,'Activation Detail'!K3384,'Activation Detail'!K3884)</f>
        <v>96201.5810918526</v>
      </c>
      <c r="I384" s="51" t="n">
        <f aca="false">IFERROR(H384/F384,0)</f>
        <v>1.25559841001073</v>
      </c>
      <c r="J384" s="49" t="n">
        <f aca="false">IFERROR(F384/E384,0)</f>
        <v>105.32594597412</v>
      </c>
      <c r="K384" s="46" t="n">
        <f aca="false">IFERROR(C384/B384,0)</f>
        <v>0.0931782076123301</v>
      </c>
      <c r="L384" s="47" t="n">
        <f aca="false">IFERROR(D384/B384,0)</f>
        <v>0.00374671300833733</v>
      </c>
      <c r="N384" s="48" t="n">
        <f aca="false">SUMIFS('Activation Detail'!$H$4:$H$4003,'Activation Detail'!$A$4:$A$4003,$A384,'Activation Detail'!$N$4:$N$4003,N$2)</f>
        <v>72.1549129271353</v>
      </c>
      <c r="O384" s="50" t="n">
        <f aca="false">N384*'Model Inputs &amp; Assumptions'!$D$40*'Model Inputs &amp; Assumptions'!$H$40</f>
        <v>613316.75988065</v>
      </c>
      <c r="P384" s="50" t="n">
        <f aca="false">N384*'Model Inputs &amp; Assumptions'!$G$40*'Model Inputs &amp; Assumptions'!$H$40</f>
        <v>13799.6270973146</v>
      </c>
      <c r="Q384" s="50" t="n">
        <f aca="false">SUMIFS('Activation Detail'!$I$4:$I$4003,'Activation Detail'!$A$4:$A$4003,$A384,'Activation Detail'!$N$4:$N$4003,N$2)</f>
        <v>17419.759</v>
      </c>
      <c r="R384" s="51" t="n">
        <f aca="false">IFERROR(P384/Q384,0)</f>
        <v>0.79218243474635</v>
      </c>
      <c r="S384" s="49" t="n">
        <f aca="false">IFERROR(Q384/N384,0)</f>
        <v>241.421661995367</v>
      </c>
      <c r="T384" s="48" t="n">
        <f aca="false">SUMIFS('Activation Detail'!$H$4:$H$4003,'Activation Detail'!$A$4:$A$4003,$A384,'Activation Detail'!$N$4:$N$4003,T$2)</f>
        <v>178.413423003181</v>
      </c>
      <c r="U384" s="50" t="n">
        <f aca="false">T384*'Model Inputs &amp; Assumptions'!$D$41*'Model Inputs &amp; Assumptions'!$H$41</f>
        <v>1284576.6456229</v>
      </c>
      <c r="V384" s="50" t="n">
        <f aca="false">T384*'Model Inputs &amp; Assumptions'!$G$41*'Model Inputs &amp; Assumptions'!$H$41</f>
        <v>28324.915035985</v>
      </c>
      <c r="W384" s="50" t="n">
        <f aca="false">SUMIFS('Activation Detail'!$I$4:$I$4003,'Activation Detail'!$A$4:$A$4003,$A384,'Activation Detail'!$N$4:$N$4003,T$2)</f>
        <v>17737.246184</v>
      </c>
      <c r="X384" s="51" t="n">
        <f aca="false">IFERROR(V384/W384,0)</f>
        <v>1.59691728592772</v>
      </c>
      <c r="Y384" s="49" t="n">
        <f aca="false">IFERROR(W384/T384,0)</f>
        <v>99.4165454898746</v>
      </c>
      <c r="Z384" s="48" t="n">
        <f aca="false">SUMIFS('Activation Detail'!$H$4:$H$4003,'Activation Detail'!$A$4:$A$4003,$A384,'Activation Detail'!$N$4:$N$4003,Z$2)</f>
        <v>476.869832086005</v>
      </c>
      <c r="AA384" s="50" t="n">
        <f aca="false">Z384*'Model Inputs &amp; Assumptions'!$D$42*'Model Inputs &amp; Assumptions'!$H$42</f>
        <v>2575097.09326443</v>
      </c>
      <c r="AB384" s="50" t="n">
        <f aca="false">Z384*'Model Inputs &amp; Assumptions'!$G$42*'Model Inputs &amp; Assumptions'!$H$42</f>
        <v>54077.038958553</v>
      </c>
      <c r="AC384" s="50" t="n">
        <f aca="false">SUMIFS('Activation Detail'!$I$4:$I$4003,'Activation Detail'!$A$4:$A$4003,$A384,'Activation Detail'!$N$4:$N$4003,Z$2)</f>
        <v>41461.108</v>
      </c>
      <c r="AD384" s="51" t="n">
        <f aca="false">IFERROR(AB384/AC384,0)</f>
        <v>1.30428349764683</v>
      </c>
      <c r="AE384" s="49" t="n">
        <f aca="false">IFERROR(AC384/Z384,0)</f>
        <v>86.9442879593238</v>
      </c>
    </row>
    <row r="385" customFormat="false" ht="15" hidden="false" customHeight="false" outlineLevel="0" collapsed="false">
      <c r="A385" s="43" t="n">
        <v>382</v>
      </c>
      <c r="B385" s="45" t="n">
        <f aca="false">SUM('Activation Detail'!C385,'Activation Detail'!C885,'Activation Detail'!C1385,'Activation Detail'!C1885,'Activation Detail'!C2385,'Activation Detail'!C2885,'Activation Detail'!C3385,'Activation Detail'!C3885)</f>
        <v>4188494</v>
      </c>
      <c r="C385" s="45" t="n">
        <f aca="false">SUM('Activation Detail'!E385,'Activation Detail'!E885,'Activation Detail'!E1385,'Activation Detail'!E1885,'Activation Detail'!E2385,'Activation Detail'!E2885,'Activation Detail'!E3385,'Activation Detail'!E3885)</f>
        <v>375364</v>
      </c>
      <c r="D385" s="45" t="n">
        <f aca="false">SUM('Activation Detail'!G385,'Activation Detail'!G885,'Activation Detail'!G1385,'Activation Detail'!G1885,'Activation Detail'!G2385,'Activation Detail'!G2885,'Activation Detail'!G3385,'Activation Detail'!G3885)</f>
        <v>13177</v>
      </c>
      <c r="E385" s="48" t="n">
        <f aca="false">SUM('Activation Detail'!H385,'Activation Detail'!H885,'Activation Detail'!H1385,'Activation Detail'!H1885,'Activation Detail'!H2385,'Activation Detail'!H2885,'Activation Detail'!H3385,'Activation Detail'!H3885)</f>
        <v>492.294754361282</v>
      </c>
      <c r="F385" s="50" t="n">
        <f aca="false">SUM('Activation Detail'!I385,'Activation Detail'!I885,'Activation Detail'!I1385,'Activation Detail'!I1885,'Activation Detail'!I2385,'Activation Detail'!I2885,'Activation Detail'!I3385,'Activation Detail'!I3885)</f>
        <v>73657.17433</v>
      </c>
      <c r="G385" s="50" t="n">
        <f aca="false">SUM('Activation Detail'!J385,'Activation Detail'!J885,'Activation Detail'!J1385,'Activation Detail'!J1885,'Activation Detail'!J2385,'Activation Detail'!J2885,'Activation Detail'!J3385,'Activation Detail'!J3885)</f>
        <v>3192914.02241684</v>
      </c>
      <c r="H385" s="50" t="n">
        <f aca="false">SUM('Activation Detail'!K385,'Activation Detail'!K885,'Activation Detail'!K1385,'Activation Detail'!K1885,'Activation Detail'!K2385,'Activation Detail'!K2885,'Activation Detail'!K3385,'Activation Detail'!K3885)</f>
        <v>69272.5712476599</v>
      </c>
      <c r="I385" s="51" t="n">
        <f aca="false">IFERROR(H385/F385,0)</f>
        <v>0.940472830756497</v>
      </c>
      <c r="J385" s="49" t="n">
        <f aca="false">IFERROR(F385/E385,0)</f>
        <v>149.620067403653</v>
      </c>
      <c r="K385" s="46" t="n">
        <f aca="false">IFERROR(C385/B385,0)</f>
        <v>0.0896178912993549</v>
      </c>
      <c r="L385" s="47" t="n">
        <f aca="false">IFERROR(D385/B385,0)</f>
        <v>0.00314599949289649</v>
      </c>
      <c r="N385" s="48" t="n">
        <f aca="false">SUMIFS('Activation Detail'!$H$4:$H$4003,'Activation Detail'!$A$4:$A$4003,$A385,'Activation Detail'!$N$4:$N$4003,N$2)</f>
        <v>87.4706975208755</v>
      </c>
      <c r="O385" s="50" t="n">
        <f aca="false">N385*'Model Inputs &amp; Assumptions'!$D$40*'Model Inputs &amp; Assumptions'!$H$40</f>
        <v>743500.928927442</v>
      </c>
      <c r="P385" s="50" t="n">
        <f aca="false">N385*'Model Inputs &amp; Assumptions'!$G$40*'Model Inputs &amp; Assumptions'!$H$40</f>
        <v>16728.7709008674</v>
      </c>
      <c r="Q385" s="50" t="n">
        <f aca="false">SUMIFS('Activation Detail'!$I$4:$I$4003,'Activation Detail'!$A$4:$A$4003,$A385,'Activation Detail'!$N$4:$N$4003,N$2)</f>
        <v>18278.526</v>
      </c>
      <c r="R385" s="51" t="n">
        <f aca="false">IFERROR(P385/Q385,0)</f>
        <v>0.915214438016908</v>
      </c>
      <c r="S385" s="49" t="n">
        <f aca="false">IFERROR(Q385/N385,0)</f>
        <v>208.967420153906</v>
      </c>
      <c r="T385" s="48" t="n">
        <f aca="false">SUMIFS('Activation Detail'!$H$4:$H$4003,'Activation Detail'!$A$4:$A$4003,$A385,'Activation Detail'!$N$4:$N$4003,T$2)</f>
        <v>146.312881417335</v>
      </c>
      <c r="U385" s="50" t="n">
        <f aca="false">T385*'Model Inputs &amp; Assumptions'!$D$41*'Model Inputs &amp; Assumptions'!$H$41</f>
        <v>1053452.74620481</v>
      </c>
      <c r="V385" s="50" t="n">
        <f aca="false">T385*'Model Inputs &amp; Assumptions'!$G$41*'Model Inputs &amp; Assumptions'!$H$41</f>
        <v>23228.6330538162</v>
      </c>
      <c r="W385" s="50" t="n">
        <f aca="false">SUMIFS('Activation Detail'!$I$4:$I$4003,'Activation Detail'!$A$4:$A$4003,$A385,'Activation Detail'!$N$4:$N$4003,T$2)</f>
        <v>17596.78833</v>
      </c>
      <c r="X385" s="51" t="n">
        <f aca="false">IFERROR(V385/W385,0)</f>
        <v>1.32004958053707</v>
      </c>
      <c r="Y385" s="49" t="n">
        <f aca="false">IFERROR(W385/T385,0)</f>
        <v>120.268209876941</v>
      </c>
      <c r="Z385" s="48" t="n">
        <f aca="false">SUMIFS('Activation Detail'!$H$4:$H$4003,'Activation Detail'!$A$4:$A$4003,$A385,'Activation Detail'!$N$4:$N$4003,Z$2)</f>
        <v>258.511175423071</v>
      </c>
      <c r="AA385" s="50" t="n">
        <f aca="false">Z385*'Model Inputs &amp; Assumptions'!$D$42*'Model Inputs &amp; Assumptions'!$H$42</f>
        <v>1395960.34728459</v>
      </c>
      <c r="AB385" s="50" t="n">
        <f aca="false">Z385*'Model Inputs &amp; Assumptions'!$G$42*'Model Inputs &amp; Assumptions'!$H$42</f>
        <v>29315.1672929763</v>
      </c>
      <c r="AC385" s="50" t="n">
        <f aca="false">SUMIFS('Activation Detail'!$I$4:$I$4003,'Activation Detail'!$A$4:$A$4003,$A385,'Activation Detail'!$N$4:$N$4003,Z$2)</f>
        <v>37781.86</v>
      </c>
      <c r="AD385" s="51" t="n">
        <f aca="false">IFERROR(AB385/AC385,0)</f>
        <v>0.775905878984685</v>
      </c>
      <c r="AE385" s="49" t="n">
        <f aca="false">IFERROR(AC385/Z385,0)</f>
        <v>146.151747359345</v>
      </c>
    </row>
    <row r="386" customFormat="false" ht="15" hidden="false" customHeight="false" outlineLevel="0" collapsed="false">
      <c r="A386" s="43" t="n">
        <v>383</v>
      </c>
      <c r="B386" s="45" t="n">
        <f aca="false">SUM('Activation Detail'!C386,'Activation Detail'!C886,'Activation Detail'!C1386,'Activation Detail'!C1886,'Activation Detail'!C2386,'Activation Detail'!C2886,'Activation Detail'!C3386,'Activation Detail'!C3886)</f>
        <v>4119001</v>
      </c>
      <c r="C386" s="45" t="n">
        <f aca="false">SUM('Activation Detail'!E386,'Activation Detail'!E886,'Activation Detail'!E1386,'Activation Detail'!E1886,'Activation Detail'!E2386,'Activation Detail'!E2886,'Activation Detail'!E3386,'Activation Detail'!E3886)</f>
        <v>531670</v>
      </c>
      <c r="D386" s="45" t="n">
        <f aca="false">SUM('Activation Detail'!G386,'Activation Detail'!G886,'Activation Detail'!G1386,'Activation Detail'!G1886,'Activation Detail'!G2386,'Activation Detail'!G2886,'Activation Detail'!G3386,'Activation Detail'!G3886)</f>
        <v>13991</v>
      </c>
      <c r="E386" s="48" t="n">
        <f aca="false">SUM('Activation Detail'!H386,'Activation Detail'!H886,'Activation Detail'!H1386,'Activation Detail'!H1886,'Activation Detail'!H2386,'Activation Detail'!H2886,'Activation Detail'!H3386,'Activation Detail'!H3886)</f>
        <v>474.942557531918</v>
      </c>
      <c r="F386" s="50" t="n">
        <f aca="false">SUM('Activation Detail'!I386,'Activation Detail'!I886,'Activation Detail'!I1386,'Activation Detail'!I1886,'Activation Detail'!I2386,'Activation Detail'!I2886,'Activation Detail'!I3386,'Activation Detail'!I3886)</f>
        <v>76329.162822</v>
      </c>
      <c r="G386" s="50" t="n">
        <f aca="false">SUM('Activation Detail'!J386,'Activation Detail'!J886,'Activation Detail'!J1386,'Activation Detail'!J1886,'Activation Detail'!J2386,'Activation Detail'!J2886,'Activation Detail'!J3386,'Activation Detail'!J3886)</f>
        <v>3181465.9911201</v>
      </c>
      <c r="H386" s="50" t="n">
        <f aca="false">SUM('Activation Detail'!K386,'Activation Detail'!K886,'Activation Detail'!K1386,'Activation Detail'!K1886,'Activation Detail'!K2386,'Activation Detail'!K2886,'Activation Detail'!K3386,'Activation Detail'!K3886)</f>
        <v>69371.4008951936</v>
      </c>
      <c r="I386" s="51" t="n">
        <f aca="false">IFERROR(H386/F386,0)</f>
        <v>0.908845300150455</v>
      </c>
      <c r="J386" s="49" t="n">
        <f aca="false">IFERROR(F386/E386,0)</f>
        <v>160.71240955675</v>
      </c>
      <c r="K386" s="46" t="n">
        <f aca="false">IFERROR(C386/B386,0)</f>
        <v>0.129077414644959</v>
      </c>
      <c r="L386" s="47" t="n">
        <f aca="false">IFERROR(D386/B386,0)</f>
        <v>0.0033966974030839</v>
      </c>
      <c r="N386" s="48" t="n">
        <f aca="false">SUMIFS('Activation Detail'!$H$4:$H$4003,'Activation Detail'!$A$4:$A$4003,$A386,'Activation Detail'!$N$4:$N$4003,N$2)</f>
        <v>110.536578551571</v>
      </c>
      <c r="O386" s="50" t="n">
        <f aca="false">N386*'Model Inputs &amp; Assumptions'!$D$40*'Model Inputs &amp; Assumptions'!$H$40</f>
        <v>939560.917688356</v>
      </c>
      <c r="P386" s="50" t="n">
        <f aca="false">N386*'Model Inputs &amp; Assumptions'!$G$40*'Model Inputs &amp; Assumptions'!$H$40</f>
        <v>21140.120647988</v>
      </c>
      <c r="Q386" s="50" t="n">
        <f aca="false">SUMIFS('Activation Detail'!$I$4:$I$4003,'Activation Detail'!$A$4:$A$4003,$A386,'Activation Detail'!$N$4:$N$4003,N$2)</f>
        <v>18354.0885</v>
      </c>
      <c r="R386" s="51" t="n">
        <f aca="false">IFERROR(P386/Q386,0)</f>
        <v>1.15179354441862</v>
      </c>
      <c r="S386" s="49" t="n">
        <f aca="false">IFERROR(Q386/N386,0)</f>
        <v>166.045382809066</v>
      </c>
      <c r="T386" s="48" t="n">
        <f aca="false">SUMIFS('Activation Detail'!$H$4:$H$4003,'Activation Detail'!$A$4:$A$4003,$A386,'Activation Detail'!$N$4:$N$4003,T$2)</f>
        <v>152.284881632148</v>
      </c>
      <c r="U386" s="50" t="n">
        <f aca="false">T386*'Model Inputs &amp; Assumptions'!$D$41*'Model Inputs &amp; Assumptions'!$H$41</f>
        <v>1096451.14775147</v>
      </c>
      <c r="V386" s="50" t="n">
        <f aca="false">T386*'Model Inputs &amp; Assumptions'!$G$41*'Model Inputs &amp; Assumptions'!$H$41</f>
        <v>24176.7478079199</v>
      </c>
      <c r="W386" s="50" t="n">
        <f aca="false">SUMIFS('Activation Detail'!$I$4:$I$4003,'Activation Detail'!$A$4:$A$4003,$A386,'Activation Detail'!$N$4:$N$4003,T$2)</f>
        <v>19003.270322</v>
      </c>
      <c r="X386" s="51" t="n">
        <f aca="false">IFERROR(V386/W386,0)</f>
        <v>1.27224142993591</v>
      </c>
      <c r="Y386" s="49" t="n">
        <f aca="false">IFERROR(W386/T386,0)</f>
        <v>124.787635636106</v>
      </c>
      <c r="Z386" s="48" t="n">
        <f aca="false">SUMIFS('Activation Detail'!$H$4:$H$4003,'Activation Detail'!$A$4:$A$4003,$A386,'Activation Detail'!$N$4:$N$4003,Z$2)</f>
        <v>212.121097348198</v>
      </c>
      <c r="AA386" s="50" t="n">
        <f aca="false">Z386*'Model Inputs &amp; Assumptions'!$D$42*'Model Inputs &amp; Assumptions'!$H$42</f>
        <v>1145453.92568027</v>
      </c>
      <c r="AB386" s="50" t="n">
        <f aca="false">Z386*'Model Inputs &amp; Assumptions'!$G$42*'Model Inputs &amp; Assumptions'!$H$42</f>
        <v>24054.5324392857</v>
      </c>
      <c r="AC386" s="50" t="n">
        <f aca="false">SUMIFS('Activation Detail'!$I$4:$I$4003,'Activation Detail'!$A$4:$A$4003,$A386,'Activation Detail'!$N$4:$N$4003,Z$2)</f>
        <v>38971.804</v>
      </c>
      <c r="AD386" s="51" t="n">
        <f aca="false">IFERROR(AB386/AC386,0)</f>
        <v>0.617229123888791</v>
      </c>
      <c r="AE386" s="49" t="n">
        <f aca="false">IFERROR(AC386/Z386,0)</f>
        <v>183.72431826537</v>
      </c>
    </row>
    <row r="387" customFormat="false" ht="15" hidden="false" customHeight="false" outlineLevel="0" collapsed="false">
      <c r="A387" s="43" t="n">
        <v>384</v>
      </c>
      <c r="B387" s="45" t="n">
        <f aca="false">SUM('Activation Detail'!C387,'Activation Detail'!C887,'Activation Detail'!C1387,'Activation Detail'!C1887,'Activation Detail'!C2387,'Activation Detail'!C2887,'Activation Detail'!C3387,'Activation Detail'!C3887)</f>
        <v>4431274</v>
      </c>
      <c r="C387" s="45" t="n">
        <f aca="false">SUM('Activation Detail'!E387,'Activation Detail'!E887,'Activation Detail'!E1387,'Activation Detail'!E1887,'Activation Detail'!E2387,'Activation Detail'!E2887,'Activation Detail'!E3387,'Activation Detail'!E3887)</f>
        <v>453291</v>
      </c>
      <c r="D387" s="45" t="n">
        <f aca="false">SUM('Activation Detail'!G387,'Activation Detail'!G887,'Activation Detail'!G1387,'Activation Detail'!G1887,'Activation Detail'!G2387,'Activation Detail'!G2887,'Activation Detail'!G3387,'Activation Detail'!G3887)</f>
        <v>16122</v>
      </c>
      <c r="E387" s="48" t="n">
        <f aca="false">SUM('Activation Detail'!H387,'Activation Detail'!H887,'Activation Detail'!H1387,'Activation Detail'!H1887,'Activation Detail'!H2387,'Activation Detail'!H2887,'Activation Detail'!H3387,'Activation Detail'!H3887)</f>
        <v>669.96033662057</v>
      </c>
      <c r="F387" s="50" t="n">
        <f aca="false">SUM('Activation Detail'!I387,'Activation Detail'!I887,'Activation Detail'!I1387,'Activation Detail'!I1887,'Activation Detail'!I2387,'Activation Detail'!I2887,'Activation Detail'!I3387,'Activation Detail'!I3887)</f>
        <v>82038.459286</v>
      </c>
      <c r="G387" s="50" t="n">
        <f aca="false">SUM('Activation Detail'!J387,'Activation Detail'!J887,'Activation Detail'!J1387,'Activation Detail'!J1887,'Activation Detail'!J2387,'Activation Detail'!J2887,'Activation Detail'!J3387,'Activation Detail'!J3887)</f>
        <v>4364035.81638296</v>
      </c>
      <c r="H387" s="50" t="n">
        <f aca="false">SUM('Activation Detail'!K387,'Activation Detail'!K887,'Activation Detail'!K1387,'Activation Detail'!K1887,'Activation Detail'!K2387,'Activation Detail'!K2887,'Activation Detail'!K3387,'Activation Detail'!K3887)</f>
        <v>94749.2382485459</v>
      </c>
      <c r="I387" s="51" t="n">
        <f aca="false">IFERROR(H387/F387,0)</f>
        <v>1.15493683173929</v>
      </c>
      <c r="J387" s="49" t="n">
        <f aca="false">IFERROR(F387/E387,0)</f>
        <v>122.452710707951</v>
      </c>
      <c r="K387" s="46" t="n">
        <f aca="false">IFERROR(C387/B387,0)</f>
        <v>0.102293606759591</v>
      </c>
      <c r="L387" s="47" t="n">
        <f aca="false">IFERROR(D387/B387,0)</f>
        <v>0.00363823135287956</v>
      </c>
      <c r="N387" s="48" t="n">
        <f aca="false">SUMIFS('Activation Detail'!$H$4:$H$4003,'Activation Detail'!$A$4:$A$4003,$A387,'Activation Detail'!$N$4:$N$4003,N$2)</f>
        <v>110.236628704187</v>
      </c>
      <c r="O387" s="50" t="n">
        <f aca="false">N387*'Model Inputs &amp; Assumptions'!$D$40*'Model Inputs &amp; Assumptions'!$H$40</f>
        <v>937011.343985585</v>
      </c>
      <c r="P387" s="50" t="n">
        <f aca="false">N387*'Model Inputs &amp; Assumptions'!$G$40*'Model Inputs &amp; Assumptions'!$H$40</f>
        <v>21082.7552396757</v>
      </c>
      <c r="Q387" s="50" t="n">
        <f aca="false">SUMIFS('Activation Detail'!$I$4:$I$4003,'Activation Detail'!$A$4:$A$4003,$A387,'Activation Detail'!$N$4:$N$4003,N$2)</f>
        <v>18097.41</v>
      </c>
      <c r="R387" s="51" t="n">
        <f aca="false">IFERROR(P387/Q387,0)</f>
        <v>1.16495980583275</v>
      </c>
      <c r="S387" s="49" t="n">
        <f aca="false">IFERROR(Q387/N387,0)</f>
        <v>164.168754185719</v>
      </c>
      <c r="T387" s="48" t="n">
        <f aca="false">SUMIFS('Activation Detail'!$H$4:$H$4003,'Activation Detail'!$A$4:$A$4003,$A387,'Activation Detail'!$N$4:$N$4003,T$2)</f>
        <v>224.731360916057</v>
      </c>
      <c r="U387" s="50" t="n">
        <f aca="false">T387*'Model Inputs &amp; Assumptions'!$D$41*'Model Inputs &amp; Assumptions'!$H$41</f>
        <v>1618065.79859561</v>
      </c>
      <c r="V387" s="50" t="n">
        <f aca="false">T387*'Model Inputs &amp; Assumptions'!$G$41*'Model Inputs &amp; Assumptions'!$H$41</f>
        <v>35678.3508590333</v>
      </c>
      <c r="W387" s="50" t="n">
        <f aca="false">SUMIFS('Activation Detail'!$I$4:$I$4003,'Activation Detail'!$A$4:$A$4003,$A387,'Activation Detail'!$N$4:$N$4003,T$2)</f>
        <v>19174.049286</v>
      </c>
      <c r="X387" s="51" t="n">
        <f aca="false">IFERROR(V387/W387,0)</f>
        <v>1.86076244651587</v>
      </c>
      <c r="Y387" s="49" t="n">
        <f aca="false">IFERROR(W387/T387,0)</f>
        <v>85.3198646056435</v>
      </c>
      <c r="Z387" s="48" t="n">
        <f aca="false">SUMIFS('Activation Detail'!$H$4:$H$4003,'Activation Detail'!$A$4:$A$4003,$A387,'Activation Detail'!$N$4:$N$4003,Z$2)</f>
        <v>334.992347000326</v>
      </c>
      <c r="AA387" s="50" t="n">
        <f aca="false">Z387*'Model Inputs &amp; Assumptions'!$D$42*'Model Inputs &amp; Assumptions'!$H$42</f>
        <v>1808958.67380176</v>
      </c>
      <c r="AB387" s="50" t="n">
        <f aca="false">Z387*'Model Inputs &amp; Assumptions'!$G$42*'Model Inputs &amp; Assumptions'!$H$42</f>
        <v>37988.1321498369</v>
      </c>
      <c r="AC387" s="50" t="n">
        <f aca="false">SUMIFS('Activation Detail'!$I$4:$I$4003,'Activation Detail'!$A$4:$A$4003,$A387,'Activation Detail'!$N$4:$N$4003,Z$2)</f>
        <v>44767</v>
      </c>
      <c r="AD387" s="51" t="n">
        <f aca="false">IFERROR(AB387/AC387,0)</f>
        <v>0.848574444341522</v>
      </c>
      <c r="AE387" s="49" t="n">
        <f aca="false">IFERROR(AC387/Z387,0)</f>
        <v>133.635888702725</v>
      </c>
    </row>
    <row r="388" customFormat="false" ht="15" hidden="false" customHeight="false" outlineLevel="0" collapsed="false">
      <c r="A388" s="43" t="n">
        <v>385</v>
      </c>
      <c r="B388" s="45" t="n">
        <f aca="false">SUM('Activation Detail'!C388,'Activation Detail'!C888,'Activation Detail'!C1388,'Activation Detail'!C1888,'Activation Detail'!C2388,'Activation Detail'!C2888,'Activation Detail'!C3388,'Activation Detail'!C3888)</f>
        <v>4642337</v>
      </c>
      <c r="C388" s="45" t="n">
        <f aca="false">SUM('Activation Detail'!E388,'Activation Detail'!E888,'Activation Detail'!E1388,'Activation Detail'!E1888,'Activation Detail'!E2388,'Activation Detail'!E2888,'Activation Detail'!E3388,'Activation Detail'!E3888)</f>
        <v>887637</v>
      </c>
      <c r="D388" s="45" t="n">
        <f aca="false">SUM('Activation Detail'!G388,'Activation Detail'!G888,'Activation Detail'!G1388,'Activation Detail'!G1888,'Activation Detail'!G2388,'Activation Detail'!G2888,'Activation Detail'!G3388,'Activation Detail'!G3888)</f>
        <v>20647</v>
      </c>
      <c r="E388" s="48" t="n">
        <f aca="false">SUM('Activation Detail'!H388,'Activation Detail'!H888,'Activation Detail'!H1388,'Activation Detail'!H1888,'Activation Detail'!H2388,'Activation Detail'!H2888,'Activation Detail'!H3388,'Activation Detail'!H3888)</f>
        <v>756.77479044629</v>
      </c>
      <c r="F388" s="50" t="n">
        <f aca="false">SUM('Activation Detail'!I388,'Activation Detail'!I888,'Activation Detail'!I1388,'Activation Detail'!I1888,'Activation Detail'!I2388,'Activation Detail'!I2888,'Activation Detail'!I3388,'Activation Detail'!I3888)</f>
        <v>83064.222186</v>
      </c>
      <c r="G388" s="50" t="n">
        <f aca="false">SUM('Activation Detail'!J388,'Activation Detail'!J888,'Activation Detail'!J1388,'Activation Detail'!J1888,'Activation Detail'!J2388,'Activation Detail'!J2888,'Activation Detail'!J3388,'Activation Detail'!J3888)</f>
        <v>4823000.28178286</v>
      </c>
      <c r="H388" s="50" t="n">
        <f aca="false">SUM('Activation Detail'!K388,'Activation Detail'!K888,'Activation Detail'!K1388,'Activation Detail'!K1888,'Activation Detail'!K2388,'Activation Detail'!K2888,'Activation Detail'!K3388,'Activation Detail'!K3888)</f>
        <v>104344.406192276</v>
      </c>
      <c r="I388" s="51" t="n">
        <f aca="false">IFERROR(H388/F388,0)</f>
        <v>1.25618952957418</v>
      </c>
      <c r="J388" s="49" t="n">
        <f aca="false">IFERROR(F388/E388,0)</f>
        <v>109.760820834181</v>
      </c>
      <c r="K388" s="46" t="n">
        <f aca="false">IFERROR(C388/B388,0)</f>
        <v>0.19120477466414</v>
      </c>
      <c r="L388" s="47" t="n">
        <f aca="false">IFERROR(D388/B388,0)</f>
        <v>0.00444754441566823</v>
      </c>
      <c r="N388" s="48" t="n">
        <f aca="false">SUMIFS('Activation Detail'!$H$4:$H$4003,'Activation Detail'!$A$4:$A$4003,$A388,'Activation Detail'!$N$4:$N$4003,N$2)</f>
        <v>116.846893814987</v>
      </c>
      <c r="O388" s="50" t="n">
        <f aca="false">N388*'Model Inputs &amp; Assumptions'!$D$40*'Model Inputs &amp; Assumptions'!$H$40</f>
        <v>993198.597427389</v>
      </c>
      <c r="P388" s="50" t="n">
        <f aca="false">N388*'Model Inputs &amp; Assumptions'!$G$40*'Model Inputs &amp; Assumptions'!$H$40</f>
        <v>22346.9684421162</v>
      </c>
      <c r="Q388" s="50" t="n">
        <f aca="false">SUMIFS('Activation Detail'!$I$4:$I$4003,'Activation Detail'!$A$4:$A$4003,$A388,'Activation Detail'!$N$4:$N$4003,N$2)</f>
        <v>18189.606</v>
      </c>
      <c r="R388" s="51" t="n">
        <f aca="false">IFERROR(P388/Q388,0)</f>
        <v>1.22855703648096</v>
      </c>
      <c r="S388" s="49" t="n">
        <f aca="false">IFERROR(Q388/N388,0)</f>
        <v>155.670428251187</v>
      </c>
      <c r="T388" s="48" t="n">
        <f aca="false">SUMIFS('Activation Detail'!$H$4:$H$4003,'Activation Detail'!$A$4:$A$4003,$A388,'Activation Detail'!$N$4:$N$4003,T$2)</f>
        <v>207.883912525797</v>
      </c>
      <c r="U388" s="50" t="n">
        <f aca="false">T388*'Model Inputs &amp; Assumptions'!$D$41*'Model Inputs &amp; Assumptions'!$H$41</f>
        <v>1496764.17018574</v>
      </c>
      <c r="V388" s="50" t="n">
        <f aca="false">T388*'Model Inputs &amp; Assumptions'!$G$41*'Model Inputs &amp; Assumptions'!$H$41</f>
        <v>33003.6499525956</v>
      </c>
      <c r="W388" s="50" t="n">
        <f aca="false">SUMIFS('Activation Detail'!$I$4:$I$4003,'Activation Detail'!$A$4:$A$4003,$A388,'Activation Detail'!$N$4:$N$4003,T$2)</f>
        <v>28799.468186</v>
      </c>
      <c r="X388" s="51" t="n">
        <f aca="false">IFERROR(V388/W388,0)</f>
        <v>1.14598122921726</v>
      </c>
      <c r="Y388" s="49" t="n">
        <f aca="false">IFERROR(W388/T388,0)</f>
        <v>138.536300553926</v>
      </c>
      <c r="Z388" s="48" t="n">
        <f aca="false">SUMIFS('Activation Detail'!$H$4:$H$4003,'Activation Detail'!$A$4:$A$4003,$A388,'Activation Detail'!$N$4:$N$4003,Z$2)</f>
        <v>432.043984105506</v>
      </c>
      <c r="AA388" s="50" t="n">
        <f aca="false">Z388*'Model Inputs &amp; Assumptions'!$D$42*'Model Inputs &amp; Assumptions'!$H$42</f>
        <v>2333037.51416973</v>
      </c>
      <c r="AB388" s="50" t="n">
        <f aca="false">Z388*'Model Inputs &amp; Assumptions'!$G$42*'Model Inputs &amp; Assumptions'!$H$42</f>
        <v>48993.7877975644</v>
      </c>
      <c r="AC388" s="50" t="n">
        <f aca="false">SUMIFS('Activation Detail'!$I$4:$I$4003,'Activation Detail'!$A$4:$A$4003,$A388,'Activation Detail'!$N$4:$N$4003,Z$2)</f>
        <v>36075.148</v>
      </c>
      <c r="AD388" s="51" t="n">
        <f aca="false">IFERROR(AB388/AC388,0)</f>
        <v>1.35810358415063</v>
      </c>
      <c r="AE388" s="49" t="n">
        <f aca="false">IFERROR(AC388/Z388,0)</f>
        <v>83.498785603251</v>
      </c>
    </row>
    <row r="389" customFormat="false" ht="15" hidden="false" customHeight="false" outlineLevel="0" collapsed="false">
      <c r="A389" s="43" t="n">
        <v>386</v>
      </c>
      <c r="B389" s="45" t="n">
        <f aca="false">SUM('Activation Detail'!C389,'Activation Detail'!C889,'Activation Detail'!C1389,'Activation Detail'!C1889,'Activation Detail'!C2389,'Activation Detail'!C2889,'Activation Detail'!C3389,'Activation Detail'!C3889)</f>
        <v>4299567</v>
      </c>
      <c r="C389" s="45" t="n">
        <f aca="false">SUM('Activation Detail'!E389,'Activation Detail'!E889,'Activation Detail'!E1389,'Activation Detail'!E1889,'Activation Detail'!E2389,'Activation Detail'!E2889,'Activation Detail'!E3389,'Activation Detail'!E3889)</f>
        <v>305029</v>
      </c>
      <c r="D389" s="45" t="n">
        <f aca="false">SUM('Activation Detail'!G389,'Activation Detail'!G889,'Activation Detail'!G1389,'Activation Detail'!G1889,'Activation Detail'!G2389,'Activation Detail'!G2889,'Activation Detail'!G3389,'Activation Detail'!G3889)</f>
        <v>16540</v>
      </c>
      <c r="E389" s="48" t="n">
        <f aca="false">SUM('Activation Detail'!H389,'Activation Detail'!H889,'Activation Detail'!H1389,'Activation Detail'!H1889,'Activation Detail'!H2389,'Activation Detail'!H2889,'Activation Detail'!H3389,'Activation Detail'!H3889)</f>
        <v>738.309751018377</v>
      </c>
      <c r="F389" s="50" t="n">
        <f aca="false">SUM('Activation Detail'!I389,'Activation Detail'!I889,'Activation Detail'!I1389,'Activation Detail'!I1889,'Activation Detail'!I2389,'Activation Detail'!I2889,'Activation Detail'!I3389,'Activation Detail'!I3889)</f>
        <v>74280.444602</v>
      </c>
      <c r="G389" s="50" t="n">
        <f aca="false">SUM('Activation Detail'!J389,'Activation Detail'!J889,'Activation Detail'!J1389,'Activation Detail'!J1889,'Activation Detail'!J2389,'Activation Detail'!J2889,'Activation Detail'!J3389,'Activation Detail'!J3889)</f>
        <v>4653885.09379756</v>
      </c>
      <c r="H389" s="50" t="n">
        <f aca="false">SUM('Activation Detail'!K389,'Activation Detail'!K889,'Activation Detail'!K1389,'Activation Detail'!K1889,'Activation Detail'!K2389,'Activation Detail'!K2889,'Activation Detail'!K3389,'Activation Detail'!K3889)</f>
        <v>100497.604348958</v>
      </c>
      <c r="I389" s="51" t="n">
        <f aca="false">IFERROR(H389/F389,0)</f>
        <v>1.35294834175309</v>
      </c>
      <c r="J389" s="49" t="n">
        <f aca="false">IFERROR(F389/E389,0)</f>
        <v>100.608781747149</v>
      </c>
      <c r="K389" s="46" t="n">
        <f aca="false">IFERROR(C389/B389,0)</f>
        <v>0.0709441206521494</v>
      </c>
      <c r="L389" s="47" t="n">
        <f aca="false">IFERROR(D389/B389,0)</f>
        <v>0.00384689900169017</v>
      </c>
      <c r="N389" s="48" t="n">
        <f aca="false">SUMIFS('Activation Detail'!$H$4:$H$4003,'Activation Detail'!$A$4:$A$4003,$A389,'Activation Detail'!$N$4:$N$4003,N$2)</f>
        <v>131.240228310228</v>
      </c>
      <c r="O389" s="50" t="n">
        <f aca="false">N389*'Model Inputs &amp; Assumptions'!$D$40*'Model Inputs &amp; Assumptions'!$H$40</f>
        <v>1115541.94063694</v>
      </c>
      <c r="P389" s="50" t="n">
        <f aca="false">N389*'Model Inputs &amp; Assumptions'!$G$40*'Model Inputs &amp; Assumptions'!$H$40</f>
        <v>25099.6936643311</v>
      </c>
      <c r="Q389" s="50" t="n">
        <f aca="false">SUMIFS('Activation Detail'!$I$4:$I$4003,'Activation Detail'!$A$4:$A$4003,$A389,'Activation Detail'!$N$4:$N$4003,N$2)</f>
        <v>17521.2955</v>
      </c>
      <c r="R389" s="51" t="n">
        <f aca="false">IFERROR(P389/Q389,0)</f>
        <v>1.43252499019443</v>
      </c>
      <c r="S389" s="49" t="n">
        <f aca="false">IFERROR(Q389/N389,0)</f>
        <v>133.505524377654</v>
      </c>
      <c r="T389" s="48" t="n">
        <f aca="false">SUMIFS('Activation Detail'!$H$4:$H$4003,'Activation Detail'!$A$4:$A$4003,$A389,'Activation Detail'!$N$4:$N$4003,T$2)</f>
        <v>144.5376280759</v>
      </c>
      <c r="U389" s="50" t="n">
        <f aca="false">T389*'Model Inputs &amp; Assumptions'!$D$41*'Model Inputs &amp; Assumptions'!$H$41</f>
        <v>1040670.92214648</v>
      </c>
      <c r="V389" s="50" t="n">
        <f aca="false">T389*'Model Inputs &amp; Assumptions'!$G$41*'Model Inputs &amp; Assumptions'!$H$41</f>
        <v>22946.7938333299</v>
      </c>
      <c r="W389" s="50" t="n">
        <f aca="false">SUMIFS('Activation Detail'!$I$4:$I$4003,'Activation Detail'!$A$4:$A$4003,$A389,'Activation Detail'!$N$4:$N$4003,T$2)</f>
        <v>16743.297102</v>
      </c>
      <c r="X389" s="51" t="n">
        <f aca="false">IFERROR(V389/W389,0)</f>
        <v>1.37050628042603</v>
      </c>
      <c r="Y389" s="49" t="n">
        <f aca="false">IFERROR(W389/T389,0)</f>
        <v>115.84040311778</v>
      </c>
      <c r="Z389" s="48" t="n">
        <f aca="false">SUMIFS('Activation Detail'!$H$4:$H$4003,'Activation Detail'!$A$4:$A$4003,$A389,'Activation Detail'!$N$4:$N$4003,Z$2)</f>
        <v>462.531894632249</v>
      </c>
      <c r="AA389" s="50" t="n">
        <f aca="false">Z389*'Model Inputs &amp; Assumptions'!$D$42*'Model Inputs &amp; Assumptions'!$H$42</f>
        <v>2497672.23101414</v>
      </c>
      <c r="AB389" s="50" t="n">
        <f aca="false">Z389*'Model Inputs &amp; Assumptions'!$G$42*'Model Inputs &amp; Assumptions'!$H$42</f>
        <v>52451.116851297</v>
      </c>
      <c r="AC389" s="50" t="n">
        <f aca="false">SUMIFS('Activation Detail'!$I$4:$I$4003,'Activation Detail'!$A$4:$A$4003,$A389,'Activation Detail'!$N$4:$N$4003,Z$2)</f>
        <v>40015.852</v>
      </c>
      <c r="AD389" s="51" t="n">
        <f aca="false">IFERROR(AB389/AC389,0)</f>
        <v>1.31075846770167</v>
      </c>
      <c r="AE389" s="49" t="n">
        <f aca="false">IFERROR(AC389/Z389,0)</f>
        <v>86.5147949025568</v>
      </c>
    </row>
    <row r="390" customFormat="false" ht="15" hidden="false" customHeight="false" outlineLevel="0" collapsed="false">
      <c r="A390" s="43" t="n">
        <v>387</v>
      </c>
      <c r="B390" s="45" t="n">
        <f aca="false">SUM('Activation Detail'!C390,'Activation Detail'!C890,'Activation Detail'!C1390,'Activation Detail'!C1890,'Activation Detail'!C2390,'Activation Detail'!C2890,'Activation Detail'!C3390,'Activation Detail'!C3890)</f>
        <v>4845297</v>
      </c>
      <c r="C390" s="45" t="n">
        <f aca="false">SUM('Activation Detail'!E390,'Activation Detail'!E890,'Activation Detail'!E1390,'Activation Detail'!E1890,'Activation Detail'!E2390,'Activation Detail'!E2890,'Activation Detail'!E3390,'Activation Detail'!E3890)</f>
        <v>645643</v>
      </c>
      <c r="D390" s="45" t="n">
        <f aca="false">SUM('Activation Detail'!G390,'Activation Detail'!G890,'Activation Detail'!G1390,'Activation Detail'!G1890,'Activation Detail'!G2390,'Activation Detail'!G2890,'Activation Detail'!G3390,'Activation Detail'!G3890)</f>
        <v>17902</v>
      </c>
      <c r="E390" s="48" t="n">
        <f aca="false">SUM('Activation Detail'!H390,'Activation Detail'!H890,'Activation Detail'!H1390,'Activation Detail'!H1890,'Activation Detail'!H2390,'Activation Detail'!H2890,'Activation Detail'!H3390,'Activation Detail'!H3890)</f>
        <v>846.411983154035</v>
      </c>
      <c r="F390" s="50" t="n">
        <f aca="false">SUM('Activation Detail'!I390,'Activation Detail'!I890,'Activation Detail'!I1390,'Activation Detail'!I1890,'Activation Detail'!I2390,'Activation Detail'!I2890,'Activation Detail'!I3390,'Activation Detail'!I3890)</f>
        <v>84588.07428</v>
      </c>
      <c r="G390" s="50" t="n">
        <f aca="false">SUM('Activation Detail'!J390,'Activation Detail'!J890,'Activation Detail'!J1390,'Activation Detail'!J1890,'Activation Detail'!J2390,'Activation Detail'!J2890,'Activation Detail'!J3390,'Activation Detail'!J3890)</f>
        <v>5167106.56889336</v>
      </c>
      <c r="H390" s="50" t="n">
        <f aca="false">SUM('Activation Detail'!K390,'Activation Detail'!K890,'Activation Detail'!K1390,'Activation Detail'!K1890,'Activation Detail'!K2390,'Activation Detail'!K2890,'Activation Detail'!K3390,'Activation Detail'!K3890)</f>
        <v>110995.46026349</v>
      </c>
      <c r="I390" s="51" t="n">
        <f aca="false">IFERROR(H390/F390,0)</f>
        <v>1.31218805024545</v>
      </c>
      <c r="J390" s="49" t="n">
        <f aca="false">IFERROR(F390/E390,0)</f>
        <v>99.937236196485</v>
      </c>
      <c r="K390" s="46" t="n">
        <f aca="false">IFERROR(C390/B390,0)</f>
        <v>0.133251480765782</v>
      </c>
      <c r="L390" s="47" t="n">
        <f aca="false">IFERROR(D390/B390,0)</f>
        <v>0.00369471675317323</v>
      </c>
      <c r="N390" s="48" t="n">
        <f aca="false">SUMIFS('Activation Detail'!$H$4:$H$4003,'Activation Detail'!$A$4:$A$4003,$A390,'Activation Detail'!$N$4:$N$4003,N$2)</f>
        <v>70.3759062553211</v>
      </c>
      <c r="O390" s="50" t="n">
        <f aca="false">N390*'Model Inputs &amp; Assumptions'!$D$40*'Model Inputs &amp; Assumptions'!$H$40</f>
        <v>598195.203170229</v>
      </c>
      <c r="P390" s="50" t="n">
        <f aca="false">N390*'Model Inputs &amp; Assumptions'!$G$40*'Model Inputs &amp; Assumptions'!$H$40</f>
        <v>13459.3920713302</v>
      </c>
      <c r="Q390" s="50" t="n">
        <f aca="false">SUMIFS('Activation Detail'!$I$4:$I$4003,'Activation Detail'!$A$4:$A$4003,$A390,'Activation Detail'!$N$4:$N$4003,N$2)</f>
        <v>18347.413</v>
      </c>
      <c r="R390" s="51" t="n">
        <f aca="false">IFERROR(P390/Q390,0)</f>
        <v>0.733585278280386</v>
      </c>
      <c r="S390" s="49" t="n">
        <f aca="false">IFERROR(Q390/N390,0)</f>
        <v>260.705886094543</v>
      </c>
      <c r="T390" s="48" t="n">
        <f aca="false">SUMIFS('Activation Detail'!$H$4:$H$4003,'Activation Detail'!$A$4:$A$4003,$A390,'Activation Detail'!$N$4:$N$4003,T$2)</f>
        <v>210.175861372263</v>
      </c>
      <c r="U390" s="50" t="n">
        <f aca="false">T390*'Model Inputs &amp; Assumptions'!$D$41*'Model Inputs &amp; Assumptions'!$H$41</f>
        <v>1513266.20188029</v>
      </c>
      <c r="V390" s="50" t="n">
        <f aca="false">T390*'Model Inputs &amp; Assumptions'!$G$41*'Model Inputs &amp; Assumptions'!$H$41</f>
        <v>33367.5197514604</v>
      </c>
      <c r="W390" s="50" t="n">
        <f aca="false">SUMIFS('Activation Detail'!$I$4:$I$4003,'Activation Detail'!$A$4:$A$4003,$A390,'Activation Detail'!$N$4:$N$4003,T$2)</f>
        <v>19483.86928</v>
      </c>
      <c r="X390" s="51" t="n">
        <f aca="false">IFERROR(V390/W390,0)</f>
        <v>1.71257152631956</v>
      </c>
      <c r="Y390" s="49" t="n">
        <f aca="false">IFERROR(W390/T390,0)</f>
        <v>92.7026974115274</v>
      </c>
      <c r="Z390" s="48" t="n">
        <f aca="false">SUMIFS('Activation Detail'!$H$4:$H$4003,'Activation Detail'!$A$4:$A$4003,$A390,'Activation Detail'!$N$4:$N$4003,Z$2)</f>
        <v>565.860215526451</v>
      </c>
      <c r="AA390" s="50" t="n">
        <f aca="false">Z390*'Model Inputs &amp; Assumptions'!$D$42*'Model Inputs &amp; Assumptions'!$H$42</f>
        <v>3055645.16384284</v>
      </c>
      <c r="AB390" s="50" t="n">
        <f aca="false">Z390*'Model Inputs &amp; Assumptions'!$G$42*'Model Inputs &amp; Assumptions'!$H$42</f>
        <v>64168.5484406995</v>
      </c>
      <c r="AC390" s="50" t="n">
        <f aca="false">SUMIFS('Activation Detail'!$I$4:$I$4003,'Activation Detail'!$A$4:$A$4003,$A390,'Activation Detail'!$N$4:$N$4003,Z$2)</f>
        <v>46756.792</v>
      </c>
      <c r="AD390" s="51" t="n">
        <f aca="false">IFERROR(AB390/AC390,0)</f>
        <v>1.37238988595923</v>
      </c>
      <c r="AE390" s="49" t="n">
        <f aca="false">IFERROR(AC390/Z390,0)</f>
        <v>82.6295800924961</v>
      </c>
    </row>
    <row r="391" customFormat="false" ht="15" hidden="false" customHeight="false" outlineLevel="0" collapsed="false">
      <c r="A391" s="43" t="n">
        <v>388</v>
      </c>
      <c r="B391" s="45" t="n">
        <f aca="false">SUM('Activation Detail'!C391,'Activation Detail'!C891,'Activation Detail'!C1391,'Activation Detail'!C1891,'Activation Detail'!C2391,'Activation Detail'!C2891,'Activation Detail'!C3391,'Activation Detail'!C3891)</f>
        <v>3756965</v>
      </c>
      <c r="C391" s="45" t="n">
        <f aca="false">SUM('Activation Detail'!E391,'Activation Detail'!E891,'Activation Detail'!E1391,'Activation Detail'!E1891,'Activation Detail'!E2391,'Activation Detail'!E2891,'Activation Detail'!E3391,'Activation Detail'!E3891)</f>
        <v>487248</v>
      </c>
      <c r="D391" s="45" t="n">
        <f aca="false">SUM('Activation Detail'!G391,'Activation Detail'!G891,'Activation Detail'!G1391,'Activation Detail'!G1891,'Activation Detail'!G2391,'Activation Detail'!G2891,'Activation Detail'!G3391,'Activation Detail'!G3891)</f>
        <v>15587</v>
      </c>
      <c r="E391" s="48" t="n">
        <f aca="false">SUM('Activation Detail'!H391,'Activation Detail'!H891,'Activation Detail'!H1391,'Activation Detail'!H1891,'Activation Detail'!H2391,'Activation Detail'!H2891,'Activation Detail'!H3391,'Activation Detail'!H3891)</f>
        <v>616.559473430541</v>
      </c>
      <c r="F391" s="50" t="n">
        <f aca="false">SUM('Activation Detail'!I391,'Activation Detail'!I891,'Activation Detail'!I1391,'Activation Detail'!I1891,'Activation Detail'!I2391,'Activation Detail'!I2891,'Activation Detail'!I3391,'Activation Detail'!I3891)</f>
        <v>74595.21327</v>
      </c>
      <c r="G391" s="50" t="n">
        <f aca="false">SUM('Activation Detail'!J391,'Activation Detail'!J891,'Activation Detail'!J1391,'Activation Detail'!J1891,'Activation Detail'!J2391,'Activation Detail'!J2891,'Activation Detail'!J3391,'Activation Detail'!J3891)</f>
        <v>3851865.75110786</v>
      </c>
      <c r="H391" s="50" t="n">
        <f aca="false">SUM('Activation Detail'!K391,'Activation Detail'!K891,'Activation Detail'!K1391,'Activation Detail'!K1891,'Activation Detail'!K2391,'Activation Detail'!K2891,'Activation Detail'!K3391,'Activation Detail'!K3891)</f>
        <v>83061.1863354977</v>
      </c>
      <c r="I391" s="51" t="n">
        <f aca="false">IFERROR(H391/F391,0)</f>
        <v>1.11349217589679</v>
      </c>
      <c r="J391" s="49" t="n">
        <f aca="false">IFERROR(F391/E391,0)</f>
        <v>120.986241367685</v>
      </c>
      <c r="K391" s="46" t="n">
        <f aca="false">IFERROR(C391/B391,0)</f>
        <v>0.129691918876008</v>
      </c>
      <c r="L391" s="47" t="n">
        <f aca="false">IFERROR(D391/B391,0)</f>
        <v>0.00414882757757924</v>
      </c>
      <c r="N391" s="48" t="n">
        <f aca="false">SUMIFS('Activation Detail'!$H$4:$H$4003,'Activation Detail'!$A$4:$A$4003,$A391,'Activation Detail'!$N$4:$N$4003,N$2)</f>
        <v>82.4508704282073</v>
      </c>
      <c r="O391" s="50" t="n">
        <f aca="false">N391*'Model Inputs &amp; Assumptions'!$D$40*'Model Inputs &amp; Assumptions'!$H$40</f>
        <v>700832.398639762</v>
      </c>
      <c r="P391" s="50" t="n">
        <f aca="false">N391*'Model Inputs &amp; Assumptions'!$G$40*'Model Inputs &amp; Assumptions'!$H$40</f>
        <v>15768.7289693946</v>
      </c>
      <c r="Q391" s="50" t="n">
        <f aca="false">SUMIFS('Activation Detail'!$I$4:$I$4003,'Activation Detail'!$A$4:$A$4003,$A391,'Activation Detail'!$N$4:$N$4003,N$2)</f>
        <v>18161.032</v>
      </c>
      <c r="R391" s="51" t="n">
        <f aca="false">IFERROR(P391/Q391,0)</f>
        <v>0.868272737441057</v>
      </c>
      <c r="S391" s="49" t="n">
        <f aca="false">IFERROR(Q391/N391,0)</f>
        <v>220.264891148886</v>
      </c>
      <c r="T391" s="48" t="n">
        <f aca="false">SUMIFS('Activation Detail'!$H$4:$H$4003,'Activation Detail'!$A$4:$A$4003,$A391,'Activation Detail'!$N$4:$N$4003,T$2)</f>
        <v>148.248275697497</v>
      </c>
      <c r="U391" s="50" t="n">
        <f aca="false">T391*'Model Inputs &amp; Assumptions'!$D$41*'Model Inputs &amp; Assumptions'!$H$41</f>
        <v>1067387.58502198</v>
      </c>
      <c r="V391" s="50" t="n">
        <f aca="false">T391*'Model Inputs &amp; Assumptions'!$G$41*'Model Inputs &amp; Assumptions'!$H$41</f>
        <v>23535.8962497346</v>
      </c>
      <c r="W391" s="50" t="n">
        <f aca="false">SUMIFS('Activation Detail'!$I$4:$I$4003,'Activation Detail'!$A$4:$A$4003,$A391,'Activation Detail'!$N$4:$N$4003,T$2)</f>
        <v>21257.18527</v>
      </c>
      <c r="X391" s="51" t="n">
        <f aca="false">IFERROR(V391/W391,0)</f>
        <v>1.10719721123899</v>
      </c>
      <c r="Y391" s="49" t="n">
        <f aca="false">IFERROR(W391/T391,0)</f>
        <v>143.389089485099</v>
      </c>
      <c r="Z391" s="48" t="n">
        <f aca="false">SUMIFS('Activation Detail'!$H$4:$H$4003,'Activation Detail'!$A$4:$A$4003,$A391,'Activation Detail'!$N$4:$N$4003,Z$2)</f>
        <v>385.860327304837</v>
      </c>
      <c r="AA391" s="50" t="n">
        <f aca="false">Z391*'Model Inputs &amp; Assumptions'!$D$42*'Model Inputs &amp; Assumptions'!$H$42</f>
        <v>2083645.76744612</v>
      </c>
      <c r="AB391" s="50" t="n">
        <f aca="false">Z391*'Model Inputs &amp; Assumptions'!$G$42*'Model Inputs &amp; Assumptions'!$H$42</f>
        <v>43756.5611163685</v>
      </c>
      <c r="AC391" s="50" t="n">
        <f aca="false">SUMIFS('Activation Detail'!$I$4:$I$4003,'Activation Detail'!$A$4:$A$4003,$A391,'Activation Detail'!$N$4:$N$4003,Z$2)</f>
        <v>35176.996</v>
      </c>
      <c r="AD391" s="51" t="n">
        <f aca="false">IFERROR(AB391/AC391,0)</f>
        <v>1.24389703760857</v>
      </c>
      <c r="AE391" s="49" t="n">
        <f aca="false">IFERROR(AC391/Z391,0)</f>
        <v>91.1651017499125</v>
      </c>
    </row>
    <row r="392" customFormat="false" ht="15" hidden="false" customHeight="false" outlineLevel="0" collapsed="false">
      <c r="A392" s="43" t="n">
        <v>389</v>
      </c>
      <c r="B392" s="45" t="n">
        <f aca="false">SUM('Activation Detail'!C392,'Activation Detail'!C892,'Activation Detail'!C1392,'Activation Detail'!C1892,'Activation Detail'!C2392,'Activation Detail'!C2892,'Activation Detail'!C3392,'Activation Detail'!C3892)</f>
        <v>4616214</v>
      </c>
      <c r="C392" s="45" t="n">
        <f aca="false">SUM('Activation Detail'!E392,'Activation Detail'!E892,'Activation Detail'!E1392,'Activation Detail'!E1892,'Activation Detail'!E2392,'Activation Detail'!E2892,'Activation Detail'!E3392,'Activation Detail'!E3892)</f>
        <v>499159</v>
      </c>
      <c r="D392" s="45" t="n">
        <f aca="false">SUM('Activation Detail'!G392,'Activation Detail'!G892,'Activation Detail'!G1392,'Activation Detail'!G1892,'Activation Detail'!G2392,'Activation Detail'!G2892,'Activation Detail'!G3392,'Activation Detail'!G3892)</f>
        <v>16627</v>
      </c>
      <c r="E392" s="48" t="n">
        <f aca="false">SUM('Activation Detail'!H392,'Activation Detail'!H892,'Activation Detail'!H1392,'Activation Detail'!H1892,'Activation Detail'!H2392,'Activation Detail'!H2892,'Activation Detail'!H3392,'Activation Detail'!H3892)</f>
        <v>1017.82862022618</v>
      </c>
      <c r="F392" s="50" t="n">
        <f aca="false">SUM('Activation Detail'!I392,'Activation Detail'!I892,'Activation Detail'!I1392,'Activation Detail'!I1892,'Activation Detail'!I2392,'Activation Detail'!I2892,'Activation Detail'!I3392,'Activation Detail'!I3892)</f>
        <v>76415.602758</v>
      </c>
      <c r="G392" s="50" t="n">
        <f aca="false">SUM('Activation Detail'!J392,'Activation Detail'!J892,'Activation Detail'!J1392,'Activation Detail'!J1892,'Activation Detail'!J2392,'Activation Detail'!J2892,'Activation Detail'!J3392,'Activation Detail'!J3892)</f>
        <v>6158306.35902181</v>
      </c>
      <c r="H392" s="50" t="n">
        <f aca="false">SUM('Activation Detail'!K392,'Activation Detail'!K892,'Activation Detail'!K1392,'Activation Detail'!K1892,'Activation Detail'!K2392,'Activation Detail'!K2892,'Activation Detail'!K3392,'Activation Detail'!K3892)</f>
        <v>132080.768462319</v>
      </c>
      <c r="I392" s="51" t="n">
        <f aca="false">IFERROR(H392/F392,0)</f>
        <v>1.72845287736073</v>
      </c>
      <c r="J392" s="49" t="n">
        <f aca="false">IFERROR(F392/E392,0)</f>
        <v>75.0770819757645</v>
      </c>
      <c r="K392" s="46" t="n">
        <f aca="false">IFERROR(C392/B392,0)</f>
        <v>0.1081316854028</v>
      </c>
      <c r="L392" s="47" t="n">
        <f aca="false">IFERROR(D392/B392,0)</f>
        <v>0.00360186941073356</v>
      </c>
      <c r="N392" s="48" t="n">
        <f aca="false">SUMIFS('Activation Detail'!$H$4:$H$4003,'Activation Detail'!$A$4:$A$4003,$A392,'Activation Detail'!$N$4:$N$4003,N$2)</f>
        <v>89.6247344470367</v>
      </c>
      <c r="O392" s="50" t="n">
        <f aca="false">N392*'Model Inputs &amp; Assumptions'!$D$40*'Model Inputs &amp; Assumptions'!$H$40</f>
        <v>761810.242799812</v>
      </c>
      <c r="P392" s="50" t="n">
        <f aca="false">N392*'Model Inputs &amp; Assumptions'!$G$40*'Model Inputs &amp; Assumptions'!$H$40</f>
        <v>17140.7304629958</v>
      </c>
      <c r="Q392" s="50" t="n">
        <f aca="false">SUMIFS('Activation Detail'!$I$4:$I$4003,'Activation Detail'!$A$4:$A$4003,$A392,'Activation Detail'!$N$4:$N$4003,N$2)</f>
        <v>18936.235</v>
      </c>
      <c r="R392" s="51" t="n">
        <f aca="false">IFERROR(P392/Q392,0)</f>
        <v>0.905181545486512</v>
      </c>
      <c r="S392" s="49" t="n">
        <f aca="false">IFERROR(Q392/N392,0)</f>
        <v>211.283582783615</v>
      </c>
      <c r="T392" s="48" t="n">
        <f aca="false">SUMIFS('Activation Detail'!$H$4:$H$4003,'Activation Detail'!$A$4:$A$4003,$A392,'Activation Detail'!$N$4:$N$4003,T$2)</f>
        <v>213.441740563691</v>
      </c>
      <c r="U392" s="50" t="n">
        <f aca="false">T392*'Model Inputs &amp; Assumptions'!$D$41*'Model Inputs &amp; Assumptions'!$H$41</f>
        <v>1536780.53205857</v>
      </c>
      <c r="V392" s="50" t="n">
        <f aca="false">T392*'Model Inputs &amp; Assumptions'!$G$41*'Model Inputs &amp; Assumptions'!$H$41</f>
        <v>33886.0107318916</v>
      </c>
      <c r="W392" s="50" t="n">
        <f aca="false">SUMIFS('Activation Detail'!$I$4:$I$4003,'Activation Detail'!$A$4:$A$4003,$A392,'Activation Detail'!$N$4:$N$4003,T$2)</f>
        <v>17014.739758</v>
      </c>
      <c r="X392" s="51" t="n">
        <f aca="false">IFERROR(V392/W392,0)</f>
        <v>1.9915679707037</v>
      </c>
      <c r="Y392" s="49" t="n">
        <f aca="false">IFERROR(W392/T392,0)</f>
        <v>79.7160841785902</v>
      </c>
      <c r="Z392" s="48" t="n">
        <f aca="false">SUMIFS('Activation Detail'!$H$4:$H$4003,'Activation Detail'!$A$4:$A$4003,$A392,'Activation Detail'!$N$4:$N$4003,Z$2)</f>
        <v>714.762145215449</v>
      </c>
      <c r="AA392" s="50" t="n">
        <f aca="false">Z392*'Model Inputs &amp; Assumptions'!$D$42*'Model Inputs &amp; Assumptions'!$H$42</f>
        <v>3859715.58416343</v>
      </c>
      <c r="AB392" s="50" t="n">
        <f aca="false">Z392*'Model Inputs &amp; Assumptions'!$G$42*'Model Inputs &amp; Assumptions'!$H$42</f>
        <v>81054.0272674319</v>
      </c>
      <c r="AC392" s="50" t="n">
        <f aca="false">SUMIFS('Activation Detail'!$I$4:$I$4003,'Activation Detail'!$A$4:$A$4003,$A392,'Activation Detail'!$N$4:$N$4003,Z$2)</f>
        <v>40464.628</v>
      </c>
      <c r="AD392" s="51" t="n">
        <f aca="false">IFERROR(AB392/AC392,0)</f>
        <v>2.00308346508046</v>
      </c>
      <c r="AE392" s="49" t="n">
        <f aca="false">IFERROR(AC392/Z392,0)</f>
        <v>56.6127183299597</v>
      </c>
    </row>
    <row r="393" customFormat="false" ht="15" hidden="false" customHeight="false" outlineLevel="0" collapsed="false">
      <c r="A393" s="43" t="n">
        <v>390</v>
      </c>
      <c r="B393" s="45" t="n">
        <f aca="false">SUM('Activation Detail'!C393,'Activation Detail'!C893,'Activation Detail'!C1393,'Activation Detail'!C1893,'Activation Detail'!C2393,'Activation Detail'!C2893,'Activation Detail'!C3393,'Activation Detail'!C3893)</f>
        <v>4818575</v>
      </c>
      <c r="C393" s="45" t="n">
        <f aca="false">SUM('Activation Detail'!E393,'Activation Detail'!E893,'Activation Detail'!E1393,'Activation Detail'!E1893,'Activation Detail'!E2393,'Activation Detail'!E2893,'Activation Detail'!E3393,'Activation Detail'!E3893)</f>
        <v>627294</v>
      </c>
      <c r="D393" s="45" t="n">
        <f aca="false">SUM('Activation Detail'!G393,'Activation Detail'!G893,'Activation Detail'!G1393,'Activation Detail'!G1893,'Activation Detail'!G2393,'Activation Detail'!G2893,'Activation Detail'!G3393,'Activation Detail'!G3893)</f>
        <v>19069</v>
      </c>
      <c r="E393" s="48" t="n">
        <f aca="false">SUM('Activation Detail'!H393,'Activation Detail'!H893,'Activation Detail'!H1393,'Activation Detail'!H1893,'Activation Detail'!H2393,'Activation Detail'!H2893,'Activation Detail'!H3393,'Activation Detail'!H3893)</f>
        <v>744.284037514153</v>
      </c>
      <c r="F393" s="50" t="n">
        <f aca="false">SUM('Activation Detail'!I393,'Activation Detail'!I893,'Activation Detail'!I1393,'Activation Detail'!I1893,'Activation Detail'!I2393,'Activation Detail'!I2893,'Activation Detail'!I3393,'Activation Detail'!I3893)</f>
        <v>81043.087854</v>
      </c>
      <c r="G393" s="50" t="n">
        <f aca="false">SUM('Activation Detail'!J393,'Activation Detail'!J893,'Activation Detail'!J1393,'Activation Detail'!J1893,'Activation Detail'!J2393,'Activation Detail'!J2893,'Activation Detail'!J3393,'Activation Detail'!J3893)</f>
        <v>4626374.73568661</v>
      </c>
      <c r="H393" s="50" t="n">
        <f aca="false">SUM('Activation Detail'!K393,'Activation Detail'!K893,'Activation Detail'!K1393,'Activation Detail'!K1893,'Activation Detail'!K2393,'Activation Detail'!K2893,'Activation Detail'!K3393,'Activation Detail'!K3893)</f>
        <v>99682.954386086</v>
      </c>
      <c r="I393" s="51" t="n">
        <f aca="false">IFERROR(H393/F393,0)</f>
        <v>1.22999946109736</v>
      </c>
      <c r="J393" s="49" t="n">
        <f aca="false">IFERROR(F393/E393,0)</f>
        <v>108.887311522463</v>
      </c>
      <c r="K393" s="46" t="n">
        <f aca="false">IFERROR(C393/B393,0)</f>
        <v>0.130182470958738</v>
      </c>
      <c r="L393" s="47" t="n">
        <f aca="false">IFERROR(D393/B393,0)</f>
        <v>0.00395739404284462</v>
      </c>
      <c r="N393" s="48" t="n">
        <f aca="false">SUMIFS('Activation Detail'!$H$4:$H$4003,'Activation Detail'!$A$4:$A$4003,$A393,'Activation Detail'!$N$4:$N$4003,N$2)</f>
        <v>78.9888236870972</v>
      </c>
      <c r="O393" s="50" t="n">
        <f aca="false">N393*'Model Inputs &amp; Assumptions'!$D$40*'Model Inputs &amp; Assumptions'!$H$40</f>
        <v>671405.001340326</v>
      </c>
      <c r="P393" s="50" t="n">
        <f aca="false">N393*'Model Inputs &amp; Assumptions'!$G$40*'Model Inputs &amp; Assumptions'!$H$40</f>
        <v>15106.6125301573</v>
      </c>
      <c r="Q393" s="50" t="n">
        <f aca="false">SUMIFS('Activation Detail'!$I$4:$I$4003,'Activation Detail'!$A$4:$A$4003,$A393,'Activation Detail'!$N$4:$N$4003,N$2)</f>
        <v>18467.3055</v>
      </c>
      <c r="R393" s="51" t="n">
        <f aca="false">IFERROR(P393/Q393,0)</f>
        <v>0.818019311488476</v>
      </c>
      <c r="S393" s="49" t="n">
        <f aca="false">IFERROR(Q393/N393,0)</f>
        <v>233.796436482654</v>
      </c>
      <c r="T393" s="48" t="n">
        <f aca="false">SUMIFS('Activation Detail'!$H$4:$H$4003,'Activation Detail'!$A$4:$A$4003,$A393,'Activation Detail'!$N$4:$N$4003,T$2)</f>
        <v>201.319766488987</v>
      </c>
      <c r="U393" s="50" t="n">
        <f aca="false">T393*'Model Inputs &amp; Assumptions'!$D$41*'Model Inputs &amp; Assumptions'!$H$41</f>
        <v>1449502.31872071</v>
      </c>
      <c r="V393" s="50" t="n">
        <f aca="false">T393*'Model Inputs &amp; Assumptions'!$G$41*'Model Inputs &amp; Assumptions'!$H$41</f>
        <v>31961.5261277916</v>
      </c>
      <c r="W393" s="50" t="n">
        <f aca="false">SUMIFS('Activation Detail'!$I$4:$I$4003,'Activation Detail'!$A$4:$A$4003,$A393,'Activation Detail'!$N$4:$N$4003,T$2)</f>
        <v>20801.558354</v>
      </c>
      <c r="X393" s="51" t="n">
        <f aca="false">IFERROR(V393/W393,0)</f>
        <v>1.53649671740318</v>
      </c>
      <c r="Y393" s="49" t="n">
        <f aca="false">IFERROR(W393/T393,0)</f>
        <v>103.325961065715</v>
      </c>
      <c r="Z393" s="48" t="n">
        <f aca="false">SUMIFS('Activation Detail'!$H$4:$H$4003,'Activation Detail'!$A$4:$A$4003,$A393,'Activation Detail'!$N$4:$N$4003,Z$2)</f>
        <v>463.975447338069</v>
      </c>
      <c r="AA393" s="50" t="n">
        <f aca="false">Z393*'Model Inputs &amp; Assumptions'!$D$42*'Model Inputs &amp; Assumptions'!$H$42</f>
        <v>2505467.41562557</v>
      </c>
      <c r="AB393" s="50" t="n">
        <f aca="false">Z393*'Model Inputs &amp; Assumptions'!$G$42*'Model Inputs &amp; Assumptions'!$H$42</f>
        <v>52614.815728137</v>
      </c>
      <c r="AC393" s="50" t="n">
        <f aca="false">SUMIFS('Activation Detail'!$I$4:$I$4003,'Activation Detail'!$A$4:$A$4003,$A393,'Activation Detail'!$N$4:$N$4003,Z$2)</f>
        <v>41774.224</v>
      </c>
      <c r="AD393" s="51" t="n">
        <f aca="false">IFERROR(AB393/AC393,0)</f>
        <v>1.25950432324337</v>
      </c>
      <c r="AE393" s="49" t="n">
        <f aca="false">IFERROR(AC393/Z393,0)</f>
        <v>90.0354194164111</v>
      </c>
    </row>
    <row r="394" customFormat="false" ht="15" hidden="false" customHeight="false" outlineLevel="0" collapsed="false">
      <c r="A394" s="43" t="n">
        <v>391</v>
      </c>
      <c r="B394" s="45" t="n">
        <f aca="false">SUM('Activation Detail'!C394,'Activation Detail'!C894,'Activation Detail'!C1394,'Activation Detail'!C1894,'Activation Detail'!C2394,'Activation Detail'!C2894,'Activation Detail'!C3394,'Activation Detail'!C3894)</f>
        <v>4432599</v>
      </c>
      <c r="C394" s="45" t="n">
        <f aca="false">SUM('Activation Detail'!E394,'Activation Detail'!E894,'Activation Detail'!E1394,'Activation Detail'!E1894,'Activation Detail'!E2394,'Activation Detail'!E2894,'Activation Detail'!E3394,'Activation Detail'!E3894)</f>
        <v>247936</v>
      </c>
      <c r="D394" s="45" t="n">
        <f aca="false">SUM('Activation Detail'!G394,'Activation Detail'!G894,'Activation Detail'!G1394,'Activation Detail'!G1894,'Activation Detail'!G2394,'Activation Detail'!G2894,'Activation Detail'!G3394,'Activation Detail'!G3894)</f>
        <v>13367</v>
      </c>
      <c r="E394" s="48" t="n">
        <f aca="false">SUM('Activation Detail'!H394,'Activation Detail'!H894,'Activation Detail'!H1394,'Activation Detail'!H1894,'Activation Detail'!H2394,'Activation Detail'!H2894,'Activation Detail'!H3394,'Activation Detail'!H3894)</f>
        <v>493.547459202787</v>
      </c>
      <c r="F394" s="50" t="n">
        <f aca="false">SUM('Activation Detail'!I394,'Activation Detail'!I894,'Activation Detail'!I1394,'Activation Detail'!I1894,'Activation Detail'!I2394,'Activation Detail'!I2894,'Activation Detail'!I3394,'Activation Detail'!I3894)</f>
        <v>75942.117972</v>
      </c>
      <c r="G394" s="50" t="n">
        <f aca="false">SUM('Activation Detail'!J394,'Activation Detail'!J894,'Activation Detail'!J1394,'Activation Detail'!J1894,'Activation Detail'!J2394,'Activation Detail'!J2894,'Activation Detail'!J3394,'Activation Detail'!J3894)</f>
        <v>3371532.2318863</v>
      </c>
      <c r="H394" s="50" t="n">
        <f aca="false">SUM('Activation Detail'!K394,'Activation Detail'!K894,'Activation Detail'!K1394,'Activation Detail'!K1894,'Activation Detail'!K2394,'Activation Detail'!K2894,'Activation Detail'!K3394,'Activation Detail'!K3894)</f>
        <v>73729.8981451357</v>
      </c>
      <c r="I394" s="51" t="n">
        <f aca="false">IFERROR(H394/F394,0)</f>
        <v>0.970869658551267</v>
      </c>
      <c r="J394" s="49" t="n">
        <f aca="false">IFERROR(F394/E394,0)</f>
        <v>153.869940075605</v>
      </c>
      <c r="K394" s="46" t="n">
        <f aca="false">IFERROR(C394/B394,0)</f>
        <v>0.0559346785035145</v>
      </c>
      <c r="L394" s="47" t="n">
        <f aca="false">IFERROR(D394/B394,0)</f>
        <v>0.00301561228525296</v>
      </c>
      <c r="N394" s="48" t="n">
        <f aca="false">SUMIFS('Activation Detail'!$H$4:$H$4003,'Activation Detail'!$A$4:$A$4003,$A394,'Activation Detail'!$N$4:$N$4003,N$2)</f>
        <v>144.658235850859</v>
      </c>
      <c r="O394" s="50" t="n">
        <f aca="false">N394*'Model Inputs &amp; Assumptions'!$D$40*'Model Inputs &amp; Assumptions'!$H$40</f>
        <v>1229595.0047323</v>
      </c>
      <c r="P394" s="50" t="n">
        <f aca="false">N394*'Model Inputs &amp; Assumptions'!$G$40*'Model Inputs &amp; Assumptions'!$H$40</f>
        <v>27665.8876064767</v>
      </c>
      <c r="Q394" s="50" t="n">
        <f aca="false">SUMIFS('Activation Detail'!$I$4:$I$4003,'Activation Detail'!$A$4:$A$4003,$A394,'Activation Detail'!$N$4:$N$4003,N$2)</f>
        <v>17729.627</v>
      </c>
      <c r="R394" s="51" t="n">
        <f aca="false">IFERROR(P394/Q394,0)</f>
        <v>1.56043258024981</v>
      </c>
      <c r="S394" s="49" t="n">
        <f aca="false">IFERROR(Q394/N394,0)</f>
        <v>122.562167965874</v>
      </c>
      <c r="T394" s="48" t="n">
        <f aca="false">SUMIFS('Activation Detail'!$H$4:$H$4003,'Activation Detail'!$A$4:$A$4003,$A394,'Activation Detail'!$N$4:$N$4003,T$2)</f>
        <v>143.297456140881</v>
      </c>
      <c r="U394" s="50" t="n">
        <f aca="false">T394*'Model Inputs &amp; Assumptions'!$D$41*'Model Inputs &amp; Assumptions'!$H$41</f>
        <v>1031741.68421434</v>
      </c>
      <c r="V394" s="50" t="n">
        <f aca="false">T394*'Model Inputs &amp; Assumptions'!$G$41*'Model Inputs &amp; Assumptions'!$H$41</f>
        <v>22749.9041369263</v>
      </c>
      <c r="W394" s="50" t="n">
        <f aca="false">SUMIFS('Activation Detail'!$I$4:$I$4003,'Activation Detail'!$A$4:$A$4003,$A394,'Activation Detail'!$N$4:$N$4003,T$2)</f>
        <v>14978.226972</v>
      </c>
      <c r="X394" s="51" t="n">
        <f aca="false">IFERROR(V394/W394,0)</f>
        <v>1.51886496175111</v>
      </c>
      <c r="Y394" s="49" t="n">
        <f aca="false">IFERROR(W394/T394,0)</f>
        <v>104.525421283643</v>
      </c>
      <c r="Z394" s="48" t="n">
        <f aca="false">SUMIFS('Activation Detail'!$H$4:$H$4003,'Activation Detail'!$A$4:$A$4003,$A394,'Activation Detail'!$N$4:$N$4003,Z$2)</f>
        <v>205.591767211047</v>
      </c>
      <c r="AA394" s="50" t="n">
        <f aca="false">Z394*'Model Inputs &amp; Assumptions'!$D$42*'Model Inputs &amp; Assumptions'!$H$42</f>
        <v>1110195.54293965</v>
      </c>
      <c r="AB394" s="50" t="n">
        <f aca="false">Z394*'Model Inputs &amp; Assumptions'!$G$42*'Model Inputs &amp; Assumptions'!$H$42</f>
        <v>23314.1064017327</v>
      </c>
      <c r="AC394" s="50" t="n">
        <f aca="false">SUMIFS('Activation Detail'!$I$4:$I$4003,'Activation Detail'!$A$4:$A$4003,$A394,'Activation Detail'!$N$4:$N$4003,Z$2)</f>
        <v>43234.264</v>
      </c>
      <c r="AD394" s="51" t="n">
        <f aca="false">IFERROR(AB394/AC394,0)</f>
        <v>0.539250683248192</v>
      </c>
      <c r="AE394" s="49" t="n">
        <f aca="false">IFERROR(AC394/Z394,0)</f>
        <v>210.29180587576</v>
      </c>
    </row>
    <row r="395" customFormat="false" ht="15" hidden="false" customHeight="false" outlineLevel="0" collapsed="false">
      <c r="A395" s="43" t="n">
        <v>392</v>
      </c>
      <c r="B395" s="45" t="n">
        <f aca="false">SUM('Activation Detail'!C395,'Activation Detail'!C895,'Activation Detail'!C1395,'Activation Detail'!C1895,'Activation Detail'!C2395,'Activation Detail'!C2895,'Activation Detail'!C3395,'Activation Detail'!C3895)</f>
        <v>4706177</v>
      </c>
      <c r="C395" s="45" t="n">
        <f aca="false">SUM('Activation Detail'!E395,'Activation Detail'!E895,'Activation Detail'!E1395,'Activation Detail'!E1895,'Activation Detail'!E2395,'Activation Detail'!E2895,'Activation Detail'!E3395,'Activation Detail'!E3895)</f>
        <v>386330</v>
      </c>
      <c r="D395" s="45" t="n">
        <f aca="false">SUM('Activation Detail'!G395,'Activation Detail'!G895,'Activation Detail'!G1395,'Activation Detail'!G1895,'Activation Detail'!G2395,'Activation Detail'!G2895,'Activation Detail'!G3395,'Activation Detail'!G3895)</f>
        <v>21560</v>
      </c>
      <c r="E395" s="48" t="n">
        <f aca="false">SUM('Activation Detail'!H395,'Activation Detail'!H895,'Activation Detail'!H1395,'Activation Detail'!H1895,'Activation Detail'!H2395,'Activation Detail'!H2895,'Activation Detail'!H3395,'Activation Detail'!H3895)</f>
        <v>807.483012946389</v>
      </c>
      <c r="F395" s="50" t="n">
        <f aca="false">SUM('Activation Detail'!I395,'Activation Detail'!I895,'Activation Detail'!I1395,'Activation Detail'!I1895,'Activation Detail'!I2395,'Activation Detail'!I2895,'Activation Detail'!I3395,'Activation Detail'!I3895)</f>
        <v>82258.17189</v>
      </c>
      <c r="G395" s="50" t="n">
        <f aca="false">SUM('Activation Detail'!J395,'Activation Detail'!J895,'Activation Detail'!J1395,'Activation Detail'!J1895,'Activation Detail'!J2395,'Activation Detail'!J2895,'Activation Detail'!J3395,'Activation Detail'!J3895)</f>
        <v>4934820.20024736</v>
      </c>
      <c r="H395" s="50" t="n">
        <f aca="false">SUM('Activation Detail'!K395,'Activation Detail'!K895,'Activation Detail'!K1395,'Activation Detail'!K1895,'Activation Detail'!K2395,'Activation Detail'!K2895,'Activation Detail'!K3395,'Activation Detail'!K3895)</f>
        <v>106024.731686711</v>
      </c>
      <c r="I395" s="51" t="n">
        <f aca="false">IFERROR(H395/F395,0)</f>
        <v>1.28892642822762</v>
      </c>
      <c r="J395" s="49" t="n">
        <f aca="false">IFERROR(F395/E395,0)</f>
        <v>101.86984812207</v>
      </c>
      <c r="K395" s="46" t="n">
        <f aca="false">IFERROR(C395/B395,0)</f>
        <v>0.0820899851408054</v>
      </c>
      <c r="L395" s="47" t="n">
        <f aca="false">IFERROR(D395/B395,0)</f>
        <v>0.0045812131587911</v>
      </c>
      <c r="N395" s="48" t="n">
        <f aca="false">SUMIFS('Activation Detail'!$H$4:$H$4003,'Activation Detail'!$A$4:$A$4003,$A395,'Activation Detail'!$N$4:$N$4003,N$2)</f>
        <v>70.4541699943122</v>
      </c>
      <c r="O395" s="50" t="n">
        <f aca="false">N395*'Model Inputs &amp; Assumptions'!$D$40*'Model Inputs &amp; Assumptions'!$H$40</f>
        <v>598860.444951653</v>
      </c>
      <c r="P395" s="50" t="n">
        <f aca="false">N395*'Model Inputs &amp; Assumptions'!$G$40*'Model Inputs &amp; Assumptions'!$H$40</f>
        <v>13474.3600114122</v>
      </c>
      <c r="Q395" s="50" t="n">
        <f aca="false">SUMIFS('Activation Detail'!$I$4:$I$4003,'Activation Detail'!$A$4:$A$4003,$A395,'Activation Detail'!$N$4:$N$4003,N$2)</f>
        <v>17828.271</v>
      </c>
      <c r="R395" s="51" t="n">
        <f aca="false">IFERROR(P395/Q395,0)</f>
        <v>0.755786133799077</v>
      </c>
      <c r="S395" s="49" t="n">
        <f aca="false">IFERROR(Q395/N395,0)</f>
        <v>253.047775616962</v>
      </c>
      <c r="T395" s="48" t="n">
        <f aca="false">SUMIFS('Activation Detail'!$H$4:$H$4003,'Activation Detail'!$A$4:$A$4003,$A395,'Activation Detail'!$N$4:$N$4003,T$2)</f>
        <v>197.78000186361</v>
      </c>
      <c r="U395" s="50" t="n">
        <f aca="false">T395*'Model Inputs &amp; Assumptions'!$D$41*'Model Inputs &amp; Assumptions'!$H$41</f>
        <v>1424016.01341799</v>
      </c>
      <c r="V395" s="50" t="n">
        <f aca="false">T395*'Model Inputs &amp; Assumptions'!$G$41*'Model Inputs &amp; Assumptions'!$H$41</f>
        <v>31399.5530958667</v>
      </c>
      <c r="W395" s="50" t="n">
        <f aca="false">SUMIFS('Activation Detail'!$I$4:$I$4003,'Activation Detail'!$A$4:$A$4003,$A395,'Activation Detail'!$N$4:$N$4003,T$2)</f>
        <v>19077.74489</v>
      </c>
      <c r="X395" s="51" t="n">
        <f aca="false">IFERROR(V395/W395,0)</f>
        <v>1.64587341307438</v>
      </c>
      <c r="Y395" s="49" t="n">
        <f aca="false">IFERROR(W395/T395,0)</f>
        <v>96.4594231481307</v>
      </c>
      <c r="Z395" s="48" t="n">
        <f aca="false">SUMIFS('Activation Detail'!$H$4:$H$4003,'Activation Detail'!$A$4:$A$4003,$A395,'Activation Detail'!$N$4:$N$4003,Z$2)</f>
        <v>539.248841088467</v>
      </c>
      <c r="AA395" s="50" t="n">
        <f aca="false">Z395*'Model Inputs &amp; Assumptions'!$D$42*'Model Inputs &amp; Assumptions'!$H$42</f>
        <v>2911943.74187772</v>
      </c>
      <c r="AB395" s="50" t="n">
        <f aca="false">Z395*'Model Inputs &amp; Assumptions'!$G$42*'Model Inputs &amp; Assumptions'!$H$42</f>
        <v>61150.8185794321</v>
      </c>
      <c r="AC395" s="50" t="n">
        <f aca="false">SUMIFS('Activation Detail'!$I$4:$I$4003,'Activation Detail'!$A$4:$A$4003,$A395,'Activation Detail'!$N$4:$N$4003,Z$2)</f>
        <v>45352.156</v>
      </c>
      <c r="AD395" s="51" t="n">
        <f aca="false">IFERROR(AB395/AC395,0)</f>
        <v>1.34835527068288</v>
      </c>
      <c r="AE395" s="49" t="n">
        <f aca="false">IFERROR(AC395/Z395,0)</f>
        <v>84.1024635462494</v>
      </c>
    </row>
    <row r="396" customFormat="false" ht="15" hidden="false" customHeight="false" outlineLevel="0" collapsed="false">
      <c r="A396" s="43" t="n">
        <v>393</v>
      </c>
      <c r="B396" s="45" t="n">
        <f aca="false">SUM('Activation Detail'!C396,'Activation Detail'!C896,'Activation Detail'!C1396,'Activation Detail'!C1896,'Activation Detail'!C2396,'Activation Detail'!C2896,'Activation Detail'!C3396,'Activation Detail'!C3896)</f>
        <v>4665060</v>
      </c>
      <c r="C396" s="45" t="n">
        <f aca="false">SUM('Activation Detail'!E396,'Activation Detail'!E896,'Activation Detail'!E1396,'Activation Detail'!E1896,'Activation Detail'!E2396,'Activation Detail'!E2896,'Activation Detail'!E3396,'Activation Detail'!E3896)</f>
        <v>311741</v>
      </c>
      <c r="D396" s="45" t="n">
        <f aca="false">SUM('Activation Detail'!G396,'Activation Detail'!G896,'Activation Detail'!G1396,'Activation Detail'!G1896,'Activation Detail'!G2396,'Activation Detail'!G2896,'Activation Detail'!G3396,'Activation Detail'!G3896)</f>
        <v>19868</v>
      </c>
      <c r="E396" s="48" t="n">
        <f aca="false">SUM('Activation Detail'!H396,'Activation Detail'!H896,'Activation Detail'!H1396,'Activation Detail'!H1896,'Activation Detail'!H2396,'Activation Detail'!H2896,'Activation Detail'!H3396,'Activation Detail'!H3896)</f>
        <v>810.05432705918</v>
      </c>
      <c r="F396" s="50" t="n">
        <f aca="false">SUM('Activation Detail'!I396,'Activation Detail'!I896,'Activation Detail'!I1396,'Activation Detail'!I1896,'Activation Detail'!I2396,'Activation Detail'!I2896,'Activation Detail'!I3396,'Activation Detail'!I3896)</f>
        <v>75230.663624</v>
      </c>
      <c r="G396" s="50" t="n">
        <f aca="false">SUM('Activation Detail'!J396,'Activation Detail'!J896,'Activation Detail'!J1396,'Activation Detail'!J1896,'Activation Detail'!J2396,'Activation Detail'!J2896,'Activation Detail'!J3396,'Activation Detail'!J3896)</f>
        <v>4864266.04537856</v>
      </c>
      <c r="H396" s="50" t="n">
        <f aca="false">SUM('Activation Detail'!K396,'Activation Detail'!K896,'Activation Detail'!K1396,'Activation Detail'!K1896,'Activation Detail'!K2396,'Activation Detail'!K2896,'Activation Detail'!K3396,'Activation Detail'!K3896)</f>
        <v>104190.226960722</v>
      </c>
      <c r="I396" s="51" t="n">
        <f aca="false">IFERROR(H396/F396,0)</f>
        <v>1.38494361131069</v>
      </c>
      <c r="J396" s="49" t="n">
        <f aca="false">IFERROR(F396/E396,0)</f>
        <v>92.8711335906535</v>
      </c>
      <c r="K396" s="46" t="n">
        <f aca="false">IFERROR(C396/B396,0)</f>
        <v>0.0668246496293724</v>
      </c>
      <c r="L396" s="47" t="n">
        <f aca="false">IFERROR(D396/B396,0)</f>
        <v>0.00425889484808341</v>
      </c>
      <c r="N396" s="48" t="n">
        <f aca="false">SUMIFS('Activation Detail'!$H$4:$H$4003,'Activation Detail'!$A$4:$A$4003,$A396,'Activation Detail'!$N$4:$N$4003,N$2)</f>
        <v>63.8712782035782</v>
      </c>
      <c r="O396" s="50" t="n">
        <f aca="false">N396*'Model Inputs &amp; Assumptions'!$D$40*'Model Inputs &amp; Assumptions'!$H$40</f>
        <v>542905.864730415</v>
      </c>
      <c r="P396" s="50" t="n">
        <f aca="false">N396*'Model Inputs &amp; Assumptions'!$G$40*'Model Inputs &amp; Assumptions'!$H$40</f>
        <v>12215.3819564343</v>
      </c>
      <c r="Q396" s="50" t="n">
        <f aca="false">SUMIFS('Activation Detail'!$I$4:$I$4003,'Activation Detail'!$A$4:$A$4003,$A396,'Activation Detail'!$N$4:$N$4003,N$2)</f>
        <v>17642.7805</v>
      </c>
      <c r="R396" s="51" t="n">
        <f aca="false">IFERROR(P396/Q396,0)</f>
        <v>0.692372835247501</v>
      </c>
      <c r="S396" s="49" t="n">
        <f aca="false">IFERROR(Q396/N396,0)</f>
        <v>276.22400860316</v>
      </c>
      <c r="T396" s="48" t="n">
        <f aca="false">SUMIFS('Activation Detail'!$H$4:$H$4003,'Activation Detail'!$A$4:$A$4003,$A396,'Activation Detail'!$N$4:$N$4003,T$2)</f>
        <v>162.20650934883</v>
      </c>
      <c r="U396" s="50" t="n">
        <f aca="false">T396*'Model Inputs &amp; Assumptions'!$D$41*'Model Inputs &amp; Assumptions'!$H$41</f>
        <v>1167886.86731157</v>
      </c>
      <c r="V396" s="50" t="n">
        <f aca="false">T396*'Model Inputs &amp; Assumptions'!$G$41*'Model Inputs &amp; Assumptions'!$H$41</f>
        <v>25751.9054242202</v>
      </c>
      <c r="W396" s="50" t="n">
        <f aca="false">SUMIFS('Activation Detail'!$I$4:$I$4003,'Activation Detail'!$A$4:$A$4003,$A396,'Activation Detail'!$N$4:$N$4003,T$2)</f>
        <v>18163.511124</v>
      </c>
      <c r="X396" s="51" t="n">
        <f aca="false">IFERROR(V396/W396,0)</f>
        <v>1.41778234661873</v>
      </c>
      <c r="Y396" s="49" t="n">
        <f aca="false">IFERROR(W396/T396,0)</f>
        <v>111.977695574096</v>
      </c>
      <c r="Z396" s="48" t="n">
        <f aca="false">SUMIFS('Activation Detail'!$H$4:$H$4003,'Activation Detail'!$A$4:$A$4003,$A396,'Activation Detail'!$N$4:$N$4003,Z$2)</f>
        <v>583.976539506772</v>
      </c>
      <c r="AA396" s="50" t="n">
        <f aca="false">Z396*'Model Inputs &amp; Assumptions'!$D$42*'Model Inputs &amp; Assumptions'!$H$42</f>
        <v>3153473.31333657</v>
      </c>
      <c r="AB396" s="50" t="n">
        <f aca="false">Z396*'Model Inputs &amp; Assumptions'!$G$42*'Model Inputs &amp; Assumptions'!$H$42</f>
        <v>66222.939580068</v>
      </c>
      <c r="AC396" s="50" t="n">
        <f aca="false">SUMIFS('Activation Detail'!$I$4:$I$4003,'Activation Detail'!$A$4:$A$4003,$A396,'Activation Detail'!$N$4:$N$4003,Z$2)</f>
        <v>39424.372</v>
      </c>
      <c r="AD396" s="51" t="n">
        <f aca="false">IFERROR(AB396/AC396,0)</f>
        <v>1.67974621333392</v>
      </c>
      <c r="AE396" s="49" t="n">
        <f aca="false">IFERROR(AC396/Z396,0)</f>
        <v>67.5101983262854</v>
      </c>
    </row>
    <row r="397" customFormat="false" ht="15" hidden="false" customHeight="false" outlineLevel="0" collapsed="false">
      <c r="A397" s="43" t="n">
        <v>394</v>
      </c>
      <c r="B397" s="45" t="n">
        <f aca="false">SUM('Activation Detail'!C397,'Activation Detail'!C897,'Activation Detail'!C1397,'Activation Detail'!C1897,'Activation Detail'!C2397,'Activation Detail'!C2897,'Activation Detail'!C3397,'Activation Detail'!C3897)</f>
        <v>3774195</v>
      </c>
      <c r="C397" s="45" t="n">
        <f aca="false">SUM('Activation Detail'!E397,'Activation Detail'!E897,'Activation Detail'!E1397,'Activation Detail'!E1897,'Activation Detail'!E2397,'Activation Detail'!E2897,'Activation Detail'!E3397,'Activation Detail'!E3897)</f>
        <v>295302</v>
      </c>
      <c r="D397" s="45" t="n">
        <f aca="false">SUM('Activation Detail'!G397,'Activation Detail'!G897,'Activation Detail'!G1397,'Activation Detail'!G1897,'Activation Detail'!G2397,'Activation Detail'!G2897,'Activation Detail'!G3397,'Activation Detail'!G3897)</f>
        <v>11748</v>
      </c>
      <c r="E397" s="48" t="n">
        <f aca="false">SUM('Activation Detail'!H397,'Activation Detail'!H897,'Activation Detail'!H1397,'Activation Detail'!H1897,'Activation Detail'!H2397,'Activation Detail'!H2897,'Activation Detail'!H3397,'Activation Detail'!H3897)</f>
        <v>508.259375474377</v>
      </c>
      <c r="F397" s="50" t="n">
        <f aca="false">SUM('Activation Detail'!I397,'Activation Detail'!I897,'Activation Detail'!I1397,'Activation Detail'!I1897,'Activation Detail'!I2397,'Activation Detail'!I2897,'Activation Detail'!I3397,'Activation Detail'!I3897)</f>
        <v>67787.749134</v>
      </c>
      <c r="G397" s="50" t="n">
        <f aca="false">SUM('Activation Detail'!J397,'Activation Detail'!J897,'Activation Detail'!J1397,'Activation Detail'!J1897,'Activation Detail'!J2397,'Activation Detail'!J2897,'Activation Detail'!J3397,'Activation Detail'!J3897)</f>
        <v>3282798.4053912</v>
      </c>
      <c r="H397" s="50" t="n">
        <f aca="false">SUM('Activation Detail'!K397,'Activation Detail'!K897,'Activation Detail'!K1397,'Activation Detail'!K1897,'Activation Detail'!K2397,'Activation Detail'!K2897,'Activation Detail'!K3397,'Activation Detail'!K3897)</f>
        <v>71171.4706330384</v>
      </c>
      <c r="I397" s="51" t="n">
        <f aca="false">IFERROR(H397/F397,0)</f>
        <v>1.04991641620007</v>
      </c>
      <c r="J397" s="49" t="n">
        <f aca="false">IFERROR(F397/E397,0)</f>
        <v>133.372353575832</v>
      </c>
      <c r="K397" s="46" t="n">
        <f aca="false">IFERROR(C397/B397,0)</f>
        <v>0.0782423801631871</v>
      </c>
      <c r="L397" s="47" t="n">
        <f aca="false">IFERROR(D397/B397,0)</f>
        <v>0.0031127167515192</v>
      </c>
      <c r="N397" s="48" t="n">
        <f aca="false">SUMIFS('Activation Detail'!$H$4:$H$4003,'Activation Detail'!$A$4:$A$4003,$A397,'Activation Detail'!$N$4:$N$4003,N$2)</f>
        <v>102.690915040637</v>
      </c>
      <c r="O397" s="50" t="n">
        <f aca="false">N397*'Model Inputs &amp; Assumptions'!$D$40*'Model Inputs &amp; Assumptions'!$H$40</f>
        <v>872872.777845416</v>
      </c>
      <c r="P397" s="50" t="n">
        <f aca="false">N397*'Model Inputs &amp; Assumptions'!$G$40*'Model Inputs &amp; Assumptions'!$H$40</f>
        <v>19639.6375015219</v>
      </c>
      <c r="Q397" s="50" t="n">
        <f aca="false">SUMIFS('Activation Detail'!$I$4:$I$4003,'Activation Detail'!$A$4:$A$4003,$A397,'Activation Detail'!$N$4:$N$4003,N$2)</f>
        <v>18854.504</v>
      </c>
      <c r="R397" s="51" t="n">
        <f aca="false">IFERROR(P397/Q397,0)</f>
        <v>1.04164169481848</v>
      </c>
      <c r="S397" s="49" t="n">
        <f aca="false">IFERROR(Q397/N397,0)</f>
        <v>183.604401543592</v>
      </c>
      <c r="T397" s="48" t="n">
        <f aca="false">SUMIFS('Activation Detail'!$H$4:$H$4003,'Activation Detail'!$A$4:$A$4003,$A397,'Activation Detail'!$N$4:$N$4003,T$2)</f>
        <v>122.14218955755</v>
      </c>
      <c r="U397" s="50" t="n">
        <f aca="false">T397*'Model Inputs &amp; Assumptions'!$D$41*'Model Inputs &amp; Assumptions'!$H$41</f>
        <v>879423.764814359</v>
      </c>
      <c r="V397" s="50" t="n">
        <f aca="false">T397*'Model Inputs &amp; Assumptions'!$G$41*'Model Inputs &amp; Assumptions'!$H$41</f>
        <v>19391.2940141566</v>
      </c>
      <c r="W397" s="50" t="n">
        <f aca="false">SUMIFS('Activation Detail'!$I$4:$I$4003,'Activation Detail'!$A$4:$A$4003,$A397,'Activation Detail'!$N$4:$N$4003,T$2)</f>
        <v>14644.357134</v>
      </c>
      <c r="X397" s="51" t="n">
        <f aca="false">IFERROR(V397/W397,0)</f>
        <v>1.32414785003676</v>
      </c>
      <c r="Y397" s="49" t="n">
        <f aca="false">IFERROR(W397/T397,0)</f>
        <v>119.895976869647</v>
      </c>
      <c r="Z397" s="48" t="n">
        <f aca="false">SUMIFS('Activation Detail'!$H$4:$H$4003,'Activation Detail'!$A$4:$A$4003,$A397,'Activation Detail'!$N$4:$N$4003,Z$2)</f>
        <v>283.42627087619</v>
      </c>
      <c r="AA397" s="50" t="n">
        <f aca="false">Z397*'Model Inputs &amp; Assumptions'!$D$42*'Model Inputs &amp; Assumptions'!$H$42</f>
        <v>1530501.86273143</v>
      </c>
      <c r="AB397" s="50" t="n">
        <f aca="false">Z397*'Model Inputs &amp; Assumptions'!$G$42*'Model Inputs &amp; Assumptions'!$H$42</f>
        <v>32140.53911736</v>
      </c>
      <c r="AC397" s="50" t="n">
        <f aca="false">SUMIFS('Activation Detail'!$I$4:$I$4003,'Activation Detail'!$A$4:$A$4003,$A397,'Activation Detail'!$N$4:$N$4003,Z$2)</f>
        <v>34288.888</v>
      </c>
      <c r="AD397" s="51" t="n">
        <f aca="false">IFERROR(AB397/AC397,0)</f>
        <v>0.937345623963074</v>
      </c>
      <c r="AE397" s="49" t="n">
        <f aca="false">IFERROR(AC397/Z397,0)</f>
        <v>120.979921494216</v>
      </c>
    </row>
    <row r="398" customFormat="false" ht="15" hidden="false" customHeight="false" outlineLevel="0" collapsed="false">
      <c r="A398" s="43" t="n">
        <v>395</v>
      </c>
      <c r="B398" s="45" t="n">
        <f aca="false">SUM('Activation Detail'!C398,'Activation Detail'!C898,'Activation Detail'!C1398,'Activation Detail'!C1898,'Activation Detail'!C2398,'Activation Detail'!C2898,'Activation Detail'!C3398,'Activation Detail'!C3898)</f>
        <v>4115311</v>
      </c>
      <c r="C398" s="45" t="n">
        <f aca="false">SUM('Activation Detail'!E398,'Activation Detail'!E898,'Activation Detail'!E1398,'Activation Detail'!E1898,'Activation Detail'!E2398,'Activation Detail'!E2898,'Activation Detail'!E3398,'Activation Detail'!E3898)</f>
        <v>475435</v>
      </c>
      <c r="D398" s="45" t="n">
        <f aca="false">SUM('Activation Detail'!G398,'Activation Detail'!G898,'Activation Detail'!G1398,'Activation Detail'!G1898,'Activation Detail'!G2398,'Activation Detail'!G2898,'Activation Detail'!G3398,'Activation Detail'!G3898)</f>
        <v>17217</v>
      </c>
      <c r="E398" s="48" t="n">
        <f aca="false">SUM('Activation Detail'!H398,'Activation Detail'!H898,'Activation Detail'!H1398,'Activation Detail'!H1898,'Activation Detail'!H2398,'Activation Detail'!H2898,'Activation Detail'!H3398,'Activation Detail'!H3898)</f>
        <v>639.866876193611</v>
      </c>
      <c r="F398" s="50" t="n">
        <f aca="false">SUM('Activation Detail'!I398,'Activation Detail'!I898,'Activation Detail'!I1398,'Activation Detail'!I1898,'Activation Detail'!I2398,'Activation Detail'!I2898,'Activation Detail'!I3398,'Activation Detail'!I3898)</f>
        <v>78864.070016</v>
      </c>
      <c r="G398" s="50" t="n">
        <f aca="false">SUM('Activation Detail'!J398,'Activation Detail'!J898,'Activation Detail'!J1398,'Activation Detail'!J1898,'Activation Detail'!J2398,'Activation Detail'!J2898,'Activation Detail'!J3398,'Activation Detail'!J3898)</f>
        <v>4248034.67801441</v>
      </c>
      <c r="H398" s="50" t="n">
        <f aca="false">SUM('Activation Detail'!K398,'Activation Detail'!K898,'Activation Detail'!K1398,'Activation Detail'!K1898,'Activation Detail'!K2398,'Activation Detail'!K2898,'Activation Detail'!K3398,'Activation Detail'!K3898)</f>
        <v>92502.2116705704</v>
      </c>
      <c r="I398" s="51" t="n">
        <f aca="false">IFERROR(H398/F398,0)</f>
        <v>1.17293225738671</v>
      </c>
      <c r="J398" s="49" t="n">
        <f aca="false">IFERROR(F398/E398,0)</f>
        <v>123.25074628826</v>
      </c>
      <c r="K398" s="46" t="n">
        <f aca="false">IFERROR(C398/B398,0)</f>
        <v>0.115528328235703</v>
      </c>
      <c r="L398" s="47" t="n">
        <f aca="false">IFERROR(D398/B398,0)</f>
        <v>0.00418364492987286</v>
      </c>
      <c r="N398" s="48" t="n">
        <f aca="false">SUMIFS('Activation Detail'!$H$4:$H$4003,'Activation Detail'!$A$4:$A$4003,$A398,'Activation Detail'!$N$4:$N$4003,N$2)</f>
        <v>133.635049338955</v>
      </c>
      <c r="O398" s="50" t="n">
        <f aca="false">N398*'Model Inputs &amp; Assumptions'!$D$40*'Model Inputs &amp; Assumptions'!$H$40</f>
        <v>1135897.91938111</v>
      </c>
      <c r="P398" s="50" t="n">
        <f aca="false">N398*'Model Inputs &amp; Assumptions'!$G$40*'Model Inputs &amp; Assumptions'!$H$40</f>
        <v>25557.7031860751</v>
      </c>
      <c r="Q398" s="50" t="n">
        <f aca="false">SUMIFS('Activation Detail'!$I$4:$I$4003,'Activation Detail'!$A$4:$A$4003,$A398,'Activation Detail'!$N$4:$N$4003,N$2)</f>
        <v>18356.3115</v>
      </c>
      <c r="R398" s="51" t="n">
        <f aca="false">IFERROR(P398/Q398,0)</f>
        <v>1.39231147750326</v>
      </c>
      <c r="S398" s="49" t="n">
        <f aca="false">IFERROR(Q398/N398,0)</f>
        <v>137.361505015355</v>
      </c>
      <c r="T398" s="48" t="n">
        <f aca="false">SUMIFS('Activation Detail'!$H$4:$H$4003,'Activation Detail'!$A$4:$A$4003,$A398,'Activation Detail'!$N$4:$N$4003,T$2)</f>
        <v>210.269385343416</v>
      </c>
      <c r="U398" s="50" t="n">
        <f aca="false">T398*'Model Inputs &amp; Assumptions'!$D$41*'Model Inputs &amp; Assumptions'!$H$41</f>
        <v>1513939.57447259</v>
      </c>
      <c r="V398" s="50" t="n">
        <f aca="false">T398*'Model Inputs &amp; Assumptions'!$G$41*'Model Inputs &amp; Assumptions'!$H$41</f>
        <v>33382.3676171207</v>
      </c>
      <c r="W398" s="50" t="n">
        <f aca="false">SUMIFS('Activation Detail'!$I$4:$I$4003,'Activation Detail'!$A$4:$A$4003,$A398,'Activation Detail'!$N$4:$N$4003,T$2)</f>
        <v>22443.658516</v>
      </c>
      <c r="X398" s="51" t="n">
        <f aca="false">IFERROR(V398/W398,0)</f>
        <v>1.48738529386029</v>
      </c>
      <c r="Y398" s="49" t="n">
        <f aca="false">IFERROR(W398/T398,0)</f>
        <v>106.737642664169</v>
      </c>
      <c r="Z398" s="48" t="n">
        <f aca="false">SUMIFS('Activation Detail'!$H$4:$H$4003,'Activation Detail'!$A$4:$A$4003,$A398,'Activation Detail'!$N$4:$N$4003,Z$2)</f>
        <v>295.96244151124</v>
      </c>
      <c r="AA398" s="50" t="n">
        <f aca="false">Z398*'Model Inputs &amp; Assumptions'!$D$42*'Model Inputs &amp; Assumptions'!$H$42</f>
        <v>1598197.1841607</v>
      </c>
      <c r="AB398" s="50" t="n">
        <f aca="false">Z398*'Model Inputs &amp; Assumptions'!$G$42*'Model Inputs &amp; Assumptions'!$H$42</f>
        <v>33562.1408673747</v>
      </c>
      <c r="AC398" s="50" t="n">
        <f aca="false">SUMIFS('Activation Detail'!$I$4:$I$4003,'Activation Detail'!$A$4:$A$4003,$A398,'Activation Detail'!$N$4:$N$4003,Z$2)</f>
        <v>38064.1</v>
      </c>
      <c r="AD398" s="51" t="n">
        <f aca="false">IFERROR(AB398/AC398,0)</f>
        <v>0.881726899292894</v>
      </c>
      <c r="AE398" s="49" t="n">
        <f aca="false">IFERROR(AC398/Z398,0)</f>
        <v>128.611251500824</v>
      </c>
    </row>
    <row r="399" customFormat="false" ht="15" hidden="false" customHeight="false" outlineLevel="0" collapsed="false">
      <c r="A399" s="43" t="n">
        <v>396</v>
      </c>
      <c r="B399" s="45" t="n">
        <f aca="false">SUM('Activation Detail'!C399,'Activation Detail'!C899,'Activation Detail'!C1399,'Activation Detail'!C1899,'Activation Detail'!C2399,'Activation Detail'!C2899,'Activation Detail'!C3399,'Activation Detail'!C3899)</f>
        <v>4837994</v>
      </c>
      <c r="C399" s="45" t="n">
        <f aca="false">SUM('Activation Detail'!E399,'Activation Detail'!E899,'Activation Detail'!E1399,'Activation Detail'!E1899,'Activation Detail'!E2399,'Activation Detail'!E2899,'Activation Detail'!E3399,'Activation Detail'!E3899)</f>
        <v>622123</v>
      </c>
      <c r="D399" s="45" t="n">
        <f aca="false">SUM('Activation Detail'!G399,'Activation Detail'!G899,'Activation Detail'!G1399,'Activation Detail'!G1899,'Activation Detail'!G2399,'Activation Detail'!G2899,'Activation Detail'!G3399,'Activation Detail'!G3899)</f>
        <v>16637</v>
      </c>
      <c r="E399" s="48" t="n">
        <f aca="false">SUM('Activation Detail'!H399,'Activation Detail'!H899,'Activation Detail'!H1399,'Activation Detail'!H1899,'Activation Detail'!H2399,'Activation Detail'!H2899,'Activation Detail'!H3399,'Activation Detail'!H3899)</f>
        <v>572.018481402371</v>
      </c>
      <c r="F399" s="50" t="n">
        <f aca="false">SUM('Activation Detail'!I399,'Activation Detail'!I899,'Activation Detail'!I1399,'Activation Detail'!I1899,'Activation Detail'!I2399,'Activation Detail'!I2899,'Activation Detail'!I3399,'Activation Detail'!I3899)</f>
        <v>75909.767076</v>
      </c>
      <c r="G399" s="50" t="n">
        <f aca="false">SUM('Activation Detail'!J399,'Activation Detail'!J899,'Activation Detail'!J1399,'Activation Detail'!J1899,'Activation Detail'!J2399,'Activation Detail'!J2899,'Activation Detail'!J3399,'Activation Detail'!J3899)</f>
        <v>3794562.81341546</v>
      </c>
      <c r="H399" s="50" t="n">
        <f aca="false">SUM('Activation Detail'!K399,'Activation Detail'!K899,'Activation Detail'!K1399,'Activation Detail'!K1899,'Activation Detail'!K2399,'Activation Detail'!K2899,'Activation Detail'!K3399,'Activation Detail'!K3899)</f>
        <v>82623.0995768355</v>
      </c>
      <c r="I399" s="51" t="n">
        <f aca="false">IFERROR(H399/F399,0)</f>
        <v>1.0884383230173</v>
      </c>
      <c r="J399" s="49" t="n">
        <f aca="false">IFERROR(F399/E399,0)</f>
        <v>132.705095279261</v>
      </c>
      <c r="K399" s="46" t="n">
        <f aca="false">IFERROR(C399/B399,0)</f>
        <v>0.12859110614854</v>
      </c>
      <c r="L399" s="47" t="n">
        <f aca="false">IFERROR(D399/B399,0)</f>
        <v>0.00343882195802641</v>
      </c>
      <c r="N399" s="48" t="n">
        <f aca="false">SUMIFS('Activation Detail'!$H$4:$H$4003,'Activation Detail'!$A$4:$A$4003,$A399,'Activation Detail'!$N$4:$N$4003,N$2)</f>
        <v>98.1635667720348</v>
      </c>
      <c r="O399" s="50" t="n">
        <f aca="false">N399*'Model Inputs &amp; Assumptions'!$D$40*'Model Inputs &amp; Assumptions'!$H$40</f>
        <v>834390.317562296</v>
      </c>
      <c r="P399" s="50" t="n">
        <f aca="false">N399*'Model Inputs &amp; Assumptions'!$G$40*'Model Inputs &amp; Assumptions'!$H$40</f>
        <v>18773.7821451517</v>
      </c>
      <c r="Q399" s="50" t="n">
        <f aca="false">SUMIFS('Activation Detail'!$I$4:$I$4003,'Activation Detail'!$A$4:$A$4003,$A399,'Activation Detail'!$N$4:$N$4003,N$2)</f>
        <v>18235.5025</v>
      </c>
      <c r="R399" s="51" t="n">
        <f aca="false">IFERROR(P399/Q399,0)</f>
        <v>1.02951822386861</v>
      </c>
      <c r="S399" s="49" t="n">
        <f aca="false">IFERROR(Q399/N399,0)</f>
        <v>185.766502783546</v>
      </c>
      <c r="T399" s="48" t="n">
        <f aca="false">SUMIFS('Activation Detail'!$H$4:$H$4003,'Activation Detail'!$A$4:$A$4003,$A399,'Activation Detail'!$N$4:$N$4003,T$2)</f>
        <v>222.975531582972</v>
      </c>
      <c r="U399" s="50" t="n">
        <f aca="false">T399*'Model Inputs &amp; Assumptions'!$D$41*'Model Inputs &amp; Assumptions'!$H$41</f>
        <v>1605423.8273974</v>
      </c>
      <c r="V399" s="50" t="n">
        <f aca="false">T399*'Model Inputs &amp; Assumptions'!$G$41*'Model Inputs &amp; Assumptions'!$H$41</f>
        <v>35399.5953941127</v>
      </c>
      <c r="W399" s="50" t="n">
        <f aca="false">SUMIFS('Activation Detail'!$I$4:$I$4003,'Activation Detail'!$A$4:$A$4003,$A399,'Activation Detail'!$N$4:$N$4003,T$2)</f>
        <v>22642.096576</v>
      </c>
      <c r="X399" s="51" t="n">
        <f aca="false">IFERROR(V399/W399,0)</f>
        <v>1.56344158657265</v>
      </c>
      <c r="Y399" s="49" t="n">
        <f aca="false">IFERROR(W399/T399,0)</f>
        <v>101.545207293629</v>
      </c>
      <c r="Z399" s="48" t="n">
        <f aca="false">SUMIFS('Activation Detail'!$H$4:$H$4003,'Activation Detail'!$A$4:$A$4003,$A399,'Activation Detail'!$N$4:$N$4003,Z$2)</f>
        <v>250.879383047364</v>
      </c>
      <c r="AA399" s="50" t="n">
        <f aca="false">Z399*'Model Inputs &amp; Assumptions'!$D$42*'Model Inputs &amp; Assumptions'!$H$42</f>
        <v>1354748.66845577</v>
      </c>
      <c r="AB399" s="50" t="n">
        <f aca="false">Z399*'Model Inputs &amp; Assumptions'!$G$42*'Model Inputs &amp; Assumptions'!$H$42</f>
        <v>28449.7220375711</v>
      </c>
      <c r="AC399" s="50" t="n">
        <f aca="false">SUMIFS('Activation Detail'!$I$4:$I$4003,'Activation Detail'!$A$4:$A$4003,$A399,'Activation Detail'!$N$4:$N$4003,Z$2)</f>
        <v>35032.168</v>
      </c>
      <c r="AD399" s="51" t="n">
        <f aca="false">IFERROR(AB399/AC399,0)</f>
        <v>0.812102808983192</v>
      </c>
      <c r="AE399" s="49" t="n">
        <f aca="false">IFERROR(AC399/Z399,0)</f>
        <v>139.637492624837</v>
      </c>
    </row>
    <row r="400" customFormat="false" ht="15" hidden="false" customHeight="false" outlineLevel="0" collapsed="false">
      <c r="A400" s="43" t="n">
        <v>397</v>
      </c>
      <c r="B400" s="45" t="n">
        <f aca="false">SUM('Activation Detail'!C400,'Activation Detail'!C900,'Activation Detail'!C1400,'Activation Detail'!C1900,'Activation Detail'!C2400,'Activation Detail'!C2900,'Activation Detail'!C3400,'Activation Detail'!C3900)</f>
        <v>4297136</v>
      </c>
      <c r="C400" s="45" t="n">
        <f aca="false">SUM('Activation Detail'!E400,'Activation Detail'!E900,'Activation Detail'!E1400,'Activation Detail'!E1900,'Activation Detail'!E2400,'Activation Detail'!E2900,'Activation Detail'!E3400,'Activation Detail'!E3900)</f>
        <v>229284</v>
      </c>
      <c r="D400" s="45" t="n">
        <f aca="false">SUM('Activation Detail'!G400,'Activation Detail'!G900,'Activation Detail'!G1400,'Activation Detail'!G1900,'Activation Detail'!G2400,'Activation Detail'!G2900,'Activation Detail'!G3400,'Activation Detail'!G3900)</f>
        <v>17900</v>
      </c>
      <c r="E400" s="48" t="n">
        <f aca="false">SUM('Activation Detail'!H400,'Activation Detail'!H900,'Activation Detail'!H1400,'Activation Detail'!H1900,'Activation Detail'!H2400,'Activation Detail'!H2900,'Activation Detail'!H3400,'Activation Detail'!H3900)</f>
        <v>992.637582224956</v>
      </c>
      <c r="F400" s="50" t="n">
        <f aca="false">SUM('Activation Detail'!I400,'Activation Detail'!I900,'Activation Detail'!I1400,'Activation Detail'!I1900,'Activation Detail'!I2400,'Activation Detail'!I2900,'Activation Detail'!I3400,'Activation Detail'!I3900)</f>
        <v>72262.936616</v>
      </c>
      <c r="G400" s="50" t="n">
        <f aca="false">SUM('Activation Detail'!J400,'Activation Detail'!J900,'Activation Detail'!J1400,'Activation Detail'!J1900,'Activation Detail'!J2400,'Activation Detail'!J2900,'Activation Detail'!J3400,'Activation Detail'!J3900)</f>
        <v>5856379.69855214</v>
      </c>
      <c r="H400" s="50" t="n">
        <f aca="false">SUM('Activation Detail'!K400,'Activation Detail'!K900,'Activation Detail'!K1400,'Activation Detail'!K1900,'Activation Detail'!K2400,'Activation Detail'!K2900,'Activation Detail'!K3400,'Activation Detail'!K3900)</f>
        <v>125040.161425995</v>
      </c>
      <c r="I400" s="51" t="n">
        <f aca="false">IFERROR(H400/F400,0)</f>
        <v>1.73034984850462</v>
      </c>
      <c r="J400" s="49" t="n">
        <f aca="false">IFERROR(F400/E400,0)</f>
        <v>72.7989126243091</v>
      </c>
      <c r="K400" s="46" t="n">
        <f aca="false">IFERROR(C400/B400,0)</f>
        <v>0.0533573989745728</v>
      </c>
      <c r="L400" s="47" t="n">
        <f aca="false">IFERROR(D400/B400,0)</f>
        <v>0.00416556515781674</v>
      </c>
      <c r="N400" s="48" t="n">
        <f aca="false">SUMIFS('Activation Detail'!$H$4:$H$4003,'Activation Detail'!$A$4:$A$4003,$A400,'Activation Detail'!$N$4:$N$4003,N$2)</f>
        <v>102.172639471207</v>
      </c>
      <c r="O400" s="50" t="n">
        <f aca="false">N400*'Model Inputs &amp; Assumptions'!$D$40*'Model Inputs &amp; Assumptions'!$H$40</f>
        <v>868467.43550526</v>
      </c>
      <c r="P400" s="50" t="n">
        <f aca="false">N400*'Model Inputs &amp; Assumptions'!$G$40*'Model Inputs &amp; Assumptions'!$H$40</f>
        <v>19540.5172988683</v>
      </c>
      <c r="Q400" s="50" t="n">
        <f aca="false">SUMIFS('Activation Detail'!$I$4:$I$4003,'Activation Detail'!$A$4:$A$4003,$A400,'Activation Detail'!$N$4:$N$4003,N$2)</f>
        <v>19143.975</v>
      </c>
      <c r="R400" s="51" t="n">
        <f aca="false">IFERROR(P400/Q400,0)</f>
        <v>1.02071368662299</v>
      </c>
      <c r="S400" s="49" t="n">
        <f aca="false">IFERROR(Q400/N400,0)</f>
        <v>187.368899336254</v>
      </c>
      <c r="T400" s="48" t="n">
        <f aca="false">SUMIFS('Activation Detail'!$H$4:$H$4003,'Activation Detail'!$A$4:$A$4003,$A400,'Activation Detail'!$N$4:$N$4003,T$2)</f>
        <v>99.6675400981305</v>
      </c>
      <c r="U400" s="50" t="n">
        <f aca="false">T400*'Model Inputs &amp; Assumptions'!$D$41*'Model Inputs &amp; Assumptions'!$H$41</f>
        <v>717606.288706539</v>
      </c>
      <c r="V400" s="50" t="n">
        <f aca="false">T400*'Model Inputs &amp; Assumptions'!$G$41*'Model Inputs &amp; Assumptions'!$H$41</f>
        <v>15823.2186659792</v>
      </c>
      <c r="W400" s="50" t="n">
        <f aca="false">SUMIFS('Activation Detail'!$I$4:$I$4003,'Activation Detail'!$A$4:$A$4003,$A400,'Activation Detail'!$N$4:$N$4003,T$2)</f>
        <v>13109.697616</v>
      </c>
      <c r="X400" s="51" t="n">
        <f aca="false">IFERROR(V400/W400,0)</f>
        <v>1.20698578483362</v>
      </c>
      <c r="Y400" s="49" t="n">
        <f aca="false">IFERROR(W400/T400,0)</f>
        <v>131.534274881195</v>
      </c>
      <c r="Z400" s="48" t="n">
        <f aca="false">SUMIFS('Activation Detail'!$H$4:$H$4003,'Activation Detail'!$A$4:$A$4003,$A400,'Activation Detail'!$N$4:$N$4003,Z$2)</f>
        <v>790.797402655619</v>
      </c>
      <c r="AA400" s="50" t="n">
        <f aca="false">Z400*'Model Inputs &amp; Assumptions'!$D$42*'Model Inputs &amp; Assumptions'!$H$42</f>
        <v>4270305.97434034</v>
      </c>
      <c r="AB400" s="50" t="n">
        <f aca="false">Z400*'Model Inputs &amp; Assumptions'!$G$42*'Model Inputs &amp; Assumptions'!$H$42</f>
        <v>89676.4254611471</v>
      </c>
      <c r="AC400" s="50" t="n">
        <f aca="false">SUMIFS('Activation Detail'!$I$4:$I$4003,'Activation Detail'!$A$4:$A$4003,$A400,'Activation Detail'!$N$4:$N$4003,Z$2)</f>
        <v>40009.264</v>
      </c>
      <c r="AD400" s="51" t="n">
        <f aca="false">IFERROR(AB400/AC400,0)</f>
        <v>2.24139153025027</v>
      </c>
      <c r="AE400" s="49" t="n">
        <f aca="false">IFERROR(AC400/Z400,0)</f>
        <v>50.5935703198351</v>
      </c>
    </row>
    <row r="401" customFormat="false" ht="15" hidden="false" customHeight="false" outlineLevel="0" collapsed="false">
      <c r="A401" s="43" t="n">
        <v>398</v>
      </c>
      <c r="B401" s="45" t="n">
        <f aca="false">SUM('Activation Detail'!C401,'Activation Detail'!C901,'Activation Detail'!C1401,'Activation Detail'!C1901,'Activation Detail'!C2401,'Activation Detail'!C2901,'Activation Detail'!C3401,'Activation Detail'!C3901)</f>
        <v>3848079</v>
      </c>
      <c r="C401" s="45" t="n">
        <f aca="false">SUM('Activation Detail'!E401,'Activation Detail'!E901,'Activation Detail'!E1401,'Activation Detail'!E1901,'Activation Detail'!E2401,'Activation Detail'!E2901,'Activation Detail'!E3401,'Activation Detail'!E3901)</f>
        <v>500147</v>
      </c>
      <c r="D401" s="45" t="n">
        <f aca="false">SUM('Activation Detail'!G401,'Activation Detail'!G901,'Activation Detail'!G1401,'Activation Detail'!G1901,'Activation Detail'!G2401,'Activation Detail'!G2901,'Activation Detail'!G3401,'Activation Detail'!G3901)</f>
        <v>16382</v>
      </c>
      <c r="E401" s="48" t="n">
        <f aca="false">SUM('Activation Detail'!H401,'Activation Detail'!H901,'Activation Detail'!H1401,'Activation Detail'!H1901,'Activation Detail'!H2401,'Activation Detail'!H2901,'Activation Detail'!H3401,'Activation Detail'!H3901)</f>
        <v>475.317262545154</v>
      </c>
      <c r="F401" s="50" t="n">
        <f aca="false">SUM('Activation Detail'!I401,'Activation Detail'!I901,'Activation Detail'!I1401,'Activation Detail'!I1901,'Activation Detail'!I2401,'Activation Detail'!I2901,'Activation Detail'!I3401,'Activation Detail'!I3901)</f>
        <v>76316.514692</v>
      </c>
      <c r="G401" s="50" t="n">
        <f aca="false">SUM('Activation Detail'!J401,'Activation Detail'!J901,'Activation Detail'!J1401,'Activation Detail'!J1901,'Activation Detail'!J2401,'Activation Detail'!J2901,'Activation Detail'!J3401,'Activation Detail'!J3901)</f>
        <v>2975542.50114997</v>
      </c>
      <c r="H401" s="50" t="n">
        <f aca="false">SUM('Activation Detail'!K401,'Activation Detail'!K901,'Activation Detail'!K1401,'Activation Detail'!K1901,'Activation Detail'!K2401,'Activation Detail'!K2901,'Activation Detail'!K3401,'Activation Detail'!K3901)</f>
        <v>64185.1248728594</v>
      </c>
      <c r="I401" s="51" t="n">
        <f aca="false">IFERROR(H401/F401,0)</f>
        <v>0.841038471579831</v>
      </c>
      <c r="J401" s="49" t="n">
        <f aca="false">IFERROR(F401/E401,0)</f>
        <v>160.559105897716</v>
      </c>
      <c r="K401" s="46" t="n">
        <f aca="false">IFERROR(C401/B401,0)</f>
        <v>0.129973163232875</v>
      </c>
      <c r="L401" s="47" t="n">
        <f aca="false">IFERROR(D401/B401,0)</f>
        <v>0.0042571891065646</v>
      </c>
      <c r="N401" s="48" t="n">
        <f aca="false">SUMIFS('Activation Detail'!$H$4:$H$4003,'Activation Detail'!$A$4:$A$4003,$A401,'Activation Detail'!$N$4:$N$4003,N$2)</f>
        <v>67.9653392438934</v>
      </c>
      <c r="O401" s="50" t="n">
        <f aca="false">N401*'Model Inputs &amp; Assumptions'!$D$40*'Model Inputs &amp; Assumptions'!$H$40</f>
        <v>577705.383573094</v>
      </c>
      <c r="P401" s="50" t="n">
        <f aca="false">N401*'Model Inputs &amp; Assumptions'!$G$40*'Model Inputs &amp; Assumptions'!$H$40</f>
        <v>12998.3711303946</v>
      </c>
      <c r="Q401" s="50" t="n">
        <f aca="false">SUMIFS('Activation Detail'!$I$4:$I$4003,'Activation Detail'!$A$4:$A$4003,$A401,'Activation Detail'!$N$4:$N$4003,N$2)</f>
        <v>18120.7385</v>
      </c>
      <c r="R401" s="51" t="n">
        <f aca="false">IFERROR(P401/Q401,0)</f>
        <v>0.717320164980838</v>
      </c>
      <c r="S401" s="49" t="n">
        <f aca="false">IFERROR(Q401/N401,0)</f>
        <v>266.617347924562</v>
      </c>
      <c r="T401" s="48" t="n">
        <f aca="false">SUMIFS('Activation Detail'!$H$4:$H$4003,'Activation Detail'!$A$4:$A$4003,$A401,'Activation Detail'!$N$4:$N$4003,T$2)</f>
        <v>110.075962083375</v>
      </c>
      <c r="U401" s="50" t="n">
        <f aca="false">T401*'Model Inputs &amp; Assumptions'!$D$41*'Model Inputs &amp; Assumptions'!$H$41</f>
        <v>792546.927000304</v>
      </c>
      <c r="V401" s="50" t="n">
        <f aca="false">T401*'Model Inputs &amp; Assumptions'!$G$41*'Model Inputs &amp; Assumptions'!$H$41</f>
        <v>17475.6597403567</v>
      </c>
      <c r="W401" s="50" t="n">
        <f aca="false">SUMIFS('Activation Detail'!$I$4:$I$4003,'Activation Detail'!$A$4:$A$4003,$A401,'Activation Detail'!$N$4:$N$4003,T$2)</f>
        <v>18114.380192</v>
      </c>
      <c r="X401" s="51" t="n">
        <f aca="false">IFERROR(V401/W401,0)</f>
        <v>0.964739591149501</v>
      </c>
      <c r="Y401" s="49" t="n">
        <f aca="false">IFERROR(W401/T401,0)</f>
        <v>164.562542531125</v>
      </c>
      <c r="Z401" s="48" t="n">
        <f aca="false">SUMIFS('Activation Detail'!$H$4:$H$4003,'Activation Detail'!$A$4:$A$4003,$A401,'Activation Detail'!$N$4:$N$4003,Z$2)</f>
        <v>297.275961217885</v>
      </c>
      <c r="AA401" s="50" t="n">
        <f aca="false">Z401*'Model Inputs &amp; Assumptions'!$D$42*'Model Inputs &amp; Assumptions'!$H$42</f>
        <v>1605290.19057658</v>
      </c>
      <c r="AB401" s="50" t="n">
        <f aca="false">Z401*'Model Inputs &amp; Assumptions'!$G$42*'Model Inputs &amp; Assumptions'!$H$42</f>
        <v>33711.0940021081</v>
      </c>
      <c r="AC401" s="50" t="n">
        <f aca="false">SUMIFS('Activation Detail'!$I$4:$I$4003,'Activation Detail'!$A$4:$A$4003,$A401,'Activation Detail'!$N$4:$N$4003,Z$2)</f>
        <v>40081.396</v>
      </c>
      <c r="AD401" s="51" t="n">
        <f aca="false">IFERROR(AB401/AC401,0)</f>
        <v>0.841065865123763</v>
      </c>
      <c r="AE401" s="49" t="n">
        <f aca="false">IFERROR(AC401/Z401,0)</f>
        <v>134.828917332548</v>
      </c>
    </row>
    <row r="402" customFormat="false" ht="15" hidden="false" customHeight="false" outlineLevel="0" collapsed="false">
      <c r="A402" s="43" t="n">
        <v>399</v>
      </c>
      <c r="B402" s="45" t="n">
        <f aca="false">SUM('Activation Detail'!C402,'Activation Detail'!C902,'Activation Detail'!C1402,'Activation Detail'!C1902,'Activation Detail'!C2402,'Activation Detail'!C2902,'Activation Detail'!C3402,'Activation Detail'!C3902)</f>
        <v>4913238</v>
      </c>
      <c r="C402" s="45" t="n">
        <f aca="false">SUM('Activation Detail'!E402,'Activation Detail'!E902,'Activation Detail'!E1402,'Activation Detail'!E1902,'Activation Detail'!E2402,'Activation Detail'!E2902,'Activation Detail'!E3402,'Activation Detail'!E3902)</f>
        <v>410087</v>
      </c>
      <c r="D402" s="45" t="n">
        <f aca="false">SUM('Activation Detail'!G402,'Activation Detail'!G902,'Activation Detail'!G1402,'Activation Detail'!G1902,'Activation Detail'!G2402,'Activation Detail'!G2902,'Activation Detail'!G3402,'Activation Detail'!G3902)</f>
        <v>20127</v>
      </c>
      <c r="E402" s="48" t="n">
        <f aca="false">SUM('Activation Detail'!H402,'Activation Detail'!H902,'Activation Detail'!H1402,'Activation Detail'!H1902,'Activation Detail'!H2402,'Activation Detail'!H2902,'Activation Detail'!H3402,'Activation Detail'!H3902)</f>
        <v>918.0291967468</v>
      </c>
      <c r="F402" s="50" t="n">
        <f aca="false">SUM('Activation Detail'!I402,'Activation Detail'!I902,'Activation Detail'!I1402,'Activation Detail'!I1902,'Activation Detail'!I2402,'Activation Detail'!I2902,'Activation Detail'!I3402,'Activation Detail'!I3902)</f>
        <v>79962.048532</v>
      </c>
      <c r="G402" s="50" t="n">
        <f aca="false">SUM('Activation Detail'!J402,'Activation Detail'!J902,'Activation Detail'!J1402,'Activation Detail'!J1902,'Activation Detail'!J2402,'Activation Detail'!J2902,'Activation Detail'!J3402,'Activation Detail'!J3902)</f>
        <v>5683858.73417694</v>
      </c>
      <c r="H402" s="50" t="n">
        <f aca="false">SUM('Activation Detail'!K402,'Activation Detail'!K902,'Activation Detail'!K1402,'Activation Detail'!K1902,'Activation Detail'!K2402,'Activation Detail'!K2902,'Activation Detail'!K3402,'Activation Detail'!K3902)</f>
        <v>122383.443679437</v>
      </c>
      <c r="I402" s="51" t="n">
        <f aca="false">IFERROR(H402/F402,0)</f>
        <v>1.53051911408273</v>
      </c>
      <c r="J402" s="49" t="n">
        <f aca="false">IFERROR(F402/E402,0)</f>
        <v>87.1018577789898</v>
      </c>
      <c r="K402" s="46" t="n">
        <f aca="false">IFERROR(C402/B402,0)</f>
        <v>0.0834657307462004</v>
      </c>
      <c r="L402" s="47" t="n">
        <f aca="false">IFERROR(D402/B402,0)</f>
        <v>0.00409648382594126</v>
      </c>
      <c r="N402" s="48" t="n">
        <f aca="false">SUMIFS('Activation Detail'!$H$4:$H$4003,'Activation Detail'!$A$4:$A$4003,$A402,'Activation Detail'!$N$4:$N$4003,N$2)</f>
        <v>107.01570223968</v>
      </c>
      <c r="O402" s="50" t="n">
        <f aca="false">N402*'Model Inputs &amp; Assumptions'!$D$40*'Model Inputs &amp; Assumptions'!$H$40</f>
        <v>909633.46903728</v>
      </c>
      <c r="P402" s="50" t="n">
        <f aca="false">N402*'Model Inputs &amp; Assumptions'!$G$40*'Model Inputs &amp; Assumptions'!$H$40</f>
        <v>20466.7530533388</v>
      </c>
      <c r="Q402" s="50" t="n">
        <f aca="false">SUMIFS('Activation Detail'!$I$4:$I$4003,'Activation Detail'!$A$4:$A$4003,$A402,'Activation Detail'!$N$4:$N$4003,N$2)</f>
        <v>19174.512</v>
      </c>
      <c r="R402" s="51" t="n">
        <f aca="false">IFERROR(P402/Q402,0)</f>
        <v>1.06739368664709</v>
      </c>
      <c r="S402" s="49" t="n">
        <f aca="false">IFERROR(Q402/N402,0)</f>
        <v>179.174752851272</v>
      </c>
      <c r="T402" s="48" t="n">
        <f aca="false">SUMIFS('Activation Detail'!$H$4:$H$4003,'Activation Detail'!$A$4:$A$4003,$A402,'Activation Detail'!$N$4:$N$4003,T$2)</f>
        <v>219.306886000673</v>
      </c>
      <c r="U402" s="50" t="n">
        <f aca="false">T402*'Model Inputs &amp; Assumptions'!$D$41*'Model Inputs &amp; Assumptions'!$H$41</f>
        <v>1579009.57920484</v>
      </c>
      <c r="V402" s="50" t="n">
        <f aca="false">T402*'Model Inputs &amp; Assumptions'!$G$41*'Model Inputs &amp; Assumptions'!$H$41</f>
        <v>34817.1612214668</v>
      </c>
      <c r="W402" s="50" t="n">
        <f aca="false">SUMIFS('Activation Detail'!$I$4:$I$4003,'Activation Detail'!$A$4:$A$4003,$A402,'Activation Detail'!$N$4:$N$4003,T$2)</f>
        <v>18675.140532</v>
      </c>
      <c r="X402" s="51" t="n">
        <f aca="false">IFERROR(V402/W402,0)</f>
        <v>1.8643587266081</v>
      </c>
      <c r="Y402" s="49" t="n">
        <f aca="false">IFERROR(W402/T402,0)</f>
        <v>85.1552856937776</v>
      </c>
      <c r="Z402" s="48" t="n">
        <f aca="false">SUMIFS('Activation Detail'!$H$4:$H$4003,'Activation Detail'!$A$4:$A$4003,$A402,'Activation Detail'!$N$4:$N$4003,Z$2)</f>
        <v>591.706608506448</v>
      </c>
      <c r="AA402" s="50" t="n">
        <f aca="false">Z402*'Model Inputs &amp; Assumptions'!$D$42*'Model Inputs &amp; Assumptions'!$H$42</f>
        <v>3195215.68593482</v>
      </c>
      <c r="AB402" s="50" t="n">
        <f aca="false">Z402*'Model Inputs &amp; Assumptions'!$G$42*'Model Inputs &amp; Assumptions'!$H$42</f>
        <v>67099.5294046312</v>
      </c>
      <c r="AC402" s="50" t="n">
        <f aca="false">SUMIFS('Activation Detail'!$I$4:$I$4003,'Activation Detail'!$A$4:$A$4003,$A402,'Activation Detail'!$N$4:$N$4003,Z$2)</f>
        <v>42112.396</v>
      </c>
      <c r="AD402" s="51" t="n">
        <f aca="false">IFERROR(AB402/AC402,0)</f>
        <v>1.59334390293611</v>
      </c>
      <c r="AE402" s="49" t="n">
        <f aca="false">IFERROR(AC402/Z402,0)</f>
        <v>71.1710759937222</v>
      </c>
    </row>
    <row r="403" customFormat="false" ht="15" hidden="false" customHeight="false" outlineLevel="0" collapsed="false">
      <c r="A403" s="43" t="n">
        <v>400</v>
      </c>
      <c r="B403" s="45" t="n">
        <f aca="false">SUM('Activation Detail'!C403,'Activation Detail'!C903,'Activation Detail'!C1403,'Activation Detail'!C1903,'Activation Detail'!C2403,'Activation Detail'!C2903,'Activation Detail'!C3403,'Activation Detail'!C3903)</f>
        <v>4984593</v>
      </c>
      <c r="C403" s="45" t="n">
        <f aca="false">SUM('Activation Detail'!E403,'Activation Detail'!E903,'Activation Detail'!E1403,'Activation Detail'!E1903,'Activation Detail'!E2403,'Activation Detail'!E2903,'Activation Detail'!E3403,'Activation Detail'!E3903)</f>
        <v>390404</v>
      </c>
      <c r="D403" s="45" t="n">
        <f aca="false">SUM('Activation Detail'!G403,'Activation Detail'!G903,'Activation Detail'!G1403,'Activation Detail'!G1903,'Activation Detail'!G2403,'Activation Detail'!G2903,'Activation Detail'!G3403,'Activation Detail'!G3903)</f>
        <v>21804</v>
      </c>
      <c r="E403" s="48" t="n">
        <f aca="false">SUM('Activation Detail'!H403,'Activation Detail'!H903,'Activation Detail'!H1403,'Activation Detail'!H1903,'Activation Detail'!H2403,'Activation Detail'!H2903,'Activation Detail'!H3403,'Activation Detail'!H3903)</f>
        <v>816.226517861512</v>
      </c>
      <c r="F403" s="50" t="n">
        <f aca="false">SUM('Activation Detail'!I403,'Activation Detail'!I903,'Activation Detail'!I1403,'Activation Detail'!I1903,'Activation Detail'!I2403,'Activation Detail'!I2903,'Activation Detail'!I3403,'Activation Detail'!I3903)</f>
        <v>81241.03378</v>
      </c>
      <c r="G403" s="50" t="n">
        <f aca="false">SUM('Activation Detail'!J403,'Activation Detail'!J903,'Activation Detail'!J1403,'Activation Detail'!J1903,'Activation Detail'!J2403,'Activation Detail'!J2903,'Activation Detail'!J3403,'Activation Detail'!J3903)</f>
        <v>4969864.57682942</v>
      </c>
      <c r="H403" s="50" t="n">
        <f aca="false">SUM('Activation Detail'!K403,'Activation Detail'!K903,'Activation Detail'!K1403,'Activation Detail'!K1903,'Activation Detail'!K2403,'Activation Detail'!K2903,'Activation Detail'!K3403,'Activation Detail'!K3903)</f>
        <v>106701.26850234</v>
      </c>
      <c r="I403" s="51" t="n">
        <f aca="false">IFERROR(H403/F403,0)</f>
        <v>1.31339131886586</v>
      </c>
      <c r="J403" s="49" t="n">
        <f aca="false">IFERROR(F403/E403,0)</f>
        <v>99.532460661593</v>
      </c>
      <c r="K403" s="46" t="n">
        <f aca="false">IFERROR(C403/B403,0)</f>
        <v>0.0783221418478901</v>
      </c>
      <c r="L403" s="47" t="n">
        <f aca="false">IFERROR(D403/B403,0)</f>
        <v>0.00437427890301174</v>
      </c>
      <c r="N403" s="48" t="n">
        <f aca="false">SUMIFS('Activation Detail'!$H$4:$H$4003,'Activation Detail'!$A$4:$A$4003,$A403,'Activation Detail'!$N$4:$N$4003,N$2)</f>
        <v>101.116328378657</v>
      </c>
      <c r="O403" s="50" t="n">
        <f aca="false">N403*'Model Inputs &amp; Assumptions'!$D$40*'Model Inputs &amp; Assumptions'!$H$40</f>
        <v>859488.791218584</v>
      </c>
      <c r="P403" s="50" t="n">
        <f aca="false">N403*'Model Inputs &amp; Assumptions'!$G$40*'Model Inputs &amp; Assumptions'!$H$40</f>
        <v>19338.4978024181</v>
      </c>
      <c r="Q403" s="50" t="n">
        <f aca="false">SUMIFS('Activation Detail'!$I$4:$I$4003,'Activation Detail'!$A$4:$A$4003,$A403,'Activation Detail'!$N$4:$N$4003,N$2)</f>
        <v>18247.1375</v>
      </c>
      <c r="R403" s="51" t="n">
        <f aca="false">IFERROR(P403/Q403,0)</f>
        <v>1.05980994566507</v>
      </c>
      <c r="S403" s="49" t="n">
        <f aca="false">IFERROR(Q403/N403,0)</f>
        <v>180.456883597165</v>
      </c>
      <c r="T403" s="48" t="n">
        <f aca="false">SUMIFS('Activation Detail'!$H$4:$H$4003,'Activation Detail'!$A$4:$A$4003,$A403,'Activation Detail'!$N$4:$N$4003,T$2)</f>
        <v>138.211534668563</v>
      </c>
      <c r="U403" s="50" t="n">
        <f aca="false">T403*'Model Inputs &amp; Assumptions'!$D$41*'Model Inputs &amp; Assumptions'!$H$41</f>
        <v>995123.049613657</v>
      </c>
      <c r="V403" s="50" t="n">
        <f aca="false">T403*'Model Inputs &amp; Assumptions'!$G$41*'Model Inputs &amp; Assumptions'!$H$41</f>
        <v>21942.4632439811</v>
      </c>
      <c r="W403" s="50" t="n">
        <f aca="false">SUMIFS('Activation Detail'!$I$4:$I$4003,'Activation Detail'!$A$4:$A$4003,$A403,'Activation Detail'!$N$4:$N$4003,T$2)</f>
        <v>17538.67228</v>
      </c>
      <c r="X403" s="51" t="n">
        <f aca="false">IFERROR(V403/W403,0)</f>
        <v>1.25109032734496</v>
      </c>
      <c r="Y403" s="49" t="n">
        <f aca="false">IFERROR(W403/T403,0)</f>
        <v>126.897312312307</v>
      </c>
      <c r="Z403" s="48" t="n">
        <f aca="false">SUMIFS('Activation Detail'!$H$4:$H$4003,'Activation Detail'!$A$4:$A$4003,$A403,'Activation Detail'!$N$4:$N$4003,Z$2)</f>
        <v>576.898654814292</v>
      </c>
      <c r="AA403" s="50" t="n">
        <f aca="false">Z403*'Model Inputs &amp; Assumptions'!$D$42*'Model Inputs &amp; Assumptions'!$H$42</f>
        <v>3115252.73599718</v>
      </c>
      <c r="AB403" s="50" t="n">
        <f aca="false">Z403*'Model Inputs &amp; Assumptions'!$G$42*'Model Inputs &amp; Assumptions'!$H$42</f>
        <v>65420.3074559407</v>
      </c>
      <c r="AC403" s="50" t="n">
        <f aca="false">SUMIFS('Activation Detail'!$I$4:$I$4003,'Activation Detail'!$A$4:$A$4003,$A403,'Activation Detail'!$N$4:$N$4003,Z$2)</f>
        <v>45455.224</v>
      </c>
      <c r="AD403" s="51" t="n">
        <f aca="false">IFERROR(AB403/AC403,0)</f>
        <v>1.43922527927573</v>
      </c>
      <c r="AE403" s="49" t="n">
        <f aca="false">IFERROR(AC403/Z403,0)</f>
        <v>78.792390345636</v>
      </c>
    </row>
    <row r="404" customFormat="false" ht="15" hidden="false" customHeight="false" outlineLevel="0" collapsed="false">
      <c r="A404" s="43" t="n">
        <v>401</v>
      </c>
      <c r="B404" s="45" t="n">
        <f aca="false">SUM('Activation Detail'!C404,'Activation Detail'!C904,'Activation Detail'!C1404,'Activation Detail'!C1904,'Activation Detail'!C2404,'Activation Detail'!C2904,'Activation Detail'!C3404,'Activation Detail'!C3904)</f>
        <v>5335153</v>
      </c>
      <c r="C404" s="45" t="n">
        <f aca="false">SUM('Activation Detail'!E404,'Activation Detail'!E904,'Activation Detail'!E1404,'Activation Detail'!E1904,'Activation Detail'!E2404,'Activation Detail'!E2904,'Activation Detail'!E3404,'Activation Detail'!E3904)</f>
        <v>397706</v>
      </c>
      <c r="D404" s="45" t="n">
        <f aca="false">SUM('Activation Detail'!G404,'Activation Detail'!G904,'Activation Detail'!G1404,'Activation Detail'!G1904,'Activation Detail'!G2404,'Activation Detail'!G2904,'Activation Detail'!G3404,'Activation Detail'!G3904)</f>
        <v>17546</v>
      </c>
      <c r="E404" s="48" t="n">
        <f aca="false">SUM('Activation Detail'!H404,'Activation Detail'!H904,'Activation Detail'!H1404,'Activation Detail'!H1904,'Activation Detail'!H2404,'Activation Detail'!H2904,'Activation Detail'!H3404,'Activation Detail'!H3904)</f>
        <v>774.689476738553</v>
      </c>
      <c r="F404" s="50" t="n">
        <f aca="false">SUM('Activation Detail'!I404,'Activation Detail'!I904,'Activation Detail'!I1404,'Activation Detail'!I1904,'Activation Detail'!I2404,'Activation Detail'!I2904,'Activation Detail'!I3404,'Activation Detail'!I3904)</f>
        <v>76355.01512</v>
      </c>
      <c r="G404" s="50" t="n">
        <f aca="false">SUM('Activation Detail'!J404,'Activation Detail'!J904,'Activation Detail'!J1404,'Activation Detail'!J1904,'Activation Detail'!J2404,'Activation Detail'!J2904,'Activation Detail'!J3404,'Activation Detail'!J3904)</f>
        <v>4793311.20853955</v>
      </c>
      <c r="H404" s="50" t="n">
        <f aca="false">SUM('Activation Detail'!K404,'Activation Detail'!K904,'Activation Detail'!K1404,'Activation Detail'!K1904,'Activation Detail'!K2404,'Activation Detail'!K2904,'Activation Detail'!K3404,'Activation Detail'!K3904)</f>
        <v>103198.569078654</v>
      </c>
      <c r="I404" s="51" t="n">
        <f aca="false">IFERROR(H404/F404,0)</f>
        <v>1.35156242083727</v>
      </c>
      <c r="J404" s="49" t="n">
        <f aca="false">IFERROR(F404/E404,0)</f>
        <v>98.5620915382187</v>
      </c>
      <c r="K404" s="46" t="n">
        <f aca="false">IFERROR(C404/B404,0)</f>
        <v>0.0745444413684106</v>
      </c>
      <c r="L404" s="47" t="n">
        <f aca="false">IFERROR(D404/B404,0)</f>
        <v>0.00328875291861358</v>
      </c>
      <c r="N404" s="48" t="n">
        <f aca="false">SUMIFS('Activation Detail'!$H$4:$H$4003,'Activation Detail'!$A$4:$A$4003,$A404,'Activation Detail'!$N$4:$N$4003,N$2)</f>
        <v>84.8742374538356</v>
      </c>
      <c r="O404" s="50" t="n">
        <f aca="false">N404*'Model Inputs &amp; Assumptions'!$D$40*'Model Inputs &amp; Assumptions'!$H$40</f>
        <v>721431.018357603</v>
      </c>
      <c r="P404" s="50" t="n">
        <f aca="false">N404*'Model Inputs &amp; Assumptions'!$G$40*'Model Inputs &amp; Assumptions'!$H$40</f>
        <v>16232.1979130461</v>
      </c>
      <c r="Q404" s="50" t="n">
        <f aca="false">SUMIFS('Activation Detail'!$I$4:$I$4003,'Activation Detail'!$A$4:$A$4003,$A404,'Activation Detail'!$N$4:$N$4003,N$2)</f>
        <v>18583.324</v>
      </c>
      <c r="R404" s="51" t="n">
        <f aca="false">IFERROR(P404/Q404,0)</f>
        <v>0.873481940746772</v>
      </c>
      <c r="S404" s="49" t="n">
        <f aca="false">IFERROR(Q404/N404,0)</f>
        <v>218.951292612293</v>
      </c>
      <c r="T404" s="48" t="n">
        <f aca="false">SUMIFS('Activation Detail'!$H$4:$H$4003,'Activation Detail'!$A$4:$A$4003,$A404,'Activation Detail'!$N$4:$N$4003,T$2)</f>
        <v>192.709943358042</v>
      </c>
      <c r="U404" s="50" t="n">
        <f aca="false">T404*'Model Inputs &amp; Assumptions'!$D$41*'Model Inputs &amp; Assumptions'!$H$41</f>
        <v>1387511.5921779</v>
      </c>
      <c r="V404" s="50" t="n">
        <f aca="false">T404*'Model Inputs &amp; Assumptions'!$G$41*'Model Inputs &amp; Assumptions'!$H$41</f>
        <v>30594.6306075227</v>
      </c>
      <c r="W404" s="50" t="n">
        <f aca="false">SUMIFS('Activation Detail'!$I$4:$I$4003,'Activation Detail'!$A$4:$A$4003,$A404,'Activation Detail'!$N$4:$N$4003,T$2)</f>
        <v>15602.59512</v>
      </c>
      <c r="X404" s="51" t="n">
        <f aca="false">IFERROR(V404/W404,0)</f>
        <v>1.96086807176746</v>
      </c>
      <c r="Y404" s="49" t="n">
        <f aca="false">IFERROR(W404/T404,0)</f>
        <v>80.9641414870401</v>
      </c>
      <c r="Z404" s="48" t="n">
        <f aca="false">SUMIFS('Activation Detail'!$H$4:$H$4003,'Activation Detail'!$A$4:$A$4003,$A404,'Activation Detail'!$N$4:$N$4003,Z$2)</f>
        <v>497.105295926675</v>
      </c>
      <c r="AA404" s="50" t="n">
        <f aca="false">Z404*'Model Inputs &amp; Assumptions'!$D$42*'Model Inputs &amp; Assumptions'!$H$42</f>
        <v>2684368.59800405</v>
      </c>
      <c r="AB404" s="50" t="n">
        <f aca="false">Z404*'Model Inputs &amp; Assumptions'!$G$42*'Model Inputs &amp; Assumptions'!$H$42</f>
        <v>56371.7405580849</v>
      </c>
      <c r="AC404" s="50" t="n">
        <f aca="false">SUMIFS('Activation Detail'!$I$4:$I$4003,'Activation Detail'!$A$4:$A$4003,$A404,'Activation Detail'!$N$4:$N$4003,Z$2)</f>
        <v>42169.096</v>
      </c>
      <c r="AD404" s="51" t="n">
        <f aca="false">IFERROR(AB404/AC404,0)</f>
        <v>1.33680220600615</v>
      </c>
      <c r="AE404" s="49" t="n">
        <f aca="false">IFERROR(AC404/Z404,0)</f>
        <v>84.829303460529</v>
      </c>
    </row>
    <row r="405" customFormat="false" ht="15" hidden="false" customHeight="false" outlineLevel="0" collapsed="false">
      <c r="A405" s="43" t="n">
        <v>402</v>
      </c>
      <c r="B405" s="45" t="n">
        <f aca="false">SUM('Activation Detail'!C405,'Activation Detail'!C905,'Activation Detail'!C1405,'Activation Detail'!C1905,'Activation Detail'!C2405,'Activation Detail'!C2905,'Activation Detail'!C3405,'Activation Detail'!C3905)</f>
        <v>3977535</v>
      </c>
      <c r="C405" s="45" t="n">
        <f aca="false">SUM('Activation Detail'!E405,'Activation Detail'!E905,'Activation Detail'!E1405,'Activation Detail'!E1905,'Activation Detail'!E2405,'Activation Detail'!E2905,'Activation Detail'!E3405,'Activation Detail'!E3905)</f>
        <v>446662</v>
      </c>
      <c r="D405" s="45" t="n">
        <f aca="false">SUM('Activation Detail'!G405,'Activation Detail'!G905,'Activation Detail'!G1405,'Activation Detail'!G1905,'Activation Detail'!G2405,'Activation Detail'!G2905,'Activation Detail'!G3405,'Activation Detail'!G3905)</f>
        <v>14403</v>
      </c>
      <c r="E405" s="48" t="n">
        <f aca="false">SUM('Activation Detail'!H405,'Activation Detail'!H905,'Activation Detail'!H1405,'Activation Detail'!H1905,'Activation Detail'!H2405,'Activation Detail'!H2905,'Activation Detail'!H3405,'Activation Detail'!H3905)</f>
        <v>653.090362011312</v>
      </c>
      <c r="F405" s="50" t="n">
        <f aca="false">SUM('Activation Detail'!I405,'Activation Detail'!I905,'Activation Detail'!I1405,'Activation Detail'!I1905,'Activation Detail'!I2405,'Activation Detail'!I2905,'Activation Detail'!I3405,'Activation Detail'!I3905)</f>
        <v>70173.288984</v>
      </c>
      <c r="G405" s="50" t="n">
        <f aca="false">SUM('Activation Detail'!J405,'Activation Detail'!J905,'Activation Detail'!J1405,'Activation Detail'!J1905,'Activation Detail'!J2405,'Activation Detail'!J2905,'Activation Detail'!J3405,'Activation Detail'!J3905)</f>
        <v>4051462.65704728</v>
      </c>
      <c r="H405" s="50" t="n">
        <f aca="false">SUM('Activation Detail'!K405,'Activation Detail'!K905,'Activation Detail'!K1405,'Activation Detail'!K1905,'Activation Detail'!K2405,'Activation Detail'!K2905,'Activation Detail'!K3405,'Activation Detail'!K3905)</f>
        <v>87267.5164984099</v>
      </c>
      <c r="I405" s="51" t="n">
        <f aca="false">IFERROR(H405/F405,0)</f>
        <v>1.24360020403643</v>
      </c>
      <c r="J405" s="49" t="n">
        <f aca="false">IFERROR(F405/E405,0)</f>
        <v>107.448054765176</v>
      </c>
      <c r="K405" s="46" t="n">
        <f aca="false">IFERROR(C405/B405,0)</f>
        <v>0.112296183440246</v>
      </c>
      <c r="L405" s="47" t="n">
        <f aca="false">IFERROR(D405/B405,0)</f>
        <v>0.00362108692946762</v>
      </c>
      <c r="N405" s="48" t="n">
        <f aca="false">SUMIFS('Activation Detail'!$H$4:$H$4003,'Activation Detail'!$A$4:$A$4003,$A405,'Activation Detail'!$N$4:$N$4003,N$2)</f>
        <v>63.9001806108993</v>
      </c>
      <c r="O405" s="50" t="n">
        <f aca="false">N405*'Model Inputs &amp; Assumptions'!$D$40*'Model Inputs &amp; Assumptions'!$H$40</f>
        <v>543151.535192644</v>
      </c>
      <c r="P405" s="50" t="n">
        <f aca="false">N405*'Model Inputs &amp; Assumptions'!$G$40*'Model Inputs &amp; Assumptions'!$H$40</f>
        <v>12220.9095418345</v>
      </c>
      <c r="Q405" s="50" t="n">
        <f aca="false">SUMIFS('Activation Detail'!$I$4:$I$4003,'Activation Detail'!$A$4:$A$4003,$A405,'Activation Detail'!$N$4:$N$4003,N$2)</f>
        <v>17597.417</v>
      </c>
      <c r="R405" s="51" t="n">
        <f aca="false">IFERROR(P405/Q405,0)</f>
        <v>0.694471781957232</v>
      </c>
      <c r="S405" s="49" t="n">
        <f aca="false">IFERROR(Q405/N405,0)</f>
        <v>275.389159025295</v>
      </c>
      <c r="T405" s="48" t="n">
        <f aca="false">SUMIFS('Activation Detail'!$H$4:$H$4003,'Activation Detail'!$A$4:$A$4003,$A405,'Activation Detail'!$N$4:$N$4003,T$2)</f>
        <v>181.491190162448</v>
      </c>
      <c r="U405" s="50" t="n">
        <f aca="false">T405*'Model Inputs &amp; Assumptions'!$D$41*'Model Inputs &amp; Assumptions'!$H$41</f>
        <v>1306736.56916962</v>
      </c>
      <c r="V405" s="50" t="n">
        <f aca="false">T405*'Model Inputs &amp; Assumptions'!$G$41*'Model Inputs &amp; Assumptions'!$H$41</f>
        <v>28813.5413501902</v>
      </c>
      <c r="W405" s="50" t="n">
        <f aca="false">SUMIFS('Activation Detail'!$I$4:$I$4003,'Activation Detail'!$A$4:$A$4003,$A405,'Activation Detail'!$N$4:$N$4003,T$2)</f>
        <v>19662.867984</v>
      </c>
      <c r="X405" s="51" t="n">
        <f aca="false">IFERROR(V405/W405,0)</f>
        <v>1.46537836564006</v>
      </c>
      <c r="Y405" s="49" t="n">
        <f aca="false">IFERROR(W405/T405,0)</f>
        <v>108.340619544124</v>
      </c>
      <c r="Z405" s="48" t="n">
        <f aca="false">SUMIFS('Activation Detail'!$H$4:$H$4003,'Activation Detail'!$A$4:$A$4003,$A405,'Activation Detail'!$N$4:$N$4003,Z$2)</f>
        <v>407.698991237965</v>
      </c>
      <c r="AA405" s="50" t="n">
        <f aca="false">Z405*'Model Inputs &amp; Assumptions'!$D$42*'Model Inputs &amp; Assumptions'!$H$42</f>
        <v>2201574.55268501</v>
      </c>
      <c r="AB405" s="50" t="n">
        <f aca="false">Z405*'Model Inputs &amp; Assumptions'!$G$42*'Model Inputs &amp; Assumptions'!$H$42</f>
        <v>46233.0656063852</v>
      </c>
      <c r="AC405" s="50" t="n">
        <f aca="false">SUMIFS('Activation Detail'!$I$4:$I$4003,'Activation Detail'!$A$4:$A$4003,$A405,'Activation Detail'!$N$4:$N$4003,Z$2)</f>
        <v>32913.004</v>
      </c>
      <c r="AD405" s="51" t="n">
        <f aca="false">IFERROR(AB405/AC405,0)</f>
        <v>1.40470513133305</v>
      </c>
      <c r="AE405" s="49" t="n">
        <f aca="false">IFERROR(AC405/Z405,0)</f>
        <v>80.7286863773215</v>
      </c>
    </row>
    <row r="406" customFormat="false" ht="15" hidden="false" customHeight="false" outlineLevel="0" collapsed="false">
      <c r="A406" s="43" t="n">
        <v>403</v>
      </c>
      <c r="B406" s="45" t="n">
        <f aca="false">SUM('Activation Detail'!C406,'Activation Detail'!C906,'Activation Detail'!C1406,'Activation Detail'!C1906,'Activation Detail'!C2406,'Activation Detail'!C2906,'Activation Detail'!C3406,'Activation Detail'!C3906)</f>
        <v>3705490</v>
      </c>
      <c r="C406" s="45" t="n">
        <f aca="false">SUM('Activation Detail'!E406,'Activation Detail'!E906,'Activation Detail'!E1406,'Activation Detail'!E1906,'Activation Detail'!E2406,'Activation Detail'!E2906,'Activation Detail'!E3406,'Activation Detail'!E3906)</f>
        <v>351829</v>
      </c>
      <c r="D406" s="45" t="n">
        <f aca="false">SUM('Activation Detail'!G406,'Activation Detail'!G906,'Activation Detail'!G1406,'Activation Detail'!G1906,'Activation Detail'!G2406,'Activation Detail'!G2906,'Activation Detail'!G3406,'Activation Detail'!G3906)</f>
        <v>13090</v>
      </c>
      <c r="E406" s="48" t="n">
        <f aca="false">SUM('Activation Detail'!H406,'Activation Detail'!H906,'Activation Detail'!H1406,'Activation Detail'!H1906,'Activation Detail'!H2406,'Activation Detail'!H2906,'Activation Detail'!H3406,'Activation Detail'!H3906)</f>
        <v>515.129143304686</v>
      </c>
      <c r="F406" s="50" t="n">
        <f aca="false">SUM('Activation Detail'!I406,'Activation Detail'!I906,'Activation Detail'!I1406,'Activation Detail'!I1906,'Activation Detail'!I2406,'Activation Detail'!I2906,'Activation Detail'!I3406,'Activation Detail'!I3906)</f>
        <v>71114.443874</v>
      </c>
      <c r="G406" s="50" t="n">
        <f aca="false">SUM('Activation Detail'!J406,'Activation Detail'!J906,'Activation Detail'!J1406,'Activation Detail'!J1906,'Activation Detail'!J2406,'Activation Detail'!J2906,'Activation Detail'!J3406,'Activation Detail'!J3906)</f>
        <v>3400407.13196469</v>
      </c>
      <c r="H406" s="50" t="n">
        <f aca="false">SUM('Activation Detail'!K406,'Activation Detail'!K906,'Activation Detail'!K1406,'Activation Detail'!K1906,'Activation Detail'!K2406,'Activation Detail'!K2906,'Activation Detail'!K3406,'Activation Detail'!K3906)</f>
        <v>73975.6641979916</v>
      </c>
      <c r="I406" s="51" t="n">
        <f aca="false">IFERROR(H406/F406,0)</f>
        <v>1.04023402515896</v>
      </c>
      <c r="J406" s="49" t="n">
        <f aca="false">IFERROR(F406/E406,0)</f>
        <v>138.051680434507</v>
      </c>
      <c r="K406" s="46" t="n">
        <f aca="false">IFERROR(C406/B406,0)</f>
        <v>0.0949480365619662</v>
      </c>
      <c r="L406" s="47" t="n">
        <f aca="false">IFERROR(D406/B406,0)</f>
        <v>0.00353259622883883</v>
      </c>
      <c r="N406" s="48" t="n">
        <f aca="false">SUMIFS('Activation Detail'!$H$4:$H$4003,'Activation Detail'!$A$4:$A$4003,$A406,'Activation Detail'!$N$4:$N$4003,N$2)</f>
        <v>116.542805067784</v>
      </c>
      <c r="O406" s="50" t="n">
        <f aca="false">N406*'Model Inputs &amp; Assumptions'!$D$40*'Model Inputs &amp; Assumptions'!$H$40</f>
        <v>990613.843076164</v>
      </c>
      <c r="P406" s="50" t="n">
        <f aca="false">N406*'Model Inputs &amp; Assumptions'!$G$40*'Model Inputs &amp; Assumptions'!$H$40</f>
        <v>22288.8114692137</v>
      </c>
      <c r="Q406" s="50" t="n">
        <f aca="false">SUMIFS('Activation Detail'!$I$4:$I$4003,'Activation Detail'!$A$4:$A$4003,$A406,'Activation Detail'!$N$4:$N$4003,N$2)</f>
        <v>17689.106</v>
      </c>
      <c r="R406" s="51" t="n">
        <f aca="false">IFERROR(P406/Q406,0)</f>
        <v>1.26003040906724</v>
      </c>
      <c r="S406" s="49" t="n">
        <f aca="false">IFERROR(Q406/N406,0)</f>
        <v>151.782051150319</v>
      </c>
      <c r="T406" s="48" t="n">
        <f aca="false">SUMIFS('Activation Detail'!$H$4:$H$4003,'Activation Detail'!$A$4:$A$4003,$A406,'Activation Detail'!$N$4:$N$4003,T$2)</f>
        <v>143.015034671808</v>
      </c>
      <c r="U406" s="50" t="n">
        <f aca="false">T406*'Model Inputs &amp; Assumptions'!$D$41*'Model Inputs &amp; Assumptions'!$H$41</f>
        <v>1029708.24963702</v>
      </c>
      <c r="V406" s="50" t="n">
        <f aca="false">T406*'Model Inputs &amp; Assumptions'!$G$41*'Model Inputs &amp; Assumptions'!$H$41</f>
        <v>22705.0669044963</v>
      </c>
      <c r="W406" s="50" t="n">
        <f aca="false">SUMIFS('Activation Detail'!$I$4:$I$4003,'Activation Detail'!$A$4:$A$4003,$A406,'Activation Detail'!$N$4:$N$4003,T$2)</f>
        <v>15823.333874</v>
      </c>
      <c r="X406" s="51" t="n">
        <f aca="false">IFERROR(V406/W406,0)</f>
        <v>1.43491043577131</v>
      </c>
      <c r="Y406" s="49" t="n">
        <f aca="false">IFERROR(W406/T406,0)</f>
        <v>110.64105190277</v>
      </c>
      <c r="Z406" s="48" t="n">
        <f aca="false">SUMIFS('Activation Detail'!$H$4:$H$4003,'Activation Detail'!$A$4:$A$4003,$A406,'Activation Detail'!$N$4:$N$4003,Z$2)</f>
        <v>255.571303565094</v>
      </c>
      <c r="AA406" s="50" t="n">
        <f aca="false">Z406*'Model Inputs &amp; Assumptions'!$D$42*'Model Inputs &amp; Assumptions'!$H$42</f>
        <v>1380085.03925151</v>
      </c>
      <c r="AB406" s="50" t="n">
        <f aca="false">Z406*'Model Inputs &amp; Assumptions'!$G$42*'Model Inputs &amp; Assumptions'!$H$42</f>
        <v>28981.7858242817</v>
      </c>
      <c r="AC406" s="50" t="n">
        <f aca="false">SUMIFS('Activation Detail'!$I$4:$I$4003,'Activation Detail'!$A$4:$A$4003,$A406,'Activation Detail'!$N$4:$N$4003,Z$2)</f>
        <v>37602.004</v>
      </c>
      <c r="AD406" s="51" t="n">
        <f aca="false">IFERROR(AB406/AC406,0)</f>
        <v>0.770751096784142</v>
      </c>
      <c r="AE406" s="49" t="n">
        <f aca="false">IFERROR(AC406/Z406,0)</f>
        <v>147.12921003051</v>
      </c>
    </row>
    <row r="407" customFormat="false" ht="15" hidden="false" customHeight="false" outlineLevel="0" collapsed="false">
      <c r="A407" s="43" t="n">
        <v>404</v>
      </c>
      <c r="B407" s="45" t="n">
        <f aca="false">SUM('Activation Detail'!C407,'Activation Detail'!C907,'Activation Detail'!C1407,'Activation Detail'!C1907,'Activation Detail'!C2407,'Activation Detail'!C2907,'Activation Detail'!C3407,'Activation Detail'!C3907)</f>
        <v>5481098</v>
      </c>
      <c r="C407" s="45" t="n">
        <f aca="false">SUM('Activation Detail'!E407,'Activation Detail'!E907,'Activation Detail'!E1407,'Activation Detail'!E1907,'Activation Detail'!E2407,'Activation Detail'!E2907,'Activation Detail'!E3407,'Activation Detail'!E3907)</f>
        <v>490122</v>
      </c>
      <c r="D407" s="45" t="n">
        <f aca="false">SUM('Activation Detail'!G407,'Activation Detail'!G907,'Activation Detail'!G1407,'Activation Detail'!G1907,'Activation Detail'!G2407,'Activation Detail'!G2907,'Activation Detail'!G3407,'Activation Detail'!G3907)</f>
        <v>21885</v>
      </c>
      <c r="E407" s="48" t="n">
        <f aca="false">SUM('Activation Detail'!H407,'Activation Detail'!H907,'Activation Detail'!H1407,'Activation Detail'!H1907,'Activation Detail'!H2407,'Activation Detail'!H2907,'Activation Detail'!H3407,'Activation Detail'!H3907)</f>
        <v>1107.32824249518</v>
      </c>
      <c r="F407" s="50" t="n">
        <f aca="false">SUM('Activation Detail'!I407,'Activation Detail'!I907,'Activation Detail'!I1407,'Activation Detail'!I1907,'Activation Detail'!I2407,'Activation Detail'!I2907,'Activation Detail'!I3407,'Activation Detail'!I3907)</f>
        <v>76924.489172</v>
      </c>
      <c r="G407" s="50" t="n">
        <f aca="false">SUM('Activation Detail'!J407,'Activation Detail'!J907,'Activation Detail'!J1407,'Activation Detail'!J1907,'Activation Detail'!J2407,'Activation Detail'!J2907,'Activation Detail'!J3407,'Activation Detail'!J3907)</f>
        <v>6644507.98971025</v>
      </c>
      <c r="H407" s="50" t="n">
        <f aca="false">SUM('Activation Detail'!K407,'Activation Detail'!K907,'Activation Detail'!K1407,'Activation Detail'!K1907,'Activation Detail'!K2407,'Activation Detail'!K2907,'Activation Detail'!K3407,'Activation Detail'!K3907)</f>
        <v>142294.113789278</v>
      </c>
      <c r="I407" s="51" t="n">
        <f aca="false">IFERROR(H407/F407,0)</f>
        <v>1.84978951853829</v>
      </c>
      <c r="J407" s="49" t="n">
        <f aca="false">IFERROR(F407/E407,0)</f>
        <v>69.4685516181391</v>
      </c>
      <c r="K407" s="46" t="n">
        <f aca="false">IFERROR(C407/B407,0)</f>
        <v>0.0894204044518087</v>
      </c>
      <c r="L407" s="47" t="n">
        <f aca="false">IFERROR(D407/B407,0)</f>
        <v>0.0039928131188313</v>
      </c>
      <c r="N407" s="48" t="n">
        <f aca="false">SUMIFS('Activation Detail'!$H$4:$H$4003,'Activation Detail'!$A$4:$A$4003,$A407,'Activation Detail'!$N$4:$N$4003,N$2)</f>
        <v>123.270413443201</v>
      </c>
      <c r="O407" s="50" t="n">
        <f aca="false">N407*'Model Inputs &amp; Assumptions'!$D$40*'Model Inputs &amp; Assumptions'!$H$40</f>
        <v>1047798.51426721</v>
      </c>
      <c r="P407" s="50" t="n">
        <f aca="false">N407*'Model Inputs &amp; Assumptions'!$G$40*'Model Inputs &amp; Assumptions'!$H$40</f>
        <v>23575.4665710123</v>
      </c>
      <c r="Q407" s="50" t="n">
        <f aca="false">SUMIFS('Activation Detail'!$I$4:$I$4003,'Activation Detail'!$A$4:$A$4003,$A407,'Activation Detail'!$N$4:$N$4003,N$2)</f>
        <v>18596.2655</v>
      </c>
      <c r="R407" s="51" t="n">
        <f aca="false">IFERROR(P407/Q407,0)</f>
        <v>1.26775274159278</v>
      </c>
      <c r="S407" s="49" t="n">
        <f aca="false">IFERROR(Q407/N407,0)</f>
        <v>150.857492731364</v>
      </c>
      <c r="T407" s="48" t="n">
        <f aca="false">SUMIFS('Activation Detail'!$H$4:$H$4003,'Activation Detail'!$A$4:$A$4003,$A407,'Activation Detail'!$N$4:$N$4003,T$2)</f>
        <v>157.109554756851</v>
      </c>
      <c r="U407" s="50" t="n">
        <f aca="false">T407*'Model Inputs &amp; Assumptions'!$D$41*'Model Inputs &amp; Assumptions'!$H$41</f>
        <v>1131188.79424933</v>
      </c>
      <c r="V407" s="50" t="n">
        <f aca="false">T407*'Model Inputs &amp; Assumptions'!$G$41*'Model Inputs &amp; Assumptions'!$H$41</f>
        <v>24942.7129131977</v>
      </c>
      <c r="W407" s="50" t="n">
        <f aca="false">SUMIFS('Activation Detail'!$I$4:$I$4003,'Activation Detail'!$A$4:$A$4003,$A407,'Activation Detail'!$N$4:$N$4003,T$2)</f>
        <v>20153.867672</v>
      </c>
      <c r="X407" s="51" t="n">
        <f aca="false">IFERROR(V407/W407,0)</f>
        <v>1.2376142048333</v>
      </c>
      <c r="Y407" s="49" t="n">
        <f aca="false">IFERROR(W407/T407,0)</f>
        <v>128.279070634443</v>
      </c>
      <c r="Z407" s="48" t="n">
        <f aca="false">SUMIFS('Activation Detail'!$H$4:$H$4003,'Activation Detail'!$A$4:$A$4003,$A407,'Activation Detail'!$N$4:$N$4003,Z$2)</f>
        <v>826.948274295132</v>
      </c>
      <c r="AA407" s="50" t="n">
        <f aca="false">Z407*'Model Inputs &amp; Assumptions'!$D$42*'Model Inputs &amp; Assumptions'!$H$42</f>
        <v>4465520.68119371</v>
      </c>
      <c r="AB407" s="50" t="n">
        <f aca="false">Z407*'Model Inputs &amp; Assumptions'!$G$42*'Model Inputs &amp; Assumptions'!$H$42</f>
        <v>93775.9343050679</v>
      </c>
      <c r="AC407" s="50" t="n">
        <f aca="false">SUMIFS('Activation Detail'!$I$4:$I$4003,'Activation Detail'!$A$4:$A$4003,$A407,'Activation Detail'!$N$4:$N$4003,Z$2)</f>
        <v>38174.356</v>
      </c>
      <c r="AD407" s="51" t="n">
        <f aca="false">IFERROR(AB407/AC407,0)</f>
        <v>2.45651647155666</v>
      </c>
      <c r="AE407" s="49" t="n">
        <f aca="false">IFERROR(AC407/Z407,0)</f>
        <v>46.1629308465984</v>
      </c>
    </row>
    <row r="408" customFormat="false" ht="15" hidden="false" customHeight="false" outlineLevel="0" collapsed="false">
      <c r="A408" s="43" t="n">
        <v>405</v>
      </c>
      <c r="B408" s="45" t="n">
        <f aca="false">SUM('Activation Detail'!C408,'Activation Detail'!C908,'Activation Detail'!C1408,'Activation Detail'!C1908,'Activation Detail'!C2408,'Activation Detail'!C2908,'Activation Detail'!C3408,'Activation Detail'!C3908)</f>
        <v>5023281</v>
      </c>
      <c r="C408" s="45" t="n">
        <f aca="false">SUM('Activation Detail'!E408,'Activation Detail'!E908,'Activation Detail'!E1408,'Activation Detail'!E1908,'Activation Detail'!E2408,'Activation Detail'!E2908,'Activation Detail'!E3408,'Activation Detail'!E3908)</f>
        <v>498274</v>
      </c>
      <c r="D408" s="45" t="n">
        <f aca="false">SUM('Activation Detail'!G408,'Activation Detail'!G908,'Activation Detail'!G1408,'Activation Detail'!G1908,'Activation Detail'!G2408,'Activation Detail'!G2908,'Activation Detail'!G3408,'Activation Detail'!G3908)</f>
        <v>19637</v>
      </c>
      <c r="E408" s="48" t="n">
        <f aca="false">SUM('Activation Detail'!H408,'Activation Detail'!H908,'Activation Detail'!H1408,'Activation Detail'!H1908,'Activation Detail'!H2408,'Activation Detail'!H2908,'Activation Detail'!H3408,'Activation Detail'!H3908)</f>
        <v>763.743733021996</v>
      </c>
      <c r="F408" s="50" t="n">
        <f aca="false">SUM('Activation Detail'!I408,'Activation Detail'!I908,'Activation Detail'!I1408,'Activation Detail'!I1908,'Activation Detail'!I2408,'Activation Detail'!I2908,'Activation Detail'!I3408,'Activation Detail'!I3908)</f>
        <v>82219.555046</v>
      </c>
      <c r="G408" s="50" t="n">
        <f aca="false">SUM('Activation Detail'!J408,'Activation Detail'!J908,'Activation Detail'!J1408,'Activation Detail'!J1908,'Activation Detail'!J2408,'Activation Detail'!J2908,'Activation Detail'!J3408,'Activation Detail'!J3908)</f>
        <v>4871298.85121586</v>
      </c>
      <c r="H408" s="50" t="n">
        <f aca="false">SUM('Activation Detail'!K408,'Activation Detail'!K908,'Activation Detail'!K1408,'Activation Detail'!K1908,'Activation Detail'!K2408,'Activation Detail'!K2908,'Activation Detail'!K3408,'Activation Detail'!K3908)</f>
        <v>105408.947936523</v>
      </c>
      <c r="I408" s="51" t="n">
        <f aca="false">IFERROR(H408/F408,0)</f>
        <v>1.28204230584256</v>
      </c>
      <c r="J408" s="49" t="n">
        <f aca="false">IFERROR(F408/E408,0)</f>
        <v>107.653328585325</v>
      </c>
      <c r="K408" s="46" t="n">
        <f aca="false">IFERROR(C408/B408,0)</f>
        <v>0.0991929378428163</v>
      </c>
      <c r="L408" s="47" t="n">
        <f aca="false">IFERROR(D408/B408,0)</f>
        <v>0.00390919799230821</v>
      </c>
      <c r="N408" s="48" t="n">
        <f aca="false">SUMIFS('Activation Detail'!$H$4:$H$4003,'Activation Detail'!$A$4:$A$4003,$A408,'Activation Detail'!$N$4:$N$4003,N$2)</f>
        <v>96.5749969543562</v>
      </c>
      <c r="O408" s="50" t="n">
        <f aca="false">N408*'Model Inputs &amp; Assumptions'!$D$40*'Model Inputs &amp; Assumptions'!$H$40</f>
        <v>820887.474112027</v>
      </c>
      <c r="P408" s="50" t="n">
        <f aca="false">N408*'Model Inputs &amp; Assumptions'!$G$40*'Model Inputs &amp; Assumptions'!$H$40</f>
        <v>18469.9681675206</v>
      </c>
      <c r="Q408" s="50" t="n">
        <f aca="false">SUMIFS('Activation Detail'!$I$4:$I$4003,'Activation Detail'!$A$4:$A$4003,$A408,'Activation Detail'!$N$4:$N$4003,N$2)</f>
        <v>17579.2105</v>
      </c>
      <c r="R408" s="51" t="n">
        <f aca="false">IFERROR(P408/Q408,0)</f>
        <v>1.05067108488863</v>
      </c>
      <c r="S408" s="49" t="n">
        <f aca="false">IFERROR(Q408/N408,0)</f>
        <v>182.026518813233</v>
      </c>
      <c r="T408" s="48" t="n">
        <f aca="false">SUMIFS('Activation Detail'!$H$4:$H$4003,'Activation Detail'!$A$4:$A$4003,$A408,'Activation Detail'!$N$4:$N$4003,T$2)</f>
        <v>248.722334632543</v>
      </c>
      <c r="U408" s="50" t="n">
        <f aca="false">T408*'Model Inputs &amp; Assumptions'!$D$41*'Model Inputs &amp; Assumptions'!$H$41</f>
        <v>1790800.80935431</v>
      </c>
      <c r="V408" s="50" t="n">
        <f aca="false">T408*'Model Inputs &amp; Assumptions'!$G$41*'Model Inputs &amp; Assumptions'!$H$41</f>
        <v>39487.1578462626</v>
      </c>
      <c r="W408" s="50" t="n">
        <f aca="false">SUMIFS('Activation Detail'!$I$4:$I$4003,'Activation Detail'!$A$4:$A$4003,$A408,'Activation Detail'!$N$4:$N$4003,T$2)</f>
        <v>19076.208546</v>
      </c>
      <c r="X408" s="51" t="n">
        <f aca="false">IFERROR(V408/W408,0)</f>
        <v>2.06996886991689</v>
      </c>
      <c r="Y408" s="49" t="n">
        <f aca="false">IFERROR(W408/T408,0)</f>
        <v>76.696805593204</v>
      </c>
      <c r="Z408" s="48" t="n">
        <f aca="false">SUMIFS('Activation Detail'!$H$4:$H$4003,'Activation Detail'!$A$4:$A$4003,$A408,'Activation Detail'!$N$4:$N$4003,Z$2)</f>
        <v>418.446401435097</v>
      </c>
      <c r="AA408" s="50" t="n">
        <f aca="false">Z408*'Model Inputs &amp; Assumptions'!$D$42*'Model Inputs &amp; Assumptions'!$H$42</f>
        <v>2259610.56774952</v>
      </c>
      <c r="AB408" s="50" t="n">
        <f aca="false">Z408*'Model Inputs &amp; Assumptions'!$G$42*'Model Inputs &amp; Assumptions'!$H$42</f>
        <v>47451.82192274</v>
      </c>
      <c r="AC408" s="50" t="n">
        <f aca="false">SUMIFS('Activation Detail'!$I$4:$I$4003,'Activation Detail'!$A$4:$A$4003,$A408,'Activation Detail'!$N$4:$N$4003,Z$2)</f>
        <v>45564.136</v>
      </c>
      <c r="AD408" s="51" t="n">
        <f aca="false">IFERROR(AB408/AC408,0)</f>
        <v>1.04142920481889</v>
      </c>
      <c r="AE408" s="49" t="n">
        <f aca="false">IFERROR(AC408/Z408,0)</f>
        <v>108.88882266339</v>
      </c>
    </row>
    <row r="409" customFormat="false" ht="15" hidden="false" customHeight="false" outlineLevel="0" collapsed="false">
      <c r="A409" s="43" t="n">
        <v>406</v>
      </c>
      <c r="B409" s="45" t="n">
        <f aca="false">SUM('Activation Detail'!C409,'Activation Detail'!C909,'Activation Detail'!C1409,'Activation Detail'!C1909,'Activation Detail'!C2409,'Activation Detail'!C2909,'Activation Detail'!C3409,'Activation Detail'!C3909)</f>
        <v>4509210</v>
      </c>
      <c r="C409" s="45" t="n">
        <f aca="false">SUM('Activation Detail'!E409,'Activation Detail'!E909,'Activation Detail'!E1409,'Activation Detail'!E1909,'Activation Detail'!E2409,'Activation Detail'!E2909,'Activation Detail'!E3409,'Activation Detail'!E3909)</f>
        <v>311400</v>
      </c>
      <c r="D409" s="45" t="n">
        <f aca="false">SUM('Activation Detail'!G409,'Activation Detail'!G909,'Activation Detail'!G1409,'Activation Detail'!G1909,'Activation Detail'!G2409,'Activation Detail'!G2909,'Activation Detail'!G3409,'Activation Detail'!G3909)</f>
        <v>15052</v>
      </c>
      <c r="E409" s="48" t="n">
        <f aca="false">SUM('Activation Detail'!H409,'Activation Detail'!H909,'Activation Detail'!H1409,'Activation Detail'!H1909,'Activation Detail'!H2409,'Activation Detail'!H2909,'Activation Detail'!H3409,'Activation Detail'!H3909)</f>
        <v>618.380180141909</v>
      </c>
      <c r="F409" s="50" t="n">
        <f aca="false">SUM('Activation Detail'!I409,'Activation Detail'!I909,'Activation Detail'!I1409,'Activation Detail'!I1909,'Activation Detail'!I2409,'Activation Detail'!I2909,'Activation Detail'!I3409,'Activation Detail'!I3909)</f>
        <v>74895.424694</v>
      </c>
      <c r="G409" s="50" t="n">
        <f aca="false">SUM('Activation Detail'!J409,'Activation Detail'!J909,'Activation Detail'!J1409,'Activation Detail'!J1909,'Activation Detail'!J2409,'Activation Detail'!J2909,'Activation Detail'!J3409,'Activation Detail'!J3909)</f>
        <v>3904054.34307563</v>
      </c>
      <c r="H409" s="50" t="n">
        <f aca="false">SUM('Activation Detail'!K409,'Activation Detail'!K909,'Activation Detail'!K1409,'Activation Detail'!K1909,'Activation Detail'!K2409,'Activation Detail'!K2909,'Activation Detail'!K3409,'Activation Detail'!K3909)</f>
        <v>84332.0890877515</v>
      </c>
      <c r="I409" s="51" t="n">
        <f aca="false">IFERROR(H409/F409,0)</f>
        <v>1.12599787546845</v>
      </c>
      <c r="J409" s="49" t="n">
        <f aca="false">IFERROR(F409/E409,0)</f>
        <v>121.115499977397</v>
      </c>
      <c r="K409" s="46" t="n">
        <f aca="false">IFERROR(C409/B409,0)</f>
        <v>0.0690586599426507</v>
      </c>
      <c r="L409" s="47" t="n">
        <f aca="false">IFERROR(D409/B409,0)</f>
        <v>0.00333805699889781</v>
      </c>
      <c r="N409" s="48" t="n">
        <f aca="false">SUMIFS('Activation Detail'!$H$4:$H$4003,'Activation Detail'!$A$4:$A$4003,$A409,'Activation Detail'!$N$4:$N$4003,N$2)</f>
        <v>93.39952642935</v>
      </c>
      <c r="O409" s="50" t="n">
        <f aca="false">N409*'Model Inputs &amp; Assumptions'!$D$40*'Model Inputs &amp; Assumptions'!$H$40</f>
        <v>793895.974649475</v>
      </c>
      <c r="P409" s="50" t="n">
        <f aca="false">N409*'Model Inputs &amp; Assumptions'!$G$40*'Model Inputs &amp; Assumptions'!$H$40</f>
        <v>17862.6594296132</v>
      </c>
      <c r="Q409" s="50" t="n">
        <f aca="false">SUMIFS('Activation Detail'!$I$4:$I$4003,'Activation Detail'!$A$4:$A$4003,$A409,'Activation Detail'!$N$4:$N$4003,N$2)</f>
        <v>17727.469</v>
      </c>
      <c r="R409" s="51" t="n">
        <f aca="false">IFERROR(P409/Q409,0)</f>
        <v>1.00762604236472</v>
      </c>
      <c r="S409" s="49" t="n">
        <f aca="false">IFERROR(Q409/N409,0)</f>
        <v>189.802557654396</v>
      </c>
      <c r="T409" s="48" t="n">
        <f aca="false">SUMIFS('Activation Detail'!$H$4:$H$4003,'Activation Detail'!$A$4:$A$4003,$A409,'Activation Detail'!$N$4:$N$4003,T$2)</f>
        <v>152.923799099077</v>
      </c>
      <c r="U409" s="50" t="n">
        <f aca="false">T409*'Model Inputs &amp; Assumptions'!$D$41*'Model Inputs &amp; Assumptions'!$H$41</f>
        <v>1101051.35351335</v>
      </c>
      <c r="V409" s="50" t="n">
        <f aca="false">T409*'Model Inputs &amp; Assumptions'!$G$41*'Model Inputs &amp; Assumptions'!$H$41</f>
        <v>24278.1823449694</v>
      </c>
      <c r="W409" s="50" t="n">
        <f aca="false">SUMIFS('Activation Detail'!$I$4:$I$4003,'Activation Detail'!$A$4:$A$4003,$A409,'Activation Detail'!$N$4:$N$4003,T$2)</f>
        <v>16369.019694</v>
      </c>
      <c r="X409" s="51" t="n">
        <f aca="false">IFERROR(V409/W409,0)</f>
        <v>1.48317876078239</v>
      </c>
      <c r="Y409" s="49" t="n">
        <f aca="false">IFERROR(W409/T409,0)</f>
        <v>107.040367754628</v>
      </c>
      <c r="Z409" s="48" t="n">
        <f aca="false">SUMIFS('Activation Detail'!$H$4:$H$4003,'Activation Detail'!$A$4:$A$4003,$A409,'Activation Detail'!$N$4:$N$4003,Z$2)</f>
        <v>372.056854613482</v>
      </c>
      <c r="AA409" s="50" t="n">
        <f aca="false">Z409*'Model Inputs &amp; Assumptions'!$D$42*'Model Inputs &amp; Assumptions'!$H$42</f>
        <v>2009107.0149128</v>
      </c>
      <c r="AB409" s="50" t="n">
        <f aca="false">Z409*'Model Inputs &amp; Assumptions'!$G$42*'Model Inputs &amp; Assumptions'!$H$42</f>
        <v>42191.2473131689</v>
      </c>
      <c r="AC409" s="50" t="n">
        <f aca="false">SUMIFS('Activation Detail'!$I$4:$I$4003,'Activation Detail'!$A$4:$A$4003,$A409,'Activation Detail'!$N$4:$N$4003,Z$2)</f>
        <v>40798.936</v>
      </c>
      <c r="AD409" s="51" t="n">
        <f aca="false">IFERROR(AB409/AC409,0)</f>
        <v>1.03412616724046</v>
      </c>
      <c r="AE409" s="49" t="n">
        <f aca="false">IFERROR(AC409/Z409,0)</f>
        <v>109.657799591906</v>
      </c>
    </row>
    <row r="410" customFormat="false" ht="15" hidden="false" customHeight="false" outlineLevel="0" collapsed="false">
      <c r="A410" s="43" t="n">
        <v>407</v>
      </c>
      <c r="B410" s="45" t="n">
        <f aca="false">SUM('Activation Detail'!C410,'Activation Detail'!C910,'Activation Detail'!C1410,'Activation Detail'!C1910,'Activation Detail'!C2410,'Activation Detail'!C2910,'Activation Detail'!C3410,'Activation Detail'!C3910)</f>
        <v>4174261</v>
      </c>
      <c r="C410" s="45" t="n">
        <f aca="false">SUM('Activation Detail'!E410,'Activation Detail'!E910,'Activation Detail'!E1410,'Activation Detail'!E1910,'Activation Detail'!E2410,'Activation Detail'!E2910,'Activation Detail'!E3410,'Activation Detail'!E3910)</f>
        <v>509672</v>
      </c>
      <c r="D410" s="45" t="n">
        <f aca="false">SUM('Activation Detail'!G410,'Activation Detail'!G910,'Activation Detail'!G1410,'Activation Detail'!G1910,'Activation Detail'!G2410,'Activation Detail'!G2910,'Activation Detail'!G3410,'Activation Detail'!G3910)</f>
        <v>12856</v>
      </c>
      <c r="E410" s="48" t="n">
        <f aca="false">SUM('Activation Detail'!H410,'Activation Detail'!H910,'Activation Detail'!H1410,'Activation Detail'!H1910,'Activation Detail'!H2410,'Activation Detail'!H2910,'Activation Detail'!H3410,'Activation Detail'!H3910)</f>
        <v>688.720484551154</v>
      </c>
      <c r="F410" s="50" t="n">
        <f aca="false">SUM('Activation Detail'!I410,'Activation Detail'!I910,'Activation Detail'!I1410,'Activation Detail'!I1910,'Activation Detail'!I2410,'Activation Detail'!I2910,'Activation Detail'!I3410,'Activation Detail'!I3910)</f>
        <v>74410.486076</v>
      </c>
      <c r="G410" s="50" t="n">
        <f aca="false">SUM('Activation Detail'!J410,'Activation Detail'!J910,'Activation Detail'!J1410,'Activation Detail'!J1910,'Activation Detail'!J2410,'Activation Detail'!J2910,'Activation Detail'!J3410,'Activation Detail'!J3910)</f>
        <v>4214571.88415455</v>
      </c>
      <c r="H410" s="50" t="n">
        <f aca="false">SUM('Activation Detail'!K410,'Activation Detail'!K910,'Activation Detail'!K1410,'Activation Detail'!K1910,'Activation Detail'!K2410,'Activation Detail'!K2910,'Activation Detail'!K3410,'Activation Detail'!K3910)</f>
        <v>90565.724977739</v>
      </c>
      <c r="I410" s="51" t="n">
        <f aca="false">IFERROR(H410/F410,0)</f>
        <v>1.21710970796829</v>
      </c>
      <c r="J410" s="49" t="n">
        <f aca="false">IFERROR(F410/E410,0)</f>
        <v>108.041633355067</v>
      </c>
      <c r="K410" s="46" t="n">
        <f aca="false">IFERROR(C410/B410,0)</f>
        <v>0.122098737956251</v>
      </c>
      <c r="L410" s="47" t="n">
        <f aca="false">IFERROR(D410/B410,0)</f>
        <v>0.00307982658487335</v>
      </c>
      <c r="N410" s="48" t="n">
        <f aca="false">SUMIFS('Activation Detail'!$H$4:$H$4003,'Activation Detail'!$A$4:$A$4003,$A410,'Activation Detail'!$N$4:$N$4003,N$2)</f>
        <v>78.9107901313425</v>
      </c>
      <c r="O410" s="50" t="n">
        <f aca="false">N410*'Model Inputs &amp; Assumptions'!$D$40*'Model Inputs &amp; Assumptions'!$H$40</f>
        <v>670741.716116411</v>
      </c>
      <c r="P410" s="50" t="n">
        <f aca="false">N410*'Model Inputs &amp; Assumptions'!$G$40*'Model Inputs &amp; Assumptions'!$H$40</f>
        <v>15091.6886126192</v>
      </c>
      <c r="Q410" s="50" t="n">
        <f aca="false">SUMIFS('Activation Detail'!$I$4:$I$4003,'Activation Detail'!$A$4:$A$4003,$A410,'Activation Detail'!$N$4:$N$4003,N$2)</f>
        <v>17196.991</v>
      </c>
      <c r="R410" s="51" t="n">
        <f aca="false">IFERROR(P410/Q410,0)</f>
        <v>0.877577281549967</v>
      </c>
      <c r="S410" s="49" t="n">
        <f aca="false">IFERROR(Q410/N410,0)</f>
        <v>217.929524864427</v>
      </c>
      <c r="T410" s="48" t="n">
        <f aca="false">SUMIFS('Activation Detail'!$H$4:$H$4003,'Activation Detail'!$A$4:$A$4003,$A410,'Activation Detail'!$N$4:$N$4003,T$2)</f>
        <v>139.365454539532</v>
      </c>
      <c r="U410" s="50" t="n">
        <f aca="false">T410*'Model Inputs &amp; Assumptions'!$D$41*'Model Inputs &amp; Assumptions'!$H$41</f>
        <v>1003431.27268463</v>
      </c>
      <c r="V410" s="50" t="n">
        <f aca="false">T410*'Model Inputs &amp; Assumptions'!$G$41*'Model Inputs &amp; Assumptions'!$H$41</f>
        <v>22125.6595626961</v>
      </c>
      <c r="W410" s="50" t="n">
        <f aca="false">SUMIFS('Activation Detail'!$I$4:$I$4003,'Activation Detail'!$A$4:$A$4003,$A410,'Activation Detail'!$N$4:$N$4003,T$2)</f>
        <v>18591.131076</v>
      </c>
      <c r="X410" s="51" t="n">
        <f aca="false">IFERROR(V410/W410,0)</f>
        <v>1.1901190665725</v>
      </c>
      <c r="Y410" s="49" t="n">
        <f aca="false">IFERROR(W410/T410,0)</f>
        <v>133.398417401398</v>
      </c>
      <c r="Z410" s="48" t="n">
        <f aca="false">SUMIFS('Activation Detail'!$H$4:$H$4003,'Activation Detail'!$A$4:$A$4003,$A410,'Activation Detail'!$N$4:$N$4003,Z$2)</f>
        <v>470.444239880279</v>
      </c>
      <c r="AA410" s="50" t="n">
        <f aca="false">Z410*'Model Inputs &amp; Assumptions'!$D$42*'Model Inputs &amp; Assumptions'!$H$42</f>
        <v>2540398.89535351</v>
      </c>
      <c r="AB410" s="50" t="n">
        <f aca="false">Z410*'Model Inputs &amp; Assumptions'!$G$42*'Model Inputs &amp; Assumptions'!$H$42</f>
        <v>53348.3768024237</v>
      </c>
      <c r="AC410" s="50" t="n">
        <f aca="false">SUMIFS('Activation Detail'!$I$4:$I$4003,'Activation Detail'!$A$4:$A$4003,$A410,'Activation Detail'!$N$4:$N$4003,Z$2)</f>
        <v>38622.364</v>
      </c>
      <c r="AD410" s="51" t="n">
        <f aca="false">IFERROR(AB410/AC410,0)</f>
        <v>1.38128201583993</v>
      </c>
      <c r="AE410" s="49" t="n">
        <f aca="false">IFERROR(AC410/Z410,0)</f>
        <v>82.097644579151</v>
      </c>
    </row>
    <row r="411" customFormat="false" ht="15" hidden="false" customHeight="false" outlineLevel="0" collapsed="false">
      <c r="A411" s="43" t="n">
        <v>408</v>
      </c>
      <c r="B411" s="45" t="n">
        <f aca="false">SUM('Activation Detail'!C411,'Activation Detail'!C911,'Activation Detail'!C1411,'Activation Detail'!C1911,'Activation Detail'!C2411,'Activation Detail'!C2911,'Activation Detail'!C3411,'Activation Detail'!C3911)</f>
        <v>3819480</v>
      </c>
      <c r="C411" s="45" t="n">
        <f aca="false">SUM('Activation Detail'!E411,'Activation Detail'!E911,'Activation Detail'!E1411,'Activation Detail'!E1911,'Activation Detail'!E2411,'Activation Detail'!E2911,'Activation Detail'!E3411,'Activation Detail'!E3911)</f>
        <v>358547</v>
      </c>
      <c r="D411" s="45" t="n">
        <f aca="false">SUM('Activation Detail'!G411,'Activation Detail'!G911,'Activation Detail'!G1411,'Activation Detail'!G1911,'Activation Detail'!G2411,'Activation Detail'!G2911,'Activation Detail'!G3411,'Activation Detail'!G3911)</f>
        <v>15329</v>
      </c>
      <c r="E411" s="48" t="n">
        <f aca="false">SUM('Activation Detail'!H411,'Activation Detail'!H911,'Activation Detail'!H1411,'Activation Detail'!H1911,'Activation Detail'!H2411,'Activation Detail'!H2911,'Activation Detail'!H3411,'Activation Detail'!H3911)</f>
        <v>844.673452983795</v>
      </c>
      <c r="F411" s="50" t="n">
        <f aca="false">SUM('Activation Detail'!I411,'Activation Detail'!I911,'Activation Detail'!I1411,'Activation Detail'!I1911,'Activation Detail'!I2411,'Activation Detail'!I2911,'Activation Detail'!I3411,'Activation Detail'!I3911)</f>
        <v>72769.2164</v>
      </c>
      <c r="G411" s="50" t="n">
        <f aca="false">SUM('Activation Detail'!J411,'Activation Detail'!J911,'Activation Detail'!J1411,'Activation Detail'!J1911,'Activation Detail'!J2411,'Activation Detail'!J2911,'Activation Detail'!J3411,'Activation Detail'!J3911)</f>
        <v>5275144.57871544</v>
      </c>
      <c r="H411" s="50" t="n">
        <f aca="false">SUM('Activation Detail'!K411,'Activation Detail'!K911,'Activation Detail'!K1411,'Activation Detail'!K1911,'Activation Detail'!K2411,'Activation Detail'!K2911,'Activation Detail'!K3411,'Activation Detail'!K3911)</f>
        <v>113745.832768912</v>
      </c>
      <c r="I411" s="51" t="n">
        <f aca="false">IFERROR(H411/F411,0)</f>
        <v>1.56310371879877</v>
      </c>
      <c r="J411" s="49" t="n">
        <f aca="false">IFERROR(F411/E411,0)</f>
        <v>86.1507084695795</v>
      </c>
      <c r="K411" s="46" t="n">
        <f aca="false">IFERROR(C411/B411,0)</f>
        <v>0.0938732497617477</v>
      </c>
      <c r="L411" s="47" t="n">
        <f aca="false">IFERROR(D411/B411,0)</f>
        <v>0.0040133735482317</v>
      </c>
      <c r="N411" s="48" t="n">
        <f aca="false">SUMIFS('Activation Detail'!$H$4:$H$4003,'Activation Detail'!$A$4:$A$4003,$A411,'Activation Detail'!$N$4:$N$4003,N$2)</f>
        <v>113.395189053233</v>
      </c>
      <c r="O411" s="50" t="n">
        <f aca="false">N411*'Model Inputs &amp; Assumptions'!$D$40*'Model Inputs &amp; Assumptions'!$H$40</f>
        <v>963859.106952484</v>
      </c>
      <c r="P411" s="50" t="n">
        <f aca="false">N411*'Model Inputs &amp; Assumptions'!$G$40*'Model Inputs &amp; Assumptions'!$H$40</f>
        <v>21686.8299064309</v>
      </c>
      <c r="Q411" s="50" t="n">
        <f aca="false">SUMIFS('Activation Detail'!$I$4:$I$4003,'Activation Detail'!$A$4:$A$4003,$A411,'Activation Detail'!$N$4:$N$4003,N$2)</f>
        <v>17864.0925</v>
      </c>
      <c r="R411" s="51" t="n">
        <f aca="false">IFERROR(P411/Q411,0)</f>
        <v>1.21399001412643</v>
      </c>
      <c r="S411" s="49" t="n">
        <f aca="false">IFERROR(Q411/N411,0)</f>
        <v>157.53836339224</v>
      </c>
      <c r="T411" s="48" t="n">
        <f aca="false">SUMIFS('Activation Detail'!$H$4:$H$4003,'Activation Detail'!$A$4:$A$4003,$A411,'Activation Detail'!$N$4:$N$4003,T$2)</f>
        <v>201.323803632177</v>
      </c>
      <c r="U411" s="50" t="n">
        <f aca="false">T411*'Model Inputs &amp; Assumptions'!$D$41*'Model Inputs &amp; Assumptions'!$H$41</f>
        <v>1449531.38615167</v>
      </c>
      <c r="V411" s="50" t="n">
        <f aca="false">T411*'Model Inputs &amp; Assumptions'!$G$41*'Model Inputs &amp; Assumptions'!$H$41</f>
        <v>31962.1670646444</v>
      </c>
      <c r="W411" s="50" t="n">
        <f aca="false">SUMIFS('Activation Detail'!$I$4:$I$4003,'Activation Detail'!$A$4:$A$4003,$A411,'Activation Detail'!$N$4:$N$4003,T$2)</f>
        <v>18679.5559</v>
      </c>
      <c r="X411" s="51" t="n">
        <f aca="false">IFERROR(V411/W411,0)</f>
        <v>1.71107746007197</v>
      </c>
      <c r="Y411" s="49" t="n">
        <f aca="false">IFERROR(W411/T411,0)</f>
        <v>92.7836428827262</v>
      </c>
      <c r="Z411" s="48" t="n">
        <f aca="false">SUMIFS('Activation Detail'!$H$4:$H$4003,'Activation Detail'!$A$4:$A$4003,$A411,'Activation Detail'!$N$4:$N$4003,Z$2)</f>
        <v>529.954460298385</v>
      </c>
      <c r="AA411" s="50" t="n">
        <f aca="false">Z411*'Model Inputs &amp; Assumptions'!$D$42*'Model Inputs &amp; Assumptions'!$H$42</f>
        <v>2861754.08561128</v>
      </c>
      <c r="AB411" s="50" t="n">
        <f aca="false">Z411*'Model Inputs &amp; Assumptions'!$G$42*'Model Inputs &amp; Assumptions'!$H$42</f>
        <v>60096.8357978368</v>
      </c>
      <c r="AC411" s="50" t="n">
        <f aca="false">SUMIFS('Activation Detail'!$I$4:$I$4003,'Activation Detail'!$A$4:$A$4003,$A411,'Activation Detail'!$N$4:$N$4003,Z$2)</f>
        <v>36225.568</v>
      </c>
      <c r="AD411" s="51" t="n">
        <f aca="false">IFERROR(AB411/AC411,0)</f>
        <v>1.65896186356103</v>
      </c>
      <c r="AE411" s="49" t="n">
        <f aca="false">IFERROR(AC411/Z411,0)</f>
        <v>68.3560017206075</v>
      </c>
    </row>
    <row r="412" customFormat="false" ht="15" hidden="false" customHeight="false" outlineLevel="0" collapsed="false">
      <c r="A412" s="43" t="n">
        <v>409</v>
      </c>
      <c r="B412" s="45" t="n">
        <f aca="false">SUM('Activation Detail'!C412,'Activation Detail'!C912,'Activation Detail'!C1412,'Activation Detail'!C1912,'Activation Detail'!C2412,'Activation Detail'!C2912,'Activation Detail'!C3412,'Activation Detail'!C3912)</f>
        <v>3947822</v>
      </c>
      <c r="C412" s="45" t="n">
        <f aca="false">SUM('Activation Detail'!E412,'Activation Detail'!E912,'Activation Detail'!E1412,'Activation Detail'!E1912,'Activation Detail'!E2412,'Activation Detail'!E2912,'Activation Detail'!E3412,'Activation Detail'!E3912)</f>
        <v>663073</v>
      </c>
      <c r="D412" s="45" t="n">
        <f aca="false">SUM('Activation Detail'!G412,'Activation Detail'!G912,'Activation Detail'!G1412,'Activation Detail'!G1912,'Activation Detail'!G2412,'Activation Detail'!G2912,'Activation Detail'!G3412,'Activation Detail'!G3912)</f>
        <v>17768</v>
      </c>
      <c r="E412" s="48" t="n">
        <f aca="false">SUM('Activation Detail'!H412,'Activation Detail'!H912,'Activation Detail'!H1412,'Activation Detail'!H1912,'Activation Detail'!H2412,'Activation Detail'!H2912,'Activation Detail'!H3412,'Activation Detail'!H3912)</f>
        <v>696.534442282789</v>
      </c>
      <c r="F412" s="50" t="n">
        <f aca="false">SUM('Activation Detail'!I412,'Activation Detail'!I912,'Activation Detail'!I1412,'Activation Detail'!I1912,'Activation Detail'!I2412,'Activation Detail'!I2912,'Activation Detail'!I3412,'Activation Detail'!I3912)</f>
        <v>77166.20464</v>
      </c>
      <c r="G412" s="50" t="n">
        <f aca="false">SUM('Activation Detail'!J412,'Activation Detail'!J912,'Activation Detail'!J1412,'Activation Detail'!J1912,'Activation Detail'!J2412,'Activation Detail'!J2912,'Activation Detail'!J3412,'Activation Detail'!J3912)</f>
        <v>4443084.15439523</v>
      </c>
      <c r="H412" s="50" t="n">
        <f aca="false">SUM('Activation Detail'!K412,'Activation Detail'!K912,'Activation Detail'!K1412,'Activation Detail'!K1912,'Activation Detail'!K2412,'Activation Detail'!K2912,'Activation Detail'!K3412,'Activation Detail'!K3912)</f>
        <v>96149.6134630588</v>
      </c>
      <c r="I412" s="51" t="n">
        <f aca="false">IFERROR(H412/F412,0)</f>
        <v>1.24600677086065</v>
      </c>
      <c r="J412" s="49" t="n">
        <f aca="false">IFERROR(F412/E412,0)</f>
        <v>110.785913740459</v>
      </c>
      <c r="K412" s="46" t="n">
        <f aca="false">IFERROR(C412/B412,0)</f>
        <v>0.167959193702249</v>
      </c>
      <c r="L412" s="47" t="n">
        <f aca="false">IFERROR(D412/B412,0)</f>
        <v>0.0045007095051398</v>
      </c>
      <c r="N412" s="48" t="n">
        <f aca="false">SUMIFS('Activation Detail'!$H$4:$H$4003,'Activation Detail'!$A$4:$A$4003,$A412,'Activation Detail'!$N$4:$N$4003,N$2)</f>
        <v>69.2817656568475</v>
      </c>
      <c r="O412" s="50" t="n">
        <f aca="false">N412*'Model Inputs &amp; Assumptions'!$D$40*'Model Inputs &amp; Assumptions'!$H$40</f>
        <v>588895.008083204</v>
      </c>
      <c r="P412" s="50" t="n">
        <f aca="false">N412*'Model Inputs &amp; Assumptions'!$G$40*'Model Inputs &amp; Assumptions'!$H$40</f>
        <v>13250.1376818721</v>
      </c>
      <c r="Q412" s="50" t="n">
        <f aca="false">SUMIFS('Activation Detail'!$I$4:$I$4003,'Activation Detail'!$A$4:$A$4003,$A412,'Activation Detail'!$N$4:$N$4003,N$2)</f>
        <v>16980.6775</v>
      </c>
      <c r="R412" s="51" t="n">
        <f aca="false">IFERROR(P412/Q412,0)</f>
        <v>0.780306774089083</v>
      </c>
      <c r="S412" s="49" t="n">
        <f aca="false">IFERROR(Q412/N412,0)</f>
        <v>245.095911442345</v>
      </c>
      <c r="T412" s="48" t="n">
        <f aca="false">SUMIFS('Activation Detail'!$H$4:$H$4003,'Activation Detail'!$A$4:$A$4003,$A412,'Activation Detail'!$N$4:$N$4003,T$2)</f>
        <v>259.458162517747</v>
      </c>
      <c r="U412" s="50" t="n">
        <f aca="false">T412*'Model Inputs &amp; Assumptions'!$D$41*'Model Inputs &amp; Assumptions'!$H$41</f>
        <v>1868098.77012778</v>
      </c>
      <c r="V412" s="50" t="n">
        <f aca="false">T412*'Model Inputs &amp; Assumptions'!$G$41*'Model Inputs &amp; Assumptions'!$H$41</f>
        <v>41191.5778813175</v>
      </c>
      <c r="W412" s="50" t="n">
        <f aca="false">SUMIFS('Activation Detail'!$I$4:$I$4003,'Activation Detail'!$A$4:$A$4003,$A412,'Activation Detail'!$N$4:$N$4003,T$2)</f>
        <v>23336.61914</v>
      </c>
      <c r="X412" s="51" t="n">
        <f aca="false">IFERROR(V412/W412,0)</f>
        <v>1.76510477521199</v>
      </c>
      <c r="Y412" s="49" t="n">
        <f aca="false">IFERROR(W412/T412,0)</f>
        <v>89.943669197163</v>
      </c>
      <c r="Z412" s="48" t="n">
        <f aca="false">SUMIFS('Activation Detail'!$H$4:$H$4003,'Activation Detail'!$A$4:$A$4003,$A412,'Activation Detail'!$N$4:$N$4003,Z$2)</f>
        <v>367.794514108194</v>
      </c>
      <c r="AA412" s="50" t="n">
        <f aca="false">Z412*'Model Inputs &amp; Assumptions'!$D$42*'Model Inputs &amp; Assumptions'!$H$42</f>
        <v>1986090.37618425</v>
      </c>
      <c r="AB412" s="50" t="n">
        <f aca="false">Z412*'Model Inputs &amp; Assumptions'!$G$42*'Model Inputs &amp; Assumptions'!$H$42</f>
        <v>41707.8978998692</v>
      </c>
      <c r="AC412" s="50" t="n">
        <f aca="false">SUMIFS('Activation Detail'!$I$4:$I$4003,'Activation Detail'!$A$4:$A$4003,$A412,'Activation Detail'!$N$4:$N$4003,Z$2)</f>
        <v>36848.908</v>
      </c>
      <c r="AD412" s="51" t="n">
        <f aca="false">IFERROR(AB412/AC412,0)</f>
        <v>1.13186252086138</v>
      </c>
      <c r="AE412" s="49" t="n">
        <f aca="false">IFERROR(AC412/Z412,0)</f>
        <v>100.188846180452</v>
      </c>
    </row>
    <row r="413" customFormat="false" ht="15" hidden="false" customHeight="false" outlineLevel="0" collapsed="false">
      <c r="A413" s="43" t="n">
        <v>410</v>
      </c>
      <c r="B413" s="45" t="n">
        <f aca="false">SUM('Activation Detail'!C413,'Activation Detail'!C913,'Activation Detail'!C1413,'Activation Detail'!C1913,'Activation Detail'!C2413,'Activation Detail'!C2913,'Activation Detail'!C3413,'Activation Detail'!C3913)</f>
        <v>3401802</v>
      </c>
      <c r="C413" s="45" t="n">
        <f aca="false">SUM('Activation Detail'!E413,'Activation Detail'!E913,'Activation Detail'!E1413,'Activation Detail'!E1913,'Activation Detail'!E2413,'Activation Detail'!E2913,'Activation Detail'!E3413,'Activation Detail'!E3913)</f>
        <v>308756</v>
      </c>
      <c r="D413" s="45" t="n">
        <f aca="false">SUM('Activation Detail'!G413,'Activation Detail'!G913,'Activation Detail'!G1413,'Activation Detail'!G1913,'Activation Detail'!G2413,'Activation Detail'!G2913,'Activation Detail'!G3413,'Activation Detail'!G3913)</f>
        <v>12253</v>
      </c>
      <c r="E413" s="48" t="n">
        <f aca="false">SUM('Activation Detail'!H413,'Activation Detail'!H913,'Activation Detail'!H1413,'Activation Detail'!H1913,'Activation Detail'!H2413,'Activation Detail'!H2913,'Activation Detail'!H3413,'Activation Detail'!H3913)</f>
        <v>438.036292553406</v>
      </c>
      <c r="F413" s="50" t="n">
        <f aca="false">SUM('Activation Detail'!I413,'Activation Detail'!I913,'Activation Detail'!I1413,'Activation Detail'!I1913,'Activation Detail'!I2413,'Activation Detail'!I2913,'Activation Detail'!I3413,'Activation Detail'!I3913)</f>
        <v>68862.219338</v>
      </c>
      <c r="G413" s="50" t="n">
        <f aca="false">SUM('Activation Detail'!J413,'Activation Detail'!J913,'Activation Detail'!J1413,'Activation Detail'!J1913,'Activation Detail'!J2413,'Activation Detail'!J2913,'Activation Detail'!J3413,'Activation Detail'!J3913)</f>
        <v>2868368.38870126</v>
      </c>
      <c r="H413" s="50" t="n">
        <f aca="false">SUM('Activation Detail'!K413,'Activation Detail'!K913,'Activation Detail'!K1413,'Activation Detail'!K1913,'Activation Detail'!K2413,'Activation Detail'!K2913,'Activation Detail'!K3413,'Activation Detail'!K3913)</f>
        <v>62329.6598161522</v>
      </c>
      <c r="I413" s="51" t="n">
        <f aca="false">IFERROR(H413/F413,0)</f>
        <v>0.905135797471416</v>
      </c>
      <c r="J413" s="49" t="n">
        <f aca="false">IFERROR(F413/E413,0)</f>
        <v>157.206652756071</v>
      </c>
      <c r="K413" s="46" t="n">
        <f aca="false">IFERROR(C413/B413,0)</f>
        <v>0.0907624841187112</v>
      </c>
      <c r="L413" s="47" t="n">
        <f aca="false">IFERROR(D413/B413,0)</f>
        <v>0.00360191451471896</v>
      </c>
      <c r="N413" s="48" t="n">
        <f aca="false">SUMIFS('Activation Detail'!$H$4:$H$4003,'Activation Detail'!$A$4:$A$4003,$A413,'Activation Detail'!$N$4:$N$4003,N$2)</f>
        <v>68.7424592903922</v>
      </c>
      <c r="O413" s="50" t="n">
        <f aca="false">N413*'Model Inputs &amp; Assumptions'!$D$40*'Model Inputs &amp; Assumptions'!$H$40</f>
        <v>584310.903968334</v>
      </c>
      <c r="P413" s="50" t="n">
        <f aca="false">N413*'Model Inputs &amp; Assumptions'!$G$40*'Model Inputs &amp; Assumptions'!$H$40</f>
        <v>13146.9953392875</v>
      </c>
      <c r="Q413" s="50" t="n">
        <f aca="false">SUMIFS('Activation Detail'!$I$4:$I$4003,'Activation Detail'!$A$4:$A$4003,$A413,'Activation Detail'!$N$4:$N$4003,N$2)</f>
        <v>18513.618</v>
      </c>
      <c r="R413" s="51" t="n">
        <f aca="false">IFERROR(P413/Q413,0)</f>
        <v>0.710125667456653</v>
      </c>
      <c r="S413" s="49" t="n">
        <f aca="false">IFERROR(Q413/N413,0)</f>
        <v>269.318528768254</v>
      </c>
      <c r="T413" s="48" t="n">
        <f aca="false">SUMIFS('Activation Detail'!$H$4:$H$4003,'Activation Detail'!$A$4:$A$4003,$A413,'Activation Detail'!$N$4:$N$4003,T$2)</f>
        <v>161.039325062585</v>
      </c>
      <c r="U413" s="50" t="n">
        <f aca="false">T413*'Model Inputs &amp; Assumptions'!$D$41*'Model Inputs &amp; Assumptions'!$H$41</f>
        <v>1159483.14045061</v>
      </c>
      <c r="V413" s="50" t="n">
        <f aca="false">T413*'Model Inputs &amp; Assumptions'!$G$41*'Model Inputs &amp; Assumptions'!$H$41</f>
        <v>25566.603246936</v>
      </c>
      <c r="W413" s="50" t="n">
        <f aca="false">SUMIFS('Activation Detail'!$I$4:$I$4003,'Activation Detail'!$A$4:$A$4003,$A413,'Activation Detail'!$N$4:$N$4003,T$2)</f>
        <v>15827.477338</v>
      </c>
      <c r="X413" s="51" t="n">
        <f aca="false">IFERROR(V413/W413,0)</f>
        <v>1.61533027032384</v>
      </c>
      <c r="Y413" s="49" t="n">
        <f aca="false">IFERROR(W413/T413,0)</f>
        <v>98.2833064647343</v>
      </c>
      <c r="Z413" s="48" t="n">
        <f aca="false">SUMIFS('Activation Detail'!$H$4:$H$4003,'Activation Detail'!$A$4:$A$4003,$A413,'Activation Detail'!$N$4:$N$4003,Z$2)</f>
        <v>208.254508200429</v>
      </c>
      <c r="AA413" s="50" t="n">
        <f aca="false">Z413*'Model Inputs &amp; Assumptions'!$D$42*'Model Inputs &amp; Assumptions'!$H$42</f>
        <v>1124574.34428232</v>
      </c>
      <c r="AB413" s="50" t="n">
        <f aca="false">Z413*'Model Inputs &amp; Assumptions'!$G$42*'Model Inputs &amp; Assumptions'!$H$42</f>
        <v>23616.0612299287</v>
      </c>
      <c r="AC413" s="50" t="n">
        <f aca="false">SUMIFS('Activation Detail'!$I$4:$I$4003,'Activation Detail'!$A$4:$A$4003,$A413,'Activation Detail'!$N$4:$N$4003,Z$2)</f>
        <v>34521.124</v>
      </c>
      <c r="AD413" s="51" t="n">
        <f aca="false">IFERROR(AB413/AC413,0)</f>
        <v>0.684104643577905</v>
      </c>
      <c r="AE413" s="49" t="n">
        <f aca="false">IFERROR(AC413/Z413,0)</f>
        <v>165.764113815851</v>
      </c>
    </row>
    <row r="414" customFormat="false" ht="15" hidden="false" customHeight="false" outlineLevel="0" collapsed="false">
      <c r="A414" s="43" t="n">
        <v>411</v>
      </c>
      <c r="B414" s="45" t="n">
        <f aca="false">SUM('Activation Detail'!C414,'Activation Detail'!C914,'Activation Detail'!C1414,'Activation Detail'!C1914,'Activation Detail'!C2414,'Activation Detail'!C2914,'Activation Detail'!C3414,'Activation Detail'!C3914)</f>
        <v>3942870</v>
      </c>
      <c r="C414" s="45" t="n">
        <f aca="false">SUM('Activation Detail'!E414,'Activation Detail'!E914,'Activation Detail'!E1414,'Activation Detail'!E1914,'Activation Detail'!E2414,'Activation Detail'!E2914,'Activation Detail'!E3414,'Activation Detail'!E3914)</f>
        <v>353437</v>
      </c>
      <c r="D414" s="45" t="n">
        <f aca="false">SUM('Activation Detail'!G414,'Activation Detail'!G914,'Activation Detail'!G1414,'Activation Detail'!G1914,'Activation Detail'!G2414,'Activation Detail'!G2914,'Activation Detail'!G3414,'Activation Detail'!G3914)</f>
        <v>15361</v>
      </c>
      <c r="E414" s="48" t="n">
        <f aca="false">SUM('Activation Detail'!H414,'Activation Detail'!H914,'Activation Detail'!H1414,'Activation Detail'!H1914,'Activation Detail'!H2414,'Activation Detail'!H2914,'Activation Detail'!H3414,'Activation Detail'!H3914)</f>
        <v>722.057079432178</v>
      </c>
      <c r="F414" s="50" t="n">
        <f aca="false">SUM('Activation Detail'!I414,'Activation Detail'!I914,'Activation Detail'!I1414,'Activation Detail'!I1914,'Activation Detail'!I2414,'Activation Detail'!I2914,'Activation Detail'!I3414,'Activation Detail'!I3914)</f>
        <v>74383.292296</v>
      </c>
      <c r="G414" s="50" t="n">
        <f aca="false">SUM('Activation Detail'!J414,'Activation Detail'!J914,'Activation Detail'!J1414,'Activation Detail'!J1914,'Activation Detail'!J2414,'Activation Detail'!J2914,'Activation Detail'!J3414,'Activation Detail'!J3914)</f>
        <v>4527763.27405283</v>
      </c>
      <c r="H414" s="50" t="n">
        <f aca="false">SUM('Activation Detail'!K414,'Activation Detail'!K914,'Activation Detail'!K1414,'Activation Detail'!K1914,'Activation Detail'!K2414,'Activation Detail'!K2914,'Activation Detail'!K3414,'Activation Detail'!K3914)</f>
        <v>97695.5124139959</v>
      </c>
      <c r="I414" s="51" t="n">
        <f aca="false">IFERROR(H414/F414,0)</f>
        <v>1.31340667236437</v>
      </c>
      <c r="J414" s="49" t="n">
        <f aca="false">IFERROR(F414/E414,0)</f>
        <v>103.01580638818</v>
      </c>
      <c r="K414" s="46" t="n">
        <f aca="false">IFERROR(C414/B414,0)</f>
        <v>0.0896395265377758</v>
      </c>
      <c r="L414" s="47" t="n">
        <f aca="false">IFERROR(D414/B414,0)</f>
        <v>0.00389589309310223</v>
      </c>
      <c r="N414" s="48" t="n">
        <f aca="false">SUMIFS('Activation Detail'!$H$4:$H$4003,'Activation Detail'!$A$4:$A$4003,$A414,'Activation Detail'!$N$4:$N$4003,N$2)</f>
        <v>103.213076346697</v>
      </c>
      <c r="O414" s="50" t="n">
        <f aca="false">N414*'Model Inputs &amp; Assumptions'!$D$40*'Model Inputs &amp; Assumptions'!$H$40</f>
        <v>877311.148946928</v>
      </c>
      <c r="P414" s="50" t="n">
        <f aca="false">N414*'Model Inputs &amp; Assumptions'!$G$40*'Model Inputs &amp; Assumptions'!$H$40</f>
        <v>19739.5008513059</v>
      </c>
      <c r="Q414" s="50" t="n">
        <f aca="false">SUMIFS('Activation Detail'!$I$4:$I$4003,'Activation Detail'!$A$4:$A$4003,$A414,'Activation Detail'!$N$4:$N$4003,N$2)</f>
        <v>17491.4345</v>
      </c>
      <c r="R414" s="51" t="n">
        <f aca="false">IFERROR(P414/Q414,0)</f>
        <v>1.12852384127247</v>
      </c>
      <c r="S414" s="49" t="n">
        <f aca="false">IFERROR(Q414/N414,0)</f>
        <v>169.469171146934</v>
      </c>
      <c r="T414" s="48" t="n">
        <f aca="false">SUMIFS('Activation Detail'!$H$4:$H$4003,'Activation Detail'!$A$4:$A$4003,$A414,'Activation Detail'!$N$4:$N$4003,T$2)</f>
        <v>171.496949135727</v>
      </c>
      <c r="U414" s="50" t="n">
        <f aca="false">T414*'Model Inputs &amp; Assumptions'!$D$41*'Model Inputs &amp; Assumptions'!$H$41</f>
        <v>1234778.03377724</v>
      </c>
      <c r="V414" s="50" t="n">
        <f aca="false">T414*'Model Inputs &amp; Assumptions'!$G$41*'Model Inputs &amp; Assumptions'!$H$41</f>
        <v>27226.8556447881</v>
      </c>
      <c r="W414" s="50" t="n">
        <f aca="false">SUMIFS('Activation Detail'!$I$4:$I$4003,'Activation Detail'!$A$4:$A$4003,$A414,'Activation Detail'!$N$4:$N$4003,T$2)</f>
        <v>17245.917796</v>
      </c>
      <c r="X414" s="51" t="n">
        <f aca="false">IFERROR(V414/W414,0)</f>
        <v>1.57874205170473</v>
      </c>
      <c r="Y414" s="49" t="n">
        <f aca="false">IFERROR(W414/T414,0)</f>
        <v>100.561076350992</v>
      </c>
      <c r="Z414" s="48" t="n">
        <f aca="false">SUMIFS('Activation Detail'!$H$4:$H$4003,'Activation Detail'!$A$4:$A$4003,$A414,'Activation Detail'!$N$4:$N$4003,Z$2)</f>
        <v>447.347053949753</v>
      </c>
      <c r="AA414" s="50" t="n">
        <f aca="false">Z414*'Model Inputs &amp; Assumptions'!$D$42*'Model Inputs &amp; Assumptions'!$H$42</f>
        <v>2415674.09132867</v>
      </c>
      <c r="AB414" s="50" t="n">
        <f aca="false">Z414*'Model Inputs &amp; Assumptions'!$G$42*'Model Inputs &amp; Assumptions'!$H$42</f>
        <v>50729.155917902</v>
      </c>
      <c r="AC414" s="50" t="n">
        <f aca="false">SUMIFS('Activation Detail'!$I$4:$I$4003,'Activation Detail'!$A$4:$A$4003,$A414,'Activation Detail'!$N$4:$N$4003,Z$2)</f>
        <v>39645.94</v>
      </c>
      <c r="AD414" s="51" t="n">
        <f aca="false">IFERROR(AB414/AC414,0)</f>
        <v>1.27955487794972</v>
      </c>
      <c r="AE414" s="49" t="n">
        <f aca="false">IFERROR(AC414/Z414,0)</f>
        <v>88.6245693359437</v>
      </c>
    </row>
    <row r="415" customFormat="false" ht="15" hidden="false" customHeight="false" outlineLevel="0" collapsed="false">
      <c r="A415" s="43" t="n">
        <v>412</v>
      </c>
      <c r="B415" s="45" t="n">
        <f aca="false">SUM('Activation Detail'!C415,'Activation Detail'!C915,'Activation Detail'!C1415,'Activation Detail'!C1915,'Activation Detail'!C2415,'Activation Detail'!C2915,'Activation Detail'!C3415,'Activation Detail'!C3915)</f>
        <v>3955312</v>
      </c>
      <c r="C415" s="45" t="n">
        <f aca="false">SUM('Activation Detail'!E415,'Activation Detail'!E915,'Activation Detail'!E1415,'Activation Detail'!E1915,'Activation Detail'!E2415,'Activation Detail'!E2915,'Activation Detail'!E3415,'Activation Detail'!E3915)</f>
        <v>306116</v>
      </c>
      <c r="D415" s="45" t="n">
        <f aca="false">SUM('Activation Detail'!G415,'Activation Detail'!G915,'Activation Detail'!G1415,'Activation Detail'!G1915,'Activation Detail'!G2415,'Activation Detail'!G2915,'Activation Detail'!G3415,'Activation Detail'!G3915)</f>
        <v>15899</v>
      </c>
      <c r="E415" s="48" t="n">
        <f aca="false">SUM('Activation Detail'!H415,'Activation Detail'!H915,'Activation Detail'!H1415,'Activation Detail'!H1915,'Activation Detail'!H2415,'Activation Detail'!H2915,'Activation Detail'!H3415,'Activation Detail'!H3915)</f>
        <v>514.33521764296</v>
      </c>
      <c r="F415" s="50" t="n">
        <f aca="false">SUM('Activation Detail'!I415,'Activation Detail'!I915,'Activation Detail'!I1415,'Activation Detail'!I1915,'Activation Detail'!I2415,'Activation Detail'!I2915,'Activation Detail'!I3415,'Activation Detail'!I3915)</f>
        <v>68783.10175</v>
      </c>
      <c r="G415" s="50" t="n">
        <f aca="false">SUM('Activation Detail'!J415,'Activation Detail'!J915,'Activation Detail'!J1415,'Activation Detail'!J1915,'Activation Detail'!J2415,'Activation Detail'!J2915,'Activation Detail'!J3415,'Activation Detail'!J3915)</f>
        <v>3276723.79137562</v>
      </c>
      <c r="H415" s="50" t="n">
        <f aca="false">SUM('Activation Detail'!K415,'Activation Detail'!K915,'Activation Detail'!K1415,'Activation Detail'!K1915,'Activation Detail'!K2415,'Activation Detail'!K2915,'Activation Detail'!K3415,'Activation Detail'!K3915)</f>
        <v>70886.2084661856</v>
      </c>
      <c r="I415" s="51" t="n">
        <f aca="false">IFERROR(H415/F415,0)</f>
        <v>1.03057592144986</v>
      </c>
      <c r="J415" s="49" t="n">
        <f aca="false">IFERROR(F415/E415,0)</f>
        <v>133.732047486874</v>
      </c>
      <c r="K415" s="46" t="n">
        <f aca="false">IFERROR(C415/B415,0)</f>
        <v>0.0773936417658076</v>
      </c>
      <c r="L415" s="47" t="n">
        <f aca="false">IFERROR(D415/B415,0)</f>
        <v>0.00401965761487337</v>
      </c>
      <c r="N415" s="48" t="n">
        <f aca="false">SUMIFS('Activation Detail'!$H$4:$H$4003,'Activation Detail'!$A$4:$A$4003,$A415,'Activation Detail'!$N$4:$N$4003,N$2)</f>
        <v>81.8827419913738</v>
      </c>
      <c r="O415" s="50" t="n">
        <f aca="false">N415*'Model Inputs &amp; Assumptions'!$D$40*'Model Inputs &amp; Assumptions'!$H$40</f>
        <v>696003.306926678</v>
      </c>
      <c r="P415" s="50" t="n">
        <f aca="false">N415*'Model Inputs &amp; Assumptions'!$G$40*'Model Inputs &amp; Assumptions'!$H$40</f>
        <v>15660.0744058502</v>
      </c>
      <c r="Q415" s="50" t="n">
        <f aca="false">SUMIFS('Activation Detail'!$I$4:$I$4003,'Activation Detail'!$A$4:$A$4003,$A415,'Activation Detail'!$N$4:$N$4003,N$2)</f>
        <v>17796.0895</v>
      </c>
      <c r="R415" s="51" t="n">
        <f aca="false">IFERROR(P415/Q415,0)</f>
        <v>0.879972783113405</v>
      </c>
      <c r="S415" s="49" t="n">
        <f aca="false">IFERROR(Q415/N415,0)</f>
        <v>217.336267291523</v>
      </c>
      <c r="T415" s="48" t="n">
        <f aca="false">SUMIFS('Activation Detail'!$H$4:$H$4003,'Activation Detail'!$A$4:$A$4003,$A415,'Activation Detail'!$N$4:$N$4003,T$2)</f>
        <v>136.376175516876</v>
      </c>
      <c r="U415" s="50" t="n">
        <f aca="false">T415*'Model Inputs &amp; Assumptions'!$D$41*'Model Inputs &amp; Assumptions'!$H$41</f>
        <v>981908.463721506</v>
      </c>
      <c r="V415" s="50" t="n">
        <f aca="false">T415*'Model Inputs &amp; Assumptions'!$G$41*'Model Inputs &amp; Assumptions'!$H$41</f>
        <v>21651.0816250592</v>
      </c>
      <c r="W415" s="50" t="n">
        <f aca="false">SUMIFS('Activation Detail'!$I$4:$I$4003,'Activation Detail'!$A$4:$A$4003,$A415,'Activation Detail'!$N$4:$N$4003,T$2)</f>
        <v>15839.72825</v>
      </c>
      <c r="X415" s="51" t="n">
        <f aca="false">IFERROR(V415/W415,0)</f>
        <v>1.36688466388678</v>
      </c>
      <c r="Y415" s="49" t="n">
        <f aca="false">IFERROR(W415/T415,0)</f>
        <v>116.147326979703</v>
      </c>
      <c r="Z415" s="48" t="n">
        <f aca="false">SUMIFS('Activation Detail'!$H$4:$H$4003,'Activation Detail'!$A$4:$A$4003,$A415,'Activation Detail'!$N$4:$N$4003,Z$2)</f>
        <v>296.076300134711</v>
      </c>
      <c r="AA415" s="50" t="n">
        <f aca="false">Z415*'Model Inputs &amp; Assumptions'!$D$42*'Model Inputs &amp; Assumptions'!$H$42</f>
        <v>1598812.02072744</v>
      </c>
      <c r="AB415" s="50" t="n">
        <f aca="false">Z415*'Model Inputs &amp; Assumptions'!$G$42*'Model Inputs &amp; Assumptions'!$H$42</f>
        <v>33575.0524352762</v>
      </c>
      <c r="AC415" s="50" t="n">
        <f aca="false">SUMIFS('Activation Detail'!$I$4:$I$4003,'Activation Detail'!$A$4:$A$4003,$A415,'Activation Detail'!$N$4:$N$4003,Z$2)</f>
        <v>35147.284</v>
      </c>
      <c r="AD415" s="51" t="n">
        <f aca="false">IFERROR(AB415/AC415,0)</f>
        <v>0.955267338303471</v>
      </c>
      <c r="AE415" s="49" t="n">
        <f aca="false">IFERROR(AC415/Z415,0)</f>
        <v>118.710224303696</v>
      </c>
    </row>
    <row r="416" customFormat="false" ht="15" hidden="false" customHeight="false" outlineLevel="0" collapsed="false">
      <c r="A416" s="43" t="n">
        <v>413</v>
      </c>
      <c r="B416" s="45" t="n">
        <f aca="false">SUM('Activation Detail'!C416,'Activation Detail'!C916,'Activation Detail'!C1416,'Activation Detail'!C1916,'Activation Detail'!C2416,'Activation Detail'!C2916,'Activation Detail'!C3416,'Activation Detail'!C3916)</f>
        <v>4702272</v>
      </c>
      <c r="C416" s="45" t="n">
        <f aca="false">SUM('Activation Detail'!E416,'Activation Detail'!E916,'Activation Detail'!E1416,'Activation Detail'!E1916,'Activation Detail'!E2416,'Activation Detail'!E2916,'Activation Detail'!E3416,'Activation Detail'!E3916)</f>
        <v>444556</v>
      </c>
      <c r="D416" s="45" t="n">
        <f aca="false">SUM('Activation Detail'!G416,'Activation Detail'!G916,'Activation Detail'!G1416,'Activation Detail'!G1916,'Activation Detail'!G2416,'Activation Detail'!G2916,'Activation Detail'!G3416,'Activation Detail'!G3916)</f>
        <v>15688</v>
      </c>
      <c r="E416" s="48" t="n">
        <f aca="false">SUM('Activation Detail'!H416,'Activation Detail'!H916,'Activation Detail'!H1416,'Activation Detail'!H1916,'Activation Detail'!H2416,'Activation Detail'!H2916,'Activation Detail'!H3416,'Activation Detail'!H3916)</f>
        <v>709.387199817844</v>
      </c>
      <c r="F416" s="50" t="n">
        <f aca="false">SUM('Activation Detail'!I416,'Activation Detail'!I916,'Activation Detail'!I1416,'Activation Detail'!I1916,'Activation Detail'!I2416,'Activation Detail'!I2916,'Activation Detail'!I3416,'Activation Detail'!I3916)</f>
        <v>71689.780802</v>
      </c>
      <c r="G416" s="50" t="n">
        <f aca="false">SUM('Activation Detail'!J416,'Activation Detail'!J916,'Activation Detail'!J1416,'Activation Detail'!J1916,'Activation Detail'!J2416,'Activation Detail'!J2916,'Activation Detail'!J3416,'Activation Detail'!J3916)</f>
        <v>4472508.84061836</v>
      </c>
      <c r="H416" s="50" t="n">
        <f aca="false">SUM('Activation Detail'!K416,'Activation Detail'!K916,'Activation Detail'!K1416,'Activation Detail'!K1916,'Activation Detail'!K2416,'Activation Detail'!K2916,'Activation Detail'!K3416,'Activation Detail'!K3916)</f>
        <v>96585.5295692213</v>
      </c>
      <c r="I416" s="51" t="n">
        <f aca="false">IFERROR(H416/F416,0)</f>
        <v>1.34727053826515</v>
      </c>
      <c r="J416" s="49" t="n">
        <f aca="false">IFERROR(F416/E416,0)</f>
        <v>101.058745943553</v>
      </c>
      <c r="K416" s="46" t="n">
        <f aca="false">IFERROR(C416/B416,0)</f>
        <v>0.0945406816109319</v>
      </c>
      <c r="L416" s="47" t="n">
        <f aca="false">IFERROR(D416/B416,0)</f>
        <v>0.00333625957834851</v>
      </c>
      <c r="N416" s="48" t="n">
        <f aca="false">SUMIFS('Activation Detail'!$H$4:$H$4003,'Activation Detail'!$A$4:$A$4003,$A416,'Activation Detail'!$N$4:$N$4003,N$2)</f>
        <v>121.45008330598</v>
      </c>
      <c r="O416" s="50" t="n">
        <f aca="false">N416*'Model Inputs &amp; Assumptions'!$D$40*'Model Inputs &amp; Assumptions'!$H$40</f>
        <v>1032325.70810083</v>
      </c>
      <c r="P416" s="50" t="n">
        <f aca="false">N416*'Model Inputs &amp; Assumptions'!$G$40*'Model Inputs &amp; Assumptions'!$H$40</f>
        <v>23227.3284322687</v>
      </c>
      <c r="Q416" s="50" t="n">
        <f aca="false">SUMIFS('Activation Detail'!$I$4:$I$4003,'Activation Detail'!$A$4:$A$4003,$A416,'Activation Detail'!$N$4:$N$4003,N$2)</f>
        <v>17844.794</v>
      </c>
      <c r="R416" s="51" t="n">
        <f aca="false">IFERROR(P416/Q416,0)</f>
        <v>1.30163051656795</v>
      </c>
      <c r="S416" s="49" t="n">
        <f aca="false">IFERROR(Q416/N416,0)</f>
        <v>146.931097239695</v>
      </c>
      <c r="T416" s="48" t="n">
        <f aca="false">SUMIFS('Activation Detail'!$H$4:$H$4003,'Activation Detail'!$A$4:$A$4003,$A416,'Activation Detail'!$N$4:$N$4003,T$2)</f>
        <v>147.401501863034</v>
      </c>
      <c r="U416" s="50" t="n">
        <f aca="false">T416*'Model Inputs &amp; Assumptions'!$D$41*'Model Inputs &amp; Assumptions'!$H$41</f>
        <v>1061290.81341385</v>
      </c>
      <c r="V416" s="50" t="n">
        <f aca="false">T416*'Model Inputs &amp; Assumptions'!$G$41*'Model Inputs &amp; Assumptions'!$H$41</f>
        <v>23401.4624357753</v>
      </c>
      <c r="W416" s="50" t="n">
        <f aca="false">SUMIFS('Activation Detail'!$I$4:$I$4003,'Activation Detail'!$A$4:$A$4003,$A416,'Activation Detail'!$N$4:$N$4003,T$2)</f>
        <v>19027.738802</v>
      </c>
      <c r="X416" s="51" t="n">
        <f aca="false">IFERROR(V416/W416,0)</f>
        <v>1.22986039903573</v>
      </c>
      <c r="Y416" s="49" t="n">
        <f aca="false">IFERROR(W416/T416,0)</f>
        <v>129.087821775932</v>
      </c>
      <c r="Z416" s="48" t="n">
        <f aca="false">SUMIFS('Activation Detail'!$H$4:$H$4003,'Activation Detail'!$A$4:$A$4003,$A416,'Activation Detail'!$N$4:$N$4003,Z$2)</f>
        <v>440.53561464883</v>
      </c>
      <c r="AA416" s="50" t="n">
        <f aca="false">Z416*'Model Inputs &amp; Assumptions'!$D$42*'Model Inputs &amp; Assumptions'!$H$42</f>
        <v>2378892.31910368</v>
      </c>
      <c r="AB416" s="50" t="n">
        <f aca="false">Z416*'Model Inputs &amp; Assumptions'!$G$42*'Model Inputs &amp; Assumptions'!$H$42</f>
        <v>49956.7387011773</v>
      </c>
      <c r="AC416" s="50" t="n">
        <f aca="false">SUMIFS('Activation Detail'!$I$4:$I$4003,'Activation Detail'!$A$4:$A$4003,$A416,'Activation Detail'!$N$4:$N$4003,Z$2)</f>
        <v>34817.248</v>
      </c>
      <c r="AD416" s="51" t="n">
        <f aca="false">IFERROR(AB416/AC416,0)</f>
        <v>1.43482732182559</v>
      </c>
      <c r="AE416" s="49" t="n">
        <f aca="false">IFERROR(AC416/Z416,0)</f>
        <v>79.033900647861</v>
      </c>
    </row>
    <row r="417" customFormat="false" ht="15" hidden="false" customHeight="false" outlineLevel="0" collapsed="false">
      <c r="A417" s="43" t="n">
        <v>414</v>
      </c>
      <c r="B417" s="45" t="n">
        <f aca="false">SUM('Activation Detail'!C417,'Activation Detail'!C917,'Activation Detail'!C1417,'Activation Detail'!C1917,'Activation Detail'!C2417,'Activation Detail'!C2917,'Activation Detail'!C3417,'Activation Detail'!C3917)</f>
        <v>5782731</v>
      </c>
      <c r="C417" s="45" t="n">
        <f aca="false">SUM('Activation Detail'!E417,'Activation Detail'!E917,'Activation Detail'!E1417,'Activation Detail'!E1917,'Activation Detail'!E2417,'Activation Detail'!E2917,'Activation Detail'!E3417,'Activation Detail'!E3917)</f>
        <v>364285</v>
      </c>
      <c r="D417" s="45" t="n">
        <f aca="false">SUM('Activation Detail'!G417,'Activation Detail'!G917,'Activation Detail'!G1417,'Activation Detail'!G1917,'Activation Detail'!G2417,'Activation Detail'!G2917,'Activation Detail'!G3417,'Activation Detail'!G3917)</f>
        <v>18367</v>
      </c>
      <c r="E417" s="48" t="n">
        <f aca="false">SUM('Activation Detail'!H417,'Activation Detail'!H917,'Activation Detail'!H1417,'Activation Detail'!H1917,'Activation Detail'!H2417,'Activation Detail'!H2917,'Activation Detail'!H3417,'Activation Detail'!H3917)</f>
        <v>891.941648622341</v>
      </c>
      <c r="F417" s="50" t="n">
        <f aca="false">SUM('Activation Detail'!I417,'Activation Detail'!I917,'Activation Detail'!I1417,'Activation Detail'!I1917,'Activation Detail'!I2417,'Activation Detail'!I2917,'Activation Detail'!I3417,'Activation Detail'!I3917)</f>
        <v>85839.895318</v>
      </c>
      <c r="G417" s="50" t="n">
        <f aca="false">SUM('Activation Detail'!J417,'Activation Detail'!J917,'Activation Detail'!J1417,'Activation Detail'!J1917,'Activation Detail'!J2417,'Activation Detail'!J2917,'Activation Detail'!J3417,'Activation Detail'!J3917)</f>
        <v>5494810.91480137</v>
      </c>
      <c r="H417" s="50" t="n">
        <f aca="false">SUM('Activation Detail'!K417,'Activation Detail'!K917,'Activation Detail'!K1417,'Activation Detail'!K1917,'Activation Detail'!K2417,'Activation Detail'!K2917,'Activation Detail'!K3417,'Activation Detail'!K3917)</f>
        <v>118209.373264081</v>
      </c>
      <c r="I417" s="51" t="n">
        <f aca="false">IFERROR(H417/F417,0)</f>
        <v>1.37709130266487</v>
      </c>
      <c r="J417" s="49" t="n">
        <f aca="false">IFERROR(F417/E417,0)</f>
        <v>96.239362127091</v>
      </c>
      <c r="K417" s="46" t="n">
        <f aca="false">IFERROR(C417/B417,0)</f>
        <v>0.0629953217606007</v>
      </c>
      <c r="L417" s="47" t="n">
        <f aca="false">IFERROR(D417/B417,0)</f>
        <v>0.00317618094287976</v>
      </c>
      <c r="N417" s="48" t="n">
        <f aca="false">SUMIFS('Activation Detail'!$H$4:$H$4003,'Activation Detail'!$A$4:$A$4003,$A417,'Activation Detail'!$N$4:$N$4003,N$2)</f>
        <v>113.426659847307</v>
      </c>
      <c r="O417" s="50" t="n">
        <f aca="false">N417*'Model Inputs &amp; Assumptions'!$D$40*'Model Inputs &amp; Assumptions'!$H$40</f>
        <v>964126.608702107</v>
      </c>
      <c r="P417" s="50" t="n">
        <f aca="false">N417*'Model Inputs &amp; Assumptions'!$G$40*'Model Inputs &amp; Assumptions'!$H$40</f>
        <v>21692.8486957974</v>
      </c>
      <c r="Q417" s="50" t="n">
        <f aca="false">SUMIFS('Activation Detail'!$I$4:$I$4003,'Activation Detail'!$A$4:$A$4003,$A417,'Activation Detail'!$N$4:$N$4003,N$2)</f>
        <v>17993.904</v>
      </c>
      <c r="R417" s="51" t="n">
        <f aca="false">IFERROR(P417/Q417,0)</f>
        <v>1.20556654608124</v>
      </c>
      <c r="S417" s="49" t="n">
        <f aca="false">IFERROR(Q417/N417,0)</f>
        <v>158.63910675165</v>
      </c>
      <c r="T417" s="48" t="n">
        <f aca="false">SUMIFS('Activation Detail'!$H$4:$H$4003,'Activation Detail'!$A$4:$A$4003,$A417,'Activation Detail'!$N$4:$N$4003,T$2)</f>
        <v>181.501870396713</v>
      </c>
      <c r="U417" s="50" t="n">
        <f aca="false">T417*'Model Inputs &amp; Assumptions'!$D$41*'Model Inputs &amp; Assumptions'!$H$41</f>
        <v>1306813.46685633</v>
      </c>
      <c r="V417" s="50" t="n">
        <f aca="false">T417*'Model Inputs &amp; Assumptions'!$G$41*'Model Inputs &amp; Assumptions'!$H$41</f>
        <v>28815.2369441821</v>
      </c>
      <c r="W417" s="50" t="n">
        <f aca="false">SUMIFS('Activation Detail'!$I$4:$I$4003,'Activation Detail'!$A$4:$A$4003,$A417,'Activation Detail'!$N$4:$N$4003,T$2)</f>
        <v>19363.263318</v>
      </c>
      <c r="X417" s="51" t="n">
        <f aca="false">IFERROR(V417/W417,0)</f>
        <v>1.48813949750895</v>
      </c>
      <c r="Y417" s="49" t="n">
        <f aca="false">IFERROR(W417/T417,0)</f>
        <v>106.683546983165</v>
      </c>
      <c r="Z417" s="48" t="n">
        <f aca="false">SUMIFS('Activation Detail'!$H$4:$H$4003,'Activation Detail'!$A$4:$A$4003,$A417,'Activation Detail'!$N$4:$N$4003,Z$2)</f>
        <v>597.013118378321</v>
      </c>
      <c r="AA417" s="50" t="n">
        <f aca="false">Z417*'Model Inputs &amp; Assumptions'!$D$42*'Model Inputs &amp; Assumptions'!$H$42</f>
        <v>3223870.83924293</v>
      </c>
      <c r="AB417" s="50" t="n">
        <f aca="false">Z417*'Model Inputs &amp; Assumptions'!$G$42*'Model Inputs &amp; Assumptions'!$H$42</f>
        <v>67701.2876241016</v>
      </c>
      <c r="AC417" s="50" t="n">
        <f aca="false">SUMIFS('Activation Detail'!$I$4:$I$4003,'Activation Detail'!$A$4:$A$4003,$A417,'Activation Detail'!$N$4:$N$4003,Z$2)</f>
        <v>48482.728</v>
      </c>
      <c r="AD417" s="51" t="n">
        <f aca="false">IFERROR(AB417/AC417,0)</f>
        <v>1.39640012880673</v>
      </c>
      <c r="AE417" s="49" t="n">
        <f aca="false">IFERROR(AC417/Z417,0)</f>
        <v>81.2088151960456</v>
      </c>
    </row>
    <row r="418" customFormat="false" ht="15" hidden="false" customHeight="false" outlineLevel="0" collapsed="false">
      <c r="A418" s="43" t="n">
        <v>415</v>
      </c>
      <c r="B418" s="45" t="n">
        <f aca="false">SUM('Activation Detail'!C418,'Activation Detail'!C918,'Activation Detail'!C1418,'Activation Detail'!C1918,'Activation Detail'!C2418,'Activation Detail'!C2918,'Activation Detail'!C3418,'Activation Detail'!C3918)</f>
        <v>4331630</v>
      </c>
      <c r="C418" s="45" t="n">
        <f aca="false">SUM('Activation Detail'!E418,'Activation Detail'!E918,'Activation Detail'!E1418,'Activation Detail'!E1918,'Activation Detail'!E2418,'Activation Detail'!E2918,'Activation Detail'!E3418,'Activation Detail'!E3918)</f>
        <v>411032</v>
      </c>
      <c r="D418" s="45" t="n">
        <f aca="false">SUM('Activation Detail'!G418,'Activation Detail'!G918,'Activation Detail'!G1418,'Activation Detail'!G1918,'Activation Detail'!G2418,'Activation Detail'!G2918,'Activation Detail'!G3418,'Activation Detail'!G3918)</f>
        <v>15225</v>
      </c>
      <c r="E418" s="48" t="n">
        <f aca="false">SUM('Activation Detail'!H418,'Activation Detail'!H918,'Activation Detail'!H1418,'Activation Detail'!H1918,'Activation Detail'!H2418,'Activation Detail'!H2918,'Activation Detail'!H3418,'Activation Detail'!H3918)</f>
        <v>527.755003526401</v>
      </c>
      <c r="F418" s="50" t="n">
        <f aca="false">SUM('Activation Detail'!I418,'Activation Detail'!I918,'Activation Detail'!I1418,'Activation Detail'!I1918,'Activation Detail'!I2418,'Activation Detail'!I2918,'Activation Detail'!I3418,'Activation Detail'!I3918)</f>
        <v>79146.335906</v>
      </c>
      <c r="G418" s="50" t="n">
        <f aca="false">SUM('Activation Detail'!J418,'Activation Detail'!J918,'Activation Detail'!J1418,'Activation Detail'!J1918,'Activation Detail'!J2418,'Activation Detail'!J2918,'Activation Detail'!J3418,'Activation Detail'!J3918)</f>
        <v>3359773.88466321</v>
      </c>
      <c r="H418" s="50" t="n">
        <f aca="false">SUM('Activation Detail'!K418,'Activation Detail'!K918,'Activation Detail'!K1418,'Activation Detail'!K1918,'Activation Detail'!K2418,'Activation Detail'!K2918,'Activation Detail'!K3418,'Activation Detail'!K3918)</f>
        <v>72678.2309733865</v>
      </c>
      <c r="I418" s="51" t="n">
        <f aca="false">IFERROR(H418/F418,0)</f>
        <v>0.918276634558352</v>
      </c>
      <c r="J418" s="49" t="n">
        <f aca="false">IFERROR(F418/E418,0)</f>
        <v>149.967949857705</v>
      </c>
      <c r="K418" s="46" t="n">
        <f aca="false">IFERROR(C418/B418,0)</f>
        <v>0.0948908378601127</v>
      </c>
      <c r="L418" s="47" t="n">
        <f aca="false">IFERROR(D418/B418,0)</f>
        <v>0.00351484314218897</v>
      </c>
      <c r="N418" s="48" t="n">
        <f aca="false">SUMIFS('Activation Detail'!$H$4:$H$4003,'Activation Detail'!$A$4:$A$4003,$A418,'Activation Detail'!$N$4:$N$4003,N$2)</f>
        <v>68.8423709167165</v>
      </c>
      <c r="O418" s="50" t="n">
        <f aca="false">N418*'Model Inputs &amp; Assumptions'!$D$40*'Model Inputs &amp; Assumptions'!$H$40</f>
        <v>585160.15279209</v>
      </c>
      <c r="P418" s="50" t="n">
        <f aca="false">N418*'Model Inputs &amp; Assumptions'!$G$40*'Model Inputs &amp; Assumptions'!$H$40</f>
        <v>13166.103437822</v>
      </c>
      <c r="Q418" s="50" t="n">
        <f aca="false">SUMIFS('Activation Detail'!$I$4:$I$4003,'Activation Detail'!$A$4:$A$4003,$A418,'Activation Detail'!$N$4:$N$4003,N$2)</f>
        <v>17916.476</v>
      </c>
      <c r="R418" s="51" t="n">
        <f aca="false">IFERROR(P418/Q418,0)</f>
        <v>0.734860105180396</v>
      </c>
      <c r="S418" s="49" t="n">
        <f aca="false">IFERROR(Q418/N418,0)</f>
        <v>260.253616507119</v>
      </c>
      <c r="T418" s="48" t="n">
        <f aca="false">SUMIFS('Activation Detail'!$H$4:$H$4003,'Activation Detail'!$A$4:$A$4003,$A418,'Activation Detail'!$N$4:$N$4003,T$2)</f>
        <v>164.714175432678</v>
      </c>
      <c r="U418" s="50" t="n">
        <f aca="false">T418*'Model Inputs &amp; Assumptions'!$D$41*'Model Inputs &amp; Assumptions'!$H$41</f>
        <v>1185942.06311528</v>
      </c>
      <c r="V418" s="50" t="n">
        <f aca="false">T418*'Model Inputs &amp; Assumptions'!$G$41*'Model Inputs &amp; Assumptions'!$H$41</f>
        <v>26150.0224916919</v>
      </c>
      <c r="W418" s="50" t="n">
        <f aca="false">SUMIFS('Activation Detail'!$I$4:$I$4003,'Activation Detail'!$A$4:$A$4003,$A418,'Activation Detail'!$N$4:$N$4003,T$2)</f>
        <v>20174.171906</v>
      </c>
      <c r="X418" s="51" t="n">
        <f aca="false">IFERROR(V418/W418,0)</f>
        <v>1.29621293074808</v>
      </c>
      <c r="Y418" s="49" t="n">
        <f aca="false">IFERROR(W418/T418,0)</f>
        <v>122.479876750168</v>
      </c>
      <c r="Z418" s="48" t="n">
        <f aca="false">SUMIFS('Activation Detail'!$H$4:$H$4003,'Activation Detail'!$A$4:$A$4003,$A418,'Activation Detail'!$N$4:$N$4003,Z$2)</f>
        <v>294.198457177007</v>
      </c>
      <c r="AA418" s="50" t="n">
        <f aca="false">Z418*'Model Inputs &amp; Assumptions'!$D$42*'Model Inputs &amp; Assumptions'!$H$42</f>
        <v>1588671.66875584</v>
      </c>
      <c r="AB418" s="50" t="n">
        <f aca="false">Z418*'Model Inputs &amp; Assumptions'!$G$42*'Model Inputs &amp; Assumptions'!$H$42</f>
        <v>33362.1050438726</v>
      </c>
      <c r="AC418" s="50" t="n">
        <f aca="false">SUMIFS('Activation Detail'!$I$4:$I$4003,'Activation Detail'!$A$4:$A$4003,$A418,'Activation Detail'!$N$4:$N$4003,Z$2)</f>
        <v>41055.688</v>
      </c>
      <c r="AD418" s="51" t="n">
        <f aca="false">IFERROR(AB418/AC418,0)</f>
        <v>0.812606161754555</v>
      </c>
      <c r="AE418" s="49" t="n">
        <f aca="false">IFERROR(AC418/Z418,0)</f>
        <v>139.550996949309</v>
      </c>
    </row>
    <row r="419" customFormat="false" ht="15" hidden="false" customHeight="false" outlineLevel="0" collapsed="false">
      <c r="A419" s="43" t="n">
        <v>416</v>
      </c>
      <c r="B419" s="45" t="n">
        <f aca="false">SUM('Activation Detail'!C419,'Activation Detail'!C919,'Activation Detail'!C1419,'Activation Detail'!C1919,'Activation Detail'!C2419,'Activation Detail'!C2919,'Activation Detail'!C3419,'Activation Detail'!C3919)</f>
        <v>4167742</v>
      </c>
      <c r="C419" s="45" t="n">
        <f aca="false">SUM('Activation Detail'!E419,'Activation Detail'!E919,'Activation Detail'!E1419,'Activation Detail'!E1919,'Activation Detail'!E2419,'Activation Detail'!E2919,'Activation Detail'!E3419,'Activation Detail'!E3919)</f>
        <v>737471</v>
      </c>
      <c r="D419" s="45" t="n">
        <f aca="false">SUM('Activation Detail'!G419,'Activation Detail'!G919,'Activation Detail'!G1419,'Activation Detail'!G1919,'Activation Detail'!G2419,'Activation Detail'!G2919,'Activation Detail'!G3419,'Activation Detail'!G3919)</f>
        <v>15823</v>
      </c>
      <c r="E419" s="48" t="n">
        <f aca="false">SUM('Activation Detail'!H419,'Activation Detail'!H919,'Activation Detail'!H1419,'Activation Detail'!H1919,'Activation Detail'!H2419,'Activation Detail'!H2919,'Activation Detail'!H3419,'Activation Detail'!H3919)</f>
        <v>656.815448699811</v>
      </c>
      <c r="F419" s="50" t="n">
        <f aca="false">SUM('Activation Detail'!I419,'Activation Detail'!I919,'Activation Detail'!I1419,'Activation Detail'!I1919,'Activation Detail'!I2419,'Activation Detail'!I2919,'Activation Detail'!I3419,'Activation Detail'!I3919)</f>
        <v>76809.947578</v>
      </c>
      <c r="G419" s="50" t="n">
        <f aca="false">SUM('Activation Detail'!J419,'Activation Detail'!J919,'Activation Detail'!J1419,'Activation Detail'!J1919,'Activation Detail'!J2419,'Activation Detail'!J2919,'Activation Detail'!J3419,'Activation Detail'!J3919)</f>
        <v>4089821.29453982</v>
      </c>
      <c r="H419" s="50" t="n">
        <f aca="false">SUM('Activation Detail'!K419,'Activation Detail'!K919,'Activation Detail'!K1419,'Activation Detail'!K1919,'Activation Detail'!K2419,'Activation Detail'!K2919,'Activation Detail'!K3419,'Activation Detail'!K3919)</f>
        <v>88147.9185639991</v>
      </c>
      <c r="I419" s="51" t="n">
        <f aca="false">IFERROR(H419/F419,0)</f>
        <v>1.14761071115802</v>
      </c>
      <c r="J419" s="49" t="n">
        <f aca="false">IFERROR(F419/E419,0)</f>
        <v>116.942967358712</v>
      </c>
      <c r="K419" s="46" t="n">
        <f aca="false">IFERROR(C419/B419,0)</f>
        <v>0.176947373421867</v>
      </c>
      <c r="L419" s="47" t="n">
        <f aca="false">IFERROR(D419/B419,0)</f>
        <v>0.00379654018890805</v>
      </c>
      <c r="N419" s="48" t="n">
        <f aca="false">SUMIFS('Activation Detail'!$H$4:$H$4003,'Activation Detail'!$A$4:$A$4003,$A419,'Activation Detail'!$N$4:$N$4003,N$2)</f>
        <v>70.3840070094933</v>
      </c>
      <c r="O419" s="50" t="n">
        <f aca="false">N419*'Model Inputs &amp; Assumptions'!$D$40*'Model Inputs &amp; Assumptions'!$H$40</f>
        <v>598264.059580693</v>
      </c>
      <c r="P419" s="50" t="n">
        <f aca="false">N419*'Model Inputs &amp; Assumptions'!$G$40*'Model Inputs &amp; Assumptions'!$H$40</f>
        <v>13460.9413405656</v>
      </c>
      <c r="Q419" s="50" t="n">
        <f aca="false">SUMIFS('Activation Detail'!$I$4:$I$4003,'Activation Detail'!$A$4:$A$4003,$A419,'Activation Detail'!$N$4:$N$4003,N$2)</f>
        <v>17918.1465</v>
      </c>
      <c r="R419" s="51" t="n">
        <f aca="false">IFERROR(P419/Q419,0)</f>
        <v>0.751246304441455</v>
      </c>
      <c r="S419" s="49" t="n">
        <f aca="false">IFERROR(Q419/N419,0)</f>
        <v>254.576959472956</v>
      </c>
      <c r="T419" s="48" t="n">
        <f aca="false">SUMIFS('Activation Detail'!$H$4:$H$4003,'Activation Detail'!$A$4:$A$4003,$A419,'Activation Detail'!$N$4:$N$4003,T$2)</f>
        <v>180.459694350783</v>
      </c>
      <c r="U419" s="50" t="n">
        <f aca="false">T419*'Model Inputs &amp; Assumptions'!$D$41*'Model Inputs &amp; Assumptions'!$H$41</f>
        <v>1299309.79932564</v>
      </c>
      <c r="V419" s="50" t="n">
        <f aca="false">T419*'Model Inputs &amp; Assumptions'!$G$41*'Model Inputs &amp; Assumptions'!$H$41</f>
        <v>28649.7810751303</v>
      </c>
      <c r="W419" s="50" t="n">
        <f aca="false">SUMIFS('Activation Detail'!$I$4:$I$4003,'Activation Detail'!$A$4:$A$4003,$A419,'Activation Detail'!$N$4:$N$4003,T$2)</f>
        <v>21807.537078</v>
      </c>
      <c r="X419" s="51" t="n">
        <f aca="false">IFERROR(V419/W419,0)</f>
        <v>1.31375592634131</v>
      </c>
      <c r="Y419" s="49" t="n">
        <f aca="false">IFERROR(W419/T419,0)</f>
        <v>120.844364479582</v>
      </c>
      <c r="Z419" s="48" t="n">
        <f aca="false">SUMIFS('Activation Detail'!$H$4:$H$4003,'Activation Detail'!$A$4:$A$4003,$A419,'Activation Detail'!$N$4:$N$4003,Z$2)</f>
        <v>405.971747339534</v>
      </c>
      <c r="AA419" s="50" t="n">
        <f aca="false">Z419*'Model Inputs &amp; Assumptions'!$D$42*'Model Inputs &amp; Assumptions'!$H$42</f>
        <v>2192247.43563348</v>
      </c>
      <c r="AB419" s="50" t="n">
        <f aca="false">Z419*'Model Inputs &amp; Assumptions'!$G$42*'Model Inputs &amp; Assumptions'!$H$42</f>
        <v>46037.1961483032</v>
      </c>
      <c r="AC419" s="50" t="n">
        <f aca="false">SUMIFS('Activation Detail'!$I$4:$I$4003,'Activation Detail'!$A$4:$A$4003,$A419,'Activation Detail'!$N$4:$N$4003,Z$2)</f>
        <v>37084.264</v>
      </c>
      <c r="AD419" s="51" t="n">
        <f aca="false">IFERROR(AB419/AC419,0)</f>
        <v>1.24142132491299</v>
      </c>
      <c r="AE419" s="49" t="n">
        <f aca="false">IFERROR(AC419/Z419,0)</f>
        <v>91.346908357602</v>
      </c>
    </row>
    <row r="420" customFormat="false" ht="15" hidden="false" customHeight="false" outlineLevel="0" collapsed="false">
      <c r="A420" s="43" t="n">
        <v>417</v>
      </c>
      <c r="B420" s="45" t="n">
        <f aca="false">SUM('Activation Detail'!C420,'Activation Detail'!C920,'Activation Detail'!C1420,'Activation Detail'!C1920,'Activation Detail'!C2420,'Activation Detail'!C2920,'Activation Detail'!C3420,'Activation Detail'!C3920)</f>
        <v>3650403</v>
      </c>
      <c r="C420" s="45" t="n">
        <f aca="false">SUM('Activation Detail'!E420,'Activation Detail'!E920,'Activation Detail'!E1420,'Activation Detail'!E1920,'Activation Detail'!E2420,'Activation Detail'!E2920,'Activation Detail'!E3420,'Activation Detail'!E3920)</f>
        <v>376354</v>
      </c>
      <c r="D420" s="45" t="n">
        <f aca="false">SUM('Activation Detail'!G420,'Activation Detail'!G920,'Activation Detail'!G1420,'Activation Detail'!G1920,'Activation Detail'!G2420,'Activation Detail'!G2920,'Activation Detail'!G3420,'Activation Detail'!G3920)</f>
        <v>17534</v>
      </c>
      <c r="E420" s="48" t="n">
        <f aca="false">SUM('Activation Detail'!H420,'Activation Detail'!H920,'Activation Detail'!H1420,'Activation Detail'!H1920,'Activation Detail'!H2420,'Activation Detail'!H2920,'Activation Detail'!H3420,'Activation Detail'!H3920)</f>
        <v>694.681820511662</v>
      </c>
      <c r="F420" s="50" t="n">
        <f aca="false">SUM('Activation Detail'!I420,'Activation Detail'!I920,'Activation Detail'!I1420,'Activation Detail'!I1920,'Activation Detail'!I2420,'Activation Detail'!I2920,'Activation Detail'!I3420,'Activation Detail'!I3920)</f>
        <v>70562.436492</v>
      </c>
      <c r="G420" s="50" t="n">
        <f aca="false">SUM('Activation Detail'!J420,'Activation Detail'!J920,'Activation Detail'!J1420,'Activation Detail'!J1920,'Activation Detail'!J2420,'Activation Detail'!J2920,'Activation Detail'!J3420,'Activation Detail'!J3920)</f>
        <v>4309885.75560453</v>
      </c>
      <c r="H420" s="50" t="n">
        <f aca="false">SUM('Activation Detail'!K420,'Activation Detail'!K920,'Activation Detail'!K1420,'Activation Detail'!K1920,'Activation Detail'!K2420,'Activation Detail'!K2920,'Activation Detail'!K3420,'Activation Detail'!K3920)</f>
        <v>92832.4389148492</v>
      </c>
      <c r="I420" s="51" t="n">
        <f aca="false">IFERROR(H420/F420,0)</f>
        <v>1.31560705001129</v>
      </c>
      <c r="J420" s="49" t="n">
        <f aca="false">IFERROR(F420/E420,0)</f>
        <v>101.575187961631</v>
      </c>
      <c r="K420" s="46" t="n">
        <f aca="false">IFERROR(C420/B420,0)</f>
        <v>0.103099301638751</v>
      </c>
      <c r="L420" s="47" t="n">
        <f aca="false">IFERROR(D420/B420,0)</f>
        <v>0.0048033052788966</v>
      </c>
      <c r="N420" s="48" t="n">
        <f aca="false">SUMIFS('Activation Detail'!$H$4:$H$4003,'Activation Detail'!$A$4:$A$4003,$A420,'Activation Detail'!$N$4:$N$4003,N$2)</f>
        <v>78.8831006684966</v>
      </c>
      <c r="O420" s="50" t="n">
        <f aca="false">N420*'Model Inputs &amp; Assumptions'!$D$40*'Model Inputs &amp; Assumptions'!$H$40</f>
        <v>670506.355682221</v>
      </c>
      <c r="P420" s="50" t="n">
        <f aca="false">N420*'Model Inputs &amp; Assumptions'!$G$40*'Model Inputs &amp; Assumptions'!$H$40</f>
        <v>15086.39300285</v>
      </c>
      <c r="Q420" s="50" t="n">
        <f aca="false">SUMIFS('Activation Detail'!$I$4:$I$4003,'Activation Detail'!$A$4:$A$4003,$A420,'Activation Detail'!$N$4:$N$4003,N$2)</f>
        <v>18118.756</v>
      </c>
      <c r="R420" s="51" t="n">
        <f aca="false">IFERROR(P420/Q420,0)</f>
        <v>0.832639558855474</v>
      </c>
      <c r="S420" s="49" t="n">
        <f aca="false">IFERROR(Q420/N420,0)</f>
        <v>229.691224691375</v>
      </c>
      <c r="T420" s="48" t="n">
        <f aca="false">SUMIFS('Activation Detail'!$H$4:$H$4003,'Activation Detail'!$A$4:$A$4003,$A420,'Activation Detail'!$N$4:$N$4003,T$2)</f>
        <v>174.481284871787</v>
      </c>
      <c r="U420" s="50" t="n">
        <f aca="false">T420*'Model Inputs &amp; Assumptions'!$D$41*'Model Inputs &amp; Assumptions'!$H$41</f>
        <v>1256265.25107687</v>
      </c>
      <c r="V420" s="50" t="n">
        <f aca="false">T420*'Model Inputs &amp; Assumptions'!$G$41*'Model Inputs &amp; Assumptions'!$H$41</f>
        <v>27700.648786245</v>
      </c>
      <c r="W420" s="50" t="n">
        <f aca="false">SUMIFS('Activation Detail'!$I$4:$I$4003,'Activation Detail'!$A$4:$A$4003,$A420,'Activation Detail'!$N$4:$N$4003,T$2)</f>
        <v>19542.652492</v>
      </c>
      <c r="X420" s="51" t="n">
        <f aca="false">IFERROR(V420/W420,0)</f>
        <v>1.41744570229576</v>
      </c>
      <c r="Y420" s="49" t="n">
        <f aca="false">IFERROR(W420/T420,0)</f>
        <v>112.00429035332</v>
      </c>
      <c r="Z420" s="48" t="n">
        <f aca="false">SUMIFS('Activation Detail'!$H$4:$H$4003,'Activation Detail'!$A$4:$A$4003,$A420,'Activation Detail'!$N$4:$N$4003,Z$2)</f>
        <v>441.317434971378</v>
      </c>
      <c r="AA420" s="50" t="n">
        <f aca="false">Z420*'Model Inputs &amp; Assumptions'!$D$42*'Model Inputs &amp; Assumptions'!$H$42</f>
        <v>2383114.14884544</v>
      </c>
      <c r="AB420" s="50" t="n">
        <f aca="false">Z420*'Model Inputs &amp; Assumptions'!$G$42*'Model Inputs &amp; Assumptions'!$H$42</f>
        <v>50045.3971257543</v>
      </c>
      <c r="AC420" s="50" t="n">
        <f aca="false">SUMIFS('Activation Detail'!$I$4:$I$4003,'Activation Detail'!$A$4:$A$4003,$A420,'Activation Detail'!$N$4:$N$4003,Z$2)</f>
        <v>32901.028</v>
      </c>
      <c r="AD420" s="51" t="n">
        <f aca="false">IFERROR(AB420/AC420,0)</f>
        <v>1.5210891624953</v>
      </c>
      <c r="AE420" s="49" t="n">
        <f aca="false">IFERROR(AC420/Z420,0)</f>
        <v>74.5518427164197</v>
      </c>
    </row>
    <row r="421" customFormat="false" ht="15" hidden="false" customHeight="false" outlineLevel="0" collapsed="false">
      <c r="A421" s="43" t="n">
        <v>418</v>
      </c>
      <c r="B421" s="45" t="n">
        <f aca="false">SUM('Activation Detail'!C421,'Activation Detail'!C921,'Activation Detail'!C1421,'Activation Detail'!C1921,'Activation Detail'!C2421,'Activation Detail'!C2921,'Activation Detail'!C3421,'Activation Detail'!C3921)</f>
        <v>3875024</v>
      </c>
      <c r="C421" s="45" t="n">
        <f aca="false">SUM('Activation Detail'!E421,'Activation Detail'!E921,'Activation Detail'!E1421,'Activation Detail'!E1921,'Activation Detail'!E2421,'Activation Detail'!E2921,'Activation Detail'!E3421,'Activation Detail'!E3921)</f>
        <v>297254</v>
      </c>
      <c r="D421" s="45" t="n">
        <f aca="false">SUM('Activation Detail'!G421,'Activation Detail'!G921,'Activation Detail'!G1421,'Activation Detail'!G1921,'Activation Detail'!G2421,'Activation Detail'!G2921,'Activation Detail'!G3421,'Activation Detail'!G3921)</f>
        <v>17089</v>
      </c>
      <c r="E421" s="48" t="n">
        <f aca="false">SUM('Activation Detail'!H421,'Activation Detail'!H921,'Activation Detail'!H1421,'Activation Detail'!H1921,'Activation Detail'!H2421,'Activation Detail'!H2921,'Activation Detail'!H3421,'Activation Detail'!H3921)</f>
        <v>680.388239148675</v>
      </c>
      <c r="F421" s="50" t="n">
        <f aca="false">SUM('Activation Detail'!I421,'Activation Detail'!I921,'Activation Detail'!I1421,'Activation Detail'!I1921,'Activation Detail'!I2421,'Activation Detail'!I2921,'Activation Detail'!I3421,'Activation Detail'!I3921)</f>
        <v>72166.01948</v>
      </c>
      <c r="G421" s="50" t="n">
        <f aca="false">SUM('Activation Detail'!J421,'Activation Detail'!J921,'Activation Detail'!J1421,'Activation Detail'!J1921,'Activation Detail'!J2421,'Activation Detail'!J2921,'Activation Detail'!J3421,'Activation Detail'!J3921)</f>
        <v>4422859.79685947</v>
      </c>
      <c r="H421" s="50" t="n">
        <f aca="false">SUM('Activation Detail'!K421,'Activation Detail'!K921,'Activation Detail'!K1421,'Activation Detail'!K1921,'Activation Detail'!K2421,'Activation Detail'!K2921,'Activation Detail'!K3421,'Activation Detail'!K3921)</f>
        <v>95992.8610229819</v>
      </c>
      <c r="I421" s="51" t="n">
        <f aca="false">IFERROR(H421/F421,0)</f>
        <v>1.33016704696572</v>
      </c>
      <c r="J421" s="49" t="n">
        <f aca="false">IFERROR(F421/E421,0)</f>
        <v>106.0659419544</v>
      </c>
      <c r="K421" s="46" t="n">
        <f aca="false">IFERROR(C421/B421,0)</f>
        <v>0.0767102345688698</v>
      </c>
      <c r="L421" s="47" t="n">
        <f aca="false">IFERROR(D421/B421,0)</f>
        <v>0.00441003720235023</v>
      </c>
      <c r="N421" s="48" t="n">
        <f aca="false">SUMIFS('Activation Detail'!$H$4:$H$4003,'Activation Detail'!$A$4:$A$4003,$A421,'Activation Detail'!$N$4:$N$4003,N$2)</f>
        <v>118.520718462079</v>
      </c>
      <c r="O421" s="50" t="n">
        <f aca="false">N421*'Model Inputs &amp; Assumptions'!$D$40*'Model Inputs &amp; Assumptions'!$H$40</f>
        <v>1007426.10692767</v>
      </c>
      <c r="P421" s="50" t="n">
        <f aca="false">N421*'Model Inputs &amp; Assumptions'!$G$40*'Model Inputs &amp; Assumptions'!$H$40</f>
        <v>22667.0874058727</v>
      </c>
      <c r="Q421" s="50" t="n">
        <f aca="false">SUMIFS('Activation Detail'!$I$4:$I$4003,'Activation Detail'!$A$4:$A$4003,$A421,'Activation Detail'!$N$4:$N$4003,N$2)</f>
        <v>17854.4595</v>
      </c>
      <c r="R421" s="51" t="n">
        <f aca="false">IFERROR(P421/Q421,0)</f>
        <v>1.26954766711771</v>
      </c>
      <c r="S421" s="49" t="n">
        <f aca="false">IFERROR(Q421/N421,0)</f>
        <v>150.644205769918</v>
      </c>
      <c r="T421" s="48" t="n">
        <f aca="false">SUMIFS('Activation Detail'!$H$4:$H$4003,'Activation Detail'!$A$4:$A$4003,$A421,'Activation Detail'!$N$4:$N$4003,T$2)</f>
        <v>211.860599013433</v>
      </c>
      <c r="U421" s="50" t="n">
        <f aca="false">T421*'Model Inputs &amp; Assumptions'!$D$41*'Model Inputs &amp; Assumptions'!$H$41</f>
        <v>1525396.31289672</v>
      </c>
      <c r="V421" s="50" t="n">
        <f aca="false">T421*'Model Inputs &amp; Assumptions'!$G$41*'Model Inputs &amp; Assumptions'!$H$41</f>
        <v>33634.9886993727</v>
      </c>
      <c r="W421" s="50" t="n">
        <f aca="false">SUMIFS('Activation Detail'!$I$4:$I$4003,'Activation Detail'!$A$4:$A$4003,$A421,'Activation Detail'!$N$4:$N$4003,T$2)</f>
        <v>18130.13998</v>
      </c>
      <c r="X421" s="51" t="n">
        <f aca="false">IFERROR(V421/W421,0)</f>
        <v>1.85519740809926</v>
      </c>
      <c r="Y421" s="49" t="n">
        <f aca="false">IFERROR(W421/T421,0)</f>
        <v>85.5757987300434</v>
      </c>
      <c r="Z421" s="48" t="n">
        <f aca="false">SUMIFS('Activation Detail'!$H$4:$H$4003,'Activation Detail'!$A$4:$A$4003,$A421,'Activation Detail'!$N$4:$N$4003,Z$2)</f>
        <v>350.006921673162</v>
      </c>
      <c r="AA421" s="50" t="n">
        <f aca="false">Z421*'Model Inputs &amp; Assumptions'!$D$42*'Model Inputs &amp; Assumptions'!$H$42</f>
        <v>1890037.37703507</v>
      </c>
      <c r="AB421" s="50" t="n">
        <f aca="false">Z421*'Model Inputs &amp; Assumptions'!$G$42*'Model Inputs &amp; Assumptions'!$H$42</f>
        <v>39690.7849177366</v>
      </c>
      <c r="AC421" s="50" t="n">
        <f aca="false">SUMIFS('Activation Detail'!$I$4:$I$4003,'Activation Detail'!$A$4:$A$4003,$A421,'Activation Detail'!$N$4:$N$4003,Z$2)</f>
        <v>36181.42</v>
      </c>
      <c r="AD421" s="51" t="n">
        <f aca="false">IFERROR(AB421/AC421,0)</f>
        <v>1.09699356514301</v>
      </c>
      <c r="AE421" s="49" t="n">
        <f aca="false">IFERROR(AC421/Z421,0)</f>
        <v>103.3734413795</v>
      </c>
    </row>
    <row r="422" customFormat="false" ht="15" hidden="false" customHeight="false" outlineLevel="0" collapsed="false">
      <c r="A422" s="43" t="n">
        <v>419</v>
      </c>
      <c r="B422" s="45" t="n">
        <f aca="false">SUM('Activation Detail'!C422,'Activation Detail'!C922,'Activation Detail'!C1422,'Activation Detail'!C1922,'Activation Detail'!C2422,'Activation Detail'!C2922,'Activation Detail'!C3422,'Activation Detail'!C3922)</f>
        <v>3976170</v>
      </c>
      <c r="C422" s="45" t="n">
        <f aca="false">SUM('Activation Detail'!E422,'Activation Detail'!E922,'Activation Detail'!E1422,'Activation Detail'!E1922,'Activation Detail'!E2422,'Activation Detail'!E2922,'Activation Detail'!E3422,'Activation Detail'!E3922)</f>
        <v>766002</v>
      </c>
      <c r="D422" s="45" t="n">
        <f aca="false">SUM('Activation Detail'!G422,'Activation Detail'!G922,'Activation Detail'!G1422,'Activation Detail'!G1922,'Activation Detail'!G2422,'Activation Detail'!G2922,'Activation Detail'!G3422,'Activation Detail'!G3922)</f>
        <v>18892</v>
      </c>
      <c r="E422" s="48" t="n">
        <f aca="false">SUM('Activation Detail'!H422,'Activation Detail'!H922,'Activation Detail'!H1422,'Activation Detail'!H1922,'Activation Detail'!H2422,'Activation Detail'!H2922,'Activation Detail'!H3422,'Activation Detail'!H3922)</f>
        <v>797.692145666126</v>
      </c>
      <c r="F422" s="50" t="n">
        <f aca="false">SUM('Activation Detail'!I422,'Activation Detail'!I922,'Activation Detail'!I1422,'Activation Detail'!I1922,'Activation Detail'!I2422,'Activation Detail'!I2922,'Activation Detail'!I3422,'Activation Detail'!I3922)</f>
        <v>77176.275912</v>
      </c>
      <c r="G422" s="50" t="n">
        <f aca="false">SUM('Activation Detail'!J422,'Activation Detail'!J922,'Activation Detail'!J1422,'Activation Detail'!J1922,'Activation Detail'!J2422,'Activation Detail'!J2922,'Activation Detail'!J3422,'Activation Detail'!J3922)</f>
        <v>5059663.51529861</v>
      </c>
      <c r="H422" s="50" t="n">
        <f aca="false">SUM('Activation Detail'!K422,'Activation Detail'!K922,'Activation Detail'!K1422,'Activation Detail'!K1922,'Activation Detail'!K2422,'Activation Detail'!K2922,'Activation Detail'!K3422,'Activation Detail'!K3922)</f>
        <v>109380.628293705</v>
      </c>
      <c r="I422" s="51" t="n">
        <f aca="false">IFERROR(H422/F422,0)</f>
        <v>1.41728305753475</v>
      </c>
      <c r="J422" s="49" t="n">
        <f aca="false">IFERROR(F422/E422,0)</f>
        <v>96.7494494352238</v>
      </c>
      <c r="K422" s="46" t="n">
        <f aca="false">IFERROR(C422/B422,0)</f>
        <v>0.192648201661398</v>
      </c>
      <c r="L422" s="47" t="n">
        <f aca="false">IFERROR(D422/B422,0)</f>
        <v>0.00475130590492861</v>
      </c>
      <c r="N422" s="48" t="n">
        <f aca="false">SUMIFS('Activation Detail'!$H$4:$H$4003,'Activation Detail'!$A$4:$A$4003,$A422,'Activation Detail'!$N$4:$N$4003,N$2)</f>
        <v>115.683067083447</v>
      </c>
      <c r="O422" s="50" t="n">
        <f aca="false">N422*'Model Inputs &amp; Assumptions'!$D$40*'Model Inputs &amp; Assumptions'!$H$40</f>
        <v>983306.070209304</v>
      </c>
      <c r="P422" s="50" t="n">
        <f aca="false">N422*'Model Inputs &amp; Assumptions'!$G$40*'Model Inputs &amp; Assumptions'!$H$40</f>
        <v>22124.3865797093</v>
      </c>
      <c r="Q422" s="50" t="n">
        <f aca="false">SUMIFS('Activation Detail'!$I$4:$I$4003,'Activation Detail'!$A$4:$A$4003,$A422,'Activation Detail'!$N$4:$N$4003,N$2)</f>
        <v>18402.429</v>
      </c>
      <c r="R422" s="51" t="n">
        <f aca="false">IFERROR(P422/Q422,0)</f>
        <v>1.20225360357099</v>
      </c>
      <c r="S422" s="49" t="n">
        <f aca="false">IFERROR(Q422/N422,0)</f>
        <v>159.076254321002</v>
      </c>
      <c r="T422" s="48" t="n">
        <f aca="false">SUMIFS('Activation Detail'!$H$4:$H$4003,'Activation Detail'!$A$4:$A$4003,$A422,'Activation Detail'!$N$4:$N$4003,T$2)</f>
        <v>218.615789301581</v>
      </c>
      <c r="U422" s="50" t="n">
        <f aca="false">T422*'Model Inputs &amp; Assumptions'!$D$41*'Model Inputs &amp; Assumptions'!$H$41</f>
        <v>1574033.68297138</v>
      </c>
      <c r="V422" s="50" t="n">
        <f aca="false">T422*'Model Inputs &amp; Assumptions'!$G$41*'Model Inputs &amp; Assumptions'!$H$41</f>
        <v>34707.4427095189</v>
      </c>
      <c r="W422" s="50" t="n">
        <f aca="false">SUMIFS('Activation Detail'!$I$4:$I$4003,'Activation Detail'!$A$4:$A$4003,$A422,'Activation Detail'!$N$4:$N$4003,T$2)</f>
        <v>24751.202912</v>
      </c>
      <c r="X422" s="51" t="n">
        <f aca="false">IFERROR(V422/W422,0)</f>
        <v>1.40225276455925</v>
      </c>
      <c r="Y422" s="49" t="n">
        <f aca="false">IFERROR(W422/T422,0)</f>
        <v>113.217819220988</v>
      </c>
      <c r="Z422" s="48" t="n">
        <f aca="false">SUMIFS('Activation Detail'!$H$4:$H$4003,'Activation Detail'!$A$4:$A$4003,$A422,'Activation Detail'!$N$4:$N$4003,Z$2)</f>
        <v>463.393289281098</v>
      </c>
      <c r="AA422" s="50" t="n">
        <f aca="false">Z422*'Model Inputs &amp; Assumptions'!$D$42*'Model Inputs &amp; Assumptions'!$H$42</f>
        <v>2502323.76211793</v>
      </c>
      <c r="AB422" s="50" t="n">
        <f aca="false">Z422*'Model Inputs &amp; Assumptions'!$G$42*'Model Inputs &amp; Assumptions'!$H$42</f>
        <v>52548.7990044765</v>
      </c>
      <c r="AC422" s="50" t="n">
        <f aca="false">SUMIFS('Activation Detail'!$I$4:$I$4003,'Activation Detail'!$A$4:$A$4003,$A422,'Activation Detail'!$N$4:$N$4003,Z$2)</f>
        <v>34022.644</v>
      </c>
      <c r="AD422" s="51" t="n">
        <f aca="false">IFERROR(AB422/AC422,0)</f>
        <v>1.54452425874005</v>
      </c>
      <c r="AE422" s="49" t="n">
        <f aca="false">IFERROR(AC422/Z422,0)</f>
        <v>73.4206661749079</v>
      </c>
    </row>
    <row r="423" customFormat="false" ht="15" hidden="false" customHeight="false" outlineLevel="0" collapsed="false">
      <c r="A423" s="43" t="n">
        <v>420</v>
      </c>
      <c r="B423" s="45" t="n">
        <f aca="false">SUM('Activation Detail'!C423,'Activation Detail'!C923,'Activation Detail'!C1423,'Activation Detail'!C1923,'Activation Detail'!C2423,'Activation Detail'!C2923,'Activation Detail'!C3423,'Activation Detail'!C3923)</f>
        <v>3408947</v>
      </c>
      <c r="C423" s="45" t="n">
        <f aca="false">SUM('Activation Detail'!E423,'Activation Detail'!E923,'Activation Detail'!E1423,'Activation Detail'!E1923,'Activation Detail'!E2423,'Activation Detail'!E2923,'Activation Detail'!E3423,'Activation Detail'!E3923)</f>
        <v>427803</v>
      </c>
      <c r="D423" s="45" t="n">
        <f aca="false">SUM('Activation Detail'!G423,'Activation Detail'!G923,'Activation Detail'!G1423,'Activation Detail'!G1923,'Activation Detail'!G2423,'Activation Detail'!G2923,'Activation Detail'!G3423,'Activation Detail'!G3923)</f>
        <v>15149</v>
      </c>
      <c r="E423" s="48" t="n">
        <f aca="false">SUM('Activation Detail'!H423,'Activation Detail'!H923,'Activation Detail'!H1423,'Activation Detail'!H1923,'Activation Detail'!H2423,'Activation Detail'!H2923,'Activation Detail'!H3423,'Activation Detail'!H3923)</f>
        <v>520.077045486697</v>
      </c>
      <c r="F423" s="50" t="n">
        <f aca="false">SUM('Activation Detail'!I423,'Activation Detail'!I923,'Activation Detail'!I1423,'Activation Detail'!I1923,'Activation Detail'!I2423,'Activation Detail'!I2923,'Activation Detail'!I3423,'Activation Detail'!I3923)</f>
        <v>71208.376592</v>
      </c>
      <c r="G423" s="50" t="n">
        <f aca="false">SUM('Activation Detail'!J423,'Activation Detail'!J923,'Activation Detail'!J1423,'Activation Detail'!J1923,'Activation Detail'!J2423,'Activation Detail'!J2923,'Activation Detail'!J3423,'Activation Detail'!J3923)</f>
        <v>3355537.54849387</v>
      </c>
      <c r="H423" s="50" t="n">
        <f aca="false">SUM('Activation Detail'!K423,'Activation Detail'!K923,'Activation Detail'!K1423,'Activation Detail'!K1923,'Activation Detail'!K2423,'Activation Detail'!K2923,'Activation Detail'!K3423,'Activation Detail'!K3923)</f>
        <v>72740.1185037848</v>
      </c>
      <c r="I423" s="51" t="n">
        <f aca="false">IFERROR(H423/F423,0)</f>
        <v>1.02151069839102</v>
      </c>
      <c r="J423" s="49" t="n">
        <f aca="false">IFERROR(F423/E423,0)</f>
        <v>136.918899247634</v>
      </c>
      <c r="K423" s="46" t="n">
        <f aca="false">IFERROR(C423/B423,0)</f>
        <v>0.125494177527547</v>
      </c>
      <c r="L423" s="47" t="n">
        <f aca="false">IFERROR(D423/B423,0)</f>
        <v>0.00444389425825629</v>
      </c>
      <c r="N423" s="48" t="n">
        <f aca="false">SUMIFS('Activation Detail'!$H$4:$H$4003,'Activation Detail'!$A$4:$A$4003,$A423,'Activation Detail'!$N$4:$N$4003,N$2)</f>
        <v>89.1863948978959</v>
      </c>
      <c r="O423" s="50" t="n">
        <f aca="false">N423*'Model Inputs &amp; Assumptions'!$D$40*'Model Inputs &amp; Assumptions'!$H$40</f>
        <v>758084.356632115</v>
      </c>
      <c r="P423" s="50" t="n">
        <f aca="false">N423*'Model Inputs &amp; Assumptions'!$G$40*'Model Inputs &amp; Assumptions'!$H$40</f>
        <v>17056.8980242226</v>
      </c>
      <c r="Q423" s="50" t="n">
        <f aca="false">SUMIFS('Activation Detail'!$I$4:$I$4003,'Activation Detail'!$A$4:$A$4003,$A423,'Activation Detail'!$N$4:$N$4003,N$2)</f>
        <v>17725.935</v>
      </c>
      <c r="R423" s="51" t="n">
        <f aca="false">IFERROR(P423/Q423,0)</f>
        <v>0.962256604473761</v>
      </c>
      <c r="S423" s="49" t="n">
        <f aca="false">IFERROR(Q423/N423,0)</f>
        <v>198.751558691136</v>
      </c>
      <c r="T423" s="48" t="n">
        <f aca="false">SUMIFS('Activation Detail'!$H$4:$H$4003,'Activation Detail'!$A$4:$A$4003,$A423,'Activation Detail'!$N$4:$N$4003,T$2)</f>
        <v>150.357599267904</v>
      </c>
      <c r="U423" s="50" t="n">
        <f aca="false">T423*'Model Inputs &amp; Assumptions'!$D$41*'Model Inputs &amp; Assumptions'!$H$41</f>
        <v>1082574.71472891</v>
      </c>
      <c r="V423" s="50" t="n">
        <f aca="false">T423*'Model Inputs &amp; Assumptions'!$G$41*'Model Inputs &amp; Assumptions'!$H$41</f>
        <v>23870.7724597724</v>
      </c>
      <c r="W423" s="50" t="n">
        <f aca="false">SUMIFS('Activation Detail'!$I$4:$I$4003,'Activation Detail'!$A$4:$A$4003,$A423,'Activation Detail'!$N$4:$N$4003,T$2)</f>
        <v>18959.157592</v>
      </c>
      <c r="X423" s="51" t="n">
        <f aca="false">IFERROR(V423/W423,0)</f>
        <v>1.25906292745016</v>
      </c>
      <c r="Y423" s="49" t="n">
        <f aca="false">IFERROR(W423/T423,0)</f>
        <v>126.093776997723</v>
      </c>
      <c r="Z423" s="48" t="n">
        <f aca="false">SUMIFS('Activation Detail'!$H$4:$H$4003,'Activation Detail'!$A$4:$A$4003,$A423,'Activation Detail'!$N$4:$N$4003,Z$2)</f>
        <v>280.533051320897</v>
      </c>
      <c r="AA423" s="50" t="n">
        <f aca="false">Z423*'Model Inputs &amp; Assumptions'!$D$42*'Model Inputs &amp; Assumptions'!$H$42</f>
        <v>1514878.47713285</v>
      </c>
      <c r="AB423" s="50" t="n">
        <f aca="false">Z423*'Model Inputs &amp; Assumptions'!$G$42*'Model Inputs &amp; Assumptions'!$H$42</f>
        <v>31812.4480197898</v>
      </c>
      <c r="AC423" s="50" t="n">
        <f aca="false">SUMIFS('Activation Detail'!$I$4:$I$4003,'Activation Detail'!$A$4:$A$4003,$A423,'Activation Detail'!$N$4:$N$4003,Z$2)</f>
        <v>34523.284</v>
      </c>
      <c r="AD423" s="51" t="n">
        <f aca="false">IFERROR(AB423/AC423,0)</f>
        <v>0.921478038409955</v>
      </c>
      <c r="AE423" s="49" t="n">
        <f aca="false">IFERROR(AC423/Z423,0)</f>
        <v>123.06316078425</v>
      </c>
    </row>
    <row r="424" customFormat="false" ht="15" hidden="false" customHeight="false" outlineLevel="0" collapsed="false">
      <c r="A424" s="43" t="n">
        <v>421</v>
      </c>
      <c r="B424" s="45" t="n">
        <f aca="false">SUM('Activation Detail'!C424,'Activation Detail'!C924,'Activation Detail'!C1424,'Activation Detail'!C1924,'Activation Detail'!C2424,'Activation Detail'!C2924,'Activation Detail'!C3424,'Activation Detail'!C3924)</f>
        <v>4269922</v>
      </c>
      <c r="C424" s="45" t="n">
        <f aca="false">SUM('Activation Detail'!E424,'Activation Detail'!E924,'Activation Detail'!E1424,'Activation Detail'!E1924,'Activation Detail'!E2424,'Activation Detail'!E2924,'Activation Detail'!E3424,'Activation Detail'!E3924)</f>
        <v>365239</v>
      </c>
      <c r="D424" s="45" t="n">
        <f aca="false">SUM('Activation Detail'!G424,'Activation Detail'!G924,'Activation Detail'!G1424,'Activation Detail'!G1924,'Activation Detail'!G2424,'Activation Detail'!G2924,'Activation Detail'!G3424,'Activation Detail'!G3924)</f>
        <v>17748</v>
      </c>
      <c r="E424" s="48" t="n">
        <f aca="false">SUM('Activation Detail'!H424,'Activation Detail'!H924,'Activation Detail'!H1424,'Activation Detail'!H1924,'Activation Detail'!H2424,'Activation Detail'!H2924,'Activation Detail'!H3424,'Activation Detail'!H3924)</f>
        <v>723.94230458744</v>
      </c>
      <c r="F424" s="50" t="n">
        <f aca="false">SUM('Activation Detail'!I424,'Activation Detail'!I924,'Activation Detail'!I1424,'Activation Detail'!I1924,'Activation Detail'!I2424,'Activation Detail'!I2924,'Activation Detail'!I3424,'Activation Detail'!I3924)</f>
        <v>77274.31967</v>
      </c>
      <c r="G424" s="50" t="n">
        <f aca="false">SUM('Activation Detail'!J424,'Activation Detail'!J924,'Activation Detail'!J1424,'Activation Detail'!J1924,'Activation Detail'!J2424,'Activation Detail'!J2924,'Activation Detail'!J3424,'Activation Detail'!J3924)</f>
        <v>4525203.69163459</v>
      </c>
      <c r="H424" s="50" t="n">
        <f aca="false">SUM('Activation Detail'!K424,'Activation Detail'!K924,'Activation Detail'!K1424,'Activation Detail'!K1924,'Activation Detail'!K2424,'Activation Detail'!K2924,'Activation Detail'!K3424,'Activation Detail'!K3924)</f>
        <v>97587.1821800036</v>
      </c>
      <c r="I424" s="51" t="n">
        <f aca="false">IFERROR(H424/F424,0)</f>
        <v>1.26286692133622</v>
      </c>
      <c r="J424" s="49" t="n">
        <f aca="false">IFERROR(F424/E424,0)</f>
        <v>106.740991899951</v>
      </c>
      <c r="K424" s="46" t="n">
        <f aca="false">IFERROR(C424/B424,0)</f>
        <v>0.0855376280878199</v>
      </c>
      <c r="L424" s="47" t="n">
        <f aca="false">IFERROR(D424/B424,0)</f>
        <v>0.00415651620802441</v>
      </c>
      <c r="N424" s="48" t="n">
        <f aca="false">SUMIFS('Activation Detail'!$H$4:$H$4003,'Activation Detail'!$A$4:$A$4003,$A424,'Activation Detail'!$N$4:$N$4003,N$2)</f>
        <v>107.182893129773</v>
      </c>
      <c r="O424" s="50" t="n">
        <f aca="false">N424*'Model Inputs &amp; Assumptions'!$D$40*'Model Inputs &amp; Assumptions'!$H$40</f>
        <v>911054.591603071</v>
      </c>
      <c r="P424" s="50" t="n">
        <f aca="false">N424*'Model Inputs &amp; Assumptions'!$G$40*'Model Inputs &amp; Assumptions'!$H$40</f>
        <v>20498.7283110691</v>
      </c>
      <c r="Q424" s="50" t="n">
        <f aca="false">SUMIFS('Activation Detail'!$I$4:$I$4003,'Activation Detail'!$A$4:$A$4003,$A424,'Activation Detail'!$N$4:$N$4003,N$2)</f>
        <v>18154.2525</v>
      </c>
      <c r="R424" s="51" t="n">
        <f aca="false">IFERROR(P424/Q424,0)</f>
        <v>1.12914196335372</v>
      </c>
      <c r="S424" s="49" t="n">
        <f aca="false">IFERROR(Q424/N424,0)</f>
        <v>169.376399254492</v>
      </c>
      <c r="T424" s="48" t="n">
        <f aca="false">SUMIFS('Activation Detail'!$H$4:$H$4003,'Activation Detail'!$A$4:$A$4003,$A424,'Activation Detail'!$N$4:$N$4003,T$2)</f>
        <v>157.582376755623</v>
      </c>
      <c r="U424" s="50" t="n">
        <f aca="false">T424*'Model Inputs &amp; Assumptions'!$D$41*'Model Inputs &amp; Assumptions'!$H$41</f>
        <v>1134593.11264049</v>
      </c>
      <c r="V424" s="50" t="n">
        <f aca="false">T424*'Model Inputs &amp; Assumptions'!$G$41*'Model Inputs &amp; Assumptions'!$H$41</f>
        <v>25017.7781337227</v>
      </c>
      <c r="W424" s="50" t="n">
        <f aca="false">SUMIFS('Activation Detail'!$I$4:$I$4003,'Activation Detail'!$A$4:$A$4003,$A424,'Activation Detail'!$N$4:$N$4003,T$2)</f>
        <v>18501.73117</v>
      </c>
      <c r="X424" s="51" t="n">
        <f aca="false">IFERROR(V424/W424,0)</f>
        <v>1.35218579839103</v>
      </c>
      <c r="Y424" s="49" t="n">
        <f aca="false">IFERROR(W424/T424,0)</f>
        <v>117.409900465534</v>
      </c>
      <c r="Z424" s="48" t="n">
        <f aca="false">SUMIFS('Activation Detail'!$H$4:$H$4003,'Activation Detail'!$A$4:$A$4003,$A424,'Activation Detail'!$N$4:$N$4003,Z$2)</f>
        <v>459.177034702044</v>
      </c>
      <c r="AA424" s="50" t="n">
        <f aca="false">Z424*'Model Inputs &amp; Assumptions'!$D$42*'Model Inputs &amp; Assumptions'!$H$42</f>
        <v>2479555.98739104</v>
      </c>
      <c r="AB424" s="50" t="n">
        <f aca="false">Z424*'Model Inputs &amp; Assumptions'!$G$42*'Model Inputs &amp; Assumptions'!$H$42</f>
        <v>52070.6757352118</v>
      </c>
      <c r="AC424" s="50" t="n">
        <f aca="false">SUMIFS('Activation Detail'!$I$4:$I$4003,'Activation Detail'!$A$4:$A$4003,$A424,'Activation Detail'!$N$4:$N$4003,Z$2)</f>
        <v>40618.336</v>
      </c>
      <c r="AD424" s="51" t="n">
        <f aca="false">IFERROR(AB424/AC424,0)</f>
        <v>1.28194999753835</v>
      </c>
      <c r="AE424" s="49" t="n">
        <f aca="false">IFERROR(AC424/Z424,0)</f>
        <v>88.4589884299351</v>
      </c>
    </row>
    <row r="425" customFormat="false" ht="15" hidden="false" customHeight="false" outlineLevel="0" collapsed="false">
      <c r="A425" s="43" t="n">
        <v>422</v>
      </c>
      <c r="B425" s="45" t="n">
        <f aca="false">SUM('Activation Detail'!C425,'Activation Detail'!C925,'Activation Detail'!C1425,'Activation Detail'!C1925,'Activation Detail'!C2425,'Activation Detail'!C2925,'Activation Detail'!C3425,'Activation Detail'!C3925)</f>
        <v>4511534</v>
      </c>
      <c r="C425" s="45" t="n">
        <f aca="false">SUM('Activation Detail'!E425,'Activation Detail'!E925,'Activation Detail'!E1425,'Activation Detail'!E1925,'Activation Detail'!E2425,'Activation Detail'!E2925,'Activation Detail'!E3425,'Activation Detail'!E3925)</f>
        <v>306734</v>
      </c>
      <c r="D425" s="45" t="n">
        <f aca="false">SUM('Activation Detail'!G425,'Activation Detail'!G925,'Activation Detail'!G1425,'Activation Detail'!G1925,'Activation Detail'!G2425,'Activation Detail'!G2925,'Activation Detail'!G3425,'Activation Detail'!G3925)</f>
        <v>17452</v>
      </c>
      <c r="E425" s="48" t="n">
        <f aca="false">SUM('Activation Detail'!H425,'Activation Detail'!H925,'Activation Detail'!H1425,'Activation Detail'!H1925,'Activation Detail'!H2425,'Activation Detail'!H2925,'Activation Detail'!H3425,'Activation Detail'!H3925)</f>
        <v>766.369879829088</v>
      </c>
      <c r="F425" s="50" t="n">
        <f aca="false">SUM('Activation Detail'!I425,'Activation Detail'!I925,'Activation Detail'!I1425,'Activation Detail'!I1925,'Activation Detail'!I2425,'Activation Detail'!I2925,'Activation Detail'!I3425,'Activation Detail'!I3925)</f>
        <v>84390.483718</v>
      </c>
      <c r="G425" s="50" t="n">
        <f aca="false">SUM('Activation Detail'!J425,'Activation Detail'!J925,'Activation Detail'!J1425,'Activation Detail'!J1925,'Activation Detail'!J2425,'Activation Detail'!J2925,'Activation Detail'!J3425,'Activation Detail'!J3925)</f>
        <v>4588908.96903853</v>
      </c>
      <c r="H425" s="50" t="n">
        <f aca="false">SUM('Activation Detail'!K425,'Activation Detail'!K925,'Activation Detail'!K1425,'Activation Detail'!K1925,'Activation Detail'!K2425,'Activation Detail'!K2925,'Activation Detail'!K3425,'Activation Detail'!K3925)</f>
        <v>98238.7339475498</v>
      </c>
      <c r="I425" s="51" t="n">
        <f aca="false">IFERROR(H425/F425,0)</f>
        <v>1.16409729651302</v>
      </c>
      <c r="J425" s="49" t="n">
        <f aca="false">IFERROR(F425/E425,0)</f>
        <v>110.117171798062</v>
      </c>
      <c r="K425" s="46" t="n">
        <f aca="false">IFERROR(C425/B425,0)</f>
        <v>0.0679888481390144</v>
      </c>
      <c r="L425" s="47" t="n">
        <f aca="false">IFERROR(D425/B425,0)</f>
        <v>0.00386830732074722</v>
      </c>
      <c r="N425" s="48" t="n">
        <f aca="false">SUMIFS('Activation Detail'!$H$4:$H$4003,'Activation Detail'!$A$4:$A$4003,$A425,'Activation Detail'!$N$4:$N$4003,N$2)</f>
        <v>75.9377692497234</v>
      </c>
      <c r="O425" s="50" t="n">
        <f aca="false">N425*'Model Inputs &amp; Assumptions'!$D$40*'Model Inputs &amp; Assumptions'!$H$40</f>
        <v>645471.038622649</v>
      </c>
      <c r="P425" s="50" t="n">
        <f aca="false">N425*'Model Inputs &amp; Assumptions'!$G$40*'Model Inputs &amp; Assumptions'!$H$40</f>
        <v>14523.0983690096</v>
      </c>
      <c r="Q425" s="50" t="n">
        <f aca="false">SUMIFS('Activation Detail'!$I$4:$I$4003,'Activation Detail'!$A$4:$A$4003,$A425,'Activation Detail'!$N$4:$N$4003,N$2)</f>
        <v>19100.061</v>
      </c>
      <c r="R425" s="51" t="n">
        <f aca="false">IFERROR(P425/Q425,0)</f>
        <v>0.760369213952228</v>
      </c>
      <c r="S425" s="49" t="n">
        <f aca="false">IFERROR(Q425/N425,0)</f>
        <v>251.522545219743</v>
      </c>
      <c r="T425" s="48" t="n">
        <f aca="false">SUMIFS('Activation Detail'!$H$4:$H$4003,'Activation Detail'!$A$4:$A$4003,$A425,'Activation Detail'!$N$4:$N$4003,T$2)</f>
        <v>119.502518492951</v>
      </c>
      <c r="U425" s="50" t="n">
        <f aca="false">T425*'Model Inputs &amp; Assumptions'!$D$41*'Model Inputs &amp; Assumptions'!$H$41</f>
        <v>860418.133149247</v>
      </c>
      <c r="V425" s="50" t="n">
        <f aca="false">T425*'Model Inputs &amp; Assumptions'!$G$41*'Model Inputs &amp; Assumptions'!$H$41</f>
        <v>18972.2198359409</v>
      </c>
      <c r="W425" s="50" t="n">
        <f aca="false">SUMIFS('Activation Detail'!$I$4:$I$4003,'Activation Detail'!$A$4:$A$4003,$A425,'Activation Detail'!$N$4:$N$4003,T$2)</f>
        <v>15308.690718</v>
      </c>
      <c r="X425" s="51" t="n">
        <f aca="false">IFERROR(V425/W425,0)</f>
        <v>1.23931041428862</v>
      </c>
      <c r="Y425" s="49" t="n">
        <f aca="false">IFERROR(W425/T425,0)</f>
        <v>128.10349866311</v>
      </c>
      <c r="Z425" s="48" t="n">
        <f aca="false">SUMIFS('Activation Detail'!$H$4:$H$4003,'Activation Detail'!$A$4:$A$4003,$A425,'Activation Detail'!$N$4:$N$4003,Z$2)</f>
        <v>570.929592086414</v>
      </c>
      <c r="AA425" s="50" t="n">
        <f aca="false">Z425*'Model Inputs &amp; Assumptions'!$D$42*'Model Inputs &amp; Assumptions'!$H$42</f>
        <v>3083019.79726664</v>
      </c>
      <c r="AB425" s="50" t="n">
        <f aca="false">Z425*'Model Inputs &amp; Assumptions'!$G$42*'Model Inputs &amp; Assumptions'!$H$42</f>
        <v>64743.4157425993</v>
      </c>
      <c r="AC425" s="50" t="n">
        <f aca="false">SUMIFS('Activation Detail'!$I$4:$I$4003,'Activation Detail'!$A$4:$A$4003,$A425,'Activation Detail'!$N$4:$N$4003,Z$2)</f>
        <v>49981.732</v>
      </c>
      <c r="AD425" s="51" t="n">
        <f aca="false">IFERROR(AB425/AC425,0)</f>
        <v>1.29534158085197</v>
      </c>
      <c r="AE425" s="49" t="n">
        <f aca="false">IFERROR(AC425/Z425,0)</f>
        <v>87.5444760488697</v>
      </c>
    </row>
    <row r="426" customFormat="false" ht="15" hidden="false" customHeight="false" outlineLevel="0" collapsed="false">
      <c r="A426" s="43" t="n">
        <v>423</v>
      </c>
      <c r="B426" s="45" t="n">
        <f aca="false">SUM('Activation Detail'!C426,'Activation Detail'!C926,'Activation Detail'!C1426,'Activation Detail'!C1926,'Activation Detail'!C2426,'Activation Detail'!C2926,'Activation Detail'!C3426,'Activation Detail'!C3926)</f>
        <v>3485111</v>
      </c>
      <c r="C426" s="45" t="n">
        <f aca="false">SUM('Activation Detail'!E426,'Activation Detail'!E926,'Activation Detail'!E1426,'Activation Detail'!E1926,'Activation Detail'!E2426,'Activation Detail'!E2926,'Activation Detail'!E3426,'Activation Detail'!E3926)</f>
        <v>354053</v>
      </c>
      <c r="D426" s="45" t="n">
        <f aca="false">SUM('Activation Detail'!G426,'Activation Detail'!G926,'Activation Detail'!G1426,'Activation Detail'!G1926,'Activation Detail'!G2426,'Activation Detail'!G2926,'Activation Detail'!G3426,'Activation Detail'!G3926)</f>
        <v>13774</v>
      </c>
      <c r="E426" s="48" t="n">
        <f aca="false">SUM('Activation Detail'!H426,'Activation Detail'!H926,'Activation Detail'!H1426,'Activation Detail'!H1926,'Activation Detail'!H2426,'Activation Detail'!H2926,'Activation Detail'!H3426,'Activation Detail'!H3926)</f>
        <v>473.240944731923</v>
      </c>
      <c r="F426" s="50" t="n">
        <f aca="false">SUM('Activation Detail'!I426,'Activation Detail'!I926,'Activation Detail'!I1426,'Activation Detail'!I1926,'Activation Detail'!I2426,'Activation Detail'!I2926,'Activation Detail'!I3426,'Activation Detail'!I3926)</f>
        <v>68615.027386</v>
      </c>
      <c r="G426" s="50" t="n">
        <f aca="false">SUM('Activation Detail'!J426,'Activation Detail'!J926,'Activation Detail'!J1426,'Activation Detail'!J1926,'Activation Detail'!J2426,'Activation Detail'!J2926,'Activation Detail'!J3426,'Activation Detail'!J3926)</f>
        <v>3150953.53390386</v>
      </c>
      <c r="H426" s="50" t="n">
        <f aca="false">SUM('Activation Detail'!K426,'Activation Detail'!K926,'Activation Detail'!K1426,'Activation Detail'!K1926,'Activation Detail'!K2426,'Activation Detail'!K2926,'Activation Detail'!K3426,'Activation Detail'!K3926)</f>
        <v>68644.3017753502</v>
      </c>
      <c r="I426" s="51" t="n">
        <f aca="false">IFERROR(H426/F426,0)</f>
        <v>1.00042664690907</v>
      </c>
      <c r="J426" s="49" t="n">
        <f aca="false">IFERROR(F426/E426,0)</f>
        <v>144.989625580408</v>
      </c>
      <c r="K426" s="46" t="n">
        <f aca="false">IFERROR(C426/B426,0)</f>
        <v>0.101590164560038</v>
      </c>
      <c r="L426" s="47" t="n">
        <f aca="false">IFERROR(D426/B426,0)</f>
        <v>0.00395224140637128</v>
      </c>
      <c r="N426" s="48" t="n">
        <f aca="false">SUMIFS('Activation Detail'!$H$4:$H$4003,'Activation Detail'!$A$4:$A$4003,$A426,'Activation Detail'!$N$4:$N$4003,N$2)</f>
        <v>98.6024166928072</v>
      </c>
      <c r="O426" s="50" t="n">
        <f aca="false">N426*'Model Inputs &amp; Assumptions'!$D$40*'Model Inputs &amp; Assumptions'!$H$40</f>
        <v>838120.541888861</v>
      </c>
      <c r="P426" s="50" t="n">
        <f aca="false">N426*'Model Inputs &amp; Assumptions'!$G$40*'Model Inputs &amp; Assumptions'!$H$40</f>
        <v>18857.7121924994</v>
      </c>
      <c r="Q426" s="50" t="n">
        <f aca="false">SUMIFS('Activation Detail'!$I$4:$I$4003,'Activation Detail'!$A$4:$A$4003,$A426,'Activation Detail'!$N$4:$N$4003,N$2)</f>
        <v>18398.789</v>
      </c>
      <c r="R426" s="51" t="n">
        <f aca="false">IFERROR(P426/Q426,0)</f>
        <v>1.02494311949006</v>
      </c>
      <c r="S426" s="49" t="n">
        <f aca="false">IFERROR(Q426/N426,0)</f>
        <v>186.595720643652</v>
      </c>
      <c r="T426" s="48" t="n">
        <f aca="false">SUMIFS('Activation Detail'!$H$4:$H$4003,'Activation Detail'!$A$4:$A$4003,$A426,'Activation Detail'!$N$4:$N$4003,T$2)</f>
        <v>160.991633668764</v>
      </c>
      <c r="U426" s="50" t="n">
        <f aca="false">T426*'Model Inputs &amp; Assumptions'!$D$41*'Model Inputs &amp; Assumptions'!$H$41</f>
        <v>1159139.7624151</v>
      </c>
      <c r="V426" s="50" t="n">
        <f aca="false">T426*'Model Inputs &amp; Assumptions'!$G$41*'Model Inputs &amp; Assumptions'!$H$41</f>
        <v>25559.0317612529</v>
      </c>
      <c r="W426" s="50" t="n">
        <f aca="false">SUMIFS('Activation Detail'!$I$4:$I$4003,'Activation Detail'!$A$4:$A$4003,$A426,'Activation Detail'!$N$4:$N$4003,T$2)</f>
        <v>18845.642386</v>
      </c>
      <c r="X426" s="51" t="n">
        <f aca="false">IFERROR(V426/W426,0)</f>
        <v>1.35623032835645</v>
      </c>
      <c r="Y426" s="49" t="n">
        <f aca="false">IFERROR(W426/T426,0)</f>
        <v>117.059762402153</v>
      </c>
      <c r="Z426" s="48" t="n">
        <f aca="false">SUMIFS('Activation Detail'!$H$4:$H$4003,'Activation Detail'!$A$4:$A$4003,$A426,'Activation Detail'!$N$4:$N$4003,Z$2)</f>
        <v>213.646894370352</v>
      </c>
      <c r="AA426" s="50" t="n">
        <f aca="false">Z426*'Model Inputs &amp; Assumptions'!$D$42*'Model Inputs &amp; Assumptions'!$H$42</f>
        <v>1153693.2295999</v>
      </c>
      <c r="AB426" s="50" t="n">
        <f aca="false">Z426*'Model Inputs &amp; Assumptions'!$G$42*'Model Inputs &amp; Assumptions'!$H$42</f>
        <v>24227.5578215979</v>
      </c>
      <c r="AC426" s="50" t="n">
        <f aca="false">SUMIFS('Activation Detail'!$I$4:$I$4003,'Activation Detail'!$A$4:$A$4003,$A426,'Activation Detail'!$N$4:$N$4003,Z$2)</f>
        <v>31370.596</v>
      </c>
      <c r="AD426" s="51" t="n">
        <f aca="false">IFERROR(AB426/AC426,0)</f>
        <v>0.77230148326152</v>
      </c>
      <c r="AE426" s="49" t="n">
        <f aca="false">IFERROR(AC426/Z426,0)</f>
        <v>146.833849808366</v>
      </c>
    </row>
    <row r="427" customFormat="false" ht="15" hidden="false" customHeight="false" outlineLevel="0" collapsed="false">
      <c r="A427" s="43" t="n">
        <v>424</v>
      </c>
      <c r="B427" s="45" t="n">
        <f aca="false">SUM('Activation Detail'!C427,'Activation Detail'!C927,'Activation Detail'!C1427,'Activation Detail'!C1927,'Activation Detail'!C2427,'Activation Detail'!C2927,'Activation Detail'!C3427,'Activation Detail'!C3927)</f>
        <v>4463729</v>
      </c>
      <c r="C427" s="45" t="n">
        <f aca="false">SUM('Activation Detail'!E427,'Activation Detail'!E927,'Activation Detail'!E1427,'Activation Detail'!E1927,'Activation Detail'!E2427,'Activation Detail'!E2927,'Activation Detail'!E3427,'Activation Detail'!E3927)</f>
        <v>250891</v>
      </c>
      <c r="D427" s="45" t="n">
        <f aca="false">SUM('Activation Detail'!G427,'Activation Detail'!G927,'Activation Detail'!G1427,'Activation Detail'!G1927,'Activation Detail'!G2427,'Activation Detail'!G2927,'Activation Detail'!G3427,'Activation Detail'!G3927)</f>
        <v>16103</v>
      </c>
      <c r="E427" s="48" t="n">
        <f aca="false">SUM('Activation Detail'!H427,'Activation Detail'!H927,'Activation Detail'!H1427,'Activation Detail'!H1927,'Activation Detail'!H2427,'Activation Detail'!H2927,'Activation Detail'!H3427,'Activation Detail'!H3927)</f>
        <v>665.416928989149</v>
      </c>
      <c r="F427" s="50" t="n">
        <f aca="false">SUM('Activation Detail'!I427,'Activation Detail'!I927,'Activation Detail'!I1427,'Activation Detail'!I1927,'Activation Detail'!I2427,'Activation Detail'!I2927,'Activation Detail'!I3427,'Activation Detail'!I3927)</f>
        <v>78002.922488</v>
      </c>
      <c r="G427" s="50" t="n">
        <f aca="false">SUM('Activation Detail'!J427,'Activation Detail'!J927,'Activation Detail'!J1427,'Activation Detail'!J1927,'Activation Detail'!J2427,'Activation Detail'!J2927,'Activation Detail'!J3427,'Activation Detail'!J3927)</f>
        <v>4199177.42963569</v>
      </c>
      <c r="H427" s="50" t="n">
        <f aca="false">SUM('Activation Detail'!K427,'Activation Detail'!K927,'Activation Detail'!K1427,'Activation Detail'!K1927,'Activation Detail'!K2427,'Activation Detail'!K2927,'Activation Detail'!K3427,'Activation Detail'!K3927)</f>
        <v>90698.6138275728</v>
      </c>
      <c r="I427" s="51" t="n">
        <f aca="false">IFERROR(H427/F427,0)</f>
        <v>1.16275917535687</v>
      </c>
      <c r="J427" s="49" t="n">
        <f aca="false">IFERROR(F427/E427,0)</f>
        <v>117.224132855315</v>
      </c>
      <c r="K427" s="46" t="n">
        <f aca="false">IFERROR(C427/B427,0)</f>
        <v>0.0562065931869968</v>
      </c>
      <c r="L427" s="47" t="n">
        <f aca="false">IFERROR(D427/B427,0)</f>
        <v>0.00360752187240758</v>
      </c>
      <c r="N427" s="48" t="n">
        <f aca="false">SUMIFS('Activation Detail'!$H$4:$H$4003,'Activation Detail'!$A$4:$A$4003,$A427,'Activation Detail'!$N$4:$N$4003,N$2)</f>
        <v>107.412776935799</v>
      </c>
      <c r="O427" s="50" t="n">
        <f aca="false">N427*'Model Inputs &amp; Assumptions'!$D$40*'Model Inputs &amp; Assumptions'!$H$40</f>
        <v>913008.603954293</v>
      </c>
      <c r="P427" s="50" t="n">
        <f aca="false">N427*'Model Inputs &amp; Assumptions'!$G$40*'Model Inputs &amp; Assumptions'!$H$40</f>
        <v>20542.6935889716</v>
      </c>
      <c r="Q427" s="50" t="n">
        <f aca="false">SUMIFS('Activation Detail'!$I$4:$I$4003,'Activation Detail'!$A$4:$A$4003,$A427,'Activation Detail'!$N$4:$N$4003,N$2)</f>
        <v>18470.2955</v>
      </c>
      <c r="R427" s="51" t="n">
        <f aca="false">IFERROR(P427/Q427,0)</f>
        <v>1.11220167479029</v>
      </c>
      <c r="S427" s="49" t="n">
        <f aca="false">IFERROR(Q427/N427,0)</f>
        <v>171.956223709212</v>
      </c>
      <c r="T427" s="48" t="n">
        <f aca="false">SUMIFS('Activation Detail'!$H$4:$H$4003,'Activation Detail'!$A$4:$A$4003,$A427,'Activation Detail'!$N$4:$N$4003,T$2)</f>
        <v>151.636891440728</v>
      </c>
      <c r="U427" s="50" t="n">
        <f aca="false">T427*'Model Inputs &amp; Assumptions'!$D$41*'Model Inputs &amp; Assumptions'!$H$41</f>
        <v>1091785.61837324</v>
      </c>
      <c r="V427" s="50" t="n">
        <f aca="false">T427*'Model Inputs &amp; Assumptions'!$G$41*'Model Inputs &amp; Assumptions'!$H$41</f>
        <v>24073.87288513</v>
      </c>
      <c r="W427" s="50" t="n">
        <f aca="false">SUMIFS('Activation Detail'!$I$4:$I$4003,'Activation Detail'!$A$4:$A$4003,$A427,'Activation Detail'!$N$4:$N$4003,T$2)</f>
        <v>15822.742988</v>
      </c>
      <c r="X427" s="51" t="n">
        <f aca="false">IFERROR(V427/W427,0)</f>
        <v>1.52147278783379</v>
      </c>
      <c r="Y427" s="49" t="n">
        <f aca="false">IFERROR(W427/T427,0)</f>
        <v>104.346263219098</v>
      </c>
      <c r="Z427" s="48" t="n">
        <f aca="false">SUMIFS('Activation Detail'!$H$4:$H$4003,'Activation Detail'!$A$4:$A$4003,$A427,'Activation Detail'!$N$4:$N$4003,Z$2)</f>
        <v>406.367260612621</v>
      </c>
      <c r="AA427" s="50" t="n">
        <f aca="false">Z427*'Model Inputs &amp; Assumptions'!$D$42*'Model Inputs &amp; Assumptions'!$H$42</f>
        <v>2194383.20730816</v>
      </c>
      <c r="AB427" s="50" t="n">
        <f aca="false">Z427*'Model Inputs &amp; Assumptions'!$G$42*'Model Inputs &amp; Assumptions'!$H$42</f>
        <v>46082.0473534713</v>
      </c>
      <c r="AC427" s="50" t="n">
        <f aca="false">SUMIFS('Activation Detail'!$I$4:$I$4003,'Activation Detail'!$A$4:$A$4003,$A427,'Activation Detail'!$N$4:$N$4003,Z$2)</f>
        <v>43709.884</v>
      </c>
      <c r="AD427" s="51" t="n">
        <f aca="false">IFERROR(AB427/AC427,0)</f>
        <v>1.05427063941582</v>
      </c>
      <c r="AE427" s="49" t="n">
        <f aca="false">IFERROR(AC427/Z427,0)</f>
        <v>107.562513609253</v>
      </c>
    </row>
    <row r="428" customFormat="false" ht="15" hidden="false" customHeight="false" outlineLevel="0" collapsed="false">
      <c r="A428" s="43" t="n">
        <v>425</v>
      </c>
      <c r="B428" s="45" t="n">
        <f aca="false">SUM('Activation Detail'!C428,'Activation Detail'!C928,'Activation Detail'!C1428,'Activation Detail'!C1928,'Activation Detail'!C2428,'Activation Detail'!C2928,'Activation Detail'!C3428,'Activation Detail'!C3928)</f>
        <v>4908696</v>
      </c>
      <c r="C428" s="45" t="n">
        <f aca="false">SUM('Activation Detail'!E428,'Activation Detail'!E928,'Activation Detail'!E1428,'Activation Detail'!E1928,'Activation Detail'!E2428,'Activation Detail'!E2928,'Activation Detail'!E3428,'Activation Detail'!E3928)</f>
        <v>297575</v>
      </c>
      <c r="D428" s="45" t="n">
        <f aca="false">SUM('Activation Detail'!G428,'Activation Detail'!G928,'Activation Detail'!G1428,'Activation Detail'!G1928,'Activation Detail'!G2428,'Activation Detail'!G2928,'Activation Detail'!G3428,'Activation Detail'!G3928)</f>
        <v>20525</v>
      </c>
      <c r="E428" s="48" t="n">
        <f aca="false">SUM('Activation Detail'!H428,'Activation Detail'!H928,'Activation Detail'!H1428,'Activation Detail'!H1928,'Activation Detail'!H2428,'Activation Detail'!H2928,'Activation Detail'!H3428,'Activation Detail'!H3928)</f>
        <v>818.626060491508</v>
      </c>
      <c r="F428" s="50" t="n">
        <f aca="false">SUM('Activation Detail'!I428,'Activation Detail'!I928,'Activation Detail'!I1428,'Activation Detail'!I1928,'Activation Detail'!I2428,'Activation Detail'!I2928,'Activation Detail'!I3428,'Activation Detail'!I3928)</f>
        <v>80865.88845</v>
      </c>
      <c r="G428" s="50" t="n">
        <f aca="false">SUM('Activation Detail'!J428,'Activation Detail'!J928,'Activation Detail'!J1428,'Activation Detail'!J1928,'Activation Detail'!J2428,'Activation Detail'!J2928,'Activation Detail'!J3428,'Activation Detail'!J3928)</f>
        <v>4981674.33133203</v>
      </c>
      <c r="H428" s="50" t="n">
        <f aca="false">SUM('Activation Detail'!K428,'Activation Detail'!K928,'Activation Detail'!K1428,'Activation Detail'!K1928,'Activation Detail'!K2428,'Activation Detail'!K2928,'Activation Detail'!K3428,'Activation Detail'!K3928)</f>
        <v>106946.670258484</v>
      </c>
      <c r="I428" s="51" t="n">
        <f aca="false">IFERROR(H428/F428,0)</f>
        <v>1.32251895463449</v>
      </c>
      <c r="J428" s="49" t="n">
        <f aca="false">IFERROR(F428/E428,0)</f>
        <v>98.782450685051</v>
      </c>
      <c r="K428" s="46" t="n">
        <f aca="false">IFERROR(C428/B428,0)</f>
        <v>0.0606220063332502</v>
      </c>
      <c r="L428" s="47" t="n">
        <f aca="false">IFERROR(D428/B428,0)</f>
        <v>0.00418135488528929</v>
      </c>
      <c r="N428" s="48" t="n">
        <f aca="false">SUMIFS('Activation Detail'!$H$4:$H$4003,'Activation Detail'!$A$4:$A$4003,$A428,'Activation Detail'!$N$4:$N$4003,N$2)</f>
        <v>92.9031079117469</v>
      </c>
      <c r="O428" s="50" t="n">
        <f aca="false">N428*'Model Inputs &amp; Assumptions'!$D$40*'Model Inputs &amp; Assumptions'!$H$40</f>
        <v>789676.417249849</v>
      </c>
      <c r="P428" s="50" t="n">
        <f aca="false">N428*'Model Inputs &amp; Assumptions'!$G$40*'Model Inputs &amp; Assumptions'!$H$40</f>
        <v>17767.7193881216</v>
      </c>
      <c r="Q428" s="50" t="n">
        <f aca="false">SUMIFS('Activation Detail'!$I$4:$I$4003,'Activation Detail'!$A$4:$A$4003,$A428,'Activation Detail'!$N$4:$N$4003,N$2)</f>
        <v>18698.1725</v>
      </c>
      <c r="R428" s="51" t="n">
        <f aca="false">IFERROR(P428/Q428,0)</f>
        <v>0.950238286020818</v>
      </c>
      <c r="S428" s="49" t="n">
        <f aca="false">IFERROR(Q428/N428,0)</f>
        <v>201.265306622059</v>
      </c>
      <c r="T428" s="48" t="n">
        <f aca="false">SUMIFS('Activation Detail'!$H$4:$H$4003,'Activation Detail'!$A$4:$A$4003,$A428,'Activation Detail'!$N$4:$N$4003,T$2)</f>
        <v>151.718872306375</v>
      </c>
      <c r="U428" s="50" t="n">
        <f aca="false">T428*'Model Inputs &amp; Assumptions'!$D$41*'Model Inputs &amp; Assumptions'!$H$41</f>
        <v>1092375.8806059</v>
      </c>
      <c r="V428" s="50" t="n">
        <f aca="false">T428*'Model Inputs &amp; Assumptions'!$G$41*'Model Inputs &amp; Assumptions'!$H$41</f>
        <v>24086.8881673601</v>
      </c>
      <c r="W428" s="50" t="n">
        <f aca="false">SUMIFS('Activation Detail'!$I$4:$I$4003,'Activation Detail'!$A$4:$A$4003,$A428,'Activation Detail'!$N$4:$N$4003,T$2)</f>
        <v>15718.97595</v>
      </c>
      <c r="X428" s="51" t="n">
        <f aca="false">IFERROR(V428/W428,0)</f>
        <v>1.53234461608551</v>
      </c>
      <c r="Y428" s="49" t="n">
        <f aca="false">IFERROR(W428/T428,0)</f>
        <v>103.605937158943</v>
      </c>
      <c r="Z428" s="48" t="n">
        <f aca="false">SUMIFS('Activation Detail'!$H$4:$H$4003,'Activation Detail'!$A$4:$A$4003,$A428,'Activation Detail'!$N$4:$N$4003,Z$2)</f>
        <v>574.004080273386</v>
      </c>
      <c r="AA428" s="50" t="n">
        <f aca="false">Z428*'Model Inputs &amp; Assumptions'!$D$42*'Model Inputs &amp; Assumptions'!$H$42</f>
        <v>3099622.03347628</v>
      </c>
      <c r="AB428" s="50" t="n">
        <f aca="false">Z428*'Model Inputs &amp; Assumptions'!$G$42*'Model Inputs &amp; Assumptions'!$H$42</f>
        <v>65092.062703002</v>
      </c>
      <c r="AC428" s="50" t="n">
        <f aca="false">SUMIFS('Activation Detail'!$I$4:$I$4003,'Activation Detail'!$A$4:$A$4003,$A428,'Activation Detail'!$N$4:$N$4003,Z$2)</f>
        <v>46448.74</v>
      </c>
      <c r="AD428" s="51" t="n">
        <f aca="false">IFERROR(AB428/AC428,0)</f>
        <v>1.40137413206477</v>
      </c>
      <c r="AE428" s="49" t="n">
        <f aca="false">IFERROR(AC428/Z428,0)</f>
        <v>80.9205746026709</v>
      </c>
    </row>
    <row r="429" customFormat="false" ht="15" hidden="false" customHeight="false" outlineLevel="0" collapsed="false">
      <c r="A429" s="43" t="n">
        <v>426</v>
      </c>
      <c r="B429" s="45" t="n">
        <f aca="false">SUM('Activation Detail'!C429,'Activation Detail'!C929,'Activation Detail'!C1429,'Activation Detail'!C1929,'Activation Detail'!C2429,'Activation Detail'!C2929,'Activation Detail'!C3429,'Activation Detail'!C3929)</f>
        <v>3915817</v>
      </c>
      <c r="C429" s="45" t="n">
        <f aca="false">SUM('Activation Detail'!E429,'Activation Detail'!E929,'Activation Detail'!E1429,'Activation Detail'!E1929,'Activation Detail'!E2429,'Activation Detail'!E2929,'Activation Detail'!E3429,'Activation Detail'!E3929)</f>
        <v>257049</v>
      </c>
      <c r="D429" s="45" t="n">
        <f aca="false">SUM('Activation Detail'!G429,'Activation Detail'!G929,'Activation Detail'!G1429,'Activation Detail'!G1929,'Activation Detail'!G2429,'Activation Detail'!G2929,'Activation Detail'!G3429,'Activation Detail'!G3929)</f>
        <v>15168</v>
      </c>
      <c r="E429" s="48" t="n">
        <f aca="false">SUM('Activation Detail'!H429,'Activation Detail'!H929,'Activation Detail'!H1429,'Activation Detail'!H1929,'Activation Detail'!H2429,'Activation Detail'!H2929,'Activation Detail'!H3429,'Activation Detail'!H3929)</f>
        <v>576.380323545258</v>
      </c>
      <c r="F429" s="50" t="n">
        <f aca="false">SUM('Activation Detail'!I429,'Activation Detail'!I929,'Activation Detail'!I1429,'Activation Detail'!I1929,'Activation Detail'!I2429,'Activation Detail'!I2929,'Activation Detail'!I3429,'Activation Detail'!I3929)</f>
        <v>76821.868294</v>
      </c>
      <c r="G429" s="50" t="n">
        <f aca="false">SUM('Activation Detail'!J429,'Activation Detail'!J929,'Activation Detail'!J1429,'Activation Detail'!J1929,'Activation Detail'!J2429,'Activation Detail'!J2929,'Activation Detail'!J3429,'Activation Detail'!J3929)</f>
        <v>3759321.24093059</v>
      </c>
      <c r="H429" s="50" t="n">
        <f aca="false">SUM('Activation Detail'!K429,'Activation Detail'!K929,'Activation Detail'!K1429,'Activation Detail'!K1929,'Activation Detail'!K2429,'Activation Detail'!K2929,'Activation Detail'!K3429,'Activation Detail'!K3929)</f>
        <v>81631.0488007044</v>
      </c>
      <c r="I429" s="51" t="n">
        <f aca="false">IFERROR(H429/F429,0)</f>
        <v>1.06260171242256</v>
      </c>
      <c r="J429" s="49" t="n">
        <f aca="false">IFERROR(F429/E429,0)</f>
        <v>133.283294303796</v>
      </c>
      <c r="K429" s="46" t="n">
        <f aca="false">IFERROR(C429/B429,0)</f>
        <v>0.0656437724234815</v>
      </c>
      <c r="L429" s="47" t="n">
        <f aca="false">IFERROR(D429/B429,0)</f>
        <v>0.00387352115790906</v>
      </c>
      <c r="N429" s="48" t="n">
        <f aca="false">SUMIFS('Activation Detail'!$H$4:$H$4003,'Activation Detail'!$A$4:$A$4003,$A429,'Activation Detail'!$N$4:$N$4003,N$2)</f>
        <v>116.817528666263</v>
      </c>
      <c r="O429" s="50" t="n">
        <f aca="false">N429*'Model Inputs &amp; Assumptions'!$D$40*'Model Inputs &amp; Assumptions'!$H$40</f>
        <v>992948.993663233</v>
      </c>
      <c r="P429" s="50" t="n">
        <f aca="false">N429*'Model Inputs &amp; Assumptions'!$G$40*'Model Inputs &amp; Assumptions'!$H$40</f>
        <v>22341.3523574227</v>
      </c>
      <c r="Q429" s="50" t="n">
        <f aca="false">SUMIFS('Activation Detail'!$I$4:$I$4003,'Activation Detail'!$A$4:$A$4003,$A429,'Activation Detail'!$N$4:$N$4003,N$2)</f>
        <v>18499.0125</v>
      </c>
      <c r="R429" s="51" t="n">
        <f aca="false">IFERROR(P429/Q429,0)</f>
        <v>1.20770513331037</v>
      </c>
      <c r="S429" s="49" t="n">
        <f aca="false">IFERROR(Q429/N429,0)</f>
        <v>158.358190857213</v>
      </c>
      <c r="T429" s="48" t="n">
        <f aca="false">SUMIFS('Activation Detail'!$H$4:$H$4003,'Activation Detail'!$A$4:$A$4003,$A429,'Activation Detail'!$N$4:$N$4003,T$2)</f>
        <v>158.1850860671</v>
      </c>
      <c r="U429" s="50" t="n">
        <f aca="false">T429*'Model Inputs &amp; Assumptions'!$D$41*'Model Inputs &amp; Assumptions'!$H$41</f>
        <v>1138932.61968312</v>
      </c>
      <c r="V429" s="50" t="n">
        <f aca="false">T429*'Model Inputs &amp; Assumptions'!$G$41*'Model Inputs &amp; Assumptions'!$H$41</f>
        <v>25113.4642640128</v>
      </c>
      <c r="W429" s="50" t="n">
        <f aca="false">SUMIFS('Activation Detail'!$I$4:$I$4003,'Activation Detail'!$A$4:$A$4003,$A429,'Activation Detail'!$N$4:$N$4003,T$2)</f>
        <v>16796.143794</v>
      </c>
      <c r="X429" s="51" t="n">
        <f aca="false">IFERROR(V429/W429,0)</f>
        <v>1.49519226389238</v>
      </c>
      <c r="Y429" s="49" t="n">
        <f aca="false">IFERROR(W429/T429,0)</f>
        <v>106.180324653838</v>
      </c>
      <c r="Z429" s="48" t="n">
        <f aca="false">SUMIFS('Activation Detail'!$H$4:$H$4003,'Activation Detail'!$A$4:$A$4003,$A429,'Activation Detail'!$N$4:$N$4003,Z$2)</f>
        <v>301.377708811895</v>
      </c>
      <c r="AA429" s="50" t="n">
        <f aca="false">Z429*'Model Inputs &amp; Assumptions'!$D$42*'Model Inputs &amp; Assumptions'!$H$42</f>
        <v>1627439.62758424</v>
      </c>
      <c r="AB429" s="50" t="n">
        <f aca="false">Z429*'Model Inputs &amp; Assumptions'!$G$42*'Model Inputs &amp; Assumptions'!$H$42</f>
        <v>34176.2321792689</v>
      </c>
      <c r="AC429" s="50" t="n">
        <f aca="false">SUMIFS('Activation Detail'!$I$4:$I$4003,'Activation Detail'!$A$4:$A$4003,$A429,'Activation Detail'!$N$4:$N$4003,Z$2)</f>
        <v>41526.712</v>
      </c>
      <c r="AD429" s="51" t="n">
        <f aca="false">IFERROR(AB429/AC429,0)</f>
        <v>0.822993936511731</v>
      </c>
      <c r="AE429" s="49" t="n">
        <f aca="false">IFERROR(AC429/Z429,0)</f>
        <v>137.789593542629</v>
      </c>
    </row>
    <row r="430" customFormat="false" ht="15" hidden="false" customHeight="false" outlineLevel="0" collapsed="false">
      <c r="A430" s="43" t="n">
        <v>427</v>
      </c>
      <c r="B430" s="45" t="n">
        <f aca="false">SUM('Activation Detail'!C430,'Activation Detail'!C930,'Activation Detail'!C1430,'Activation Detail'!C1930,'Activation Detail'!C2430,'Activation Detail'!C2930,'Activation Detail'!C3430,'Activation Detail'!C3930)</f>
        <v>4537223</v>
      </c>
      <c r="C430" s="45" t="n">
        <f aca="false">SUM('Activation Detail'!E430,'Activation Detail'!E930,'Activation Detail'!E1430,'Activation Detail'!E1930,'Activation Detail'!E2430,'Activation Detail'!E2930,'Activation Detail'!E3430,'Activation Detail'!E3930)</f>
        <v>539809</v>
      </c>
      <c r="D430" s="45" t="n">
        <f aca="false">SUM('Activation Detail'!G430,'Activation Detail'!G930,'Activation Detail'!G1430,'Activation Detail'!G1930,'Activation Detail'!G2430,'Activation Detail'!G2930,'Activation Detail'!G3430,'Activation Detail'!G3930)</f>
        <v>22530</v>
      </c>
      <c r="E430" s="48" t="n">
        <f aca="false">SUM('Activation Detail'!H430,'Activation Detail'!H930,'Activation Detail'!H1430,'Activation Detail'!H1930,'Activation Detail'!H2430,'Activation Detail'!H2930,'Activation Detail'!H3430,'Activation Detail'!H3930)</f>
        <v>768.511340293428</v>
      </c>
      <c r="F430" s="50" t="n">
        <f aca="false">SUM('Activation Detail'!I430,'Activation Detail'!I930,'Activation Detail'!I1430,'Activation Detail'!I1930,'Activation Detail'!I2430,'Activation Detail'!I2930,'Activation Detail'!I3430,'Activation Detail'!I3930)</f>
        <v>80989.359144</v>
      </c>
      <c r="G430" s="50" t="n">
        <f aca="false">SUM('Activation Detail'!J430,'Activation Detail'!J930,'Activation Detail'!J1430,'Activation Detail'!J1930,'Activation Detail'!J2430,'Activation Detail'!J2930,'Activation Detail'!J3430,'Activation Detail'!J3930)</f>
        <v>4805733.0395828</v>
      </c>
      <c r="H430" s="50" t="n">
        <f aca="false">SUM('Activation Detail'!K430,'Activation Detail'!K930,'Activation Detail'!K1430,'Activation Detail'!K1930,'Activation Detail'!K2430,'Activation Detail'!K2930,'Activation Detail'!K3430,'Activation Detail'!K3930)</f>
        <v>103643.696813503</v>
      </c>
      <c r="I430" s="51" t="n">
        <f aca="false">IFERROR(H430/F430,0)</f>
        <v>1.27971992751817</v>
      </c>
      <c r="J430" s="49" t="n">
        <f aca="false">IFERROR(F430/E430,0)</f>
        <v>105.384728757649</v>
      </c>
      <c r="K430" s="46" t="n">
        <f aca="false">IFERROR(C430/B430,0)</f>
        <v>0.118973433750115</v>
      </c>
      <c r="L430" s="47" t="n">
        <f aca="false">IFERROR(D430/B430,0)</f>
        <v>0.00496559238988253</v>
      </c>
      <c r="N430" s="48" t="n">
        <f aca="false">SUMIFS('Activation Detail'!$H$4:$H$4003,'Activation Detail'!$A$4:$A$4003,$A430,'Activation Detail'!$N$4:$N$4003,N$2)</f>
        <v>114.587356032872</v>
      </c>
      <c r="O430" s="50" t="n">
        <f aca="false">N430*'Model Inputs &amp; Assumptions'!$D$40*'Model Inputs &amp; Assumptions'!$H$40</f>
        <v>973992.526279414</v>
      </c>
      <c r="P430" s="50" t="n">
        <f aca="false">N430*'Model Inputs &amp; Assumptions'!$G$40*'Model Inputs &amp; Assumptions'!$H$40</f>
        <v>21914.8318412868</v>
      </c>
      <c r="Q430" s="50" t="n">
        <f aca="false">SUMIFS('Activation Detail'!$I$4:$I$4003,'Activation Detail'!$A$4:$A$4003,$A430,'Activation Detail'!$N$4:$N$4003,N$2)</f>
        <v>18172.7775</v>
      </c>
      <c r="R430" s="51" t="n">
        <f aca="false">IFERROR(P430/Q430,0)</f>
        <v>1.20591537761835</v>
      </c>
      <c r="S430" s="49" t="n">
        <f aca="false">IFERROR(Q430/N430,0)</f>
        <v>158.593217691371</v>
      </c>
      <c r="T430" s="48" t="n">
        <f aca="false">SUMIFS('Activation Detail'!$H$4:$H$4003,'Activation Detail'!$A$4:$A$4003,$A430,'Activation Detail'!$N$4:$N$4003,T$2)</f>
        <v>166.972776831325</v>
      </c>
      <c r="U430" s="50" t="n">
        <f aca="false">T430*'Model Inputs &amp; Assumptions'!$D$41*'Model Inputs &amp; Assumptions'!$H$41</f>
        <v>1202203.99318554</v>
      </c>
      <c r="V430" s="50" t="n">
        <f aca="false">T430*'Model Inputs &amp; Assumptions'!$G$41*'Model Inputs &amp; Assumptions'!$H$41</f>
        <v>26508.5980497411</v>
      </c>
      <c r="W430" s="50" t="n">
        <f aca="false">SUMIFS('Activation Detail'!$I$4:$I$4003,'Activation Detail'!$A$4:$A$4003,$A430,'Activation Detail'!$N$4:$N$4003,T$2)</f>
        <v>22804.869644</v>
      </c>
      <c r="X430" s="51" t="n">
        <f aca="false">IFERROR(V430/W430,0)</f>
        <v>1.1624095407498</v>
      </c>
      <c r="Y430" s="49" t="n">
        <f aca="false">IFERROR(W430/T430,0)</f>
        <v>136.578369700573</v>
      </c>
      <c r="Z430" s="48" t="n">
        <f aca="false">SUMIFS('Activation Detail'!$H$4:$H$4003,'Activation Detail'!$A$4:$A$4003,$A430,'Activation Detail'!$N$4:$N$4003,Z$2)</f>
        <v>486.951207429231</v>
      </c>
      <c r="AA430" s="50" t="n">
        <f aca="false">Z430*'Model Inputs &amp; Assumptions'!$D$42*'Model Inputs &amp; Assumptions'!$H$42</f>
        <v>2629536.52011785</v>
      </c>
      <c r="AB430" s="50" t="n">
        <f aca="false">Z430*'Model Inputs &amp; Assumptions'!$G$42*'Model Inputs &amp; Assumptions'!$H$42</f>
        <v>55220.2669224748</v>
      </c>
      <c r="AC430" s="50" t="n">
        <f aca="false">SUMIFS('Activation Detail'!$I$4:$I$4003,'Activation Detail'!$A$4:$A$4003,$A430,'Activation Detail'!$N$4:$N$4003,Z$2)</f>
        <v>40011.712</v>
      </c>
      <c r="AD430" s="51" t="n">
        <f aca="false">IFERROR(AB430/AC430,0)</f>
        <v>1.38010257902673</v>
      </c>
      <c r="AE430" s="49" t="n">
        <f aca="false">IFERROR(AC430/Z430,0)</f>
        <v>82.1678052945683</v>
      </c>
    </row>
    <row r="431" customFormat="false" ht="15" hidden="false" customHeight="false" outlineLevel="0" collapsed="false">
      <c r="A431" s="43" t="n">
        <v>428</v>
      </c>
      <c r="B431" s="45" t="n">
        <f aca="false">SUM('Activation Detail'!C431,'Activation Detail'!C931,'Activation Detail'!C1431,'Activation Detail'!C1931,'Activation Detail'!C2431,'Activation Detail'!C2931,'Activation Detail'!C3431,'Activation Detail'!C3931)</f>
        <v>5013523</v>
      </c>
      <c r="C431" s="45" t="n">
        <f aca="false">SUM('Activation Detail'!E431,'Activation Detail'!E931,'Activation Detail'!E1431,'Activation Detail'!E1931,'Activation Detail'!E2431,'Activation Detail'!E2931,'Activation Detail'!E3431,'Activation Detail'!E3931)</f>
        <v>410533</v>
      </c>
      <c r="D431" s="45" t="n">
        <f aca="false">SUM('Activation Detail'!G431,'Activation Detail'!G931,'Activation Detail'!G1431,'Activation Detail'!G1931,'Activation Detail'!G2431,'Activation Detail'!G2931,'Activation Detail'!G3431,'Activation Detail'!G3931)</f>
        <v>23200</v>
      </c>
      <c r="E431" s="48" t="n">
        <f aca="false">SUM('Activation Detail'!H431,'Activation Detail'!H931,'Activation Detail'!H1431,'Activation Detail'!H1931,'Activation Detail'!H2431,'Activation Detail'!H2931,'Activation Detail'!H3431,'Activation Detail'!H3931)</f>
        <v>1046.95318281865</v>
      </c>
      <c r="F431" s="50" t="n">
        <f aca="false">SUM('Activation Detail'!I431,'Activation Detail'!I931,'Activation Detail'!I1431,'Activation Detail'!I1931,'Activation Detail'!I2431,'Activation Detail'!I2931,'Activation Detail'!I3431,'Activation Detail'!I3931)</f>
        <v>82984.100928</v>
      </c>
      <c r="G431" s="50" t="n">
        <f aca="false">SUM('Activation Detail'!J431,'Activation Detail'!J931,'Activation Detail'!J1431,'Activation Detail'!J1931,'Activation Detail'!J2431,'Activation Detail'!J2931,'Activation Detail'!J3431,'Activation Detail'!J3931)</f>
        <v>6454638.41804281</v>
      </c>
      <c r="H431" s="50" t="n">
        <f aca="false">SUM('Activation Detail'!K431,'Activation Detail'!K931,'Activation Detail'!K1431,'Activation Detail'!K1931,'Activation Detail'!K2431,'Activation Detail'!K2931,'Activation Detail'!K3431,'Activation Detail'!K3931)</f>
        <v>138889.256307006</v>
      </c>
      <c r="I431" s="51" t="n">
        <f aca="false">IFERROR(H431/F431,0)</f>
        <v>1.67368513671687</v>
      </c>
      <c r="J431" s="49" t="n">
        <f aca="false">IFERROR(F431/E431,0)</f>
        <v>79.2624754285452</v>
      </c>
      <c r="K431" s="46" t="n">
        <f aca="false">IFERROR(C431/B431,0)</f>
        <v>0.0818851334680224</v>
      </c>
      <c r="L431" s="47" t="n">
        <f aca="false">IFERROR(D431/B431,0)</f>
        <v>0.00462748450540668</v>
      </c>
      <c r="N431" s="48" t="n">
        <f aca="false">SUMIFS('Activation Detail'!$H$4:$H$4003,'Activation Detail'!$A$4:$A$4003,$A431,'Activation Detail'!$N$4:$N$4003,N$2)</f>
        <v>84.1986716508574</v>
      </c>
      <c r="O431" s="50" t="n">
        <f aca="false">N431*'Model Inputs &amp; Assumptions'!$D$40*'Model Inputs &amp; Assumptions'!$H$40</f>
        <v>715688.709032288</v>
      </c>
      <c r="P431" s="50" t="n">
        <f aca="false">N431*'Model Inputs &amp; Assumptions'!$G$40*'Model Inputs &amp; Assumptions'!$H$40</f>
        <v>16102.9959532265</v>
      </c>
      <c r="Q431" s="50" t="n">
        <f aca="false">SUMIFS('Activation Detail'!$I$4:$I$4003,'Activation Detail'!$A$4:$A$4003,$A431,'Activation Detail'!$N$4:$N$4003,N$2)</f>
        <v>17756.4005</v>
      </c>
      <c r="R431" s="51" t="n">
        <f aca="false">IFERROR(P431/Q431,0)</f>
        <v>0.906884024902821</v>
      </c>
      <c r="S431" s="49" t="n">
        <f aca="false">IFERROR(Q431/N431,0)</f>
        <v>210.88694336687</v>
      </c>
      <c r="T431" s="48" t="n">
        <f aca="false">SUMIFS('Activation Detail'!$H$4:$H$4003,'Activation Detail'!$A$4:$A$4003,$A431,'Activation Detail'!$N$4:$N$4003,T$2)</f>
        <v>300.041860391375</v>
      </c>
      <c r="U431" s="50" t="n">
        <f aca="false">T431*'Model Inputs &amp; Assumptions'!$D$41*'Model Inputs &amp; Assumptions'!$H$41</f>
        <v>2160301.3948179</v>
      </c>
      <c r="V431" s="50" t="n">
        <f aca="false">T431*'Model Inputs &amp; Assumptions'!$G$41*'Model Inputs &amp; Assumptions'!$H$41</f>
        <v>47634.6457557346</v>
      </c>
      <c r="W431" s="50" t="n">
        <f aca="false">SUMIFS('Activation Detail'!$I$4:$I$4003,'Activation Detail'!$A$4:$A$4003,$A431,'Activation Detail'!$N$4:$N$4003,T$2)</f>
        <v>25558.816428</v>
      </c>
      <c r="X431" s="51" t="n">
        <f aca="false">IFERROR(V431/W431,0)</f>
        <v>1.86372658882398</v>
      </c>
      <c r="Y431" s="49" t="n">
        <f aca="false">IFERROR(W431/T431,0)</f>
        <v>85.1841686178758</v>
      </c>
      <c r="Z431" s="48" t="n">
        <f aca="false">SUMIFS('Activation Detail'!$H$4:$H$4003,'Activation Detail'!$A$4:$A$4003,$A431,'Activation Detail'!$N$4:$N$4003,Z$2)</f>
        <v>662.712650776413</v>
      </c>
      <c r="AA431" s="50" t="n">
        <f aca="false">Z431*'Model Inputs &amp; Assumptions'!$D$42*'Model Inputs &amp; Assumptions'!$H$42</f>
        <v>3578648.31419263</v>
      </c>
      <c r="AB431" s="50" t="n">
        <f aca="false">Z431*'Model Inputs &amp; Assumptions'!$G$42*'Model Inputs &amp; Assumptions'!$H$42</f>
        <v>75151.6145980452</v>
      </c>
      <c r="AC431" s="50" t="n">
        <f aca="false">SUMIFS('Activation Detail'!$I$4:$I$4003,'Activation Detail'!$A$4:$A$4003,$A431,'Activation Detail'!$N$4:$N$4003,Z$2)</f>
        <v>39668.884</v>
      </c>
      <c r="AD431" s="51" t="n">
        <f aca="false">IFERROR(AB431/AC431,0)</f>
        <v>1.894472619851</v>
      </c>
      <c r="AE431" s="49" t="n">
        <f aca="false">IFERROR(AC431/Z431,0)</f>
        <v>59.8583472844908</v>
      </c>
    </row>
    <row r="432" customFormat="false" ht="15" hidden="false" customHeight="false" outlineLevel="0" collapsed="false">
      <c r="A432" s="43" t="n">
        <v>429</v>
      </c>
      <c r="B432" s="45" t="n">
        <f aca="false">SUM('Activation Detail'!C432,'Activation Detail'!C932,'Activation Detail'!C1432,'Activation Detail'!C1932,'Activation Detail'!C2432,'Activation Detail'!C2932,'Activation Detail'!C3432,'Activation Detail'!C3932)</f>
        <v>4129367</v>
      </c>
      <c r="C432" s="45" t="n">
        <f aca="false">SUM('Activation Detail'!E432,'Activation Detail'!E932,'Activation Detail'!E1432,'Activation Detail'!E1932,'Activation Detail'!E2432,'Activation Detail'!E2932,'Activation Detail'!E3432,'Activation Detail'!E3932)</f>
        <v>347198</v>
      </c>
      <c r="D432" s="45" t="n">
        <f aca="false">SUM('Activation Detail'!G432,'Activation Detail'!G932,'Activation Detail'!G1432,'Activation Detail'!G1932,'Activation Detail'!G2432,'Activation Detail'!G2932,'Activation Detail'!G3432,'Activation Detail'!G3932)</f>
        <v>15493</v>
      </c>
      <c r="E432" s="48" t="n">
        <f aca="false">SUM('Activation Detail'!H432,'Activation Detail'!H932,'Activation Detail'!H1432,'Activation Detail'!H1932,'Activation Detail'!H2432,'Activation Detail'!H2932,'Activation Detail'!H3432,'Activation Detail'!H3932)</f>
        <v>890.986162009093</v>
      </c>
      <c r="F432" s="50" t="n">
        <f aca="false">SUM('Activation Detail'!I432,'Activation Detail'!I932,'Activation Detail'!I1432,'Activation Detail'!I1932,'Activation Detail'!I2432,'Activation Detail'!I2932,'Activation Detail'!I3432,'Activation Detail'!I3932)</f>
        <v>67187.56181</v>
      </c>
      <c r="G432" s="50" t="n">
        <f aca="false">SUM('Activation Detail'!J432,'Activation Detail'!J932,'Activation Detail'!J1432,'Activation Detail'!J1932,'Activation Detail'!J2432,'Activation Detail'!J2932,'Activation Detail'!J3432,'Activation Detail'!J3932)</f>
        <v>5257608.30255634</v>
      </c>
      <c r="H432" s="50" t="n">
        <f aca="false">SUM('Activation Detail'!K432,'Activation Detail'!K932,'Activation Detail'!K1432,'Activation Detail'!K1932,'Activation Detail'!K2432,'Activation Detail'!K2932,'Activation Detail'!K3432,'Activation Detail'!K3932)</f>
        <v>112263.716818964</v>
      </c>
      <c r="I432" s="51" t="n">
        <f aca="false">IFERROR(H432/F432,0)</f>
        <v>1.67090029455802</v>
      </c>
      <c r="J432" s="49" t="n">
        <f aca="false">IFERROR(F432/E432,0)</f>
        <v>75.4080867636577</v>
      </c>
      <c r="K432" s="46" t="n">
        <f aca="false">IFERROR(C432/B432,0)</f>
        <v>0.0840801992169744</v>
      </c>
      <c r="L432" s="47" t="n">
        <f aca="false">IFERROR(D432/B432,0)</f>
        <v>0.00375190676924575</v>
      </c>
      <c r="N432" s="48" t="n">
        <f aca="false">SUMIFS('Activation Detail'!$H$4:$H$4003,'Activation Detail'!$A$4:$A$4003,$A432,'Activation Detail'!$N$4:$N$4003,N$2)</f>
        <v>75.7268558877787</v>
      </c>
      <c r="O432" s="50" t="n">
        <f aca="false">N432*'Model Inputs &amp; Assumptions'!$D$40*'Model Inputs &amp; Assumptions'!$H$40</f>
        <v>643678.275046119</v>
      </c>
      <c r="P432" s="50" t="n">
        <f aca="false">N432*'Model Inputs &amp; Assumptions'!$G$40*'Model Inputs &amp; Assumptions'!$H$40</f>
        <v>14482.7611885377</v>
      </c>
      <c r="Q432" s="50" t="n">
        <f aca="false">SUMIFS('Activation Detail'!$I$4:$I$4003,'Activation Detail'!$A$4:$A$4003,$A432,'Activation Detail'!$N$4:$N$4003,N$2)</f>
        <v>17901.1035</v>
      </c>
      <c r="R432" s="51" t="n">
        <f aca="false">IFERROR(P432/Q432,0)</f>
        <v>0.809042927914343</v>
      </c>
      <c r="S432" s="49" t="n">
        <f aca="false">IFERROR(Q432/N432,0)</f>
        <v>236.390423055831</v>
      </c>
      <c r="T432" s="48" t="n">
        <f aca="false">SUMIFS('Activation Detail'!$H$4:$H$4003,'Activation Detail'!$A$4:$A$4003,$A432,'Activation Detail'!$N$4:$N$4003,T$2)</f>
        <v>117.516541363961</v>
      </c>
      <c r="U432" s="50" t="n">
        <f aca="false">T432*'Model Inputs &amp; Assumptions'!$D$41*'Model Inputs &amp; Assumptions'!$H$41</f>
        <v>846119.097820519</v>
      </c>
      <c r="V432" s="50" t="n">
        <f aca="false">T432*'Model Inputs &amp; Assumptions'!$G$41*'Model Inputs &amp; Assumptions'!$H$41</f>
        <v>18656.9261069424</v>
      </c>
      <c r="W432" s="50" t="n">
        <f aca="false">SUMIFS('Activation Detail'!$I$4:$I$4003,'Activation Detail'!$A$4:$A$4003,$A432,'Activation Detail'!$N$4:$N$4003,T$2)</f>
        <v>13869.54631</v>
      </c>
      <c r="X432" s="51" t="n">
        <f aca="false">IFERROR(V432/W432,0)</f>
        <v>1.34517205465407</v>
      </c>
      <c r="Y432" s="49" t="n">
        <f aca="false">IFERROR(W432/T432,0)</f>
        <v>118.02207713929</v>
      </c>
      <c r="Z432" s="48" t="n">
        <f aca="false">SUMIFS('Activation Detail'!$H$4:$H$4003,'Activation Detail'!$A$4:$A$4003,$A432,'Activation Detail'!$N$4:$N$4003,Z$2)</f>
        <v>697.742764757353</v>
      </c>
      <c r="AA432" s="50" t="n">
        <f aca="false">Z432*'Model Inputs &amp; Assumptions'!$D$42*'Model Inputs &amp; Assumptions'!$H$42</f>
        <v>3767810.92968971</v>
      </c>
      <c r="AB432" s="50" t="n">
        <f aca="false">Z432*'Model Inputs &amp; Assumptions'!$G$42*'Model Inputs &amp; Assumptions'!$H$42</f>
        <v>79124.0295234838</v>
      </c>
      <c r="AC432" s="50" t="n">
        <f aca="false">SUMIFS('Activation Detail'!$I$4:$I$4003,'Activation Detail'!$A$4:$A$4003,$A432,'Activation Detail'!$N$4:$N$4003,Z$2)</f>
        <v>35416.912</v>
      </c>
      <c r="AD432" s="51" t="n">
        <f aca="false">IFERROR(AB432/AC432,0)</f>
        <v>2.23407476980161</v>
      </c>
      <c r="AE432" s="49" t="n">
        <f aca="false">IFERROR(AC432/Z432,0)</f>
        <v>50.7592680123549</v>
      </c>
    </row>
    <row r="433" customFormat="false" ht="15" hidden="false" customHeight="false" outlineLevel="0" collapsed="false">
      <c r="A433" s="43" t="n">
        <v>430</v>
      </c>
      <c r="B433" s="45" t="n">
        <f aca="false">SUM('Activation Detail'!C433,'Activation Detail'!C933,'Activation Detail'!C1433,'Activation Detail'!C1933,'Activation Detail'!C2433,'Activation Detail'!C2933,'Activation Detail'!C3433,'Activation Detail'!C3933)</f>
        <v>3969553</v>
      </c>
      <c r="C433" s="45" t="n">
        <f aca="false">SUM('Activation Detail'!E433,'Activation Detail'!E933,'Activation Detail'!E1433,'Activation Detail'!E1933,'Activation Detail'!E2433,'Activation Detail'!E2933,'Activation Detail'!E3433,'Activation Detail'!E3933)</f>
        <v>233719</v>
      </c>
      <c r="D433" s="45" t="n">
        <f aca="false">SUM('Activation Detail'!G433,'Activation Detail'!G933,'Activation Detail'!G1433,'Activation Detail'!G1933,'Activation Detail'!G2433,'Activation Detail'!G2933,'Activation Detail'!G3433,'Activation Detail'!G3933)</f>
        <v>16869</v>
      </c>
      <c r="E433" s="48" t="n">
        <f aca="false">SUM('Activation Detail'!H433,'Activation Detail'!H933,'Activation Detail'!H1433,'Activation Detail'!H1933,'Activation Detail'!H2433,'Activation Detail'!H2933,'Activation Detail'!H3433,'Activation Detail'!H3933)</f>
        <v>941.010190678084</v>
      </c>
      <c r="F433" s="50" t="n">
        <f aca="false">SUM('Activation Detail'!I433,'Activation Detail'!I933,'Activation Detail'!I1433,'Activation Detail'!I1933,'Activation Detail'!I2433,'Activation Detail'!I2933,'Activation Detail'!I3433,'Activation Detail'!I3933)</f>
        <v>67000.187586</v>
      </c>
      <c r="G433" s="50" t="n">
        <f aca="false">SUM('Activation Detail'!J433,'Activation Detail'!J933,'Activation Detail'!J1433,'Activation Detail'!J1933,'Activation Detail'!J2433,'Activation Detail'!J2933,'Activation Detail'!J3433,'Activation Detail'!J3933)</f>
        <v>5751883.21806937</v>
      </c>
      <c r="H433" s="50" t="n">
        <f aca="false">SUM('Activation Detail'!K433,'Activation Detail'!K933,'Activation Detail'!K1433,'Activation Detail'!K1933,'Activation Detail'!K2433,'Activation Detail'!K2933,'Activation Detail'!K3433,'Activation Detail'!K3933)</f>
        <v>123572.771695849</v>
      </c>
      <c r="I433" s="51" t="n">
        <f aca="false">IFERROR(H433/F433,0)</f>
        <v>1.84436456296833</v>
      </c>
      <c r="J433" s="49" t="n">
        <f aca="false">IFERROR(F433/E433,0)</f>
        <v>71.2002784345197</v>
      </c>
      <c r="K433" s="46" t="n">
        <f aca="false">IFERROR(C433/B433,0)</f>
        <v>0.0588779139615972</v>
      </c>
      <c r="L433" s="47" t="n">
        <f aca="false">IFERROR(D433/B433,0)</f>
        <v>0.00424959686896736</v>
      </c>
      <c r="N433" s="48" t="n">
        <f aca="false">SUMIFS('Activation Detail'!$H$4:$H$4003,'Activation Detail'!$A$4:$A$4003,$A433,'Activation Detail'!$N$4:$N$4003,N$2)</f>
        <v>120.6454626683</v>
      </c>
      <c r="O433" s="50" t="n">
        <f aca="false">N433*'Model Inputs &amp; Assumptions'!$D$40*'Model Inputs &amp; Assumptions'!$H$40</f>
        <v>1025486.43268055</v>
      </c>
      <c r="P433" s="50" t="n">
        <f aca="false">N433*'Model Inputs &amp; Assumptions'!$G$40*'Model Inputs &amp; Assumptions'!$H$40</f>
        <v>23073.4447353123</v>
      </c>
      <c r="Q433" s="50" t="n">
        <f aca="false">SUMIFS('Activation Detail'!$I$4:$I$4003,'Activation Detail'!$A$4:$A$4003,$A433,'Activation Detail'!$N$4:$N$4003,N$2)</f>
        <v>18278.9485</v>
      </c>
      <c r="R433" s="51" t="n">
        <f aca="false">IFERROR(P433/Q433,0)</f>
        <v>1.26229606343671</v>
      </c>
      <c r="S433" s="49" t="n">
        <f aca="false">IFERROR(Q433/N433,0)</f>
        <v>151.509622456799</v>
      </c>
      <c r="T433" s="48" t="n">
        <f aca="false">SUMIFS('Activation Detail'!$H$4:$H$4003,'Activation Detail'!$A$4:$A$4003,$A433,'Activation Detail'!$N$4:$N$4003,T$2)</f>
        <v>164.681807853327</v>
      </c>
      <c r="U433" s="50" t="n">
        <f aca="false">T433*'Model Inputs &amp; Assumptions'!$D$41*'Model Inputs &amp; Assumptions'!$H$41</f>
        <v>1185709.01654395</v>
      </c>
      <c r="V433" s="50" t="n">
        <f aca="false">T433*'Model Inputs &amp; Assumptions'!$G$41*'Model Inputs &amp; Assumptions'!$H$41</f>
        <v>26144.8838147942</v>
      </c>
      <c r="W433" s="50" t="n">
        <f aca="false">SUMIFS('Activation Detail'!$I$4:$I$4003,'Activation Detail'!$A$4:$A$4003,$A433,'Activation Detail'!$N$4:$N$4003,T$2)</f>
        <v>13872.659086</v>
      </c>
      <c r="X433" s="51" t="n">
        <f aca="false">IFERROR(V433/W433,0)</f>
        <v>1.88463391572702</v>
      </c>
      <c r="Y433" s="49" t="n">
        <f aca="false">IFERROR(W433/T433,0)</f>
        <v>84.2391716901457</v>
      </c>
      <c r="Z433" s="48" t="n">
        <f aca="false">SUMIFS('Activation Detail'!$H$4:$H$4003,'Activation Detail'!$A$4:$A$4003,$A433,'Activation Detail'!$N$4:$N$4003,Z$2)</f>
        <v>655.682920156457</v>
      </c>
      <c r="AA433" s="50" t="n">
        <f aca="false">Z433*'Model Inputs &amp; Assumptions'!$D$42*'Model Inputs &amp; Assumptions'!$H$42</f>
        <v>3540687.76884487</v>
      </c>
      <c r="AB433" s="50" t="n">
        <f aca="false">Z433*'Model Inputs &amp; Assumptions'!$G$42*'Model Inputs &amp; Assumptions'!$H$42</f>
        <v>74354.4431457422</v>
      </c>
      <c r="AC433" s="50" t="n">
        <f aca="false">SUMIFS('Activation Detail'!$I$4:$I$4003,'Activation Detail'!$A$4:$A$4003,$A433,'Activation Detail'!$N$4:$N$4003,Z$2)</f>
        <v>34848.58</v>
      </c>
      <c r="AD433" s="51" t="n">
        <f aca="false">IFERROR(AB433/AC433,0)</f>
        <v>2.13364341232102</v>
      </c>
      <c r="AE433" s="49" t="n">
        <f aca="false">IFERROR(AC433/Z433,0)</f>
        <v>53.1485248871277</v>
      </c>
    </row>
    <row r="434" customFormat="false" ht="15" hidden="false" customHeight="false" outlineLevel="0" collapsed="false">
      <c r="A434" s="43" t="n">
        <v>431</v>
      </c>
      <c r="B434" s="45" t="n">
        <f aca="false">SUM('Activation Detail'!C434,'Activation Detail'!C934,'Activation Detail'!C1434,'Activation Detail'!C1934,'Activation Detail'!C2434,'Activation Detail'!C2934,'Activation Detail'!C3434,'Activation Detail'!C3934)</f>
        <v>3934004</v>
      </c>
      <c r="C434" s="45" t="n">
        <f aca="false">SUM('Activation Detail'!E434,'Activation Detail'!E934,'Activation Detail'!E1434,'Activation Detail'!E1934,'Activation Detail'!E2434,'Activation Detail'!E2934,'Activation Detail'!E3434,'Activation Detail'!E3934)</f>
        <v>415333</v>
      </c>
      <c r="D434" s="45" t="n">
        <f aca="false">SUM('Activation Detail'!G434,'Activation Detail'!G934,'Activation Detail'!G1434,'Activation Detail'!G1934,'Activation Detail'!G2434,'Activation Detail'!G2934,'Activation Detail'!G3434,'Activation Detail'!G3934)</f>
        <v>15089</v>
      </c>
      <c r="E434" s="48" t="n">
        <f aca="false">SUM('Activation Detail'!H434,'Activation Detail'!H934,'Activation Detail'!H1434,'Activation Detail'!H1934,'Activation Detail'!H2434,'Activation Detail'!H2934,'Activation Detail'!H3434,'Activation Detail'!H3934)</f>
        <v>643.606962556247</v>
      </c>
      <c r="F434" s="50" t="n">
        <f aca="false">SUM('Activation Detail'!I434,'Activation Detail'!I934,'Activation Detail'!I1434,'Activation Detail'!I1934,'Activation Detail'!I2434,'Activation Detail'!I2934,'Activation Detail'!I3434,'Activation Detail'!I3934)</f>
        <v>74571.11936</v>
      </c>
      <c r="G434" s="50" t="n">
        <f aca="false">SUM('Activation Detail'!J434,'Activation Detail'!J934,'Activation Detail'!J1434,'Activation Detail'!J1934,'Activation Detail'!J2434,'Activation Detail'!J2934,'Activation Detail'!J3434,'Activation Detail'!J3934)</f>
        <v>4087282.89258224</v>
      </c>
      <c r="H434" s="50" t="n">
        <f aca="false">SUM('Activation Detail'!K434,'Activation Detail'!K934,'Activation Detail'!K1434,'Activation Detail'!K1934,'Activation Detail'!K2434,'Activation Detail'!K2934,'Activation Detail'!K3434,'Activation Detail'!K3934)</f>
        <v>88372.95144171</v>
      </c>
      <c r="I434" s="51" t="n">
        <f aca="false">IFERROR(H434/F434,0)</f>
        <v>1.18508280685824</v>
      </c>
      <c r="J434" s="49" t="n">
        <f aca="false">IFERROR(F434/E434,0)</f>
        <v>115.864376394907</v>
      </c>
      <c r="K434" s="46" t="n">
        <f aca="false">IFERROR(C434/B434,0)</f>
        <v>0.105575134138145</v>
      </c>
      <c r="L434" s="47" t="n">
        <f aca="false">IFERROR(D434/B434,0)</f>
        <v>0.00383553244989075</v>
      </c>
      <c r="N434" s="48" t="n">
        <f aca="false">SUMIFS('Activation Detail'!$H$4:$H$4003,'Activation Detail'!$A$4:$A$4003,$A434,'Activation Detail'!$N$4:$N$4003,N$2)</f>
        <v>109.524224395677</v>
      </c>
      <c r="O434" s="50" t="n">
        <f aca="false">N434*'Model Inputs &amp; Assumptions'!$D$40*'Model Inputs &amp; Assumptions'!$H$40</f>
        <v>930955.90736325</v>
      </c>
      <c r="P434" s="50" t="n">
        <f aca="false">N434*'Model Inputs &amp; Assumptions'!$G$40*'Model Inputs &amp; Assumptions'!$H$40</f>
        <v>20946.5079156731</v>
      </c>
      <c r="Q434" s="50" t="n">
        <f aca="false">SUMIFS('Activation Detail'!$I$4:$I$4003,'Activation Detail'!$A$4:$A$4003,$A434,'Activation Detail'!$N$4:$N$4003,N$2)</f>
        <v>19196.3715</v>
      </c>
      <c r="R434" s="51" t="n">
        <f aca="false">IFERROR(P434/Q434,0)</f>
        <v>1.09117016805354</v>
      </c>
      <c r="S434" s="49" t="n">
        <f aca="false">IFERROR(Q434/N434,0)</f>
        <v>175.270554125538</v>
      </c>
      <c r="T434" s="48" t="n">
        <f aca="false">SUMIFS('Activation Detail'!$H$4:$H$4003,'Activation Detail'!$A$4:$A$4003,$A434,'Activation Detail'!$N$4:$N$4003,T$2)</f>
        <v>151.266777306616</v>
      </c>
      <c r="U434" s="50" t="n">
        <f aca="false">T434*'Model Inputs &amp; Assumptions'!$D$41*'Model Inputs &amp; Assumptions'!$H$41</f>
        <v>1089120.79660764</v>
      </c>
      <c r="V434" s="50" t="n">
        <f aca="false">T434*'Model Inputs &amp; Assumptions'!$G$41*'Model Inputs &amp; Assumptions'!$H$41</f>
        <v>24015.1135651984</v>
      </c>
      <c r="W434" s="50" t="n">
        <f aca="false">SUMIFS('Activation Detail'!$I$4:$I$4003,'Activation Detail'!$A$4:$A$4003,$A434,'Activation Detail'!$N$4:$N$4003,T$2)</f>
        <v>19161.40786</v>
      </c>
      <c r="X434" s="51" t="n">
        <f aca="false">IFERROR(V434/W434,0)</f>
        <v>1.25330631969536</v>
      </c>
      <c r="Y434" s="49" t="n">
        <f aca="false">IFERROR(W434/T434,0)</f>
        <v>126.672943002944</v>
      </c>
      <c r="Z434" s="48" t="n">
        <f aca="false">SUMIFS('Activation Detail'!$H$4:$H$4003,'Activation Detail'!$A$4:$A$4003,$A434,'Activation Detail'!$N$4:$N$4003,Z$2)</f>
        <v>382.815960853955</v>
      </c>
      <c r="AA434" s="50" t="n">
        <f aca="false">Z434*'Model Inputs &amp; Assumptions'!$D$42*'Model Inputs &amp; Assumptions'!$H$42</f>
        <v>2067206.18861136</v>
      </c>
      <c r="AB434" s="50" t="n">
        <f aca="false">Z434*'Model Inputs &amp; Assumptions'!$G$42*'Model Inputs &amp; Assumptions'!$H$42</f>
        <v>43411.3299608385</v>
      </c>
      <c r="AC434" s="50" t="n">
        <f aca="false">SUMIFS('Activation Detail'!$I$4:$I$4003,'Activation Detail'!$A$4:$A$4003,$A434,'Activation Detail'!$N$4:$N$4003,Z$2)</f>
        <v>36213.34</v>
      </c>
      <c r="AD434" s="51" t="n">
        <f aca="false">IFERROR(AB434/AC434,0)</f>
        <v>1.19876625466854</v>
      </c>
      <c r="AE434" s="49" t="n">
        <f aca="false">IFERROR(AC434/Z434,0)</f>
        <v>94.5972574372767</v>
      </c>
    </row>
    <row r="435" customFormat="false" ht="15" hidden="false" customHeight="false" outlineLevel="0" collapsed="false">
      <c r="A435" s="43" t="n">
        <v>432</v>
      </c>
      <c r="B435" s="45" t="n">
        <f aca="false">SUM('Activation Detail'!C435,'Activation Detail'!C935,'Activation Detail'!C1435,'Activation Detail'!C1935,'Activation Detail'!C2435,'Activation Detail'!C2935,'Activation Detail'!C3435,'Activation Detail'!C3935)</f>
        <v>3817719</v>
      </c>
      <c r="C435" s="45" t="n">
        <f aca="false">SUM('Activation Detail'!E435,'Activation Detail'!E935,'Activation Detail'!E1435,'Activation Detail'!E1935,'Activation Detail'!E2435,'Activation Detail'!E2935,'Activation Detail'!E3435,'Activation Detail'!E3935)</f>
        <v>290127</v>
      </c>
      <c r="D435" s="45" t="n">
        <f aca="false">SUM('Activation Detail'!G435,'Activation Detail'!G935,'Activation Detail'!G1435,'Activation Detail'!G1935,'Activation Detail'!G2435,'Activation Detail'!G2935,'Activation Detail'!G3435,'Activation Detail'!G3935)</f>
        <v>12603</v>
      </c>
      <c r="E435" s="48" t="n">
        <f aca="false">SUM('Activation Detail'!H435,'Activation Detail'!H935,'Activation Detail'!H1435,'Activation Detail'!H1935,'Activation Detail'!H2435,'Activation Detail'!H2935,'Activation Detail'!H3435,'Activation Detail'!H3935)</f>
        <v>431.61391664859</v>
      </c>
      <c r="F435" s="50" t="n">
        <f aca="false">SUM('Activation Detail'!I435,'Activation Detail'!I935,'Activation Detail'!I1435,'Activation Detail'!I1935,'Activation Detail'!I2435,'Activation Detail'!I2935,'Activation Detail'!I3435,'Activation Detail'!I3935)</f>
        <v>69160.300732</v>
      </c>
      <c r="G435" s="50" t="n">
        <f aca="false">SUM('Activation Detail'!J435,'Activation Detail'!J935,'Activation Detail'!J1435,'Activation Detail'!J1935,'Activation Detail'!J2435,'Activation Detail'!J2935,'Activation Detail'!J3435,'Activation Detail'!J3935)</f>
        <v>2758918.67635466</v>
      </c>
      <c r="H435" s="50" t="n">
        <f aca="false">SUM('Activation Detail'!K435,'Activation Detail'!K935,'Activation Detail'!K1435,'Activation Detail'!K1935,'Activation Detail'!K2435,'Activation Detail'!K2935,'Activation Detail'!K3435,'Activation Detail'!K3935)</f>
        <v>59719.4548009955</v>
      </c>
      <c r="I435" s="51" t="n">
        <f aca="false">IFERROR(H435/F435,0)</f>
        <v>0.863493278209007</v>
      </c>
      <c r="J435" s="49" t="n">
        <f aca="false">IFERROR(F435/E435,0)</f>
        <v>160.236493922666</v>
      </c>
      <c r="K435" s="46" t="n">
        <f aca="false">IFERROR(C435/B435,0)</f>
        <v>0.0759948545191514</v>
      </c>
      <c r="L435" s="47" t="n">
        <f aca="false">IFERROR(D435/B435,0)</f>
        <v>0.00330118586517237</v>
      </c>
      <c r="N435" s="48" t="n">
        <f aca="false">SUMIFS('Activation Detail'!$H$4:$H$4003,'Activation Detail'!$A$4:$A$4003,$A435,'Activation Detail'!$N$4:$N$4003,N$2)</f>
        <v>60.3415316739237</v>
      </c>
      <c r="O435" s="50" t="n">
        <f aca="false">N435*'Model Inputs &amp; Assumptions'!$D$40*'Model Inputs &amp; Assumptions'!$H$40</f>
        <v>512903.019228351</v>
      </c>
      <c r="P435" s="50" t="n">
        <f aca="false">N435*'Model Inputs &amp; Assumptions'!$G$40*'Model Inputs &amp; Assumptions'!$H$40</f>
        <v>11540.3179326379</v>
      </c>
      <c r="Q435" s="50" t="n">
        <f aca="false">SUMIFS('Activation Detail'!$I$4:$I$4003,'Activation Detail'!$A$4:$A$4003,$A435,'Activation Detail'!$N$4:$N$4003,N$2)</f>
        <v>17928.826</v>
      </c>
      <c r="R435" s="51" t="n">
        <f aca="false">IFERROR(P435/Q435,0)</f>
        <v>0.643673932283012</v>
      </c>
      <c r="S435" s="49" t="n">
        <f aca="false">IFERROR(Q435/N435,0)</f>
        <v>297.122487657168</v>
      </c>
      <c r="T435" s="48" t="n">
        <f aca="false">SUMIFS('Activation Detail'!$H$4:$H$4003,'Activation Detail'!$A$4:$A$4003,$A435,'Activation Detail'!$N$4:$N$4003,T$2)</f>
        <v>133.969321257285</v>
      </c>
      <c r="U435" s="50" t="n">
        <f aca="false">T435*'Model Inputs &amp; Assumptions'!$D$41*'Model Inputs &amp; Assumptions'!$H$41</f>
        <v>964579.113052449</v>
      </c>
      <c r="V435" s="50" t="n">
        <f aca="false">T435*'Model Inputs &amp; Assumptions'!$G$41*'Model Inputs &amp; Assumptions'!$H$41</f>
        <v>21268.9694428065</v>
      </c>
      <c r="W435" s="50" t="n">
        <f aca="false">SUMIFS('Activation Detail'!$I$4:$I$4003,'Activation Detail'!$A$4:$A$4003,$A435,'Activation Detail'!$N$4:$N$4003,T$2)</f>
        <v>16767.074732</v>
      </c>
      <c r="X435" s="51" t="n">
        <f aca="false">IFERROR(V435/W435,0)</f>
        <v>1.26849613201846</v>
      </c>
      <c r="Y435" s="49" t="n">
        <f aca="false">IFERROR(W435/T435,0)</f>
        <v>125.156077336536</v>
      </c>
      <c r="Z435" s="48" t="n">
        <f aca="false">SUMIFS('Activation Detail'!$H$4:$H$4003,'Activation Detail'!$A$4:$A$4003,$A435,'Activation Detail'!$N$4:$N$4003,Z$2)</f>
        <v>237.303063717382</v>
      </c>
      <c r="AA435" s="50" t="n">
        <f aca="false">Z435*'Model Inputs &amp; Assumptions'!$D$42*'Model Inputs &amp; Assumptions'!$H$42</f>
        <v>1281436.54407386</v>
      </c>
      <c r="AB435" s="50" t="n">
        <f aca="false">Z435*'Model Inputs &amp; Assumptions'!$G$42*'Model Inputs &amp; Assumptions'!$H$42</f>
        <v>26910.1674255511</v>
      </c>
      <c r="AC435" s="50" t="n">
        <f aca="false">SUMIFS('Activation Detail'!$I$4:$I$4003,'Activation Detail'!$A$4:$A$4003,$A435,'Activation Detail'!$N$4:$N$4003,Z$2)</f>
        <v>34464.4</v>
      </c>
      <c r="AD435" s="51" t="n">
        <f aca="false">IFERROR(AB435/AC435,0)</f>
        <v>0.78081055888253</v>
      </c>
      <c r="AE435" s="49" t="n">
        <f aca="false">IFERROR(AC435/Z435,0)</f>
        <v>145.233691719403</v>
      </c>
    </row>
    <row r="436" customFormat="false" ht="15" hidden="false" customHeight="false" outlineLevel="0" collapsed="false">
      <c r="A436" s="43" t="n">
        <v>433</v>
      </c>
      <c r="B436" s="45" t="n">
        <f aca="false">SUM('Activation Detail'!C436,'Activation Detail'!C936,'Activation Detail'!C1436,'Activation Detail'!C1936,'Activation Detail'!C2436,'Activation Detail'!C2936,'Activation Detail'!C3436,'Activation Detail'!C3936)</f>
        <v>3873775</v>
      </c>
      <c r="C436" s="45" t="n">
        <f aca="false">SUM('Activation Detail'!E436,'Activation Detail'!E936,'Activation Detail'!E1436,'Activation Detail'!E1936,'Activation Detail'!E2436,'Activation Detail'!E2936,'Activation Detail'!E3436,'Activation Detail'!E3936)</f>
        <v>205596</v>
      </c>
      <c r="D436" s="45" t="n">
        <f aca="false">SUM('Activation Detail'!G436,'Activation Detail'!G936,'Activation Detail'!G1436,'Activation Detail'!G1936,'Activation Detail'!G2436,'Activation Detail'!G2936,'Activation Detail'!G3436,'Activation Detail'!G3936)</f>
        <v>19845</v>
      </c>
      <c r="E436" s="48" t="n">
        <f aca="false">SUM('Activation Detail'!H436,'Activation Detail'!H936,'Activation Detail'!H1436,'Activation Detail'!H1936,'Activation Detail'!H2436,'Activation Detail'!H2936,'Activation Detail'!H3436,'Activation Detail'!H3936)</f>
        <v>1080.68278503548</v>
      </c>
      <c r="F436" s="50" t="n">
        <f aca="false">SUM('Activation Detail'!I436,'Activation Detail'!I936,'Activation Detail'!I1436,'Activation Detail'!I1936,'Activation Detail'!I2436,'Activation Detail'!I2936,'Activation Detail'!I3436,'Activation Detail'!I3936)</f>
        <v>74025.414172</v>
      </c>
      <c r="G436" s="50" t="n">
        <f aca="false">SUM('Activation Detail'!J436,'Activation Detail'!J936,'Activation Detail'!J1436,'Activation Detail'!J1936,'Activation Detail'!J2436,'Activation Detail'!J2936,'Activation Detail'!J3436,'Activation Detail'!J3936)</f>
        <v>6403596.11131114</v>
      </c>
      <c r="H436" s="50" t="n">
        <f aca="false">SUM('Activation Detail'!K436,'Activation Detail'!K936,'Activation Detail'!K1436,'Activation Detail'!K1936,'Activation Detail'!K2436,'Activation Detail'!K2936,'Activation Detail'!K3436,'Activation Detail'!K3936)</f>
        <v>136835.753626238</v>
      </c>
      <c r="I436" s="51" t="n">
        <f aca="false">IFERROR(H436/F436,0)</f>
        <v>1.84849696765352</v>
      </c>
      <c r="J436" s="49" t="n">
        <f aca="false">IFERROR(F436/E436,0)</f>
        <v>68.4987446797996</v>
      </c>
      <c r="K436" s="46" t="n">
        <f aca="false">IFERROR(C436/B436,0)</f>
        <v>0.0530738104303941</v>
      </c>
      <c r="L436" s="47" t="n">
        <f aca="false">IFERROR(D436/B436,0)</f>
        <v>0.00512290982310537</v>
      </c>
      <c r="N436" s="48" t="n">
        <f aca="false">SUMIFS('Activation Detail'!$H$4:$H$4003,'Activation Detail'!$A$4:$A$4003,$A436,'Activation Detail'!$N$4:$N$4003,N$2)</f>
        <v>92.5289414746936</v>
      </c>
      <c r="O436" s="50" t="n">
        <f aca="false">N436*'Model Inputs &amp; Assumptions'!$D$40*'Model Inputs &amp; Assumptions'!$H$40</f>
        <v>786496.002534896</v>
      </c>
      <c r="P436" s="50" t="n">
        <f aca="false">N436*'Model Inputs &amp; Assumptions'!$G$40*'Model Inputs &amp; Assumptions'!$H$40</f>
        <v>17696.1600570352</v>
      </c>
      <c r="Q436" s="50" t="n">
        <f aca="false">SUMIFS('Activation Detail'!$I$4:$I$4003,'Activation Detail'!$A$4:$A$4003,$A436,'Activation Detail'!$N$4:$N$4003,N$2)</f>
        <v>17615.6625</v>
      </c>
      <c r="R436" s="51" t="n">
        <f aca="false">IFERROR(P436/Q436,0)</f>
        <v>1.00456965822518</v>
      </c>
      <c r="S436" s="49" t="n">
        <f aca="false">IFERROR(Q436/N436,0)</f>
        <v>190.380028337597</v>
      </c>
      <c r="T436" s="48" t="n">
        <f aca="false">SUMIFS('Activation Detail'!$H$4:$H$4003,'Activation Detail'!$A$4:$A$4003,$A436,'Activation Detail'!$N$4:$N$4003,T$2)</f>
        <v>156.149640859999</v>
      </c>
      <c r="U436" s="50" t="n">
        <f aca="false">T436*'Model Inputs &amp; Assumptions'!$D$41*'Model Inputs &amp; Assumptions'!$H$41</f>
        <v>1124277.41419199</v>
      </c>
      <c r="V436" s="50" t="n">
        <f aca="false">T436*'Model Inputs &amp; Assumptions'!$G$41*'Model Inputs &amp; Assumptions'!$H$41</f>
        <v>24790.3169829334</v>
      </c>
      <c r="W436" s="50" t="n">
        <f aca="false">SUMIFS('Activation Detail'!$I$4:$I$4003,'Activation Detail'!$A$4:$A$4003,$A436,'Activation Detail'!$N$4:$N$4003,T$2)</f>
        <v>15239.031672</v>
      </c>
      <c r="X436" s="51" t="n">
        <f aca="false">IFERROR(V436/W436,0)</f>
        <v>1.62676458166845</v>
      </c>
      <c r="Y436" s="49" t="n">
        <f aca="false">IFERROR(W436/T436,0)</f>
        <v>97.592486207913</v>
      </c>
      <c r="Z436" s="48" t="n">
        <f aca="false">SUMIFS('Activation Detail'!$H$4:$H$4003,'Activation Detail'!$A$4:$A$4003,$A436,'Activation Detail'!$N$4:$N$4003,Z$2)</f>
        <v>832.004202700787</v>
      </c>
      <c r="AA436" s="50" t="n">
        <f aca="false">Z436*'Model Inputs &amp; Assumptions'!$D$42*'Model Inputs &amp; Assumptions'!$H$42</f>
        <v>4492822.69458425</v>
      </c>
      <c r="AB436" s="50" t="n">
        <f aca="false">Z436*'Model Inputs &amp; Assumptions'!$G$42*'Model Inputs &amp; Assumptions'!$H$42</f>
        <v>94349.2765862693</v>
      </c>
      <c r="AC436" s="50" t="n">
        <f aca="false">SUMIFS('Activation Detail'!$I$4:$I$4003,'Activation Detail'!$A$4:$A$4003,$A436,'Activation Detail'!$N$4:$N$4003,Z$2)</f>
        <v>41170.72</v>
      </c>
      <c r="AD436" s="51" t="n">
        <f aca="false">IFERROR(AB436/AC436,0)</f>
        <v>2.29165962087302</v>
      </c>
      <c r="AE436" s="49" t="n">
        <f aca="false">IFERROR(AC436/Z436,0)</f>
        <v>49.4837885029364</v>
      </c>
    </row>
    <row r="437" customFormat="false" ht="15" hidden="false" customHeight="false" outlineLevel="0" collapsed="false">
      <c r="A437" s="43" t="n">
        <v>434</v>
      </c>
      <c r="B437" s="45" t="n">
        <f aca="false">SUM('Activation Detail'!C437,'Activation Detail'!C937,'Activation Detail'!C1437,'Activation Detail'!C1937,'Activation Detail'!C2437,'Activation Detail'!C2937,'Activation Detail'!C3437,'Activation Detail'!C3937)</f>
        <v>3296710</v>
      </c>
      <c r="C437" s="45" t="n">
        <f aca="false">SUM('Activation Detail'!E437,'Activation Detail'!E937,'Activation Detail'!E1437,'Activation Detail'!E1937,'Activation Detail'!E2437,'Activation Detail'!E2937,'Activation Detail'!E3437,'Activation Detail'!E3937)</f>
        <v>398424</v>
      </c>
      <c r="D437" s="45" t="n">
        <f aca="false">SUM('Activation Detail'!G437,'Activation Detail'!G937,'Activation Detail'!G1437,'Activation Detail'!G1937,'Activation Detail'!G2437,'Activation Detail'!G2937,'Activation Detail'!G3437,'Activation Detail'!G3937)</f>
        <v>13953</v>
      </c>
      <c r="E437" s="48" t="n">
        <f aca="false">SUM('Activation Detail'!H437,'Activation Detail'!H937,'Activation Detail'!H1437,'Activation Detail'!H1937,'Activation Detail'!H2437,'Activation Detail'!H2937,'Activation Detail'!H3437,'Activation Detail'!H3937)</f>
        <v>573.58094057789</v>
      </c>
      <c r="F437" s="50" t="n">
        <f aca="false">SUM('Activation Detail'!I437,'Activation Detail'!I937,'Activation Detail'!I1437,'Activation Detail'!I1937,'Activation Detail'!I2437,'Activation Detail'!I2937,'Activation Detail'!I3437,'Activation Detail'!I3937)</f>
        <v>72315.709376</v>
      </c>
      <c r="G437" s="50" t="n">
        <f aca="false">SUM('Activation Detail'!J437,'Activation Detail'!J937,'Activation Detail'!J1437,'Activation Detail'!J1937,'Activation Detail'!J2437,'Activation Detail'!J2937,'Activation Detail'!J3437,'Activation Detail'!J3937)</f>
        <v>3682132.6937577</v>
      </c>
      <c r="H437" s="50" t="n">
        <f aca="false">SUM('Activation Detail'!K437,'Activation Detail'!K937,'Activation Detail'!K1437,'Activation Detail'!K1937,'Activation Detail'!K2437,'Activation Detail'!K2937,'Activation Detail'!K3437,'Activation Detail'!K3937)</f>
        <v>79758.1217199627</v>
      </c>
      <c r="I437" s="51" t="n">
        <f aca="false">IFERROR(H437/F437,0)</f>
        <v>1.10291556852836</v>
      </c>
      <c r="J437" s="49" t="n">
        <f aca="false">IFERROR(F437/E437,0)</f>
        <v>126.077601712395</v>
      </c>
      <c r="K437" s="46" t="n">
        <f aca="false">IFERROR(C437/B437,0)</f>
        <v>0.12085503426143</v>
      </c>
      <c r="L437" s="47" t="n">
        <f aca="false">IFERROR(D437/B437,0)</f>
        <v>0.00423240139411717</v>
      </c>
      <c r="N437" s="48" t="n">
        <f aca="false">SUMIFS('Activation Detail'!$H$4:$H$4003,'Activation Detail'!$A$4:$A$4003,$A437,'Activation Detail'!$N$4:$N$4003,N$2)</f>
        <v>84.4682608324188</v>
      </c>
      <c r="O437" s="50" t="n">
        <f aca="false">N437*'Model Inputs &amp; Assumptions'!$D$40*'Model Inputs &amp; Assumptions'!$H$40</f>
        <v>717980.21707556</v>
      </c>
      <c r="P437" s="50" t="n">
        <f aca="false">N437*'Model Inputs &amp; Assumptions'!$G$40*'Model Inputs &amp; Assumptions'!$H$40</f>
        <v>16154.5548842001</v>
      </c>
      <c r="Q437" s="50" t="n">
        <f aca="false">SUMIFS('Activation Detail'!$I$4:$I$4003,'Activation Detail'!$A$4:$A$4003,$A437,'Activation Detail'!$N$4:$N$4003,N$2)</f>
        <v>17966.448</v>
      </c>
      <c r="R437" s="51" t="n">
        <f aca="false">IFERROR(P437/Q437,0)</f>
        <v>0.899151289347794</v>
      </c>
      <c r="S437" s="49" t="n">
        <f aca="false">IFERROR(Q437/N437,0)</f>
        <v>212.70057916363</v>
      </c>
      <c r="T437" s="48" t="n">
        <f aca="false">SUMIFS('Activation Detail'!$H$4:$H$4003,'Activation Detail'!$A$4:$A$4003,$A437,'Activation Detail'!$N$4:$N$4003,T$2)</f>
        <v>179.413336698108</v>
      </c>
      <c r="U437" s="50" t="n">
        <f aca="false">T437*'Model Inputs &amp; Assumptions'!$D$41*'Model Inputs &amp; Assumptions'!$H$41</f>
        <v>1291776.02422638</v>
      </c>
      <c r="V437" s="50" t="n">
        <f aca="false">T437*'Model Inputs &amp; Assumptions'!$G$41*'Model Inputs &amp; Assumptions'!$H$41</f>
        <v>28483.6613341916</v>
      </c>
      <c r="W437" s="50" t="n">
        <f aca="false">SUMIFS('Activation Detail'!$I$4:$I$4003,'Activation Detail'!$A$4:$A$4003,$A437,'Activation Detail'!$N$4:$N$4003,T$2)</f>
        <v>16948.029376</v>
      </c>
      <c r="X437" s="51" t="n">
        <f aca="false">IFERROR(V437/W437,0)</f>
        <v>1.68064738986865</v>
      </c>
      <c r="Y437" s="49" t="n">
        <f aca="false">IFERROR(W437/T437,0)</f>
        <v>94.4635983473057</v>
      </c>
      <c r="Z437" s="48" t="n">
        <f aca="false">SUMIFS('Activation Detail'!$H$4:$H$4003,'Activation Detail'!$A$4:$A$4003,$A437,'Activation Detail'!$N$4:$N$4003,Z$2)</f>
        <v>309.699343047363</v>
      </c>
      <c r="AA437" s="50" t="n">
        <f aca="false">Z437*'Model Inputs &amp; Assumptions'!$D$42*'Model Inputs &amp; Assumptions'!$H$42</f>
        <v>1672376.45245576</v>
      </c>
      <c r="AB437" s="50" t="n">
        <f aca="false">Z437*'Model Inputs &amp; Assumptions'!$G$42*'Model Inputs &amp; Assumptions'!$H$42</f>
        <v>35119.905501571</v>
      </c>
      <c r="AC437" s="50" t="n">
        <f aca="false">SUMIFS('Activation Detail'!$I$4:$I$4003,'Activation Detail'!$A$4:$A$4003,$A437,'Activation Detail'!$N$4:$N$4003,Z$2)</f>
        <v>37401.232</v>
      </c>
      <c r="AD437" s="51" t="n">
        <f aca="false">IFERROR(AB437/AC437,0)</f>
        <v>0.939003974563484</v>
      </c>
      <c r="AE437" s="49" t="n">
        <f aca="false">IFERROR(AC437/Z437,0)</f>
        <v>120.766261988099</v>
      </c>
    </row>
    <row r="438" customFormat="false" ht="15" hidden="false" customHeight="false" outlineLevel="0" collapsed="false">
      <c r="A438" s="43" t="n">
        <v>435</v>
      </c>
      <c r="B438" s="45" t="n">
        <f aca="false">SUM('Activation Detail'!C438,'Activation Detail'!C938,'Activation Detail'!C1438,'Activation Detail'!C1938,'Activation Detail'!C2438,'Activation Detail'!C2938,'Activation Detail'!C3438,'Activation Detail'!C3938)</f>
        <v>4398532</v>
      </c>
      <c r="C438" s="45" t="n">
        <f aca="false">SUM('Activation Detail'!E438,'Activation Detail'!E938,'Activation Detail'!E1438,'Activation Detail'!E1938,'Activation Detail'!E2438,'Activation Detail'!E2938,'Activation Detail'!E3438,'Activation Detail'!E3938)</f>
        <v>344543</v>
      </c>
      <c r="D438" s="45" t="n">
        <f aca="false">SUM('Activation Detail'!G438,'Activation Detail'!G938,'Activation Detail'!G1438,'Activation Detail'!G1938,'Activation Detail'!G2438,'Activation Detail'!G2938,'Activation Detail'!G3438,'Activation Detail'!G3938)</f>
        <v>16348</v>
      </c>
      <c r="E438" s="48" t="n">
        <f aca="false">SUM('Activation Detail'!H438,'Activation Detail'!H938,'Activation Detail'!H1438,'Activation Detail'!H1938,'Activation Detail'!H2438,'Activation Detail'!H2938,'Activation Detail'!H3438,'Activation Detail'!H3938)</f>
        <v>621.218336124226</v>
      </c>
      <c r="F438" s="50" t="n">
        <f aca="false">SUM('Activation Detail'!I438,'Activation Detail'!I938,'Activation Detail'!I1438,'Activation Detail'!I1938,'Activation Detail'!I2438,'Activation Detail'!I2938,'Activation Detail'!I3438,'Activation Detail'!I3938)</f>
        <v>69776.717934</v>
      </c>
      <c r="G438" s="50" t="n">
        <f aca="false">SUM('Activation Detail'!J438,'Activation Detail'!J938,'Activation Detail'!J1438,'Activation Detail'!J1938,'Activation Detail'!J2438,'Activation Detail'!J2938,'Activation Detail'!J3438,'Activation Detail'!J3938)</f>
        <v>3818375.97787771</v>
      </c>
      <c r="H438" s="50" t="n">
        <f aca="false">SUM('Activation Detail'!K438,'Activation Detail'!K938,'Activation Detail'!K1438,'Activation Detail'!K1938,'Activation Detail'!K2438,'Activation Detail'!K2938,'Activation Detail'!K3438,'Activation Detail'!K3938)</f>
        <v>82116.0396279427</v>
      </c>
      <c r="I438" s="51" t="n">
        <f aca="false">IFERROR(H438/F438,0)</f>
        <v>1.17684009880795</v>
      </c>
      <c r="J438" s="49" t="n">
        <f aca="false">IFERROR(F438/E438,0)</f>
        <v>112.322373433689</v>
      </c>
      <c r="K438" s="46" t="n">
        <f aca="false">IFERROR(C438/B438,0)</f>
        <v>0.0783313614633246</v>
      </c>
      <c r="L438" s="47" t="n">
        <f aca="false">IFERROR(D438/B438,0)</f>
        <v>0.0037166945699156</v>
      </c>
      <c r="N438" s="48" t="n">
        <f aca="false">SUMIFS('Activation Detail'!$H$4:$H$4003,'Activation Detail'!$A$4:$A$4003,$A438,'Activation Detail'!$N$4:$N$4003,N$2)</f>
        <v>65.9375973264004</v>
      </c>
      <c r="O438" s="50" t="n">
        <f aca="false">N438*'Model Inputs &amp; Assumptions'!$D$40*'Model Inputs &amp; Assumptions'!$H$40</f>
        <v>560469.577274403</v>
      </c>
      <c r="P438" s="50" t="n">
        <f aca="false">N438*'Model Inputs &amp; Assumptions'!$G$40*'Model Inputs &amp; Assumptions'!$H$40</f>
        <v>12610.5654886741</v>
      </c>
      <c r="Q438" s="50" t="n">
        <f aca="false">SUMIFS('Activation Detail'!$I$4:$I$4003,'Activation Detail'!$A$4:$A$4003,$A438,'Activation Detail'!$N$4:$N$4003,N$2)</f>
        <v>18470.51</v>
      </c>
      <c r="R438" s="51" t="n">
        <f aca="false">IFERROR(P438/Q438,0)</f>
        <v>0.682740513860964</v>
      </c>
      <c r="S438" s="49" t="n">
        <f aca="false">IFERROR(Q438/N438,0)</f>
        <v>280.121065203034</v>
      </c>
      <c r="T438" s="48" t="n">
        <f aca="false">SUMIFS('Activation Detail'!$H$4:$H$4003,'Activation Detail'!$A$4:$A$4003,$A438,'Activation Detail'!$N$4:$N$4003,T$2)</f>
        <v>144.105783941694</v>
      </c>
      <c r="U438" s="50" t="n">
        <f aca="false">T438*'Model Inputs &amp; Assumptions'!$D$41*'Model Inputs &amp; Assumptions'!$H$41</f>
        <v>1037561.64438019</v>
      </c>
      <c r="V438" s="50" t="n">
        <f aca="false">T438*'Model Inputs &amp; Assumptions'!$G$41*'Model Inputs &amp; Assumptions'!$H$41</f>
        <v>22878.2342585833</v>
      </c>
      <c r="W438" s="50" t="n">
        <f aca="false">SUMIFS('Activation Detail'!$I$4:$I$4003,'Activation Detail'!$A$4:$A$4003,$A438,'Activation Detail'!$N$4:$N$4003,T$2)</f>
        <v>18094.511934</v>
      </c>
      <c r="X438" s="51" t="n">
        <f aca="false">IFERROR(V438/W438,0)</f>
        <v>1.26437421147539</v>
      </c>
      <c r="Y438" s="49" t="n">
        <f aca="false">IFERROR(W438/T438,0)</f>
        <v>125.564092148593</v>
      </c>
      <c r="Z438" s="48" t="n">
        <f aca="false">SUMIFS('Activation Detail'!$H$4:$H$4003,'Activation Detail'!$A$4:$A$4003,$A438,'Activation Detail'!$N$4:$N$4003,Z$2)</f>
        <v>411.174954856132</v>
      </c>
      <c r="AA438" s="50" t="n">
        <f aca="false">Z438*'Model Inputs &amp; Assumptions'!$D$42*'Model Inputs &amp; Assumptions'!$H$42</f>
        <v>2220344.75622311</v>
      </c>
      <c r="AB438" s="50" t="n">
        <f aca="false">Z438*'Model Inputs &amp; Assumptions'!$G$42*'Model Inputs &amp; Assumptions'!$H$42</f>
        <v>46627.2398806853</v>
      </c>
      <c r="AC438" s="50" t="n">
        <f aca="false">SUMIFS('Activation Detail'!$I$4:$I$4003,'Activation Detail'!$A$4:$A$4003,$A438,'Activation Detail'!$N$4:$N$4003,Z$2)</f>
        <v>33211.696</v>
      </c>
      <c r="AD438" s="51" t="n">
        <f aca="false">IFERROR(AB438/AC438,0)</f>
        <v>1.40394034320576</v>
      </c>
      <c r="AE438" s="49" t="n">
        <f aca="false">IFERROR(AC438/Z438,0)</f>
        <v>80.7726628476694</v>
      </c>
    </row>
    <row r="439" customFormat="false" ht="15" hidden="false" customHeight="false" outlineLevel="0" collapsed="false">
      <c r="A439" s="43" t="n">
        <v>436</v>
      </c>
      <c r="B439" s="45" t="n">
        <f aca="false">SUM('Activation Detail'!C439,'Activation Detail'!C939,'Activation Detail'!C1439,'Activation Detail'!C1939,'Activation Detail'!C2439,'Activation Detail'!C2939,'Activation Detail'!C3439,'Activation Detail'!C3939)</f>
        <v>4372630</v>
      </c>
      <c r="C439" s="45" t="n">
        <f aca="false">SUM('Activation Detail'!E439,'Activation Detail'!E939,'Activation Detail'!E1439,'Activation Detail'!E1939,'Activation Detail'!E2439,'Activation Detail'!E2939,'Activation Detail'!E3439,'Activation Detail'!E3939)</f>
        <v>386169</v>
      </c>
      <c r="D439" s="45" t="n">
        <f aca="false">SUM('Activation Detail'!G439,'Activation Detail'!G939,'Activation Detail'!G1439,'Activation Detail'!G1939,'Activation Detail'!G2439,'Activation Detail'!G2939,'Activation Detail'!G3439,'Activation Detail'!G3939)</f>
        <v>15357</v>
      </c>
      <c r="E439" s="48" t="n">
        <f aca="false">SUM('Activation Detail'!H439,'Activation Detail'!H939,'Activation Detail'!H1439,'Activation Detail'!H1939,'Activation Detail'!H2439,'Activation Detail'!H2939,'Activation Detail'!H3439,'Activation Detail'!H3939)</f>
        <v>549.188355468185</v>
      </c>
      <c r="F439" s="50" t="n">
        <f aca="false">SUM('Activation Detail'!I439,'Activation Detail'!I939,'Activation Detail'!I1439,'Activation Detail'!I1939,'Activation Detail'!I2439,'Activation Detail'!I2939,'Activation Detail'!I3439,'Activation Detail'!I3939)</f>
        <v>82326.267326</v>
      </c>
      <c r="G439" s="50" t="n">
        <f aca="false">SUM('Activation Detail'!J439,'Activation Detail'!J939,'Activation Detail'!J1439,'Activation Detail'!J1939,'Activation Detail'!J2439,'Activation Detail'!J2939,'Activation Detail'!J3439,'Activation Detail'!J3939)</f>
        <v>3567061.63110231</v>
      </c>
      <c r="H439" s="50" t="n">
        <f aca="false">SUM('Activation Detail'!K439,'Activation Detail'!K939,'Activation Detail'!K1439,'Activation Detail'!K1939,'Activation Detail'!K2439,'Activation Detail'!K2939,'Activation Detail'!K3439,'Activation Detail'!K3939)</f>
        <v>77406.0209941476</v>
      </c>
      <c r="I439" s="51" t="n">
        <f aca="false">IFERROR(H439/F439,0)</f>
        <v>0.940234793928298</v>
      </c>
      <c r="J439" s="49" t="n">
        <f aca="false">IFERROR(F439/E439,0)</f>
        <v>149.905340319564</v>
      </c>
      <c r="K439" s="46" t="n">
        <f aca="false">IFERROR(C439/B439,0)</f>
        <v>0.0883150415196346</v>
      </c>
      <c r="L439" s="47" t="n">
        <f aca="false">IFERROR(D439/B439,0)</f>
        <v>0.00351207396921304</v>
      </c>
      <c r="N439" s="48" t="n">
        <f aca="false">SUMIFS('Activation Detail'!$H$4:$H$4003,'Activation Detail'!$A$4:$A$4003,$A439,'Activation Detail'!$N$4:$N$4003,N$2)</f>
        <v>104.963731897181</v>
      </c>
      <c r="O439" s="50" t="n">
        <f aca="false">N439*'Model Inputs &amp; Assumptions'!$D$40*'Model Inputs &amp; Assumptions'!$H$40</f>
        <v>892191.721126038</v>
      </c>
      <c r="P439" s="50" t="n">
        <f aca="false">N439*'Model Inputs &amp; Assumptions'!$G$40*'Model Inputs &amp; Assumptions'!$H$40</f>
        <v>20074.3137253359</v>
      </c>
      <c r="Q439" s="50" t="n">
        <f aca="false">SUMIFS('Activation Detail'!$I$4:$I$4003,'Activation Detail'!$A$4:$A$4003,$A439,'Activation Detail'!$N$4:$N$4003,N$2)</f>
        <v>18369.539</v>
      </c>
      <c r="R439" s="51" t="n">
        <f aca="false">IFERROR(P439/Q439,0)</f>
        <v>1.09280443702675</v>
      </c>
      <c r="S439" s="49" t="n">
        <f aca="false">IFERROR(Q439/N439,0)</f>
        <v>175.008440229566</v>
      </c>
      <c r="T439" s="48" t="n">
        <f aca="false">SUMIFS('Activation Detail'!$H$4:$H$4003,'Activation Detail'!$A$4:$A$4003,$A439,'Activation Detail'!$N$4:$N$4003,T$2)</f>
        <v>153.364968162696</v>
      </c>
      <c r="U439" s="50" t="n">
        <f aca="false">T439*'Model Inputs &amp; Assumptions'!$D$41*'Model Inputs &amp; Assumptions'!$H$41</f>
        <v>1104227.77077141</v>
      </c>
      <c r="V439" s="50" t="n">
        <f aca="false">T439*'Model Inputs &amp; Assumptions'!$G$41*'Model Inputs &amp; Assumptions'!$H$41</f>
        <v>24348.2223455096</v>
      </c>
      <c r="W439" s="50" t="n">
        <f aca="false">SUMIFS('Activation Detail'!$I$4:$I$4003,'Activation Detail'!$A$4:$A$4003,$A439,'Activation Detail'!$N$4:$N$4003,T$2)</f>
        <v>20292.804326</v>
      </c>
      <c r="X439" s="51" t="n">
        <f aca="false">IFERROR(V439/W439,0)</f>
        <v>1.19984512511726</v>
      </c>
      <c r="Y439" s="49" t="n">
        <f aca="false">IFERROR(W439/T439,0)</f>
        <v>132.317077159841</v>
      </c>
      <c r="Z439" s="48" t="n">
        <f aca="false">SUMIFS('Activation Detail'!$H$4:$H$4003,'Activation Detail'!$A$4:$A$4003,$A439,'Activation Detail'!$N$4:$N$4003,Z$2)</f>
        <v>290.859655408309</v>
      </c>
      <c r="AA439" s="50" t="n">
        <f aca="false">Z439*'Model Inputs &amp; Assumptions'!$D$42*'Model Inputs &amp; Assumptions'!$H$42</f>
        <v>1570642.13920487</v>
      </c>
      <c r="AB439" s="50" t="n">
        <f aca="false">Z439*'Model Inputs &amp; Assumptions'!$G$42*'Model Inputs &amp; Assumptions'!$H$42</f>
        <v>32983.4849233022</v>
      </c>
      <c r="AC439" s="50" t="n">
        <f aca="false">SUMIFS('Activation Detail'!$I$4:$I$4003,'Activation Detail'!$A$4:$A$4003,$A439,'Activation Detail'!$N$4:$N$4003,Z$2)</f>
        <v>43663.924</v>
      </c>
      <c r="AD439" s="51" t="n">
        <f aca="false">IFERROR(AB439/AC439,0)</f>
        <v>0.75539442866615</v>
      </c>
      <c r="AE439" s="49" t="n">
        <f aca="false">IFERROR(AC439/Z439,0)</f>
        <v>150.120249364611</v>
      </c>
    </row>
    <row r="440" customFormat="false" ht="15" hidden="false" customHeight="false" outlineLevel="0" collapsed="false">
      <c r="A440" s="43" t="n">
        <v>437</v>
      </c>
      <c r="B440" s="45" t="n">
        <f aca="false">SUM('Activation Detail'!C440,'Activation Detail'!C940,'Activation Detail'!C1440,'Activation Detail'!C1940,'Activation Detail'!C2440,'Activation Detail'!C2940,'Activation Detail'!C3440,'Activation Detail'!C3940)</f>
        <v>4700835</v>
      </c>
      <c r="C440" s="45" t="n">
        <f aca="false">SUM('Activation Detail'!E440,'Activation Detail'!E940,'Activation Detail'!E1440,'Activation Detail'!E1940,'Activation Detail'!E2440,'Activation Detail'!E2940,'Activation Detail'!E3440,'Activation Detail'!E3940)</f>
        <v>433754</v>
      </c>
      <c r="D440" s="45" t="n">
        <f aca="false">SUM('Activation Detail'!G440,'Activation Detail'!G940,'Activation Detail'!G1440,'Activation Detail'!G1940,'Activation Detail'!G2440,'Activation Detail'!G2940,'Activation Detail'!G3440,'Activation Detail'!G3940)</f>
        <v>19041</v>
      </c>
      <c r="E440" s="48" t="n">
        <f aca="false">SUM('Activation Detail'!H440,'Activation Detail'!H940,'Activation Detail'!H1440,'Activation Detail'!H1940,'Activation Detail'!H2440,'Activation Detail'!H2940,'Activation Detail'!H3440,'Activation Detail'!H3940)</f>
        <v>976.105083339922</v>
      </c>
      <c r="F440" s="50" t="n">
        <f aca="false">SUM('Activation Detail'!I440,'Activation Detail'!I940,'Activation Detail'!I1440,'Activation Detail'!I1940,'Activation Detail'!I2440,'Activation Detail'!I2940,'Activation Detail'!I3440,'Activation Detail'!I3940)</f>
        <v>77754.59858</v>
      </c>
      <c r="G440" s="50" t="n">
        <f aca="false">SUM('Activation Detail'!J440,'Activation Detail'!J940,'Activation Detail'!J1440,'Activation Detail'!J1940,'Activation Detail'!J2440,'Activation Detail'!J2940,'Activation Detail'!J3440,'Activation Detail'!J3940)</f>
        <v>5995584.56867319</v>
      </c>
      <c r="H440" s="50" t="n">
        <f aca="false">SUM('Activation Detail'!K440,'Activation Detail'!K940,'Activation Detail'!K1440,'Activation Detail'!K1940,'Activation Detail'!K2440,'Activation Detail'!K2940,'Activation Detail'!K3440,'Activation Detail'!K3940)</f>
        <v>128916.793316721</v>
      </c>
      <c r="I440" s="51" t="n">
        <f aca="false">IFERROR(H440/F440,0)</f>
        <v>1.65799574135903</v>
      </c>
      <c r="J440" s="49" t="n">
        <f aca="false">IFERROR(F440/E440,0)</f>
        <v>79.6580203372658</v>
      </c>
      <c r="K440" s="46" t="n">
        <f aca="false">IFERROR(C440/B440,0)</f>
        <v>0.092271692156819</v>
      </c>
      <c r="L440" s="47" t="n">
        <f aca="false">IFERROR(D440/B440,0)</f>
        <v>0.00405055697551605</v>
      </c>
      <c r="N440" s="48" t="n">
        <f aca="false">SUMIFS('Activation Detail'!$H$4:$H$4003,'Activation Detail'!$A$4:$A$4003,$A440,'Activation Detail'!$N$4:$N$4003,N$2)</f>
        <v>125.46119886538</v>
      </c>
      <c r="O440" s="50" t="n">
        <f aca="false">N440*'Model Inputs &amp; Assumptions'!$D$40*'Model Inputs &amp; Assumptions'!$H$40</f>
        <v>1066420.19035573</v>
      </c>
      <c r="P440" s="50" t="n">
        <f aca="false">N440*'Model Inputs &amp; Assumptions'!$G$40*'Model Inputs &amp; Assumptions'!$H$40</f>
        <v>23994.4542830039</v>
      </c>
      <c r="Q440" s="50" t="n">
        <f aca="false">SUMIFS('Activation Detail'!$I$4:$I$4003,'Activation Detail'!$A$4:$A$4003,$A440,'Activation Detail'!$N$4:$N$4003,N$2)</f>
        <v>17858.769</v>
      </c>
      <c r="R440" s="51" t="n">
        <f aca="false">IFERROR(P440/Q440,0)</f>
        <v>1.3435670892548</v>
      </c>
      <c r="S440" s="49" t="n">
        <f aca="false">IFERROR(Q440/N440,0)</f>
        <v>142.344957337468</v>
      </c>
      <c r="T440" s="48" t="n">
        <f aca="false">SUMIFS('Activation Detail'!$H$4:$H$4003,'Activation Detail'!$A$4:$A$4003,$A440,'Activation Detail'!$N$4:$N$4003,T$2)</f>
        <v>186.493001197184</v>
      </c>
      <c r="U440" s="50" t="n">
        <f aca="false">T440*'Model Inputs &amp; Assumptions'!$D$41*'Model Inputs &amp; Assumptions'!$H$41</f>
        <v>1342749.60861972</v>
      </c>
      <c r="V440" s="50" t="n">
        <f aca="false">T440*'Model Inputs &amp; Assumptions'!$G$41*'Model Inputs &amp; Assumptions'!$H$41</f>
        <v>29607.6288700649</v>
      </c>
      <c r="W440" s="50" t="n">
        <f aca="false">SUMIFS('Activation Detail'!$I$4:$I$4003,'Activation Detail'!$A$4:$A$4003,$A440,'Activation Detail'!$N$4:$N$4003,T$2)</f>
        <v>19457.86558</v>
      </c>
      <c r="X440" s="51" t="n">
        <f aca="false">IFERROR(V440/W440,0)</f>
        <v>1.52162778329075</v>
      </c>
      <c r="Y440" s="49" t="n">
        <f aca="false">IFERROR(W440/T440,0)</f>
        <v>104.335634340651</v>
      </c>
      <c r="Z440" s="48" t="n">
        <f aca="false">SUMIFS('Activation Detail'!$H$4:$H$4003,'Activation Detail'!$A$4:$A$4003,$A440,'Activation Detail'!$N$4:$N$4003,Z$2)</f>
        <v>664.150883277359</v>
      </c>
      <c r="AA440" s="50" t="n">
        <f aca="false">Z440*'Model Inputs &amp; Assumptions'!$D$42*'Model Inputs &amp; Assumptions'!$H$42</f>
        <v>3586414.76969774</v>
      </c>
      <c r="AB440" s="50" t="n">
        <f aca="false">Z440*'Model Inputs &amp; Assumptions'!$G$42*'Model Inputs &amp; Assumptions'!$H$42</f>
        <v>75314.7101636525</v>
      </c>
      <c r="AC440" s="50" t="n">
        <f aca="false">SUMIFS('Activation Detail'!$I$4:$I$4003,'Activation Detail'!$A$4:$A$4003,$A440,'Activation Detail'!$N$4:$N$4003,Z$2)</f>
        <v>40437.964</v>
      </c>
      <c r="AD440" s="51" t="n">
        <f aca="false">IFERROR(AB440/AC440,0)</f>
        <v>1.86247532550483</v>
      </c>
      <c r="AE440" s="49" t="n">
        <f aca="false">IFERROR(AC440/Z440,0)</f>
        <v>60.8867126705492</v>
      </c>
    </row>
    <row r="441" customFormat="false" ht="15" hidden="false" customHeight="false" outlineLevel="0" collapsed="false">
      <c r="A441" s="43" t="n">
        <v>438</v>
      </c>
      <c r="B441" s="45" t="n">
        <f aca="false">SUM('Activation Detail'!C441,'Activation Detail'!C941,'Activation Detail'!C1441,'Activation Detail'!C1941,'Activation Detail'!C2441,'Activation Detail'!C2941,'Activation Detail'!C3441,'Activation Detail'!C3941)</f>
        <v>4077494</v>
      </c>
      <c r="C441" s="45" t="n">
        <f aca="false">SUM('Activation Detail'!E441,'Activation Detail'!E941,'Activation Detail'!E1441,'Activation Detail'!E1941,'Activation Detail'!E2441,'Activation Detail'!E2941,'Activation Detail'!E3441,'Activation Detail'!E3941)</f>
        <v>267913</v>
      </c>
      <c r="D441" s="45" t="n">
        <f aca="false">SUM('Activation Detail'!G441,'Activation Detail'!G941,'Activation Detail'!G1441,'Activation Detail'!G1941,'Activation Detail'!G2441,'Activation Detail'!G2941,'Activation Detail'!G3441,'Activation Detail'!G3941)</f>
        <v>17558</v>
      </c>
      <c r="E441" s="48" t="n">
        <f aca="false">SUM('Activation Detail'!H441,'Activation Detail'!H941,'Activation Detail'!H1441,'Activation Detail'!H1941,'Activation Detail'!H2441,'Activation Detail'!H2941,'Activation Detail'!H3441,'Activation Detail'!H3941)</f>
        <v>739.957516185939</v>
      </c>
      <c r="F441" s="50" t="n">
        <f aca="false">SUM('Activation Detail'!I441,'Activation Detail'!I941,'Activation Detail'!I1441,'Activation Detail'!I1941,'Activation Detail'!I2441,'Activation Detail'!I2941,'Activation Detail'!I3441,'Activation Detail'!I3941)</f>
        <v>72545.06311</v>
      </c>
      <c r="G441" s="50" t="n">
        <f aca="false">SUM('Activation Detail'!J441,'Activation Detail'!J941,'Activation Detail'!J1441,'Activation Detail'!J1941,'Activation Detail'!J2441,'Activation Detail'!J2941,'Activation Detail'!J3441,'Activation Detail'!J3941)</f>
        <v>4617847.37332449</v>
      </c>
      <c r="H441" s="50" t="n">
        <f aca="false">SUM('Activation Detail'!K441,'Activation Detail'!K941,'Activation Detail'!K1441,'Activation Detail'!K1941,'Activation Detail'!K2441,'Activation Detail'!K2941,'Activation Detail'!K3441,'Activation Detail'!K3941)</f>
        <v>99552.7116319307</v>
      </c>
      <c r="I441" s="51" t="n">
        <f aca="false">IFERROR(H441/F441,0)</f>
        <v>1.37228789064501</v>
      </c>
      <c r="J441" s="49" t="n">
        <f aca="false">IFERROR(F441/E441,0)</f>
        <v>98.0394975699803</v>
      </c>
      <c r="K441" s="46" t="n">
        <f aca="false">IFERROR(C441/B441,0)</f>
        <v>0.0657053082113671</v>
      </c>
      <c r="L441" s="47" t="n">
        <f aca="false">IFERROR(D441/B441,0)</f>
        <v>0.00430607623211708</v>
      </c>
      <c r="N441" s="48" t="n">
        <f aca="false">SUMIFS('Activation Detail'!$H$4:$H$4003,'Activation Detail'!$A$4:$A$4003,$A441,'Activation Detail'!$N$4:$N$4003,N$2)</f>
        <v>128.910032405388</v>
      </c>
      <c r="O441" s="50" t="n">
        <f aca="false">N441*'Model Inputs &amp; Assumptions'!$D$40*'Model Inputs &amp; Assumptions'!$H$40</f>
        <v>1095735.2754458</v>
      </c>
      <c r="P441" s="50" t="n">
        <f aca="false">N441*'Model Inputs &amp; Assumptions'!$G$40*'Model Inputs &amp; Assumptions'!$H$40</f>
        <v>24654.0436975305</v>
      </c>
      <c r="Q441" s="50" t="n">
        <f aca="false">SUMIFS('Activation Detail'!$I$4:$I$4003,'Activation Detail'!$A$4:$A$4003,$A441,'Activation Detail'!$N$4:$N$4003,N$2)</f>
        <v>17771.3115</v>
      </c>
      <c r="R441" s="51" t="n">
        <f aca="false">IFERROR(P441/Q441,0)</f>
        <v>1.38729455603378</v>
      </c>
      <c r="S441" s="49" t="n">
        <f aca="false">IFERROR(Q441/N441,0)</f>
        <v>137.858250195097</v>
      </c>
      <c r="T441" s="48" t="n">
        <f aca="false">SUMIFS('Activation Detail'!$H$4:$H$4003,'Activation Detail'!$A$4:$A$4003,$A441,'Activation Detail'!$N$4:$N$4003,T$2)</f>
        <v>123.58649192429</v>
      </c>
      <c r="U441" s="50" t="n">
        <f aca="false">T441*'Model Inputs &amp; Assumptions'!$D$41*'Model Inputs &amp; Assumptions'!$H$41</f>
        <v>889822.741854885</v>
      </c>
      <c r="V441" s="50" t="n">
        <f aca="false">T441*'Model Inputs &amp; Assumptions'!$G$41*'Model Inputs &amp; Assumptions'!$H$41</f>
        <v>19620.5914579002</v>
      </c>
      <c r="W441" s="50" t="n">
        <f aca="false">SUMIFS('Activation Detail'!$I$4:$I$4003,'Activation Detail'!$A$4:$A$4003,$A441,'Activation Detail'!$N$4:$N$4003,T$2)</f>
        <v>15788.71161</v>
      </c>
      <c r="X441" s="51" t="n">
        <f aca="false">IFERROR(V441/W441,0)</f>
        <v>1.24269743741935</v>
      </c>
      <c r="Y441" s="49" t="n">
        <f aca="false">IFERROR(W441/T441,0)</f>
        <v>127.754347292844</v>
      </c>
      <c r="Z441" s="48" t="n">
        <f aca="false">SUMIFS('Activation Detail'!$H$4:$H$4003,'Activation Detail'!$A$4:$A$4003,$A441,'Activation Detail'!$N$4:$N$4003,Z$2)</f>
        <v>487.460991856261</v>
      </c>
      <c r="AA441" s="50" t="n">
        <f aca="false">Z441*'Model Inputs &amp; Assumptions'!$D$42*'Model Inputs &amp; Assumptions'!$H$42</f>
        <v>2632289.35602381</v>
      </c>
      <c r="AB441" s="50" t="n">
        <f aca="false">Z441*'Model Inputs &amp; Assumptions'!$G$42*'Model Inputs &amp; Assumptions'!$H$42</f>
        <v>55278.0764765</v>
      </c>
      <c r="AC441" s="50" t="n">
        <f aca="false">SUMIFS('Activation Detail'!$I$4:$I$4003,'Activation Detail'!$A$4:$A$4003,$A441,'Activation Detail'!$N$4:$N$4003,Z$2)</f>
        <v>38985.04</v>
      </c>
      <c r="AD441" s="51" t="n">
        <f aca="false">IFERROR(AB441/AC441,0)</f>
        <v>1.41793047990973</v>
      </c>
      <c r="AE441" s="49" t="n">
        <f aca="false">IFERROR(AC441/Z441,0)</f>
        <v>79.9757122134926</v>
      </c>
    </row>
    <row r="442" customFormat="false" ht="15" hidden="false" customHeight="false" outlineLevel="0" collapsed="false">
      <c r="A442" s="43" t="n">
        <v>439</v>
      </c>
      <c r="B442" s="45" t="n">
        <f aca="false">SUM('Activation Detail'!C442,'Activation Detail'!C942,'Activation Detail'!C1442,'Activation Detail'!C1942,'Activation Detail'!C2442,'Activation Detail'!C2942,'Activation Detail'!C3442,'Activation Detail'!C3942)</f>
        <v>3968323</v>
      </c>
      <c r="C442" s="45" t="n">
        <f aca="false">SUM('Activation Detail'!E442,'Activation Detail'!E942,'Activation Detail'!E1442,'Activation Detail'!E1942,'Activation Detail'!E2442,'Activation Detail'!E2942,'Activation Detail'!E3442,'Activation Detail'!E3942)</f>
        <v>329617</v>
      </c>
      <c r="D442" s="45" t="n">
        <f aca="false">SUM('Activation Detail'!G442,'Activation Detail'!G942,'Activation Detail'!G1442,'Activation Detail'!G1942,'Activation Detail'!G2442,'Activation Detail'!G2942,'Activation Detail'!G3442,'Activation Detail'!G3942)</f>
        <v>13143</v>
      </c>
      <c r="E442" s="48" t="n">
        <f aca="false">SUM('Activation Detail'!H442,'Activation Detail'!H942,'Activation Detail'!H1442,'Activation Detail'!H1942,'Activation Detail'!H2442,'Activation Detail'!H2942,'Activation Detail'!H3442,'Activation Detail'!H3942)</f>
        <v>485.70741212852</v>
      </c>
      <c r="F442" s="50" t="n">
        <f aca="false">SUM('Activation Detail'!I442,'Activation Detail'!I942,'Activation Detail'!I1442,'Activation Detail'!I1942,'Activation Detail'!I2442,'Activation Detail'!I2942,'Activation Detail'!I3442,'Activation Detail'!I3942)</f>
        <v>73350.899836</v>
      </c>
      <c r="G442" s="50" t="n">
        <f aca="false">SUM('Activation Detail'!J442,'Activation Detail'!J942,'Activation Detail'!J1442,'Activation Detail'!J1942,'Activation Detail'!J2442,'Activation Detail'!J2942,'Activation Detail'!J3442,'Activation Detail'!J3942)</f>
        <v>3077771.90567578</v>
      </c>
      <c r="H442" s="50" t="n">
        <f aca="false">SUM('Activation Detail'!K442,'Activation Detail'!K942,'Activation Detail'!K1442,'Activation Detail'!K1942,'Activation Detail'!K2442,'Activation Detail'!K2942,'Activation Detail'!K3442,'Activation Detail'!K3942)</f>
        <v>66520.3053122012</v>
      </c>
      <c r="I442" s="51" t="n">
        <f aca="false">IFERROR(H442/F442,0)</f>
        <v>0.906877836003774</v>
      </c>
      <c r="J442" s="49" t="n">
        <f aca="false">IFERROR(F442/E442,0)</f>
        <v>151.018695626969</v>
      </c>
      <c r="K442" s="46" t="n">
        <f aca="false">IFERROR(C442/B442,0)</f>
        <v>0.0830620390527686</v>
      </c>
      <c r="L442" s="47" t="n">
        <f aca="false">IFERROR(D442/B442,0)</f>
        <v>0.00331197838482402</v>
      </c>
      <c r="N442" s="48" t="n">
        <f aca="false">SUMIFS('Activation Detail'!$H$4:$H$4003,'Activation Detail'!$A$4:$A$4003,$A442,'Activation Detail'!$N$4:$N$4003,N$2)</f>
        <v>87.7874213093836</v>
      </c>
      <c r="O442" s="50" t="n">
        <f aca="false">N442*'Model Inputs &amp; Assumptions'!$D$40*'Model Inputs &amp; Assumptions'!$H$40</f>
        <v>746193.081129761</v>
      </c>
      <c r="P442" s="50" t="n">
        <f aca="false">N442*'Model Inputs &amp; Assumptions'!$G$40*'Model Inputs &amp; Assumptions'!$H$40</f>
        <v>16789.3443254196</v>
      </c>
      <c r="Q442" s="50" t="n">
        <f aca="false">SUMIFS('Activation Detail'!$I$4:$I$4003,'Activation Detail'!$A$4:$A$4003,$A442,'Activation Detail'!$N$4:$N$4003,N$2)</f>
        <v>18242.776</v>
      </c>
      <c r="R442" s="51" t="n">
        <f aca="false">IFERROR(P442/Q442,0)</f>
        <v>0.920328371373941</v>
      </c>
      <c r="S442" s="49" t="n">
        <f aca="false">IFERROR(Q442/N442,0)</f>
        <v>207.806263447563</v>
      </c>
      <c r="T442" s="48" t="n">
        <f aca="false">SUMIFS('Activation Detail'!$H$4:$H$4003,'Activation Detail'!$A$4:$A$4003,$A442,'Activation Detail'!$N$4:$N$4003,T$2)</f>
        <v>101.561596734821</v>
      </c>
      <c r="U442" s="50" t="n">
        <f aca="false">T442*'Model Inputs &amp; Assumptions'!$D$41*'Model Inputs &amp; Assumptions'!$H$41</f>
        <v>731243.496490713</v>
      </c>
      <c r="V442" s="50" t="n">
        <f aca="false">T442*'Model Inputs &amp; Assumptions'!$G$41*'Model Inputs &amp; Assumptions'!$H$41</f>
        <v>16123.9190976202</v>
      </c>
      <c r="W442" s="50" t="n">
        <f aca="false">SUMIFS('Activation Detail'!$I$4:$I$4003,'Activation Detail'!$A$4:$A$4003,$A442,'Activation Detail'!$N$4:$N$4003,T$2)</f>
        <v>18197.931836</v>
      </c>
      <c r="X442" s="51" t="n">
        <f aca="false">IFERROR(V442/W442,0)</f>
        <v>0.886030305142869</v>
      </c>
      <c r="Y442" s="49" t="n">
        <f aca="false">IFERROR(W442/T442,0)</f>
        <v>179.181230121018</v>
      </c>
      <c r="Z442" s="48" t="n">
        <f aca="false">SUMIFS('Activation Detail'!$H$4:$H$4003,'Activation Detail'!$A$4:$A$4003,$A442,'Activation Detail'!$N$4:$N$4003,Z$2)</f>
        <v>296.358394084316</v>
      </c>
      <c r="AA442" s="50" t="n">
        <f aca="false">Z442*'Model Inputs &amp; Assumptions'!$D$42*'Model Inputs &amp; Assumptions'!$H$42</f>
        <v>1600335.3280553</v>
      </c>
      <c r="AB442" s="50" t="n">
        <f aca="false">Z442*'Model Inputs &amp; Assumptions'!$G$42*'Model Inputs &amp; Assumptions'!$H$42</f>
        <v>33607.0418891614</v>
      </c>
      <c r="AC442" s="50" t="n">
        <f aca="false">SUMIFS('Activation Detail'!$I$4:$I$4003,'Activation Detail'!$A$4:$A$4003,$A442,'Activation Detail'!$N$4:$N$4003,Z$2)</f>
        <v>36910.192</v>
      </c>
      <c r="AD442" s="51" t="n">
        <f aca="false">IFERROR(AB442/AC442,0)</f>
        <v>0.910508454931944</v>
      </c>
      <c r="AE442" s="49" t="n">
        <f aca="false">IFERROR(AC442/Z442,0)</f>
        <v>124.545795687835</v>
      </c>
    </row>
    <row r="443" customFormat="false" ht="15" hidden="false" customHeight="false" outlineLevel="0" collapsed="false">
      <c r="A443" s="43" t="n">
        <v>440</v>
      </c>
      <c r="B443" s="45" t="n">
        <f aca="false">SUM('Activation Detail'!C443,'Activation Detail'!C943,'Activation Detail'!C1443,'Activation Detail'!C1943,'Activation Detail'!C2443,'Activation Detail'!C2943,'Activation Detail'!C3443,'Activation Detail'!C3943)</f>
        <v>3882964</v>
      </c>
      <c r="C443" s="45" t="n">
        <f aca="false">SUM('Activation Detail'!E443,'Activation Detail'!E943,'Activation Detail'!E1443,'Activation Detail'!E1943,'Activation Detail'!E2443,'Activation Detail'!E2943,'Activation Detail'!E3443,'Activation Detail'!E3943)</f>
        <v>313401</v>
      </c>
      <c r="D443" s="45" t="n">
        <f aca="false">SUM('Activation Detail'!G443,'Activation Detail'!G943,'Activation Detail'!G1443,'Activation Detail'!G1943,'Activation Detail'!G2443,'Activation Detail'!G2943,'Activation Detail'!G3443,'Activation Detail'!G3943)</f>
        <v>16980</v>
      </c>
      <c r="E443" s="48" t="n">
        <f aca="false">SUM('Activation Detail'!H443,'Activation Detail'!H943,'Activation Detail'!H1443,'Activation Detail'!H1943,'Activation Detail'!H2443,'Activation Detail'!H2943,'Activation Detail'!H3443,'Activation Detail'!H3943)</f>
        <v>752.045403683104</v>
      </c>
      <c r="F443" s="50" t="n">
        <f aca="false">SUM('Activation Detail'!I443,'Activation Detail'!I943,'Activation Detail'!I1443,'Activation Detail'!I1943,'Activation Detail'!I2443,'Activation Detail'!I2943,'Activation Detail'!I3443,'Activation Detail'!I3943)</f>
        <v>73958.93202</v>
      </c>
      <c r="G443" s="50" t="n">
        <f aca="false">SUM('Activation Detail'!J443,'Activation Detail'!J943,'Activation Detail'!J1443,'Activation Detail'!J1943,'Activation Detail'!J2443,'Activation Detail'!J2943,'Activation Detail'!J3443,'Activation Detail'!J3943)</f>
        <v>4670771.160704</v>
      </c>
      <c r="H443" s="50" t="n">
        <f aca="false">SUM('Activation Detail'!K443,'Activation Detail'!K943,'Activation Detail'!K1443,'Activation Detail'!K1943,'Activation Detail'!K2443,'Activation Detail'!K2943,'Activation Detail'!K3443,'Activation Detail'!K3943)</f>
        <v>100620.995570243</v>
      </c>
      <c r="I443" s="51" t="n">
        <f aca="false">IFERROR(H443/F443,0)</f>
        <v>1.36049822275737</v>
      </c>
      <c r="J443" s="49" t="n">
        <f aca="false">IFERROR(F443/E443,0)</f>
        <v>98.343705922262</v>
      </c>
      <c r="K443" s="46" t="n">
        <f aca="false">IFERROR(C443/B443,0)</f>
        <v>0.0807117964524008</v>
      </c>
      <c r="L443" s="47" t="n">
        <f aca="false">IFERROR(D443/B443,0)</f>
        <v>0.00437294808811001</v>
      </c>
      <c r="N443" s="48" t="n">
        <f aca="false">SUMIFS('Activation Detail'!$H$4:$H$4003,'Activation Detail'!$A$4:$A$4003,$A443,'Activation Detail'!$N$4:$N$4003,N$2)</f>
        <v>96.4737924637332</v>
      </c>
      <c r="O443" s="50" t="n">
        <f aca="false">N443*'Model Inputs &amp; Assumptions'!$D$40*'Model Inputs &amp; Assumptions'!$H$40</f>
        <v>820027.235941732</v>
      </c>
      <c r="P443" s="50" t="n">
        <f aca="false">N443*'Model Inputs &amp; Assumptions'!$G$40*'Model Inputs &amp; Assumptions'!$H$40</f>
        <v>18450.612808689</v>
      </c>
      <c r="Q443" s="50" t="n">
        <f aca="false">SUMIFS('Activation Detail'!$I$4:$I$4003,'Activation Detail'!$A$4:$A$4003,$A443,'Activation Detail'!$N$4:$N$4003,N$2)</f>
        <v>17106.771</v>
      </c>
      <c r="R443" s="51" t="n">
        <f aca="false">IFERROR(P443/Q443,0)</f>
        <v>1.07855613480118</v>
      </c>
      <c r="S443" s="49" t="n">
        <f aca="false">IFERROR(Q443/N443,0)</f>
        <v>177.320395136646</v>
      </c>
      <c r="T443" s="48" t="n">
        <f aca="false">SUMIFS('Activation Detail'!$H$4:$H$4003,'Activation Detail'!$A$4:$A$4003,$A443,'Activation Detail'!$N$4:$N$4003,T$2)</f>
        <v>172.587346765371</v>
      </c>
      <c r="U443" s="50" t="n">
        <f aca="false">T443*'Model Inputs &amp; Assumptions'!$D$41*'Model Inputs &amp; Assumptions'!$H$41</f>
        <v>1242628.89671067</v>
      </c>
      <c r="V443" s="50" t="n">
        <f aca="false">T443*'Model Inputs &amp; Assumptions'!$G$41*'Model Inputs &amp; Assumptions'!$H$41</f>
        <v>27399.9671724703</v>
      </c>
      <c r="W443" s="50" t="n">
        <f aca="false">SUMIFS('Activation Detail'!$I$4:$I$4003,'Activation Detail'!$A$4:$A$4003,$A443,'Activation Detail'!$N$4:$N$4003,T$2)</f>
        <v>16045.58102</v>
      </c>
      <c r="X443" s="51" t="n">
        <f aca="false">IFERROR(V443/W443,0)</f>
        <v>1.70763321928434</v>
      </c>
      <c r="Y443" s="49" t="n">
        <f aca="false">IFERROR(W443/T443,0)</f>
        <v>92.9707844794304</v>
      </c>
      <c r="Z443" s="48" t="n">
        <f aca="false">SUMIFS('Activation Detail'!$H$4:$H$4003,'Activation Detail'!$A$4:$A$4003,$A443,'Activation Detail'!$N$4:$N$4003,Z$2)</f>
        <v>482.984264454</v>
      </c>
      <c r="AA443" s="50" t="n">
        <f aca="false">Z443*'Model Inputs &amp; Assumptions'!$D$42*'Model Inputs &amp; Assumptions'!$H$42</f>
        <v>2608115.0280516</v>
      </c>
      <c r="AB443" s="50" t="n">
        <f aca="false">Z443*'Model Inputs &amp; Assumptions'!$G$42*'Model Inputs &amp; Assumptions'!$H$42</f>
        <v>54770.4155890836</v>
      </c>
      <c r="AC443" s="50" t="n">
        <f aca="false">SUMIFS('Activation Detail'!$I$4:$I$4003,'Activation Detail'!$A$4:$A$4003,$A443,'Activation Detail'!$N$4:$N$4003,Z$2)</f>
        <v>40806.58</v>
      </c>
      <c r="AD443" s="51" t="n">
        <f aca="false">IFERROR(AB443/AC443,0)</f>
        <v>1.34219568484013</v>
      </c>
      <c r="AE443" s="49" t="n">
        <f aca="false">IFERROR(AC443/Z443,0)</f>
        <v>84.4884254068415</v>
      </c>
    </row>
    <row r="444" customFormat="false" ht="15" hidden="false" customHeight="false" outlineLevel="0" collapsed="false">
      <c r="A444" s="43" t="n">
        <v>441</v>
      </c>
      <c r="B444" s="45" t="n">
        <f aca="false">SUM('Activation Detail'!C444,'Activation Detail'!C944,'Activation Detail'!C1444,'Activation Detail'!C1944,'Activation Detail'!C2444,'Activation Detail'!C2944,'Activation Detail'!C3444,'Activation Detail'!C3944)</f>
        <v>3793362</v>
      </c>
      <c r="C444" s="45" t="n">
        <f aca="false">SUM('Activation Detail'!E444,'Activation Detail'!E944,'Activation Detail'!E1444,'Activation Detail'!E1944,'Activation Detail'!E2444,'Activation Detail'!E2944,'Activation Detail'!E3444,'Activation Detail'!E3944)</f>
        <v>358296</v>
      </c>
      <c r="D444" s="45" t="n">
        <f aca="false">SUM('Activation Detail'!G444,'Activation Detail'!G944,'Activation Detail'!G1444,'Activation Detail'!G1944,'Activation Detail'!G2444,'Activation Detail'!G2944,'Activation Detail'!G3444,'Activation Detail'!G3944)</f>
        <v>16389</v>
      </c>
      <c r="E444" s="48" t="n">
        <f aca="false">SUM('Activation Detail'!H444,'Activation Detail'!H944,'Activation Detail'!H1444,'Activation Detail'!H1944,'Activation Detail'!H2444,'Activation Detail'!H2944,'Activation Detail'!H3444,'Activation Detail'!H3944)</f>
        <v>579.754973042297</v>
      </c>
      <c r="F444" s="50" t="n">
        <f aca="false">SUM('Activation Detail'!I444,'Activation Detail'!I944,'Activation Detail'!I1444,'Activation Detail'!I1944,'Activation Detail'!I2444,'Activation Detail'!I2944,'Activation Detail'!I3444,'Activation Detail'!I3944)</f>
        <v>72604.013872</v>
      </c>
      <c r="G444" s="50" t="n">
        <f aca="false">SUM('Activation Detail'!J444,'Activation Detail'!J944,'Activation Detail'!J1444,'Activation Detail'!J1944,'Activation Detail'!J2444,'Activation Detail'!J2944,'Activation Detail'!J3444,'Activation Detail'!J3944)</f>
        <v>3795249.76581753</v>
      </c>
      <c r="H444" s="50" t="n">
        <f aca="false">SUM('Activation Detail'!K444,'Activation Detail'!K944,'Activation Detail'!K1444,'Activation Detail'!K1944,'Activation Detail'!K2444,'Activation Detail'!K2944,'Activation Detail'!K3444,'Activation Detail'!K3944)</f>
        <v>82458.5379794854</v>
      </c>
      <c r="I444" s="51" t="n">
        <f aca="false">IFERROR(H444/F444,0)</f>
        <v>1.13572974250237</v>
      </c>
      <c r="J444" s="49" t="n">
        <f aca="false">IFERROR(F444/E444,0)</f>
        <v>125.232239908191</v>
      </c>
      <c r="K444" s="46" t="n">
        <f aca="false">IFERROR(C444/B444,0)</f>
        <v>0.0944534162571355</v>
      </c>
      <c r="L444" s="47" t="n">
        <f aca="false">IFERROR(D444/B444,0)</f>
        <v>0.00432044186660804</v>
      </c>
      <c r="N444" s="48" t="n">
        <f aca="false">SUMIFS('Activation Detail'!$H$4:$H$4003,'Activation Detail'!$A$4:$A$4003,$A444,'Activation Detail'!$N$4:$N$4003,N$2)</f>
        <v>121.901224137503</v>
      </c>
      <c r="O444" s="50" t="n">
        <f aca="false">N444*'Model Inputs &amp; Assumptions'!$D$40*'Model Inputs &amp; Assumptions'!$H$40</f>
        <v>1036160.40516877</v>
      </c>
      <c r="P444" s="50" t="n">
        <f aca="false">N444*'Model Inputs &amp; Assumptions'!$G$40*'Model Inputs &amp; Assumptions'!$H$40</f>
        <v>23313.6091162974</v>
      </c>
      <c r="Q444" s="50" t="n">
        <f aca="false">SUMIFS('Activation Detail'!$I$4:$I$4003,'Activation Detail'!$A$4:$A$4003,$A444,'Activation Detail'!$N$4:$N$4003,N$2)</f>
        <v>18814.971</v>
      </c>
      <c r="R444" s="51" t="n">
        <f aca="false">IFERROR(P444/Q444,0)</f>
        <v>1.2390988599609</v>
      </c>
      <c r="S444" s="49" t="n">
        <f aca="false">IFERROR(Q444/N444,0)</f>
        <v>154.346038221708</v>
      </c>
      <c r="T444" s="48" t="n">
        <f aca="false">SUMIFS('Activation Detail'!$H$4:$H$4003,'Activation Detail'!$A$4:$A$4003,$A444,'Activation Detail'!$N$4:$N$4003,T$2)</f>
        <v>159.266175868261</v>
      </c>
      <c r="U444" s="50" t="n">
        <f aca="false">T444*'Model Inputs &amp; Assumptions'!$D$41*'Model Inputs &amp; Assumptions'!$H$41</f>
        <v>1146716.46625148</v>
      </c>
      <c r="V444" s="50" t="n">
        <f aca="false">T444*'Model Inputs &amp; Assumptions'!$G$41*'Model Inputs &amp; Assumptions'!$H$41</f>
        <v>25285.0980808451</v>
      </c>
      <c r="W444" s="50" t="n">
        <f aca="false">SUMIFS('Activation Detail'!$I$4:$I$4003,'Activation Detail'!$A$4:$A$4003,$A444,'Activation Detail'!$N$4:$N$4003,T$2)</f>
        <v>20929.222872</v>
      </c>
      <c r="X444" s="51" t="n">
        <f aca="false">IFERROR(V444/W444,0)</f>
        <v>1.20812407777799</v>
      </c>
      <c r="Y444" s="49" t="n">
        <f aca="false">IFERROR(W444/T444,0)</f>
        <v>131.410343457432</v>
      </c>
      <c r="Z444" s="48" t="n">
        <f aca="false">SUMIFS('Activation Detail'!$H$4:$H$4003,'Activation Detail'!$A$4:$A$4003,$A444,'Activation Detail'!$N$4:$N$4003,Z$2)</f>
        <v>298.587573036533</v>
      </c>
      <c r="AA444" s="50" t="n">
        <f aca="false">Z444*'Model Inputs &amp; Assumptions'!$D$42*'Model Inputs &amp; Assumptions'!$H$42</f>
        <v>1612372.89439728</v>
      </c>
      <c r="AB444" s="50" t="n">
        <f aca="false">Z444*'Model Inputs &amp; Assumptions'!$G$42*'Model Inputs &amp; Assumptions'!$H$42</f>
        <v>33859.8307823428</v>
      </c>
      <c r="AC444" s="50" t="n">
        <f aca="false">SUMIFS('Activation Detail'!$I$4:$I$4003,'Activation Detail'!$A$4:$A$4003,$A444,'Activation Detail'!$N$4:$N$4003,Z$2)</f>
        <v>32859.82</v>
      </c>
      <c r="AD444" s="51" t="n">
        <f aca="false">IFERROR(AB444/AC444,0)</f>
        <v>1.03043263116909</v>
      </c>
      <c r="AE444" s="49" t="n">
        <f aca="false">IFERROR(AC444/Z444,0)</f>
        <v>110.050862686035</v>
      </c>
    </row>
    <row r="445" customFormat="false" ht="15" hidden="false" customHeight="false" outlineLevel="0" collapsed="false">
      <c r="A445" s="43" t="n">
        <v>442</v>
      </c>
      <c r="B445" s="45" t="n">
        <f aca="false">SUM('Activation Detail'!C445,'Activation Detail'!C945,'Activation Detail'!C1445,'Activation Detail'!C1945,'Activation Detail'!C2445,'Activation Detail'!C2945,'Activation Detail'!C3445,'Activation Detail'!C3945)</f>
        <v>4355746</v>
      </c>
      <c r="C445" s="45" t="n">
        <f aca="false">SUM('Activation Detail'!E445,'Activation Detail'!E945,'Activation Detail'!E1445,'Activation Detail'!E1945,'Activation Detail'!E2445,'Activation Detail'!E2945,'Activation Detail'!E3445,'Activation Detail'!E3945)</f>
        <v>530824</v>
      </c>
      <c r="D445" s="45" t="n">
        <f aca="false">SUM('Activation Detail'!G445,'Activation Detail'!G945,'Activation Detail'!G1445,'Activation Detail'!G1945,'Activation Detail'!G2445,'Activation Detail'!G2945,'Activation Detail'!G3445,'Activation Detail'!G3945)</f>
        <v>18033</v>
      </c>
      <c r="E445" s="48" t="n">
        <f aca="false">SUM('Activation Detail'!H445,'Activation Detail'!H945,'Activation Detail'!H1445,'Activation Detail'!H1945,'Activation Detail'!H2445,'Activation Detail'!H2945,'Activation Detail'!H3445,'Activation Detail'!H3945)</f>
        <v>779.224386704654</v>
      </c>
      <c r="F445" s="50" t="n">
        <f aca="false">SUM('Activation Detail'!I445,'Activation Detail'!I945,'Activation Detail'!I1445,'Activation Detail'!I1945,'Activation Detail'!I2445,'Activation Detail'!I2945,'Activation Detail'!I3445,'Activation Detail'!I3945)</f>
        <v>81959.319612</v>
      </c>
      <c r="G445" s="50" t="n">
        <f aca="false">SUM('Activation Detail'!J445,'Activation Detail'!J945,'Activation Detail'!J1445,'Activation Detail'!J1945,'Activation Detail'!J2445,'Activation Detail'!J2945,'Activation Detail'!J3445,'Activation Detail'!J3945)</f>
        <v>4902255.51746263</v>
      </c>
      <c r="H445" s="50" t="n">
        <f aca="false">SUM('Activation Detail'!K445,'Activation Detail'!K945,'Activation Detail'!K1445,'Activation Detail'!K1945,'Activation Detail'!K2445,'Activation Detail'!K2945,'Activation Detail'!K3445,'Activation Detail'!K3945)</f>
        <v>105840.462268091</v>
      </c>
      <c r="I445" s="51" t="n">
        <f aca="false">IFERROR(H445/F445,0)</f>
        <v>1.2913780003195</v>
      </c>
      <c r="J445" s="49" t="n">
        <f aca="false">IFERROR(F445/E445,0)</f>
        <v>105.180639890657</v>
      </c>
      <c r="K445" s="46" t="n">
        <f aca="false">IFERROR(C445/B445,0)</f>
        <v>0.121867528547349</v>
      </c>
      <c r="L445" s="47" t="n">
        <f aca="false">IFERROR(D445/B445,0)</f>
        <v>0.00414004857032527</v>
      </c>
      <c r="N445" s="48" t="n">
        <f aca="false">SUMIFS('Activation Detail'!$H$4:$H$4003,'Activation Detail'!$A$4:$A$4003,$A445,'Activation Detail'!$N$4:$N$4003,N$2)</f>
        <v>87.2877092804249</v>
      </c>
      <c r="O445" s="50" t="n">
        <f aca="false">N445*'Model Inputs &amp; Assumptions'!$D$40*'Model Inputs &amp; Assumptions'!$H$40</f>
        <v>741945.528883611</v>
      </c>
      <c r="P445" s="50" t="n">
        <f aca="false">N445*'Model Inputs &amp; Assumptions'!$G$40*'Model Inputs &amp; Assumptions'!$H$40</f>
        <v>16693.7743998813</v>
      </c>
      <c r="Q445" s="50" t="n">
        <f aca="false">SUMIFS('Activation Detail'!$I$4:$I$4003,'Activation Detail'!$A$4:$A$4003,$A445,'Activation Detail'!$N$4:$N$4003,N$2)</f>
        <v>17671.296</v>
      </c>
      <c r="R445" s="51" t="n">
        <f aca="false">IFERROR(P445/Q445,0)</f>
        <v>0.944683083792001</v>
      </c>
      <c r="S445" s="49" t="n">
        <f aca="false">IFERROR(Q445/N445,0)</f>
        <v>202.448845841839</v>
      </c>
      <c r="T445" s="48" t="n">
        <f aca="false">SUMIFS('Activation Detail'!$H$4:$H$4003,'Activation Detail'!$A$4:$A$4003,$A445,'Activation Detail'!$N$4:$N$4003,T$2)</f>
        <v>235.473294715658</v>
      </c>
      <c r="U445" s="50" t="n">
        <f aca="false">T445*'Model Inputs &amp; Assumptions'!$D$41*'Model Inputs &amp; Assumptions'!$H$41</f>
        <v>1695407.72195274</v>
      </c>
      <c r="V445" s="50" t="n">
        <f aca="false">T445*'Model Inputs &amp; Assumptions'!$G$41*'Model Inputs &amp; Assumptions'!$H$41</f>
        <v>37383.7402690579</v>
      </c>
      <c r="W445" s="50" t="n">
        <f aca="false">SUMIFS('Activation Detail'!$I$4:$I$4003,'Activation Detail'!$A$4:$A$4003,$A445,'Activation Detail'!$N$4:$N$4003,T$2)</f>
        <v>18109.895612</v>
      </c>
      <c r="X445" s="51" t="n">
        <f aca="false">IFERROR(V445/W445,0)</f>
        <v>2.06427143866509</v>
      </c>
      <c r="Y445" s="49" t="n">
        <f aca="false">IFERROR(W445/T445,0)</f>
        <v>76.9084903401395</v>
      </c>
      <c r="Z445" s="48" t="n">
        <f aca="false">SUMIFS('Activation Detail'!$H$4:$H$4003,'Activation Detail'!$A$4:$A$4003,$A445,'Activation Detail'!$N$4:$N$4003,Z$2)</f>
        <v>456.463382708571</v>
      </c>
      <c r="AA445" s="50" t="n">
        <f aca="false">Z445*'Model Inputs &amp; Assumptions'!$D$42*'Model Inputs &amp; Assumptions'!$H$42</f>
        <v>2464902.26662628</v>
      </c>
      <c r="AB445" s="50" t="n">
        <f aca="false">Z445*'Model Inputs &amp; Assumptions'!$G$42*'Model Inputs &amp; Assumptions'!$H$42</f>
        <v>51762.947599152</v>
      </c>
      <c r="AC445" s="50" t="n">
        <f aca="false">SUMIFS('Activation Detail'!$I$4:$I$4003,'Activation Detail'!$A$4:$A$4003,$A445,'Activation Detail'!$N$4:$N$4003,Z$2)</f>
        <v>46178.128</v>
      </c>
      <c r="AD445" s="51" t="n">
        <f aca="false">IFERROR(AB445/AC445,0)</f>
        <v>1.12094079688878</v>
      </c>
      <c r="AE445" s="49" t="n">
        <f aca="false">IFERROR(AC445/Z445,0)</f>
        <v>101.165021662827</v>
      </c>
    </row>
    <row r="446" customFormat="false" ht="15" hidden="false" customHeight="false" outlineLevel="0" collapsed="false">
      <c r="A446" s="43" t="n">
        <v>443</v>
      </c>
      <c r="B446" s="45" t="n">
        <f aca="false">SUM('Activation Detail'!C446,'Activation Detail'!C946,'Activation Detail'!C1446,'Activation Detail'!C1946,'Activation Detail'!C2446,'Activation Detail'!C2946,'Activation Detail'!C3446,'Activation Detail'!C3946)</f>
        <v>4591815</v>
      </c>
      <c r="C446" s="45" t="n">
        <f aca="false">SUM('Activation Detail'!E446,'Activation Detail'!E946,'Activation Detail'!E1446,'Activation Detail'!E1946,'Activation Detail'!E2446,'Activation Detail'!E2946,'Activation Detail'!E3446,'Activation Detail'!E3946)</f>
        <v>339879</v>
      </c>
      <c r="D446" s="45" t="n">
        <f aca="false">SUM('Activation Detail'!G446,'Activation Detail'!G946,'Activation Detail'!G1446,'Activation Detail'!G1946,'Activation Detail'!G2446,'Activation Detail'!G2946,'Activation Detail'!G3446,'Activation Detail'!G3946)</f>
        <v>19122</v>
      </c>
      <c r="E446" s="48" t="n">
        <f aca="false">SUM('Activation Detail'!H446,'Activation Detail'!H946,'Activation Detail'!H1446,'Activation Detail'!H1946,'Activation Detail'!H2446,'Activation Detail'!H2946,'Activation Detail'!H3446,'Activation Detail'!H3946)</f>
        <v>926.631717200108</v>
      </c>
      <c r="F446" s="50" t="n">
        <f aca="false">SUM('Activation Detail'!I446,'Activation Detail'!I946,'Activation Detail'!I1446,'Activation Detail'!I1946,'Activation Detail'!I2446,'Activation Detail'!I2946,'Activation Detail'!I3446,'Activation Detail'!I3946)</f>
        <v>75846.456736</v>
      </c>
      <c r="G446" s="50" t="n">
        <f aca="false">SUM('Activation Detail'!J446,'Activation Detail'!J946,'Activation Detail'!J1446,'Activation Detail'!J1946,'Activation Detail'!J2446,'Activation Detail'!J2946,'Activation Detail'!J3446,'Activation Detail'!J3946)</f>
        <v>5431745.31527093</v>
      </c>
      <c r="H446" s="50" t="n">
        <f aca="false">SUM('Activation Detail'!K446,'Activation Detail'!K946,'Activation Detail'!K1446,'Activation Detail'!K1946,'Activation Detail'!K2446,'Activation Detail'!K2946,'Activation Detail'!K3446,'Activation Detail'!K3946)</f>
        <v>115842.837882901</v>
      </c>
      <c r="I446" s="51" t="n">
        <f aca="false">IFERROR(H446/F446,0)</f>
        <v>1.52733354817242</v>
      </c>
      <c r="J446" s="49" t="n">
        <f aca="false">IFERROR(F446/E446,0)</f>
        <v>81.8517813799598</v>
      </c>
      <c r="K446" s="46" t="n">
        <f aca="false">IFERROR(C446/B446,0)</f>
        <v>0.0740184436873001</v>
      </c>
      <c r="L446" s="47" t="n">
        <f aca="false">IFERROR(D446/B446,0)</f>
        <v>0.00416436637800086</v>
      </c>
      <c r="N446" s="48" t="n">
        <f aca="false">SUMIFS('Activation Detail'!$H$4:$H$4003,'Activation Detail'!$A$4:$A$4003,$A446,'Activation Detail'!$N$4:$N$4003,N$2)</f>
        <v>78.2841326966489</v>
      </c>
      <c r="O446" s="50" t="n">
        <f aca="false">N446*'Model Inputs &amp; Assumptions'!$D$40*'Model Inputs &amp; Assumptions'!$H$40</f>
        <v>665415.127921516</v>
      </c>
      <c r="P446" s="50" t="n">
        <f aca="false">N446*'Model Inputs &amp; Assumptions'!$G$40*'Model Inputs &amp; Assumptions'!$H$40</f>
        <v>14971.8403782341</v>
      </c>
      <c r="Q446" s="50" t="n">
        <f aca="false">SUMIFS('Activation Detail'!$I$4:$I$4003,'Activation Detail'!$A$4:$A$4003,$A446,'Activation Detail'!$N$4:$N$4003,N$2)</f>
        <v>18266.4555</v>
      </c>
      <c r="R446" s="51" t="n">
        <f aca="false">IFERROR(P446/Q446,0)</f>
        <v>0.819635773247531</v>
      </c>
      <c r="S446" s="49" t="n">
        <f aca="false">IFERROR(Q446/N446,0)</f>
        <v>233.335349971654</v>
      </c>
      <c r="T446" s="48" t="n">
        <f aca="false">SUMIFS('Activation Detail'!$H$4:$H$4003,'Activation Detail'!$A$4:$A$4003,$A446,'Activation Detail'!$N$4:$N$4003,T$2)</f>
        <v>102.918461683743</v>
      </c>
      <c r="U446" s="50" t="n">
        <f aca="false">T446*'Model Inputs &amp; Assumptions'!$D$41*'Model Inputs &amp; Assumptions'!$H$41</f>
        <v>741012.92412295</v>
      </c>
      <c r="V446" s="50" t="n">
        <f aca="false">T446*'Model Inputs &amp; Assumptions'!$G$41*'Model Inputs &amp; Assumptions'!$H$41</f>
        <v>16339.334976911</v>
      </c>
      <c r="W446" s="50" t="n">
        <f aca="false">SUMIFS('Activation Detail'!$I$4:$I$4003,'Activation Detail'!$A$4:$A$4003,$A446,'Activation Detail'!$N$4:$N$4003,T$2)</f>
        <v>16049.401236</v>
      </c>
      <c r="X446" s="51" t="n">
        <f aca="false">IFERROR(V446/W446,0)</f>
        <v>1.01806508147237</v>
      </c>
      <c r="Y446" s="49" t="n">
        <f aca="false">IFERROR(W446/T446,0)</f>
        <v>155.942879182532</v>
      </c>
      <c r="Z446" s="48" t="n">
        <f aca="false">SUMIFS('Activation Detail'!$H$4:$H$4003,'Activation Detail'!$A$4:$A$4003,$A446,'Activation Detail'!$N$4:$N$4003,Z$2)</f>
        <v>745.429122819716</v>
      </c>
      <c r="AA446" s="50" t="n">
        <f aca="false">Z446*'Model Inputs &amp; Assumptions'!$D$42*'Model Inputs &amp; Assumptions'!$H$42</f>
        <v>4025317.26322647</v>
      </c>
      <c r="AB446" s="50" t="n">
        <f aca="false">Z446*'Model Inputs &amp; Assumptions'!$G$42*'Model Inputs &amp; Assumptions'!$H$42</f>
        <v>84531.6625277558</v>
      </c>
      <c r="AC446" s="50" t="n">
        <f aca="false">SUMIFS('Activation Detail'!$I$4:$I$4003,'Activation Detail'!$A$4:$A$4003,$A446,'Activation Detail'!$N$4:$N$4003,Z$2)</f>
        <v>41530.6</v>
      </c>
      <c r="AD446" s="51" t="n">
        <f aca="false">IFERROR(AB446/AC446,0)</f>
        <v>2.03540672486687</v>
      </c>
      <c r="AE446" s="49" t="n">
        <f aca="false">IFERROR(AC446/Z446,0)</f>
        <v>55.7136805212321</v>
      </c>
    </row>
    <row r="447" customFormat="false" ht="15" hidden="false" customHeight="false" outlineLevel="0" collapsed="false">
      <c r="A447" s="43" t="n">
        <v>444</v>
      </c>
      <c r="B447" s="45" t="n">
        <f aca="false">SUM('Activation Detail'!C447,'Activation Detail'!C947,'Activation Detail'!C1447,'Activation Detail'!C1947,'Activation Detail'!C2447,'Activation Detail'!C2947,'Activation Detail'!C3447,'Activation Detail'!C3947)</f>
        <v>4398685</v>
      </c>
      <c r="C447" s="45" t="n">
        <f aca="false">SUM('Activation Detail'!E447,'Activation Detail'!E947,'Activation Detail'!E1447,'Activation Detail'!E1947,'Activation Detail'!E2447,'Activation Detail'!E2947,'Activation Detail'!E3447,'Activation Detail'!E3947)</f>
        <v>358507</v>
      </c>
      <c r="D447" s="45" t="n">
        <f aca="false">SUM('Activation Detail'!G447,'Activation Detail'!G947,'Activation Detail'!G1447,'Activation Detail'!G1947,'Activation Detail'!G2447,'Activation Detail'!G2947,'Activation Detail'!G3447,'Activation Detail'!G3947)</f>
        <v>17164</v>
      </c>
      <c r="E447" s="48" t="n">
        <f aca="false">SUM('Activation Detail'!H447,'Activation Detail'!H947,'Activation Detail'!H1447,'Activation Detail'!H1947,'Activation Detail'!H2447,'Activation Detail'!H2947,'Activation Detail'!H3447,'Activation Detail'!H3947)</f>
        <v>628.261630762243</v>
      </c>
      <c r="F447" s="50" t="n">
        <f aca="false">SUM('Activation Detail'!I447,'Activation Detail'!I947,'Activation Detail'!I1447,'Activation Detail'!I1947,'Activation Detail'!I2447,'Activation Detail'!I2947,'Activation Detail'!I3447,'Activation Detail'!I3947)</f>
        <v>79964.529794</v>
      </c>
      <c r="G447" s="50" t="n">
        <f aca="false">SUM('Activation Detail'!J447,'Activation Detail'!J947,'Activation Detail'!J1447,'Activation Detail'!J1947,'Activation Detail'!J2447,'Activation Detail'!J2947,'Activation Detail'!J3447,'Activation Detail'!J3947)</f>
        <v>4108295.34193822</v>
      </c>
      <c r="H447" s="50" t="n">
        <f aca="false">SUM('Activation Detail'!K447,'Activation Detail'!K947,'Activation Detail'!K1447,'Activation Detail'!K1947,'Activation Detail'!K2447,'Activation Detail'!K2947,'Activation Detail'!K3447,'Activation Detail'!K3947)</f>
        <v>89242.4291801933</v>
      </c>
      <c r="I447" s="51" t="n">
        <f aca="false">IFERROR(H447/F447,0)</f>
        <v>1.11602518529271</v>
      </c>
      <c r="J447" s="49" t="n">
        <f aca="false">IFERROR(F447/E447,0)</f>
        <v>127.279028160581</v>
      </c>
      <c r="K447" s="46" t="n">
        <f aca="false">IFERROR(C447/B447,0)</f>
        <v>0.0815032219856616</v>
      </c>
      <c r="L447" s="47" t="n">
        <f aca="false">IFERROR(D447/B447,0)</f>
        <v>0.00390207527931643</v>
      </c>
      <c r="N447" s="48" t="n">
        <f aca="false">SUMIFS('Activation Detail'!$H$4:$H$4003,'Activation Detail'!$A$4:$A$4003,$A447,'Activation Detail'!$N$4:$N$4003,N$2)</f>
        <v>139.406114675154</v>
      </c>
      <c r="O447" s="50" t="n">
        <f aca="false">N447*'Model Inputs &amp; Assumptions'!$D$40*'Model Inputs &amp; Assumptions'!$H$40</f>
        <v>1184951.97473881</v>
      </c>
      <c r="P447" s="50" t="n">
        <f aca="false">N447*'Model Inputs &amp; Assumptions'!$G$40*'Model Inputs &amp; Assumptions'!$H$40</f>
        <v>26661.4194316232</v>
      </c>
      <c r="Q447" s="50" t="n">
        <f aca="false">SUMIFS('Activation Detail'!$I$4:$I$4003,'Activation Detail'!$A$4:$A$4003,$A447,'Activation Detail'!$N$4:$N$4003,N$2)</f>
        <v>18927.8175</v>
      </c>
      <c r="R447" s="51" t="n">
        <f aca="false">IFERROR(P447/Q447,0)</f>
        <v>1.40858392319258</v>
      </c>
      <c r="S447" s="49" t="n">
        <f aca="false">IFERROR(Q447/N447,0)</f>
        <v>135.774657690632</v>
      </c>
      <c r="T447" s="48" t="n">
        <f aca="false">SUMIFS('Activation Detail'!$H$4:$H$4003,'Activation Detail'!$A$4:$A$4003,$A447,'Activation Detail'!$N$4:$N$4003,T$2)</f>
        <v>157.513100182853</v>
      </c>
      <c r="U447" s="50" t="n">
        <f aca="false">T447*'Model Inputs &amp; Assumptions'!$D$41*'Model Inputs &amp; Assumptions'!$H$41</f>
        <v>1134094.32131654</v>
      </c>
      <c r="V447" s="50" t="n">
        <f aca="false">T447*'Model Inputs &amp; Assumptions'!$G$41*'Model Inputs &amp; Assumptions'!$H$41</f>
        <v>25006.7797850297</v>
      </c>
      <c r="W447" s="50" t="n">
        <f aca="false">SUMIFS('Activation Detail'!$I$4:$I$4003,'Activation Detail'!$A$4:$A$4003,$A447,'Activation Detail'!$N$4:$N$4003,T$2)</f>
        <v>16561.600294</v>
      </c>
      <c r="X447" s="51" t="n">
        <f aca="false">IFERROR(V447/W447,0)</f>
        <v>1.50992532974541</v>
      </c>
      <c r="Y447" s="49" t="n">
        <f aca="false">IFERROR(W447/T447,0)</f>
        <v>105.14427228449</v>
      </c>
      <c r="Z447" s="48" t="n">
        <f aca="false">SUMIFS('Activation Detail'!$H$4:$H$4003,'Activation Detail'!$A$4:$A$4003,$A447,'Activation Detail'!$N$4:$N$4003,Z$2)</f>
        <v>331.342415904236</v>
      </c>
      <c r="AA447" s="50" t="n">
        <f aca="false">Z447*'Model Inputs &amp; Assumptions'!$D$42*'Model Inputs &amp; Assumptions'!$H$42</f>
        <v>1789249.04588287</v>
      </c>
      <c r="AB447" s="50" t="n">
        <f aca="false">Z447*'Model Inputs &amp; Assumptions'!$G$42*'Model Inputs &amp; Assumptions'!$H$42</f>
        <v>37574.2299635404</v>
      </c>
      <c r="AC447" s="50" t="n">
        <f aca="false">SUMIFS('Activation Detail'!$I$4:$I$4003,'Activation Detail'!$A$4:$A$4003,$A447,'Activation Detail'!$N$4:$N$4003,Z$2)</f>
        <v>44475.112</v>
      </c>
      <c r="AD447" s="51" t="n">
        <f aca="false">IFERROR(AB447/AC447,0)</f>
        <v>0.844837219601389</v>
      </c>
      <c r="AE447" s="49" t="n">
        <f aca="false">IFERROR(AC447/Z447,0)</f>
        <v>134.227040865345</v>
      </c>
    </row>
    <row r="448" customFormat="false" ht="15" hidden="false" customHeight="false" outlineLevel="0" collapsed="false">
      <c r="A448" s="43" t="n">
        <v>445</v>
      </c>
      <c r="B448" s="45" t="n">
        <f aca="false">SUM('Activation Detail'!C448,'Activation Detail'!C948,'Activation Detail'!C1448,'Activation Detail'!C1948,'Activation Detail'!C2448,'Activation Detail'!C2948,'Activation Detail'!C3448,'Activation Detail'!C3948)</f>
        <v>3978536</v>
      </c>
      <c r="C448" s="45" t="n">
        <f aca="false">SUM('Activation Detail'!E448,'Activation Detail'!E948,'Activation Detail'!E1448,'Activation Detail'!E1948,'Activation Detail'!E2448,'Activation Detail'!E2948,'Activation Detail'!E3448,'Activation Detail'!E3948)</f>
        <v>247200</v>
      </c>
      <c r="D448" s="45" t="n">
        <f aca="false">SUM('Activation Detail'!G448,'Activation Detail'!G948,'Activation Detail'!G1448,'Activation Detail'!G1948,'Activation Detail'!G2448,'Activation Detail'!G2948,'Activation Detail'!G3448,'Activation Detail'!G3948)</f>
        <v>16931</v>
      </c>
      <c r="E448" s="48" t="n">
        <f aca="false">SUM('Activation Detail'!H448,'Activation Detail'!H948,'Activation Detail'!H1448,'Activation Detail'!H1948,'Activation Detail'!H2448,'Activation Detail'!H2948,'Activation Detail'!H3448,'Activation Detail'!H3948)</f>
        <v>744.491021452788</v>
      </c>
      <c r="F448" s="50" t="n">
        <f aca="false">SUM('Activation Detail'!I448,'Activation Detail'!I948,'Activation Detail'!I1448,'Activation Detail'!I1948,'Activation Detail'!I2448,'Activation Detail'!I2948,'Activation Detail'!I3448,'Activation Detail'!I3948)</f>
        <v>70178.278376</v>
      </c>
      <c r="G448" s="50" t="n">
        <f aca="false">SUM('Activation Detail'!J448,'Activation Detail'!J948,'Activation Detail'!J1448,'Activation Detail'!J1948,'Activation Detail'!J2448,'Activation Detail'!J2948,'Activation Detail'!J3448,'Activation Detail'!J3948)</f>
        <v>4558139.42087352</v>
      </c>
      <c r="H448" s="50" t="n">
        <f aca="false">SUM('Activation Detail'!K448,'Activation Detail'!K948,'Activation Detail'!K1448,'Activation Detail'!K1948,'Activation Detail'!K2448,'Activation Detail'!K2948,'Activation Detail'!K3448,'Activation Detail'!K3948)</f>
        <v>97950.0344163409</v>
      </c>
      <c r="I448" s="51" t="n">
        <f aca="false">IFERROR(H448/F448,0)</f>
        <v>1.39573150956405</v>
      </c>
      <c r="J448" s="49" t="n">
        <f aca="false">IFERROR(F448/E448,0)</f>
        <v>94.2634314636263</v>
      </c>
      <c r="K448" s="46" t="n">
        <f aca="false">IFERROR(C448/B448,0)</f>
        <v>0.0621334078666122</v>
      </c>
      <c r="L448" s="47" t="n">
        <f aca="false">IFERROR(D448/B448,0)</f>
        <v>0.00425558547164083</v>
      </c>
      <c r="N448" s="48" t="n">
        <f aca="false">SUMIFS('Activation Detail'!$H$4:$H$4003,'Activation Detail'!$A$4:$A$4003,$A448,'Activation Detail'!$N$4:$N$4003,N$2)</f>
        <v>111.194900453958</v>
      </c>
      <c r="O448" s="50" t="n">
        <f aca="false">N448*'Model Inputs &amp; Assumptions'!$D$40*'Model Inputs &amp; Assumptions'!$H$40</f>
        <v>945156.65385864</v>
      </c>
      <c r="P448" s="50" t="n">
        <f aca="false">N448*'Model Inputs &amp; Assumptions'!$G$40*'Model Inputs &amp; Assumptions'!$H$40</f>
        <v>21266.0247118194</v>
      </c>
      <c r="Q448" s="50" t="n">
        <f aca="false">SUMIFS('Activation Detail'!$I$4:$I$4003,'Activation Detail'!$A$4:$A$4003,$A448,'Activation Detail'!$N$4:$N$4003,N$2)</f>
        <v>18313.145</v>
      </c>
      <c r="R448" s="51" t="n">
        <f aca="false">IFERROR(P448/Q448,0)</f>
        <v>1.16124372475724</v>
      </c>
      <c r="S448" s="49" t="n">
        <f aca="false">IFERROR(Q448/N448,0)</f>
        <v>164.694108499903</v>
      </c>
      <c r="T448" s="48" t="n">
        <f aca="false">SUMIFS('Activation Detail'!$H$4:$H$4003,'Activation Detail'!$A$4:$A$4003,$A448,'Activation Detail'!$N$4:$N$4003,T$2)</f>
        <v>107.324285345109</v>
      </c>
      <c r="U448" s="50" t="n">
        <f aca="false">T448*'Model Inputs &amp; Assumptions'!$D$41*'Model Inputs &amp; Assumptions'!$H$41</f>
        <v>772734.854484785</v>
      </c>
      <c r="V448" s="50" t="n">
        <f aca="false">T448*'Model Inputs &amp; Assumptions'!$G$41*'Model Inputs &amp; Assumptions'!$H$41</f>
        <v>17038.8035413895</v>
      </c>
      <c r="W448" s="50" t="n">
        <f aca="false">SUMIFS('Activation Detail'!$I$4:$I$4003,'Activation Detail'!$A$4:$A$4003,$A448,'Activation Detail'!$N$4:$N$4003,T$2)</f>
        <v>16458.637376</v>
      </c>
      <c r="X448" s="51" t="n">
        <f aca="false">IFERROR(V448/W448,0)</f>
        <v>1.03524995126483</v>
      </c>
      <c r="Y448" s="49" t="n">
        <f aca="false">IFERROR(W448/T448,0)</f>
        <v>153.354269474761</v>
      </c>
      <c r="Z448" s="48" t="n">
        <f aca="false">SUMIFS('Activation Detail'!$H$4:$H$4003,'Activation Detail'!$A$4:$A$4003,$A448,'Activation Detail'!$N$4:$N$4003,Z$2)</f>
        <v>525.971835653721</v>
      </c>
      <c r="AA448" s="50" t="n">
        <f aca="false">Z448*'Model Inputs &amp; Assumptions'!$D$42*'Model Inputs &amp; Assumptions'!$H$42</f>
        <v>2840247.91253009</v>
      </c>
      <c r="AB448" s="50" t="n">
        <f aca="false">Z448*'Model Inputs &amp; Assumptions'!$G$42*'Model Inputs &amp; Assumptions'!$H$42</f>
        <v>59645.206163132</v>
      </c>
      <c r="AC448" s="50" t="n">
        <f aca="false">SUMIFS('Activation Detail'!$I$4:$I$4003,'Activation Detail'!$A$4:$A$4003,$A448,'Activation Detail'!$N$4:$N$4003,Z$2)</f>
        <v>35406.496</v>
      </c>
      <c r="AD448" s="51" t="n">
        <f aca="false">IFERROR(AB448/AC448,0)</f>
        <v>1.68458370359868</v>
      </c>
      <c r="AE448" s="49" t="n">
        <f aca="false">IFERROR(AC448/Z448,0)</f>
        <v>67.3163344497218</v>
      </c>
    </row>
    <row r="449" customFormat="false" ht="15" hidden="false" customHeight="false" outlineLevel="0" collapsed="false">
      <c r="A449" s="43" t="n">
        <v>446</v>
      </c>
      <c r="B449" s="45" t="n">
        <f aca="false">SUM('Activation Detail'!C449,'Activation Detail'!C949,'Activation Detail'!C1449,'Activation Detail'!C1949,'Activation Detail'!C2449,'Activation Detail'!C2949,'Activation Detail'!C3449,'Activation Detail'!C3949)</f>
        <v>3962599</v>
      </c>
      <c r="C449" s="45" t="n">
        <f aca="false">SUM('Activation Detail'!E449,'Activation Detail'!E949,'Activation Detail'!E1449,'Activation Detail'!E1949,'Activation Detail'!E2449,'Activation Detail'!E2949,'Activation Detail'!E3449,'Activation Detail'!E3949)</f>
        <v>357735</v>
      </c>
      <c r="D449" s="45" t="n">
        <f aca="false">SUM('Activation Detail'!G449,'Activation Detail'!G949,'Activation Detail'!G1449,'Activation Detail'!G1949,'Activation Detail'!G2449,'Activation Detail'!G2949,'Activation Detail'!G3449,'Activation Detail'!G3949)</f>
        <v>15722</v>
      </c>
      <c r="E449" s="48" t="n">
        <f aca="false">SUM('Activation Detail'!H449,'Activation Detail'!H949,'Activation Detail'!H1449,'Activation Detail'!H1949,'Activation Detail'!H2449,'Activation Detail'!H2949,'Activation Detail'!H3449,'Activation Detail'!H3949)</f>
        <v>669.323238810778</v>
      </c>
      <c r="F449" s="50" t="n">
        <f aca="false">SUM('Activation Detail'!I449,'Activation Detail'!I949,'Activation Detail'!I1449,'Activation Detail'!I1949,'Activation Detail'!I2449,'Activation Detail'!I2949,'Activation Detail'!I3449,'Activation Detail'!I3949)</f>
        <v>73051.355472</v>
      </c>
      <c r="G449" s="50" t="n">
        <f aca="false">SUM('Activation Detail'!J449,'Activation Detail'!J949,'Activation Detail'!J1449,'Activation Detail'!J1949,'Activation Detail'!J2449,'Activation Detail'!J2949,'Activation Detail'!J3449,'Activation Detail'!J3949)</f>
        <v>4470514.54358054</v>
      </c>
      <c r="H449" s="50" t="n">
        <f aca="false">SUM('Activation Detail'!K449,'Activation Detail'!K949,'Activation Detail'!K1449,'Activation Detail'!K1949,'Activation Detail'!K2449,'Activation Detail'!K2949,'Activation Detail'!K3449,'Activation Detail'!K3949)</f>
        <v>97436.4250492402</v>
      </c>
      <c r="I449" s="51" t="n">
        <f aca="false">IFERROR(H449/F449,0)</f>
        <v>1.33380721575504</v>
      </c>
      <c r="J449" s="49" t="n">
        <f aca="false">IFERROR(F449/E449,0)</f>
        <v>109.142117344968</v>
      </c>
      <c r="K449" s="46" t="n">
        <f aca="false">IFERROR(C449/B449,0)</f>
        <v>0.09027787066014</v>
      </c>
      <c r="L449" s="47" t="n">
        <f aca="false">IFERROR(D449/B449,0)</f>
        <v>0.00396759803351285</v>
      </c>
      <c r="N449" s="48" t="n">
        <f aca="false">SUMIFS('Activation Detail'!$H$4:$H$4003,'Activation Detail'!$A$4:$A$4003,$A449,'Activation Detail'!$N$4:$N$4003,N$2)</f>
        <v>149.223676892861</v>
      </c>
      <c r="O449" s="50" t="n">
        <f aca="false">N449*'Model Inputs &amp; Assumptions'!$D$40*'Model Inputs &amp; Assumptions'!$H$40</f>
        <v>1268401.25358932</v>
      </c>
      <c r="P449" s="50" t="n">
        <f aca="false">N449*'Model Inputs &amp; Assumptions'!$G$40*'Model Inputs &amp; Assumptions'!$H$40</f>
        <v>28539.0282057597</v>
      </c>
      <c r="Q449" s="50" t="n">
        <f aca="false">SUMIFS('Activation Detail'!$I$4:$I$4003,'Activation Detail'!$A$4:$A$4003,$A449,'Activation Detail'!$N$4:$N$4003,N$2)</f>
        <v>19914.5955</v>
      </c>
      <c r="R449" s="51" t="n">
        <f aca="false">IFERROR(P449/Q449,0)</f>
        <v>1.43307094566694</v>
      </c>
      <c r="S449" s="49" t="n">
        <f aca="false">IFERROR(Q449/N449,0)</f>
        <v>133.454662923888</v>
      </c>
      <c r="T449" s="48" t="n">
        <f aca="false">SUMIFS('Activation Detail'!$H$4:$H$4003,'Activation Detail'!$A$4:$A$4003,$A449,'Activation Detail'!$N$4:$N$4003,T$2)</f>
        <v>218.653142019153</v>
      </c>
      <c r="U449" s="50" t="n">
        <f aca="false">T449*'Model Inputs &amp; Assumptions'!$D$41*'Model Inputs &amp; Assumptions'!$H$41</f>
        <v>1574302.6225379</v>
      </c>
      <c r="V449" s="50" t="n">
        <f aca="false">T449*'Model Inputs &amp; Assumptions'!$G$41*'Model Inputs &amp; Assumptions'!$H$41</f>
        <v>34713.3728269608</v>
      </c>
      <c r="W449" s="50" t="n">
        <f aca="false">SUMIFS('Activation Detail'!$I$4:$I$4003,'Activation Detail'!$A$4:$A$4003,$A449,'Activation Detail'!$N$4:$N$4003,T$2)</f>
        <v>16630.655972</v>
      </c>
      <c r="X449" s="51" t="n">
        <f aca="false">IFERROR(V449/W449,0)</f>
        <v>2.08731230357994</v>
      </c>
      <c r="Y449" s="49" t="n">
        <f aca="false">IFERROR(W449/T449,0)</f>
        <v>76.0595334621041</v>
      </c>
      <c r="Z449" s="48" t="n">
        <f aca="false">SUMIFS('Activation Detail'!$H$4:$H$4003,'Activation Detail'!$A$4:$A$4003,$A449,'Activation Detail'!$N$4:$N$4003,Z$2)</f>
        <v>301.446419898763</v>
      </c>
      <c r="AA449" s="50" t="n">
        <f aca="false">Z449*'Model Inputs &amp; Assumptions'!$D$42*'Model Inputs &amp; Assumptions'!$H$42</f>
        <v>1627810.66745332</v>
      </c>
      <c r="AB449" s="50" t="n">
        <f aca="false">Z449*'Model Inputs &amp; Assumptions'!$G$42*'Model Inputs &amp; Assumptions'!$H$42</f>
        <v>34184.0240165197</v>
      </c>
      <c r="AC449" s="50" t="n">
        <f aca="false">SUMIFS('Activation Detail'!$I$4:$I$4003,'Activation Detail'!$A$4:$A$4003,$A449,'Activation Detail'!$N$4:$N$4003,Z$2)</f>
        <v>36506.104</v>
      </c>
      <c r="AD449" s="51" t="n">
        <f aca="false">IFERROR(AB449/AC449,0)</f>
        <v>0.936392007663149</v>
      </c>
      <c r="AE449" s="49" t="n">
        <f aca="false">IFERROR(AC449/Z449,0)</f>
        <v>121.103126758845</v>
      </c>
    </row>
    <row r="450" customFormat="false" ht="15" hidden="false" customHeight="false" outlineLevel="0" collapsed="false">
      <c r="A450" s="43" t="n">
        <v>447</v>
      </c>
      <c r="B450" s="45" t="n">
        <f aca="false">SUM('Activation Detail'!C450,'Activation Detail'!C950,'Activation Detail'!C1450,'Activation Detail'!C1950,'Activation Detail'!C2450,'Activation Detail'!C2950,'Activation Detail'!C3450,'Activation Detail'!C3950)</f>
        <v>3861347</v>
      </c>
      <c r="C450" s="45" t="n">
        <f aca="false">SUM('Activation Detail'!E450,'Activation Detail'!E950,'Activation Detail'!E1450,'Activation Detail'!E1950,'Activation Detail'!E2450,'Activation Detail'!E2950,'Activation Detail'!E3450,'Activation Detail'!E3950)</f>
        <v>524168</v>
      </c>
      <c r="D450" s="45" t="n">
        <f aca="false">SUM('Activation Detail'!G450,'Activation Detail'!G950,'Activation Detail'!G1450,'Activation Detail'!G1950,'Activation Detail'!G2450,'Activation Detail'!G2950,'Activation Detail'!G3450,'Activation Detail'!G3950)</f>
        <v>19140</v>
      </c>
      <c r="E450" s="48" t="n">
        <f aca="false">SUM('Activation Detail'!H450,'Activation Detail'!H950,'Activation Detail'!H1450,'Activation Detail'!H1950,'Activation Detail'!H2450,'Activation Detail'!H2950,'Activation Detail'!H3450,'Activation Detail'!H3950)</f>
        <v>725.856146976348</v>
      </c>
      <c r="F450" s="50" t="n">
        <f aca="false">SUM('Activation Detail'!I450,'Activation Detail'!I950,'Activation Detail'!I1450,'Activation Detail'!I1950,'Activation Detail'!I2450,'Activation Detail'!I2950,'Activation Detail'!I3450,'Activation Detail'!I3950)</f>
        <v>75953.22439</v>
      </c>
      <c r="G450" s="50" t="n">
        <f aca="false">SUM('Activation Detail'!J450,'Activation Detail'!J950,'Activation Detail'!J1450,'Activation Detail'!J1950,'Activation Detail'!J2450,'Activation Detail'!J2950,'Activation Detail'!J3450,'Activation Detail'!J3950)</f>
        <v>4625926.13128906</v>
      </c>
      <c r="H450" s="50" t="n">
        <f aca="false">SUM('Activation Detail'!K450,'Activation Detail'!K950,'Activation Detail'!K1450,'Activation Detail'!K1950,'Activation Detail'!K2450,'Activation Detail'!K2950,'Activation Detail'!K3450,'Activation Detail'!K3950)</f>
        <v>100082.892982843</v>
      </c>
      <c r="I450" s="51" t="n">
        <f aca="false">IFERROR(H450/F450,0)</f>
        <v>1.31769116830305</v>
      </c>
      <c r="J450" s="49" t="n">
        <f aca="false">IFERROR(F450/E450,0)</f>
        <v>104.639500135658</v>
      </c>
      <c r="K450" s="46" t="n">
        <f aca="false">IFERROR(C450/B450,0)</f>
        <v>0.135747447717079</v>
      </c>
      <c r="L450" s="47" t="n">
        <f aca="false">IFERROR(D450/B450,0)</f>
        <v>0.00495681947258301</v>
      </c>
      <c r="N450" s="48" t="n">
        <f aca="false">SUMIFS('Activation Detail'!$H$4:$H$4003,'Activation Detail'!$A$4:$A$4003,$A450,'Activation Detail'!$N$4:$N$4003,N$2)</f>
        <v>103.80782302947</v>
      </c>
      <c r="O450" s="50" t="n">
        <f aca="false">N450*'Model Inputs &amp; Assumptions'!$D$40*'Model Inputs &amp; Assumptions'!$H$40</f>
        <v>882366.495750494</v>
      </c>
      <c r="P450" s="50" t="n">
        <f aca="false">N450*'Model Inputs &amp; Assumptions'!$G$40*'Model Inputs &amp; Assumptions'!$H$40</f>
        <v>19853.2461543861</v>
      </c>
      <c r="Q450" s="50" t="n">
        <f aca="false">SUMIFS('Activation Detail'!$I$4:$I$4003,'Activation Detail'!$A$4:$A$4003,$A450,'Activation Detail'!$N$4:$N$4003,N$2)</f>
        <v>18823.889</v>
      </c>
      <c r="R450" s="51" t="n">
        <f aca="false">IFERROR(P450/Q450,0)</f>
        <v>1.05468355419999</v>
      </c>
      <c r="S450" s="49" t="n">
        <f aca="false">IFERROR(Q450/N450,0)</f>
        <v>181.334011740677</v>
      </c>
      <c r="T450" s="48" t="n">
        <f aca="false">SUMIFS('Activation Detail'!$H$4:$H$4003,'Activation Detail'!$A$4:$A$4003,$A450,'Activation Detail'!$N$4:$N$4003,T$2)</f>
        <v>213.610381236345</v>
      </c>
      <c r="U450" s="50" t="n">
        <f aca="false">T450*'Model Inputs &amp; Assumptions'!$D$41*'Model Inputs &amp; Assumptions'!$H$41</f>
        <v>1537994.74490168</v>
      </c>
      <c r="V450" s="50" t="n">
        <f aca="false">T450*'Model Inputs &amp; Assumptions'!$G$41*'Model Inputs &amp; Assumptions'!$H$41</f>
        <v>33912.7841250821</v>
      </c>
      <c r="W450" s="50" t="n">
        <f aca="false">SUMIFS('Activation Detail'!$I$4:$I$4003,'Activation Detail'!$A$4:$A$4003,$A450,'Activation Detail'!$N$4:$N$4003,T$2)</f>
        <v>20805.11539</v>
      </c>
      <c r="X450" s="51" t="n">
        <f aca="false">IFERROR(V450/W450,0)</f>
        <v>1.63002143892854</v>
      </c>
      <c r="Y450" s="49" t="n">
        <f aca="false">IFERROR(W450/T450,0)</f>
        <v>97.3974919644968</v>
      </c>
      <c r="Z450" s="48" t="n">
        <f aca="false">SUMIFS('Activation Detail'!$H$4:$H$4003,'Activation Detail'!$A$4:$A$4003,$A450,'Activation Detail'!$N$4:$N$4003,Z$2)</f>
        <v>408.437942710533</v>
      </c>
      <c r="AA450" s="50" t="n">
        <f aca="false">Z450*'Model Inputs &amp; Assumptions'!$D$42*'Model Inputs &amp; Assumptions'!$H$42</f>
        <v>2205564.89063688</v>
      </c>
      <c r="AB450" s="50" t="n">
        <f aca="false">Z450*'Model Inputs &amp; Assumptions'!$G$42*'Model Inputs &amp; Assumptions'!$H$42</f>
        <v>46316.8627033745</v>
      </c>
      <c r="AC450" s="50" t="n">
        <f aca="false">SUMIFS('Activation Detail'!$I$4:$I$4003,'Activation Detail'!$A$4:$A$4003,$A450,'Activation Detail'!$N$4:$N$4003,Z$2)</f>
        <v>36324.22</v>
      </c>
      <c r="AD450" s="51" t="n">
        <f aca="false">IFERROR(AB450/AC450,0)</f>
        <v>1.27509586450513</v>
      </c>
      <c r="AE450" s="49" t="n">
        <f aca="false">IFERROR(AC450/Z450,0)</f>
        <v>88.9344896777711</v>
      </c>
    </row>
    <row r="451" customFormat="false" ht="15" hidden="false" customHeight="false" outlineLevel="0" collapsed="false">
      <c r="A451" s="43" t="n">
        <v>448</v>
      </c>
      <c r="B451" s="45" t="n">
        <f aca="false">SUM('Activation Detail'!C451,'Activation Detail'!C951,'Activation Detail'!C1451,'Activation Detail'!C1951,'Activation Detail'!C2451,'Activation Detail'!C2951,'Activation Detail'!C3451,'Activation Detail'!C3951)</f>
        <v>3526238</v>
      </c>
      <c r="C451" s="45" t="n">
        <f aca="false">SUM('Activation Detail'!E451,'Activation Detail'!E951,'Activation Detail'!E1451,'Activation Detail'!E1951,'Activation Detail'!E2451,'Activation Detail'!E2951,'Activation Detail'!E3451,'Activation Detail'!E3951)</f>
        <v>405321</v>
      </c>
      <c r="D451" s="45" t="n">
        <f aca="false">SUM('Activation Detail'!G451,'Activation Detail'!G951,'Activation Detail'!G1451,'Activation Detail'!G1951,'Activation Detail'!G2451,'Activation Detail'!G2951,'Activation Detail'!G3451,'Activation Detail'!G3951)</f>
        <v>11600</v>
      </c>
      <c r="E451" s="48" t="n">
        <f aca="false">SUM('Activation Detail'!H451,'Activation Detail'!H951,'Activation Detail'!H1451,'Activation Detail'!H1951,'Activation Detail'!H2451,'Activation Detail'!H2951,'Activation Detail'!H3451,'Activation Detail'!H3951)</f>
        <v>498.074957470361</v>
      </c>
      <c r="F451" s="50" t="n">
        <f aca="false">SUM('Activation Detail'!I451,'Activation Detail'!I951,'Activation Detail'!I1451,'Activation Detail'!I1951,'Activation Detail'!I2451,'Activation Detail'!I2951,'Activation Detail'!I3451,'Activation Detail'!I3951)</f>
        <v>71009.100816</v>
      </c>
      <c r="G451" s="50" t="n">
        <f aca="false">SUM('Activation Detail'!J451,'Activation Detail'!J951,'Activation Detail'!J1451,'Activation Detail'!J1951,'Activation Detail'!J2451,'Activation Detail'!J2951,'Activation Detail'!J3451,'Activation Detail'!J3951)</f>
        <v>3276476.68164298</v>
      </c>
      <c r="H451" s="50" t="n">
        <f aca="false">SUM('Activation Detail'!K451,'Activation Detail'!K951,'Activation Detail'!K1451,'Activation Detail'!K1951,'Activation Detail'!K2451,'Activation Detail'!K2951,'Activation Detail'!K3451,'Activation Detail'!K3951)</f>
        <v>71251.2254530717</v>
      </c>
      <c r="I451" s="51" t="n">
        <f aca="false">IFERROR(H451/F451,0)</f>
        <v>1.00340976909001</v>
      </c>
      <c r="J451" s="49" t="n">
        <f aca="false">IFERROR(F451/E451,0)</f>
        <v>142.567097082422</v>
      </c>
      <c r="K451" s="46" t="n">
        <f aca="false">IFERROR(C451/B451,0)</f>
        <v>0.114944311756609</v>
      </c>
      <c r="L451" s="47" t="n">
        <f aca="false">IFERROR(D451/B451,0)</f>
        <v>0.00328962480694723</v>
      </c>
      <c r="N451" s="48" t="n">
        <f aca="false">SUMIFS('Activation Detail'!$H$4:$H$4003,'Activation Detail'!$A$4:$A$4003,$A451,'Activation Detail'!$N$4:$N$4003,N$2)</f>
        <v>72.7662551987202</v>
      </c>
      <c r="O451" s="50" t="n">
        <f aca="false">N451*'Model Inputs &amp; Assumptions'!$D$40*'Model Inputs &amp; Assumptions'!$H$40</f>
        <v>618513.169189121</v>
      </c>
      <c r="P451" s="50" t="n">
        <f aca="false">N451*'Model Inputs &amp; Assumptions'!$G$40*'Model Inputs &amp; Assumptions'!$H$40</f>
        <v>13916.5463067552</v>
      </c>
      <c r="Q451" s="50" t="n">
        <f aca="false">SUMIFS('Activation Detail'!$I$4:$I$4003,'Activation Detail'!$A$4:$A$4003,$A451,'Activation Detail'!$N$4:$N$4003,N$2)</f>
        <v>18827.555</v>
      </c>
      <c r="R451" s="51" t="n">
        <f aca="false">IFERROR(P451/Q451,0)</f>
        <v>0.739158446582959</v>
      </c>
      <c r="S451" s="49" t="n">
        <f aca="false">IFERROR(Q451/N451,0)</f>
        <v>258.74019418181</v>
      </c>
      <c r="T451" s="48" t="n">
        <f aca="false">SUMIFS('Activation Detail'!$H$4:$H$4003,'Activation Detail'!$A$4:$A$4003,$A451,'Activation Detail'!$N$4:$N$4003,T$2)</f>
        <v>200.720288992778</v>
      </c>
      <c r="U451" s="50" t="n">
        <f aca="false">T451*'Model Inputs &amp; Assumptions'!$D$41*'Model Inputs &amp; Assumptions'!$H$41</f>
        <v>1445186.080748</v>
      </c>
      <c r="V451" s="50" t="n">
        <f aca="false">T451*'Model Inputs &amp; Assumptions'!$G$41*'Model Inputs &amp; Assumptions'!$H$41</f>
        <v>31866.3530804934</v>
      </c>
      <c r="W451" s="50" t="n">
        <f aca="false">SUMIFS('Activation Detail'!$I$4:$I$4003,'Activation Detail'!$A$4:$A$4003,$A451,'Activation Detail'!$N$4:$N$4003,T$2)</f>
        <v>18177.417816</v>
      </c>
      <c r="X451" s="51" t="n">
        <f aca="false">IFERROR(V451/W451,0)</f>
        <v>1.75307369853402</v>
      </c>
      <c r="Y451" s="49" t="n">
        <f aca="false">IFERROR(W451/T451,0)</f>
        <v>90.5609388428793</v>
      </c>
      <c r="Z451" s="48" t="n">
        <f aca="false">SUMIFS('Activation Detail'!$H$4:$H$4003,'Activation Detail'!$A$4:$A$4003,$A451,'Activation Detail'!$N$4:$N$4003,Z$2)</f>
        <v>224.588413278863</v>
      </c>
      <c r="AA451" s="50" t="n">
        <f aca="false">Z451*'Model Inputs &amp; Assumptions'!$D$42*'Model Inputs &amp; Assumptions'!$H$42</f>
        <v>1212777.43170586</v>
      </c>
      <c r="AB451" s="50" t="n">
        <f aca="false">Z451*'Model Inputs &amp; Assumptions'!$G$42*'Model Inputs &amp; Assumptions'!$H$42</f>
        <v>25468.3260658231</v>
      </c>
      <c r="AC451" s="50" t="n">
        <f aca="false">SUMIFS('Activation Detail'!$I$4:$I$4003,'Activation Detail'!$A$4:$A$4003,$A451,'Activation Detail'!$N$4:$N$4003,Z$2)</f>
        <v>34004.128</v>
      </c>
      <c r="AD451" s="51" t="n">
        <f aca="false">IFERROR(AB451/AC451,0)</f>
        <v>0.748977479023226</v>
      </c>
      <c r="AE451" s="49" t="n">
        <f aca="false">IFERROR(AC451/Z451,0)</f>
        <v>151.406421656216</v>
      </c>
    </row>
    <row r="452" customFormat="false" ht="15" hidden="false" customHeight="false" outlineLevel="0" collapsed="false">
      <c r="A452" s="43" t="n">
        <v>449</v>
      </c>
      <c r="B452" s="45" t="n">
        <f aca="false">SUM('Activation Detail'!C452,'Activation Detail'!C952,'Activation Detail'!C1452,'Activation Detail'!C1952,'Activation Detail'!C2452,'Activation Detail'!C2952,'Activation Detail'!C3452,'Activation Detail'!C3952)</f>
        <v>4533287</v>
      </c>
      <c r="C452" s="45" t="n">
        <f aca="false">SUM('Activation Detail'!E452,'Activation Detail'!E952,'Activation Detail'!E1452,'Activation Detail'!E1952,'Activation Detail'!E2452,'Activation Detail'!E2952,'Activation Detail'!E3452,'Activation Detail'!E3952)</f>
        <v>471723</v>
      </c>
      <c r="D452" s="45" t="n">
        <f aca="false">SUM('Activation Detail'!G452,'Activation Detail'!G952,'Activation Detail'!G1452,'Activation Detail'!G1952,'Activation Detail'!G2452,'Activation Detail'!G2952,'Activation Detail'!G3452,'Activation Detail'!G3952)</f>
        <v>15497</v>
      </c>
      <c r="E452" s="48" t="n">
        <f aca="false">SUM('Activation Detail'!H452,'Activation Detail'!H952,'Activation Detail'!H1452,'Activation Detail'!H1952,'Activation Detail'!H2452,'Activation Detail'!H2952,'Activation Detail'!H3452,'Activation Detail'!H3952)</f>
        <v>502.879410184617</v>
      </c>
      <c r="F452" s="50" t="n">
        <f aca="false">SUM('Activation Detail'!I452,'Activation Detail'!I952,'Activation Detail'!I1452,'Activation Detail'!I1952,'Activation Detail'!I2452,'Activation Detail'!I2952,'Activation Detail'!I3452,'Activation Detail'!I3952)</f>
        <v>81999.976558</v>
      </c>
      <c r="G452" s="50" t="n">
        <f aca="false">SUM('Activation Detail'!J452,'Activation Detail'!J952,'Activation Detail'!J1452,'Activation Detail'!J1952,'Activation Detail'!J2452,'Activation Detail'!J2952,'Activation Detail'!J3452,'Activation Detail'!J3952)</f>
        <v>3325672.62294233</v>
      </c>
      <c r="H452" s="50" t="n">
        <f aca="false">SUM('Activation Detail'!K452,'Activation Detail'!K952,'Activation Detail'!K1452,'Activation Detail'!K1952,'Activation Detail'!K2452,'Activation Detail'!K2952,'Activation Detail'!K3452,'Activation Detail'!K3952)</f>
        <v>72380.241591023</v>
      </c>
      <c r="I452" s="51" t="n">
        <f aca="false">IFERROR(H452/F452,0)</f>
        <v>0.882686125401843</v>
      </c>
      <c r="J452" s="49" t="n">
        <f aca="false">IFERROR(F452/E452,0)</f>
        <v>163.060914599578</v>
      </c>
      <c r="K452" s="46" t="n">
        <f aca="false">IFERROR(C452/B452,0)</f>
        <v>0.104057607647608</v>
      </c>
      <c r="L452" s="47" t="n">
        <f aca="false">IFERROR(D452/B452,0)</f>
        <v>0.00341849082134001</v>
      </c>
      <c r="N452" s="48" t="n">
        <f aca="false">SUMIFS('Activation Detail'!$H$4:$H$4003,'Activation Detail'!$A$4:$A$4003,$A452,'Activation Detail'!$N$4:$N$4003,N$2)</f>
        <v>79.272163468741</v>
      </c>
      <c r="O452" s="50" t="n">
        <f aca="false">N452*'Model Inputs &amp; Assumptions'!$D$40*'Model Inputs &amp; Assumptions'!$H$40</f>
        <v>673813.389484298</v>
      </c>
      <c r="P452" s="50" t="n">
        <f aca="false">N452*'Model Inputs &amp; Assumptions'!$G$40*'Model Inputs &amp; Assumptions'!$H$40</f>
        <v>15160.8012633967</v>
      </c>
      <c r="Q452" s="50" t="n">
        <f aca="false">SUMIFS('Activation Detail'!$I$4:$I$4003,'Activation Detail'!$A$4:$A$4003,$A452,'Activation Detail'!$N$4:$N$4003,N$2)</f>
        <v>18784.5315</v>
      </c>
      <c r="R452" s="51" t="n">
        <f aca="false">IFERROR(P452/Q452,0)</f>
        <v>0.807089666484187</v>
      </c>
      <c r="S452" s="49" t="n">
        <f aca="false">IFERROR(Q452/N452,0)</f>
        <v>236.962518468507</v>
      </c>
      <c r="T452" s="48" t="n">
        <f aca="false">SUMIFS('Activation Detail'!$H$4:$H$4003,'Activation Detail'!$A$4:$A$4003,$A452,'Activation Detail'!$N$4:$N$4003,T$2)</f>
        <v>202.433389551277</v>
      </c>
      <c r="U452" s="50" t="n">
        <f aca="false">T452*'Model Inputs &amp; Assumptions'!$D$41*'Model Inputs &amp; Assumptions'!$H$41</f>
        <v>1457520.40476919</v>
      </c>
      <c r="V452" s="50" t="n">
        <f aca="false">T452*'Model Inputs &amp; Assumptions'!$G$41*'Model Inputs &amp; Assumptions'!$H$41</f>
        <v>32138.3249251607</v>
      </c>
      <c r="W452" s="50" t="n">
        <f aca="false">SUMIFS('Activation Detail'!$I$4:$I$4003,'Activation Detail'!$A$4:$A$4003,$A452,'Activation Detail'!$N$4:$N$4003,T$2)</f>
        <v>21694.853058</v>
      </c>
      <c r="X452" s="51" t="n">
        <f aca="false">IFERROR(V452/W452,0)</f>
        <v>1.48138016142541</v>
      </c>
      <c r="Y452" s="49" t="n">
        <f aca="false">IFERROR(W452/T452,0)</f>
        <v>107.17032949006</v>
      </c>
      <c r="Z452" s="48" t="n">
        <f aca="false">SUMIFS('Activation Detail'!$H$4:$H$4003,'Activation Detail'!$A$4:$A$4003,$A452,'Activation Detail'!$N$4:$N$4003,Z$2)</f>
        <v>221.1738571646</v>
      </c>
      <c r="AA452" s="50" t="n">
        <f aca="false">Z452*'Model Inputs &amp; Assumptions'!$D$42*'Model Inputs &amp; Assumptions'!$H$42</f>
        <v>1194338.82868884</v>
      </c>
      <c r="AB452" s="50" t="n">
        <f aca="false">Z452*'Model Inputs &amp; Assumptions'!$G$42*'Model Inputs &amp; Assumptions'!$H$42</f>
        <v>25081.1154024656</v>
      </c>
      <c r="AC452" s="50" t="n">
        <f aca="false">SUMIFS('Activation Detail'!$I$4:$I$4003,'Activation Detail'!$A$4:$A$4003,$A452,'Activation Detail'!$N$4:$N$4003,Z$2)</f>
        <v>41520.592</v>
      </c>
      <c r="AD452" s="51" t="n">
        <f aca="false">IFERROR(AB452/AC452,0)</f>
        <v>0.60406449413018</v>
      </c>
      <c r="AE452" s="49" t="n">
        <f aca="false">IFERROR(AC452/Z452,0)</f>
        <v>187.728299050733</v>
      </c>
    </row>
    <row r="453" customFormat="false" ht="15" hidden="false" customHeight="false" outlineLevel="0" collapsed="false">
      <c r="A453" s="43" t="n">
        <v>450</v>
      </c>
      <c r="B453" s="45" t="n">
        <f aca="false">SUM('Activation Detail'!C453,'Activation Detail'!C953,'Activation Detail'!C1453,'Activation Detail'!C1953,'Activation Detail'!C2453,'Activation Detail'!C2953,'Activation Detail'!C3453,'Activation Detail'!C3953)</f>
        <v>4137501</v>
      </c>
      <c r="C453" s="45" t="n">
        <f aca="false">SUM('Activation Detail'!E453,'Activation Detail'!E953,'Activation Detail'!E1453,'Activation Detail'!E1953,'Activation Detail'!E2453,'Activation Detail'!E2953,'Activation Detail'!E3453,'Activation Detail'!E3953)</f>
        <v>413874</v>
      </c>
      <c r="D453" s="45" t="n">
        <f aca="false">SUM('Activation Detail'!G453,'Activation Detail'!G953,'Activation Detail'!G1453,'Activation Detail'!G1953,'Activation Detail'!G2453,'Activation Detail'!G2953,'Activation Detail'!G3453,'Activation Detail'!G3953)</f>
        <v>16209</v>
      </c>
      <c r="E453" s="48" t="n">
        <f aca="false">SUM('Activation Detail'!H453,'Activation Detail'!H953,'Activation Detail'!H1453,'Activation Detail'!H1953,'Activation Detail'!H2453,'Activation Detail'!H2953,'Activation Detail'!H3453,'Activation Detail'!H3953)</f>
        <v>739.078165497538</v>
      </c>
      <c r="F453" s="50" t="n">
        <f aca="false">SUM('Activation Detail'!I453,'Activation Detail'!I953,'Activation Detail'!I1453,'Activation Detail'!I1953,'Activation Detail'!I2453,'Activation Detail'!I2953,'Activation Detail'!I3453,'Activation Detail'!I3953)</f>
        <v>72898.084528</v>
      </c>
      <c r="G453" s="50" t="n">
        <f aca="false">SUM('Activation Detail'!J453,'Activation Detail'!J953,'Activation Detail'!J1453,'Activation Detail'!J1953,'Activation Detail'!J2453,'Activation Detail'!J2953,'Activation Detail'!J3453,'Activation Detail'!J3953)</f>
        <v>4576101.34095233</v>
      </c>
      <c r="H453" s="50" t="n">
        <f aca="false">SUM('Activation Detail'!K453,'Activation Detail'!K953,'Activation Detail'!K1453,'Activation Detail'!K1953,'Activation Detail'!K2453,'Activation Detail'!K2953,'Activation Detail'!K3453,'Activation Detail'!K3953)</f>
        <v>98527.0401113839</v>
      </c>
      <c r="I453" s="51" t="n">
        <f aca="false">IFERROR(H453/F453,0)</f>
        <v>1.35157241441015</v>
      </c>
      <c r="J453" s="49" t="n">
        <f aca="false">IFERROR(F453/E453,0)</f>
        <v>98.6337953563084</v>
      </c>
      <c r="K453" s="46" t="n">
        <f aca="false">IFERROR(C453/B453,0)</f>
        <v>0.100029945612098</v>
      </c>
      <c r="L453" s="47" t="n">
        <f aca="false">IFERROR(D453/B453,0)</f>
        <v>0.00391758213472335</v>
      </c>
      <c r="N453" s="48" t="n">
        <f aca="false">SUMIFS('Activation Detail'!$H$4:$H$4003,'Activation Detail'!$A$4:$A$4003,$A453,'Activation Detail'!$N$4:$N$4003,N$2)</f>
        <v>105.262544928445</v>
      </c>
      <c r="O453" s="50" t="n">
        <f aca="false">N453*'Model Inputs &amp; Assumptions'!$D$40*'Model Inputs &amp; Assumptions'!$H$40</f>
        <v>894731.631891785</v>
      </c>
      <c r="P453" s="50" t="n">
        <f aca="false">N453*'Model Inputs &amp; Assumptions'!$G$40*'Model Inputs &amp; Assumptions'!$H$40</f>
        <v>20131.4617175652</v>
      </c>
      <c r="Q453" s="50" t="n">
        <f aca="false">SUMIFS('Activation Detail'!$I$4:$I$4003,'Activation Detail'!$A$4:$A$4003,$A453,'Activation Detail'!$N$4:$N$4003,N$2)</f>
        <v>18188.5335</v>
      </c>
      <c r="R453" s="51" t="n">
        <f aca="false">IFERROR(P453/Q453,0)</f>
        <v>1.10682159820995</v>
      </c>
      <c r="S453" s="49" t="n">
        <f aca="false">IFERROR(Q453/N453,0)</f>
        <v>172.792074449312</v>
      </c>
      <c r="T453" s="48" t="n">
        <f aca="false">SUMIFS('Activation Detail'!$H$4:$H$4003,'Activation Detail'!$A$4:$A$4003,$A453,'Activation Detail'!$N$4:$N$4003,T$2)</f>
        <v>143.758532215247</v>
      </c>
      <c r="U453" s="50" t="n">
        <f aca="false">T453*'Model Inputs &amp; Assumptions'!$D$41*'Model Inputs &amp; Assumptions'!$H$41</f>
        <v>1035061.43194978</v>
      </c>
      <c r="V453" s="50" t="n">
        <f aca="false">T453*'Model Inputs &amp; Assumptions'!$G$41*'Model Inputs &amp; Assumptions'!$H$41</f>
        <v>22823.1045744927</v>
      </c>
      <c r="W453" s="50" t="n">
        <f aca="false">SUMIFS('Activation Detail'!$I$4:$I$4003,'Activation Detail'!$A$4:$A$4003,$A453,'Activation Detail'!$N$4:$N$4003,T$2)</f>
        <v>16431.551028</v>
      </c>
      <c r="X453" s="51" t="n">
        <f aca="false">IFERROR(V453/W453,0)</f>
        <v>1.38898053723603</v>
      </c>
      <c r="Y453" s="49" t="n">
        <f aca="false">IFERROR(W453/T453,0)</f>
        <v>114.299657730209</v>
      </c>
      <c r="Z453" s="48" t="n">
        <f aca="false">SUMIFS('Activation Detail'!$H$4:$H$4003,'Activation Detail'!$A$4:$A$4003,$A453,'Activation Detail'!$N$4:$N$4003,Z$2)</f>
        <v>490.057088353845</v>
      </c>
      <c r="AA453" s="50" t="n">
        <f aca="false">Z453*'Model Inputs &amp; Assumptions'!$D$42*'Model Inputs &amp; Assumptions'!$H$42</f>
        <v>2646308.27711077</v>
      </c>
      <c r="AB453" s="50" t="n">
        <f aca="false">Z453*'Model Inputs &amp; Assumptions'!$G$42*'Model Inputs &amp; Assumptions'!$H$42</f>
        <v>55572.4738193261</v>
      </c>
      <c r="AC453" s="50" t="n">
        <f aca="false">SUMIFS('Activation Detail'!$I$4:$I$4003,'Activation Detail'!$A$4:$A$4003,$A453,'Activation Detail'!$N$4:$N$4003,Z$2)</f>
        <v>38278</v>
      </c>
      <c r="AD453" s="51" t="n">
        <f aca="false">IFERROR(AB453/AC453,0)</f>
        <v>1.4518123679222</v>
      </c>
      <c r="AE453" s="49" t="n">
        <f aca="false">IFERROR(AC453/Z453,0)</f>
        <v>78.1092670826983</v>
      </c>
    </row>
    <row r="454" customFormat="false" ht="15" hidden="false" customHeight="false" outlineLevel="0" collapsed="false">
      <c r="A454" s="43" t="n">
        <v>451</v>
      </c>
      <c r="B454" s="45" t="n">
        <f aca="false">SUM('Activation Detail'!C454,'Activation Detail'!C954,'Activation Detail'!C1454,'Activation Detail'!C1954,'Activation Detail'!C2454,'Activation Detail'!C2954,'Activation Detail'!C3454,'Activation Detail'!C3954)</f>
        <v>3751880</v>
      </c>
      <c r="C454" s="45" t="n">
        <f aca="false">SUM('Activation Detail'!E454,'Activation Detail'!E954,'Activation Detail'!E1454,'Activation Detail'!E1954,'Activation Detail'!E2454,'Activation Detail'!E2954,'Activation Detail'!E3454,'Activation Detail'!E3954)</f>
        <v>429548</v>
      </c>
      <c r="D454" s="45" t="n">
        <f aca="false">SUM('Activation Detail'!G454,'Activation Detail'!G954,'Activation Detail'!G1454,'Activation Detail'!G1954,'Activation Detail'!G2454,'Activation Detail'!G2954,'Activation Detail'!G3454,'Activation Detail'!G3954)</f>
        <v>14591</v>
      </c>
      <c r="E454" s="48" t="n">
        <f aca="false">SUM('Activation Detail'!H454,'Activation Detail'!H954,'Activation Detail'!H1454,'Activation Detail'!H1954,'Activation Detail'!H2454,'Activation Detail'!H2954,'Activation Detail'!H3454,'Activation Detail'!H3954)</f>
        <v>661.200503371643</v>
      </c>
      <c r="F454" s="50" t="n">
        <f aca="false">SUM('Activation Detail'!I454,'Activation Detail'!I954,'Activation Detail'!I1454,'Activation Detail'!I1954,'Activation Detail'!I2454,'Activation Detail'!I2954,'Activation Detail'!I3454,'Activation Detail'!I3954)</f>
        <v>72157.797878</v>
      </c>
      <c r="G454" s="50" t="n">
        <f aca="false">SUM('Activation Detail'!J454,'Activation Detail'!J954,'Activation Detail'!J1454,'Activation Detail'!J1954,'Activation Detail'!J2454,'Activation Detail'!J2954,'Activation Detail'!J3454,'Activation Detail'!J3954)</f>
        <v>4189815.55479537</v>
      </c>
      <c r="H454" s="50" t="n">
        <f aca="false">SUM('Activation Detail'!K454,'Activation Detail'!K954,'Activation Detail'!K1454,'Activation Detail'!K1954,'Activation Detail'!K2454,'Activation Detail'!K2954,'Activation Detail'!K3454,'Activation Detail'!K3954)</f>
        <v>90565.7635342966</v>
      </c>
      <c r="I454" s="51" t="n">
        <f aca="false">IFERROR(H454/F454,0)</f>
        <v>1.25510708748928</v>
      </c>
      <c r="J454" s="49" t="n">
        <f aca="false">IFERROR(F454/E454,0)</f>
        <v>109.131492656233</v>
      </c>
      <c r="K454" s="46" t="n">
        <f aca="false">IFERROR(C454/B454,0)</f>
        <v>0.114488736313528</v>
      </c>
      <c r="L454" s="47" t="n">
        <f aca="false">IFERROR(D454/B454,0)</f>
        <v>0.0038889836561937</v>
      </c>
      <c r="N454" s="48" t="n">
        <f aca="false">SUMIFS('Activation Detail'!$H$4:$H$4003,'Activation Detail'!$A$4:$A$4003,$A454,'Activation Detail'!$N$4:$N$4003,N$2)</f>
        <v>79.8556669552197</v>
      </c>
      <c r="O454" s="50" t="n">
        <f aca="false">N454*'Model Inputs &amp; Assumptions'!$D$40*'Model Inputs &amp; Assumptions'!$H$40</f>
        <v>678773.169119368</v>
      </c>
      <c r="P454" s="50" t="n">
        <f aca="false">N454*'Model Inputs &amp; Assumptions'!$G$40*'Model Inputs &amp; Assumptions'!$H$40</f>
        <v>15272.3963051858</v>
      </c>
      <c r="Q454" s="50" t="n">
        <f aca="false">SUMIFS('Activation Detail'!$I$4:$I$4003,'Activation Detail'!$A$4:$A$4003,$A454,'Activation Detail'!$N$4:$N$4003,N$2)</f>
        <v>18073.113</v>
      </c>
      <c r="R454" s="51" t="n">
        <f aca="false">IFERROR(P454/Q454,0)</f>
        <v>0.845034073830323</v>
      </c>
      <c r="S454" s="49" t="n">
        <f aca="false">IFERROR(Q454/N454,0)</f>
        <v>226.322234715474</v>
      </c>
      <c r="T454" s="48" t="n">
        <f aca="false">SUMIFS('Activation Detail'!$H$4:$H$4003,'Activation Detail'!$A$4:$A$4003,$A454,'Activation Detail'!$N$4:$N$4003,T$2)</f>
        <v>206.544593904066</v>
      </c>
      <c r="U454" s="50" t="n">
        <f aca="false">T454*'Model Inputs &amp; Assumptions'!$D$41*'Model Inputs &amp; Assumptions'!$H$41</f>
        <v>1487121.07610927</v>
      </c>
      <c r="V454" s="50" t="n">
        <f aca="false">T454*'Model Inputs &amp; Assumptions'!$G$41*'Model Inputs &amp; Assumptions'!$H$41</f>
        <v>32791.0197282095</v>
      </c>
      <c r="W454" s="50" t="n">
        <f aca="false">SUMIFS('Activation Detail'!$I$4:$I$4003,'Activation Detail'!$A$4:$A$4003,$A454,'Activation Detail'!$N$4:$N$4003,T$2)</f>
        <v>17777.660878</v>
      </c>
      <c r="X454" s="51" t="n">
        <f aca="false">IFERROR(V454/W454,0)</f>
        <v>1.84450698847499</v>
      </c>
      <c r="Y454" s="49" t="n">
        <f aca="false">IFERROR(W454/T454,0)</f>
        <v>86.0717801515407</v>
      </c>
      <c r="Z454" s="48" t="n">
        <f aca="false">SUMIFS('Activation Detail'!$H$4:$H$4003,'Activation Detail'!$A$4:$A$4003,$A454,'Activation Detail'!$N$4:$N$4003,Z$2)</f>
        <v>374.800242512357</v>
      </c>
      <c r="AA454" s="50" t="n">
        <f aca="false">Z454*'Model Inputs &amp; Assumptions'!$D$42*'Model Inputs &amp; Assumptions'!$H$42</f>
        <v>2023921.30956673</v>
      </c>
      <c r="AB454" s="50" t="n">
        <f aca="false">Z454*'Model Inputs &amp; Assumptions'!$G$42*'Model Inputs &amp; Assumptions'!$H$42</f>
        <v>42502.3475009013</v>
      </c>
      <c r="AC454" s="50" t="n">
        <f aca="false">SUMIFS('Activation Detail'!$I$4:$I$4003,'Activation Detail'!$A$4:$A$4003,$A454,'Activation Detail'!$N$4:$N$4003,Z$2)</f>
        <v>36307.024</v>
      </c>
      <c r="AD454" s="51" t="n">
        <f aca="false">IFERROR(AB454/AC454,0)</f>
        <v>1.17063705086105</v>
      </c>
      <c r="AE454" s="49" t="n">
        <f aca="false">IFERROR(AC454/Z454,0)</f>
        <v>96.8703321978318</v>
      </c>
    </row>
    <row r="455" customFormat="false" ht="15" hidden="false" customHeight="false" outlineLevel="0" collapsed="false">
      <c r="A455" s="43" t="n">
        <v>452</v>
      </c>
      <c r="B455" s="45" t="n">
        <f aca="false">SUM('Activation Detail'!C455,'Activation Detail'!C955,'Activation Detail'!C1455,'Activation Detail'!C1955,'Activation Detail'!C2455,'Activation Detail'!C2955,'Activation Detail'!C3455,'Activation Detail'!C3955)</f>
        <v>4273399</v>
      </c>
      <c r="C455" s="45" t="n">
        <f aca="false">SUM('Activation Detail'!E455,'Activation Detail'!E955,'Activation Detail'!E1455,'Activation Detail'!E1955,'Activation Detail'!E2455,'Activation Detail'!E2955,'Activation Detail'!E3455,'Activation Detail'!E3955)</f>
        <v>619000</v>
      </c>
      <c r="D455" s="45" t="n">
        <f aca="false">SUM('Activation Detail'!G455,'Activation Detail'!G955,'Activation Detail'!G1455,'Activation Detail'!G1955,'Activation Detail'!G2455,'Activation Detail'!G2955,'Activation Detail'!G3455,'Activation Detail'!G3955)</f>
        <v>12326</v>
      </c>
      <c r="E455" s="48" t="n">
        <f aca="false">SUM('Activation Detail'!H455,'Activation Detail'!H955,'Activation Detail'!H1455,'Activation Detail'!H1955,'Activation Detail'!H2455,'Activation Detail'!H2955,'Activation Detail'!H3455,'Activation Detail'!H3955)</f>
        <v>456.84607811128</v>
      </c>
      <c r="F455" s="50" t="n">
        <f aca="false">SUM('Activation Detail'!I455,'Activation Detail'!I955,'Activation Detail'!I1455,'Activation Detail'!I1955,'Activation Detail'!I2455,'Activation Detail'!I2955,'Activation Detail'!I3455,'Activation Detail'!I3955)</f>
        <v>81161.131872</v>
      </c>
      <c r="G455" s="50" t="n">
        <f aca="false">SUM('Activation Detail'!J455,'Activation Detail'!J955,'Activation Detail'!J1455,'Activation Detail'!J1955,'Activation Detail'!J2455,'Activation Detail'!J2955,'Activation Detail'!J3455,'Activation Detail'!J3955)</f>
        <v>3092834.20680298</v>
      </c>
      <c r="H455" s="50" t="n">
        <f aca="false">SUM('Activation Detail'!K455,'Activation Detail'!K955,'Activation Detail'!K1455,'Activation Detail'!K1955,'Activation Detail'!K2455,'Activation Detail'!K2955,'Activation Detail'!K3455,'Activation Detail'!K3955)</f>
        <v>67555.3331997213</v>
      </c>
      <c r="I455" s="51" t="n">
        <f aca="false">IFERROR(H455/F455,0)</f>
        <v>0.832360658871336</v>
      </c>
      <c r="J455" s="49" t="n">
        <f aca="false">IFERROR(F455/E455,0)</f>
        <v>177.655310531593</v>
      </c>
      <c r="K455" s="46" t="n">
        <f aca="false">IFERROR(C455/B455,0)</f>
        <v>0.144849568224264</v>
      </c>
      <c r="L455" s="47" t="n">
        <f aca="false">IFERROR(D455/B455,0)</f>
        <v>0.00288435505320238</v>
      </c>
      <c r="N455" s="48" t="n">
        <f aca="false">SUMIFS('Activation Detail'!$H$4:$H$4003,'Activation Detail'!$A$4:$A$4003,$A455,'Activation Detail'!$N$4:$N$4003,N$2)</f>
        <v>84.5176301852811</v>
      </c>
      <c r="O455" s="50" t="n">
        <f aca="false">N455*'Model Inputs &amp; Assumptions'!$D$40*'Model Inputs &amp; Assumptions'!$H$40</f>
        <v>718399.856574889</v>
      </c>
      <c r="P455" s="50" t="n">
        <f aca="false">N455*'Model Inputs &amp; Assumptions'!$G$40*'Model Inputs &amp; Assumptions'!$H$40</f>
        <v>16163.996772935</v>
      </c>
      <c r="Q455" s="50" t="n">
        <f aca="false">SUMIFS('Activation Detail'!$I$4:$I$4003,'Activation Detail'!$A$4:$A$4003,$A455,'Activation Detail'!$N$4:$N$4003,N$2)</f>
        <v>18018.305</v>
      </c>
      <c r="R455" s="51" t="n">
        <f aca="false">IFERROR(P455/Q455,0)</f>
        <v>0.897087532536218</v>
      </c>
      <c r="S455" s="49" t="n">
        <f aca="false">IFERROR(Q455/N455,0)</f>
        <v>213.189898492184</v>
      </c>
      <c r="T455" s="48" t="n">
        <f aca="false">SUMIFS('Activation Detail'!$H$4:$H$4003,'Activation Detail'!$A$4:$A$4003,$A455,'Activation Detail'!$N$4:$N$4003,T$2)</f>
        <v>202.144850793165</v>
      </c>
      <c r="U455" s="50" t="n">
        <f aca="false">T455*'Model Inputs &amp; Assumptions'!$D$41*'Model Inputs &amp; Assumptions'!$H$41</f>
        <v>1455442.92571079</v>
      </c>
      <c r="V455" s="50" t="n">
        <f aca="false">T455*'Model Inputs &amp; Assumptions'!$G$41*'Model Inputs &amp; Assumptions'!$H$41</f>
        <v>32092.5165119229</v>
      </c>
      <c r="W455" s="50" t="n">
        <f aca="false">SUMIFS('Activation Detail'!$I$4:$I$4003,'Activation Detail'!$A$4:$A$4003,$A455,'Activation Detail'!$N$4:$N$4003,T$2)</f>
        <v>19863.382872</v>
      </c>
      <c r="X455" s="51" t="n">
        <f aca="false">IFERROR(V455/W455,0)</f>
        <v>1.61566218195197</v>
      </c>
      <c r="Y455" s="49" t="n">
        <f aca="false">IFERROR(W455/T455,0)</f>
        <v>98.2631157512106</v>
      </c>
      <c r="Z455" s="48" t="n">
        <f aca="false">SUMIFS('Activation Detail'!$H$4:$H$4003,'Activation Detail'!$A$4:$A$4003,$A455,'Activation Detail'!$N$4:$N$4003,Z$2)</f>
        <v>170.183597132834</v>
      </c>
      <c r="AA455" s="50" t="n">
        <f aca="false">Z455*'Model Inputs &amp; Assumptions'!$D$42*'Model Inputs &amp; Assumptions'!$H$42</f>
        <v>918991.424517302</v>
      </c>
      <c r="AB455" s="50" t="n">
        <f aca="false">Z455*'Model Inputs &amp; Assumptions'!$G$42*'Model Inputs &amp; Assumptions'!$H$42</f>
        <v>19298.8199148633</v>
      </c>
      <c r="AC455" s="50" t="n">
        <f aca="false">SUMIFS('Activation Detail'!$I$4:$I$4003,'Activation Detail'!$A$4:$A$4003,$A455,'Activation Detail'!$N$4:$N$4003,Z$2)</f>
        <v>43279.444</v>
      </c>
      <c r="AD455" s="51" t="n">
        <f aca="false">IFERROR(AB455/AC455,0)</f>
        <v>0.445911918712804</v>
      </c>
      <c r="AE455" s="49" t="n">
        <f aca="false">IFERROR(AC455/Z455,0)</f>
        <v>254.310313856035</v>
      </c>
    </row>
    <row r="456" customFormat="false" ht="15" hidden="false" customHeight="false" outlineLevel="0" collapsed="false">
      <c r="A456" s="43" t="n">
        <v>453</v>
      </c>
      <c r="B456" s="45" t="n">
        <f aca="false">SUM('Activation Detail'!C456,'Activation Detail'!C956,'Activation Detail'!C1456,'Activation Detail'!C1956,'Activation Detail'!C2456,'Activation Detail'!C2956,'Activation Detail'!C3456,'Activation Detail'!C3956)</f>
        <v>4112324</v>
      </c>
      <c r="C456" s="45" t="n">
        <f aca="false">SUM('Activation Detail'!E456,'Activation Detail'!E956,'Activation Detail'!E1456,'Activation Detail'!E1956,'Activation Detail'!E2456,'Activation Detail'!E2956,'Activation Detail'!E3456,'Activation Detail'!E3956)</f>
        <v>380584</v>
      </c>
      <c r="D456" s="45" t="n">
        <f aca="false">SUM('Activation Detail'!G456,'Activation Detail'!G956,'Activation Detail'!G1456,'Activation Detail'!G1956,'Activation Detail'!G2456,'Activation Detail'!G2956,'Activation Detail'!G3456,'Activation Detail'!G3956)</f>
        <v>14572</v>
      </c>
      <c r="E456" s="48" t="n">
        <f aca="false">SUM('Activation Detail'!H456,'Activation Detail'!H956,'Activation Detail'!H1456,'Activation Detail'!H1956,'Activation Detail'!H2456,'Activation Detail'!H2956,'Activation Detail'!H3456,'Activation Detail'!H3956)</f>
        <v>490.982665873055</v>
      </c>
      <c r="F456" s="50" t="n">
        <f aca="false">SUM('Activation Detail'!I456,'Activation Detail'!I956,'Activation Detail'!I1456,'Activation Detail'!I1956,'Activation Detail'!I2456,'Activation Detail'!I2956,'Activation Detail'!I3456,'Activation Detail'!I3956)</f>
        <v>77288.751838</v>
      </c>
      <c r="G456" s="50" t="n">
        <f aca="false">SUM('Activation Detail'!J456,'Activation Detail'!J956,'Activation Detail'!J1456,'Activation Detail'!J1956,'Activation Detail'!J2456,'Activation Detail'!J2956,'Activation Detail'!J3456,'Activation Detail'!J3956)</f>
        <v>3291356.72049088</v>
      </c>
      <c r="H456" s="50" t="n">
        <f aca="false">SUM('Activation Detail'!K456,'Activation Detail'!K956,'Activation Detail'!K1456,'Activation Detail'!K1956,'Activation Detail'!K2456,'Activation Detail'!K2956,'Activation Detail'!K3456,'Activation Detail'!K3956)</f>
        <v>71778.9619053338</v>
      </c>
      <c r="I456" s="51" t="n">
        <f aca="false">IFERROR(H456/F456,0)</f>
        <v>0.928711619716476</v>
      </c>
      <c r="J456" s="49" t="n">
        <f aca="false">IFERROR(F456/E456,0)</f>
        <v>157.416457260394</v>
      </c>
      <c r="K456" s="46" t="n">
        <f aca="false">IFERROR(C456/B456,0)</f>
        <v>0.0925471825663542</v>
      </c>
      <c r="L456" s="47" t="n">
        <f aca="false">IFERROR(D456/B456,0)</f>
        <v>0.00354349511371186</v>
      </c>
      <c r="N456" s="48" t="n">
        <f aca="false">SUMIFS('Activation Detail'!$H$4:$H$4003,'Activation Detail'!$A$4:$A$4003,$A456,'Activation Detail'!$N$4:$N$4003,N$2)</f>
        <v>102.742922354059</v>
      </c>
      <c r="O456" s="50" t="n">
        <f aca="false">N456*'Model Inputs &amp; Assumptions'!$D$40*'Model Inputs &amp; Assumptions'!$H$40</f>
        <v>873314.840009499</v>
      </c>
      <c r="P456" s="50" t="n">
        <f aca="false">N456*'Model Inputs &amp; Assumptions'!$G$40*'Model Inputs &amp; Assumptions'!$H$40</f>
        <v>19649.5839002137</v>
      </c>
      <c r="Q456" s="50" t="n">
        <f aca="false">SUMIFS('Activation Detail'!$I$4:$I$4003,'Activation Detail'!$A$4:$A$4003,$A456,'Activation Detail'!$N$4:$N$4003,N$2)</f>
        <v>17823.0775</v>
      </c>
      <c r="R456" s="51" t="n">
        <f aca="false">IFERROR(P456/Q456,0)</f>
        <v>1.10247985513241</v>
      </c>
      <c r="S456" s="49" t="n">
        <f aca="false">IFERROR(Q456/N456,0)</f>
        <v>173.472557443719</v>
      </c>
      <c r="T456" s="48" t="n">
        <f aca="false">SUMIFS('Activation Detail'!$H$4:$H$4003,'Activation Detail'!$A$4:$A$4003,$A456,'Activation Detail'!$N$4:$N$4003,T$2)</f>
        <v>178.637369710446</v>
      </c>
      <c r="U456" s="50" t="n">
        <f aca="false">T456*'Model Inputs &amp; Assumptions'!$D$41*'Model Inputs &amp; Assumptions'!$H$41</f>
        <v>1286189.06191521</v>
      </c>
      <c r="V456" s="50" t="n">
        <f aca="false">T456*'Model Inputs &amp; Assumptions'!$G$41*'Model Inputs &amp; Assumptions'!$H$41</f>
        <v>28360.4688152304</v>
      </c>
      <c r="W456" s="50" t="n">
        <f aca="false">SUMIFS('Activation Detail'!$I$4:$I$4003,'Activation Detail'!$A$4:$A$4003,$A456,'Activation Detail'!$N$4:$N$4003,T$2)</f>
        <v>18073.410338</v>
      </c>
      <c r="X456" s="51" t="n">
        <f aca="false">IFERROR(V456/W456,0)</f>
        <v>1.56918192443191</v>
      </c>
      <c r="Y456" s="49" t="n">
        <f aca="false">IFERROR(W456/T456,0)</f>
        <v>101.173737428486</v>
      </c>
      <c r="Z456" s="48" t="n">
        <f aca="false">SUMIFS('Activation Detail'!$H$4:$H$4003,'Activation Detail'!$A$4:$A$4003,$A456,'Activation Detail'!$N$4:$N$4003,Z$2)</f>
        <v>209.602373808551</v>
      </c>
      <c r="AA456" s="50" t="n">
        <f aca="false">Z456*'Model Inputs &amp; Assumptions'!$D$42*'Model Inputs &amp; Assumptions'!$H$42</f>
        <v>1131852.81856617</v>
      </c>
      <c r="AB456" s="50" t="n">
        <f aca="false">Z456*'Model Inputs &amp; Assumptions'!$G$42*'Model Inputs &amp; Assumptions'!$H$42</f>
        <v>23768.9091898896</v>
      </c>
      <c r="AC456" s="50" t="n">
        <f aca="false">SUMIFS('Activation Detail'!$I$4:$I$4003,'Activation Detail'!$A$4:$A$4003,$A456,'Activation Detail'!$N$4:$N$4003,Z$2)</f>
        <v>41392.264</v>
      </c>
      <c r="AD456" s="51" t="n">
        <f aca="false">IFERROR(AB456/AC456,0)</f>
        <v>0.574235542899747</v>
      </c>
      <c r="AE456" s="49" t="n">
        <f aca="false">IFERROR(AC456/Z456,0)</f>
        <v>197.479939028779</v>
      </c>
    </row>
    <row r="457" customFormat="false" ht="15" hidden="false" customHeight="false" outlineLevel="0" collapsed="false">
      <c r="A457" s="43" t="n">
        <v>454</v>
      </c>
      <c r="B457" s="45" t="n">
        <f aca="false">SUM('Activation Detail'!C457,'Activation Detail'!C957,'Activation Detail'!C1457,'Activation Detail'!C1957,'Activation Detail'!C2457,'Activation Detail'!C2957,'Activation Detail'!C3457,'Activation Detail'!C3957)</f>
        <v>4378070</v>
      </c>
      <c r="C457" s="45" t="n">
        <f aca="false">SUM('Activation Detail'!E457,'Activation Detail'!E957,'Activation Detail'!E1457,'Activation Detail'!E1957,'Activation Detail'!E2457,'Activation Detail'!E2957,'Activation Detail'!E3457,'Activation Detail'!E3957)</f>
        <v>515194</v>
      </c>
      <c r="D457" s="45" t="n">
        <f aca="false">SUM('Activation Detail'!G457,'Activation Detail'!G957,'Activation Detail'!G1457,'Activation Detail'!G1957,'Activation Detail'!G2457,'Activation Detail'!G2957,'Activation Detail'!G3457,'Activation Detail'!G3957)</f>
        <v>16505</v>
      </c>
      <c r="E457" s="48" t="n">
        <f aca="false">SUM('Activation Detail'!H457,'Activation Detail'!H957,'Activation Detail'!H1457,'Activation Detail'!H1957,'Activation Detail'!H2457,'Activation Detail'!H2957,'Activation Detail'!H3457,'Activation Detail'!H3957)</f>
        <v>675.375706311411</v>
      </c>
      <c r="F457" s="50" t="n">
        <f aca="false">SUM('Activation Detail'!I457,'Activation Detail'!I957,'Activation Detail'!I1457,'Activation Detail'!I1957,'Activation Detail'!I2457,'Activation Detail'!I2957,'Activation Detail'!I3457,'Activation Detail'!I3957)</f>
        <v>77419.75291</v>
      </c>
      <c r="G457" s="50" t="n">
        <f aca="false">SUM('Activation Detail'!J457,'Activation Detail'!J957,'Activation Detail'!J1457,'Activation Detail'!J1957,'Activation Detail'!J2457,'Activation Detail'!J2957,'Activation Detail'!J3457,'Activation Detail'!J3957)</f>
        <v>4344135.73168804</v>
      </c>
      <c r="H457" s="50" t="n">
        <f aca="false">SUM('Activation Detail'!K457,'Activation Detail'!K957,'Activation Detail'!K1457,'Activation Detail'!K1957,'Activation Detail'!K2457,'Activation Detail'!K2957,'Activation Detail'!K3457,'Activation Detail'!K3957)</f>
        <v>94131.3537898225</v>
      </c>
      <c r="I457" s="51" t="n">
        <f aca="false">IFERROR(H457/F457,0)</f>
        <v>1.21585706814706</v>
      </c>
      <c r="J457" s="49" t="n">
        <f aca="false">IFERROR(F457/E457,0)</f>
        <v>114.632125773121</v>
      </c>
      <c r="K457" s="46" t="n">
        <f aca="false">IFERROR(C457/B457,0)</f>
        <v>0.117676053603529</v>
      </c>
      <c r="L457" s="47" t="n">
        <f aca="false">IFERROR(D457/B457,0)</f>
        <v>0.00376992601762877</v>
      </c>
      <c r="N457" s="48" t="n">
        <f aca="false">SUMIFS('Activation Detail'!$H$4:$H$4003,'Activation Detail'!$A$4:$A$4003,$A457,'Activation Detail'!$N$4:$N$4003,N$2)</f>
        <v>86.4652947160587</v>
      </c>
      <c r="O457" s="50" t="n">
        <f aca="false">N457*'Model Inputs &amp; Assumptions'!$D$40*'Model Inputs &amp; Assumptions'!$H$40</f>
        <v>734955.005086499</v>
      </c>
      <c r="P457" s="50" t="n">
        <f aca="false">N457*'Model Inputs &amp; Assumptions'!$G$40*'Model Inputs &amp; Assumptions'!$H$40</f>
        <v>16536.4876144462</v>
      </c>
      <c r="Q457" s="50" t="n">
        <f aca="false">SUMIFS('Activation Detail'!$I$4:$I$4003,'Activation Detail'!$A$4:$A$4003,$A457,'Activation Detail'!$N$4:$N$4003,N$2)</f>
        <v>18747.6635</v>
      </c>
      <c r="R457" s="51" t="n">
        <f aca="false">IFERROR(P457/Q457,0)</f>
        <v>0.882055922032429</v>
      </c>
      <c r="S457" s="49" t="n">
        <f aca="false">IFERROR(Q457/N457,0)</f>
        <v>216.82298732185</v>
      </c>
      <c r="T457" s="48" t="n">
        <f aca="false">SUMIFS('Activation Detail'!$H$4:$H$4003,'Activation Detail'!$A$4:$A$4003,$A457,'Activation Detail'!$N$4:$N$4003,T$2)</f>
        <v>238.369168881469</v>
      </c>
      <c r="U457" s="50" t="n">
        <f aca="false">T457*'Model Inputs &amp; Assumptions'!$D$41*'Model Inputs &amp; Assumptions'!$H$41</f>
        <v>1716258.01594658</v>
      </c>
      <c r="V457" s="50" t="n">
        <f aca="false">T457*'Model Inputs &amp; Assumptions'!$G$41*'Model Inputs &amp; Assumptions'!$H$41</f>
        <v>37843.489251622</v>
      </c>
      <c r="W457" s="50" t="n">
        <f aca="false">SUMIFS('Activation Detail'!$I$4:$I$4003,'Activation Detail'!$A$4:$A$4003,$A457,'Activation Detail'!$N$4:$N$4003,T$2)</f>
        <v>21616.81741</v>
      </c>
      <c r="X457" s="51" t="n">
        <f aca="false">IFERROR(V457/W457,0)</f>
        <v>1.75065036327297</v>
      </c>
      <c r="Y457" s="49" t="n">
        <f aca="false">IFERROR(W457/T457,0)</f>
        <v>90.686297692925</v>
      </c>
      <c r="Z457" s="48" t="n">
        <f aca="false">SUMIFS('Activation Detail'!$H$4:$H$4003,'Activation Detail'!$A$4:$A$4003,$A457,'Activation Detail'!$N$4:$N$4003,Z$2)</f>
        <v>350.541242713883</v>
      </c>
      <c r="AA457" s="50" t="n">
        <f aca="false">Z457*'Model Inputs &amp; Assumptions'!$D$42*'Model Inputs &amp; Assumptions'!$H$42</f>
        <v>1892922.71065497</v>
      </c>
      <c r="AB457" s="50" t="n">
        <f aca="false">Z457*'Model Inputs &amp; Assumptions'!$G$42*'Model Inputs &amp; Assumptions'!$H$42</f>
        <v>39751.3769237543</v>
      </c>
      <c r="AC457" s="50" t="n">
        <f aca="false">SUMIFS('Activation Detail'!$I$4:$I$4003,'Activation Detail'!$A$4:$A$4003,$A457,'Activation Detail'!$N$4:$N$4003,Z$2)</f>
        <v>37055.272</v>
      </c>
      <c r="AD457" s="51" t="n">
        <f aca="false">IFERROR(AB457/AC457,0)</f>
        <v>1.07275901047911</v>
      </c>
      <c r="AE457" s="49" t="n">
        <f aca="false">IFERROR(AC457/Z457,0)</f>
        <v>105.708736903877</v>
      </c>
    </row>
    <row r="458" customFormat="false" ht="15" hidden="false" customHeight="false" outlineLevel="0" collapsed="false">
      <c r="A458" s="43" t="n">
        <v>455</v>
      </c>
      <c r="B458" s="45" t="n">
        <f aca="false">SUM('Activation Detail'!C458,'Activation Detail'!C958,'Activation Detail'!C1458,'Activation Detail'!C1958,'Activation Detail'!C2458,'Activation Detail'!C2958,'Activation Detail'!C3458,'Activation Detail'!C3958)</f>
        <v>4881523</v>
      </c>
      <c r="C458" s="45" t="n">
        <f aca="false">SUM('Activation Detail'!E458,'Activation Detail'!E958,'Activation Detail'!E1458,'Activation Detail'!E1958,'Activation Detail'!E2458,'Activation Detail'!E2958,'Activation Detail'!E3458,'Activation Detail'!E3958)</f>
        <v>454677</v>
      </c>
      <c r="D458" s="45" t="n">
        <f aca="false">SUM('Activation Detail'!G458,'Activation Detail'!G958,'Activation Detail'!G1458,'Activation Detail'!G1958,'Activation Detail'!G2458,'Activation Detail'!G2958,'Activation Detail'!G3458,'Activation Detail'!G3958)</f>
        <v>23655</v>
      </c>
      <c r="E458" s="48" t="n">
        <f aca="false">SUM('Activation Detail'!H458,'Activation Detail'!H958,'Activation Detail'!H1458,'Activation Detail'!H1958,'Activation Detail'!H2458,'Activation Detail'!H2958,'Activation Detail'!H3458,'Activation Detail'!H3958)</f>
        <v>677.480767895763</v>
      </c>
      <c r="F458" s="50" t="n">
        <f aca="false">SUM('Activation Detail'!I458,'Activation Detail'!I958,'Activation Detail'!I1458,'Activation Detail'!I1958,'Activation Detail'!I2458,'Activation Detail'!I2958,'Activation Detail'!I3458,'Activation Detail'!I3958)</f>
        <v>75595.847712</v>
      </c>
      <c r="G458" s="50" t="n">
        <f aca="false">SUM('Activation Detail'!J458,'Activation Detail'!J958,'Activation Detail'!J1458,'Activation Detail'!J1958,'Activation Detail'!J2458,'Activation Detail'!J2958,'Activation Detail'!J3458,'Activation Detail'!J3958)</f>
        <v>4266189.18128874</v>
      </c>
      <c r="H458" s="50" t="n">
        <f aca="false">SUM('Activation Detail'!K458,'Activation Detail'!K958,'Activation Detail'!K1458,'Activation Detail'!K1958,'Activation Detail'!K2458,'Activation Detail'!K2958,'Activation Detail'!K3458,'Activation Detail'!K3958)</f>
        <v>92123.077582445</v>
      </c>
      <c r="I458" s="51" t="n">
        <f aca="false">IFERROR(H458/F458,0)</f>
        <v>1.21862615964582</v>
      </c>
      <c r="J458" s="49" t="n">
        <f aca="false">IFERROR(F458/E458,0)</f>
        <v>111.583754542286</v>
      </c>
      <c r="K458" s="46" t="n">
        <f aca="false">IFERROR(C458/B458,0)</f>
        <v>0.093142447551717</v>
      </c>
      <c r="L458" s="47" t="n">
        <f aca="false">IFERROR(D458/B458,0)</f>
        <v>0.00484582373165096</v>
      </c>
      <c r="N458" s="48" t="n">
        <f aca="false">SUMIFS('Activation Detail'!$H$4:$H$4003,'Activation Detail'!$A$4:$A$4003,$A458,'Activation Detail'!$N$4:$N$4003,N$2)</f>
        <v>72.6887783528693</v>
      </c>
      <c r="O458" s="50" t="n">
        <f aca="false">N458*'Model Inputs &amp; Assumptions'!$D$40*'Model Inputs &amp; Assumptions'!$H$40</f>
        <v>617854.615999389</v>
      </c>
      <c r="P458" s="50" t="n">
        <f aca="false">N458*'Model Inputs &amp; Assumptions'!$G$40*'Model Inputs &amp; Assumptions'!$H$40</f>
        <v>13901.7288599862</v>
      </c>
      <c r="Q458" s="50" t="n">
        <f aca="false">SUMIFS('Activation Detail'!$I$4:$I$4003,'Activation Detail'!$A$4:$A$4003,$A458,'Activation Detail'!$N$4:$N$4003,N$2)</f>
        <v>17548.992</v>
      </c>
      <c r="R458" s="51" t="n">
        <f aca="false">IFERROR(P458/Q458,0)</f>
        <v>0.792166801374475</v>
      </c>
      <c r="S458" s="49" t="n">
        <f aca="false">IFERROR(Q458/N458,0)</f>
        <v>241.426426439691</v>
      </c>
      <c r="T458" s="48" t="n">
        <f aca="false">SUMIFS('Activation Detail'!$H$4:$H$4003,'Activation Detail'!$A$4:$A$4003,$A458,'Activation Detail'!$N$4:$N$4003,T$2)</f>
        <v>212.476567643179</v>
      </c>
      <c r="U458" s="50" t="n">
        <f aca="false">T458*'Model Inputs &amp; Assumptions'!$D$41*'Model Inputs &amp; Assumptions'!$H$41</f>
        <v>1529831.28703089</v>
      </c>
      <c r="V458" s="50" t="n">
        <f aca="false">T458*'Model Inputs &amp; Assumptions'!$G$41*'Model Inputs &amp; Assumptions'!$H$41</f>
        <v>33732.7798790311</v>
      </c>
      <c r="W458" s="50" t="n">
        <f aca="false">SUMIFS('Activation Detail'!$I$4:$I$4003,'Activation Detail'!$A$4:$A$4003,$A458,'Activation Detail'!$N$4:$N$4003,T$2)</f>
        <v>21663.835712</v>
      </c>
      <c r="X458" s="51" t="n">
        <f aca="false">IFERROR(V458/W458,0)</f>
        <v>1.55710098283038</v>
      </c>
      <c r="Y458" s="49" t="n">
        <f aca="false">IFERROR(W458/T458,0)</f>
        <v>101.958705151812</v>
      </c>
      <c r="Z458" s="48" t="n">
        <f aca="false">SUMIFS('Activation Detail'!$H$4:$H$4003,'Activation Detail'!$A$4:$A$4003,$A458,'Activation Detail'!$N$4:$N$4003,Z$2)</f>
        <v>392.315421899715</v>
      </c>
      <c r="AA458" s="50" t="n">
        <f aca="false">Z458*'Model Inputs &amp; Assumptions'!$D$42*'Model Inputs &amp; Assumptions'!$H$42</f>
        <v>2118503.27825846</v>
      </c>
      <c r="AB458" s="50" t="n">
        <f aca="false">Z458*'Model Inputs &amp; Assumptions'!$G$42*'Model Inputs &amp; Assumptions'!$H$42</f>
        <v>44488.5688434277</v>
      </c>
      <c r="AC458" s="50" t="n">
        <f aca="false">SUMIFS('Activation Detail'!$I$4:$I$4003,'Activation Detail'!$A$4:$A$4003,$A458,'Activation Detail'!$N$4:$N$4003,Z$2)</f>
        <v>36383.02</v>
      </c>
      <c r="AD458" s="51" t="n">
        <f aca="false">IFERROR(AB458/AC458,0)</f>
        <v>1.22278383826927</v>
      </c>
      <c r="AE458" s="49" t="n">
        <f aca="false">IFERROR(AC458/Z458,0)</f>
        <v>92.7392041429877</v>
      </c>
    </row>
    <row r="459" customFormat="false" ht="15" hidden="false" customHeight="false" outlineLevel="0" collapsed="false">
      <c r="A459" s="43" t="n">
        <v>456</v>
      </c>
      <c r="B459" s="45" t="n">
        <f aca="false">SUM('Activation Detail'!C459,'Activation Detail'!C959,'Activation Detail'!C1459,'Activation Detail'!C1959,'Activation Detail'!C2459,'Activation Detail'!C2959,'Activation Detail'!C3459,'Activation Detail'!C3959)</f>
        <v>4062776</v>
      </c>
      <c r="C459" s="45" t="n">
        <f aca="false">SUM('Activation Detail'!E459,'Activation Detail'!E959,'Activation Detail'!E1459,'Activation Detail'!E1959,'Activation Detail'!E2459,'Activation Detail'!E2959,'Activation Detail'!E3459,'Activation Detail'!E3959)</f>
        <v>353511</v>
      </c>
      <c r="D459" s="45" t="n">
        <f aca="false">SUM('Activation Detail'!G459,'Activation Detail'!G959,'Activation Detail'!G1459,'Activation Detail'!G1959,'Activation Detail'!G2459,'Activation Detail'!G2959,'Activation Detail'!G3459,'Activation Detail'!G3959)</f>
        <v>12589</v>
      </c>
      <c r="E459" s="48" t="n">
        <f aca="false">SUM('Activation Detail'!H459,'Activation Detail'!H959,'Activation Detail'!H1459,'Activation Detail'!H1959,'Activation Detail'!H2459,'Activation Detail'!H2959,'Activation Detail'!H3459,'Activation Detail'!H3959)</f>
        <v>562.850669151199</v>
      </c>
      <c r="F459" s="50" t="n">
        <f aca="false">SUM('Activation Detail'!I459,'Activation Detail'!I959,'Activation Detail'!I1459,'Activation Detail'!I1959,'Activation Detail'!I2459,'Activation Detail'!I2959,'Activation Detail'!I3459,'Activation Detail'!I3959)</f>
        <v>72121.000032</v>
      </c>
      <c r="G459" s="50" t="n">
        <f aca="false">SUM('Activation Detail'!J459,'Activation Detail'!J959,'Activation Detail'!J1459,'Activation Detail'!J1959,'Activation Detail'!J2459,'Activation Detail'!J2959,'Activation Detail'!J3459,'Activation Detail'!J3959)</f>
        <v>3629085.3959767</v>
      </c>
      <c r="H459" s="50" t="n">
        <f aca="false">SUM('Activation Detail'!K459,'Activation Detail'!K959,'Activation Detail'!K1459,'Activation Detail'!K1959,'Activation Detail'!K2459,'Activation Detail'!K2959,'Activation Detail'!K3459,'Activation Detail'!K3959)</f>
        <v>78661.0617430942</v>
      </c>
      <c r="I459" s="51" t="n">
        <f aca="false">IFERROR(H459/F459,0)</f>
        <v>1.09068179459786</v>
      </c>
      <c r="J459" s="49" t="n">
        <f aca="false">IFERROR(F459/E459,0)</f>
        <v>128.135230150408</v>
      </c>
      <c r="K459" s="46" t="n">
        <f aca="false">IFERROR(C459/B459,0)</f>
        <v>0.0870121808339913</v>
      </c>
      <c r="L459" s="47" t="n">
        <f aca="false">IFERROR(D459/B459,0)</f>
        <v>0.00309862025373784</v>
      </c>
      <c r="N459" s="48" t="n">
        <f aca="false">SUMIFS('Activation Detail'!$H$4:$H$4003,'Activation Detail'!$A$4:$A$4003,$A459,'Activation Detail'!$N$4:$N$4003,N$2)</f>
        <v>97.9150339606229</v>
      </c>
      <c r="O459" s="50" t="n">
        <f aca="false">N459*'Model Inputs &amp; Assumptions'!$D$40*'Model Inputs &amp; Assumptions'!$H$40</f>
        <v>832277.788665295</v>
      </c>
      <c r="P459" s="50" t="n">
        <f aca="false">N459*'Model Inputs &amp; Assumptions'!$G$40*'Model Inputs &amp; Assumptions'!$H$40</f>
        <v>18726.2502449691</v>
      </c>
      <c r="Q459" s="50" t="n">
        <f aca="false">SUMIFS('Activation Detail'!$I$4:$I$4003,'Activation Detail'!$A$4:$A$4003,$A459,'Activation Detail'!$N$4:$N$4003,N$2)</f>
        <v>18837.188</v>
      </c>
      <c r="R459" s="51" t="n">
        <f aca="false">IFERROR(P459/Q459,0)</f>
        <v>0.994110705109974</v>
      </c>
      <c r="S459" s="49" t="n">
        <f aca="false">IFERROR(Q459/N459,0)</f>
        <v>192.383000220124</v>
      </c>
      <c r="T459" s="48" t="n">
        <f aca="false">SUMIFS('Activation Detail'!$H$4:$H$4003,'Activation Detail'!$A$4:$A$4003,$A459,'Activation Detail'!$N$4:$N$4003,T$2)</f>
        <v>158.975098490162</v>
      </c>
      <c r="U459" s="50" t="n">
        <f aca="false">T459*'Model Inputs &amp; Assumptions'!$D$41*'Model Inputs &amp; Assumptions'!$H$41</f>
        <v>1144620.70912917</v>
      </c>
      <c r="V459" s="50" t="n">
        <f aca="false">T459*'Model Inputs &amp; Assumptions'!$G$41*'Model Inputs &amp; Assumptions'!$H$41</f>
        <v>25238.8866362981</v>
      </c>
      <c r="W459" s="50" t="n">
        <f aca="false">SUMIFS('Activation Detail'!$I$4:$I$4003,'Activation Detail'!$A$4:$A$4003,$A459,'Activation Detail'!$N$4:$N$4003,T$2)</f>
        <v>17860.960032</v>
      </c>
      <c r="X459" s="51" t="n">
        <f aca="false">IFERROR(V459/W459,0)</f>
        <v>1.41307559006233</v>
      </c>
      <c r="Y459" s="49" t="n">
        <f aca="false">IFERROR(W459/T459,0)</f>
        <v>112.3506775692</v>
      </c>
      <c r="Z459" s="48" t="n">
        <f aca="false">SUMIFS('Activation Detail'!$H$4:$H$4003,'Activation Detail'!$A$4:$A$4003,$A459,'Activation Detail'!$N$4:$N$4003,Z$2)</f>
        <v>305.960536700414</v>
      </c>
      <c r="AA459" s="50" t="n">
        <f aca="false">Z459*'Model Inputs &amp; Assumptions'!$D$42*'Model Inputs &amp; Assumptions'!$H$42</f>
        <v>1652186.89818224</v>
      </c>
      <c r="AB459" s="50" t="n">
        <f aca="false">Z459*'Model Inputs &amp; Assumptions'!$G$42*'Model Inputs &amp; Assumptions'!$H$42</f>
        <v>34695.924861827</v>
      </c>
      <c r="AC459" s="50" t="n">
        <f aca="false">SUMIFS('Activation Detail'!$I$4:$I$4003,'Activation Detail'!$A$4:$A$4003,$A459,'Activation Detail'!$N$4:$N$4003,Z$2)</f>
        <v>35422.852</v>
      </c>
      <c r="AD459" s="51" t="n">
        <f aca="false">IFERROR(AB459/AC459,0)</f>
        <v>0.979478582408525</v>
      </c>
      <c r="AE459" s="49" t="n">
        <f aca="false">IFERROR(AC459/Z459,0)</f>
        <v>115.775885289039</v>
      </c>
    </row>
    <row r="460" customFormat="false" ht="15" hidden="false" customHeight="false" outlineLevel="0" collapsed="false">
      <c r="A460" s="43" t="n">
        <v>457</v>
      </c>
      <c r="B460" s="45" t="n">
        <f aca="false">SUM('Activation Detail'!C460,'Activation Detail'!C960,'Activation Detail'!C1460,'Activation Detail'!C1960,'Activation Detail'!C2460,'Activation Detail'!C2960,'Activation Detail'!C3460,'Activation Detail'!C3960)</f>
        <v>5709617</v>
      </c>
      <c r="C460" s="45" t="n">
        <f aca="false">SUM('Activation Detail'!E460,'Activation Detail'!E960,'Activation Detail'!E1460,'Activation Detail'!E1960,'Activation Detail'!E2460,'Activation Detail'!E2960,'Activation Detail'!E3460,'Activation Detail'!E3960)</f>
        <v>377791</v>
      </c>
      <c r="D460" s="45" t="n">
        <f aca="false">SUM('Activation Detail'!G460,'Activation Detail'!G960,'Activation Detail'!G1460,'Activation Detail'!G1960,'Activation Detail'!G2460,'Activation Detail'!G2960,'Activation Detail'!G3460,'Activation Detail'!G3960)</f>
        <v>18175</v>
      </c>
      <c r="E460" s="48" t="n">
        <f aca="false">SUM('Activation Detail'!H460,'Activation Detail'!H960,'Activation Detail'!H1460,'Activation Detail'!H1960,'Activation Detail'!H2460,'Activation Detail'!H2960,'Activation Detail'!H3460,'Activation Detail'!H3960)</f>
        <v>782.896052696601</v>
      </c>
      <c r="F460" s="50" t="n">
        <f aca="false">SUM('Activation Detail'!I460,'Activation Detail'!I960,'Activation Detail'!I1460,'Activation Detail'!I1960,'Activation Detail'!I2460,'Activation Detail'!I2960,'Activation Detail'!I3460,'Activation Detail'!I3960)</f>
        <v>87099.383926</v>
      </c>
      <c r="G460" s="50" t="n">
        <f aca="false">SUM('Activation Detail'!J460,'Activation Detail'!J960,'Activation Detail'!J1460,'Activation Detail'!J1960,'Activation Detail'!J2460,'Activation Detail'!J2960,'Activation Detail'!J3460,'Activation Detail'!J3960)</f>
        <v>4706726.69959602</v>
      </c>
      <c r="H460" s="50" t="n">
        <f aca="false">SUM('Activation Detail'!K460,'Activation Detail'!K960,'Activation Detail'!K1460,'Activation Detail'!K1960,'Activation Detail'!K2460,'Activation Detail'!K2960,'Activation Detail'!K3460,'Activation Detail'!K3960)</f>
        <v>100834.070396642</v>
      </c>
      <c r="I460" s="51" t="n">
        <f aca="false">IFERROR(H460/F460,0)</f>
        <v>1.15768982341265</v>
      </c>
      <c r="J460" s="49" t="n">
        <f aca="false">IFERROR(F460/E460,0)</f>
        <v>111.252807605806</v>
      </c>
      <c r="K460" s="46" t="n">
        <f aca="false">IFERROR(C460/B460,0)</f>
        <v>0.0661674854898323</v>
      </c>
      <c r="L460" s="47" t="n">
        <f aca="false">IFERROR(D460/B460,0)</f>
        <v>0.00318322577503885</v>
      </c>
      <c r="N460" s="48" t="n">
        <f aca="false">SUMIFS('Activation Detail'!$H$4:$H$4003,'Activation Detail'!$A$4:$A$4003,$A460,'Activation Detail'!$N$4:$N$4003,N$2)</f>
        <v>71.7035482191062</v>
      </c>
      <c r="O460" s="50" t="n">
        <f aca="false">N460*'Model Inputs &amp; Assumptions'!$D$40*'Model Inputs &amp; Assumptions'!$H$40</f>
        <v>609480.159862403</v>
      </c>
      <c r="P460" s="50" t="n">
        <f aca="false">N460*'Model Inputs &amp; Assumptions'!$G$40*'Model Inputs &amp; Assumptions'!$H$40</f>
        <v>13713.3035969041</v>
      </c>
      <c r="Q460" s="50" t="n">
        <f aca="false">SUMIFS('Activation Detail'!$I$4:$I$4003,'Activation Detail'!$A$4:$A$4003,$A460,'Activation Detail'!$N$4:$N$4003,N$2)</f>
        <v>19954.1675</v>
      </c>
      <c r="R460" s="51" t="n">
        <f aca="false">IFERROR(P460/Q460,0)</f>
        <v>0.68724007638525</v>
      </c>
      <c r="S460" s="49" t="n">
        <f aca="false">IFERROR(Q460/N460,0)</f>
        <v>278.287030357627</v>
      </c>
      <c r="T460" s="48" t="n">
        <f aca="false">SUMIFS('Activation Detail'!$H$4:$H$4003,'Activation Detail'!$A$4:$A$4003,$A460,'Activation Detail'!$N$4:$N$4003,T$2)</f>
        <v>142.670564197303</v>
      </c>
      <c r="U460" s="50" t="n">
        <f aca="false">T460*'Model Inputs &amp; Assumptions'!$D$41*'Model Inputs &amp; Assumptions'!$H$41</f>
        <v>1027228.06222058</v>
      </c>
      <c r="V460" s="50" t="n">
        <f aca="false">T460*'Model Inputs &amp; Assumptions'!$G$41*'Model Inputs &amp; Assumptions'!$H$41</f>
        <v>22650.3787719638</v>
      </c>
      <c r="W460" s="50" t="n">
        <f aca="false">SUMIFS('Activation Detail'!$I$4:$I$4003,'Activation Detail'!$A$4:$A$4003,$A460,'Activation Detail'!$N$4:$N$4003,T$2)</f>
        <v>16925.392426</v>
      </c>
      <c r="X460" s="51" t="n">
        <f aca="false">IFERROR(V460/W460,0)</f>
        <v>1.33824836682482</v>
      </c>
      <c r="Y460" s="49" t="n">
        <f aca="false">IFERROR(W460/T460,0)</f>
        <v>118.632687276637</v>
      </c>
      <c r="Z460" s="48" t="n">
        <f aca="false">SUMIFS('Activation Detail'!$H$4:$H$4003,'Activation Detail'!$A$4:$A$4003,$A460,'Activation Detail'!$N$4:$N$4003,Z$2)</f>
        <v>568.521940280193</v>
      </c>
      <c r="AA460" s="50" t="n">
        <f aca="false">Z460*'Model Inputs &amp; Assumptions'!$D$42*'Model Inputs &amp; Assumptions'!$H$42</f>
        <v>3070018.47751304</v>
      </c>
      <c r="AB460" s="50" t="n">
        <f aca="false">Z460*'Model Inputs &amp; Assumptions'!$G$42*'Model Inputs &amp; Assumptions'!$H$42</f>
        <v>64470.3880277738</v>
      </c>
      <c r="AC460" s="50" t="n">
        <f aca="false">SUMIFS('Activation Detail'!$I$4:$I$4003,'Activation Detail'!$A$4:$A$4003,$A460,'Activation Detail'!$N$4:$N$4003,Z$2)</f>
        <v>50219.824</v>
      </c>
      <c r="AD460" s="51" t="n">
        <f aca="false">IFERROR(AB460/AC460,0)</f>
        <v>1.28376371903999</v>
      </c>
      <c r="AE460" s="49" t="n">
        <f aca="false">IFERROR(AC460/Z460,0)</f>
        <v>88.3340121847355</v>
      </c>
    </row>
    <row r="461" customFormat="false" ht="15" hidden="false" customHeight="false" outlineLevel="0" collapsed="false">
      <c r="A461" s="43" t="n">
        <v>458</v>
      </c>
      <c r="B461" s="45" t="n">
        <f aca="false">SUM('Activation Detail'!C461,'Activation Detail'!C961,'Activation Detail'!C1461,'Activation Detail'!C1961,'Activation Detail'!C2461,'Activation Detail'!C2961,'Activation Detail'!C3461,'Activation Detail'!C3961)</f>
        <v>4728252</v>
      </c>
      <c r="C461" s="45" t="n">
        <f aca="false">SUM('Activation Detail'!E461,'Activation Detail'!E961,'Activation Detail'!E1461,'Activation Detail'!E1961,'Activation Detail'!E2461,'Activation Detail'!E2961,'Activation Detail'!E3461,'Activation Detail'!E3961)</f>
        <v>454903</v>
      </c>
      <c r="D461" s="45" t="n">
        <f aca="false">SUM('Activation Detail'!G461,'Activation Detail'!G961,'Activation Detail'!G1461,'Activation Detail'!G1961,'Activation Detail'!G2461,'Activation Detail'!G2961,'Activation Detail'!G3461,'Activation Detail'!G3961)</f>
        <v>16769</v>
      </c>
      <c r="E461" s="48" t="n">
        <f aca="false">SUM('Activation Detail'!H461,'Activation Detail'!H961,'Activation Detail'!H1461,'Activation Detail'!H1961,'Activation Detail'!H2461,'Activation Detail'!H2961,'Activation Detail'!H3461,'Activation Detail'!H3961)</f>
        <v>828.056922138399</v>
      </c>
      <c r="F461" s="50" t="n">
        <f aca="false">SUM('Activation Detail'!I461,'Activation Detail'!I961,'Activation Detail'!I1461,'Activation Detail'!I1961,'Activation Detail'!I2461,'Activation Detail'!I2961,'Activation Detail'!I3461,'Activation Detail'!I3961)</f>
        <v>80686.386094</v>
      </c>
      <c r="G461" s="50" t="n">
        <f aca="false">SUM('Activation Detail'!J461,'Activation Detail'!J961,'Activation Detail'!J1461,'Activation Detail'!J1961,'Activation Detail'!J2461,'Activation Detail'!J2961,'Activation Detail'!J3461,'Activation Detail'!J3961)</f>
        <v>5022867.00053465</v>
      </c>
      <c r="H461" s="50" t="n">
        <f aca="false">SUM('Activation Detail'!K461,'Activation Detail'!K961,'Activation Detail'!K1461,'Activation Detail'!K1961,'Activation Detail'!K2461,'Activation Detail'!K2961,'Activation Detail'!K3461,'Activation Detail'!K3961)</f>
        <v>107774.603799576</v>
      </c>
      <c r="I461" s="51" t="n">
        <f aca="false">IFERROR(H461/F461,0)</f>
        <v>1.33572228249283</v>
      </c>
      <c r="J461" s="49" t="n">
        <f aca="false">IFERROR(F461/E461,0)</f>
        <v>97.4406274941016</v>
      </c>
      <c r="K461" s="46" t="n">
        <f aca="false">IFERROR(C461/B461,0)</f>
        <v>0.0962095505907892</v>
      </c>
      <c r="L461" s="47" t="n">
        <f aca="false">IFERROR(D461/B461,0)</f>
        <v>0.00354655377928249</v>
      </c>
      <c r="N461" s="48" t="n">
        <f aca="false">SUMIFS('Activation Detail'!$H$4:$H$4003,'Activation Detail'!$A$4:$A$4003,$A461,'Activation Detail'!$N$4:$N$4003,N$2)</f>
        <v>78.9393325867217</v>
      </c>
      <c r="O461" s="50" t="n">
        <f aca="false">N461*'Model Inputs &amp; Assumptions'!$D$40*'Model Inputs &amp; Assumptions'!$H$40</f>
        <v>670984.326987135</v>
      </c>
      <c r="P461" s="50" t="n">
        <f aca="false">N461*'Model Inputs &amp; Assumptions'!$G$40*'Model Inputs &amp; Assumptions'!$H$40</f>
        <v>15097.1473572105</v>
      </c>
      <c r="Q461" s="50" t="n">
        <f aca="false">SUMIFS('Activation Detail'!$I$4:$I$4003,'Activation Detail'!$A$4:$A$4003,$A461,'Activation Detail'!$N$4:$N$4003,N$2)</f>
        <v>17298.56</v>
      </c>
      <c r="R461" s="51" t="n">
        <f aca="false">IFERROR(P461/Q461,0)</f>
        <v>0.87274012155986</v>
      </c>
      <c r="S461" s="49" t="n">
        <f aca="false">IFERROR(Q461/N461,0)</f>
        <v>219.137398723203</v>
      </c>
      <c r="T461" s="48" t="n">
        <f aca="false">SUMIFS('Activation Detail'!$H$4:$H$4003,'Activation Detail'!$A$4:$A$4003,$A461,'Activation Detail'!$N$4:$N$4003,T$2)</f>
        <v>170.359827760252</v>
      </c>
      <c r="U461" s="50" t="n">
        <f aca="false">T461*'Model Inputs &amp; Assumptions'!$D$41*'Model Inputs &amp; Assumptions'!$H$41</f>
        <v>1226590.75987381</v>
      </c>
      <c r="V461" s="50" t="n">
        <f aca="false">T461*'Model Inputs &amp; Assumptions'!$G$41*'Model Inputs &amp; Assumptions'!$H$41</f>
        <v>27046.3262552176</v>
      </c>
      <c r="W461" s="50" t="n">
        <f aca="false">SUMIFS('Activation Detail'!$I$4:$I$4003,'Activation Detail'!$A$4:$A$4003,$A461,'Activation Detail'!$N$4:$N$4003,T$2)</f>
        <v>18185.622094</v>
      </c>
      <c r="X461" s="51" t="n">
        <f aca="false">IFERROR(V461/W461,0)</f>
        <v>1.4872367915388</v>
      </c>
      <c r="Y461" s="49" t="n">
        <f aca="false">IFERROR(W461/T461,0)</f>
        <v>106.748300541796</v>
      </c>
      <c r="Z461" s="48" t="n">
        <f aca="false">SUMIFS('Activation Detail'!$H$4:$H$4003,'Activation Detail'!$A$4:$A$4003,$A461,'Activation Detail'!$N$4:$N$4003,Z$2)</f>
        <v>578.757761791425</v>
      </c>
      <c r="AA461" s="50" t="n">
        <f aca="false">Z461*'Model Inputs &amp; Assumptions'!$D$42*'Model Inputs &amp; Assumptions'!$H$42</f>
        <v>3125291.9136737</v>
      </c>
      <c r="AB461" s="50" t="n">
        <f aca="false">Z461*'Model Inputs &amp; Assumptions'!$G$42*'Model Inputs &amp; Assumptions'!$H$42</f>
        <v>65631.1301871476</v>
      </c>
      <c r="AC461" s="50" t="n">
        <f aca="false">SUMIFS('Activation Detail'!$I$4:$I$4003,'Activation Detail'!$A$4:$A$4003,$A461,'Activation Detail'!$N$4:$N$4003,Z$2)</f>
        <v>45202.204</v>
      </c>
      <c r="AD461" s="51" t="n">
        <f aca="false">IFERROR(AB461/AC461,0)</f>
        <v>1.45194535618546</v>
      </c>
      <c r="AE461" s="49" t="n">
        <f aca="false">IFERROR(AC461/Z461,0)</f>
        <v>78.1021128081046</v>
      </c>
    </row>
    <row r="462" customFormat="false" ht="15" hidden="false" customHeight="false" outlineLevel="0" collapsed="false">
      <c r="A462" s="43" t="n">
        <v>459</v>
      </c>
      <c r="B462" s="45" t="n">
        <f aca="false">SUM('Activation Detail'!C462,'Activation Detail'!C962,'Activation Detail'!C1462,'Activation Detail'!C1962,'Activation Detail'!C2462,'Activation Detail'!C2962,'Activation Detail'!C3462,'Activation Detail'!C3962)</f>
        <v>4365485</v>
      </c>
      <c r="C462" s="45" t="n">
        <f aca="false">SUM('Activation Detail'!E462,'Activation Detail'!E962,'Activation Detail'!E1462,'Activation Detail'!E1962,'Activation Detail'!E2462,'Activation Detail'!E2962,'Activation Detail'!E3462,'Activation Detail'!E3962)</f>
        <v>475571</v>
      </c>
      <c r="D462" s="45" t="n">
        <f aca="false">SUM('Activation Detail'!G462,'Activation Detail'!G962,'Activation Detail'!G1462,'Activation Detail'!G1962,'Activation Detail'!G2462,'Activation Detail'!G2962,'Activation Detail'!G3462,'Activation Detail'!G3962)</f>
        <v>20599</v>
      </c>
      <c r="E462" s="48" t="n">
        <f aca="false">SUM('Activation Detail'!H462,'Activation Detail'!H962,'Activation Detail'!H1462,'Activation Detail'!H1962,'Activation Detail'!H2462,'Activation Detail'!H2962,'Activation Detail'!H3462,'Activation Detail'!H3962)</f>
        <v>1039.50229435181</v>
      </c>
      <c r="F462" s="50" t="n">
        <f aca="false">SUM('Activation Detail'!I462,'Activation Detail'!I962,'Activation Detail'!I1462,'Activation Detail'!I1962,'Activation Detail'!I2462,'Activation Detail'!I2962,'Activation Detail'!I3462,'Activation Detail'!I3962)</f>
        <v>80414.323172</v>
      </c>
      <c r="G462" s="50" t="n">
        <f aca="false">SUM('Activation Detail'!J462,'Activation Detail'!J962,'Activation Detail'!J1462,'Activation Detail'!J1962,'Activation Detail'!J2462,'Activation Detail'!J2962,'Activation Detail'!J3462,'Activation Detail'!J3962)</f>
        <v>6455556.31762688</v>
      </c>
      <c r="H462" s="50" t="n">
        <f aca="false">SUM('Activation Detail'!K462,'Activation Detail'!K962,'Activation Detail'!K1462,'Activation Detail'!K1962,'Activation Detail'!K2462,'Activation Detail'!K2962,'Activation Detail'!K3462,'Activation Detail'!K3962)</f>
        <v>139072.932186019</v>
      </c>
      <c r="I462" s="51" t="n">
        <f aca="false">IFERROR(H462/F462,0)</f>
        <v>1.72945473766598</v>
      </c>
      <c r="J462" s="49" t="n">
        <f aca="false">IFERROR(F462/E462,0)</f>
        <v>77.3584855068963</v>
      </c>
      <c r="K462" s="46" t="n">
        <f aca="false">IFERROR(C462/B462,0)</f>
        <v>0.108938869335251</v>
      </c>
      <c r="L462" s="47" t="n">
        <f aca="false">IFERROR(D462/B462,0)</f>
        <v>0.00471860514925604</v>
      </c>
      <c r="N462" s="48" t="n">
        <f aca="false">SUMIFS('Activation Detail'!$H$4:$H$4003,'Activation Detail'!$A$4:$A$4003,$A462,'Activation Detail'!$N$4:$N$4003,N$2)</f>
        <v>115.46289733079</v>
      </c>
      <c r="O462" s="50" t="n">
        <f aca="false">N462*'Model Inputs &amp; Assumptions'!$D$40*'Model Inputs &amp; Assumptions'!$H$40</f>
        <v>981434.627311714</v>
      </c>
      <c r="P462" s="50" t="n">
        <f aca="false">N462*'Model Inputs &amp; Assumptions'!$G$40*'Model Inputs &amp; Assumptions'!$H$40</f>
        <v>22082.2791145136</v>
      </c>
      <c r="Q462" s="50" t="n">
        <f aca="false">SUMIFS('Activation Detail'!$I$4:$I$4003,'Activation Detail'!$A$4:$A$4003,$A462,'Activation Detail'!$N$4:$N$4003,N$2)</f>
        <v>17765.247</v>
      </c>
      <c r="R462" s="51" t="n">
        <f aca="false">IFERROR(P462/Q462,0)</f>
        <v>1.24300433956891</v>
      </c>
      <c r="S462" s="49" t="n">
        <f aca="false">IFERROR(Q462/N462,0)</f>
        <v>153.861087939828</v>
      </c>
      <c r="T462" s="48" t="n">
        <f aca="false">SUMIFS('Activation Detail'!$H$4:$H$4003,'Activation Detail'!$A$4:$A$4003,$A462,'Activation Detail'!$N$4:$N$4003,T$2)</f>
        <v>269.060525778696</v>
      </c>
      <c r="U462" s="50" t="n">
        <f aca="false">T462*'Model Inputs &amp; Assumptions'!$D$41*'Model Inputs &amp; Assumptions'!$H$41</f>
        <v>1937235.78560661</v>
      </c>
      <c r="V462" s="50" t="n">
        <f aca="false">T462*'Model Inputs &amp; Assumptions'!$G$41*'Model Inputs &amp; Assumptions'!$H$41</f>
        <v>42716.0490726258</v>
      </c>
      <c r="W462" s="50" t="n">
        <f aca="false">SUMIFS('Activation Detail'!$I$4:$I$4003,'Activation Detail'!$A$4:$A$4003,$A462,'Activation Detail'!$N$4:$N$4003,T$2)</f>
        <v>17174.484172</v>
      </c>
      <c r="X462" s="51" t="n">
        <f aca="false">IFERROR(V462/W462,0)</f>
        <v>2.48718090423157</v>
      </c>
      <c r="Y462" s="49" t="n">
        <f aca="false">IFERROR(W462/T462,0)</f>
        <v>63.8313038387732</v>
      </c>
      <c r="Z462" s="48" t="n">
        <f aca="false">SUMIFS('Activation Detail'!$H$4:$H$4003,'Activation Detail'!$A$4:$A$4003,$A462,'Activation Detail'!$N$4:$N$4003,Z$2)</f>
        <v>654.978871242325</v>
      </c>
      <c r="AA462" s="50" t="n">
        <f aca="false">Z462*'Model Inputs &amp; Assumptions'!$D$42*'Model Inputs &amp; Assumptions'!$H$42</f>
        <v>3536885.90470856</v>
      </c>
      <c r="AB462" s="50" t="n">
        <f aca="false">Z462*'Model Inputs &amp; Assumptions'!$G$42*'Model Inputs &amp; Assumptions'!$H$42</f>
        <v>74274.6039988797</v>
      </c>
      <c r="AC462" s="50" t="n">
        <f aca="false">SUMIFS('Activation Detail'!$I$4:$I$4003,'Activation Detail'!$A$4:$A$4003,$A462,'Activation Detail'!$N$4:$N$4003,Z$2)</f>
        <v>45474.592</v>
      </c>
      <c r="AD462" s="51" t="n">
        <f aca="false">IFERROR(AB462/AC462,0)</f>
        <v>1.63332095423483</v>
      </c>
      <c r="AE462" s="49" t="n">
        <f aca="false">IFERROR(AC462/Z462,0)</f>
        <v>69.4290976344725</v>
      </c>
    </row>
    <row r="463" customFormat="false" ht="15" hidden="false" customHeight="false" outlineLevel="0" collapsed="false">
      <c r="A463" s="43" t="n">
        <v>460</v>
      </c>
      <c r="B463" s="45" t="n">
        <f aca="false">SUM('Activation Detail'!C463,'Activation Detail'!C963,'Activation Detail'!C1463,'Activation Detail'!C1963,'Activation Detail'!C2463,'Activation Detail'!C2963,'Activation Detail'!C3463,'Activation Detail'!C3963)</f>
        <v>4217110</v>
      </c>
      <c r="C463" s="45" t="n">
        <f aca="false">SUM('Activation Detail'!E463,'Activation Detail'!E963,'Activation Detail'!E1463,'Activation Detail'!E1963,'Activation Detail'!E2463,'Activation Detail'!E2963,'Activation Detail'!E3463,'Activation Detail'!E3963)</f>
        <v>361498</v>
      </c>
      <c r="D463" s="45" t="n">
        <f aca="false">SUM('Activation Detail'!G463,'Activation Detail'!G963,'Activation Detail'!G1463,'Activation Detail'!G1963,'Activation Detail'!G2463,'Activation Detail'!G2963,'Activation Detail'!G3463,'Activation Detail'!G3963)</f>
        <v>17186</v>
      </c>
      <c r="E463" s="48" t="n">
        <f aca="false">SUM('Activation Detail'!H463,'Activation Detail'!H963,'Activation Detail'!H1463,'Activation Detail'!H1963,'Activation Detail'!H2463,'Activation Detail'!H2963,'Activation Detail'!H3463,'Activation Detail'!H3963)</f>
        <v>849.193266220788</v>
      </c>
      <c r="F463" s="50" t="n">
        <f aca="false">SUM('Activation Detail'!I463,'Activation Detail'!I963,'Activation Detail'!I1463,'Activation Detail'!I1963,'Activation Detail'!I2463,'Activation Detail'!I2963,'Activation Detail'!I3463,'Activation Detail'!I3963)</f>
        <v>74307.401442</v>
      </c>
      <c r="G463" s="50" t="n">
        <f aca="false">SUM('Activation Detail'!J463,'Activation Detail'!J963,'Activation Detail'!J1463,'Activation Detail'!J1963,'Activation Detail'!J2463,'Activation Detail'!J2963,'Activation Detail'!J3463,'Activation Detail'!J3963)</f>
        <v>5060222.10774851</v>
      </c>
      <c r="H463" s="50" t="n">
        <f aca="false">SUM('Activation Detail'!K463,'Activation Detail'!K963,'Activation Detail'!K1463,'Activation Detail'!K1963,'Activation Detail'!K2463,'Activation Detail'!K2963,'Activation Detail'!K3463,'Activation Detail'!K3963)</f>
        <v>108238.502526011</v>
      </c>
      <c r="I463" s="51" t="n">
        <f aca="false">IFERROR(H463/F463,0)</f>
        <v>1.4566315121448</v>
      </c>
      <c r="J463" s="49" t="n">
        <f aca="false">IFERROR(F463/E463,0)</f>
        <v>87.5035217515258</v>
      </c>
      <c r="K463" s="46" t="n">
        <f aca="false">IFERROR(C463/B463,0)</f>
        <v>0.0857217383468774</v>
      </c>
      <c r="L463" s="47" t="n">
        <f aca="false">IFERROR(D463/B463,0)</f>
        <v>0.00407530275473014</v>
      </c>
      <c r="N463" s="48" t="n">
        <f aca="false">SUMIFS('Activation Detail'!$H$4:$H$4003,'Activation Detail'!$A$4:$A$4003,$A463,'Activation Detail'!$N$4:$N$4003,N$2)</f>
        <v>71.8196717174277</v>
      </c>
      <c r="O463" s="50" t="n">
        <f aca="false">N463*'Model Inputs &amp; Assumptions'!$D$40*'Model Inputs &amp; Assumptions'!$H$40</f>
        <v>610467.209598136</v>
      </c>
      <c r="P463" s="50" t="n">
        <f aca="false">N463*'Model Inputs &amp; Assumptions'!$G$40*'Model Inputs &amp; Assumptions'!$H$40</f>
        <v>13735.5122159581</v>
      </c>
      <c r="Q463" s="50" t="n">
        <f aca="false">SUMIFS('Activation Detail'!$I$4:$I$4003,'Activation Detail'!$A$4:$A$4003,$A463,'Activation Detail'!$N$4:$N$4003,N$2)</f>
        <v>17885.2565</v>
      </c>
      <c r="R463" s="51" t="n">
        <f aca="false">IFERROR(P463/Q463,0)</f>
        <v>0.767979604651354</v>
      </c>
      <c r="S463" s="49" t="n">
        <f aca="false">IFERROR(Q463/N463,0)</f>
        <v>249.030050852488</v>
      </c>
      <c r="T463" s="48" t="n">
        <f aca="false">SUMIFS('Activation Detail'!$H$4:$H$4003,'Activation Detail'!$A$4:$A$4003,$A463,'Activation Detail'!$N$4:$N$4003,T$2)</f>
        <v>139.965271017904</v>
      </c>
      <c r="U463" s="50" t="n">
        <f aca="false">T463*'Model Inputs &amp; Assumptions'!$D$41*'Model Inputs &amp; Assumptions'!$H$41</f>
        <v>1007749.95132891</v>
      </c>
      <c r="V463" s="50" t="n">
        <f aca="false">T463*'Model Inputs &amp; Assumptions'!$G$41*'Model Inputs &amp; Assumptions'!$H$41</f>
        <v>22220.8864268024</v>
      </c>
      <c r="W463" s="50" t="n">
        <f aca="false">SUMIFS('Activation Detail'!$I$4:$I$4003,'Activation Detail'!$A$4:$A$4003,$A463,'Activation Detail'!$N$4:$N$4003,T$2)</f>
        <v>19384.692942</v>
      </c>
      <c r="X463" s="51" t="n">
        <f aca="false">IFERROR(V463/W463,0)</f>
        <v>1.14631098327368</v>
      </c>
      <c r="Y463" s="49" t="n">
        <f aca="false">IFERROR(W463/T463,0)</f>
        <v>138.496448447704</v>
      </c>
      <c r="Z463" s="48" t="n">
        <f aca="false">SUMIFS('Activation Detail'!$H$4:$H$4003,'Activation Detail'!$A$4:$A$4003,$A463,'Activation Detail'!$N$4:$N$4003,Z$2)</f>
        <v>637.408323485456</v>
      </c>
      <c r="AA463" s="50" t="n">
        <f aca="false">Z463*'Model Inputs &amp; Assumptions'!$D$42*'Model Inputs &amp; Assumptions'!$H$42</f>
        <v>3442004.94682146</v>
      </c>
      <c r="AB463" s="50" t="n">
        <f aca="false">Z463*'Model Inputs &amp; Assumptions'!$G$42*'Model Inputs &amp; Assumptions'!$H$42</f>
        <v>72282.1038832508</v>
      </c>
      <c r="AC463" s="50" t="n">
        <f aca="false">SUMIFS('Activation Detail'!$I$4:$I$4003,'Activation Detail'!$A$4:$A$4003,$A463,'Activation Detail'!$N$4:$N$4003,Z$2)</f>
        <v>37037.452</v>
      </c>
      <c r="AD463" s="51" t="n">
        <f aca="false">IFERROR(AB463/AC463,0)</f>
        <v>1.95159493917807</v>
      </c>
      <c r="AE463" s="49" t="n">
        <f aca="false">IFERROR(AC463/Z463,0)</f>
        <v>58.1063199762955</v>
      </c>
    </row>
    <row r="464" customFormat="false" ht="15" hidden="false" customHeight="false" outlineLevel="0" collapsed="false">
      <c r="A464" s="43" t="n">
        <v>461</v>
      </c>
      <c r="B464" s="45" t="n">
        <f aca="false">SUM('Activation Detail'!C464,'Activation Detail'!C964,'Activation Detail'!C1464,'Activation Detail'!C1964,'Activation Detail'!C2464,'Activation Detail'!C2964,'Activation Detail'!C3464,'Activation Detail'!C3964)</f>
        <v>5904159</v>
      </c>
      <c r="C464" s="45" t="n">
        <f aca="false">SUM('Activation Detail'!E464,'Activation Detail'!E964,'Activation Detail'!E1464,'Activation Detail'!E1964,'Activation Detail'!E2464,'Activation Detail'!E2964,'Activation Detail'!E3464,'Activation Detail'!E3964)</f>
        <v>541586</v>
      </c>
      <c r="D464" s="45" t="n">
        <f aca="false">SUM('Activation Detail'!G464,'Activation Detail'!G964,'Activation Detail'!G1464,'Activation Detail'!G1964,'Activation Detail'!G2464,'Activation Detail'!G2964,'Activation Detail'!G3464,'Activation Detail'!G3964)</f>
        <v>21921</v>
      </c>
      <c r="E464" s="48" t="n">
        <f aca="false">SUM('Activation Detail'!H464,'Activation Detail'!H964,'Activation Detail'!H1464,'Activation Detail'!H1964,'Activation Detail'!H2464,'Activation Detail'!H2964,'Activation Detail'!H3464,'Activation Detail'!H3964)</f>
        <v>1240.60887690962</v>
      </c>
      <c r="F464" s="50" t="n">
        <f aca="false">SUM('Activation Detail'!I464,'Activation Detail'!I964,'Activation Detail'!I1464,'Activation Detail'!I1964,'Activation Detail'!I2464,'Activation Detail'!I2964,'Activation Detail'!I3464,'Activation Detail'!I3964)</f>
        <v>84445.860804</v>
      </c>
      <c r="G464" s="50" t="n">
        <f aca="false">SUM('Activation Detail'!J464,'Activation Detail'!J964,'Activation Detail'!J1464,'Activation Detail'!J1964,'Activation Detail'!J2464,'Activation Detail'!J2964,'Activation Detail'!J3464,'Activation Detail'!J3964)</f>
        <v>7303899.55406442</v>
      </c>
      <c r="H464" s="50" t="n">
        <f aca="false">SUM('Activation Detail'!K464,'Activation Detail'!K964,'Activation Detail'!K1464,'Activation Detail'!K1964,'Activation Detail'!K2464,'Activation Detail'!K2964,'Activation Detail'!K3464,'Activation Detail'!K3964)</f>
        <v>155897.309858727</v>
      </c>
      <c r="I464" s="51" t="n">
        <f aca="false">IFERROR(H464/F464,0)</f>
        <v>1.84612138918883</v>
      </c>
      <c r="J464" s="49" t="n">
        <f aca="false">IFERROR(F464/E464,0)</f>
        <v>68.0680771963813</v>
      </c>
      <c r="K464" s="46" t="n">
        <f aca="false">IFERROR(C464/B464,0)</f>
        <v>0.0917295757109522</v>
      </c>
      <c r="L464" s="47" t="n">
        <f aca="false">IFERROR(D464/B464,0)</f>
        <v>0.0037128065148652</v>
      </c>
      <c r="N464" s="48" t="n">
        <f aca="false">SUMIFS('Activation Detail'!$H$4:$H$4003,'Activation Detail'!$A$4:$A$4003,$A464,'Activation Detail'!$N$4:$N$4003,N$2)</f>
        <v>88.7021310597888</v>
      </c>
      <c r="O464" s="50" t="n">
        <f aca="false">N464*'Model Inputs &amp; Assumptions'!$D$40*'Model Inputs &amp; Assumptions'!$H$40</f>
        <v>753968.114008205</v>
      </c>
      <c r="P464" s="50" t="n">
        <f aca="false">N464*'Model Inputs &amp; Assumptions'!$G$40*'Model Inputs &amp; Assumptions'!$H$40</f>
        <v>16964.2825651846</v>
      </c>
      <c r="Q464" s="50" t="n">
        <f aca="false">SUMIFS('Activation Detail'!$I$4:$I$4003,'Activation Detail'!$A$4:$A$4003,$A464,'Activation Detail'!$N$4:$N$4003,N$2)</f>
        <v>18800.723</v>
      </c>
      <c r="R464" s="51" t="n">
        <f aca="false">IFERROR(P464/Q464,0)</f>
        <v>0.9023207546425</v>
      </c>
      <c r="S464" s="49" t="n">
        <f aca="false">IFERROR(Q464/N464,0)</f>
        <v>211.953453376758</v>
      </c>
      <c r="T464" s="48" t="n">
        <f aca="false">SUMIFS('Activation Detail'!$H$4:$H$4003,'Activation Detail'!$A$4:$A$4003,$A464,'Activation Detail'!$N$4:$N$4003,T$2)</f>
        <v>183.130562481734</v>
      </c>
      <c r="U464" s="50" t="n">
        <f aca="false">T464*'Model Inputs &amp; Assumptions'!$D$41*'Model Inputs &amp; Assumptions'!$H$41</f>
        <v>1318540.04986849</v>
      </c>
      <c r="V464" s="50" t="n">
        <f aca="false">T464*'Model Inputs &amp; Assumptions'!$G$41*'Model Inputs &amp; Assumptions'!$H$41</f>
        <v>29073.8080996001</v>
      </c>
      <c r="W464" s="50" t="n">
        <f aca="false">SUMIFS('Activation Detail'!$I$4:$I$4003,'Activation Detail'!$A$4:$A$4003,$A464,'Activation Detail'!$N$4:$N$4003,T$2)</f>
        <v>20488.953804</v>
      </c>
      <c r="X464" s="51" t="n">
        <f aca="false">IFERROR(V464/W464,0)</f>
        <v>1.4189991532864</v>
      </c>
      <c r="Y464" s="49" t="n">
        <f aca="false">IFERROR(W464/T464,0)</f>
        <v>111.881673524831</v>
      </c>
      <c r="Z464" s="48" t="n">
        <f aca="false">SUMIFS('Activation Detail'!$H$4:$H$4003,'Activation Detail'!$A$4:$A$4003,$A464,'Activation Detail'!$N$4:$N$4003,Z$2)</f>
        <v>968.776183368098</v>
      </c>
      <c r="AA464" s="50" t="n">
        <f aca="false">Z464*'Model Inputs &amp; Assumptions'!$D$42*'Model Inputs &amp; Assumptions'!$H$42</f>
        <v>5231391.39018773</v>
      </c>
      <c r="AB464" s="50" t="n">
        <f aca="false">Z464*'Model Inputs &amp; Assumptions'!$G$42*'Model Inputs &amp; Assumptions'!$H$42</f>
        <v>109859.219193942</v>
      </c>
      <c r="AC464" s="50" t="n">
        <f aca="false">SUMIFS('Activation Detail'!$I$4:$I$4003,'Activation Detail'!$A$4:$A$4003,$A464,'Activation Detail'!$N$4:$N$4003,Z$2)</f>
        <v>45156.184</v>
      </c>
      <c r="AD464" s="51" t="n">
        <f aca="false">IFERROR(AB464/AC464,0)</f>
        <v>2.4328720778076</v>
      </c>
      <c r="AE464" s="49" t="n">
        <f aca="false">IFERROR(AC464/Z464,0)</f>
        <v>46.6115752794496</v>
      </c>
    </row>
    <row r="465" customFormat="false" ht="15" hidden="false" customHeight="false" outlineLevel="0" collapsed="false">
      <c r="A465" s="43" t="n">
        <v>462</v>
      </c>
      <c r="B465" s="45" t="n">
        <f aca="false">SUM('Activation Detail'!C465,'Activation Detail'!C965,'Activation Detail'!C1465,'Activation Detail'!C1965,'Activation Detail'!C2465,'Activation Detail'!C2965,'Activation Detail'!C3465,'Activation Detail'!C3965)</f>
        <v>4117668</v>
      </c>
      <c r="C465" s="45" t="n">
        <f aca="false">SUM('Activation Detail'!E465,'Activation Detail'!E965,'Activation Detail'!E1465,'Activation Detail'!E1965,'Activation Detail'!E2465,'Activation Detail'!E2965,'Activation Detail'!E3465,'Activation Detail'!E3965)</f>
        <v>385839</v>
      </c>
      <c r="D465" s="45" t="n">
        <f aca="false">SUM('Activation Detail'!G465,'Activation Detail'!G965,'Activation Detail'!G1465,'Activation Detail'!G1965,'Activation Detail'!G2465,'Activation Detail'!G2965,'Activation Detail'!G3465,'Activation Detail'!G3965)</f>
        <v>19548</v>
      </c>
      <c r="E465" s="48" t="n">
        <f aca="false">SUM('Activation Detail'!H465,'Activation Detail'!H965,'Activation Detail'!H1465,'Activation Detail'!H1965,'Activation Detail'!H2465,'Activation Detail'!H2965,'Activation Detail'!H3465,'Activation Detail'!H3965)</f>
        <v>986.250745564086</v>
      </c>
      <c r="F465" s="50" t="n">
        <f aca="false">SUM('Activation Detail'!I465,'Activation Detail'!I965,'Activation Detail'!I1465,'Activation Detail'!I1965,'Activation Detail'!I2465,'Activation Detail'!I2965,'Activation Detail'!I3465,'Activation Detail'!I3965)</f>
        <v>73083.925628</v>
      </c>
      <c r="G465" s="50" t="n">
        <f aca="false">SUM('Activation Detail'!J465,'Activation Detail'!J965,'Activation Detail'!J1465,'Activation Detail'!J1965,'Activation Detail'!J2465,'Activation Detail'!J2965,'Activation Detail'!J3465,'Activation Detail'!J3965)</f>
        <v>5961007.57552314</v>
      </c>
      <c r="H465" s="50" t="n">
        <f aca="false">SUM('Activation Detail'!K465,'Activation Detail'!K965,'Activation Detail'!K1465,'Activation Detail'!K1965,'Activation Detail'!K2465,'Activation Detail'!K2965,'Activation Detail'!K3465,'Activation Detail'!K3965)</f>
        <v>127817.9939148</v>
      </c>
      <c r="I465" s="51" t="n">
        <f aca="false">IFERROR(H465/F465,0)</f>
        <v>1.74892074852955</v>
      </c>
      <c r="J465" s="49" t="n">
        <f aca="false">IFERROR(F465/E465,0)</f>
        <v>74.1027836548805</v>
      </c>
      <c r="K465" s="46" t="n">
        <f aca="false">IFERROR(C465/B465,0)</f>
        <v>0.0937032805947444</v>
      </c>
      <c r="L465" s="47" t="n">
        <f aca="false">IFERROR(D465/B465,0)</f>
        <v>0.00474734728491952</v>
      </c>
      <c r="N465" s="48" t="n">
        <f aca="false">SUMIFS('Activation Detail'!$H$4:$H$4003,'Activation Detail'!$A$4:$A$4003,$A465,'Activation Detail'!$N$4:$N$4003,N$2)</f>
        <v>115.666959222264</v>
      </c>
      <c r="O465" s="50" t="n">
        <f aca="false">N465*'Model Inputs &amp; Assumptions'!$D$40*'Model Inputs &amp; Assumptions'!$H$40</f>
        <v>983169.153389244</v>
      </c>
      <c r="P465" s="50" t="n">
        <f aca="false">N465*'Model Inputs &amp; Assumptions'!$G$40*'Model Inputs &amp; Assumptions'!$H$40</f>
        <v>22121.305951258</v>
      </c>
      <c r="Q465" s="50" t="n">
        <f aca="false">SUMIFS('Activation Detail'!$I$4:$I$4003,'Activation Detail'!$A$4:$A$4003,$A465,'Activation Detail'!$N$4:$N$4003,N$2)</f>
        <v>18001.6195</v>
      </c>
      <c r="R465" s="51" t="n">
        <f aca="false">IFERROR(P465/Q465,0)</f>
        <v>1.22885087929217</v>
      </c>
      <c r="S465" s="49" t="n">
        <f aca="false">IFERROR(Q465/N465,0)</f>
        <v>155.633204339783</v>
      </c>
      <c r="T465" s="48" t="n">
        <f aca="false">SUMIFS('Activation Detail'!$H$4:$H$4003,'Activation Detail'!$A$4:$A$4003,$A465,'Activation Detail'!$N$4:$N$4003,T$2)</f>
        <v>153.714431048921</v>
      </c>
      <c r="U465" s="50" t="n">
        <f aca="false">T465*'Model Inputs &amp; Assumptions'!$D$41*'Model Inputs &amp; Assumptions'!$H$41</f>
        <v>1106743.90355223</v>
      </c>
      <c r="V465" s="50" t="n">
        <f aca="false">T465*'Model Inputs &amp; Assumptions'!$G$41*'Model Inputs &amp; Assumptions'!$H$41</f>
        <v>24403.7030733267</v>
      </c>
      <c r="W465" s="50" t="n">
        <f aca="false">SUMIFS('Activation Detail'!$I$4:$I$4003,'Activation Detail'!$A$4:$A$4003,$A465,'Activation Detail'!$N$4:$N$4003,T$2)</f>
        <v>16389.370128</v>
      </c>
      <c r="X465" s="51" t="n">
        <f aca="false">IFERROR(V465/W465,0)</f>
        <v>1.48899578707023</v>
      </c>
      <c r="Y465" s="49" t="n">
        <f aca="false">IFERROR(W465/T465,0)</f>
        <v>106.622195562002</v>
      </c>
      <c r="Z465" s="48" t="n">
        <f aca="false">SUMIFS('Activation Detail'!$H$4:$H$4003,'Activation Detail'!$A$4:$A$4003,$A465,'Activation Detail'!$N$4:$N$4003,Z$2)</f>
        <v>716.8693552929</v>
      </c>
      <c r="AA465" s="50" t="n">
        <f aca="false">Z465*'Model Inputs &amp; Assumptions'!$D$42*'Model Inputs &amp; Assumptions'!$H$42</f>
        <v>3871094.51858166</v>
      </c>
      <c r="AB465" s="50" t="n">
        <f aca="false">Z465*'Model Inputs &amp; Assumptions'!$G$42*'Model Inputs &amp; Assumptions'!$H$42</f>
        <v>81292.9848902149</v>
      </c>
      <c r="AC465" s="50" t="n">
        <f aca="false">SUMIFS('Activation Detail'!$I$4:$I$4003,'Activation Detail'!$A$4:$A$4003,$A465,'Activation Detail'!$N$4:$N$4003,Z$2)</f>
        <v>38692.936</v>
      </c>
      <c r="AD465" s="51" t="n">
        <f aca="false">IFERROR(AB465/AC465,0)</f>
        <v>2.10097742105212</v>
      </c>
      <c r="AE465" s="49" t="n">
        <f aca="false">IFERROR(AC465/Z465,0)</f>
        <v>53.974878008547</v>
      </c>
    </row>
    <row r="466" customFormat="false" ht="15" hidden="false" customHeight="false" outlineLevel="0" collapsed="false">
      <c r="A466" s="43" t="n">
        <v>463</v>
      </c>
      <c r="B466" s="45" t="n">
        <f aca="false">SUM('Activation Detail'!C466,'Activation Detail'!C966,'Activation Detail'!C1466,'Activation Detail'!C1966,'Activation Detail'!C2466,'Activation Detail'!C2966,'Activation Detail'!C3466,'Activation Detail'!C3966)</f>
        <v>5163835</v>
      </c>
      <c r="C466" s="45" t="n">
        <f aca="false">SUM('Activation Detail'!E466,'Activation Detail'!E966,'Activation Detail'!E1466,'Activation Detail'!E1966,'Activation Detail'!E2466,'Activation Detail'!E2966,'Activation Detail'!E3466,'Activation Detail'!E3966)</f>
        <v>458361</v>
      </c>
      <c r="D466" s="45" t="n">
        <f aca="false">SUM('Activation Detail'!G466,'Activation Detail'!G966,'Activation Detail'!G1466,'Activation Detail'!G1966,'Activation Detail'!G2466,'Activation Detail'!G2966,'Activation Detail'!G3466,'Activation Detail'!G3966)</f>
        <v>19812</v>
      </c>
      <c r="E466" s="48" t="n">
        <f aca="false">SUM('Activation Detail'!H466,'Activation Detail'!H966,'Activation Detail'!H1466,'Activation Detail'!H1966,'Activation Detail'!H2466,'Activation Detail'!H2966,'Activation Detail'!H3466,'Activation Detail'!H3966)</f>
        <v>673.348781319244</v>
      </c>
      <c r="F466" s="50" t="n">
        <f aca="false">SUM('Activation Detail'!I466,'Activation Detail'!I966,'Activation Detail'!I1466,'Activation Detail'!I1966,'Activation Detail'!I2466,'Activation Detail'!I2966,'Activation Detail'!I3466,'Activation Detail'!I3966)</f>
        <v>82950.597742</v>
      </c>
      <c r="G466" s="50" t="n">
        <f aca="false">SUM('Activation Detail'!J466,'Activation Detail'!J966,'Activation Detail'!J1466,'Activation Detail'!J1966,'Activation Detail'!J2466,'Activation Detail'!J2966,'Activation Detail'!J3466,'Activation Detail'!J3966)</f>
        <v>4298898.00520394</v>
      </c>
      <c r="H466" s="50" t="n">
        <f aca="false">SUM('Activation Detail'!K466,'Activation Detail'!K966,'Activation Detail'!K1466,'Activation Detail'!K1966,'Activation Detail'!K2466,'Activation Detail'!K2966,'Activation Detail'!K3466,'Activation Detail'!K3966)</f>
        <v>93033.5334281671</v>
      </c>
      <c r="I466" s="51" t="n">
        <f aca="false">IFERROR(H466/F466,0)</f>
        <v>1.12155350245369</v>
      </c>
      <c r="J466" s="49" t="n">
        <f aca="false">IFERROR(F466/E466,0)</f>
        <v>123.191130723488</v>
      </c>
      <c r="K466" s="46" t="n">
        <f aca="false">IFERROR(C466/B466,0)</f>
        <v>0.0887636804816575</v>
      </c>
      <c r="L466" s="47" t="n">
        <f aca="false">IFERROR(D466/B466,0)</f>
        <v>0.00383668339518982</v>
      </c>
      <c r="N466" s="48" t="n">
        <f aca="false">SUMIFS('Activation Detail'!$H$4:$H$4003,'Activation Detail'!$A$4:$A$4003,$A466,'Activation Detail'!$N$4:$N$4003,N$2)</f>
        <v>100.540528339957</v>
      </c>
      <c r="O466" s="50" t="n">
        <f aca="false">N466*'Model Inputs &amp; Assumptions'!$D$40*'Model Inputs &amp; Assumptions'!$H$40</f>
        <v>854594.490889632</v>
      </c>
      <c r="P466" s="50" t="n">
        <f aca="false">N466*'Model Inputs &amp; Assumptions'!$G$40*'Model Inputs &amp; Assumptions'!$H$40</f>
        <v>19228.3760450167</v>
      </c>
      <c r="Q466" s="50" t="n">
        <f aca="false">SUMIFS('Activation Detail'!$I$4:$I$4003,'Activation Detail'!$A$4:$A$4003,$A466,'Activation Detail'!$N$4:$N$4003,N$2)</f>
        <v>18234.4885</v>
      </c>
      <c r="R466" s="51" t="n">
        <f aca="false">IFERROR(P466/Q466,0)</f>
        <v>1.05450591855191</v>
      </c>
      <c r="S466" s="49" t="n">
        <f aca="false">IFERROR(Q466/N466,0)</f>
        <v>181.364558164484</v>
      </c>
      <c r="T466" s="48" t="n">
        <f aca="false">SUMIFS('Activation Detail'!$H$4:$H$4003,'Activation Detail'!$A$4:$A$4003,$A466,'Activation Detail'!$N$4:$N$4003,T$2)</f>
        <v>195.077193458977</v>
      </c>
      <c r="U466" s="50" t="n">
        <f aca="false">T466*'Model Inputs &amp; Assumptions'!$D$41*'Model Inputs &amp; Assumptions'!$H$41</f>
        <v>1404555.79290464</v>
      </c>
      <c r="V466" s="50" t="n">
        <f aca="false">T466*'Model Inputs &amp; Assumptions'!$G$41*'Model Inputs &amp; Assumptions'!$H$41</f>
        <v>30970.4552335472</v>
      </c>
      <c r="W466" s="50" t="n">
        <f aca="false">SUMIFS('Activation Detail'!$I$4:$I$4003,'Activation Detail'!$A$4:$A$4003,$A466,'Activation Detail'!$N$4:$N$4003,T$2)</f>
        <v>19021.425242</v>
      </c>
      <c r="X466" s="51" t="n">
        <f aca="false">IFERROR(V466/W466,0)</f>
        <v>1.62818794278166</v>
      </c>
      <c r="Y466" s="49" t="n">
        <f aca="false">IFERROR(W466/T466,0)</f>
        <v>97.5071709036045</v>
      </c>
      <c r="Z466" s="48" t="n">
        <f aca="false">SUMIFS('Activation Detail'!$H$4:$H$4003,'Activation Detail'!$A$4:$A$4003,$A466,'Activation Detail'!$N$4:$N$4003,Z$2)</f>
        <v>377.73105952031</v>
      </c>
      <c r="AA466" s="50" t="n">
        <f aca="false">Z466*'Model Inputs &amp; Assumptions'!$D$42*'Model Inputs &amp; Assumptions'!$H$42</f>
        <v>2039747.72140967</v>
      </c>
      <c r="AB466" s="50" t="n">
        <f aca="false">Z466*'Model Inputs &amp; Assumptions'!$G$42*'Model Inputs &amp; Assumptions'!$H$42</f>
        <v>42834.7021496031</v>
      </c>
      <c r="AC466" s="50" t="n">
        <f aca="false">SUMIFS('Activation Detail'!$I$4:$I$4003,'Activation Detail'!$A$4:$A$4003,$A466,'Activation Detail'!$N$4:$N$4003,Z$2)</f>
        <v>45694.684</v>
      </c>
      <c r="AD466" s="51" t="n">
        <f aca="false">IFERROR(AB466/AC466,0)</f>
        <v>0.937411059667316</v>
      </c>
      <c r="AE466" s="49" t="n">
        <f aca="false">IFERROR(AC466/Z466,0)</f>
        <v>120.971476526259</v>
      </c>
    </row>
    <row r="467" customFormat="false" ht="15" hidden="false" customHeight="false" outlineLevel="0" collapsed="false">
      <c r="A467" s="43" t="n">
        <v>464</v>
      </c>
      <c r="B467" s="45" t="n">
        <f aca="false">SUM('Activation Detail'!C467,'Activation Detail'!C967,'Activation Detail'!C1467,'Activation Detail'!C1967,'Activation Detail'!C2467,'Activation Detail'!C2967,'Activation Detail'!C3467,'Activation Detail'!C3967)</f>
        <v>3662007</v>
      </c>
      <c r="C467" s="45" t="n">
        <f aca="false">SUM('Activation Detail'!E467,'Activation Detail'!E967,'Activation Detail'!E1467,'Activation Detail'!E1967,'Activation Detail'!E2467,'Activation Detail'!E2967,'Activation Detail'!E3467,'Activation Detail'!E3967)</f>
        <v>528065</v>
      </c>
      <c r="D467" s="45" t="n">
        <f aca="false">SUM('Activation Detail'!G467,'Activation Detail'!G967,'Activation Detail'!G1467,'Activation Detail'!G1967,'Activation Detail'!G2467,'Activation Detail'!G2967,'Activation Detail'!G3467,'Activation Detail'!G3967)</f>
        <v>16151</v>
      </c>
      <c r="E467" s="48" t="n">
        <f aca="false">SUM('Activation Detail'!H467,'Activation Detail'!H967,'Activation Detail'!H1467,'Activation Detail'!H1967,'Activation Detail'!H2467,'Activation Detail'!H2967,'Activation Detail'!H3467,'Activation Detail'!H3967)</f>
        <v>528.517916844509</v>
      </c>
      <c r="F467" s="50" t="n">
        <f aca="false">SUM('Activation Detail'!I467,'Activation Detail'!I967,'Activation Detail'!I1467,'Activation Detail'!I1967,'Activation Detail'!I2467,'Activation Detail'!I2967,'Activation Detail'!I3467,'Activation Detail'!I3967)</f>
        <v>75522.147826</v>
      </c>
      <c r="G467" s="50" t="n">
        <f aca="false">SUM('Activation Detail'!J467,'Activation Detail'!J967,'Activation Detail'!J1467,'Activation Detail'!J1967,'Activation Detail'!J2467,'Activation Detail'!J2967,'Activation Detail'!J3467,'Activation Detail'!J3967)</f>
        <v>3515708.3102839</v>
      </c>
      <c r="H467" s="50" t="n">
        <f aca="false">SUM('Activation Detail'!K467,'Activation Detail'!K967,'Activation Detail'!K1467,'Activation Detail'!K1967,'Activation Detail'!K2467,'Activation Detail'!K2967,'Activation Detail'!K3467,'Activation Detail'!K3967)</f>
        <v>76586.1774419915</v>
      </c>
      <c r="I467" s="51" t="n">
        <f aca="false">IFERROR(H467/F467,0)</f>
        <v>1.01408897451438</v>
      </c>
      <c r="J467" s="49" t="n">
        <f aca="false">IFERROR(F467/E467,0)</f>
        <v>142.894205511331</v>
      </c>
      <c r="K467" s="46" t="n">
        <f aca="false">IFERROR(C467/B467,0)</f>
        <v>0.144200980500583</v>
      </c>
      <c r="L467" s="47" t="n">
        <f aca="false">IFERROR(D467/B467,0)</f>
        <v>0.00441042302759115</v>
      </c>
      <c r="N467" s="48" t="n">
        <f aca="false">SUMIFS('Activation Detail'!$H$4:$H$4003,'Activation Detail'!$A$4:$A$4003,$A467,'Activation Detail'!$N$4:$N$4003,N$2)</f>
        <v>84.7615671453738</v>
      </c>
      <c r="O467" s="50" t="n">
        <f aca="false">N467*'Model Inputs &amp; Assumptions'!$D$40*'Model Inputs &amp; Assumptions'!$H$40</f>
        <v>720473.320735678</v>
      </c>
      <c r="P467" s="50" t="n">
        <f aca="false">N467*'Model Inputs &amp; Assumptions'!$G$40*'Model Inputs &amp; Assumptions'!$H$40</f>
        <v>16210.6497165527</v>
      </c>
      <c r="Q467" s="50" t="n">
        <f aca="false">SUMIFS('Activation Detail'!$I$4:$I$4003,'Activation Detail'!$A$4:$A$4003,$A467,'Activation Detail'!$N$4:$N$4003,N$2)</f>
        <v>19778.4725</v>
      </c>
      <c r="R467" s="51" t="n">
        <f aca="false">IFERROR(P467/Q467,0)</f>
        <v>0.819610802429396</v>
      </c>
      <c r="S467" s="49" t="n">
        <f aca="false">IFERROR(Q467/N467,0)</f>
        <v>233.342458924551</v>
      </c>
      <c r="T467" s="48" t="n">
        <f aca="false">SUMIFS('Activation Detail'!$H$4:$H$4003,'Activation Detail'!$A$4:$A$4003,$A467,'Activation Detail'!$N$4:$N$4003,T$2)</f>
        <v>221.639278429382</v>
      </c>
      <c r="U467" s="50" t="n">
        <f aca="false">T467*'Model Inputs &amp; Assumptions'!$D$41*'Model Inputs &amp; Assumptions'!$H$41</f>
        <v>1595802.80469155</v>
      </c>
      <c r="V467" s="50" t="n">
        <f aca="false">T467*'Model Inputs &amp; Assumptions'!$G$41*'Model Inputs &amp; Assumptions'!$H$41</f>
        <v>35187.4518434486</v>
      </c>
      <c r="W467" s="50" t="n">
        <f aca="false">SUMIFS('Activation Detail'!$I$4:$I$4003,'Activation Detail'!$A$4:$A$4003,$A467,'Activation Detail'!$N$4:$N$4003,T$2)</f>
        <v>20781.827326</v>
      </c>
      <c r="X467" s="51" t="n">
        <f aca="false">IFERROR(V467/W467,0)</f>
        <v>1.69318372689132</v>
      </c>
      <c r="Y467" s="49" t="n">
        <f aca="false">IFERROR(W467/T467,0)</f>
        <v>93.7641896024376</v>
      </c>
      <c r="Z467" s="48" t="n">
        <f aca="false">SUMIFS('Activation Detail'!$H$4:$H$4003,'Activation Detail'!$A$4:$A$4003,$A467,'Activation Detail'!$N$4:$N$4003,Z$2)</f>
        <v>222.117071269754</v>
      </c>
      <c r="AA467" s="50" t="n">
        <f aca="false">Z467*'Model Inputs &amp; Assumptions'!$D$42*'Model Inputs &amp; Assumptions'!$H$42</f>
        <v>1199432.18485667</v>
      </c>
      <c r="AB467" s="50" t="n">
        <f aca="false">Z467*'Model Inputs &amp; Assumptions'!$G$42*'Model Inputs &amp; Assumptions'!$H$42</f>
        <v>25188.0758819901</v>
      </c>
      <c r="AC467" s="50" t="n">
        <f aca="false">SUMIFS('Activation Detail'!$I$4:$I$4003,'Activation Detail'!$A$4:$A$4003,$A467,'Activation Detail'!$N$4:$N$4003,Z$2)</f>
        <v>34961.848</v>
      </c>
      <c r="AD467" s="51" t="n">
        <f aca="false">IFERROR(AB467/AC467,0)</f>
        <v>0.72044463673631</v>
      </c>
      <c r="AE467" s="49" t="n">
        <f aca="false">IFERROR(AC467/Z467,0)</f>
        <v>157.402795742521</v>
      </c>
    </row>
    <row r="468" customFormat="false" ht="15" hidden="false" customHeight="false" outlineLevel="0" collapsed="false">
      <c r="A468" s="43" t="n">
        <v>465</v>
      </c>
      <c r="B468" s="45" t="n">
        <f aca="false">SUM('Activation Detail'!C468,'Activation Detail'!C968,'Activation Detail'!C1468,'Activation Detail'!C1968,'Activation Detail'!C2468,'Activation Detail'!C2968,'Activation Detail'!C3468,'Activation Detail'!C3968)</f>
        <v>3576317</v>
      </c>
      <c r="C468" s="45" t="n">
        <f aca="false">SUM('Activation Detail'!E468,'Activation Detail'!E968,'Activation Detail'!E1468,'Activation Detail'!E1968,'Activation Detail'!E2468,'Activation Detail'!E2968,'Activation Detail'!E3468,'Activation Detail'!E3968)</f>
        <v>374725</v>
      </c>
      <c r="D468" s="45" t="n">
        <f aca="false">SUM('Activation Detail'!G468,'Activation Detail'!G968,'Activation Detail'!G1468,'Activation Detail'!G1968,'Activation Detail'!G2468,'Activation Detail'!G2968,'Activation Detail'!G3468,'Activation Detail'!G3968)</f>
        <v>11064</v>
      </c>
      <c r="E468" s="48" t="n">
        <f aca="false">SUM('Activation Detail'!H468,'Activation Detail'!H968,'Activation Detail'!H1468,'Activation Detail'!H1968,'Activation Detail'!H2468,'Activation Detail'!H2968,'Activation Detail'!H3468,'Activation Detail'!H3968)</f>
        <v>394.890998718899</v>
      </c>
      <c r="F468" s="50" t="n">
        <f aca="false">SUM('Activation Detail'!I468,'Activation Detail'!I968,'Activation Detail'!I1468,'Activation Detail'!I1968,'Activation Detail'!I2468,'Activation Detail'!I2968,'Activation Detail'!I3468,'Activation Detail'!I3968)</f>
        <v>69300.399546</v>
      </c>
      <c r="G468" s="50" t="n">
        <f aca="false">SUM('Activation Detail'!J468,'Activation Detail'!J968,'Activation Detail'!J1468,'Activation Detail'!J1968,'Activation Detail'!J2468,'Activation Detail'!J2968,'Activation Detail'!J3468,'Activation Detail'!J3968)</f>
        <v>2706236.41112026</v>
      </c>
      <c r="H468" s="50" t="n">
        <f aca="false">SUM('Activation Detail'!K468,'Activation Detail'!K968,'Activation Detail'!K1468,'Activation Detail'!K1968,'Activation Detail'!K2468,'Activation Detail'!K2968,'Activation Detail'!K3468,'Activation Detail'!K3968)</f>
        <v>59219.3552809988</v>
      </c>
      <c r="I468" s="51" t="n">
        <f aca="false">IFERROR(H468/F468,0)</f>
        <v>0.854531224480031</v>
      </c>
      <c r="J468" s="49" t="n">
        <f aca="false">IFERROR(F468/E468,0)</f>
        <v>175.4924770907</v>
      </c>
      <c r="K468" s="46" t="n">
        <f aca="false">IFERROR(C468/B468,0)</f>
        <v>0.104779581899479</v>
      </c>
      <c r="L468" s="47" t="n">
        <f aca="false">IFERROR(D468/B468,0)</f>
        <v>0.00309368548705274</v>
      </c>
      <c r="N468" s="48" t="n">
        <f aca="false">SUMIFS('Activation Detail'!$H$4:$H$4003,'Activation Detail'!$A$4:$A$4003,$A468,'Activation Detail'!$N$4:$N$4003,N$2)</f>
        <v>80.275660322399</v>
      </c>
      <c r="O468" s="50" t="n">
        <f aca="false">N468*'Model Inputs &amp; Assumptions'!$D$40*'Model Inputs &amp; Assumptions'!$H$40</f>
        <v>682343.112740391</v>
      </c>
      <c r="P468" s="50" t="n">
        <f aca="false">N468*'Model Inputs &amp; Assumptions'!$G$40*'Model Inputs &amp; Assumptions'!$H$40</f>
        <v>15352.7200366588</v>
      </c>
      <c r="Q468" s="50" t="n">
        <f aca="false">SUMIFS('Activation Detail'!$I$4:$I$4003,'Activation Detail'!$A$4:$A$4003,$A468,'Activation Detail'!$N$4:$N$4003,N$2)</f>
        <v>18255.0935</v>
      </c>
      <c r="R468" s="51" t="n">
        <f aca="false">IFERROR(P468/Q468,0)</f>
        <v>0.841010211021861</v>
      </c>
      <c r="S468" s="49" t="n">
        <f aca="false">IFERROR(Q468/N468,0)</f>
        <v>227.405086755871</v>
      </c>
      <c r="T468" s="48" t="n">
        <f aca="false">SUMIFS('Activation Detail'!$H$4:$H$4003,'Activation Detail'!$A$4:$A$4003,$A468,'Activation Detail'!$N$4:$N$4003,T$2)</f>
        <v>180.539150577091</v>
      </c>
      <c r="U468" s="50" t="n">
        <f aca="false">T468*'Model Inputs &amp; Assumptions'!$D$41*'Model Inputs &amp; Assumptions'!$H$41</f>
        <v>1299881.88415506</v>
      </c>
      <c r="V468" s="50" t="n">
        <f aca="false">T468*'Model Inputs &amp; Assumptions'!$G$41*'Model Inputs &amp; Assumptions'!$H$41</f>
        <v>28662.395545619</v>
      </c>
      <c r="W468" s="50" t="n">
        <f aca="false">SUMIFS('Activation Detail'!$I$4:$I$4003,'Activation Detail'!$A$4:$A$4003,$A468,'Activation Detail'!$N$4:$N$4003,T$2)</f>
        <v>17215.226046</v>
      </c>
      <c r="X468" s="51" t="n">
        <f aca="false">IFERROR(V468/W468,0)</f>
        <v>1.6649444781632</v>
      </c>
      <c r="Y468" s="49" t="n">
        <f aca="false">IFERROR(W468/T468,0)</f>
        <v>95.3545310863142</v>
      </c>
      <c r="Z468" s="48" t="n">
        <f aca="false">SUMIFS('Activation Detail'!$H$4:$H$4003,'Activation Detail'!$A$4:$A$4003,$A468,'Activation Detail'!$N$4:$N$4003,Z$2)</f>
        <v>134.076187819409</v>
      </c>
      <c r="AA468" s="50" t="n">
        <f aca="false">Z468*'Model Inputs &amp; Assumptions'!$D$42*'Model Inputs &amp; Assumptions'!$H$42</f>
        <v>724011.414224808</v>
      </c>
      <c r="AB468" s="50" t="n">
        <f aca="false">Z468*'Model Inputs &amp; Assumptions'!$G$42*'Model Inputs &amp; Assumptions'!$H$42</f>
        <v>15204.239698721</v>
      </c>
      <c r="AC468" s="50" t="n">
        <f aca="false">SUMIFS('Activation Detail'!$I$4:$I$4003,'Activation Detail'!$A$4:$A$4003,$A468,'Activation Detail'!$N$4:$N$4003,Z$2)</f>
        <v>33830.08</v>
      </c>
      <c r="AD468" s="51" t="n">
        <f aca="false">IFERROR(AB468/AC468,0)</f>
        <v>0.449429611124802</v>
      </c>
      <c r="AE468" s="49" t="n">
        <f aca="false">IFERROR(AC468/Z468,0)</f>
        <v>252.319823155822</v>
      </c>
    </row>
    <row r="469" customFormat="false" ht="15" hidden="false" customHeight="false" outlineLevel="0" collapsed="false">
      <c r="A469" s="43" t="n">
        <v>466</v>
      </c>
      <c r="B469" s="45" t="n">
        <f aca="false">SUM('Activation Detail'!C469,'Activation Detail'!C969,'Activation Detail'!C1469,'Activation Detail'!C1969,'Activation Detail'!C2469,'Activation Detail'!C2969,'Activation Detail'!C3469,'Activation Detail'!C3969)</f>
        <v>4986373</v>
      </c>
      <c r="C469" s="45" t="n">
        <f aca="false">SUM('Activation Detail'!E469,'Activation Detail'!E969,'Activation Detail'!E1469,'Activation Detail'!E1969,'Activation Detail'!E2469,'Activation Detail'!E2969,'Activation Detail'!E3469,'Activation Detail'!E3969)</f>
        <v>257385</v>
      </c>
      <c r="D469" s="45" t="n">
        <f aca="false">SUM('Activation Detail'!G469,'Activation Detail'!G969,'Activation Detail'!G1469,'Activation Detail'!G1969,'Activation Detail'!G2469,'Activation Detail'!G2969,'Activation Detail'!G3469,'Activation Detail'!G3969)</f>
        <v>18523</v>
      </c>
      <c r="E469" s="48" t="n">
        <f aca="false">SUM('Activation Detail'!H469,'Activation Detail'!H969,'Activation Detail'!H1469,'Activation Detail'!H1969,'Activation Detail'!H2469,'Activation Detail'!H2969,'Activation Detail'!H3469,'Activation Detail'!H3969)</f>
        <v>780.733439650229</v>
      </c>
      <c r="F469" s="50" t="n">
        <f aca="false">SUM('Activation Detail'!I469,'Activation Detail'!I969,'Activation Detail'!I1469,'Activation Detail'!I1969,'Activation Detail'!I2469,'Activation Detail'!I2969,'Activation Detail'!I3469,'Activation Detail'!I3969)</f>
        <v>78463.7292</v>
      </c>
      <c r="G469" s="50" t="n">
        <f aca="false">SUM('Activation Detail'!J469,'Activation Detail'!J969,'Activation Detail'!J1469,'Activation Detail'!J1969,'Activation Detail'!J2469,'Activation Detail'!J2969,'Activation Detail'!J3469,'Activation Detail'!J3969)</f>
        <v>4896522.99264953</v>
      </c>
      <c r="H469" s="50" t="n">
        <f aca="false">SUM('Activation Detail'!K469,'Activation Detail'!K969,'Activation Detail'!K1469,'Activation Detail'!K1969,'Activation Detail'!K2469,'Activation Detail'!K2969,'Activation Detail'!K3469,'Activation Detail'!K3969)</f>
        <v>105651.117256138</v>
      </c>
      <c r="I469" s="51" t="n">
        <f aca="false">IFERROR(H469/F469,0)</f>
        <v>1.34649625162269</v>
      </c>
      <c r="J469" s="49" t="n">
        <f aca="false">IFERROR(F469/E469,0)</f>
        <v>100.500023715075</v>
      </c>
      <c r="K469" s="46" t="n">
        <f aca="false">IFERROR(C469/B469,0)</f>
        <v>0.0516176788218611</v>
      </c>
      <c r="L469" s="47" t="n">
        <f aca="false">IFERROR(D469/B469,0)</f>
        <v>0.00371472410908691</v>
      </c>
      <c r="N469" s="48" t="n">
        <f aca="false">SUMIFS('Activation Detail'!$H$4:$H$4003,'Activation Detail'!$A$4:$A$4003,$A469,'Activation Detail'!$N$4:$N$4003,N$2)</f>
        <v>126.769434679181</v>
      </c>
      <c r="O469" s="50" t="n">
        <f aca="false">N469*'Model Inputs &amp; Assumptions'!$D$40*'Model Inputs &amp; Assumptions'!$H$40</f>
        <v>1077540.19477304</v>
      </c>
      <c r="P469" s="50" t="n">
        <f aca="false">N469*'Model Inputs &amp; Assumptions'!$G$40*'Model Inputs &amp; Assumptions'!$H$40</f>
        <v>24244.6543823934</v>
      </c>
      <c r="Q469" s="50" t="n">
        <f aca="false">SUMIFS('Activation Detail'!$I$4:$I$4003,'Activation Detail'!$A$4:$A$4003,$A469,'Activation Detail'!$N$4:$N$4003,N$2)</f>
        <v>17910.4115</v>
      </c>
      <c r="R469" s="51" t="n">
        <f aca="false">IFERROR(P469/Q469,0)</f>
        <v>1.35366261028639</v>
      </c>
      <c r="S469" s="49" t="n">
        <f aca="false">IFERROR(Q469/N469,0)</f>
        <v>141.283358605538</v>
      </c>
      <c r="T469" s="48" t="n">
        <f aca="false">SUMIFS('Activation Detail'!$H$4:$H$4003,'Activation Detail'!$A$4:$A$4003,$A469,'Activation Detail'!$N$4:$N$4003,T$2)</f>
        <v>159.765095018238</v>
      </c>
      <c r="U469" s="50" t="n">
        <f aca="false">T469*'Model Inputs &amp; Assumptions'!$D$41*'Model Inputs &amp; Assumptions'!$H$41</f>
        <v>1150308.68413131</v>
      </c>
      <c r="V469" s="50" t="n">
        <f aca="false">T469*'Model Inputs &amp; Assumptions'!$G$41*'Model Inputs &amp; Assumptions'!$H$41</f>
        <v>25364.3064850954</v>
      </c>
      <c r="W469" s="50" t="n">
        <f aca="false">SUMIFS('Activation Detail'!$I$4:$I$4003,'Activation Detail'!$A$4:$A$4003,$A469,'Activation Detail'!$N$4:$N$4003,T$2)</f>
        <v>16190.2137</v>
      </c>
      <c r="X469" s="51" t="n">
        <f aca="false">IFERROR(V469/W469,0)</f>
        <v>1.56664432941336</v>
      </c>
      <c r="Y469" s="49" t="n">
        <f aca="false">IFERROR(W469/T469,0)</f>
        <v>101.337615066369</v>
      </c>
      <c r="Z469" s="48" t="n">
        <f aca="false">SUMIFS('Activation Detail'!$H$4:$H$4003,'Activation Detail'!$A$4:$A$4003,$A469,'Activation Detail'!$N$4:$N$4003,Z$2)</f>
        <v>494.198909952811</v>
      </c>
      <c r="AA469" s="50" t="n">
        <f aca="false">Z469*'Model Inputs &amp; Assumptions'!$D$42*'Model Inputs &amp; Assumptions'!$H$42</f>
        <v>2668674.11374518</v>
      </c>
      <c r="AB469" s="50" t="n">
        <f aca="false">Z469*'Model Inputs &amp; Assumptions'!$G$42*'Model Inputs &amp; Assumptions'!$H$42</f>
        <v>56042.1563886487</v>
      </c>
      <c r="AC469" s="50" t="n">
        <f aca="false">SUMIFS('Activation Detail'!$I$4:$I$4003,'Activation Detail'!$A$4:$A$4003,$A469,'Activation Detail'!$N$4:$N$4003,Z$2)</f>
        <v>44363.104</v>
      </c>
      <c r="AD469" s="51" t="n">
        <f aca="false">IFERROR(AB469/AC469,0)</f>
        <v>1.26326048755851</v>
      </c>
      <c r="AE469" s="49" t="n">
        <f aca="false">IFERROR(AC469/Z469,0)</f>
        <v>89.7677091279625</v>
      </c>
    </row>
    <row r="470" customFormat="false" ht="15" hidden="false" customHeight="false" outlineLevel="0" collapsed="false">
      <c r="A470" s="43" t="n">
        <v>467</v>
      </c>
      <c r="B470" s="45" t="n">
        <f aca="false">SUM('Activation Detail'!C470,'Activation Detail'!C970,'Activation Detail'!C1470,'Activation Detail'!C1970,'Activation Detail'!C2470,'Activation Detail'!C2970,'Activation Detail'!C3470,'Activation Detail'!C3970)</f>
        <v>4366089</v>
      </c>
      <c r="C470" s="45" t="n">
        <f aca="false">SUM('Activation Detail'!E470,'Activation Detail'!E970,'Activation Detail'!E1470,'Activation Detail'!E1970,'Activation Detail'!E2470,'Activation Detail'!E2970,'Activation Detail'!E3470,'Activation Detail'!E3970)</f>
        <v>358636</v>
      </c>
      <c r="D470" s="45" t="n">
        <f aca="false">SUM('Activation Detail'!G470,'Activation Detail'!G970,'Activation Detail'!G1470,'Activation Detail'!G1970,'Activation Detail'!G2470,'Activation Detail'!G2970,'Activation Detail'!G3470,'Activation Detail'!G3970)</f>
        <v>16347</v>
      </c>
      <c r="E470" s="48" t="n">
        <f aca="false">SUM('Activation Detail'!H470,'Activation Detail'!H970,'Activation Detail'!H1470,'Activation Detail'!H1970,'Activation Detail'!H2470,'Activation Detail'!H2970,'Activation Detail'!H3470,'Activation Detail'!H3970)</f>
        <v>715.938006354839</v>
      </c>
      <c r="F470" s="50" t="n">
        <f aca="false">SUM('Activation Detail'!I470,'Activation Detail'!I970,'Activation Detail'!I1470,'Activation Detail'!I1970,'Activation Detail'!I2470,'Activation Detail'!I2970,'Activation Detail'!I3470,'Activation Detail'!I3970)</f>
        <v>77296.665092</v>
      </c>
      <c r="G470" s="50" t="n">
        <f aca="false">SUM('Activation Detail'!J470,'Activation Detail'!J970,'Activation Detail'!J1470,'Activation Detail'!J1970,'Activation Detail'!J2470,'Activation Detail'!J2970,'Activation Detail'!J3470,'Activation Detail'!J3970)</f>
        <v>4531104.3859096</v>
      </c>
      <c r="H470" s="50" t="n">
        <f aca="false">SUM('Activation Detail'!K470,'Activation Detail'!K970,'Activation Detail'!K1470,'Activation Detail'!K1970,'Activation Detail'!K2470,'Activation Detail'!K2970,'Activation Detail'!K3470,'Activation Detail'!K3970)</f>
        <v>97922.2602468662</v>
      </c>
      <c r="I470" s="51" t="n">
        <f aca="false">IFERROR(H470/F470,0)</f>
        <v>1.26683680505902</v>
      </c>
      <c r="J470" s="49" t="n">
        <f aca="false">IFERROR(F470/E470,0)</f>
        <v>107.965584178932</v>
      </c>
      <c r="K470" s="46" t="n">
        <f aca="false">IFERROR(C470/B470,0)</f>
        <v>0.0821412481513776</v>
      </c>
      <c r="L470" s="47" t="n">
        <f aca="false">IFERROR(D470/B470,0)</f>
        <v>0.0037440830912975</v>
      </c>
      <c r="N470" s="48" t="n">
        <f aca="false">SUMIFS('Activation Detail'!$H$4:$H$4003,'Activation Detail'!$A$4:$A$4003,$A470,'Activation Detail'!$N$4:$N$4003,N$2)</f>
        <v>89.2455330663494</v>
      </c>
      <c r="O470" s="50" t="n">
        <f aca="false">N470*'Model Inputs &amp; Assumptions'!$D$40*'Model Inputs &amp; Assumptions'!$H$40</f>
        <v>758587.03106397</v>
      </c>
      <c r="P470" s="50" t="n">
        <f aca="false">N470*'Model Inputs &amp; Assumptions'!$G$40*'Model Inputs &amp; Assumptions'!$H$40</f>
        <v>17068.2081989393</v>
      </c>
      <c r="Q470" s="50" t="n">
        <f aca="false">SUMIFS('Activation Detail'!$I$4:$I$4003,'Activation Detail'!$A$4:$A$4003,$A470,'Activation Detail'!$N$4:$N$4003,N$2)</f>
        <v>18956.645</v>
      </c>
      <c r="R470" s="51" t="n">
        <f aca="false">IFERROR(P470/Q470,0)</f>
        <v>0.900381275217177</v>
      </c>
      <c r="S470" s="49" t="n">
        <f aca="false">IFERROR(Q470/N470,0)</f>
        <v>212.410014806082</v>
      </c>
      <c r="T470" s="48" t="n">
        <f aca="false">SUMIFS('Activation Detail'!$H$4:$H$4003,'Activation Detail'!$A$4:$A$4003,$A470,'Activation Detail'!$N$4:$N$4003,T$2)</f>
        <v>215.765555048768</v>
      </c>
      <c r="U470" s="50" t="n">
        <f aca="false">T470*'Model Inputs &amp; Assumptions'!$D$41*'Model Inputs &amp; Assumptions'!$H$41</f>
        <v>1553511.99635113</v>
      </c>
      <c r="V470" s="50" t="n">
        <f aca="false">T470*'Model Inputs &amp; Assumptions'!$G$41*'Model Inputs &amp; Assumptions'!$H$41</f>
        <v>34254.9395195424</v>
      </c>
      <c r="W470" s="50" t="n">
        <f aca="false">SUMIFS('Activation Detail'!$I$4:$I$4003,'Activation Detail'!$A$4:$A$4003,$A470,'Activation Detail'!$N$4:$N$4003,T$2)</f>
        <v>18460.164092</v>
      </c>
      <c r="X470" s="51" t="n">
        <f aca="false">IFERROR(V470/W470,0)</f>
        <v>1.85561403185941</v>
      </c>
      <c r="Y470" s="49" t="n">
        <f aca="false">IFERROR(W470/T470,0)</f>
        <v>85.5565851918652</v>
      </c>
      <c r="Z470" s="48" t="n">
        <f aca="false">SUMIFS('Activation Detail'!$H$4:$H$4003,'Activation Detail'!$A$4:$A$4003,$A470,'Activation Detail'!$N$4:$N$4003,Z$2)</f>
        <v>410.926918239722</v>
      </c>
      <c r="AA470" s="50" t="n">
        <f aca="false">Z470*'Model Inputs &amp; Assumptions'!$D$42*'Model Inputs &amp; Assumptions'!$H$42</f>
        <v>2219005.3584945</v>
      </c>
      <c r="AB470" s="50" t="n">
        <f aca="false">Z470*'Model Inputs &amp; Assumptions'!$G$42*'Model Inputs &amp; Assumptions'!$H$42</f>
        <v>46599.1125283844</v>
      </c>
      <c r="AC470" s="50" t="n">
        <f aca="false">SUMIFS('Activation Detail'!$I$4:$I$4003,'Activation Detail'!$A$4:$A$4003,$A470,'Activation Detail'!$N$4:$N$4003,Z$2)</f>
        <v>39879.856</v>
      </c>
      <c r="AD470" s="51" t="n">
        <f aca="false">IFERROR(AB470/AC470,0)</f>
        <v>1.16848748221118</v>
      </c>
      <c r="AE470" s="49" t="n">
        <f aca="false">IFERROR(AC470/Z470,0)</f>
        <v>97.0485364425198</v>
      </c>
    </row>
    <row r="471" customFormat="false" ht="15" hidden="false" customHeight="false" outlineLevel="0" collapsed="false">
      <c r="A471" s="43" t="n">
        <v>468</v>
      </c>
      <c r="B471" s="45" t="n">
        <f aca="false">SUM('Activation Detail'!C471,'Activation Detail'!C971,'Activation Detail'!C1471,'Activation Detail'!C1971,'Activation Detail'!C2471,'Activation Detail'!C2971,'Activation Detail'!C3471,'Activation Detail'!C3971)</f>
        <v>4270649</v>
      </c>
      <c r="C471" s="45" t="n">
        <f aca="false">SUM('Activation Detail'!E471,'Activation Detail'!E971,'Activation Detail'!E1471,'Activation Detail'!E1971,'Activation Detail'!E2471,'Activation Detail'!E2971,'Activation Detail'!E3471,'Activation Detail'!E3971)</f>
        <v>347911</v>
      </c>
      <c r="D471" s="45" t="n">
        <f aca="false">SUM('Activation Detail'!G471,'Activation Detail'!G971,'Activation Detail'!G1471,'Activation Detail'!G1971,'Activation Detail'!G2471,'Activation Detail'!G2971,'Activation Detail'!G3471,'Activation Detail'!G3971)</f>
        <v>17441</v>
      </c>
      <c r="E471" s="48" t="n">
        <f aca="false">SUM('Activation Detail'!H471,'Activation Detail'!H971,'Activation Detail'!H1471,'Activation Detail'!H1971,'Activation Detail'!H2471,'Activation Detail'!H2971,'Activation Detail'!H3471,'Activation Detail'!H3971)</f>
        <v>750.290354387198</v>
      </c>
      <c r="F471" s="50" t="n">
        <f aca="false">SUM('Activation Detail'!I471,'Activation Detail'!I971,'Activation Detail'!I1471,'Activation Detail'!I1971,'Activation Detail'!I2471,'Activation Detail'!I2971,'Activation Detail'!I3471,'Activation Detail'!I3971)</f>
        <v>77456.531266</v>
      </c>
      <c r="G471" s="50" t="n">
        <f aca="false">SUM('Activation Detail'!J471,'Activation Detail'!J971,'Activation Detail'!J1471,'Activation Detail'!J1971,'Activation Detail'!J2471,'Activation Detail'!J2971,'Activation Detail'!J3471,'Activation Detail'!J3971)</f>
        <v>4619043.03241589</v>
      </c>
      <c r="H471" s="50" t="n">
        <f aca="false">SUM('Activation Detail'!K471,'Activation Detail'!K971,'Activation Detail'!K1471,'Activation Detail'!K1971,'Activation Detail'!K2471,'Activation Detail'!K2971,'Activation Detail'!K3471,'Activation Detail'!K3971)</f>
        <v>99353.5613908708</v>
      </c>
      <c r="I471" s="51" t="n">
        <f aca="false">IFERROR(H471/F471,0)</f>
        <v>1.28270088741351</v>
      </c>
      <c r="J471" s="49" t="n">
        <f aca="false">IFERROR(F471/E471,0)</f>
        <v>103.235408549618</v>
      </c>
      <c r="K471" s="46" t="n">
        <f aca="false">IFERROR(C471/B471,0)</f>
        <v>0.0814656039398227</v>
      </c>
      <c r="L471" s="47" t="n">
        <f aca="false">IFERROR(D471/B471,0)</f>
        <v>0.00408392260754747</v>
      </c>
      <c r="N471" s="48" t="n">
        <f aca="false">SUMIFS('Activation Detail'!$H$4:$H$4003,'Activation Detail'!$A$4:$A$4003,$A471,'Activation Detail'!$N$4:$N$4003,N$2)</f>
        <v>110.139957436864</v>
      </c>
      <c r="O471" s="50" t="n">
        <f aca="false">N471*'Model Inputs &amp; Assumptions'!$D$40*'Model Inputs &amp; Assumptions'!$H$40</f>
        <v>936189.638213345</v>
      </c>
      <c r="P471" s="50" t="n">
        <f aca="false">N471*'Model Inputs &amp; Assumptions'!$G$40*'Model Inputs &amp; Assumptions'!$H$40</f>
        <v>21064.2668598003</v>
      </c>
      <c r="Q471" s="50" t="n">
        <f aca="false">SUMIFS('Activation Detail'!$I$4:$I$4003,'Activation Detail'!$A$4:$A$4003,$A471,'Activation Detail'!$N$4:$N$4003,N$2)</f>
        <v>18310.454</v>
      </c>
      <c r="R471" s="51" t="n">
        <f aca="false">IFERROR(P471/Q471,0)</f>
        <v>1.15039566248878</v>
      </c>
      <c r="S471" s="49" t="n">
        <f aca="false">IFERROR(Q471/N471,0)</f>
        <v>166.247149773016</v>
      </c>
      <c r="T471" s="48" t="n">
        <f aca="false">SUMIFS('Activation Detail'!$H$4:$H$4003,'Activation Detail'!$A$4:$A$4003,$A471,'Activation Detail'!$N$4:$N$4003,T$2)</f>
        <v>125.578472594856</v>
      </c>
      <c r="U471" s="50" t="n">
        <f aca="false">T471*'Model Inputs &amp; Assumptions'!$D$41*'Model Inputs &amp; Assumptions'!$H$41</f>
        <v>904165.002682963</v>
      </c>
      <c r="V471" s="50" t="n">
        <f aca="false">T471*'Model Inputs &amp; Assumptions'!$G$41*'Model Inputs &amp; Assumptions'!$H$41</f>
        <v>19936.8383091593</v>
      </c>
      <c r="W471" s="50" t="n">
        <f aca="false">SUMIFS('Activation Detail'!$I$4:$I$4003,'Activation Detail'!$A$4:$A$4003,$A471,'Activation Detail'!$N$4:$N$4003,T$2)</f>
        <v>15960.053266</v>
      </c>
      <c r="X471" s="51" t="n">
        <f aca="false">IFERROR(V471/W471,0)</f>
        <v>1.24917116358447</v>
      </c>
      <c r="Y471" s="49" t="n">
        <f aca="false">IFERROR(W471/T471,0)</f>
        <v>127.092270961844</v>
      </c>
      <c r="Z471" s="48" t="n">
        <f aca="false">SUMIFS('Activation Detail'!$H$4:$H$4003,'Activation Detail'!$A$4:$A$4003,$A471,'Activation Detail'!$N$4:$N$4003,Z$2)</f>
        <v>514.571924355478</v>
      </c>
      <c r="AA471" s="50" t="n">
        <f aca="false">Z471*'Model Inputs &amp; Assumptions'!$D$42*'Model Inputs &amp; Assumptions'!$H$42</f>
        <v>2778688.39151958</v>
      </c>
      <c r="AB471" s="50" t="n">
        <f aca="false">Z471*'Model Inputs &amp; Assumptions'!$G$42*'Model Inputs &amp; Assumptions'!$H$42</f>
        <v>58352.4562219112</v>
      </c>
      <c r="AC471" s="50" t="n">
        <f aca="false">SUMIFS('Activation Detail'!$I$4:$I$4003,'Activation Detail'!$A$4:$A$4003,$A471,'Activation Detail'!$N$4:$N$4003,Z$2)</f>
        <v>43186.024</v>
      </c>
      <c r="AD471" s="51" t="n">
        <f aca="false">IFERROR(AB471/AC471,0)</f>
        <v>1.35118843591416</v>
      </c>
      <c r="AE471" s="49" t="n">
        <f aca="false">IFERROR(AC471/Z471,0)</f>
        <v>83.9261179165424</v>
      </c>
    </row>
    <row r="472" customFormat="false" ht="15" hidden="false" customHeight="false" outlineLevel="0" collapsed="false">
      <c r="A472" s="43" t="n">
        <v>469</v>
      </c>
      <c r="B472" s="45" t="n">
        <f aca="false">SUM('Activation Detail'!C472,'Activation Detail'!C972,'Activation Detail'!C1472,'Activation Detail'!C1972,'Activation Detail'!C2472,'Activation Detail'!C2972,'Activation Detail'!C3472,'Activation Detail'!C3972)</f>
        <v>4320038</v>
      </c>
      <c r="C472" s="45" t="n">
        <f aca="false">SUM('Activation Detail'!E472,'Activation Detail'!E972,'Activation Detail'!E1472,'Activation Detail'!E1972,'Activation Detail'!E2472,'Activation Detail'!E2972,'Activation Detail'!E3472,'Activation Detail'!E3972)</f>
        <v>408769</v>
      </c>
      <c r="D472" s="45" t="n">
        <f aca="false">SUM('Activation Detail'!G472,'Activation Detail'!G972,'Activation Detail'!G1472,'Activation Detail'!G1972,'Activation Detail'!G2472,'Activation Detail'!G2972,'Activation Detail'!G3472,'Activation Detail'!G3972)</f>
        <v>18904</v>
      </c>
      <c r="E472" s="48" t="n">
        <f aca="false">SUM('Activation Detail'!H472,'Activation Detail'!H972,'Activation Detail'!H1472,'Activation Detail'!H1972,'Activation Detail'!H2472,'Activation Detail'!H2972,'Activation Detail'!H3472,'Activation Detail'!H3972)</f>
        <v>695.48520635968</v>
      </c>
      <c r="F472" s="50" t="n">
        <f aca="false">SUM('Activation Detail'!I472,'Activation Detail'!I972,'Activation Detail'!I1472,'Activation Detail'!I1972,'Activation Detail'!I2472,'Activation Detail'!I2972,'Activation Detail'!I3472,'Activation Detail'!I3972)</f>
        <v>73598.237308</v>
      </c>
      <c r="G472" s="50" t="n">
        <f aca="false">SUM('Activation Detail'!J472,'Activation Detail'!J972,'Activation Detail'!J1472,'Activation Detail'!J1972,'Activation Detail'!J2472,'Activation Detail'!J2972,'Activation Detail'!J3472,'Activation Detail'!J3972)</f>
        <v>4329422.92913794</v>
      </c>
      <c r="H472" s="50" t="n">
        <f aca="false">SUM('Activation Detail'!K472,'Activation Detail'!K972,'Activation Detail'!K1472,'Activation Detail'!K1972,'Activation Detail'!K2472,'Activation Detail'!K2972,'Activation Detail'!K3472,'Activation Detail'!K3972)</f>
        <v>93312.0967026784</v>
      </c>
      <c r="I472" s="51" t="n">
        <f aca="false">IFERROR(H472/F472,0)</f>
        <v>1.26785776556276</v>
      </c>
      <c r="J472" s="49" t="n">
        <f aca="false">IFERROR(F472/E472,0)</f>
        <v>105.822865296056</v>
      </c>
      <c r="K472" s="46" t="n">
        <f aca="false">IFERROR(C472/B472,0)</f>
        <v>0.094621621383886</v>
      </c>
      <c r="L472" s="47" t="n">
        <f aca="false">IFERROR(D472/B472,0)</f>
        <v>0.00437588743432349</v>
      </c>
      <c r="N472" s="48" t="n">
        <f aca="false">SUMIFS('Activation Detail'!$H$4:$H$4003,'Activation Detail'!$A$4:$A$4003,$A472,'Activation Detail'!$N$4:$N$4003,N$2)</f>
        <v>58.3578939264919</v>
      </c>
      <c r="O472" s="50" t="n">
        <f aca="false">N472*'Model Inputs &amp; Assumptions'!$D$40*'Model Inputs &amp; Assumptions'!$H$40</f>
        <v>496042.098375181</v>
      </c>
      <c r="P472" s="50" t="n">
        <f aca="false">N472*'Model Inputs &amp; Assumptions'!$G$40*'Model Inputs &amp; Assumptions'!$H$40</f>
        <v>11160.9472134416</v>
      </c>
      <c r="Q472" s="50" t="n">
        <f aca="false">SUMIFS('Activation Detail'!$I$4:$I$4003,'Activation Detail'!$A$4:$A$4003,$A472,'Activation Detail'!$N$4:$N$4003,N$2)</f>
        <v>17727.9825</v>
      </c>
      <c r="R472" s="51" t="n">
        <f aca="false">IFERROR(P472/Q472,0)</f>
        <v>0.629566687209984</v>
      </c>
      <c r="S472" s="49" t="n">
        <f aca="false">IFERROR(Q472/N472,0)</f>
        <v>303.780368125182</v>
      </c>
      <c r="T472" s="48" t="n">
        <f aca="false">SUMIFS('Activation Detail'!$H$4:$H$4003,'Activation Detail'!$A$4:$A$4003,$A472,'Activation Detail'!$N$4:$N$4003,T$2)</f>
        <v>218.274079790858</v>
      </c>
      <c r="U472" s="50" t="n">
        <f aca="false">T472*'Model Inputs &amp; Assumptions'!$D$41*'Model Inputs &amp; Assumptions'!$H$41</f>
        <v>1571573.37449417</v>
      </c>
      <c r="V472" s="50" t="n">
        <f aca="false">T472*'Model Inputs &amp; Assumptions'!$G$41*'Model Inputs &amp; Assumptions'!$H$41</f>
        <v>34653.1929075965</v>
      </c>
      <c r="W472" s="50" t="n">
        <f aca="false">SUMIFS('Activation Detail'!$I$4:$I$4003,'Activation Detail'!$A$4:$A$4003,$A472,'Activation Detail'!$N$4:$N$4003,T$2)</f>
        <v>17852.078808</v>
      </c>
      <c r="X472" s="51" t="n">
        <f aca="false">IFERROR(V472/W472,0)</f>
        <v>1.94112928137352</v>
      </c>
      <c r="Y472" s="49" t="n">
        <f aca="false">IFERROR(W472/T472,0)</f>
        <v>81.7874427651017</v>
      </c>
      <c r="Z472" s="48" t="n">
        <f aca="false">SUMIFS('Activation Detail'!$H$4:$H$4003,'Activation Detail'!$A$4:$A$4003,$A472,'Activation Detail'!$N$4:$N$4003,Z$2)</f>
        <v>418.853232642331</v>
      </c>
      <c r="AA472" s="50" t="n">
        <f aca="false">Z472*'Model Inputs &amp; Assumptions'!$D$42*'Model Inputs &amp; Assumptions'!$H$42</f>
        <v>2261807.45626859</v>
      </c>
      <c r="AB472" s="50" t="n">
        <f aca="false">Z472*'Model Inputs &amp; Assumptions'!$G$42*'Model Inputs &amp; Assumptions'!$H$42</f>
        <v>47497.9565816403</v>
      </c>
      <c r="AC472" s="50" t="n">
        <f aca="false">SUMIFS('Activation Detail'!$I$4:$I$4003,'Activation Detail'!$A$4:$A$4003,$A472,'Activation Detail'!$N$4:$N$4003,Z$2)</f>
        <v>38018.176</v>
      </c>
      <c r="AD472" s="51" t="n">
        <f aca="false">IFERROR(AB472/AC472,0)</f>
        <v>1.2493486426503</v>
      </c>
      <c r="AE472" s="49" t="n">
        <f aca="false">IFERROR(AC472/Z472,0)</f>
        <v>90.7672975571008</v>
      </c>
    </row>
    <row r="473" customFormat="false" ht="15" hidden="false" customHeight="false" outlineLevel="0" collapsed="false">
      <c r="A473" s="43" t="n">
        <v>470</v>
      </c>
      <c r="B473" s="45" t="n">
        <f aca="false">SUM('Activation Detail'!C473,'Activation Detail'!C973,'Activation Detail'!C1473,'Activation Detail'!C1973,'Activation Detail'!C2473,'Activation Detail'!C2973,'Activation Detail'!C3473,'Activation Detail'!C3973)</f>
        <v>5112241</v>
      </c>
      <c r="C473" s="45" t="n">
        <f aca="false">SUM('Activation Detail'!E473,'Activation Detail'!E973,'Activation Detail'!E1473,'Activation Detail'!E1973,'Activation Detail'!E2473,'Activation Detail'!E2973,'Activation Detail'!E3473,'Activation Detail'!E3973)</f>
        <v>557877</v>
      </c>
      <c r="D473" s="45" t="n">
        <f aca="false">SUM('Activation Detail'!G473,'Activation Detail'!G973,'Activation Detail'!G1473,'Activation Detail'!G1973,'Activation Detail'!G2473,'Activation Detail'!G2973,'Activation Detail'!G3473,'Activation Detail'!G3973)</f>
        <v>18415</v>
      </c>
      <c r="E473" s="48" t="n">
        <f aca="false">SUM('Activation Detail'!H473,'Activation Detail'!H973,'Activation Detail'!H1473,'Activation Detail'!H1973,'Activation Detail'!H2473,'Activation Detail'!H2973,'Activation Detail'!H3473,'Activation Detail'!H3973)</f>
        <v>820.027126845213</v>
      </c>
      <c r="F473" s="50" t="n">
        <f aca="false">SUM('Activation Detail'!I473,'Activation Detail'!I973,'Activation Detail'!I1473,'Activation Detail'!I1973,'Activation Detail'!I2473,'Activation Detail'!I2973,'Activation Detail'!I3473,'Activation Detail'!I3973)</f>
        <v>80219.953028</v>
      </c>
      <c r="G473" s="50" t="n">
        <f aca="false">SUM('Activation Detail'!J473,'Activation Detail'!J973,'Activation Detail'!J1473,'Activation Detail'!J1973,'Activation Detail'!J2473,'Activation Detail'!J2973,'Activation Detail'!J3473,'Activation Detail'!J3973)</f>
        <v>4960398.25873498</v>
      </c>
      <c r="H473" s="50" t="n">
        <f aca="false">SUM('Activation Detail'!K473,'Activation Detail'!K973,'Activation Detail'!K1473,'Activation Detail'!K1973,'Activation Detail'!K2473,'Activation Detail'!K2973,'Activation Detail'!K3473,'Activation Detail'!K3973)</f>
        <v>106379.007269579</v>
      </c>
      <c r="I473" s="51" t="n">
        <f aca="false">IFERROR(H473/F473,0)</f>
        <v>1.32609161753621</v>
      </c>
      <c r="J473" s="49" t="n">
        <f aca="false">IFERROR(F473/E473,0)</f>
        <v>97.8259747779566</v>
      </c>
      <c r="K473" s="46" t="n">
        <f aca="false">IFERROR(C473/B473,0)</f>
        <v>0.109125723924205</v>
      </c>
      <c r="L473" s="47" t="n">
        <f aca="false">IFERROR(D473/B473,0)</f>
        <v>0.00360213847508363</v>
      </c>
      <c r="N473" s="48" t="n">
        <f aca="false">SUMIFS('Activation Detail'!$H$4:$H$4003,'Activation Detail'!$A$4:$A$4003,$A473,'Activation Detail'!$N$4:$N$4003,N$2)</f>
        <v>91.9022729365254</v>
      </c>
      <c r="O473" s="50" t="n">
        <f aca="false">N473*'Model Inputs &amp; Assumptions'!$D$40*'Model Inputs &amp; Assumptions'!$H$40</f>
        <v>781169.319960466</v>
      </c>
      <c r="P473" s="50" t="n">
        <f aca="false">N473*'Model Inputs &amp; Assumptions'!$G$40*'Model Inputs &amp; Assumptions'!$H$40</f>
        <v>17576.3096991105</v>
      </c>
      <c r="Q473" s="50" t="n">
        <f aca="false">SUMIFS('Activation Detail'!$I$4:$I$4003,'Activation Detail'!$A$4:$A$4003,$A473,'Activation Detail'!$N$4:$N$4003,N$2)</f>
        <v>18549.277</v>
      </c>
      <c r="R473" s="51" t="n">
        <f aca="false">IFERROR(P473/Q473,0)</f>
        <v>0.947546888167689</v>
      </c>
      <c r="S473" s="49" t="n">
        <f aca="false">IFERROR(Q473/N473,0)</f>
        <v>201.836977555621</v>
      </c>
      <c r="T473" s="48" t="n">
        <f aca="false">SUMIFS('Activation Detail'!$H$4:$H$4003,'Activation Detail'!$A$4:$A$4003,$A473,'Activation Detail'!$N$4:$N$4003,T$2)</f>
        <v>137.419293148665</v>
      </c>
      <c r="U473" s="50" t="n">
        <f aca="false">T473*'Model Inputs &amp; Assumptions'!$D$41*'Model Inputs &amp; Assumptions'!$H$41</f>
        <v>989418.910670391</v>
      </c>
      <c r="V473" s="50" t="n">
        <f aca="false">T473*'Model Inputs &amp; Assumptions'!$G$41*'Model Inputs &amp; Assumptions'!$H$41</f>
        <v>21816.6869802821</v>
      </c>
      <c r="W473" s="50" t="n">
        <f aca="false">SUMIFS('Activation Detail'!$I$4:$I$4003,'Activation Detail'!$A$4:$A$4003,$A473,'Activation Detail'!$N$4:$N$4003,T$2)</f>
        <v>21720.692028</v>
      </c>
      <c r="X473" s="51" t="n">
        <f aca="false">IFERROR(V473/W473,0)</f>
        <v>1.00441951629158</v>
      </c>
      <c r="Y473" s="49" t="n">
        <f aca="false">IFERROR(W473/T473,0)</f>
        <v>158.061444869329</v>
      </c>
      <c r="Z473" s="48" t="n">
        <f aca="false">SUMIFS('Activation Detail'!$H$4:$H$4003,'Activation Detail'!$A$4:$A$4003,$A473,'Activation Detail'!$N$4:$N$4003,Z$2)</f>
        <v>590.705560760022</v>
      </c>
      <c r="AA473" s="50" t="n">
        <f aca="false">Z473*'Model Inputs &amp; Assumptions'!$D$42*'Model Inputs &amp; Assumptions'!$H$42</f>
        <v>3189810.02810412</v>
      </c>
      <c r="AB473" s="50" t="n">
        <f aca="false">Z473*'Model Inputs &amp; Assumptions'!$G$42*'Model Inputs &amp; Assumptions'!$H$42</f>
        <v>66986.0105901865</v>
      </c>
      <c r="AC473" s="50" t="n">
        <f aca="false">SUMIFS('Activation Detail'!$I$4:$I$4003,'Activation Detail'!$A$4:$A$4003,$A473,'Activation Detail'!$N$4:$N$4003,Z$2)</f>
        <v>39949.984</v>
      </c>
      <c r="AD473" s="51" t="n">
        <f aca="false">IFERROR(AB473/AC473,0)</f>
        <v>1.67674686903971</v>
      </c>
      <c r="AE473" s="49" t="n">
        <f aca="false">IFERROR(AC473/Z473,0)</f>
        <v>67.6309597434617</v>
      </c>
    </row>
    <row r="474" customFormat="false" ht="15" hidden="false" customHeight="false" outlineLevel="0" collapsed="false">
      <c r="A474" s="43" t="n">
        <v>471</v>
      </c>
      <c r="B474" s="45" t="n">
        <f aca="false">SUM('Activation Detail'!C474,'Activation Detail'!C974,'Activation Detail'!C1474,'Activation Detail'!C1974,'Activation Detail'!C2474,'Activation Detail'!C2974,'Activation Detail'!C3474,'Activation Detail'!C3974)</f>
        <v>4141936</v>
      </c>
      <c r="C474" s="45" t="n">
        <f aca="false">SUM('Activation Detail'!E474,'Activation Detail'!E974,'Activation Detail'!E1474,'Activation Detail'!E1974,'Activation Detail'!E2474,'Activation Detail'!E2974,'Activation Detail'!E3474,'Activation Detail'!E3974)</f>
        <v>419215</v>
      </c>
      <c r="D474" s="45" t="n">
        <f aca="false">SUM('Activation Detail'!G474,'Activation Detail'!G974,'Activation Detail'!G1474,'Activation Detail'!G1974,'Activation Detail'!G2474,'Activation Detail'!G2974,'Activation Detail'!G3474,'Activation Detail'!G3974)</f>
        <v>16435</v>
      </c>
      <c r="E474" s="48" t="n">
        <f aca="false">SUM('Activation Detail'!H474,'Activation Detail'!H974,'Activation Detail'!H1474,'Activation Detail'!H1974,'Activation Detail'!H2474,'Activation Detail'!H2974,'Activation Detail'!H3474,'Activation Detail'!H3974)</f>
        <v>709.934521590452</v>
      </c>
      <c r="F474" s="50" t="n">
        <f aca="false">SUM('Activation Detail'!I474,'Activation Detail'!I974,'Activation Detail'!I1474,'Activation Detail'!I1974,'Activation Detail'!I2474,'Activation Detail'!I2974,'Activation Detail'!I3474,'Activation Detail'!I3974)</f>
        <v>71754.460694</v>
      </c>
      <c r="G474" s="50" t="n">
        <f aca="false">SUM('Activation Detail'!J474,'Activation Detail'!J974,'Activation Detail'!J1474,'Activation Detail'!J1974,'Activation Detail'!J2474,'Activation Detail'!J2974,'Activation Detail'!J3474,'Activation Detail'!J3974)</f>
        <v>4512621.64325743</v>
      </c>
      <c r="H474" s="50" t="n">
        <f aca="false">SUM('Activation Detail'!K474,'Activation Detail'!K974,'Activation Detail'!K1474,'Activation Detail'!K1974,'Activation Detail'!K2474,'Activation Detail'!K2974,'Activation Detail'!K3474,'Activation Detail'!K3974)</f>
        <v>97590.1555794741</v>
      </c>
      <c r="I474" s="51" t="n">
        <f aca="false">IFERROR(H474/F474,0)</f>
        <v>1.36005698650083</v>
      </c>
      <c r="J474" s="49" t="n">
        <f aca="false">IFERROR(F474/E474,0)</f>
        <v>101.071941864793</v>
      </c>
      <c r="K474" s="46" t="n">
        <f aca="false">IFERROR(C474/B474,0)</f>
        <v>0.101212331624632</v>
      </c>
      <c r="L474" s="47" t="n">
        <f aca="false">IFERROR(D474/B474,0)</f>
        <v>0.00396795121894689</v>
      </c>
      <c r="N474" s="48" t="n">
        <f aca="false">SUMIFS('Activation Detail'!$H$4:$H$4003,'Activation Detail'!$A$4:$A$4003,$A474,'Activation Detail'!$N$4:$N$4003,N$2)</f>
        <v>98.499559043024</v>
      </c>
      <c r="O474" s="50" t="n">
        <f aca="false">N474*'Model Inputs &amp; Assumptions'!$D$40*'Model Inputs &amp; Assumptions'!$H$40</f>
        <v>837246.251865704</v>
      </c>
      <c r="P474" s="50" t="n">
        <f aca="false">N474*'Model Inputs &amp; Assumptions'!$G$40*'Model Inputs &amp; Assumptions'!$H$40</f>
        <v>18838.0406669783</v>
      </c>
      <c r="Q474" s="50" t="n">
        <f aca="false">SUMIFS('Activation Detail'!$I$4:$I$4003,'Activation Detail'!$A$4:$A$4003,$A474,'Activation Detail'!$N$4:$N$4003,N$2)</f>
        <v>18105.4895</v>
      </c>
      <c r="R474" s="51" t="n">
        <f aca="false">IFERROR(P474/Q474,0)</f>
        <v>1.04046016910939</v>
      </c>
      <c r="S474" s="49" t="n">
        <f aca="false">IFERROR(Q474/N474,0)</f>
        <v>183.812899021118</v>
      </c>
      <c r="T474" s="48" t="n">
        <f aca="false">SUMIFS('Activation Detail'!$H$4:$H$4003,'Activation Detail'!$A$4:$A$4003,$A474,'Activation Detail'!$N$4:$N$4003,T$2)</f>
        <v>207.570329797562</v>
      </c>
      <c r="U474" s="50" t="n">
        <f aca="false">T474*'Model Inputs &amp; Assumptions'!$D$41*'Model Inputs &amp; Assumptions'!$H$41</f>
        <v>1494506.37454245</v>
      </c>
      <c r="V474" s="50" t="n">
        <f aca="false">T474*'Model Inputs &amp; Assumptions'!$G$41*'Model Inputs &amp; Assumptions'!$H$41</f>
        <v>32953.865558661</v>
      </c>
      <c r="W474" s="50" t="n">
        <f aca="false">SUMIFS('Activation Detail'!$I$4:$I$4003,'Activation Detail'!$A$4:$A$4003,$A474,'Activation Detail'!$N$4:$N$4003,T$2)</f>
        <v>19133.811194</v>
      </c>
      <c r="X474" s="51" t="n">
        <f aca="false">IFERROR(V474/W474,0)</f>
        <v>1.72228445365838</v>
      </c>
      <c r="Y474" s="49" t="n">
        <f aca="false">IFERROR(W474/T474,0)</f>
        <v>92.1798949428885</v>
      </c>
      <c r="Z474" s="48" t="n">
        <f aca="false">SUMIFS('Activation Detail'!$H$4:$H$4003,'Activation Detail'!$A$4:$A$4003,$A474,'Activation Detail'!$N$4:$N$4003,Z$2)</f>
        <v>403.864632749866</v>
      </c>
      <c r="AA474" s="50" t="n">
        <f aca="false">Z474*'Model Inputs &amp; Assumptions'!$D$42*'Model Inputs &amp; Assumptions'!$H$42</f>
        <v>2180869.01684928</v>
      </c>
      <c r="AB474" s="50" t="n">
        <f aca="false">Z474*'Model Inputs &amp; Assumptions'!$G$42*'Model Inputs &amp; Assumptions'!$H$42</f>
        <v>45798.2493538348</v>
      </c>
      <c r="AC474" s="50" t="n">
        <f aca="false">SUMIFS('Activation Detail'!$I$4:$I$4003,'Activation Detail'!$A$4:$A$4003,$A474,'Activation Detail'!$N$4:$N$4003,Z$2)</f>
        <v>34515.16</v>
      </c>
      <c r="AD474" s="51" t="n">
        <f aca="false">IFERROR(AB474/AC474,0)</f>
        <v>1.32690242067065</v>
      </c>
      <c r="AE474" s="49" t="n">
        <f aca="false">IFERROR(AC474/Z474,0)</f>
        <v>85.4621999579176</v>
      </c>
    </row>
    <row r="475" customFormat="false" ht="15" hidden="false" customHeight="false" outlineLevel="0" collapsed="false">
      <c r="A475" s="43" t="n">
        <v>472</v>
      </c>
      <c r="B475" s="45" t="n">
        <f aca="false">SUM('Activation Detail'!C475,'Activation Detail'!C975,'Activation Detail'!C1475,'Activation Detail'!C1975,'Activation Detail'!C2475,'Activation Detail'!C2975,'Activation Detail'!C3475,'Activation Detail'!C3975)</f>
        <v>3724965</v>
      </c>
      <c r="C475" s="45" t="n">
        <f aca="false">SUM('Activation Detail'!E475,'Activation Detail'!E975,'Activation Detail'!E1475,'Activation Detail'!E1975,'Activation Detail'!E2475,'Activation Detail'!E2975,'Activation Detail'!E3475,'Activation Detail'!E3975)</f>
        <v>359010</v>
      </c>
      <c r="D475" s="45" t="n">
        <f aca="false">SUM('Activation Detail'!G475,'Activation Detail'!G975,'Activation Detail'!G1475,'Activation Detail'!G1975,'Activation Detail'!G2475,'Activation Detail'!G2975,'Activation Detail'!G3475,'Activation Detail'!G3975)</f>
        <v>12977</v>
      </c>
      <c r="E475" s="48" t="n">
        <f aca="false">SUM('Activation Detail'!H475,'Activation Detail'!H975,'Activation Detail'!H1475,'Activation Detail'!H1975,'Activation Detail'!H2475,'Activation Detail'!H2975,'Activation Detail'!H3475,'Activation Detail'!H3975)</f>
        <v>683.96636223054</v>
      </c>
      <c r="F475" s="50" t="n">
        <f aca="false">SUM('Activation Detail'!I475,'Activation Detail'!I975,'Activation Detail'!I1475,'Activation Detail'!I1975,'Activation Detail'!I2475,'Activation Detail'!I2975,'Activation Detail'!I3475,'Activation Detail'!I3975)</f>
        <v>71348.957742</v>
      </c>
      <c r="G475" s="50" t="n">
        <f aca="false">SUM('Activation Detail'!J475,'Activation Detail'!J975,'Activation Detail'!J1475,'Activation Detail'!J1975,'Activation Detail'!J2475,'Activation Detail'!J2975,'Activation Detail'!J3475,'Activation Detail'!J3975)</f>
        <v>4199309.6844131</v>
      </c>
      <c r="H475" s="50" t="n">
        <f aca="false">SUM('Activation Detail'!K475,'Activation Detail'!K975,'Activation Detail'!K1475,'Activation Detail'!K1975,'Activation Detail'!K2475,'Activation Detail'!K2975,'Activation Detail'!K3475,'Activation Detail'!K3975)</f>
        <v>90289.2965704704</v>
      </c>
      <c r="I475" s="51" t="n">
        <f aca="false">IFERROR(H475/F475,0)</f>
        <v>1.26546062378317</v>
      </c>
      <c r="J475" s="49" t="n">
        <f aca="false">IFERROR(F475/E475,0)</f>
        <v>104.316471806183</v>
      </c>
      <c r="K475" s="46" t="n">
        <f aca="false">IFERROR(C475/B475,0)</f>
        <v>0.096379429068461</v>
      </c>
      <c r="L475" s="47" t="n">
        <f aca="false">IFERROR(D475/B475,0)</f>
        <v>0.00348379112286961</v>
      </c>
      <c r="N475" s="48" t="n">
        <f aca="false">SUMIFS('Activation Detail'!$H$4:$H$4003,'Activation Detail'!$A$4:$A$4003,$A475,'Activation Detail'!$N$4:$N$4003,N$2)</f>
        <v>77.5940050039912</v>
      </c>
      <c r="O475" s="50" t="n">
        <f aca="false">N475*'Model Inputs &amp; Assumptions'!$D$40*'Model Inputs &amp; Assumptions'!$H$40</f>
        <v>659549.042533925</v>
      </c>
      <c r="P475" s="50" t="n">
        <f aca="false">N475*'Model Inputs &amp; Assumptions'!$G$40*'Model Inputs &amp; Assumptions'!$H$40</f>
        <v>14839.8534570133</v>
      </c>
      <c r="Q475" s="50" t="n">
        <f aca="false">SUMIFS('Activation Detail'!$I$4:$I$4003,'Activation Detail'!$A$4:$A$4003,$A475,'Activation Detail'!$N$4:$N$4003,N$2)</f>
        <v>18108.5705</v>
      </c>
      <c r="R475" s="51" t="n">
        <f aca="false">IFERROR(P475/Q475,0)</f>
        <v>0.819493369562955</v>
      </c>
      <c r="S475" s="49" t="n">
        <f aca="false">IFERROR(Q475/N475,0)</f>
        <v>233.37589674703</v>
      </c>
      <c r="T475" s="48" t="n">
        <f aca="false">SUMIFS('Activation Detail'!$H$4:$H$4003,'Activation Detail'!$A$4:$A$4003,$A475,'Activation Detail'!$N$4:$N$4003,T$2)</f>
        <v>147.416618253227</v>
      </c>
      <c r="U475" s="50" t="n">
        <f aca="false">T475*'Model Inputs &amp; Assumptions'!$D$41*'Model Inputs &amp; Assumptions'!$H$41</f>
        <v>1061399.65142324</v>
      </c>
      <c r="V475" s="50" t="n">
        <f aca="false">T475*'Model Inputs &amp; Assumptions'!$G$41*'Model Inputs &amp; Assumptions'!$H$41</f>
        <v>23403.8623138824</v>
      </c>
      <c r="W475" s="50" t="n">
        <f aca="false">SUMIFS('Activation Detail'!$I$4:$I$4003,'Activation Detail'!$A$4:$A$4003,$A475,'Activation Detail'!$N$4:$N$4003,T$2)</f>
        <v>16062.283242</v>
      </c>
      <c r="X475" s="51" t="n">
        <f aca="false">IFERROR(V475/W475,0)</f>
        <v>1.45706945651945</v>
      </c>
      <c r="Y475" s="49" t="n">
        <f aca="false">IFERROR(W475/T475,0)</f>
        <v>108.958429736929</v>
      </c>
      <c r="Z475" s="48" t="n">
        <f aca="false">SUMIFS('Activation Detail'!$H$4:$H$4003,'Activation Detail'!$A$4:$A$4003,$A475,'Activation Detail'!$N$4:$N$4003,Z$2)</f>
        <v>458.955738973321</v>
      </c>
      <c r="AA475" s="50" t="n">
        <f aca="false">Z475*'Model Inputs &amp; Assumptions'!$D$42*'Model Inputs &amp; Assumptions'!$H$42</f>
        <v>2478360.99045594</v>
      </c>
      <c r="AB475" s="50" t="n">
        <f aca="false">Z475*'Model Inputs &amp; Assumptions'!$G$42*'Model Inputs &amp; Assumptions'!$H$42</f>
        <v>52045.5807995747</v>
      </c>
      <c r="AC475" s="50" t="n">
        <f aca="false">SUMIFS('Activation Detail'!$I$4:$I$4003,'Activation Detail'!$A$4:$A$4003,$A475,'Activation Detail'!$N$4:$N$4003,Z$2)</f>
        <v>37178.104</v>
      </c>
      <c r="AD475" s="51" t="n">
        <f aca="false">IFERROR(AB475/AC475,0)</f>
        <v>1.39989873608333</v>
      </c>
      <c r="AE475" s="49" t="n">
        <f aca="false">IFERROR(AC475/Z475,0)</f>
        <v>81.0058592647016</v>
      </c>
    </row>
    <row r="476" customFormat="false" ht="15" hidden="false" customHeight="false" outlineLevel="0" collapsed="false">
      <c r="A476" s="43" t="n">
        <v>473</v>
      </c>
      <c r="B476" s="45" t="n">
        <f aca="false">SUM('Activation Detail'!C476,'Activation Detail'!C976,'Activation Detail'!C1476,'Activation Detail'!C1976,'Activation Detail'!C2476,'Activation Detail'!C2976,'Activation Detail'!C3476,'Activation Detail'!C3976)</f>
        <v>3992076</v>
      </c>
      <c r="C476" s="45" t="n">
        <f aca="false">SUM('Activation Detail'!E476,'Activation Detail'!E976,'Activation Detail'!E1476,'Activation Detail'!E1976,'Activation Detail'!E2476,'Activation Detail'!E2976,'Activation Detail'!E3476,'Activation Detail'!E3976)</f>
        <v>551548</v>
      </c>
      <c r="D476" s="45" t="n">
        <f aca="false">SUM('Activation Detail'!G476,'Activation Detail'!G976,'Activation Detail'!G1476,'Activation Detail'!G1976,'Activation Detail'!G2476,'Activation Detail'!G2976,'Activation Detail'!G3476,'Activation Detail'!G3976)</f>
        <v>18008</v>
      </c>
      <c r="E476" s="48" t="n">
        <f aca="false">SUM('Activation Detail'!H476,'Activation Detail'!H976,'Activation Detail'!H1476,'Activation Detail'!H1976,'Activation Detail'!H2476,'Activation Detail'!H2976,'Activation Detail'!H3476,'Activation Detail'!H3976)</f>
        <v>705.937987956194</v>
      </c>
      <c r="F476" s="50" t="n">
        <f aca="false">SUM('Activation Detail'!I476,'Activation Detail'!I976,'Activation Detail'!I1476,'Activation Detail'!I1976,'Activation Detail'!I2476,'Activation Detail'!I2976,'Activation Detail'!I3476,'Activation Detail'!I3976)</f>
        <v>71906.377112</v>
      </c>
      <c r="G476" s="50" t="n">
        <f aca="false">SUM('Activation Detail'!J476,'Activation Detail'!J976,'Activation Detail'!J1476,'Activation Detail'!J1976,'Activation Detail'!J2476,'Activation Detail'!J2976,'Activation Detail'!J3476,'Activation Detail'!J3976)</f>
        <v>4438466.89096103</v>
      </c>
      <c r="H476" s="50" t="n">
        <f aca="false">SUM('Activation Detail'!K476,'Activation Detail'!K976,'Activation Detail'!K1476,'Activation Detail'!K1976,'Activation Detail'!K2476,'Activation Detail'!K2976,'Activation Detail'!K3476,'Activation Detail'!K3976)</f>
        <v>95812.3402793787</v>
      </c>
      <c r="I476" s="51" t="n">
        <f aca="false">IFERROR(H476/F476,0)</f>
        <v>1.33245956933894</v>
      </c>
      <c r="J476" s="49" t="n">
        <f aca="false">IFERROR(F476/E476,0)</f>
        <v>101.859339402007</v>
      </c>
      <c r="K476" s="46" t="n">
        <f aca="false">IFERROR(C476/B476,0)</f>
        <v>0.138160696339448</v>
      </c>
      <c r="L476" s="47" t="n">
        <f aca="false">IFERROR(D476/B476,0)</f>
        <v>0.00451093616454196</v>
      </c>
      <c r="N476" s="48" t="n">
        <f aca="false">SUMIFS('Activation Detail'!$H$4:$H$4003,'Activation Detail'!$A$4:$A$4003,$A476,'Activation Detail'!$N$4:$N$4003,N$2)</f>
        <v>97.599281454161</v>
      </c>
      <c r="O476" s="50" t="n">
        <f aca="false">N476*'Model Inputs &amp; Assumptions'!$D$40*'Model Inputs &amp; Assumptions'!$H$40</f>
        <v>829593.892360369</v>
      </c>
      <c r="P476" s="50" t="n">
        <f aca="false">N476*'Model Inputs &amp; Assumptions'!$G$40*'Model Inputs &amp; Assumptions'!$H$40</f>
        <v>18665.8625781083</v>
      </c>
      <c r="Q476" s="50" t="n">
        <f aca="false">SUMIFS('Activation Detail'!$I$4:$I$4003,'Activation Detail'!$A$4:$A$4003,$A476,'Activation Detail'!$N$4:$N$4003,N$2)</f>
        <v>17731.0635</v>
      </c>
      <c r="R476" s="51" t="n">
        <f aca="false">IFERROR(P476/Q476,0)</f>
        <v>1.0527209819145</v>
      </c>
      <c r="S476" s="49" t="n">
        <f aca="false">IFERROR(Q476/N476,0)</f>
        <v>181.672070078996</v>
      </c>
      <c r="T476" s="48" t="n">
        <f aca="false">SUMIFS('Activation Detail'!$H$4:$H$4003,'Activation Detail'!$A$4:$A$4003,$A476,'Activation Detail'!$N$4:$N$4003,T$2)</f>
        <v>179.913324160934</v>
      </c>
      <c r="U476" s="50" t="n">
        <f aca="false">T476*'Model Inputs &amp; Assumptions'!$D$41*'Model Inputs &amp; Assumptions'!$H$41</f>
        <v>1295375.93395872</v>
      </c>
      <c r="V476" s="50" t="n">
        <f aca="false">T476*'Model Inputs &amp; Assumptions'!$G$41*'Model Inputs &amp; Assumptions'!$H$41</f>
        <v>28563.0393437898</v>
      </c>
      <c r="W476" s="50" t="n">
        <f aca="false">SUMIFS('Activation Detail'!$I$4:$I$4003,'Activation Detail'!$A$4:$A$4003,$A476,'Activation Detail'!$N$4:$N$4003,T$2)</f>
        <v>20466.577612</v>
      </c>
      <c r="X476" s="51" t="n">
        <f aca="false">IFERROR(V476/W476,0)</f>
        <v>1.3955943140705</v>
      </c>
      <c r="Y476" s="49" t="n">
        <f aca="false">IFERROR(W476/T476,0)</f>
        <v>113.757987116577</v>
      </c>
      <c r="Z476" s="48" t="n">
        <f aca="false">SUMIFS('Activation Detail'!$H$4:$H$4003,'Activation Detail'!$A$4:$A$4003,$A476,'Activation Detail'!$N$4:$N$4003,Z$2)</f>
        <v>428.425382341099</v>
      </c>
      <c r="AA476" s="50" t="n">
        <f aca="false">Z476*'Model Inputs &amp; Assumptions'!$D$42*'Model Inputs &amp; Assumptions'!$H$42</f>
        <v>2313497.06464194</v>
      </c>
      <c r="AB476" s="50" t="n">
        <f aca="false">Z476*'Model Inputs &amp; Assumptions'!$G$42*'Model Inputs &amp; Assumptions'!$H$42</f>
        <v>48583.4383574806</v>
      </c>
      <c r="AC476" s="50" t="n">
        <f aca="false">SUMIFS('Activation Detail'!$I$4:$I$4003,'Activation Detail'!$A$4:$A$4003,$A476,'Activation Detail'!$N$4:$N$4003,Z$2)</f>
        <v>33708.736</v>
      </c>
      <c r="AD476" s="51" t="n">
        <f aca="false">IFERROR(AB476/AC476,0)</f>
        <v>1.44127143650479</v>
      </c>
      <c r="AE476" s="49" t="n">
        <f aca="false">IFERROR(AC476/Z476,0)</f>
        <v>78.6805296544315</v>
      </c>
    </row>
    <row r="477" customFormat="false" ht="15" hidden="false" customHeight="false" outlineLevel="0" collapsed="false">
      <c r="A477" s="43" t="n">
        <v>474</v>
      </c>
      <c r="B477" s="45" t="n">
        <f aca="false">SUM('Activation Detail'!C477,'Activation Detail'!C977,'Activation Detail'!C1477,'Activation Detail'!C1977,'Activation Detail'!C2477,'Activation Detail'!C2977,'Activation Detail'!C3477,'Activation Detail'!C3977)</f>
        <v>4502474</v>
      </c>
      <c r="C477" s="45" t="n">
        <f aca="false">SUM('Activation Detail'!E477,'Activation Detail'!E977,'Activation Detail'!E1477,'Activation Detail'!E1977,'Activation Detail'!E2477,'Activation Detail'!E2977,'Activation Detail'!E3477,'Activation Detail'!E3977)</f>
        <v>422518</v>
      </c>
      <c r="D477" s="45" t="n">
        <f aca="false">SUM('Activation Detail'!G477,'Activation Detail'!G977,'Activation Detail'!G1477,'Activation Detail'!G1977,'Activation Detail'!G2477,'Activation Detail'!G2977,'Activation Detail'!G3477,'Activation Detail'!G3977)</f>
        <v>16232</v>
      </c>
      <c r="E477" s="48" t="n">
        <f aca="false">SUM('Activation Detail'!H477,'Activation Detail'!H977,'Activation Detail'!H1477,'Activation Detail'!H1977,'Activation Detail'!H2477,'Activation Detail'!H2977,'Activation Detail'!H3477,'Activation Detail'!H3977)</f>
        <v>728.147108751968</v>
      </c>
      <c r="F477" s="50" t="n">
        <f aca="false">SUM('Activation Detail'!I477,'Activation Detail'!I977,'Activation Detail'!I1477,'Activation Detail'!I1977,'Activation Detail'!I2477,'Activation Detail'!I2977,'Activation Detail'!I3477,'Activation Detail'!I3977)</f>
        <v>78941.188566</v>
      </c>
      <c r="G477" s="50" t="n">
        <f aca="false">SUM('Activation Detail'!J477,'Activation Detail'!J977,'Activation Detail'!J1477,'Activation Detail'!J1977,'Activation Detail'!J2477,'Activation Detail'!J2977,'Activation Detail'!J3477,'Activation Detail'!J3977)</f>
        <v>4674202.11158413</v>
      </c>
      <c r="H477" s="50" t="n">
        <f aca="false">SUM('Activation Detail'!K477,'Activation Detail'!K977,'Activation Detail'!K1477,'Activation Detail'!K1977,'Activation Detail'!K2477,'Activation Detail'!K2977,'Activation Detail'!K3477,'Activation Detail'!K3977)</f>
        <v>101248.551311177</v>
      </c>
      <c r="I477" s="51" t="n">
        <f aca="false">IFERROR(H477/F477,0)</f>
        <v>1.28258204810948</v>
      </c>
      <c r="J477" s="49" t="n">
        <f aca="false">IFERROR(F477/E477,0)</f>
        <v>108.413791138035</v>
      </c>
      <c r="K477" s="46" t="n">
        <f aca="false">IFERROR(C477/B477,0)</f>
        <v>0.0938412970291444</v>
      </c>
      <c r="L477" s="47" t="n">
        <f aca="false">IFERROR(D477/B477,0)</f>
        <v>0.00360512909125072</v>
      </c>
      <c r="N477" s="48" t="n">
        <f aca="false">SUMIFS('Activation Detail'!$H$4:$H$4003,'Activation Detail'!$A$4:$A$4003,$A477,'Activation Detail'!$N$4:$N$4003,N$2)</f>
        <v>99.8721268460417</v>
      </c>
      <c r="O477" s="50" t="n">
        <f aca="false">N477*'Model Inputs &amp; Assumptions'!$D$40*'Model Inputs &amp; Assumptions'!$H$40</f>
        <v>848913.078191354</v>
      </c>
      <c r="P477" s="50" t="n">
        <f aca="false">N477*'Model Inputs &amp; Assumptions'!$G$40*'Model Inputs &amp; Assumptions'!$H$40</f>
        <v>19100.5442593055</v>
      </c>
      <c r="Q477" s="50" t="n">
        <f aca="false">SUMIFS('Activation Detail'!$I$4:$I$4003,'Activation Detail'!$A$4:$A$4003,$A477,'Activation Detail'!$N$4:$N$4003,N$2)</f>
        <v>18520.924</v>
      </c>
      <c r="R477" s="51" t="n">
        <f aca="false">IFERROR(P477/Q477,0)</f>
        <v>1.03129542885147</v>
      </c>
      <c r="S477" s="49" t="n">
        <f aca="false">IFERROR(Q477/N477,0)</f>
        <v>185.446376130059</v>
      </c>
      <c r="T477" s="48" t="n">
        <f aca="false">SUMIFS('Activation Detail'!$H$4:$H$4003,'Activation Detail'!$A$4:$A$4003,$A477,'Activation Detail'!$N$4:$N$4003,T$2)</f>
        <v>240.335628389319</v>
      </c>
      <c r="U477" s="50" t="n">
        <f aca="false">T477*'Model Inputs &amp; Assumptions'!$D$41*'Model Inputs &amp; Assumptions'!$H$41</f>
        <v>1730416.5244031</v>
      </c>
      <c r="V477" s="50" t="n">
        <f aca="false">T477*'Model Inputs &amp; Assumptions'!$G$41*'Model Inputs &amp; Assumptions'!$H$41</f>
        <v>38155.6843630883</v>
      </c>
      <c r="W477" s="50" t="n">
        <f aca="false">SUMIFS('Activation Detail'!$I$4:$I$4003,'Activation Detail'!$A$4:$A$4003,$A477,'Activation Detail'!$N$4:$N$4003,T$2)</f>
        <v>19121.660566</v>
      </c>
      <c r="X477" s="51" t="n">
        <f aca="false">IFERROR(V477/W477,0)</f>
        <v>1.99541688502371</v>
      </c>
      <c r="Y477" s="49" t="n">
        <f aca="false">IFERROR(W477/T477,0)</f>
        <v>79.5623216339146</v>
      </c>
      <c r="Z477" s="48" t="n">
        <f aca="false">SUMIFS('Activation Detail'!$H$4:$H$4003,'Activation Detail'!$A$4:$A$4003,$A477,'Activation Detail'!$N$4:$N$4003,Z$2)</f>
        <v>387.939353516607</v>
      </c>
      <c r="AA477" s="50" t="n">
        <f aca="false">Z477*'Model Inputs &amp; Assumptions'!$D$42*'Model Inputs &amp; Assumptions'!$H$42</f>
        <v>2094872.50898968</v>
      </c>
      <c r="AB477" s="50" t="n">
        <f aca="false">Z477*'Model Inputs &amp; Assumptions'!$G$42*'Model Inputs &amp; Assumptions'!$H$42</f>
        <v>43992.3226887833</v>
      </c>
      <c r="AC477" s="50" t="n">
        <f aca="false">SUMIFS('Activation Detail'!$I$4:$I$4003,'Activation Detail'!$A$4:$A$4003,$A477,'Activation Detail'!$N$4:$N$4003,Z$2)</f>
        <v>41298.604</v>
      </c>
      <c r="AD477" s="51" t="n">
        <f aca="false">IFERROR(AB477/AC477,0)</f>
        <v>1.06522541751734</v>
      </c>
      <c r="AE477" s="49" t="n">
        <f aca="false">IFERROR(AC477/Z477,0)</f>
        <v>106.456340728608</v>
      </c>
    </row>
    <row r="478" customFormat="false" ht="15" hidden="false" customHeight="false" outlineLevel="0" collapsed="false">
      <c r="A478" s="43" t="n">
        <v>475</v>
      </c>
      <c r="B478" s="45" t="n">
        <f aca="false">SUM('Activation Detail'!C478,'Activation Detail'!C978,'Activation Detail'!C1478,'Activation Detail'!C1978,'Activation Detail'!C2478,'Activation Detail'!C2978,'Activation Detail'!C3478,'Activation Detail'!C3978)</f>
        <v>5130237</v>
      </c>
      <c r="C478" s="45" t="n">
        <f aca="false">SUM('Activation Detail'!E478,'Activation Detail'!E978,'Activation Detail'!E1478,'Activation Detail'!E1978,'Activation Detail'!E2478,'Activation Detail'!E2978,'Activation Detail'!E3478,'Activation Detail'!E3978)</f>
        <v>523881</v>
      </c>
      <c r="D478" s="45" t="n">
        <f aca="false">SUM('Activation Detail'!G478,'Activation Detail'!G978,'Activation Detail'!G1478,'Activation Detail'!G1978,'Activation Detail'!G2478,'Activation Detail'!G2978,'Activation Detail'!G3478,'Activation Detail'!G3978)</f>
        <v>18043</v>
      </c>
      <c r="E478" s="48" t="n">
        <f aca="false">SUM('Activation Detail'!H478,'Activation Detail'!H978,'Activation Detail'!H1478,'Activation Detail'!H1978,'Activation Detail'!H2478,'Activation Detail'!H2978,'Activation Detail'!H3478,'Activation Detail'!H3978)</f>
        <v>799.420651251991</v>
      </c>
      <c r="F478" s="50" t="n">
        <f aca="false">SUM('Activation Detail'!I478,'Activation Detail'!I978,'Activation Detail'!I1478,'Activation Detail'!I1978,'Activation Detail'!I2478,'Activation Detail'!I2978,'Activation Detail'!I3478,'Activation Detail'!I3978)</f>
        <v>72066.269528</v>
      </c>
      <c r="G478" s="50" t="n">
        <f aca="false">SUM('Activation Detail'!J478,'Activation Detail'!J978,'Activation Detail'!J1478,'Activation Detail'!J1978,'Activation Detail'!J2478,'Activation Detail'!J2978,'Activation Detail'!J3478,'Activation Detail'!J3978)</f>
        <v>5077164.21604261</v>
      </c>
      <c r="H478" s="50" t="n">
        <f aca="false">SUM('Activation Detail'!K478,'Activation Detail'!K978,'Activation Detail'!K1478,'Activation Detail'!K1978,'Activation Detail'!K2478,'Activation Detail'!K2978,'Activation Detail'!K3478,'Activation Detail'!K3978)</f>
        <v>109784.94467369</v>
      </c>
      <c r="I478" s="51" t="n">
        <f aca="false">IFERROR(H478/F478,0)</f>
        <v>1.52338875583168</v>
      </c>
      <c r="J478" s="49" t="n">
        <f aca="false">IFERROR(F478/E478,0)</f>
        <v>90.1481209112316</v>
      </c>
      <c r="K478" s="46" t="n">
        <f aca="false">IFERROR(C478/B478,0)</f>
        <v>0.102116334976337</v>
      </c>
      <c r="L478" s="47" t="n">
        <f aca="false">IFERROR(D478/B478,0)</f>
        <v>0.0035169915152068</v>
      </c>
      <c r="N478" s="48" t="n">
        <f aca="false">SUMIFS('Activation Detail'!$H$4:$H$4003,'Activation Detail'!$A$4:$A$4003,$A478,'Activation Detail'!$N$4:$N$4003,N$2)</f>
        <v>106.419259956519</v>
      </c>
      <c r="O478" s="50" t="n">
        <f aca="false">N478*'Model Inputs &amp; Assumptions'!$D$40*'Model Inputs &amp; Assumptions'!$H$40</f>
        <v>904563.709630412</v>
      </c>
      <c r="P478" s="50" t="n">
        <f aca="false">N478*'Model Inputs &amp; Assumptions'!$G$40*'Model Inputs &amp; Assumptions'!$H$40</f>
        <v>20352.6834666843</v>
      </c>
      <c r="Q478" s="50" t="n">
        <f aca="false">SUMIFS('Activation Detail'!$I$4:$I$4003,'Activation Detail'!$A$4:$A$4003,$A478,'Activation Detail'!$N$4:$N$4003,N$2)</f>
        <v>17932.3035</v>
      </c>
      <c r="R478" s="51" t="n">
        <f aca="false">IFERROR(P478/Q478,0)</f>
        <v>1.13497317657401</v>
      </c>
      <c r="S478" s="49" t="n">
        <f aca="false">IFERROR(Q478/N478,0)</f>
        <v>168.506184945533</v>
      </c>
      <c r="T478" s="48" t="n">
        <f aca="false">SUMIFS('Activation Detail'!$H$4:$H$4003,'Activation Detail'!$A$4:$A$4003,$A478,'Activation Detail'!$N$4:$N$4003,T$2)</f>
        <v>239.107218564807</v>
      </c>
      <c r="U478" s="50" t="n">
        <f aca="false">T478*'Model Inputs &amp; Assumptions'!$D$41*'Model Inputs &amp; Assumptions'!$H$41</f>
        <v>1721571.97366661</v>
      </c>
      <c r="V478" s="50" t="n">
        <f aca="false">T478*'Model Inputs &amp; Assumptions'!$G$41*'Model Inputs &amp; Assumptions'!$H$41</f>
        <v>37960.6620193488</v>
      </c>
      <c r="W478" s="50" t="n">
        <f aca="false">SUMIFS('Activation Detail'!$I$4:$I$4003,'Activation Detail'!$A$4:$A$4003,$A478,'Activation Detail'!$N$4:$N$4003,T$2)</f>
        <v>19662.894028</v>
      </c>
      <c r="X478" s="51" t="n">
        <f aca="false">IFERROR(V478/W478,0)</f>
        <v>1.93057349367253</v>
      </c>
      <c r="Y478" s="49" t="n">
        <f aca="false">IFERROR(W478/T478,0)</f>
        <v>82.2346315850377</v>
      </c>
      <c r="Z478" s="48" t="n">
        <f aca="false">SUMIFS('Activation Detail'!$H$4:$H$4003,'Activation Detail'!$A$4:$A$4003,$A478,'Activation Detail'!$N$4:$N$4003,Z$2)</f>
        <v>453.894172730665</v>
      </c>
      <c r="AA478" s="50" t="n">
        <f aca="false">Z478*'Model Inputs &amp; Assumptions'!$D$42*'Model Inputs &amp; Assumptions'!$H$42</f>
        <v>2451028.53274559</v>
      </c>
      <c r="AB478" s="50" t="n">
        <f aca="false">Z478*'Model Inputs &amp; Assumptions'!$G$42*'Model Inputs &amp; Assumptions'!$H$42</f>
        <v>51471.5991876574</v>
      </c>
      <c r="AC478" s="50" t="n">
        <f aca="false">SUMIFS('Activation Detail'!$I$4:$I$4003,'Activation Detail'!$A$4:$A$4003,$A478,'Activation Detail'!$N$4:$N$4003,Z$2)</f>
        <v>34471.072</v>
      </c>
      <c r="AD478" s="51" t="n">
        <f aca="false">IFERROR(AB478/AC478,0)</f>
        <v>1.4931824338871</v>
      </c>
      <c r="AE478" s="49" t="n">
        <f aca="false">IFERROR(AC478/Z478,0)</f>
        <v>75.9451741638787</v>
      </c>
    </row>
    <row r="479" customFormat="false" ht="15" hidden="false" customHeight="false" outlineLevel="0" collapsed="false">
      <c r="A479" s="43" t="n">
        <v>476</v>
      </c>
      <c r="B479" s="45" t="n">
        <f aca="false">SUM('Activation Detail'!C479,'Activation Detail'!C979,'Activation Detail'!C1479,'Activation Detail'!C1979,'Activation Detail'!C2479,'Activation Detail'!C2979,'Activation Detail'!C3479,'Activation Detail'!C3979)</f>
        <v>3810483</v>
      </c>
      <c r="C479" s="45" t="n">
        <f aca="false">SUM('Activation Detail'!E479,'Activation Detail'!E979,'Activation Detail'!E1479,'Activation Detail'!E1979,'Activation Detail'!E2479,'Activation Detail'!E2979,'Activation Detail'!E3479,'Activation Detail'!E3979)</f>
        <v>287699</v>
      </c>
      <c r="D479" s="45" t="n">
        <f aca="false">SUM('Activation Detail'!G479,'Activation Detail'!G979,'Activation Detail'!G1479,'Activation Detail'!G1979,'Activation Detail'!G2479,'Activation Detail'!G2979,'Activation Detail'!G3479,'Activation Detail'!G3979)</f>
        <v>16761</v>
      </c>
      <c r="E479" s="48" t="n">
        <f aca="false">SUM('Activation Detail'!H479,'Activation Detail'!H979,'Activation Detail'!H1479,'Activation Detail'!H1979,'Activation Detail'!H2479,'Activation Detail'!H2979,'Activation Detail'!H3479,'Activation Detail'!H3979)</f>
        <v>655.595273058931</v>
      </c>
      <c r="F479" s="50" t="n">
        <f aca="false">SUM('Activation Detail'!I479,'Activation Detail'!I979,'Activation Detail'!I1479,'Activation Detail'!I1979,'Activation Detail'!I2479,'Activation Detail'!I2979,'Activation Detail'!I3479,'Activation Detail'!I3979)</f>
        <v>71467.075734</v>
      </c>
      <c r="G479" s="50" t="n">
        <f aca="false">SUM('Activation Detail'!J479,'Activation Detail'!J979,'Activation Detail'!J1479,'Activation Detail'!J1979,'Activation Detail'!J2479,'Activation Detail'!J2979,'Activation Detail'!J3479,'Activation Detail'!J3979)</f>
        <v>4169901.22793207</v>
      </c>
      <c r="H479" s="50" t="n">
        <f aca="false">SUM('Activation Detail'!K479,'Activation Detail'!K979,'Activation Detail'!K1479,'Activation Detail'!K1979,'Activation Detail'!K2479,'Activation Detail'!K2979,'Activation Detail'!K3479,'Activation Detail'!K3979)</f>
        <v>90183.9539890519</v>
      </c>
      <c r="I479" s="51" t="n">
        <f aca="false">IFERROR(H479/F479,0)</f>
        <v>1.26189511831596</v>
      </c>
      <c r="J479" s="49" t="n">
        <f aca="false">IFERROR(F479/E479,0)</f>
        <v>109.010968612606</v>
      </c>
      <c r="K479" s="46" t="n">
        <f aca="false">IFERROR(C479/B479,0)</f>
        <v>0.0755019770459545</v>
      </c>
      <c r="L479" s="47" t="n">
        <f aca="false">IFERROR(D479/B479,0)</f>
        <v>0.00439865497366082</v>
      </c>
      <c r="N479" s="48" t="n">
        <f aca="false">SUMIFS('Activation Detail'!$H$4:$H$4003,'Activation Detail'!$A$4:$A$4003,$A479,'Activation Detail'!$N$4:$N$4003,N$2)</f>
        <v>106.133932813447</v>
      </c>
      <c r="O479" s="50" t="n">
        <f aca="false">N479*'Model Inputs &amp; Assumptions'!$D$40*'Model Inputs &amp; Assumptions'!$H$40</f>
        <v>902138.428914303</v>
      </c>
      <c r="P479" s="50" t="n">
        <f aca="false">N479*'Model Inputs &amp; Assumptions'!$G$40*'Model Inputs &amp; Assumptions'!$H$40</f>
        <v>20298.1146505718</v>
      </c>
      <c r="Q479" s="50" t="n">
        <f aca="false">SUMIFS('Activation Detail'!$I$4:$I$4003,'Activation Detail'!$A$4:$A$4003,$A479,'Activation Detail'!$N$4:$N$4003,N$2)</f>
        <v>18506.156</v>
      </c>
      <c r="R479" s="51" t="n">
        <f aca="false">IFERROR(P479/Q479,0)</f>
        <v>1.09683040878785</v>
      </c>
      <c r="S479" s="49" t="n">
        <f aca="false">IFERROR(Q479/N479,0)</f>
        <v>174.36606285502</v>
      </c>
      <c r="T479" s="48" t="n">
        <f aca="false">SUMIFS('Activation Detail'!$H$4:$H$4003,'Activation Detail'!$A$4:$A$4003,$A479,'Activation Detail'!$N$4:$N$4003,T$2)</f>
        <v>167.03975649564</v>
      </c>
      <c r="U479" s="50" t="n">
        <f aca="false">T479*'Model Inputs &amp; Assumptions'!$D$41*'Model Inputs &amp; Assumptions'!$H$41</f>
        <v>1202686.24676861</v>
      </c>
      <c r="V479" s="50" t="n">
        <f aca="false">T479*'Model Inputs &amp; Assumptions'!$G$41*'Model Inputs &amp; Assumptions'!$H$41</f>
        <v>26519.2317412478</v>
      </c>
      <c r="W479" s="50" t="n">
        <f aca="false">SUMIFS('Activation Detail'!$I$4:$I$4003,'Activation Detail'!$A$4:$A$4003,$A479,'Activation Detail'!$N$4:$N$4003,T$2)</f>
        <v>14906.371734</v>
      </c>
      <c r="X479" s="51" t="n">
        <f aca="false">IFERROR(V479/W479,0)</f>
        <v>1.77905342859255</v>
      </c>
      <c r="Y479" s="49" t="n">
        <f aca="false">IFERROR(W479/T479,0)</f>
        <v>89.2384666185087</v>
      </c>
      <c r="Z479" s="48" t="n">
        <f aca="false">SUMIFS('Activation Detail'!$H$4:$H$4003,'Activation Detail'!$A$4:$A$4003,$A479,'Activation Detail'!$N$4:$N$4003,Z$2)</f>
        <v>382.421583749844</v>
      </c>
      <c r="AA479" s="50" t="n">
        <f aca="false">Z479*'Model Inputs &amp; Assumptions'!$D$42*'Model Inputs &amp; Assumptions'!$H$42</f>
        <v>2065076.55224916</v>
      </c>
      <c r="AB479" s="50" t="n">
        <f aca="false">Z479*'Model Inputs &amp; Assumptions'!$G$42*'Model Inputs &amp; Assumptions'!$H$42</f>
        <v>43366.6075972323</v>
      </c>
      <c r="AC479" s="50" t="n">
        <f aca="false">SUMIFS('Activation Detail'!$I$4:$I$4003,'Activation Detail'!$A$4:$A$4003,$A479,'Activation Detail'!$N$4:$N$4003,Z$2)</f>
        <v>38054.548</v>
      </c>
      <c r="AD479" s="51" t="n">
        <f aca="false">IFERROR(AB479/AC479,0)</f>
        <v>1.13959066330869</v>
      </c>
      <c r="AE479" s="49" t="n">
        <f aca="false">IFERROR(AC479/Z479,0)</f>
        <v>99.509414784739</v>
      </c>
    </row>
    <row r="480" customFormat="false" ht="15" hidden="false" customHeight="false" outlineLevel="0" collapsed="false">
      <c r="A480" s="43" t="n">
        <v>477</v>
      </c>
      <c r="B480" s="45" t="n">
        <f aca="false">SUM('Activation Detail'!C480,'Activation Detail'!C980,'Activation Detail'!C1480,'Activation Detail'!C1980,'Activation Detail'!C2480,'Activation Detail'!C2980,'Activation Detail'!C3480,'Activation Detail'!C3980)</f>
        <v>3870345</v>
      </c>
      <c r="C480" s="45" t="n">
        <f aca="false">SUM('Activation Detail'!E480,'Activation Detail'!E980,'Activation Detail'!E1480,'Activation Detail'!E1980,'Activation Detail'!E2480,'Activation Detail'!E2980,'Activation Detail'!E3480,'Activation Detail'!E3980)</f>
        <v>550991</v>
      </c>
      <c r="D480" s="45" t="n">
        <f aca="false">SUM('Activation Detail'!G480,'Activation Detail'!G980,'Activation Detail'!G1480,'Activation Detail'!G1980,'Activation Detail'!G2480,'Activation Detail'!G2980,'Activation Detail'!G3480,'Activation Detail'!G3980)</f>
        <v>15587</v>
      </c>
      <c r="E480" s="48" t="n">
        <f aca="false">SUM('Activation Detail'!H480,'Activation Detail'!H980,'Activation Detail'!H1480,'Activation Detail'!H1980,'Activation Detail'!H2480,'Activation Detail'!H2980,'Activation Detail'!H3480,'Activation Detail'!H3980)</f>
        <v>555.871960714266</v>
      </c>
      <c r="F480" s="50" t="n">
        <f aca="false">SUM('Activation Detail'!I480,'Activation Detail'!I980,'Activation Detail'!I1480,'Activation Detail'!I1980,'Activation Detail'!I2480,'Activation Detail'!I2980,'Activation Detail'!I3480,'Activation Detail'!I3980)</f>
        <v>76396.824914</v>
      </c>
      <c r="G480" s="50" t="n">
        <f aca="false">SUM('Activation Detail'!J480,'Activation Detail'!J980,'Activation Detail'!J1480,'Activation Detail'!J1980,'Activation Detail'!J2480,'Activation Detail'!J2980,'Activation Detail'!J3480,'Activation Detail'!J3980)</f>
        <v>3588134.02645604</v>
      </c>
      <c r="H480" s="50" t="n">
        <f aca="false">SUM('Activation Detail'!K480,'Activation Detail'!K980,'Activation Detail'!K1480,'Activation Detail'!K1980,'Activation Detail'!K2480,'Activation Detail'!K2980,'Activation Detail'!K3480,'Activation Detail'!K3980)</f>
        <v>77788.3690569393</v>
      </c>
      <c r="I480" s="51" t="n">
        <f aca="false">IFERROR(H480/F480,0)</f>
        <v>1.01821468555147</v>
      </c>
      <c r="J480" s="49" t="n">
        <f aca="false">IFERROR(F480/E480,0)</f>
        <v>137.436011012022</v>
      </c>
      <c r="K480" s="46" t="n">
        <f aca="false">IFERROR(C480/B480,0)</f>
        <v>0.142362244192701</v>
      </c>
      <c r="L480" s="47" t="n">
        <f aca="false">IFERROR(D480/B480,0)</f>
        <v>0.00402728955687413</v>
      </c>
      <c r="N480" s="48" t="n">
        <f aca="false">SUMIFS('Activation Detail'!$H$4:$H$4003,'Activation Detail'!$A$4:$A$4003,$A480,'Activation Detail'!$N$4:$N$4003,N$2)</f>
        <v>94.1938546423526</v>
      </c>
      <c r="O480" s="50" t="n">
        <f aca="false">N480*'Model Inputs &amp; Assumptions'!$D$40*'Model Inputs &amp; Assumptions'!$H$40</f>
        <v>800647.764459997</v>
      </c>
      <c r="P480" s="50" t="n">
        <f aca="false">N480*'Model Inputs &amp; Assumptions'!$G$40*'Model Inputs &amp; Assumptions'!$H$40</f>
        <v>18014.5747003499</v>
      </c>
      <c r="Q480" s="50" t="n">
        <f aca="false">SUMIFS('Activation Detail'!$I$4:$I$4003,'Activation Detail'!$A$4:$A$4003,$A480,'Activation Detail'!$N$4:$N$4003,N$2)</f>
        <v>18313.7105</v>
      </c>
      <c r="R480" s="51" t="n">
        <f aca="false">IFERROR(P480/Q480,0)</f>
        <v>0.983666018983424</v>
      </c>
      <c r="S480" s="49" t="n">
        <f aca="false">IFERROR(Q480/N480,0)</f>
        <v>194.425746451675</v>
      </c>
      <c r="T480" s="48" t="n">
        <f aca="false">SUMIFS('Activation Detail'!$H$4:$H$4003,'Activation Detail'!$A$4:$A$4003,$A480,'Activation Detail'!$N$4:$N$4003,T$2)</f>
        <v>163.569160670952</v>
      </c>
      <c r="U480" s="50" t="n">
        <f aca="false">T480*'Model Inputs &amp; Assumptions'!$D$41*'Model Inputs &amp; Assumptions'!$H$41</f>
        <v>1177697.95683086</v>
      </c>
      <c r="V480" s="50" t="n">
        <f aca="false">T480*'Model Inputs &amp; Assumptions'!$G$41*'Model Inputs &amp; Assumptions'!$H$41</f>
        <v>25968.2399481204</v>
      </c>
      <c r="W480" s="50" t="n">
        <f aca="false">SUMIFS('Activation Detail'!$I$4:$I$4003,'Activation Detail'!$A$4:$A$4003,$A480,'Activation Detail'!$N$4:$N$4003,T$2)</f>
        <v>23105.378414</v>
      </c>
      <c r="X480" s="51" t="n">
        <f aca="false">IFERROR(V480/W480,0)</f>
        <v>1.12390455082898</v>
      </c>
      <c r="Y480" s="49" t="n">
        <f aca="false">IFERROR(W480/T480,0)</f>
        <v>141.257547078086</v>
      </c>
      <c r="Z480" s="48" t="n">
        <f aca="false">SUMIFS('Activation Detail'!$H$4:$H$4003,'Activation Detail'!$A$4:$A$4003,$A480,'Activation Detail'!$N$4:$N$4003,Z$2)</f>
        <v>298.108945400961</v>
      </c>
      <c r="AA480" s="50" t="n">
        <f aca="false">Z480*'Model Inputs &amp; Assumptions'!$D$42*'Model Inputs &amp; Assumptions'!$H$42</f>
        <v>1609788.30516519</v>
      </c>
      <c r="AB480" s="50" t="n">
        <f aca="false">Z480*'Model Inputs &amp; Assumptions'!$G$42*'Model Inputs &amp; Assumptions'!$H$42</f>
        <v>33805.554408469</v>
      </c>
      <c r="AC480" s="50" t="n">
        <f aca="false">SUMIFS('Activation Detail'!$I$4:$I$4003,'Activation Detail'!$A$4:$A$4003,$A480,'Activation Detail'!$N$4:$N$4003,Z$2)</f>
        <v>34977.736</v>
      </c>
      <c r="AD480" s="51" t="n">
        <f aca="false">IFERROR(AB480/AC480,0)</f>
        <v>0.966487779782802</v>
      </c>
      <c r="AE480" s="49" t="n">
        <f aca="false">IFERROR(AC480/Z480,0)</f>
        <v>117.332057758127</v>
      </c>
    </row>
    <row r="481" customFormat="false" ht="15" hidden="false" customHeight="false" outlineLevel="0" collapsed="false">
      <c r="A481" s="43" t="n">
        <v>478</v>
      </c>
      <c r="B481" s="45" t="n">
        <f aca="false">SUM('Activation Detail'!C481,'Activation Detail'!C981,'Activation Detail'!C1481,'Activation Detail'!C1981,'Activation Detail'!C2481,'Activation Detail'!C2981,'Activation Detail'!C3481,'Activation Detail'!C3981)</f>
        <v>3766651</v>
      </c>
      <c r="C481" s="45" t="n">
        <f aca="false">SUM('Activation Detail'!E481,'Activation Detail'!E981,'Activation Detail'!E1481,'Activation Detail'!E1981,'Activation Detail'!E2481,'Activation Detail'!E2981,'Activation Detail'!E3481,'Activation Detail'!E3981)</f>
        <v>361200</v>
      </c>
      <c r="D481" s="45" t="n">
        <f aca="false">SUM('Activation Detail'!G481,'Activation Detail'!G981,'Activation Detail'!G1481,'Activation Detail'!G1981,'Activation Detail'!G2481,'Activation Detail'!G2981,'Activation Detail'!G3481,'Activation Detail'!G3981)</f>
        <v>14749</v>
      </c>
      <c r="E481" s="48" t="n">
        <f aca="false">SUM('Activation Detail'!H481,'Activation Detail'!H981,'Activation Detail'!H1481,'Activation Detail'!H1981,'Activation Detail'!H2481,'Activation Detail'!H2981,'Activation Detail'!H3481,'Activation Detail'!H3981)</f>
        <v>647.888305188276</v>
      </c>
      <c r="F481" s="50" t="n">
        <f aca="false">SUM('Activation Detail'!I481,'Activation Detail'!I981,'Activation Detail'!I1481,'Activation Detail'!I1981,'Activation Detail'!I2481,'Activation Detail'!I2981,'Activation Detail'!I3481,'Activation Detail'!I3981)</f>
        <v>70200.603902</v>
      </c>
      <c r="G481" s="50" t="n">
        <f aca="false">SUM('Activation Detail'!J481,'Activation Detail'!J981,'Activation Detail'!J1481,'Activation Detail'!J1981,'Activation Detail'!J2481,'Activation Detail'!J2981,'Activation Detail'!J3481,'Activation Detail'!J3981)</f>
        <v>4114781.86289652</v>
      </c>
      <c r="H481" s="50" t="n">
        <f aca="false">SUM('Activation Detail'!K481,'Activation Detail'!K981,'Activation Detail'!K1481,'Activation Detail'!K1981,'Activation Detail'!K2481,'Activation Detail'!K2981,'Activation Detail'!K3481,'Activation Detail'!K3981)</f>
        <v>88973.5729982906</v>
      </c>
      <c r="I481" s="51" t="n">
        <f aca="false">IFERROR(H481/F481,0)</f>
        <v>1.26741891170192</v>
      </c>
      <c r="J481" s="49" t="n">
        <f aca="false">IFERROR(F481/E481,0)</f>
        <v>108.3529419189</v>
      </c>
      <c r="K481" s="46" t="n">
        <f aca="false">IFERROR(C481/B481,0)</f>
        <v>0.0958942041617341</v>
      </c>
      <c r="L481" s="47" t="n">
        <f aca="false">IFERROR(D481/B481,0)</f>
        <v>0.00391568000327081</v>
      </c>
      <c r="N481" s="48" t="n">
        <f aca="false">SUMIFS('Activation Detail'!$H$4:$H$4003,'Activation Detail'!$A$4:$A$4003,$A481,'Activation Detail'!$N$4:$N$4003,N$2)</f>
        <v>91.9377223397399</v>
      </c>
      <c r="O481" s="50" t="n">
        <f aca="false">N481*'Model Inputs &amp; Assumptions'!$D$40*'Model Inputs &amp; Assumptions'!$H$40</f>
        <v>781470.639887789</v>
      </c>
      <c r="P481" s="50" t="n">
        <f aca="false">N481*'Model Inputs &amp; Assumptions'!$G$40*'Model Inputs &amp; Assumptions'!$H$40</f>
        <v>17583.0893974753</v>
      </c>
      <c r="Q481" s="50" t="n">
        <f aca="false">SUMIFS('Activation Detail'!$I$4:$I$4003,'Activation Detail'!$A$4:$A$4003,$A481,'Activation Detail'!$N$4:$N$4003,N$2)</f>
        <v>18265.396</v>
      </c>
      <c r="R481" s="51" t="n">
        <f aca="false">IFERROR(P481/Q481,0)</f>
        <v>0.962644850266332</v>
      </c>
      <c r="S481" s="49" t="n">
        <f aca="false">IFERROR(Q481/N481,0)</f>
        <v>198.671399890715</v>
      </c>
      <c r="T481" s="48" t="n">
        <f aca="false">SUMIFS('Activation Detail'!$H$4:$H$4003,'Activation Detail'!$A$4:$A$4003,$A481,'Activation Detail'!$N$4:$N$4003,T$2)</f>
        <v>183.987819792579</v>
      </c>
      <c r="U481" s="50" t="n">
        <f aca="false">T481*'Model Inputs &amp; Assumptions'!$D$41*'Model Inputs &amp; Assumptions'!$H$41</f>
        <v>1324712.30250657</v>
      </c>
      <c r="V481" s="50" t="n">
        <f aca="false">T481*'Model Inputs &amp; Assumptions'!$G$41*'Model Inputs &amp; Assumptions'!$H$41</f>
        <v>29209.9062702699</v>
      </c>
      <c r="W481" s="50" t="n">
        <f aca="false">SUMIFS('Activation Detail'!$I$4:$I$4003,'Activation Detail'!$A$4:$A$4003,$A481,'Activation Detail'!$N$4:$N$4003,T$2)</f>
        <v>16723.807902</v>
      </c>
      <c r="X481" s="51" t="n">
        <f aca="false">IFERROR(V481/W481,0)</f>
        <v>1.74660618212295</v>
      </c>
      <c r="Y481" s="49" t="n">
        <f aca="false">IFERROR(W481/T481,0)</f>
        <v>90.8962773777838</v>
      </c>
      <c r="Z481" s="48" t="n">
        <f aca="false">SUMIFS('Activation Detail'!$H$4:$H$4003,'Activation Detail'!$A$4:$A$4003,$A481,'Activation Detail'!$N$4:$N$4003,Z$2)</f>
        <v>371.962763055956</v>
      </c>
      <c r="AA481" s="50" t="n">
        <f aca="false">Z481*'Model Inputs &amp; Assumptions'!$D$42*'Model Inputs &amp; Assumptions'!$H$42</f>
        <v>2008598.92050216</v>
      </c>
      <c r="AB481" s="50" t="n">
        <f aca="false">Z481*'Model Inputs &amp; Assumptions'!$G$42*'Model Inputs &amp; Assumptions'!$H$42</f>
        <v>42180.5773305454</v>
      </c>
      <c r="AC481" s="50" t="n">
        <f aca="false">SUMIFS('Activation Detail'!$I$4:$I$4003,'Activation Detail'!$A$4:$A$4003,$A481,'Activation Detail'!$N$4:$N$4003,Z$2)</f>
        <v>35211.4</v>
      </c>
      <c r="AD481" s="51" t="n">
        <f aca="false">IFERROR(AB481/AC481,0)</f>
        <v>1.19792389199366</v>
      </c>
      <c r="AE481" s="49" t="n">
        <f aca="false">IFERROR(AC481/Z481,0)</f>
        <v>94.6637768541981</v>
      </c>
    </row>
    <row r="482" customFormat="false" ht="15" hidden="false" customHeight="false" outlineLevel="0" collapsed="false">
      <c r="A482" s="43" t="n">
        <v>479</v>
      </c>
      <c r="B482" s="45" t="n">
        <f aca="false">SUM('Activation Detail'!C482,'Activation Detail'!C982,'Activation Detail'!C1482,'Activation Detail'!C1982,'Activation Detail'!C2482,'Activation Detail'!C2982,'Activation Detail'!C3482,'Activation Detail'!C3982)</f>
        <v>5174445</v>
      </c>
      <c r="C482" s="45" t="n">
        <f aca="false">SUM('Activation Detail'!E482,'Activation Detail'!E982,'Activation Detail'!E1482,'Activation Detail'!E1982,'Activation Detail'!E2482,'Activation Detail'!E2982,'Activation Detail'!E3482,'Activation Detail'!E3982)</f>
        <v>427758</v>
      </c>
      <c r="D482" s="45" t="n">
        <f aca="false">SUM('Activation Detail'!G482,'Activation Detail'!G982,'Activation Detail'!G1482,'Activation Detail'!G1982,'Activation Detail'!G2482,'Activation Detail'!G2982,'Activation Detail'!G3482,'Activation Detail'!G3982)</f>
        <v>22861</v>
      </c>
      <c r="E482" s="48" t="n">
        <f aca="false">SUM('Activation Detail'!H482,'Activation Detail'!H982,'Activation Detail'!H1482,'Activation Detail'!H1982,'Activation Detail'!H2482,'Activation Detail'!H2982,'Activation Detail'!H3482,'Activation Detail'!H3982)</f>
        <v>1135.96357399211</v>
      </c>
      <c r="F482" s="50" t="n">
        <f aca="false">SUM('Activation Detail'!I482,'Activation Detail'!I982,'Activation Detail'!I1482,'Activation Detail'!I1982,'Activation Detail'!I2482,'Activation Detail'!I2982,'Activation Detail'!I3482,'Activation Detail'!I3982)</f>
        <v>84504.882216</v>
      </c>
      <c r="G482" s="50" t="n">
        <f aca="false">SUM('Activation Detail'!J482,'Activation Detail'!J982,'Activation Detail'!J1482,'Activation Detail'!J1982,'Activation Detail'!J2482,'Activation Detail'!J2982,'Activation Detail'!J3482,'Activation Detail'!J3982)</f>
        <v>6882410.76463731</v>
      </c>
      <c r="H482" s="50" t="n">
        <f aca="false">SUM('Activation Detail'!K482,'Activation Detail'!K982,'Activation Detail'!K1482,'Activation Detail'!K1982,'Activation Detail'!K2482,'Activation Detail'!K2982,'Activation Detail'!K3482,'Activation Detail'!K3982)</f>
        <v>147646.095423533</v>
      </c>
      <c r="I482" s="51" t="n">
        <f aca="false">IFERROR(H482/F482,0)</f>
        <v>1.74719012146706</v>
      </c>
      <c r="J482" s="49" t="n">
        <f aca="false">IFERROR(F482/E482,0)</f>
        <v>74.3904858841776</v>
      </c>
      <c r="K482" s="46" t="n">
        <f aca="false">IFERROR(C482/B482,0)</f>
        <v>0.0826674165055383</v>
      </c>
      <c r="L482" s="47" t="n">
        <f aca="false">IFERROR(D482/B482,0)</f>
        <v>0.00441805836181465</v>
      </c>
      <c r="N482" s="48" t="n">
        <f aca="false">SUMIFS('Activation Detail'!$H$4:$H$4003,'Activation Detail'!$A$4:$A$4003,$A482,'Activation Detail'!$N$4:$N$4003,N$2)</f>
        <v>100.007359949973</v>
      </c>
      <c r="O482" s="50" t="n">
        <f aca="false">N482*'Model Inputs &amp; Assumptions'!$D$40*'Model Inputs &amp; Assumptions'!$H$40</f>
        <v>850062.559574766</v>
      </c>
      <c r="P482" s="50" t="n">
        <f aca="false">N482*'Model Inputs &amp; Assumptions'!$G$40*'Model Inputs &amp; Assumptions'!$H$40</f>
        <v>19126.4075904322</v>
      </c>
      <c r="Q482" s="50" t="n">
        <f aca="false">SUMIFS('Activation Detail'!$I$4:$I$4003,'Activation Detail'!$A$4:$A$4003,$A482,'Activation Detail'!$N$4:$N$4003,N$2)</f>
        <v>18900.875</v>
      </c>
      <c r="R482" s="51" t="n">
        <f aca="false">IFERROR(P482/Q482,0)</f>
        <v>1.0119323888673</v>
      </c>
      <c r="S482" s="49" t="n">
        <f aca="false">IFERROR(Q482/N482,0)</f>
        <v>188.99484007432</v>
      </c>
      <c r="T482" s="48" t="n">
        <f aca="false">SUMIFS('Activation Detail'!$H$4:$H$4003,'Activation Detail'!$A$4:$A$4003,$A482,'Activation Detail'!$N$4:$N$4003,T$2)</f>
        <v>243.435916241664</v>
      </c>
      <c r="U482" s="50" t="n">
        <f aca="false">T482*'Model Inputs &amp; Assumptions'!$D$41*'Model Inputs &amp; Assumptions'!$H$41</f>
        <v>1752738.59693998</v>
      </c>
      <c r="V482" s="50" t="n">
        <f aca="false">T482*'Model Inputs &amp; Assumptions'!$G$41*'Model Inputs &amp; Assumptions'!$H$41</f>
        <v>38647.8860625266</v>
      </c>
      <c r="W482" s="50" t="n">
        <f aca="false">SUMIFS('Activation Detail'!$I$4:$I$4003,'Activation Detail'!$A$4:$A$4003,$A482,'Activation Detail'!$N$4:$N$4003,T$2)</f>
        <v>19087.851216</v>
      </c>
      <c r="X482" s="51" t="n">
        <f aca="false">IFERROR(V482/W482,0)</f>
        <v>2.02473739056237</v>
      </c>
      <c r="Y482" s="49" t="n">
        <f aca="false">IFERROR(W482/T482,0)</f>
        <v>78.4101685186466</v>
      </c>
      <c r="Z482" s="48" t="n">
        <f aca="false">SUMIFS('Activation Detail'!$H$4:$H$4003,'Activation Detail'!$A$4:$A$4003,$A482,'Activation Detail'!$N$4:$N$4003,Z$2)</f>
        <v>792.520297800474</v>
      </c>
      <c r="AA482" s="50" t="n">
        <f aca="false">Z482*'Model Inputs &amp; Assumptions'!$D$42*'Model Inputs &amp; Assumptions'!$H$42</f>
        <v>4279609.60812256</v>
      </c>
      <c r="AB482" s="50" t="n">
        <f aca="false">Z482*'Model Inputs &amp; Assumptions'!$G$42*'Model Inputs &amp; Assumptions'!$H$42</f>
        <v>89871.8017705737</v>
      </c>
      <c r="AC482" s="50" t="n">
        <f aca="false">SUMIFS('Activation Detail'!$I$4:$I$4003,'Activation Detail'!$A$4:$A$4003,$A482,'Activation Detail'!$N$4:$N$4003,Z$2)</f>
        <v>46516.156</v>
      </c>
      <c r="AD482" s="51" t="n">
        <f aca="false">IFERROR(AB482/AC482,0)</f>
        <v>1.9320556447221</v>
      </c>
      <c r="AE482" s="49" t="n">
        <f aca="false">IFERROR(AC482/Z482,0)</f>
        <v>58.6939616929672</v>
      </c>
    </row>
    <row r="483" customFormat="false" ht="15" hidden="false" customHeight="false" outlineLevel="0" collapsed="false">
      <c r="A483" s="43" t="n">
        <v>480</v>
      </c>
      <c r="B483" s="45" t="n">
        <f aca="false">SUM('Activation Detail'!C483,'Activation Detail'!C983,'Activation Detail'!C1483,'Activation Detail'!C1983,'Activation Detail'!C2483,'Activation Detail'!C2983,'Activation Detail'!C3483,'Activation Detail'!C3983)</f>
        <v>4794616</v>
      </c>
      <c r="C483" s="45" t="n">
        <f aca="false">SUM('Activation Detail'!E483,'Activation Detail'!E983,'Activation Detail'!E1483,'Activation Detail'!E1983,'Activation Detail'!E2483,'Activation Detail'!E2983,'Activation Detail'!E3483,'Activation Detail'!E3983)</f>
        <v>356929</v>
      </c>
      <c r="D483" s="45" t="n">
        <f aca="false">SUM('Activation Detail'!G483,'Activation Detail'!G983,'Activation Detail'!G1483,'Activation Detail'!G1983,'Activation Detail'!G2483,'Activation Detail'!G2983,'Activation Detail'!G3483,'Activation Detail'!G3983)</f>
        <v>19100</v>
      </c>
      <c r="E483" s="48" t="n">
        <f aca="false">SUM('Activation Detail'!H483,'Activation Detail'!H983,'Activation Detail'!H1483,'Activation Detail'!H1983,'Activation Detail'!H2483,'Activation Detail'!H2983,'Activation Detail'!H3483,'Activation Detail'!H3983)</f>
        <v>686.91263105018</v>
      </c>
      <c r="F483" s="50" t="n">
        <f aca="false">SUM('Activation Detail'!I483,'Activation Detail'!I983,'Activation Detail'!I1483,'Activation Detail'!I1983,'Activation Detail'!I2483,'Activation Detail'!I2983,'Activation Detail'!I3483,'Activation Detail'!I3983)</f>
        <v>74732.232062</v>
      </c>
      <c r="G483" s="50" t="n">
        <f aca="false">SUM('Activation Detail'!J483,'Activation Detail'!J983,'Activation Detail'!J1483,'Activation Detail'!J1983,'Activation Detail'!J2483,'Activation Detail'!J2983,'Activation Detail'!J3483,'Activation Detail'!J3983)</f>
        <v>4446994.36849814</v>
      </c>
      <c r="H483" s="50" t="n">
        <f aca="false">SUM('Activation Detail'!K483,'Activation Detail'!K983,'Activation Detail'!K1483,'Activation Detail'!K1983,'Activation Detail'!K2483,'Activation Detail'!K2983,'Activation Detail'!K3483,'Activation Detail'!K3983)</f>
        <v>96456.0847423394</v>
      </c>
      <c r="I483" s="51" t="n">
        <f aca="false">IFERROR(H483/F483,0)</f>
        <v>1.29068919903686</v>
      </c>
      <c r="J483" s="49" t="n">
        <f aca="false">IFERROR(F483/E483,0)</f>
        <v>108.794377456339</v>
      </c>
      <c r="K483" s="46" t="n">
        <f aca="false">IFERROR(C483/B483,0)</f>
        <v>0.0744437093606662</v>
      </c>
      <c r="L483" s="47" t="n">
        <f aca="false">IFERROR(D483/B483,0)</f>
        <v>0.0039836349772328</v>
      </c>
      <c r="N483" s="48" t="n">
        <f aca="false">SUMIFS('Activation Detail'!$H$4:$H$4003,'Activation Detail'!$A$4:$A$4003,$A483,'Activation Detail'!$N$4:$N$4003,N$2)</f>
        <v>107.388413317527</v>
      </c>
      <c r="O483" s="50" t="n">
        <f aca="false">N483*'Model Inputs &amp; Assumptions'!$D$40*'Model Inputs &amp; Assumptions'!$H$40</f>
        <v>912801.51319898</v>
      </c>
      <c r="P483" s="50" t="n">
        <f aca="false">N483*'Model Inputs &amp; Assumptions'!$G$40*'Model Inputs &amp; Assumptions'!$H$40</f>
        <v>20538.034046977</v>
      </c>
      <c r="Q483" s="50" t="n">
        <f aca="false">SUMIFS('Activation Detail'!$I$4:$I$4003,'Activation Detail'!$A$4:$A$4003,$A483,'Activation Detail'!$N$4:$N$4003,N$2)</f>
        <v>18718.667</v>
      </c>
      <c r="R483" s="51" t="n">
        <f aca="false">IFERROR(P483/Q483,0)</f>
        <v>1.09719533164285</v>
      </c>
      <c r="S483" s="49" t="n">
        <f aca="false">IFERROR(Q483/N483,0)</f>
        <v>174.308069387826</v>
      </c>
      <c r="T483" s="48" t="n">
        <f aca="false">SUMIFS('Activation Detail'!$H$4:$H$4003,'Activation Detail'!$A$4:$A$4003,$A483,'Activation Detail'!$N$4:$N$4003,T$2)</f>
        <v>224.867821968241</v>
      </c>
      <c r="U483" s="50" t="n">
        <f aca="false">T483*'Model Inputs &amp; Assumptions'!$D$41*'Model Inputs &amp; Assumptions'!$H$41</f>
        <v>1619048.31817134</v>
      </c>
      <c r="V483" s="50" t="n">
        <f aca="false">T483*'Model Inputs &amp; Assumptions'!$G$41*'Model Inputs &amp; Assumptions'!$H$41</f>
        <v>35700.015415678</v>
      </c>
      <c r="W483" s="50" t="n">
        <f aca="false">SUMIFS('Activation Detail'!$I$4:$I$4003,'Activation Detail'!$A$4:$A$4003,$A483,'Activation Detail'!$N$4:$N$4003,T$2)</f>
        <v>16786.977062</v>
      </c>
      <c r="X483" s="51" t="n">
        <f aca="false">IFERROR(V483/W483,0)</f>
        <v>2.12664944282855</v>
      </c>
      <c r="Y483" s="49" t="n">
        <f aca="false">IFERROR(W483/T483,0)</f>
        <v>74.652642228068</v>
      </c>
      <c r="Z483" s="48" t="n">
        <f aca="false">SUMIFS('Activation Detail'!$H$4:$H$4003,'Activation Detail'!$A$4:$A$4003,$A483,'Activation Detail'!$N$4:$N$4003,Z$2)</f>
        <v>354.656395764412</v>
      </c>
      <c r="AA483" s="50" t="n">
        <f aca="false">Z483*'Model Inputs &amp; Assumptions'!$D$42*'Model Inputs &amp; Assumptions'!$H$42</f>
        <v>1915144.53712782</v>
      </c>
      <c r="AB483" s="50" t="n">
        <f aca="false">Z483*'Model Inputs &amp; Assumptions'!$G$42*'Model Inputs &amp; Assumptions'!$H$42</f>
        <v>40218.0352796843</v>
      </c>
      <c r="AC483" s="50" t="n">
        <f aca="false">SUMIFS('Activation Detail'!$I$4:$I$4003,'Activation Detail'!$A$4:$A$4003,$A483,'Activation Detail'!$N$4:$N$4003,Z$2)</f>
        <v>39226.588</v>
      </c>
      <c r="AD483" s="51" t="n">
        <f aca="false">IFERROR(AB483/AC483,0)</f>
        <v>1.02527487936714</v>
      </c>
      <c r="AE483" s="49" t="n">
        <f aca="false">IFERROR(AC483/Z483,0)</f>
        <v>110.604484984551</v>
      </c>
    </row>
    <row r="484" customFormat="false" ht="15" hidden="false" customHeight="false" outlineLevel="0" collapsed="false">
      <c r="A484" s="43" t="n">
        <v>481</v>
      </c>
      <c r="B484" s="45" t="n">
        <f aca="false">SUM('Activation Detail'!C484,'Activation Detail'!C984,'Activation Detail'!C1484,'Activation Detail'!C1984,'Activation Detail'!C2484,'Activation Detail'!C2984,'Activation Detail'!C3484,'Activation Detail'!C3984)</f>
        <v>5023788</v>
      </c>
      <c r="C484" s="45" t="n">
        <f aca="false">SUM('Activation Detail'!E484,'Activation Detail'!E984,'Activation Detail'!E1484,'Activation Detail'!E1984,'Activation Detail'!E2484,'Activation Detail'!E2984,'Activation Detail'!E3484,'Activation Detail'!E3984)</f>
        <v>443908</v>
      </c>
      <c r="D484" s="45" t="n">
        <f aca="false">SUM('Activation Detail'!G484,'Activation Detail'!G984,'Activation Detail'!G1484,'Activation Detail'!G1984,'Activation Detail'!G2484,'Activation Detail'!G2984,'Activation Detail'!G3484,'Activation Detail'!G3984)</f>
        <v>15739</v>
      </c>
      <c r="E484" s="48" t="n">
        <f aca="false">SUM('Activation Detail'!H484,'Activation Detail'!H984,'Activation Detail'!H1484,'Activation Detail'!H1984,'Activation Detail'!H2484,'Activation Detail'!H2984,'Activation Detail'!H3484,'Activation Detail'!H3984)</f>
        <v>628.274943465942</v>
      </c>
      <c r="F484" s="50" t="n">
        <f aca="false">SUM('Activation Detail'!I484,'Activation Detail'!I984,'Activation Detail'!I1484,'Activation Detail'!I1984,'Activation Detail'!I2484,'Activation Detail'!I2984,'Activation Detail'!I3484,'Activation Detail'!I3984)</f>
        <v>83800.045892</v>
      </c>
      <c r="G484" s="50" t="n">
        <f aca="false">SUM('Activation Detail'!J484,'Activation Detail'!J984,'Activation Detail'!J1484,'Activation Detail'!J1984,'Activation Detail'!J2484,'Activation Detail'!J2984,'Activation Detail'!J3484,'Activation Detail'!J3984)</f>
        <v>3888008.72798039</v>
      </c>
      <c r="H484" s="50" t="n">
        <f aca="false">SUM('Activation Detail'!K484,'Activation Detail'!K984,'Activation Detail'!K1484,'Activation Detail'!K1984,'Activation Detail'!K2484,'Activation Detail'!K2984,'Activation Detail'!K3484,'Activation Detail'!K3984)</f>
        <v>83708.6649311289</v>
      </c>
      <c r="I484" s="51" t="n">
        <f aca="false">IFERROR(H484/F484,0)</f>
        <v>0.998909535670317</v>
      </c>
      <c r="J484" s="49" t="n">
        <f aca="false">IFERROR(F484/E484,0)</f>
        <v>133.38116817091</v>
      </c>
      <c r="K484" s="46" t="n">
        <f aca="false">IFERROR(C484/B484,0)</f>
        <v>0.0883612126944847</v>
      </c>
      <c r="L484" s="47" t="n">
        <f aca="false">IFERROR(D484/B484,0)</f>
        <v>0.00313289493903803</v>
      </c>
      <c r="N484" s="48" t="n">
        <f aca="false">SUMIFS('Activation Detail'!$H$4:$H$4003,'Activation Detail'!$A$4:$A$4003,$A484,'Activation Detail'!$N$4:$N$4003,N$2)</f>
        <v>73.6270228492517</v>
      </c>
      <c r="O484" s="50" t="n">
        <f aca="false">N484*'Model Inputs &amp; Assumptions'!$D$40*'Model Inputs &amp; Assumptions'!$H$40</f>
        <v>625829.69421864</v>
      </c>
      <c r="P484" s="50" t="n">
        <f aca="false">N484*'Model Inputs &amp; Assumptions'!$G$40*'Model Inputs &amp; Assumptions'!$H$40</f>
        <v>14081.1681199194</v>
      </c>
      <c r="Q484" s="50" t="n">
        <f aca="false">SUMIFS('Activation Detail'!$I$4:$I$4003,'Activation Detail'!$A$4:$A$4003,$A484,'Activation Detail'!$N$4:$N$4003,N$2)</f>
        <v>18326.4115</v>
      </c>
      <c r="R484" s="51" t="n">
        <f aca="false">IFERROR(P484/Q484,0)</f>
        <v>0.768353811105867</v>
      </c>
      <c r="S484" s="49" t="n">
        <f aca="false">IFERROR(Q484/N484,0)</f>
        <v>248.908767335637</v>
      </c>
      <c r="T484" s="48" t="n">
        <f aca="false">SUMIFS('Activation Detail'!$H$4:$H$4003,'Activation Detail'!$A$4:$A$4003,$A484,'Activation Detail'!$N$4:$N$4003,T$2)</f>
        <v>148.377923573123</v>
      </c>
      <c r="U484" s="50" t="n">
        <f aca="false">T484*'Model Inputs &amp; Assumptions'!$D$41*'Model Inputs &amp; Assumptions'!$H$41</f>
        <v>1068321.04972648</v>
      </c>
      <c r="V484" s="50" t="n">
        <f aca="false">T484*'Model Inputs &amp; Assumptions'!$G$41*'Model Inputs &amp; Assumptions'!$H$41</f>
        <v>23556.4791464689</v>
      </c>
      <c r="W484" s="50" t="n">
        <f aca="false">SUMIFS('Activation Detail'!$I$4:$I$4003,'Activation Detail'!$A$4:$A$4003,$A484,'Activation Detail'!$N$4:$N$4003,T$2)</f>
        <v>17189.626392</v>
      </c>
      <c r="X484" s="51" t="n">
        <f aca="false">IFERROR(V484/W484,0)</f>
        <v>1.37038924577395</v>
      </c>
      <c r="Y484" s="49" t="n">
        <f aca="false">IFERROR(W484/T484,0)</f>
        <v>115.850296176498</v>
      </c>
      <c r="Z484" s="48" t="n">
        <f aca="false">SUMIFS('Activation Detail'!$H$4:$H$4003,'Activation Detail'!$A$4:$A$4003,$A484,'Activation Detail'!$N$4:$N$4003,Z$2)</f>
        <v>406.269997043568</v>
      </c>
      <c r="AA484" s="50" t="n">
        <f aca="false">Z484*'Model Inputs &amp; Assumptions'!$D$42*'Model Inputs &amp; Assumptions'!$H$42</f>
        <v>2193857.98403527</v>
      </c>
      <c r="AB484" s="50" t="n">
        <f aca="false">Z484*'Model Inputs &amp; Assumptions'!$G$42*'Model Inputs &amp; Assumptions'!$H$42</f>
        <v>46071.0176647406</v>
      </c>
      <c r="AC484" s="50" t="n">
        <f aca="false">SUMIFS('Activation Detail'!$I$4:$I$4003,'Activation Detail'!$A$4:$A$4003,$A484,'Activation Detail'!$N$4:$N$4003,Z$2)</f>
        <v>48284.008</v>
      </c>
      <c r="AD484" s="51" t="n">
        <f aca="false">IFERROR(AB484/AC484,0)</f>
        <v>0.954167219604897</v>
      </c>
      <c r="AE484" s="49" t="n">
        <f aca="false">IFERROR(AC484/Z484,0)</f>
        <v>118.847092700331</v>
      </c>
    </row>
    <row r="485" customFormat="false" ht="15" hidden="false" customHeight="false" outlineLevel="0" collapsed="false">
      <c r="A485" s="43" t="n">
        <v>482</v>
      </c>
      <c r="B485" s="45" t="n">
        <f aca="false">SUM('Activation Detail'!C485,'Activation Detail'!C985,'Activation Detail'!C1485,'Activation Detail'!C1985,'Activation Detail'!C2485,'Activation Detail'!C2985,'Activation Detail'!C3485,'Activation Detail'!C3985)</f>
        <v>4049046</v>
      </c>
      <c r="C485" s="45" t="n">
        <f aca="false">SUM('Activation Detail'!E485,'Activation Detail'!E985,'Activation Detail'!E1485,'Activation Detail'!E1985,'Activation Detail'!E2485,'Activation Detail'!E2985,'Activation Detail'!E3485,'Activation Detail'!E3985)</f>
        <v>397093</v>
      </c>
      <c r="D485" s="45" t="n">
        <f aca="false">SUM('Activation Detail'!G485,'Activation Detail'!G985,'Activation Detail'!G1485,'Activation Detail'!G1985,'Activation Detail'!G2485,'Activation Detail'!G2985,'Activation Detail'!G3485,'Activation Detail'!G3985)</f>
        <v>15762</v>
      </c>
      <c r="E485" s="48" t="n">
        <f aca="false">SUM('Activation Detail'!H485,'Activation Detail'!H985,'Activation Detail'!H1485,'Activation Detail'!H1985,'Activation Detail'!H2485,'Activation Detail'!H2985,'Activation Detail'!H3485,'Activation Detail'!H3985)</f>
        <v>565.504008339791</v>
      </c>
      <c r="F485" s="50" t="n">
        <f aca="false">SUM('Activation Detail'!I485,'Activation Detail'!I985,'Activation Detail'!I1485,'Activation Detail'!I1985,'Activation Detail'!I2485,'Activation Detail'!I2985,'Activation Detail'!I3485,'Activation Detail'!I3985)</f>
        <v>76855.954056</v>
      </c>
      <c r="G485" s="50" t="n">
        <f aca="false">SUM('Activation Detail'!J485,'Activation Detail'!J985,'Activation Detail'!J1485,'Activation Detail'!J1985,'Activation Detail'!J2485,'Activation Detail'!J2985,'Activation Detail'!J3485,'Activation Detail'!J3985)</f>
        <v>3674500.16341467</v>
      </c>
      <c r="H485" s="50" t="n">
        <f aca="false">SUM('Activation Detail'!K485,'Activation Detail'!K985,'Activation Detail'!K1485,'Activation Detail'!K1985,'Activation Detail'!K2485,'Activation Detail'!K2985,'Activation Detail'!K3485,'Activation Detail'!K3985)</f>
        <v>79743.1718402225</v>
      </c>
      <c r="I485" s="51" t="n">
        <f aca="false">IFERROR(H485/F485,0)</f>
        <v>1.0375666117178</v>
      </c>
      <c r="J485" s="49" t="n">
        <f aca="false">IFERROR(F485/E485,0)</f>
        <v>135.907001405055</v>
      </c>
      <c r="K485" s="46" t="n">
        <f aca="false">IFERROR(C485/B485,0)</f>
        <v>0.0980707554322673</v>
      </c>
      <c r="L485" s="47" t="n">
        <f aca="false">IFERROR(D485/B485,0)</f>
        <v>0.00389276881517276</v>
      </c>
      <c r="N485" s="48" t="n">
        <f aca="false">SUMIFS('Activation Detail'!$H$4:$H$4003,'Activation Detail'!$A$4:$A$4003,$A485,'Activation Detail'!$N$4:$N$4003,N$2)</f>
        <v>105.930995113962</v>
      </c>
      <c r="O485" s="50" t="n">
        <f aca="false">N485*'Model Inputs &amp; Assumptions'!$D$40*'Model Inputs &amp; Assumptions'!$H$40</f>
        <v>900413.458468677</v>
      </c>
      <c r="P485" s="50" t="n">
        <f aca="false">N485*'Model Inputs &amp; Assumptions'!$G$40*'Model Inputs &amp; Assumptions'!$H$40</f>
        <v>20259.3028155452</v>
      </c>
      <c r="Q485" s="50" t="n">
        <f aca="false">SUMIFS('Activation Detail'!$I$4:$I$4003,'Activation Detail'!$A$4:$A$4003,$A485,'Activation Detail'!$N$4:$N$4003,N$2)</f>
        <v>17655.8715</v>
      </c>
      <c r="R485" s="51" t="n">
        <f aca="false">IFERROR(P485/Q485,0)</f>
        <v>1.14745413816278</v>
      </c>
      <c r="S485" s="49" t="n">
        <f aca="false">IFERROR(Q485/N485,0)</f>
        <v>166.67332805668</v>
      </c>
      <c r="T485" s="48" t="n">
        <f aca="false">SUMIFS('Activation Detail'!$H$4:$H$4003,'Activation Detail'!$A$4:$A$4003,$A485,'Activation Detail'!$N$4:$N$4003,T$2)</f>
        <v>162.440240848068</v>
      </c>
      <c r="U485" s="50" t="n">
        <f aca="false">T485*'Model Inputs &amp; Assumptions'!$D$41*'Model Inputs &amp; Assumptions'!$H$41</f>
        <v>1169569.73410609</v>
      </c>
      <c r="V485" s="50" t="n">
        <f aca="false">T485*'Model Inputs &amp; Assumptions'!$G$41*'Model Inputs &amp; Assumptions'!$H$41</f>
        <v>25789.0126370392</v>
      </c>
      <c r="W485" s="50" t="n">
        <f aca="false">SUMIFS('Activation Detail'!$I$4:$I$4003,'Activation Detail'!$A$4:$A$4003,$A485,'Activation Detail'!$N$4:$N$4003,T$2)</f>
        <v>17387.266556</v>
      </c>
      <c r="X485" s="51" t="n">
        <f aca="false">IFERROR(V485/W485,0)</f>
        <v>1.48321258859058</v>
      </c>
      <c r="Y485" s="49" t="n">
        <f aca="false">IFERROR(W485/T485,0)</f>
        <v>107.037926472065</v>
      </c>
      <c r="Z485" s="48" t="n">
        <f aca="false">SUMIFS('Activation Detail'!$H$4:$H$4003,'Activation Detail'!$A$4:$A$4003,$A485,'Activation Detail'!$N$4:$N$4003,Z$2)</f>
        <v>297.132772377761</v>
      </c>
      <c r="AA485" s="50" t="n">
        <f aca="false">Z485*'Model Inputs &amp; Assumptions'!$D$42*'Model Inputs &amp; Assumptions'!$H$42</f>
        <v>1604516.97083991</v>
      </c>
      <c r="AB485" s="50" t="n">
        <f aca="false">Z485*'Model Inputs &amp; Assumptions'!$G$42*'Model Inputs &amp; Assumptions'!$H$42</f>
        <v>33694.8563876381</v>
      </c>
      <c r="AC485" s="50" t="n">
        <f aca="false">SUMIFS('Activation Detail'!$I$4:$I$4003,'Activation Detail'!$A$4:$A$4003,$A485,'Activation Detail'!$N$4:$N$4003,Z$2)</f>
        <v>41812.816</v>
      </c>
      <c r="AD485" s="51" t="n">
        <f aca="false">IFERROR(AB485/AC485,0)</f>
        <v>0.805849966853179</v>
      </c>
      <c r="AE485" s="49" t="n">
        <f aca="false">IFERROR(AC485/Z485,0)</f>
        <v>140.720983637716</v>
      </c>
    </row>
    <row r="486" customFormat="false" ht="15" hidden="false" customHeight="false" outlineLevel="0" collapsed="false">
      <c r="A486" s="43" t="n">
        <v>483</v>
      </c>
      <c r="B486" s="45" t="n">
        <f aca="false">SUM('Activation Detail'!C486,'Activation Detail'!C986,'Activation Detail'!C1486,'Activation Detail'!C1986,'Activation Detail'!C2486,'Activation Detail'!C2986,'Activation Detail'!C3486,'Activation Detail'!C3986)</f>
        <v>3106407</v>
      </c>
      <c r="C486" s="45" t="n">
        <f aca="false">SUM('Activation Detail'!E486,'Activation Detail'!E986,'Activation Detail'!E1486,'Activation Detail'!E1986,'Activation Detail'!E2486,'Activation Detail'!E2986,'Activation Detail'!E3486,'Activation Detail'!E3986)</f>
        <v>351621</v>
      </c>
      <c r="D486" s="45" t="n">
        <f aca="false">SUM('Activation Detail'!G486,'Activation Detail'!G986,'Activation Detail'!G1486,'Activation Detail'!G1986,'Activation Detail'!G2486,'Activation Detail'!G2986,'Activation Detail'!G3486,'Activation Detail'!G3986)</f>
        <v>12054</v>
      </c>
      <c r="E486" s="48" t="n">
        <f aca="false">SUM('Activation Detail'!H486,'Activation Detail'!H986,'Activation Detail'!H1486,'Activation Detail'!H1986,'Activation Detail'!H2486,'Activation Detail'!H2986,'Activation Detail'!H3486,'Activation Detail'!H3986)</f>
        <v>567.466576068985</v>
      </c>
      <c r="F486" s="50" t="n">
        <f aca="false">SUM('Activation Detail'!I486,'Activation Detail'!I986,'Activation Detail'!I1486,'Activation Detail'!I1986,'Activation Detail'!I2486,'Activation Detail'!I2986,'Activation Detail'!I3486,'Activation Detail'!I3986)</f>
        <v>66698.259948</v>
      </c>
      <c r="G486" s="50" t="n">
        <f aca="false">SUM('Activation Detail'!J486,'Activation Detail'!J986,'Activation Detail'!J1486,'Activation Detail'!J1986,'Activation Detail'!J2486,'Activation Detail'!J2986,'Activation Detail'!J3486,'Activation Detail'!J3986)</f>
        <v>3581287.61799308</v>
      </c>
      <c r="H486" s="50" t="n">
        <f aca="false">SUM('Activation Detail'!K486,'Activation Detail'!K986,'Activation Detail'!K1486,'Activation Detail'!K1986,'Activation Detail'!K2486,'Activation Detail'!K2986,'Activation Detail'!K3486,'Activation Detail'!K3986)</f>
        <v>77356.9362402727</v>
      </c>
      <c r="I486" s="51" t="n">
        <f aca="false">IFERROR(H486/F486,0)</f>
        <v>1.15980441319732</v>
      </c>
      <c r="J486" s="49" t="n">
        <f aca="false">IFERROR(F486/E486,0)</f>
        <v>117.536896023091</v>
      </c>
      <c r="K486" s="46" t="n">
        <f aca="false">IFERROR(C486/B486,0)</f>
        <v>0.113192186342614</v>
      </c>
      <c r="L486" s="47" t="n">
        <f aca="false">IFERROR(D486/B486,0)</f>
        <v>0.0038803672538724</v>
      </c>
      <c r="N486" s="48" t="n">
        <f aca="false">SUMIFS('Activation Detail'!$H$4:$H$4003,'Activation Detail'!$A$4:$A$4003,$A486,'Activation Detail'!$N$4:$N$4003,N$2)</f>
        <v>79.1473626235576</v>
      </c>
      <c r="O486" s="50" t="n">
        <f aca="false">N486*'Model Inputs &amp; Assumptions'!$D$40*'Model Inputs &amp; Assumptions'!$H$40</f>
        <v>672752.58230024</v>
      </c>
      <c r="P486" s="50" t="n">
        <f aca="false">N486*'Model Inputs &amp; Assumptions'!$G$40*'Model Inputs &amp; Assumptions'!$H$40</f>
        <v>15136.9331017554</v>
      </c>
      <c r="Q486" s="50" t="n">
        <f aca="false">SUMIFS('Activation Detail'!$I$4:$I$4003,'Activation Detail'!$A$4:$A$4003,$A486,'Activation Detail'!$N$4:$N$4003,N$2)</f>
        <v>17641.1685</v>
      </c>
      <c r="R486" s="51" t="n">
        <f aca="false">IFERROR(P486/Q486,0)</f>
        <v>0.858045945298658</v>
      </c>
      <c r="S486" s="49" t="n">
        <f aca="false">IFERROR(Q486/N486,0)</f>
        <v>222.890162290123</v>
      </c>
      <c r="T486" s="48" t="n">
        <f aca="false">SUMIFS('Activation Detail'!$H$4:$H$4003,'Activation Detail'!$A$4:$A$4003,$A486,'Activation Detail'!$N$4:$N$4003,T$2)</f>
        <v>150.895157270852</v>
      </c>
      <c r="U486" s="50" t="n">
        <f aca="false">T486*'Model Inputs &amp; Assumptions'!$D$41*'Model Inputs &amp; Assumptions'!$H$41</f>
        <v>1086445.13235013</v>
      </c>
      <c r="V486" s="50" t="n">
        <f aca="false">T486*'Model Inputs &amp; Assumptions'!$G$41*'Model Inputs &amp; Assumptions'!$H$41</f>
        <v>23956.1151683204</v>
      </c>
      <c r="W486" s="50" t="n">
        <f aca="false">SUMIFS('Activation Detail'!$I$4:$I$4003,'Activation Detail'!$A$4:$A$4003,$A486,'Activation Detail'!$N$4:$N$4003,T$2)</f>
        <v>15634.387448</v>
      </c>
      <c r="X486" s="51" t="n">
        <f aca="false">IFERROR(V486/W486,0)</f>
        <v>1.53227078758272</v>
      </c>
      <c r="Y486" s="49" t="n">
        <f aca="false">IFERROR(W486/T486,0)</f>
        <v>103.61092914292</v>
      </c>
      <c r="Z486" s="48" t="n">
        <f aca="false">SUMIFS('Activation Detail'!$H$4:$H$4003,'Activation Detail'!$A$4:$A$4003,$A486,'Activation Detail'!$N$4:$N$4003,Z$2)</f>
        <v>337.424056174576</v>
      </c>
      <c r="AA486" s="50" t="n">
        <f aca="false">Z486*'Model Inputs &amp; Assumptions'!$D$42*'Model Inputs &amp; Assumptions'!$H$42</f>
        <v>1822089.90334271</v>
      </c>
      <c r="AB486" s="50" t="n">
        <f aca="false">Z486*'Model Inputs &amp; Assumptions'!$G$42*'Model Inputs &amp; Assumptions'!$H$42</f>
        <v>38263.8879701969</v>
      </c>
      <c r="AC486" s="50" t="n">
        <f aca="false">SUMIFS('Activation Detail'!$I$4:$I$4003,'Activation Detail'!$A$4:$A$4003,$A486,'Activation Detail'!$N$4:$N$4003,Z$2)</f>
        <v>33422.704</v>
      </c>
      <c r="AD486" s="51" t="n">
        <f aca="false">IFERROR(AB486/AC486,0)</f>
        <v>1.14484716647094</v>
      </c>
      <c r="AE486" s="49" t="n">
        <f aca="false">IFERROR(AC486/Z486,0)</f>
        <v>99.0525227481344</v>
      </c>
    </row>
    <row r="487" customFormat="false" ht="15" hidden="false" customHeight="false" outlineLevel="0" collapsed="false">
      <c r="A487" s="43" t="n">
        <v>484</v>
      </c>
      <c r="B487" s="45" t="n">
        <f aca="false">SUM('Activation Detail'!C487,'Activation Detail'!C987,'Activation Detail'!C1487,'Activation Detail'!C1987,'Activation Detail'!C2487,'Activation Detail'!C2987,'Activation Detail'!C3487,'Activation Detail'!C3987)</f>
        <v>3799033</v>
      </c>
      <c r="C487" s="45" t="n">
        <f aca="false">SUM('Activation Detail'!E487,'Activation Detail'!E987,'Activation Detail'!E1487,'Activation Detail'!E1987,'Activation Detail'!E2487,'Activation Detail'!E2987,'Activation Detail'!E3487,'Activation Detail'!E3987)</f>
        <v>460441</v>
      </c>
      <c r="D487" s="45" t="n">
        <f aca="false">SUM('Activation Detail'!G487,'Activation Detail'!G987,'Activation Detail'!G1487,'Activation Detail'!G1987,'Activation Detail'!G2487,'Activation Detail'!G2987,'Activation Detail'!G3487,'Activation Detail'!G3987)</f>
        <v>14219</v>
      </c>
      <c r="E487" s="48" t="n">
        <f aca="false">SUM('Activation Detail'!H487,'Activation Detail'!H987,'Activation Detail'!H1487,'Activation Detail'!H1987,'Activation Detail'!H2487,'Activation Detail'!H2987,'Activation Detail'!H3487,'Activation Detail'!H3987)</f>
        <v>422.444054431055</v>
      </c>
      <c r="F487" s="50" t="n">
        <f aca="false">SUM('Activation Detail'!I487,'Activation Detail'!I987,'Activation Detail'!I1487,'Activation Detail'!I1987,'Activation Detail'!I2487,'Activation Detail'!I2987,'Activation Detail'!I3487,'Activation Detail'!I3987)</f>
        <v>70994.766076</v>
      </c>
      <c r="G487" s="50" t="n">
        <f aca="false">SUM('Activation Detail'!J487,'Activation Detail'!J987,'Activation Detail'!J1487,'Activation Detail'!J1987,'Activation Detail'!J2487,'Activation Detail'!J2987,'Activation Detail'!J3487,'Activation Detail'!J3987)</f>
        <v>2840597.50582596</v>
      </c>
      <c r="H487" s="50" t="n">
        <f aca="false">SUM('Activation Detail'!K487,'Activation Detail'!K987,'Activation Detail'!K1487,'Activation Detail'!K1987,'Activation Detail'!K2487,'Activation Detail'!K2987,'Activation Detail'!K3487,'Activation Detail'!K3987)</f>
        <v>61975.4205599838</v>
      </c>
      <c r="I487" s="51" t="n">
        <f aca="false">IFERROR(H487/F487,0)</f>
        <v>0.872957599348085</v>
      </c>
      <c r="J487" s="49" t="n">
        <f aca="false">IFERROR(F487/E487,0)</f>
        <v>168.057202678862</v>
      </c>
      <c r="K487" s="46" t="n">
        <f aca="false">IFERROR(C487/B487,0)</f>
        <v>0.121199526300509</v>
      </c>
      <c r="L487" s="47" t="n">
        <f aca="false">IFERROR(D487/B487,0)</f>
        <v>0.00374279454798103</v>
      </c>
      <c r="N487" s="48" t="n">
        <f aca="false">SUMIFS('Activation Detail'!$H$4:$H$4003,'Activation Detail'!$A$4:$A$4003,$A487,'Activation Detail'!$N$4:$N$4003,N$2)</f>
        <v>98.538638273976</v>
      </c>
      <c r="O487" s="50" t="n">
        <f aca="false">N487*'Model Inputs &amp; Assumptions'!$D$40*'Model Inputs &amp; Assumptions'!$H$40</f>
        <v>837578.425328796</v>
      </c>
      <c r="P487" s="50" t="n">
        <f aca="false">N487*'Model Inputs &amp; Assumptions'!$G$40*'Model Inputs &amp; Assumptions'!$H$40</f>
        <v>18845.5145698979</v>
      </c>
      <c r="Q487" s="50" t="n">
        <f aca="false">SUMIFS('Activation Detail'!$I$4:$I$4003,'Activation Detail'!$A$4:$A$4003,$A487,'Activation Detail'!$N$4:$N$4003,N$2)</f>
        <v>17537.461</v>
      </c>
      <c r="R487" s="51" t="n">
        <f aca="false">IFERROR(P487/Q487,0)</f>
        <v>1.07458625680752</v>
      </c>
      <c r="S487" s="49" t="n">
        <f aca="false">IFERROR(Q487/N487,0)</f>
        <v>177.97547548038</v>
      </c>
      <c r="T487" s="48" t="n">
        <f aca="false">SUMIFS('Activation Detail'!$H$4:$H$4003,'Activation Detail'!$A$4:$A$4003,$A487,'Activation Detail'!$N$4:$N$4003,T$2)</f>
        <v>141.072129582741</v>
      </c>
      <c r="U487" s="50" t="n">
        <f aca="false">T487*'Model Inputs &amp; Assumptions'!$D$41*'Model Inputs &amp; Assumptions'!$H$41</f>
        <v>1015719.33299573</v>
      </c>
      <c r="V487" s="50" t="n">
        <f aca="false">T487*'Model Inputs &amp; Assumptions'!$G$41*'Model Inputs &amp; Assumptions'!$H$41</f>
        <v>22396.6112925559</v>
      </c>
      <c r="W487" s="50" t="n">
        <f aca="false">SUMIFS('Activation Detail'!$I$4:$I$4003,'Activation Detail'!$A$4:$A$4003,$A487,'Activation Detail'!$N$4:$N$4003,T$2)</f>
        <v>17809.261076</v>
      </c>
      <c r="X487" s="51" t="n">
        <f aca="false">IFERROR(V487/W487,0)</f>
        <v>1.25758228805674</v>
      </c>
      <c r="Y487" s="49" t="n">
        <f aca="false">IFERROR(W487/T487,0)</f>
        <v>126.242236001368</v>
      </c>
      <c r="Z487" s="48" t="n">
        <f aca="false">SUMIFS('Activation Detail'!$H$4:$H$4003,'Activation Detail'!$A$4:$A$4003,$A487,'Activation Detail'!$N$4:$N$4003,Z$2)</f>
        <v>182.833286574339</v>
      </c>
      <c r="AA487" s="50" t="n">
        <f aca="false">Z487*'Model Inputs &amp; Assumptions'!$D$42*'Model Inputs &amp; Assumptions'!$H$42</f>
        <v>987299.747501428</v>
      </c>
      <c r="AB487" s="50" t="n">
        <f aca="false">Z487*'Model Inputs &amp; Assumptions'!$G$42*'Model Inputs &amp; Assumptions'!$H$42</f>
        <v>20733.29469753</v>
      </c>
      <c r="AC487" s="50" t="n">
        <f aca="false">SUMIFS('Activation Detail'!$I$4:$I$4003,'Activation Detail'!$A$4:$A$4003,$A487,'Activation Detail'!$N$4:$N$4003,Z$2)</f>
        <v>35648.044</v>
      </c>
      <c r="AD487" s="51" t="n">
        <f aca="false">IFERROR(AB487/AC487,0)</f>
        <v>0.581611005011383</v>
      </c>
      <c r="AE487" s="49" t="n">
        <f aca="false">IFERROR(AC487/Z487,0)</f>
        <v>194.97567794093</v>
      </c>
    </row>
    <row r="488" customFormat="false" ht="15" hidden="false" customHeight="false" outlineLevel="0" collapsed="false">
      <c r="A488" s="43" t="n">
        <v>485</v>
      </c>
      <c r="B488" s="45" t="n">
        <f aca="false">SUM('Activation Detail'!C488,'Activation Detail'!C988,'Activation Detail'!C1488,'Activation Detail'!C1988,'Activation Detail'!C2488,'Activation Detail'!C2988,'Activation Detail'!C3488,'Activation Detail'!C3988)</f>
        <v>4088246</v>
      </c>
      <c r="C488" s="45" t="n">
        <f aca="false">SUM('Activation Detail'!E488,'Activation Detail'!E988,'Activation Detail'!E1488,'Activation Detail'!E1988,'Activation Detail'!E2488,'Activation Detail'!E2988,'Activation Detail'!E3488,'Activation Detail'!E3988)</f>
        <v>444180</v>
      </c>
      <c r="D488" s="45" t="n">
        <f aca="false">SUM('Activation Detail'!G488,'Activation Detail'!G988,'Activation Detail'!G1488,'Activation Detail'!G1988,'Activation Detail'!G2488,'Activation Detail'!G2988,'Activation Detail'!G3488,'Activation Detail'!G3988)</f>
        <v>13716</v>
      </c>
      <c r="E488" s="48" t="n">
        <f aca="false">SUM('Activation Detail'!H488,'Activation Detail'!H988,'Activation Detail'!H1488,'Activation Detail'!H1988,'Activation Detail'!H2488,'Activation Detail'!H2988,'Activation Detail'!H3488,'Activation Detail'!H3988)</f>
        <v>615.963317321749</v>
      </c>
      <c r="F488" s="50" t="n">
        <f aca="false">SUM('Activation Detail'!I488,'Activation Detail'!I988,'Activation Detail'!I1488,'Activation Detail'!I1988,'Activation Detail'!I2488,'Activation Detail'!I2988,'Activation Detail'!I3488,'Activation Detail'!I3988)</f>
        <v>71972.414136</v>
      </c>
      <c r="G488" s="50" t="n">
        <f aca="false">SUM('Activation Detail'!J488,'Activation Detail'!J988,'Activation Detail'!J1488,'Activation Detail'!J1988,'Activation Detail'!J2488,'Activation Detail'!J2988,'Activation Detail'!J3488,'Activation Detail'!J3988)</f>
        <v>4102030.02808182</v>
      </c>
      <c r="H488" s="50" t="n">
        <f aca="false">SUM('Activation Detail'!K488,'Activation Detail'!K988,'Activation Detail'!K1488,'Activation Detail'!K1988,'Activation Detail'!K2488,'Activation Detail'!K2988,'Activation Detail'!K3488,'Activation Detail'!K3988)</f>
        <v>89362.1858620476</v>
      </c>
      <c r="I488" s="51" t="n">
        <f aca="false">IFERROR(H488/F488,0)</f>
        <v>1.24161717978763</v>
      </c>
      <c r="J488" s="49" t="n">
        <f aca="false">IFERROR(F488/E488,0)</f>
        <v>116.845292750453</v>
      </c>
      <c r="K488" s="46" t="n">
        <f aca="false">IFERROR(C488/B488,0)</f>
        <v>0.108648060806517</v>
      </c>
      <c r="L488" s="47" t="n">
        <f aca="false">IFERROR(D488/B488,0)</f>
        <v>0.00335498402004185</v>
      </c>
      <c r="N488" s="48" t="n">
        <f aca="false">SUMIFS('Activation Detail'!$H$4:$H$4003,'Activation Detail'!$A$4:$A$4003,$A488,'Activation Detail'!$N$4:$N$4003,N$2)</f>
        <v>144.158550951871</v>
      </c>
      <c r="O488" s="50" t="n">
        <f aca="false">N488*'Model Inputs &amp; Assumptions'!$D$40*'Model Inputs &amp; Assumptions'!$H$40</f>
        <v>1225347.6830909</v>
      </c>
      <c r="P488" s="50" t="n">
        <f aca="false">N488*'Model Inputs &amp; Assumptions'!$G$40*'Model Inputs &amp; Assumptions'!$H$40</f>
        <v>27570.3228695453</v>
      </c>
      <c r="Q488" s="50" t="n">
        <f aca="false">SUMIFS('Activation Detail'!$I$4:$I$4003,'Activation Detail'!$A$4:$A$4003,$A488,'Activation Detail'!$N$4:$N$4003,N$2)</f>
        <v>17647.0185</v>
      </c>
      <c r="R488" s="51" t="n">
        <f aca="false">IFERROR(P488/Q488,0)</f>
        <v>1.56232186584636</v>
      </c>
      <c r="S488" s="49" t="n">
        <f aca="false">IFERROR(Q488/N488,0)</f>
        <v>122.413955908115</v>
      </c>
      <c r="T488" s="48" t="n">
        <f aca="false">SUMIFS('Activation Detail'!$H$4:$H$4003,'Activation Detail'!$A$4:$A$4003,$A488,'Activation Detail'!$N$4:$N$4003,T$2)</f>
        <v>182.742559218653</v>
      </c>
      <c r="U488" s="50" t="n">
        <f aca="false">T488*'Model Inputs &amp; Assumptions'!$D$41*'Model Inputs &amp; Assumptions'!$H$41</f>
        <v>1315746.4263743</v>
      </c>
      <c r="V488" s="50" t="n">
        <f aca="false">T488*'Model Inputs &amp; Assumptions'!$G$41*'Model Inputs &amp; Assumptions'!$H$41</f>
        <v>29012.2087015534</v>
      </c>
      <c r="W488" s="50" t="n">
        <f aca="false">SUMIFS('Activation Detail'!$I$4:$I$4003,'Activation Detail'!$A$4:$A$4003,$A488,'Activation Detail'!$N$4:$N$4003,T$2)</f>
        <v>17563.931636</v>
      </c>
      <c r="X488" s="51" t="n">
        <f aca="false">IFERROR(V488/W488,0)</f>
        <v>1.65180605930442</v>
      </c>
      <c r="Y488" s="49" t="n">
        <f aca="false">IFERROR(W488/T488,0)</f>
        <v>96.1129783401171</v>
      </c>
      <c r="Z488" s="48" t="n">
        <f aca="false">SUMIFS('Activation Detail'!$H$4:$H$4003,'Activation Detail'!$A$4:$A$4003,$A488,'Activation Detail'!$N$4:$N$4003,Z$2)</f>
        <v>289.062207151225</v>
      </c>
      <c r="AA488" s="50" t="n">
        <f aca="false">Z488*'Model Inputs &amp; Assumptions'!$D$42*'Model Inputs &amp; Assumptions'!$H$42</f>
        <v>1560935.91861661</v>
      </c>
      <c r="AB488" s="50" t="n">
        <f aca="false">Z488*'Model Inputs &amp; Assumptions'!$G$42*'Model Inputs &amp; Assumptions'!$H$42</f>
        <v>32779.6542909489</v>
      </c>
      <c r="AC488" s="50" t="n">
        <f aca="false">SUMIFS('Activation Detail'!$I$4:$I$4003,'Activation Detail'!$A$4:$A$4003,$A488,'Activation Detail'!$N$4:$N$4003,Z$2)</f>
        <v>36761.464</v>
      </c>
      <c r="AD488" s="51" t="n">
        <f aca="false">IFERROR(AB488/AC488,0)</f>
        <v>0.891685224803585</v>
      </c>
      <c r="AE488" s="49" t="n">
        <f aca="false">IFERROR(AC488/Z488,0)</f>
        <v>127.174923219098</v>
      </c>
    </row>
    <row r="489" customFormat="false" ht="15" hidden="false" customHeight="false" outlineLevel="0" collapsed="false">
      <c r="A489" s="43" t="n">
        <v>486</v>
      </c>
      <c r="B489" s="45" t="n">
        <f aca="false">SUM('Activation Detail'!C489,'Activation Detail'!C989,'Activation Detail'!C1489,'Activation Detail'!C1989,'Activation Detail'!C2489,'Activation Detail'!C2989,'Activation Detail'!C3489,'Activation Detail'!C3989)</f>
        <v>5011276</v>
      </c>
      <c r="C489" s="45" t="n">
        <f aca="false">SUM('Activation Detail'!E489,'Activation Detail'!E989,'Activation Detail'!E1489,'Activation Detail'!E1989,'Activation Detail'!E2489,'Activation Detail'!E2989,'Activation Detail'!E3489,'Activation Detail'!E3989)</f>
        <v>474428</v>
      </c>
      <c r="D489" s="45" t="n">
        <f aca="false">SUM('Activation Detail'!G489,'Activation Detail'!G989,'Activation Detail'!G1489,'Activation Detail'!G1989,'Activation Detail'!G2489,'Activation Detail'!G2989,'Activation Detail'!G3489,'Activation Detail'!G3989)</f>
        <v>17187</v>
      </c>
      <c r="E489" s="48" t="n">
        <f aca="false">SUM('Activation Detail'!H489,'Activation Detail'!H989,'Activation Detail'!H1489,'Activation Detail'!H1989,'Activation Detail'!H2489,'Activation Detail'!H2989,'Activation Detail'!H3489,'Activation Detail'!H3989)</f>
        <v>689.943886613708</v>
      </c>
      <c r="F489" s="50" t="n">
        <f aca="false">SUM('Activation Detail'!I489,'Activation Detail'!I989,'Activation Detail'!I1489,'Activation Detail'!I1989,'Activation Detail'!I2489,'Activation Detail'!I2989,'Activation Detail'!I3489,'Activation Detail'!I3989)</f>
        <v>88575.542512</v>
      </c>
      <c r="G489" s="50" t="n">
        <f aca="false">SUM('Activation Detail'!J489,'Activation Detail'!J989,'Activation Detail'!J1489,'Activation Detail'!J1989,'Activation Detail'!J2489,'Activation Detail'!J2989,'Activation Detail'!J3489,'Activation Detail'!J3989)</f>
        <v>4433673.44616248</v>
      </c>
      <c r="H489" s="50" t="n">
        <f aca="false">SUM('Activation Detail'!K489,'Activation Detail'!K989,'Activation Detail'!K1489,'Activation Detail'!K1989,'Activation Detail'!K2489,'Activation Detail'!K2989,'Activation Detail'!K3489,'Activation Detail'!K3989)</f>
        <v>96052.4857382025</v>
      </c>
      <c r="I489" s="51" t="n">
        <f aca="false">IFERROR(H489/F489,0)</f>
        <v>1.08441318014157</v>
      </c>
      <c r="J489" s="49" t="n">
        <f aca="false">IFERROR(F489/E489,0)</f>
        <v>128.380791873865</v>
      </c>
      <c r="K489" s="46" t="n">
        <f aca="false">IFERROR(C489/B489,0)</f>
        <v>0.0946720954902504</v>
      </c>
      <c r="L489" s="47" t="n">
        <f aca="false">IFERROR(D489/B489,0)</f>
        <v>0.00342966541854809</v>
      </c>
      <c r="N489" s="48" t="n">
        <f aca="false">SUMIFS('Activation Detail'!$H$4:$H$4003,'Activation Detail'!$A$4:$A$4003,$A489,'Activation Detail'!$N$4:$N$4003,N$2)</f>
        <v>104.287987751873</v>
      </c>
      <c r="O489" s="50" t="n">
        <f aca="false">N489*'Model Inputs &amp; Assumptions'!$D$40*'Model Inputs &amp; Assumptions'!$H$40</f>
        <v>886447.895890923</v>
      </c>
      <c r="P489" s="50" t="n">
        <f aca="false">N489*'Model Inputs &amp; Assumptions'!$G$40*'Model Inputs &amp; Assumptions'!$H$40</f>
        <v>19945.0776575458</v>
      </c>
      <c r="Q489" s="50" t="n">
        <f aca="false">SUMIFS('Activation Detail'!$I$4:$I$4003,'Activation Detail'!$A$4:$A$4003,$A489,'Activation Detail'!$N$4:$N$4003,N$2)</f>
        <v>18144.6325</v>
      </c>
      <c r="R489" s="51" t="n">
        <f aca="false">IFERROR(P489/Q489,0)</f>
        <v>1.09922742483463</v>
      </c>
      <c r="S489" s="49" t="n">
        <f aca="false">IFERROR(Q489/N489,0)</f>
        <v>173.985833758443</v>
      </c>
      <c r="T489" s="48" t="n">
        <f aca="false">SUMIFS('Activation Detail'!$H$4:$H$4003,'Activation Detail'!$A$4:$A$4003,$A489,'Activation Detail'!$N$4:$N$4003,T$2)</f>
        <v>213.71316467647</v>
      </c>
      <c r="U489" s="50" t="n">
        <f aca="false">T489*'Model Inputs &amp; Assumptions'!$D$41*'Model Inputs &amp; Assumptions'!$H$41</f>
        <v>1538734.78567058</v>
      </c>
      <c r="V489" s="50" t="n">
        <f aca="false">T489*'Model Inputs &amp; Assumptions'!$G$41*'Model Inputs &amp; Assumptions'!$H$41</f>
        <v>33929.1020240363</v>
      </c>
      <c r="W489" s="50" t="n">
        <f aca="false">SUMIFS('Activation Detail'!$I$4:$I$4003,'Activation Detail'!$A$4:$A$4003,$A489,'Activation Detail'!$N$4:$N$4003,T$2)</f>
        <v>19723.118012</v>
      </c>
      <c r="X489" s="51" t="n">
        <f aca="false">IFERROR(V489/W489,0)</f>
        <v>1.72027069976426</v>
      </c>
      <c r="Y489" s="49" t="n">
        <f aca="false">IFERROR(W489/T489,0)</f>
        <v>92.2878009965269</v>
      </c>
      <c r="Z489" s="48" t="n">
        <f aca="false">SUMIFS('Activation Detail'!$H$4:$H$4003,'Activation Detail'!$A$4:$A$4003,$A489,'Activation Detail'!$N$4:$N$4003,Z$2)</f>
        <v>371.942734185365</v>
      </c>
      <c r="AA489" s="50" t="n">
        <f aca="false">Z489*'Model Inputs &amp; Assumptions'!$D$42*'Model Inputs &amp; Assumptions'!$H$42</f>
        <v>2008490.76460097</v>
      </c>
      <c r="AB489" s="50" t="n">
        <f aca="false">Z489*'Model Inputs &amp; Assumptions'!$G$42*'Model Inputs &amp; Assumptions'!$H$42</f>
        <v>42178.3060566204</v>
      </c>
      <c r="AC489" s="50" t="n">
        <f aca="false">SUMIFS('Activation Detail'!$I$4:$I$4003,'Activation Detail'!$A$4:$A$4003,$A489,'Activation Detail'!$N$4:$N$4003,Z$2)</f>
        <v>50707.792</v>
      </c>
      <c r="AD489" s="51" t="n">
        <f aca="false">IFERROR(AB489/AC489,0)</f>
        <v>0.831791414949017</v>
      </c>
      <c r="AE489" s="49" t="n">
        <f aca="false">IFERROR(AC489/Z489,0)</f>
        <v>136.332255854012</v>
      </c>
    </row>
    <row r="490" customFormat="false" ht="15" hidden="false" customHeight="false" outlineLevel="0" collapsed="false">
      <c r="A490" s="43" t="n">
        <v>487</v>
      </c>
      <c r="B490" s="45" t="n">
        <f aca="false">SUM('Activation Detail'!C490,'Activation Detail'!C990,'Activation Detail'!C1490,'Activation Detail'!C1990,'Activation Detail'!C2490,'Activation Detail'!C2990,'Activation Detail'!C3490,'Activation Detail'!C3990)</f>
        <v>5087617</v>
      </c>
      <c r="C490" s="45" t="n">
        <f aca="false">SUM('Activation Detail'!E490,'Activation Detail'!E990,'Activation Detail'!E1490,'Activation Detail'!E1990,'Activation Detail'!E2490,'Activation Detail'!E2990,'Activation Detail'!E3490,'Activation Detail'!E3990)</f>
        <v>798058</v>
      </c>
      <c r="D490" s="45" t="n">
        <f aca="false">SUM('Activation Detail'!G490,'Activation Detail'!G990,'Activation Detail'!G1490,'Activation Detail'!G1990,'Activation Detail'!G2490,'Activation Detail'!G2990,'Activation Detail'!G3490,'Activation Detail'!G3990)</f>
        <v>17631</v>
      </c>
      <c r="E490" s="48" t="n">
        <f aca="false">SUM('Activation Detail'!H490,'Activation Detail'!H990,'Activation Detail'!H1490,'Activation Detail'!H1990,'Activation Detail'!H2490,'Activation Detail'!H2990,'Activation Detail'!H3490,'Activation Detail'!H3990)</f>
        <v>610.865911344844</v>
      </c>
      <c r="F490" s="50" t="n">
        <f aca="false">SUM('Activation Detail'!I490,'Activation Detail'!I990,'Activation Detail'!I1490,'Activation Detail'!I1990,'Activation Detail'!I2490,'Activation Detail'!I2990,'Activation Detail'!I3490,'Activation Detail'!I3990)</f>
        <v>85757.258628</v>
      </c>
      <c r="G490" s="50" t="n">
        <f aca="false">SUM('Activation Detail'!J490,'Activation Detail'!J990,'Activation Detail'!J1490,'Activation Detail'!J1990,'Activation Detail'!J2490,'Activation Detail'!J2990,'Activation Detail'!J3490,'Activation Detail'!J3990)</f>
        <v>4060114.14669609</v>
      </c>
      <c r="H490" s="50" t="n">
        <f aca="false">SUM('Activation Detail'!K490,'Activation Detail'!K990,'Activation Detail'!K1490,'Activation Detail'!K1990,'Activation Detail'!K2490,'Activation Detail'!K2990,'Activation Detail'!K3490,'Activation Detail'!K3990)</f>
        <v>88431.5745151017</v>
      </c>
      <c r="I490" s="51" t="n">
        <f aca="false">IFERROR(H490/F490,0)</f>
        <v>1.03118471753747</v>
      </c>
      <c r="J490" s="49" t="n">
        <f aca="false">IFERROR(F490/E490,0)</f>
        <v>140.386387643079</v>
      </c>
      <c r="K490" s="46" t="n">
        <f aca="false">IFERROR(C490/B490,0)</f>
        <v>0.156862829886762</v>
      </c>
      <c r="L490" s="47" t="n">
        <f aca="false">IFERROR(D490/B490,0)</f>
        <v>0.00346547312818555</v>
      </c>
      <c r="N490" s="48" t="n">
        <f aca="false">SUMIFS('Activation Detail'!$H$4:$H$4003,'Activation Detail'!$A$4:$A$4003,$A490,'Activation Detail'!$N$4:$N$4003,N$2)</f>
        <v>106.900416069126</v>
      </c>
      <c r="O490" s="50" t="n">
        <f aca="false">N490*'Model Inputs &amp; Assumptions'!$D$40*'Model Inputs &amp; Assumptions'!$H$40</f>
        <v>908653.536587571</v>
      </c>
      <c r="P490" s="50" t="n">
        <f aca="false">N490*'Model Inputs &amp; Assumptions'!$G$40*'Model Inputs &amp; Assumptions'!$H$40</f>
        <v>20444.7045732204</v>
      </c>
      <c r="Q490" s="50" t="n">
        <f aca="false">SUMIFS('Activation Detail'!$I$4:$I$4003,'Activation Detail'!$A$4:$A$4003,$A490,'Activation Detail'!$N$4:$N$4003,N$2)</f>
        <v>18354.1925</v>
      </c>
      <c r="R490" s="51" t="n">
        <f aca="false">IFERROR(P490/Q490,0)</f>
        <v>1.11389834084067</v>
      </c>
      <c r="S490" s="49" t="n">
        <f aca="false">IFERROR(Q490/N490,0)</f>
        <v>171.69430367915</v>
      </c>
      <c r="T490" s="48" t="n">
        <f aca="false">SUMIFS('Activation Detail'!$H$4:$H$4003,'Activation Detail'!$A$4:$A$4003,$A490,'Activation Detail'!$N$4:$N$4003,T$2)</f>
        <v>238.914964233134</v>
      </c>
      <c r="U490" s="50" t="n">
        <f aca="false">T490*'Model Inputs &amp; Assumptions'!$D$41*'Model Inputs &amp; Assumptions'!$H$41</f>
        <v>1720187.74247856</v>
      </c>
      <c r="V490" s="50" t="n">
        <f aca="false">T490*'Model Inputs &amp; Assumptions'!$G$41*'Model Inputs &amp; Assumptions'!$H$41</f>
        <v>37930.1397216523</v>
      </c>
      <c r="W490" s="50" t="n">
        <f aca="false">SUMIFS('Activation Detail'!$I$4:$I$4003,'Activation Detail'!$A$4:$A$4003,$A490,'Activation Detail'!$N$4:$N$4003,T$2)</f>
        <v>23549.554128</v>
      </c>
      <c r="X490" s="51" t="n">
        <f aca="false">IFERROR(V490/W490,0)</f>
        <v>1.6106521386982</v>
      </c>
      <c r="Y490" s="49" t="n">
        <f aca="false">IFERROR(W490/T490,0)</f>
        <v>98.5687698700209</v>
      </c>
      <c r="Z490" s="48" t="n">
        <f aca="false">SUMIFS('Activation Detail'!$H$4:$H$4003,'Activation Detail'!$A$4:$A$4003,$A490,'Activation Detail'!$N$4:$N$4003,Z$2)</f>
        <v>265.050531042584</v>
      </c>
      <c r="AA490" s="50" t="n">
        <f aca="false">Z490*'Model Inputs &amp; Assumptions'!$D$42*'Model Inputs &amp; Assumptions'!$H$42</f>
        <v>1431272.86762996</v>
      </c>
      <c r="AB490" s="50" t="n">
        <f aca="false">Z490*'Model Inputs &amp; Assumptions'!$G$42*'Model Inputs &amp; Assumptions'!$H$42</f>
        <v>30056.7302202291</v>
      </c>
      <c r="AC490" s="50" t="n">
        <f aca="false">SUMIFS('Activation Detail'!$I$4:$I$4003,'Activation Detail'!$A$4:$A$4003,$A490,'Activation Detail'!$N$4:$N$4003,Z$2)</f>
        <v>43853.512</v>
      </c>
      <c r="AD490" s="51" t="n">
        <f aca="false">IFERROR(AB490/AC490,0)</f>
        <v>0.685389353085998</v>
      </c>
      <c r="AE490" s="49" t="n">
        <f aca="false">IFERROR(AC490/Z490,0)</f>
        <v>165.453401762679</v>
      </c>
    </row>
    <row r="491" customFormat="false" ht="15" hidden="false" customHeight="false" outlineLevel="0" collapsed="false">
      <c r="A491" s="43" t="n">
        <v>488</v>
      </c>
      <c r="B491" s="45" t="n">
        <f aca="false">SUM('Activation Detail'!C491,'Activation Detail'!C991,'Activation Detail'!C1491,'Activation Detail'!C1991,'Activation Detail'!C2491,'Activation Detail'!C2991,'Activation Detail'!C3491,'Activation Detail'!C3991)</f>
        <v>3963158</v>
      </c>
      <c r="C491" s="45" t="n">
        <f aca="false">SUM('Activation Detail'!E491,'Activation Detail'!E991,'Activation Detail'!E1491,'Activation Detail'!E1991,'Activation Detail'!E2491,'Activation Detail'!E2991,'Activation Detail'!E3491,'Activation Detail'!E3991)</f>
        <v>367286</v>
      </c>
      <c r="D491" s="45" t="n">
        <f aca="false">SUM('Activation Detail'!G491,'Activation Detail'!G991,'Activation Detail'!G1491,'Activation Detail'!G1991,'Activation Detail'!G2491,'Activation Detail'!G2991,'Activation Detail'!G3491,'Activation Detail'!G3991)</f>
        <v>13954</v>
      </c>
      <c r="E491" s="48" t="n">
        <f aca="false">SUM('Activation Detail'!H491,'Activation Detail'!H991,'Activation Detail'!H1491,'Activation Detail'!H1991,'Activation Detail'!H2491,'Activation Detail'!H2991,'Activation Detail'!H3491,'Activation Detail'!H3991)</f>
        <v>561.46104012286</v>
      </c>
      <c r="F491" s="50" t="n">
        <f aca="false">SUM('Activation Detail'!I491,'Activation Detail'!I991,'Activation Detail'!I1491,'Activation Detail'!I1991,'Activation Detail'!I2491,'Activation Detail'!I2991,'Activation Detail'!I3491,'Activation Detail'!I3991)</f>
        <v>76556.162096</v>
      </c>
      <c r="G491" s="50" t="n">
        <f aca="false">SUM('Activation Detail'!J491,'Activation Detail'!J991,'Activation Detail'!J1491,'Activation Detail'!J1991,'Activation Detail'!J2491,'Activation Detail'!J2991,'Activation Detail'!J3491,'Activation Detail'!J3991)</f>
        <v>3680381.10767428</v>
      </c>
      <c r="H491" s="50" t="n">
        <f aca="false">SUM('Activation Detail'!K491,'Activation Detail'!K991,'Activation Detail'!K1491,'Activation Detail'!K1991,'Activation Detail'!K2491,'Activation Detail'!K2991,'Activation Detail'!K3491,'Activation Detail'!K3991)</f>
        <v>79992.3946721705</v>
      </c>
      <c r="I491" s="51" t="n">
        <f aca="false">IFERROR(H491/F491,0)</f>
        <v>1.04488512070213</v>
      </c>
      <c r="J491" s="49" t="n">
        <f aca="false">IFERROR(F491/E491,0)</f>
        <v>136.351690723274</v>
      </c>
      <c r="K491" s="46" t="n">
        <f aca="false">IFERROR(C491/B491,0)</f>
        <v>0.0926750838598915</v>
      </c>
      <c r="L491" s="47" t="n">
        <f aca="false">IFERROR(D491/B491,0)</f>
        <v>0.00352092952135645</v>
      </c>
      <c r="N491" s="48" t="n">
        <f aca="false">SUMIFS('Activation Detail'!$H$4:$H$4003,'Activation Detail'!$A$4:$A$4003,$A491,'Activation Detail'!$N$4:$N$4003,N$2)</f>
        <v>71.3809304996671</v>
      </c>
      <c r="O491" s="50" t="n">
        <f aca="false">N491*'Model Inputs &amp; Assumptions'!$D$40*'Model Inputs &amp; Assumptions'!$H$40</f>
        <v>606737.909247171</v>
      </c>
      <c r="P491" s="50" t="n">
        <f aca="false">N491*'Model Inputs &amp; Assumptions'!$G$40*'Model Inputs &amp; Assumptions'!$H$40</f>
        <v>13651.6029580613</v>
      </c>
      <c r="Q491" s="50" t="n">
        <f aca="false">SUMIFS('Activation Detail'!$I$4:$I$4003,'Activation Detail'!$A$4:$A$4003,$A491,'Activation Detail'!$N$4:$N$4003,N$2)</f>
        <v>18449.9895</v>
      </c>
      <c r="R491" s="51" t="n">
        <f aca="false">IFERROR(P491/Q491,0)</f>
        <v>0.739924700665079</v>
      </c>
      <c r="S491" s="49" t="n">
        <f aca="false">IFERROR(Q491/N491,0)</f>
        <v>258.47224701121</v>
      </c>
      <c r="T491" s="48" t="n">
        <f aca="false">SUMIFS('Activation Detail'!$H$4:$H$4003,'Activation Detail'!$A$4:$A$4003,$A491,'Activation Detail'!$N$4:$N$4003,T$2)</f>
        <v>237.339225812149</v>
      </c>
      <c r="U491" s="50" t="n">
        <f aca="false">T491*'Model Inputs &amp; Assumptions'!$D$41*'Model Inputs &amp; Assumptions'!$H$41</f>
        <v>1708842.42584747</v>
      </c>
      <c r="V491" s="50" t="n">
        <f aca="false">T491*'Model Inputs &amp; Assumptions'!$G$41*'Model Inputs &amp; Assumptions'!$H$41</f>
        <v>37679.9754899367</v>
      </c>
      <c r="W491" s="50" t="n">
        <f aca="false">SUMIFS('Activation Detail'!$I$4:$I$4003,'Activation Detail'!$A$4:$A$4003,$A491,'Activation Detail'!$N$4:$N$4003,T$2)</f>
        <v>17991.068596</v>
      </c>
      <c r="X491" s="51" t="n">
        <f aca="false">IFERROR(V491/W491,0)</f>
        <v>2.09437117583522</v>
      </c>
      <c r="Y491" s="49" t="n">
        <f aca="false">IFERROR(W491/T491,0)</f>
        <v>75.8031822781782</v>
      </c>
      <c r="Z491" s="48" t="n">
        <f aca="false">SUMIFS('Activation Detail'!$H$4:$H$4003,'Activation Detail'!$A$4:$A$4003,$A491,'Activation Detail'!$N$4:$N$4003,Z$2)</f>
        <v>252.740883811044</v>
      </c>
      <c r="AA491" s="50" t="n">
        <f aca="false">Z491*'Model Inputs &amp; Assumptions'!$D$42*'Model Inputs &amp; Assumptions'!$H$42</f>
        <v>1364800.77257964</v>
      </c>
      <c r="AB491" s="50" t="n">
        <f aca="false">Z491*'Model Inputs &amp; Assumptions'!$G$42*'Model Inputs &amp; Assumptions'!$H$42</f>
        <v>28660.8162241724</v>
      </c>
      <c r="AC491" s="50" t="n">
        <f aca="false">SUMIFS('Activation Detail'!$I$4:$I$4003,'Activation Detail'!$A$4:$A$4003,$A491,'Activation Detail'!$N$4:$N$4003,Z$2)</f>
        <v>40115.104</v>
      </c>
      <c r="AD491" s="51" t="n">
        <f aca="false">IFERROR(AB491/AC491,0)</f>
        <v>0.714464462666541</v>
      </c>
      <c r="AE491" s="49" t="n">
        <f aca="false">IFERROR(AC491/Z491,0)</f>
        <v>158.720280609571</v>
      </c>
    </row>
    <row r="492" customFormat="false" ht="15" hidden="false" customHeight="false" outlineLevel="0" collapsed="false">
      <c r="A492" s="43" t="n">
        <v>489</v>
      </c>
      <c r="B492" s="45" t="n">
        <f aca="false">SUM('Activation Detail'!C492,'Activation Detail'!C992,'Activation Detail'!C1492,'Activation Detail'!C1992,'Activation Detail'!C2492,'Activation Detail'!C2992,'Activation Detail'!C3492,'Activation Detail'!C3992)</f>
        <v>5383381</v>
      </c>
      <c r="C492" s="45" t="n">
        <f aca="false">SUM('Activation Detail'!E492,'Activation Detail'!E992,'Activation Detail'!E1492,'Activation Detail'!E1992,'Activation Detail'!E2492,'Activation Detail'!E2992,'Activation Detail'!E3492,'Activation Detail'!E3992)</f>
        <v>342352</v>
      </c>
      <c r="D492" s="45" t="n">
        <f aca="false">SUM('Activation Detail'!G492,'Activation Detail'!G992,'Activation Detail'!G1492,'Activation Detail'!G1992,'Activation Detail'!G2492,'Activation Detail'!G2992,'Activation Detail'!G3492,'Activation Detail'!G3992)</f>
        <v>17434</v>
      </c>
      <c r="E492" s="48" t="n">
        <f aca="false">SUM('Activation Detail'!H492,'Activation Detail'!H992,'Activation Detail'!H1492,'Activation Detail'!H1992,'Activation Detail'!H2492,'Activation Detail'!H2992,'Activation Detail'!H3492,'Activation Detail'!H3992)</f>
        <v>849.285911667662</v>
      </c>
      <c r="F492" s="50" t="n">
        <f aca="false">SUM('Activation Detail'!I492,'Activation Detail'!I992,'Activation Detail'!I1492,'Activation Detail'!I1992,'Activation Detail'!I2492,'Activation Detail'!I2992,'Activation Detail'!I3492,'Activation Detail'!I3992)</f>
        <v>79145.047852</v>
      </c>
      <c r="G492" s="50" t="n">
        <f aca="false">SUM('Activation Detail'!J492,'Activation Detail'!J992,'Activation Detail'!J1492,'Activation Detail'!J1992,'Activation Detail'!J2492,'Activation Detail'!J2992,'Activation Detail'!J3492,'Activation Detail'!J3992)</f>
        <v>5219301.39879177</v>
      </c>
      <c r="H492" s="50" t="n">
        <f aca="false">SUM('Activation Detail'!K492,'Activation Detail'!K992,'Activation Detail'!K1492,'Activation Detail'!K1992,'Activation Detail'!K2492,'Activation Detail'!K2992,'Activation Detail'!K3492,'Activation Detail'!K3992)</f>
        <v>112236.829836062</v>
      </c>
      <c r="I492" s="51" t="n">
        <f aca="false">IFERROR(H492/F492,0)</f>
        <v>1.41811563555995</v>
      </c>
      <c r="J492" s="49" t="n">
        <f aca="false">IFERROR(F492/E492,0)</f>
        <v>93.190110379425</v>
      </c>
      <c r="K492" s="46" t="n">
        <f aca="false">IFERROR(C492/B492,0)</f>
        <v>0.0635942356671393</v>
      </c>
      <c r="L492" s="47" t="n">
        <f aca="false">IFERROR(D492/B492,0)</f>
        <v>0.00323848525675593</v>
      </c>
      <c r="N492" s="48" t="n">
        <f aca="false">SUMIFS('Activation Detail'!$H$4:$H$4003,'Activation Detail'!$A$4:$A$4003,$A492,'Activation Detail'!$N$4:$N$4003,N$2)</f>
        <v>102.818284697709</v>
      </c>
      <c r="O492" s="50" t="n">
        <f aca="false">N492*'Model Inputs &amp; Assumptions'!$D$40*'Model Inputs &amp; Assumptions'!$H$40</f>
        <v>873955.41993053</v>
      </c>
      <c r="P492" s="50" t="n">
        <f aca="false">N492*'Model Inputs &amp; Assumptions'!$G$40*'Model Inputs &amp; Assumptions'!$H$40</f>
        <v>19663.9969484369</v>
      </c>
      <c r="Q492" s="50" t="n">
        <f aca="false">SUMIFS('Activation Detail'!$I$4:$I$4003,'Activation Detail'!$A$4:$A$4003,$A492,'Activation Detail'!$N$4:$N$4003,N$2)</f>
        <v>18171.198</v>
      </c>
      <c r="R492" s="51" t="n">
        <f aca="false">IFERROR(P492/Q492,0)</f>
        <v>1.08215192792665</v>
      </c>
      <c r="S492" s="49" t="n">
        <f aca="false">IFERROR(Q492/N492,0)</f>
        <v>176.731191863628</v>
      </c>
      <c r="T492" s="48" t="n">
        <f aca="false">SUMIFS('Activation Detail'!$H$4:$H$4003,'Activation Detail'!$A$4:$A$4003,$A492,'Activation Detail'!$N$4:$N$4003,T$2)</f>
        <v>174.678218457496</v>
      </c>
      <c r="U492" s="50" t="n">
        <f aca="false">T492*'Model Inputs &amp; Assumptions'!$D$41*'Model Inputs &amp; Assumptions'!$H$41</f>
        <v>1257683.17289397</v>
      </c>
      <c r="V492" s="50" t="n">
        <f aca="false">T492*'Model Inputs &amp; Assumptions'!$G$41*'Model Inputs &amp; Assumptions'!$H$41</f>
        <v>27731.9139623121</v>
      </c>
      <c r="W492" s="50" t="n">
        <f aca="false">SUMIFS('Activation Detail'!$I$4:$I$4003,'Activation Detail'!$A$4:$A$4003,$A492,'Activation Detail'!$N$4:$N$4003,T$2)</f>
        <v>17233.029852</v>
      </c>
      <c r="X492" s="51" t="n">
        <f aca="false">IFERROR(V492/W492,0)</f>
        <v>1.60923030949741</v>
      </c>
      <c r="Y492" s="49" t="n">
        <f aca="false">IFERROR(W492/T492,0)</f>
        <v>98.6558599244773</v>
      </c>
      <c r="Z492" s="48" t="n">
        <f aca="false">SUMIFS('Activation Detail'!$H$4:$H$4003,'Activation Detail'!$A$4:$A$4003,$A492,'Activation Detail'!$N$4:$N$4003,Z$2)</f>
        <v>571.789408512456</v>
      </c>
      <c r="AA492" s="50" t="n">
        <f aca="false">Z492*'Model Inputs &amp; Assumptions'!$D$42*'Model Inputs &amp; Assumptions'!$H$42</f>
        <v>3087662.80596726</v>
      </c>
      <c r="AB492" s="50" t="n">
        <f aca="false">Z492*'Model Inputs &amp; Assumptions'!$G$42*'Model Inputs &amp; Assumptions'!$H$42</f>
        <v>64840.9189253125</v>
      </c>
      <c r="AC492" s="50" t="n">
        <f aca="false">SUMIFS('Activation Detail'!$I$4:$I$4003,'Activation Detail'!$A$4:$A$4003,$A492,'Activation Detail'!$N$4:$N$4003,Z$2)</f>
        <v>43740.82</v>
      </c>
      <c r="AD492" s="51" t="n">
        <f aca="false">IFERROR(AB492/AC492,0)</f>
        <v>1.48238919447126</v>
      </c>
      <c r="AE492" s="49" t="n">
        <f aca="false">IFERROR(AC492/Z492,0)</f>
        <v>76.498129116792</v>
      </c>
    </row>
    <row r="493" customFormat="false" ht="15" hidden="false" customHeight="false" outlineLevel="0" collapsed="false">
      <c r="A493" s="43" t="n">
        <v>490</v>
      </c>
      <c r="B493" s="45" t="n">
        <f aca="false">SUM('Activation Detail'!C493,'Activation Detail'!C993,'Activation Detail'!C1493,'Activation Detail'!C1993,'Activation Detail'!C2493,'Activation Detail'!C2993,'Activation Detail'!C3493,'Activation Detail'!C3993)</f>
        <v>4375313</v>
      </c>
      <c r="C493" s="45" t="n">
        <f aca="false">SUM('Activation Detail'!E493,'Activation Detail'!E993,'Activation Detail'!E1493,'Activation Detail'!E1993,'Activation Detail'!E2493,'Activation Detail'!E2993,'Activation Detail'!E3493,'Activation Detail'!E3993)</f>
        <v>432462</v>
      </c>
      <c r="D493" s="45" t="n">
        <f aca="false">SUM('Activation Detail'!G493,'Activation Detail'!G993,'Activation Detail'!G1493,'Activation Detail'!G1993,'Activation Detail'!G2493,'Activation Detail'!G2993,'Activation Detail'!G3493,'Activation Detail'!G3993)</f>
        <v>18217</v>
      </c>
      <c r="E493" s="48" t="n">
        <f aca="false">SUM('Activation Detail'!H493,'Activation Detail'!H993,'Activation Detail'!H1493,'Activation Detail'!H1993,'Activation Detail'!H2493,'Activation Detail'!H2993,'Activation Detail'!H3493,'Activation Detail'!H3993)</f>
        <v>666.676864211704</v>
      </c>
      <c r="F493" s="50" t="n">
        <f aca="false">SUM('Activation Detail'!I493,'Activation Detail'!I993,'Activation Detail'!I1493,'Activation Detail'!I1993,'Activation Detail'!I2493,'Activation Detail'!I2993,'Activation Detail'!I3493,'Activation Detail'!I3993)</f>
        <v>82352.145874</v>
      </c>
      <c r="G493" s="50" t="n">
        <f aca="false">SUM('Activation Detail'!J493,'Activation Detail'!J993,'Activation Detail'!J1493,'Activation Detail'!J1993,'Activation Detail'!J2493,'Activation Detail'!J2993,'Activation Detail'!J3493,'Activation Detail'!J3993)</f>
        <v>4429505.29638756</v>
      </c>
      <c r="H493" s="50" t="n">
        <f aca="false">SUM('Activation Detail'!K493,'Activation Detail'!K993,'Activation Detail'!K1493,'Activation Detail'!K1993,'Activation Detail'!K2493,'Activation Detail'!K2993,'Activation Detail'!K3493,'Activation Detail'!K3993)</f>
        <v>96474.52891707</v>
      </c>
      <c r="I493" s="51" t="n">
        <f aca="false">IFERROR(H493/F493,0)</f>
        <v>1.17148773590767</v>
      </c>
      <c r="J493" s="49" t="n">
        <f aca="false">IFERROR(F493/E493,0)</f>
        <v>123.52632931304</v>
      </c>
      <c r="K493" s="46" t="n">
        <f aca="false">IFERROR(C493/B493,0)</f>
        <v>0.0988413857477168</v>
      </c>
      <c r="L493" s="47" t="n">
        <f aca="false">IFERROR(D493/B493,0)</f>
        <v>0.00416358783931572</v>
      </c>
      <c r="N493" s="48" t="n">
        <f aca="false">SUMIFS('Activation Detail'!$H$4:$H$4003,'Activation Detail'!$A$4:$A$4003,$A493,'Activation Detail'!$N$4:$N$4003,N$2)</f>
        <v>106.567672500469</v>
      </c>
      <c r="O493" s="50" t="n">
        <f aca="false">N493*'Model Inputs &amp; Assumptions'!$D$40*'Model Inputs &amp; Assumptions'!$H$40</f>
        <v>905825.216253984</v>
      </c>
      <c r="P493" s="50" t="n">
        <f aca="false">N493*'Model Inputs &amp; Assumptions'!$G$40*'Model Inputs &amp; Assumptions'!$H$40</f>
        <v>20381.0673657146</v>
      </c>
      <c r="Q493" s="50" t="n">
        <f aca="false">SUMIFS('Activation Detail'!$I$4:$I$4003,'Activation Detail'!$A$4:$A$4003,$A493,'Activation Detail'!$N$4:$N$4003,N$2)</f>
        <v>18020.372</v>
      </c>
      <c r="R493" s="51" t="n">
        <f aca="false">IFERROR(P493/Q493,0)</f>
        <v>1.13100147797807</v>
      </c>
      <c r="S493" s="49" t="n">
        <f aca="false">IFERROR(Q493/N493,0)</f>
        <v>169.097922260813</v>
      </c>
      <c r="T493" s="48" t="n">
        <f aca="false">SUMIFS('Activation Detail'!$H$4:$H$4003,'Activation Detail'!$A$4:$A$4003,$A493,'Activation Detail'!$N$4:$N$4003,T$2)</f>
        <v>277.272469384949</v>
      </c>
      <c r="U493" s="50" t="n">
        <f aca="false">T493*'Model Inputs &amp; Assumptions'!$D$41*'Model Inputs &amp; Assumptions'!$H$41</f>
        <v>1996361.77957163</v>
      </c>
      <c r="V493" s="50" t="n">
        <f aca="false">T493*'Model Inputs &amp; Assumptions'!$G$41*'Model Inputs &amp; Assumptions'!$H$41</f>
        <v>44019.7772395544</v>
      </c>
      <c r="W493" s="50" t="n">
        <f aca="false">SUMIFS('Activation Detail'!$I$4:$I$4003,'Activation Detail'!$A$4:$A$4003,$A493,'Activation Detail'!$N$4:$N$4003,T$2)</f>
        <v>23268.321874</v>
      </c>
      <c r="X493" s="51" t="n">
        <f aca="false">IFERROR(V493/W493,0)</f>
        <v>1.89183291678383</v>
      </c>
      <c r="Y493" s="49" t="n">
        <f aca="false">IFERROR(W493/T493,0)</f>
        <v>83.9186159578492</v>
      </c>
      <c r="Z493" s="48" t="n">
        <f aca="false">SUMIFS('Activation Detail'!$H$4:$H$4003,'Activation Detail'!$A$4:$A$4003,$A493,'Activation Detail'!$N$4:$N$4003,Z$2)</f>
        <v>282.836722326287</v>
      </c>
      <c r="AA493" s="50" t="n">
        <f aca="false">Z493*'Model Inputs &amp; Assumptions'!$D$42*'Model Inputs &amp; Assumptions'!$H$42</f>
        <v>1527318.30056195</v>
      </c>
      <c r="AB493" s="50" t="n">
        <f aca="false">Z493*'Model Inputs &amp; Assumptions'!$G$42*'Model Inputs &amp; Assumptions'!$H$42</f>
        <v>32073.6843118009</v>
      </c>
      <c r="AC493" s="50" t="n">
        <f aca="false">SUMIFS('Activation Detail'!$I$4:$I$4003,'Activation Detail'!$A$4:$A$4003,$A493,'Activation Detail'!$N$4:$N$4003,Z$2)</f>
        <v>41063.452</v>
      </c>
      <c r="AD493" s="51" t="n">
        <f aca="false">IFERROR(AB493/AC493,0)</f>
        <v>0.781076182094992</v>
      </c>
      <c r="AE493" s="49" t="n">
        <f aca="false">IFERROR(AC493/Z493,0)</f>
        <v>145.184301607866</v>
      </c>
    </row>
    <row r="494" customFormat="false" ht="15" hidden="false" customHeight="false" outlineLevel="0" collapsed="false">
      <c r="A494" s="43" t="n">
        <v>491</v>
      </c>
      <c r="B494" s="45" t="n">
        <f aca="false">SUM('Activation Detail'!C494,'Activation Detail'!C994,'Activation Detail'!C1494,'Activation Detail'!C1994,'Activation Detail'!C2494,'Activation Detail'!C2994,'Activation Detail'!C3494,'Activation Detail'!C3994)</f>
        <v>4303855</v>
      </c>
      <c r="C494" s="45" t="n">
        <f aca="false">SUM('Activation Detail'!E494,'Activation Detail'!E994,'Activation Detail'!E1494,'Activation Detail'!E1994,'Activation Detail'!E2494,'Activation Detail'!E2994,'Activation Detail'!E3494,'Activation Detail'!E3994)</f>
        <v>637268</v>
      </c>
      <c r="D494" s="45" t="n">
        <f aca="false">SUM('Activation Detail'!G494,'Activation Detail'!G994,'Activation Detail'!G1494,'Activation Detail'!G1994,'Activation Detail'!G2494,'Activation Detail'!G2994,'Activation Detail'!G3494,'Activation Detail'!G3994)</f>
        <v>15475</v>
      </c>
      <c r="E494" s="48" t="n">
        <f aca="false">SUM('Activation Detail'!H494,'Activation Detail'!H994,'Activation Detail'!H1494,'Activation Detail'!H1994,'Activation Detail'!H2494,'Activation Detail'!H2994,'Activation Detail'!H3494,'Activation Detail'!H3994)</f>
        <v>582.753120072805</v>
      </c>
      <c r="F494" s="50" t="n">
        <f aca="false">SUM('Activation Detail'!I494,'Activation Detail'!I994,'Activation Detail'!I1494,'Activation Detail'!I1994,'Activation Detail'!I2494,'Activation Detail'!I2994,'Activation Detail'!I3494,'Activation Detail'!I3994)</f>
        <v>72853.776532</v>
      </c>
      <c r="G494" s="50" t="n">
        <f aca="false">SUM('Activation Detail'!J494,'Activation Detail'!J994,'Activation Detail'!J1494,'Activation Detail'!J1994,'Activation Detail'!J2494,'Activation Detail'!J2994,'Activation Detail'!J3494,'Activation Detail'!J3994)</f>
        <v>3779926.76265243</v>
      </c>
      <c r="H494" s="50" t="n">
        <f aca="false">SUM('Activation Detail'!K494,'Activation Detail'!K994,'Activation Detail'!K1494,'Activation Detail'!K1994,'Activation Detail'!K2494,'Activation Detail'!K2994,'Activation Detail'!K3494,'Activation Detail'!K3994)</f>
        <v>82013.7503750613</v>
      </c>
      <c r="I494" s="51" t="n">
        <f aca="false">IFERROR(H494/F494,0)</f>
        <v>1.12573094050983</v>
      </c>
      <c r="J494" s="49" t="n">
        <f aca="false">IFERROR(F494/E494,0)</f>
        <v>125.016536201296</v>
      </c>
      <c r="K494" s="46" t="n">
        <f aca="false">IFERROR(C494/B494,0)</f>
        <v>0.14806911478198</v>
      </c>
      <c r="L494" s="47" t="n">
        <f aca="false">IFERROR(D494/B494,0)</f>
        <v>0.00359561369981098</v>
      </c>
      <c r="N494" s="48" t="n">
        <f aca="false">SUMIFS('Activation Detail'!$H$4:$H$4003,'Activation Detail'!$A$4:$A$4003,$A494,'Activation Detail'!$N$4:$N$4003,N$2)</f>
        <v>87.2714093653576</v>
      </c>
      <c r="O494" s="50" t="n">
        <f aca="false">N494*'Model Inputs &amp; Assumptions'!$D$40*'Model Inputs &amp; Assumptions'!$H$40</f>
        <v>741806.97960554</v>
      </c>
      <c r="P494" s="50" t="n">
        <f aca="false">N494*'Model Inputs &amp; Assumptions'!$G$40*'Model Inputs &amp; Assumptions'!$H$40</f>
        <v>16690.6570411246</v>
      </c>
      <c r="Q494" s="50" t="n">
        <f aca="false">SUMIFS('Activation Detail'!$I$4:$I$4003,'Activation Detail'!$A$4:$A$4003,$A494,'Activation Detail'!$N$4:$N$4003,N$2)</f>
        <v>17649.4885</v>
      </c>
      <c r="R494" s="51" t="n">
        <f aca="false">IFERROR(P494/Q494,0)</f>
        <v>0.945673697066328</v>
      </c>
      <c r="S494" s="49" t="n">
        <f aca="false">IFERROR(Q494/N494,0)</f>
        <v>202.236776377831</v>
      </c>
      <c r="T494" s="48" t="n">
        <f aca="false">SUMIFS('Activation Detail'!$H$4:$H$4003,'Activation Detail'!$A$4:$A$4003,$A494,'Activation Detail'!$N$4:$N$4003,T$2)</f>
        <v>201.399191792596</v>
      </c>
      <c r="U494" s="50" t="n">
        <f aca="false">T494*'Model Inputs &amp; Assumptions'!$D$41*'Model Inputs &amp; Assumptions'!$H$41</f>
        <v>1450074.18090669</v>
      </c>
      <c r="V494" s="50" t="n">
        <f aca="false">T494*'Model Inputs &amp; Assumptions'!$G$41*'Model Inputs &amp; Assumptions'!$H$41</f>
        <v>31974.1356889925</v>
      </c>
      <c r="W494" s="50" t="n">
        <f aca="false">SUMIFS('Activation Detail'!$I$4:$I$4003,'Activation Detail'!$A$4:$A$4003,$A494,'Activation Detail'!$N$4:$N$4003,T$2)</f>
        <v>20332.500032</v>
      </c>
      <c r="X494" s="51" t="n">
        <f aca="false">IFERROR(V494/W494,0)</f>
        <v>1.57256292333311</v>
      </c>
      <c r="Y494" s="49" t="n">
        <f aca="false">IFERROR(W494/T494,0)</f>
        <v>100.956214625423</v>
      </c>
      <c r="Z494" s="48" t="n">
        <f aca="false">SUMIFS('Activation Detail'!$H$4:$H$4003,'Activation Detail'!$A$4:$A$4003,$A494,'Activation Detail'!$N$4:$N$4003,Z$2)</f>
        <v>294.082518914852</v>
      </c>
      <c r="AA494" s="50" t="n">
        <f aca="false">Z494*'Model Inputs &amp; Assumptions'!$D$42*'Model Inputs &amp; Assumptions'!$H$42</f>
        <v>1588045.6021402</v>
      </c>
      <c r="AB494" s="50" t="n">
        <f aca="false">Z494*'Model Inputs &amp; Assumptions'!$G$42*'Model Inputs &amp; Assumptions'!$H$42</f>
        <v>33348.9576449442</v>
      </c>
      <c r="AC494" s="50" t="n">
        <f aca="false">SUMIFS('Activation Detail'!$I$4:$I$4003,'Activation Detail'!$A$4:$A$4003,$A494,'Activation Detail'!$N$4:$N$4003,Z$2)</f>
        <v>34871.788</v>
      </c>
      <c r="AD494" s="51" t="n">
        <f aca="false">IFERROR(AB494/AC494,0)</f>
        <v>0.956330591506928</v>
      </c>
      <c r="AE494" s="49" t="n">
        <f aca="false">IFERROR(AC494/Z494,0)</f>
        <v>118.578241674055</v>
      </c>
    </row>
    <row r="495" customFormat="false" ht="15" hidden="false" customHeight="false" outlineLevel="0" collapsed="false">
      <c r="A495" s="43" t="n">
        <v>492</v>
      </c>
      <c r="B495" s="45" t="n">
        <f aca="false">SUM('Activation Detail'!C495,'Activation Detail'!C995,'Activation Detail'!C1495,'Activation Detail'!C1995,'Activation Detail'!C2495,'Activation Detail'!C2995,'Activation Detail'!C3495,'Activation Detail'!C3995)</f>
        <v>4943910</v>
      </c>
      <c r="C495" s="45" t="n">
        <f aca="false">SUM('Activation Detail'!E495,'Activation Detail'!E995,'Activation Detail'!E1495,'Activation Detail'!E1995,'Activation Detail'!E2495,'Activation Detail'!E2995,'Activation Detail'!E3495,'Activation Detail'!E3995)</f>
        <v>411905</v>
      </c>
      <c r="D495" s="45" t="n">
        <f aca="false">SUM('Activation Detail'!G495,'Activation Detail'!G995,'Activation Detail'!G1495,'Activation Detail'!G1995,'Activation Detail'!G2495,'Activation Detail'!G2995,'Activation Detail'!G3495,'Activation Detail'!G3995)</f>
        <v>21854</v>
      </c>
      <c r="E495" s="48" t="n">
        <f aca="false">SUM('Activation Detail'!H495,'Activation Detail'!H995,'Activation Detail'!H1495,'Activation Detail'!H1995,'Activation Detail'!H2495,'Activation Detail'!H2995,'Activation Detail'!H3495,'Activation Detail'!H3995)</f>
        <v>766.560594464677</v>
      </c>
      <c r="F495" s="50" t="n">
        <f aca="false">SUM('Activation Detail'!I495,'Activation Detail'!I995,'Activation Detail'!I1495,'Activation Detail'!I1995,'Activation Detail'!I2495,'Activation Detail'!I2995,'Activation Detail'!I3495,'Activation Detail'!I3995)</f>
        <v>80567.208116</v>
      </c>
      <c r="G495" s="50" t="n">
        <f aca="false">SUM('Activation Detail'!J495,'Activation Detail'!J995,'Activation Detail'!J1495,'Activation Detail'!J1995,'Activation Detail'!J2495,'Activation Detail'!J2995,'Activation Detail'!J3495,'Activation Detail'!J3995)</f>
        <v>4885321.70123423</v>
      </c>
      <c r="H495" s="50" t="n">
        <f aca="false">SUM('Activation Detail'!K495,'Activation Detail'!K995,'Activation Detail'!K1495,'Activation Detail'!K1995,'Activation Detail'!K2495,'Activation Detail'!K2995,'Activation Detail'!K3495,'Activation Detail'!K3995)</f>
        <v>105691.468110382</v>
      </c>
      <c r="I495" s="51" t="n">
        <f aca="false">IFERROR(H495/F495,0)</f>
        <v>1.31184225669343</v>
      </c>
      <c r="J495" s="49" t="n">
        <f aca="false">IFERROR(F495/E495,0)</f>
        <v>105.102204180302</v>
      </c>
      <c r="K495" s="46" t="n">
        <f aca="false">IFERROR(C495/B495,0)</f>
        <v>0.0833156347910864</v>
      </c>
      <c r="L495" s="47" t="n">
        <f aca="false">IFERROR(D495/B495,0)</f>
        <v>0.00442038791159224</v>
      </c>
      <c r="N495" s="48" t="n">
        <f aca="false">SUMIFS('Activation Detail'!$H$4:$H$4003,'Activation Detail'!$A$4:$A$4003,$A495,'Activation Detail'!$N$4:$N$4003,N$2)</f>
        <v>122.386956523943</v>
      </c>
      <c r="O495" s="50" t="n">
        <f aca="false">N495*'Model Inputs &amp; Assumptions'!$D$40*'Model Inputs &amp; Assumptions'!$H$40</f>
        <v>1040289.13045351</v>
      </c>
      <c r="P495" s="50" t="n">
        <f aca="false">N495*'Model Inputs &amp; Assumptions'!$G$40*'Model Inputs &amp; Assumptions'!$H$40</f>
        <v>23406.505435204</v>
      </c>
      <c r="Q495" s="50" t="n">
        <f aca="false">SUMIFS('Activation Detail'!$I$4:$I$4003,'Activation Detail'!$A$4:$A$4003,$A495,'Activation Detail'!$N$4:$N$4003,N$2)</f>
        <v>18271.909</v>
      </c>
      <c r="R495" s="51" t="n">
        <f aca="false">IFERROR(P495/Q495,0)</f>
        <v>1.28101039881514</v>
      </c>
      <c r="S495" s="49" t="n">
        <f aca="false">IFERROR(Q495/N495,0)</f>
        <v>149.296211940898</v>
      </c>
      <c r="T495" s="48" t="n">
        <f aca="false">SUMIFS('Activation Detail'!$H$4:$H$4003,'Activation Detail'!$A$4:$A$4003,$A495,'Activation Detail'!$N$4:$N$4003,T$2)</f>
        <v>203.608292167086</v>
      </c>
      <c r="U495" s="50" t="n">
        <f aca="false">T495*'Model Inputs &amp; Assumptions'!$D$41*'Model Inputs &amp; Assumptions'!$H$41</f>
        <v>1465979.70360302</v>
      </c>
      <c r="V495" s="50" t="n">
        <f aca="false">T495*'Model Inputs &amp; Assumptions'!$G$41*'Model Inputs &amp; Assumptions'!$H$41</f>
        <v>32324.8524644466</v>
      </c>
      <c r="W495" s="50" t="n">
        <f aca="false">SUMIFS('Activation Detail'!$I$4:$I$4003,'Activation Detail'!$A$4:$A$4003,$A495,'Activation Detail'!$N$4:$N$4003,T$2)</f>
        <v>18905.035116</v>
      </c>
      <c r="X495" s="51" t="n">
        <f aca="false">IFERROR(V495/W495,0)</f>
        <v>1.70985413494889</v>
      </c>
      <c r="Y495" s="49" t="n">
        <f aca="false">IFERROR(W495/T495,0)</f>
        <v>92.8500254817032</v>
      </c>
      <c r="Z495" s="48" t="n">
        <f aca="false">SUMIFS('Activation Detail'!$H$4:$H$4003,'Activation Detail'!$A$4:$A$4003,$A495,'Activation Detail'!$N$4:$N$4003,Z$2)</f>
        <v>440.565345773648</v>
      </c>
      <c r="AA495" s="50" t="n">
        <f aca="false">Z495*'Model Inputs &amp; Assumptions'!$D$42*'Model Inputs &amp; Assumptions'!$H$42</f>
        <v>2379052.8671777</v>
      </c>
      <c r="AB495" s="50" t="n">
        <f aca="false">Z495*'Model Inputs &amp; Assumptions'!$G$42*'Model Inputs &amp; Assumptions'!$H$42</f>
        <v>49960.1102107317</v>
      </c>
      <c r="AC495" s="50" t="n">
        <f aca="false">SUMIFS('Activation Detail'!$I$4:$I$4003,'Activation Detail'!$A$4:$A$4003,$A495,'Activation Detail'!$N$4:$N$4003,Z$2)</f>
        <v>43390.264</v>
      </c>
      <c r="AD495" s="51" t="n">
        <f aca="false">IFERROR(AB495/AC495,0)</f>
        <v>1.15141291167834</v>
      </c>
      <c r="AE495" s="49" t="n">
        <f aca="false">IFERROR(AC495/Z495,0)</f>
        <v>98.4876918174424</v>
      </c>
    </row>
    <row r="496" customFormat="false" ht="15" hidden="false" customHeight="false" outlineLevel="0" collapsed="false">
      <c r="A496" s="43" t="n">
        <v>493</v>
      </c>
      <c r="B496" s="45" t="n">
        <f aca="false">SUM('Activation Detail'!C496,'Activation Detail'!C996,'Activation Detail'!C1496,'Activation Detail'!C1996,'Activation Detail'!C2496,'Activation Detail'!C2996,'Activation Detail'!C3496,'Activation Detail'!C3996)</f>
        <v>4569343</v>
      </c>
      <c r="C496" s="45" t="n">
        <f aca="false">SUM('Activation Detail'!E496,'Activation Detail'!E996,'Activation Detail'!E1496,'Activation Detail'!E1996,'Activation Detail'!E2496,'Activation Detail'!E2996,'Activation Detail'!E3496,'Activation Detail'!E3996)</f>
        <v>645895</v>
      </c>
      <c r="D496" s="45" t="n">
        <f aca="false">SUM('Activation Detail'!G496,'Activation Detail'!G996,'Activation Detail'!G1496,'Activation Detail'!G1996,'Activation Detail'!G2496,'Activation Detail'!G2996,'Activation Detail'!G3496,'Activation Detail'!G3996)</f>
        <v>17582</v>
      </c>
      <c r="E496" s="48" t="n">
        <f aca="false">SUM('Activation Detail'!H496,'Activation Detail'!H996,'Activation Detail'!H1496,'Activation Detail'!H1996,'Activation Detail'!H2496,'Activation Detail'!H2996,'Activation Detail'!H3496,'Activation Detail'!H3996)</f>
        <v>775.063325502095</v>
      </c>
      <c r="F496" s="50" t="n">
        <f aca="false">SUM('Activation Detail'!I496,'Activation Detail'!I996,'Activation Detail'!I1496,'Activation Detail'!I1996,'Activation Detail'!I2496,'Activation Detail'!I2996,'Activation Detail'!I3496,'Activation Detail'!I3996)</f>
        <v>79314.827868</v>
      </c>
      <c r="G496" s="50" t="n">
        <f aca="false">SUM('Activation Detail'!J496,'Activation Detail'!J996,'Activation Detail'!J1496,'Activation Detail'!J1996,'Activation Detail'!J2496,'Activation Detail'!J2996,'Activation Detail'!J3496,'Activation Detail'!J3996)</f>
        <v>4689445.37816893</v>
      </c>
      <c r="H496" s="50" t="n">
        <f aca="false">SUM('Activation Detail'!K496,'Activation Detail'!K996,'Activation Detail'!K1496,'Activation Detail'!K1996,'Activation Detail'!K2496,'Activation Detail'!K2996,'Activation Detail'!K3496,'Activation Detail'!K3996)</f>
        <v>100577.816875938</v>
      </c>
      <c r="I496" s="51" t="n">
        <f aca="false">IFERROR(H496/F496,0)</f>
        <v>1.26808340356389</v>
      </c>
      <c r="J496" s="49" t="n">
        <f aca="false">IFERROR(F496/E496,0)</f>
        <v>102.333351686611</v>
      </c>
      <c r="K496" s="46" t="n">
        <f aca="false">IFERROR(C496/B496,0)</f>
        <v>0.141354019604131</v>
      </c>
      <c r="L496" s="47" t="n">
        <f aca="false">IFERROR(D496/B496,0)</f>
        <v>0.00384781794669387</v>
      </c>
      <c r="N496" s="48" t="n">
        <f aca="false">SUMIFS('Activation Detail'!$H$4:$H$4003,'Activation Detail'!$A$4:$A$4003,$A496,'Activation Detail'!$N$4:$N$4003,N$2)</f>
        <v>65.8164130801806</v>
      </c>
      <c r="O496" s="50" t="n">
        <f aca="false">N496*'Model Inputs &amp; Assumptions'!$D$40*'Model Inputs &amp; Assumptions'!$H$40</f>
        <v>559439.511181535</v>
      </c>
      <c r="P496" s="50" t="n">
        <f aca="false">N496*'Model Inputs &amp; Assumptions'!$G$40*'Model Inputs &amp; Assumptions'!$H$40</f>
        <v>12587.3890015845</v>
      </c>
      <c r="Q496" s="50" t="n">
        <f aca="false">SUMIFS('Activation Detail'!$I$4:$I$4003,'Activation Detail'!$A$4:$A$4003,$A496,'Activation Detail'!$N$4:$N$4003,N$2)</f>
        <v>17760.4305</v>
      </c>
      <c r="R496" s="51" t="n">
        <f aca="false">IFERROR(P496/Q496,0)</f>
        <v>0.708732201147069</v>
      </c>
      <c r="S496" s="49" t="n">
        <f aca="false">IFERROR(Q496/N496,0)</f>
        <v>269.848046540662</v>
      </c>
      <c r="T496" s="48" t="n">
        <f aca="false">SUMIFS('Activation Detail'!$H$4:$H$4003,'Activation Detail'!$A$4:$A$4003,$A496,'Activation Detail'!$N$4:$N$4003,T$2)</f>
        <v>166.706966616143</v>
      </c>
      <c r="U496" s="50" t="n">
        <f aca="false">T496*'Model Inputs &amp; Assumptions'!$D$41*'Model Inputs &amp; Assumptions'!$H$41</f>
        <v>1200290.15963623</v>
      </c>
      <c r="V496" s="50" t="n">
        <f aca="false">T496*'Model Inputs &amp; Assumptions'!$G$41*'Model Inputs &amp; Assumptions'!$H$41</f>
        <v>26466.3980199789</v>
      </c>
      <c r="W496" s="50" t="n">
        <f aca="false">SUMIFS('Activation Detail'!$I$4:$I$4003,'Activation Detail'!$A$4:$A$4003,$A496,'Activation Detail'!$N$4:$N$4003,T$2)</f>
        <v>19443.381368</v>
      </c>
      <c r="X496" s="51" t="n">
        <f aca="false">IFERROR(V496/W496,0)</f>
        <v>1.36120346142762</v>
      </c>
      <c r="Y496" s="49" t="n">
        <f aca="false">IFERROR(W496/T496,0)</f>
        <v>116.632086604815</v>
      </c>
      <c r="Z496" s="48" t="n">
        <f aca="false">SUMIFS('Activation Detail'!$H$4:$H$4003,'Activation Detail'!$A$4:$A$4003,$A496,'Activation Detail'!$N$4:$N$4003,Z$2)</f>
        <v>542.539945805771</v>
      </c>
      <c r="AA496" s="50" t="n">
        <f aca="false">Z496*'Model Inputs &amp; Assumptions'!$D$42*'Model Inputs &amp; Assumptions'!$H$42</f>
        <v>2929715.70735116</v>
      </c>
      <c r="AB496" s="50" t="n">
        <f aca="false">Z496*'Model Inputs &amp; Assumptions'!$G$42*'Model Inputs &amp; Assumptions'!$H$42</f>
        <v>61524.0298543744</v>
      </c>
      <c r="AC496" s="50" t="n">
        <f aca="false">SUMIFS('Activation Detail'!$I$4:$I$4003,'Activation Detail'!$A$4:$A$4003,$A496,'Activation Detail'!$N$4:$N$4003,Z$2)</f>
        <v>42111.016</v>
      </c>
      <c r="AD496" s="51" t="n">
        <f aca="false">IFERROR(AB496/AC496,0)</f>
        <v>1.46099609314519</v>
      </c>
      <c r="AE496" s="49" t="n">
        <f aca="false">IFERROR(AC496/Z496,0)</f>
        <v>77.6182773739498</v>
      </c>
    </row>
    <row r="497" customFormat="false" ht="15" hidden="false" customHeight="false" outlineLevel="0" collapsed="false">
      <c r="A497" s="43" t="n">
        <v>494</v>
      </c>
      <c r="B497" s="45" t="n">
        <f aca="false">SUM('Activation Detail'!C497,'Activation Detail'!C997,'Activation Detail'!C1497,'Activation Detail'!C1997,'Activation Detail'!C2497,'Activation Detail'!C2997,'Activation Detail'!C3497,'Activation Detail'!C3997)</f>
        <v>2914288</v>
      </c>
      <c r="C497" s="45" t="n">
        <f aca="false">SUM('Activation Detail'!E497,'Activation Detail'!E997,'Activation Detail'!E1497,'Activation Detail'!E1997,'Activation Detail'!E2497,'Activation Detail'!E2997,'Activation Detail'!E3497,'Activation Detail'!E3997)</f>
        <v>430447</v>
      </c>
      <c r="D497" s="45" t="n">
        <f aca="false">SUM('Activation Detail'!G497,'Activation Detail'!G997,'Activation Detail'!G1497,'Activation Detail'!G1997,'Activation Detail'!G2497,'Activation Detail'!G2997,'Activation Detail'!G3497,'Activation Detail'!G3997)</f>
        <v>10330</v>
      </c>
      <c r="E497" s="48" t="n">
        <f aca="false">SUM('Activation Detail'!H497,'Activation Detail'!H997,'Activation Detail'!H1497,'Activation Detail'!H1997,'Activation Detail'!H2497,'Activation Detail'!H2997,'Activation Detail'!H3497,'Activation Detail'!H3997)</f>
        <v>334.894285350672</v>
      </c>
      <c r="F497" s="50" t="n">
        <f aca="false">SUM('Activation Detail'!I497,'Activation Detail'!I997,'Activation Detail'!I1497,'Activation Detail'!I1997,'Activation Detail'!I2497,'Activation Detail'!I2997,'Activation Detail'!I3497,'Activation Detail'!I3997)</f>
        <v>64815.34202</v>
      </c>
      <c r="G497" s="50" t="n">
        <f aca="false">SUM('Activation Detail'!J497,'Activation Detail'!J997,'Activation Detail'!J1497,'Activation Detail'!J1997,'Activation Detail'!J2497,'Activation Detail'!J2997,'Activation Detail'!J3497,'Activation Detail'!J3997)</f>
        <v>2278403.28390314</v>
      </c>
      <c r="H497" s="50" t="n">
        <f aca="false">SUM('Activation Detail'!K497,'Activation Detail'!K997,'Activation Detail'!K1497,'Activation Detail'!K1997,'Activation Detail'!K2497,'Activation Detail'!K2997,'Activation Detail'!K3497,'Activation Detail'!K3997)</f>
        <v>49802.5462231854</v>
      </c>
      <c r="I497" s="51" t="n">
        <f aca="false">IFERROR(H497/F497,0)</f>
        <v>0.76837589174208</v>
      </c>
      <c r="J497" s="49" t="n">
        <f aca="false">IFERROR(F497/E497,0)</f>
        <v>193.539707469571</v>
      </c>
      <c r="K497" s="46" t="n">
        <f aca="false">IFERROR(C497/B497,0)</f>
        <v>0.147702286115854</v>
      </c>
      <c r="L497" s="47" t="n">
        <f aca="false">IFERROR(D497/B497,0)</f>
        <v>0.00354460506305485</v>
      </c>
      <c r="N497" s="48" t="n">
        <f aca="false">SUMIFS('Activation Detail'!$H$4:$H$4003,'Activation Detail'!$A$4:$A$4003,$A497,'Activation Detail'!$N$4:$N$4003,N$2)</f>
        <v>65.9782941504799</v>
      </c>
      <c r="O497" s="50" t="n">
        <f aca="false">N497*'Model Inputs &amp; Assumptions'!$D$40*'Model Inputs &amp; Assumptions'!$H$40</f>
        <v>560815.500279079</v>
      </c>
      <c r="P497" s="50" t="n">
        <f aca="false">N497*'Model Inputs &amp; Assumptions'!$G$40*'Model Inputs &amp; Assumptions'!$H$40</f>
        <v>12618.3487562793</v>
      </c>
      <c r="Q497" s="50" t="n">
        <f aca="false">SUMIFS('Activation Detail'!$I$4:$I$4003,'Activation Detail'!$A$4:$A$4003,$A497,'Activation Detail'!$N$4:$N$4003,N$2)</f>
        <v>17518.234</v>
      </c>
      <c r="R497" s="51" t="n">
        <f aca="false">IFERROR(P497/Q497,0)</f>
        <v>0.720297991012066</v>
      </c>
      <c r="S497" s="49" t="n">
        <f aca="false">IFERROR(Q497/N497,0)</f>
        <v>265.51510956081</v>
      </c>
      <c r="T497" s="48" t="n">
        <f aca="false">SUMIFS('Activation Detail'!$H$4:$H$4003,'Activation Detail'!$A$4:$A$4003,$A497,'Activation Detail'!$N$4:$N$4003,T$2)</f>
        <v>147.467461746127</v>
      </c>
      <c r="U497" s="50" t="n">
        <f aca="false">T497*'Model Inputs &amp; Assumptions'!$D$41*'Model Inputs &amp; Assumptions'!$H$41</f>
        <v>1061765.72457211</v>
      </c>
      <c r="V497" s="50" t="n">
        <f aca="false">T497*'Model Inputs &amp; Assumptions'!$G$41*'Model Inputs &amp; Assumptions'!$H$41</f>
        <v>23411.9342268151</v>
      </c>
      <c r="W497" s="50" t="n">
        <f aca="false">SUMIFS('Activation Detail'!$I$4:$I$4003,'Activation Detail'!$A$4:$A$4003,$A497,'Activation Detail'!$N$4:$N$4003,T$2)</f>
        <v>16401.10002</v>
      </c>
      <c r="X497" s="51" t="n">
        <f aca="false">IFERROR(V497/W497,0)</f>
        <v>1.42746121895884</v>
      </c>
      <c r="Y497" s="49" t="n">
        <f aca="false">IFERROR(W497/T497,0)</f>
        <v>111.218433041422</v>
      </c>
      <c r="Z497" s="48" t="n">
        <f aca="false">SUMIFS('Activation Detail'!$H$4:$H$4003,'Activation Detail'!$A$4:$A$4003,$A497,'Activation Detail'!$N$4:$N$4003,Z$2)</f>
        <v>121.448529454065</v>
      </c>
      <c r="AA497" s="50" t="n">
        <f aca="false">Z497*'Model Inputs &amp; Assumptions'!$D$42*'Model Inputs &amp; Assumptions'!$H$42</f>
        <v>655822.059051953</v>
      </c>
      <c r="AB497" s="50" t="n">
        <f aca="false">Z497*'Model Inputs &amp; Assumptions'!$G$42*'Model Inputs &amp; Assumptions'!$H$42</f>
        <v>13772.263240091</v>
      </c>
      <c r="AC497" s="50" t="n">
        <f aca="false">SUMIFS('Activation Detail'!$I$4:$I$4003,'Activation Detail'!$A$4:$A$4003,$A497,'Activation Detail'!$N$4:$N$4003,Z$2)</f>
        <v>30896.008</v>
      </c>
      <c r="AD497" s="51" t="n">
        <f aca="false">IFERROR(AB497/AC497,0)</f>
        <v>0.445761900375317</v>
      </c>
      <c r="AE497" s="49" t="n">
        <f aca="false">IFERROR(AC497/Z497,0)</f>
        <v>254.39590037758</v>
      </c>
    </row>
    <row r="498" customFormat="false" ht="15" hidden="false" customHeight="false" outlineLevel="0" collapsed="false">
      <c r="A498" s="43" t="n">
        <v>495</v>
      </c>
      <c r="B498" s="45" t="n">
        <f aca="false">SUM('Activation Detail'!C498,'Activation Detail'!C998,'Activation Detail'!C1498,'Activation Detail'!C1998,'Activation Detail'!C2498,'Activation Detail'!C2998,'Activation Detail'!C3498,'Activation Detail'!C3998)</f>
        <v>3741396</v>
      </c>
      <c r="C498" s="45" t="n">
        <f aca="false">SUM('Activation Detail'!E498,'Activation Detail'!E998,'Activation Detail'!E1498,'Activation Detail'!E1998,'Activation Detail'!E2498,'Activation Detail'!E2998,'Activation Detail'!E3498,'Activation Detail'!E3998)</f>
        <v>341130</v>
      </c>
      <c r="D498" s="45" t="n">
        <f aca="false">SUM('Activation Detail'!G498,'Activation Detail'!G998,'Activation Detail'!G1498,'Activation Detail'!G1998,'Activation Detail'!G2498,'Activation Detail'!G2998,'Activation Detail'!G3498,'Activation Detail'!G3998)</f>
        <v>14544</v>
      </c>
      <c r="E498" s="48" t="n">
        <f aca="false">SUM('Activation Detail'!H498,'Activation Detail'!H998,'Activation Detail'!H1498,'Activation Detail'!H1998,'Activation Detail'!H2498,'Activation Detail'!H2998,'Activation Detail'!H3498,'Activation Detail'!H3998)</f>
        <v>551.385586407047</v>
      </c>
      <c r="F498" s="50" t="n">
        <f aca="false">SUM('Activation Detail'!I498,'Activation Detail'!I998,'Activation Detail'!I1498,'Activation Detail'!I1998,'Activation Detail'!I2498,'Activation Detail'!I2998,'Activation Detail'!I3498,'Activation Detail'!I3998)</f>
        <v>73502.112076</v>
      </c>
      <c r="G498" s="50" t="n">
        <f aca="false">SUM('Activation Detail'!J498,'Activation Detail'!J998,'Activation Detail'!J1498,'Activation Detail'!J1998,'Activation Detail'!J2498,'Activation Detail'!J2998,'Activation Detail'!J3498,'Activation Detail'!J3998)</f>
        <v>3600589.82362046</v>
      </c>
      <c r="H498" s="50" t="n">
        <f aca="false">SUM('Activation Detail'!K498,'Activation Detail'!K998,'Activation Detail'!K1498,'Activation Detail'!K1998,'Activation Detail'!K2498,'Activation Detail'!K2998,'Activation Detail'!K3498,'Activation Detail'!K3998)</f>
        <v>78205.0741908868</v>
      </c>
      <c r="I498" s="51" t="n">
        <f aca="false">IFERROR(H498/F498,0)</f>
        <v>1.06398404048613</v>
      </c>
      <c r="J498" s="49" t="n">
        <f aca="false">IFERROR(F498/E498,0)</f>
        <v>133.30437698772</v>
      </c>
      <c r="K498" s="46" t="n">
        <f aca="false">IFERROR(C498/B498,0)</f>
        <v>0.0911771969607066</v>
      </c>
      <c r="L498" s="47" t="n">
        <f aca="false">IFERROR(D498/B498,0)</f>
        <v>0.00388731906486242</v>
      </c>
      <c r="N498" s="48" t="n">
        <f aca="false">SUMIFS('Activation Detail'!$H$4:$H$4003,'Activation Detail'!$A$4:$A$4003,$A498,'Activation Detail'!$N$4:$N$4003,N$2)</f>
        <v>90.2380171739928</v>
      </c>
      <c r="O498" s="50" t="n">
        <f aca="false">N498*'Model Inputs &amp; Assumptions'!$D$40*'Model Inputs &amp; Assumptions'!$H$40</f>
        <v>767023.145978939</v>
      </c>
      <c r="P498" s="50" t="n">
        <f aca="false">N498*'Model Inputs &amp; Assumptions'!$G$40*'Model Inputs &amp; Assumptions'!$H$40</f>
        <v>17258.0207845261</v>
      </c>
      <c r="Q498" s="50" t="n">
        <f aca="false">SUMIFS('Activation Detail'!$I$4:$I$4003,'Activation Detail'!$A$4:$A$4003,$A498,'Activation Detail'!$N$4:$N$4003,N$2)</f>
        <v>17855.7465</v>
      </c>
      <c r="R498" s="51" t="n">
        <f aca="false">IFERROR(P498/Q498,0)</f>
        <v>0.966524742302212</v>
      </c>
      <c r="S498" s="49" t="n">
        <f aca="false">IFERROR(Q498/N498,0)</f>
        <v>197.873879094344</v>
      </c>
      <c r="T498" s="48" t="n">
        <f aca="false">SUMIFS('Activation Detail'!$H$4:$H$4003,'Activation Detail'!$A$4:$A$4003,$A498,'Activation Detail'!$N$4:$N$4003,T$2)</f>
        <v>190.761002101684</v>
      </c>
      <c r="U498" s="50" t="n">
        <f aca="false">T498*'Model Inputs &amp; Assumptions'!$D$41*'Model Inputs &amp; Assumptions'!$H$41</f>
        <v>1373479.21513212</v>
      </c>
      <c r="V498" s="50" t="n">
        <f aca="false">T498*'Model Inputs &amp; Assumptions'!$G$41*'Model Inputs &amp; Assumptions'!$H$41</f>
        <v>30285.2166936633</v>
      </c>
      <c r="W498" s="50" t="n">
        <f aca="false">SUMIFS('Activation Detail'!$I$4:$I$4003,'Activation Detail'!$A$4:$A$4003,$A498,'Activation Detail'!$N$4:$N$4003,T$2)</f>
        <v>18323.505576</v>
      </c>
      <c r="X498" s="51" t="n">
        <f aca="false">IFERROR(V498/W498,0)</f>
        <v>1.65280691339602</v>
      </c>
      <c r="Y498" s="49" t="n">
        <f aca="false">IFERROR(W498/T498,0)</f>
        <v>96.0547773083768</v>
      </c>
      <c r="Z498" s="48" t="n">
        <f aca="false">SUMIFS('Activation Detail'!$H$4:$H$4003,'Activation Detail'!$A$4:$A$4003,$A498,'Activation Detail'!$N$4:$N$4003,Z$2)</f>
        <v>270.38656713137</v>
      </c>
      <c r="AA498" s="50" t="n">
        <f aca="false">Z498*'Model Inputs &amp; Assumptions'!$D$42*'Model Inputs &amp; Assumptions'!$H$42</f>
        <v>1460087.4625094</v>
      </c>
      <c r="AB498" s="50" t="n">
        <f aca="false">Z498*'Model Inputs &amp; Assumptions'!$G$42*'Model Inputs &amp; Assumptions'!$H$42</f>
        <v>30661.8367126974</v>
      </c>
      <c r="AC498" s="50" t="n">
        <f aca="false">SUMIFS('Activation Detail'!$I$4:$I$4003,'Activation Detail'!$A$4:$A$4003,$A498,'Activation Detail'!$N$4:$N$4003,Z$2)</f>
        <v>37322.86</v>
      </c>
      <c r="AD498" s="51" t="n">
        <f aca="false">IFERROR(AB498/AC498,0)</f>
        <v>0.821529666073215</v>
      </c>
      <c r="AE498" s="49" t="n">
        <f aca="false">IFERROR(AC498/Z498,0)</f>
        <v>138.03518568238</v>
      </c>
    </row>
    <row r="499" customFormat="false" ht="15" hidden="false" customHeight="false" outlineLevel="0" collapsed="false">
      <c r="A499" s="43" t="n">
        <v>496</v>
      </c>
      <c r="B499" s="45" t="n">
        <f aca="false">SUM('Activation Detail'!C499,'Activation Detail'!C999,'Activation Detail'!C1499,'Activation Detail'!C1999,'Activation Detail'!C2499,'Activation Detail'!C2999,'Activation Detail'!C3499,'Activation Detail'!C3999)</f>
        <v>3241480</v>
      </c>
      <c r="C499" s="45" t="n">
        <f aca="false">SUM('Activation Detail'!E499,'Activation Detail'!E999,'Activation Detail'!E1499,'Activation Detail'!E1999,'Activation Detail'!E2499,'Activation Detail'!E2999,'Activation Detail'!E3499,'Activation Detail'!E3999)</f>
        <v>278852</v>
      </c>
      <c r="D499" s="45" t="n">
        <f aca="false">SUM('Activation Detail'!G499,'Activation Detail'!G999,'Activation Detail'!G1499,'Activation Detail'!G1999,'Activation Detail'!G2499,'Activation Detail'!G2999,'Activation Detail'!G3499,'Activation Detail'!G3999)</f>
        <v>12244</v>
      </c>
      <c r="E499" s="48" t="n">
        <f aca="false">SUM('Activation Detail'!H499,'Activation Detail'!H999,'Activation Detail'!H1499,'Activation Detail'!H1999,'Activation Detail'!H2499,'Activation Detail'!H2999,'Activation Detail'!H3499,'Activation Detail'!H3999)</f>
        <v>427.998630108568</v>
      </c>
      <c r="F499" s="50" t="n">
        <f aca="false">SUM('Activation Detail'!I499,'Activation Detail'!I999,'Activation Detail'!I1499,'Activation Detail'!I1999,'Activation Detail'!I2499,'Activation Detail'!I2999,'Activation Detail'!I3499,'Activation Detail'!I3999)</f>
        <v>65352.567734</v>
      </c>
      <c r="G499" s="50" t="n">
        <f aca="false">SUM('Activation Detail'!J499,'Activation Detail'!J999,'Activation Detail'!J1499,'Activation Detail'!J1999,'Activation Detail'!J2499,'Activation Detail'!J2999,'Activation Detail'!J3499,'Activation Detail'!J3999)</f>
        <v>2719924.51815797</v>
      </c>
      <c r="H499" s="50" t="n">
        <f aca="false">SUM('Activation Detail'!K499,'Activation Detail'!K999,'Activation Detail'!K1499,'Activation Detail'!K1999,'Activation Detail'!K2499,'Activation Detail'!K2999,'Activation Detail'!K3499,'Activation Detail'!K3999)</f>
        <v>58816.2578060348</v>
      </c>
      <c r="I499" s="51" t="n">
        <f aca="false">IFERROR(H499/F499,0)</f>
        <v>0.89998388503158</v>
      </c>
      <c r="J499" s="49" t="n">
        <f aca="false">IFERROR(F499/E499,0)</f>
        <v>152.693403989219</v>
      </c>
      <c r="K499" s="46" t="n">
        <f aca="false">IFERROR(C499/B499,0)</f>
        <v>0.0860261362093858</v>
      </c>
      <c r="L499" s="47" t="n">
        <f aca="false">IFERROR(D499/B499,0)</f>
        <v>0.00377728691832126</v>
      </c>
      <c r="N499" s="48" t="n">
        <f aca="false">SUMIFS('Activation Detail'!$H$4:$H$4003,'Activation Detail'!$A$4:$A$4003,$A499,'Activation Detail'!$N$4:$N$4003,N$2)</f>
        <v>69.7448914210915</v>
      </c>
      <c r="O499" s="50" t="n">
        <f aca="false">N499*'Model Inputs &amp; Assumptions'!$D$40*'Model Inputs &amp; Assumptions'!$H$40</f>
        <v>592831.577079278</v>
      </c>
      <c r="P499" s="50" t="n">
        <f aca="false">N499*'Model Inputs &amp; Assumptions'!$G$40*'Model Inputs &amp; Assumptions'!$H$40</f>
        <v>13338.7104842838</v>
      </c>
      <c r="Q499" s="50" t="n">
        <f aca="false">SUMIFS('Activation Detail'!$I$4:$I$4003,'Activation Detail'!$A$4:$A$4003,$A499,'Activation Detail'!$N$4:$N$4003,N$2)</f>
        <v>18628.5705</v>
      </c>
      <c r="R499" s="51" t="n">
        <f aca="false">IFERROR(P499/Q499,0)</f>
        <v>0.716035107701031</v>
      </c>
      <c r="S499" s="49" t="n">
        <f aca="false">IFERROR(Q499/N499,0)</f>
        <v>267.095842009821</v>
      </c>
      <c r="T499" s="48" t="n">
        <f aca="false">SUMIFS('Activation Detail'!$H$4:$H$4003,'Activation Detail'!$A$4:$A$4003,$A499,'Activation Detail'!$N$4:$N$4003,T$2)</f>
        <v>106.957084536844</v>
      </c>
      <c r="U499" s="50" t="n">
        <f aca="false">T499*'Model Inputs &amp; Assumptions'!$D$41*'Model Inputs &amp; Assumptions'!$H$41</f>
        <v>770091.008665274</v>
      </c>
      <c r="V499" s="50" t="n">
        <f aca="false">T499*'Model Inputs &amp; Assumptions'!$G$41*'Model Inputs &amp; Assumptions'!$H$41</f>
        <v>16980.5067410693</v>
      </c>
      <c r="W499" s="50" t="n">
        <f aca="false">SUMIFS('Activation Detail'!$I$4:$I$4003,'Activation Detail'!$A$4:$A$4003,$A499,'Activation Detail'!$N$4:$N$4003,T$2)</f>
        <v>15107.773234</v>
      </c>
      <c r="X499" s="51" t="n">
        <f aca="false">IFERROR(V499/W499,0)</f>
        <v>1.12395827486043</v>
      </c>
      <c r="Y499" s="49" t="n">
        <f aca="false">IFERROR(W499/T499,0)</f>
        <v>141.250795114893</v>
      </c>
      <c r="Z499" s="48" t="n">
        <f aca="false">SUMIFS('Activation Detail'!$H$4:$H$4003,'Activation Detail'!$A$4:$A$4003,$A499,'Activation Detail'!$N$4:$N$4003,Z$2)</f>
        <v>251.296654150633</v>
      </c>
      <c r="AA499" s="50" t="n">
        <f aca="false">Z499*'Model Inputs &amp; Assumptions'!$D$42*'Model Inputs &amp; Assumptions'!$H$42</f>
        <v>1357001.93241342</v>
      </c>
      <c r="AB499" s="50" t="n">
        <f aca="false">Z499*'Model Inputs &amp; Assumptions'!$G$42*'Model Inputs &amp; Assumptions'!$H$42</f>
        <v>28497.0405806817</v>
      </c>
      <c r="AC499" s="50" t="n">
        <f aca="false">SUMIFS('Activation Detail'!$I$4:$I$4003,'Activation Detail'!$A$4:$A$4003,$A499,'Activation Detail'!$N$4:$N$4003,Z$2)</f>
        <v>31616.224</v>
      </c>
      <c r="AD499" s="51" t="n">
        <f aca="false">IFERROR(AB499/AC499,0)</f>
        <v>0.901342316548673</v>
      </c>
      <c r="AE499" s="49" t="n">
        <f aca="false">IFERROR(AC499/Z499,0)</f>
        <v>125.812355547912</v>
      </c>
    </row>
    <row r="500" customFormat="false" ht="15" hidden="false" customHeight="false" outlineLevel="0" collapsed="false">
      <c r="A500" s="43" t="n">
        <v>497</v>
      </c>
      <c r="B500" s="45" t="n">
        <f aca="false">SUM('Activation Detail'!C500,'Activation Detail'!C1000,'Activation Detail'!C1500,'Activation Detail'!C2000,'Activation Detail'!C2500,'Activation Detail'!C3000,'Activation Detail'!C3500,'Activation Detail'!C4000)</f>
        <v>4203795</v>
      </c>
      <c r="C500" s="45" t="n">
        <f aca="false">SUM('Activation Detail'!E500,'Activation Detail'!E1000,'Activation Detail'!E1500,'Activation Detail'!E2000,'Activation Detail'!E2500,'Activation Detail'!E3000,'Activation Detail'!E3500,'Activation Detail'!E4000)</f>
        <v>338216</v>
      </c>
      <c r="D500" s="45" t="n">
        <f aca="false">SUM('Activation Detail'!G500,'Activation Detail'!G1000,'Activation Detail'!G1500,'Activation Detail'!G2000,'Activation Detail'!G2500,'Activation Detail'!G3000,'Activation Detail'!G3500,'Activation Detail'!G4000)</f>
        <v>18566</v>
      </c>
      <c r="E500" s="48" t="n">
        <f aca="false">SUM('Activation Detail'!H500,'Activation Detail'!H1000,'Activation Detail'!H1500,'Activation Detail'!H2000,'Activation Detail'!H2500,'Activation Detail'!H3000,'Activation Detail'!H3500,'Activation Detail'!H4000)</f>
        <v>751.781338296036</v>
      </c>
      <c r="F500" s="50" t="n">
        <f aca="false">SUM('Activation Detail'!I500,'Activation Detail'!I1000,'Activation Detail'!I1500,'Activation Detail'!I2000,'Activation Detail'!I2500,'Activation Detail'!I3000,'Activation Detail'!I3500,'Activation Detail'!I4000)</f>
        <v>78934.356232</v>
      </c>
      <c r="G500" s="50" t="n">
        <f aca="false">SUM('Activation Detail'!J500,'Activation Detail'!J1000,'Activation Detail'!J1500,'Activation Detail'!J2000,'Activation Detail'!J2500,'Activation Detail'!J3000,'Activation Detail'!J3500,'Activation Detail'!J4000)</f>
        <v>4681807.76624555</v>
      </c>
      <c r="H500" s="50" t="n">
        <f aca="false">SUM('Activation Detail'!K500,'Activation Detail'!K1000,'Activation Detail'!K1500,'Activation Detail'!K2000,'Activation Detail'!K2500,'Activation Detail'!K3000,'Activation Detail'!K3500,'Activation Detail'!K4000)</f>
        <v>100905.037362061</v>
      </c>
      <c r="I500" s="51" t="n">
        <f aca="false">IFERROR(H500/F500,0)</f>
        <v>1.27834117080129</v>
      </c>
      <c r="J500" s="49" t="n">
        <f aca="false">IFERROR(F500/E500,0)</f>
        <v>104.996429428416</v>
      </c>
      <c r="K500" s="46" t="n">
        <f aca="false">IFERROR(C500/B500,0)</f>
        <v>0.0804549222785602</v>
      </c>
      <c r="L500" s="47" t="n">
        <f aca="false">IFERROR(D500/B500,0)</f>
        <v>0.00441648558029114</v>
      </c>
      <c r="N500" s="48" t="n">
        <f aca="false">SUMIFS('Activation Detail'!$H$4:$H$4003,'Activation Detail'!$A$4:$A$4003,$A500,'Activation Detail'!$N$4:$N$4003,N$2)</f>
        <v>96.7318324920978</v>
      </c>
      <c r="O500" s="50" t="n">
        <f aca="false">N500*'Model Inputs &amp; Assumptions'!$D$40*'Model Inputs &amp; Assumptions'!$H$40</f>
        <v>822220.576182831</v>
      </c>
      <c r="P500" s="50" t="n">
        <f aca="false">N500*'Model Inputs &amp; Assumptions'!$G$40*'Model Inputs &amp; Assumptions'!$H$40</f>
        <v>18499.9629641137</v>
      </c>
      <c r="Q500" s="50" t="n">
        <f aca="false">SUMIFS('Activation Detail'!$I$4:$I$4003,'Activation Detail'!$A$4:$A$4003,$A500,'Activation Detail'!$N$4:$N$4003,N$2)</f>
        <v>18156.56</v>
      </c>
      <c r="R500" s="51" t="n">
        <f aca="false">IFERROR(P500/Q500,0)</f>
        <v>1.01891343757373</v>
      </c>
      <c r="S500" s="49" t="n">
        <f aca="false">IFERROR(Q500/N500,0)</f>
        <v>187.699948736971</v>
      </c>
      <c r="T500" s="48" t="n">
        <f aca="false">SUMIFS('Activation Detail'!$H$4:$H$4003,'Activation Detail'!$A$4:$A$4003,$A500,'Activation Detail'!$N$4:$N$4003,T$2)</f>
        <v>179.066588178583</v>
      </c>
      <c r="U500" s="50" t="n">
        <f aca="false">T500*'Model Inputs &amp; Assumptions'!$D$41*'Model Inputs &amp; Assumptions'!$H$41</f>
        <v>1289279.4348858</v>
      </c>
      <c r="V500" s="50" t="n">
        <f aca="false">T500*'Model Inputs &amp; Assumptions'!$G$41*'Model Inputs &amp; Assumptions'!$H$41</f>
        <v>28428.6115392318</v>
      </c>
      <c r="W500" s="50" t="n">
        <f aca="false">SUMIFS('Activation Detail'!$I$4:$I$4003,'Activation Detail'!$A$4:$A$4003,$A500,'Activation Detail'!$N$4:$N$4003,T$2)</f>
        <v>17170.608232</v>
      </c>
      <c r="X500" s="51" t="n">
        <f aca="false">IFERROR(V500/W500,0)</f>
        <v>1.65565547563137</v>
      </c>
      <c r="Y500" s="49" t="n">
        <f aca="false">IFERROR(W500/T500,0)</f>
        <v>95.8895146585123</v>
      </c>
      <c r="Z500" s="48" t="n">
        <f aca="false">SUMIFS('Activation Detail'!$H$4:$H$4003,'Activation Detail'!$A$4:$A$4003,$A500,'Activation Detail'!$N$4:$N$4003,Z$2)</f>
        <v>475.982917625355</v>
      </c>
      <c r="AA500" s="50" t="n">
        <f aca="false">Z500*'Model Inputs &amp; Assumptions'!$D$42*'Model Inputs &amp; Assumptions'!$H$42</f>
        <v>2570307.75517692</v>
      </c>
      <c r="AB500" s="50" t="n">
        <f aca="false">Z500*'Model Inputs &amp; Assumptions'!$G$42*'Model Inputs &amp; Assumptions'!$H$42</f>
        <v>53976.4628587153</v>
      </c>
      <c r="AC500" s="50" t="n">
        <f aca="false">SUMIFS('Activation Detail'!$I$4:$I$4003,'Activation Detail'!$A$4:$A$4003,$A500,'Activation Detail'!$N$4:$N$4003,Z$2)</f>
        <v>43607.188</v>
      </c>
      <c r="AD500" s="51" t="n">
        <f aca="false">IFERROR(AB500/AC500,0)</f>
        <v>1.23778820268611</v>
      </c>
      <c r="AE500" s="49" t="n">
        <f aca="false">IFERROR(AC500/Z500,0)</f>
        <v>91.6150273155876</v>
      </c>
    </row>
    <row r="501" customFormat="false" ht="15" hidden="false" customHeight="false" outlineLevel="0" collapsed="false">
      <c r="A501" s="43" t="n">
        <v>498</v>
      </c>
      <c r="B501" s="45" t="n">
        <f aca="false">SUM('Activation Detail'!C501,'Activation Detail'!C1001,'Activation Detail'!C1501,'Activation Detail'!C2001,'Activation Detail'!C2501,'Activation Detail'!C3001,'Activation Detail'!C3501,'Activation Detail'!C4001)</f>
        <v>4302985</v>
      </c>
      <c r="C501" s="45" t="n">
        <f aca="false">SUM('Activation Detail'!E501,'Activation Detail'!E1001,'Activation Detail'!E1501,'Activation Detail'!E2001,'Activation Detail'!E2501,'Activation Detail'!E3001,'Activation Detail'!E3501,'Activation Detail'!E4001)</f>
        <v>392464</v>
      </c>
      <c r="D501" s="45" t="n">
        <f aca="false">SUM('Activation Detail'!G501,'Activation Detail'!G1001,'Activation Detail'!G1501,'Activation Detail'!G2001,'Activation Detail'!G2501,'Activation Detail'!G3001,'Activation Detail'!G3501,'Activation Detail'!G4001)</f>
        <v>17624</v>
      </c>
      <c r="E501" s="48" t="n">
        <f aca="false">SUM('Activation Detail'!H501,'Activation Detail'!H1001,'Activation Detail'!H1501,'Activation Detail'!H2001,'Activation Detail'!H2501,'Activation Detail'!H3001,'Activation Detail'!H3501,'Activation Detail'!H4001)</f>
        <v>678.973440208017</v>
      </c>
      <c r="F501" s="50" t="n">
        <f aca="false">SUM('Activation Detail'!I501,'Activation Detail'!I1001,'Activation Detail'!I1501,'Activation Detail'!I2001,'Activation Detail'!I2501,'Activation Detail'!I3001,'Activation Detail'!I3501,'Activation Detail'!I4001)</f>
        <v>79310.46503</v>
      </c>
      <c r="G501" s="50" t="n">
        <f aca="false">SUM('Activation Detail'!J501,'Activation Detail'!J1001,'Activation Detail'!J1501,'Activation Detail'!J2001,'Activation Detail'!J2501,'Activation Detail'!J3001,'Activation Detail'!J3501,'Activation Detail'!J4001)</f>
        <v>4216653.65463841</v>
      </c>
      <c r="H501" s="50" t="n">
        <f aca="false">SUM('Activation Detail'!K501,'Activation Detail'!K1001,'Activation Detail'!K1501,'Activation Detail'!K2001,'Activation Detail'!K2501,'Activation Detail'!K3001,'Activation Detail'!K3501,'Activation Detail'!K4001)</f>
        <v>90837.8480500755</v>
      </c>
      <c r="I501" s="51" t="n">
        <f aca="false">IFERROR(H501/F501,0)</f>
        <v>1.14534504388185</v>
      </c>
      <c r="J501" s="49" t="n">
        <f aca="false">IFERROR(F501/E501,0)</f>
        <v>116.809377706589</v>
      </c>
      <c r="K501" s="46" t="n">
        <f aca="false">IFERROR(C501/B501,0)</f>
        <v>0.0912073827819525</v>
      </c>
      <c r="L501" s="47" t="n">
        <f aca="false">IFERROR(D501/B501,0)</f>
        <v>0.00409576143072774</v>
      </c>
      <c r="N501" s="48" t="n">
        <f aca="false">SUMIFS('Activation Detail'!$H$4:$H$4003,'Activation Detail'!$A$4:$A$4003,$A501,'Activation Detail'!$N$4:$N$4003,N$2)</f>
        <v>84.0978625721005</v>
      </c>
      <c r="O501" s="50" t="n">
        <f aca="false">N501*'Model Inputs &amp; Assumptions'!$D$40*'Model Inputs &amp; Assumptions'!$H$40</f>
        <v>714831.831862854</v>
      </c>
      <c r="P501" s="50" t="n">
        <f aca="false">N501*'Model Inputs &amp; Assumptions'!$G$40*'Model Inputs &amp; Assumptions'!$H$40</f>
        <v>16083.7162169142</v>
      </c>
      <c r="Q501" s="50" t="n">
        <f aca="false">SUMIFS('Activation Detail'!$I$4:$I$4003,'Activation Detail'!$A$4:$A$4003,$A501,'Activation Detail'!$N$4:$N$4003,N$2)</f>
        <v>17373.3685</v>
      </c>
      <c r="R501" s="51" t="n">
        <f aca="false">IFERROR(P501/Q501,0)</f>
        <v>0.925768437877446</v>
      </c>
      <c r="S501" s="49" t="n">
        <f aca="false">IFERROR(Q501/N501,0)</f>
        <v>206.585137465356</v>
      </c>
      <c r="T501" s="48" t="n">
        <f aca="false">SUMIFS('Activation Detail'!$H$4:$H$4003,'Activation Detail'!$A$4:$A$4003,$A501,'Activation Detail'!$N$4:$N$4003,T$2)</f>
        <v>160.829835300891</v>
      </c>
      <c r="U501" s="50" t="n">
        <f aca="false">T501*'Model Inputs &amp; Assumptions'!$D$41*'Model Inputs &amp; Assumptions'!$H$41</f>
        <v>1157974.81416641</v>
      </c>
      <c r="V501" s="50" t="n">
        <f aca="false">T501*'Model Inputs &amp; Assumptions'!$G$41*'Model Inputs &amp; Assumptions'!$H$41</f>
        <v>25533.3446523694</v>
      </c>
      <c r="W501" s="50" t="n">
        <f aca="false">SUMIFS('Activation Detail'!$I$4:$I$4003,'Activation Detail'!$A$4:$A$4003,$A501,'Activation Detail'!$N$4:$N$4003,T$2)</f>
        <v>17196.79653</v>
      </c>
      <c r="X501" s="51" t="n">
        <f aca="false">IFERROR(V501/W501,0)</f>
        <v>1.48477331855536</v>
      </c>
      <c r="Y501" s="49" t="n">
        <f aca="false">IFERROR(W501/T501,0)</f>
        <v>106.925412799355</v>
      </c>
      <c r="Z501" s="48" t="n">
        <f aca="false">SUMIFS('Activation Detail'!$H$4:$H$4003,'Activation Detail'!$A$4:$A$4003,$A501,'Activation Detail'!$N$4:$N$4003,Z$2)</f>
        <v>434.045742335025</v>
      </c>
      <c r="AA501" s="50" t="n">
        <f aca="false">Z501*'Model Inputs &amp; Assumptions'!$D$42*'Model Inputs &amp; Assumptions'!$H$42</f>
        <v>2343847.00860914</v>
      </c>
      <c r="AB501" s="50" t="n">
        <f aca="false">Z501*'Model Inputs &amp; Assumptions'!$G$42*'Model Inputs &amp; Assumptions'!$H$42</f>
        <v>49220.7871807918</v>
      </c>
      <c r="AC501" s="50" t="n">
        <f aca="false">SUMIFS('Activation Detail'!$I$4:$I$4003,'Activation Detail'!$A$4:$A$4003,$A501,'Activation Detail'!$N$4:$N$4003,Z$2)</f>
        <v>44740.3</v>
      </c>
      <c r="AD501" s="51" t="n">
        <f aca="false">IFERROR(AB501/AC501,0)</f>
        <v>1.10014432582687</v>
      </c>
      <c r="AE501" s="49" t="n">
        <f aca="false">IFERROR(AC501/Z501,0)</f>
        <v>103.077384792008</v>
      </c>
    </row>
    <row r="502" customFormat="false" ht="15" hidden="false" customHeight="false" outlineLevel="0" collapsed="false">
      <c r="A502" s="43" t="n">
        <v>499</v>
      </c>
      <c r="B502" s="45" t="n">
        <f aca="false">SUM('Activation Detail'!C502,'Activation Detail'!C1002,'Activation Detail'!C1502,'Activation Detail'!C2002,'Activation Detail'!C2502,'Activation Detail'!C3002,'Activation Detail'!C3502,'Activation Detail'!C4002)</f>
        <v>3383598</v>
      </c>
      <c r="C502" s="45" t="n">
        <f aca="false">SUM('Activation Detail'!E502,'Activation Detail'!E1002,'Activation Detail'!E1502,'Activation Detail'!E2002,'Activation Detail'!E2502,'Activation Detail'!E3002,'Activation Detail'!E3502,'Activation Detail'!E4002)</f>
        <v>420968</v>
      </c>
      <c r="D502" s="45" t="n">
        <f aca="false">SUM('Activation Detail'!G502,'Activation Detail'!G1002,'Activation Detail'!G1502,'Activation Detail'!G2002,'Activation Detail'!G2502,'Activation Detail'!G3002,'Activation Detail'!G3502,'Activation Detail'!G4002)</f>
        <v>14254</v>
      </c>
      <c r="E502" s="48" t="n">
        <f aca="false">SUM('Activation Detail'!H502,'Activation Detail'!H1002,'Activation Detail'!H1502,'Activation Detail'!H2002,'Activation Detail'!H2502,'Activation Detail'!H3002,'Activation Detail'!H3502,'Activation Detail'!H4002)</f>
        <v>595.19679932685</v>
      </c>
      <c r="F502" s="50" t="n">
        <f aca="false">SUM('Activation Detail'!I502,'Activation Detail'!I1002,'Activation Detail'!I1502,'Activation Detail'!I2002,'Activation Detail'!I2502,'Activation Detail'!I3002,'Activation Detail'!I3502,'Activation Detail'!I4002)</f>
        <v>73012.103634</v>
      </c>
      <c r="G502" s="50" t="n">
        <f aca="false">SUM('Activation Detail'!J502,'Activation Detail'!J1002,'Activation Detail'!J1502,'Activation Detail'!J2002,'Activation Detail'!J2502,'Activation Detail'!J3002,'Activation Detail'!J3502,'Activation Detail'!J4002)</f>
        <v>3704913.8736728</v>
      </c>
      <c r="H502" s="50" t="n">
        <f aca="false">SUM('Activation Detail'!K502,'Activation Detail'!K1002,'Activation Detail'!K1502,'Activation Detail'!K2002,'Activation Detail'!K2502,'Activation Detail'!K3002,'Activation Detail'!K3502,'Activation Detail'!K4002)</f>
        <v>79843.1090309065</v>
      </c>
      <c r="I502" s="51" t="n">
        <f aca="false">IFERROR(H502/F502,0)</f>
        <v>1.09355990386401</v>
      </c>
      <c r="J502" s="49" t="n">
        <f aca="false">IFERROR(F502/E502,0)</f>
        <v>122.668844517602</v>
      </c>
      <c r="K502" s="46" t="n">
        <f aca="false">IFERROR(C502/B502,0)</f>
        <v>0.124414306900524</v>
      </c>
      <c r="L502" s="47" t="n">
        <f aca="false">IFERROR(D502/B502,0)</f>
        <v>0.00421267538283212</v>
      </c>
      <c r="N502" s="48" t="n">
        <f aca="false">SUMIFS('Activation Detail'!$H$4:$H$4003,'Activation Detail'!$A$4:$A$4003,$A502,'Activation Detail'!$N$4:$N$4003,N$2)</f>
        <v>80.2117663517897</v>
      </c>
      <c r="O502" s="50" t="n">
        <f aca="false">N502*'Model Inputs &amp; Assumptions'!$D$40*'Model Inputs &amp; Assumptions'!$H$40</f>
        <v>681800.013990213</v>
      </c>
      <c r="P502" s="50" t="n">
        <f aca="false">N502*'Model Inputs &amp; Assumptions'!$G$40*'Model Inputs &amp; Assumptions'!$H$40</f>
        <v>15340.5003147798</v>
      </c>
      <c r="Q502" s="50" t="n">
        <f aca="false">SUMIFS('Activation Detail'!$I$4:$I$4003,'Activation Detail'!$A$4:$A$4003,$A502,'Activation Detail'!$N$4:$N$4003,N$2)</f>
        <v>17819.0215</v>
      </c>
      <c r="R502" s="51" t="n">
        <f aca="false">IFERROR(P502/Q502,0)</f>
        <v>0.860905876048232</v>
      </c>
      <c r="S502" s="49" t="n">
        <f aca="false">IFERROR(Q502/N502,0)</f>
        <v>222.149720800936</v>
      </c>
      <c r="T502" s="48" t="n">
        <f aca="false">SUMIFS('Activation Detail'!$H$4:$H$4003,'Activation Detail'!$A$4:$A$4003,$A502,'Activation Detail'!$N$4:$N$4003,T$2)</f>
        <v>134.552600898477</v>
      </c>
      <c r="U502" s="50" t="n">
        <f aca="false">T502*'Model Inputs &amp; Assumptions'!$D$41*'Model Inputs &amp; Assumptions'!$H$41</f>
        <v>968778.726469032</v>
      </c>
      <c r="V502" s="50" t="n">
        <f aca="false">T502*'Model Inputs &amp; Assumptions'!$G$41*'Model Inputs &amp; Assumptions'!$H$41</f>
        <v>21361.5709186421</v>
      </c>
      <c r="W502" s="50" t="n">
        <f aca="false">SUMIFS('Activation Detail'!$I$4:$I$4003,'Activation Detail'!$A$4:$A$4003,$A502,'Activation Detail'!$N$4:$N$4003,T$2)</f>
        <v>15962.042134</v>
      </c>
      <c r="X502" s="51" t="n">
        <f aca="false">IFERROR(V502/W502,0)</f>
        <v>1.3382730567501</v>
      </c>
      <c r="Y502" s="49" t="n">
        <f aca="false">IFERROR(W502/T502,0)</f>
        <v>118.630498611051</v>
      </c>
      <c r="Z502" s="48" t="n">
        <f aca="false">SUMIFS('Activation Detail'!$H$4:$H$4003,'Activation Detail'!$A$4:$A$4003,$A502,'Activation Detail'!$N$4:$N$4003,Z$2)</f>
        <v>380.432432076584</v>
      </c>
      <c r="AA502" s="50" t="n">
        <f aca="false">Z502*'Model Inputs &amp; Assumptions'!$D$42*'Model Inputs &amp; Assumptions'!$H$42</f>
        <v>2054335.13321355</v>
      </c>
      <c r="AB502" s="50" t="n">
        <f aca="false">Z502*'Model Inputs &amp; Assumptions'!$G$42*'Model Inputs &amp; Assumptions'!$H$42</f>
        <v>43141.0377974846</v>
      </c>
      <c r="AC502" s="50" t="n">
        <f aca="false">SUMIFS('Activation Detail'!$I$4:$I$4003,'Activation Detail'!$A$4:$A$4003,$A502,'Activation Detail'!$N$4:$N$4003,Z$2)</f>
        <v>39231.04</v>
      </c>
      <c r="AD502" s="51" t="n">
        <f aca="false">IFERROR(AB502/AC502,0)</f>
        <v>1.09966592263383</v>
      </c>
      <c r="AE502" s="49" t="n">
        <f aca="false">IFERROR(AC502/Z502,0)</f>
        <v>103.122228002113</v>
      </c>
    </row>
    <row r="503" customFormat="false" ht="15" hidden="false" customHeight="false" outlineLevel="0" collapsed="false">
      <c r="A503" s="43" t="n">
        <v>500</v>
      </c>
      <c r="B503" s="45" t="n">
        <f aca="false">SUM('Activation Detail'!C503,'Activation Detail'!C1003,'Activation Detail'!C1503,'Activation Detail'!C2003,'Activation Detail'!C2503,'Activation Detail'!C3003,'Activation Detail'!C3503,'Activation Detail'!C4003)</f>
        <v>3744258</v>
      </c>
      <c r="C503" s="45" t="n">
        <f aca="false">SUM('Activation Detail'!E503,'Activation Detail'!E1003,'Activation Detail'!E1503,'Activation Detail'!E2003,'Activation Detail'!E2503,'Activation Detail'!E3003,'Activation Detail'!E3503,'Activation Detail'!E4003)</f>
        <v>412495</v>
      </c>
      <c r="D503" s="45" t="n">
        <f aca="false">SUM('Activation Detail'!G503,'Activation Detail'!G1003,'Activation Detail'!G1503,'Activation Detail'!G2003,'Activation Detail'!G2503,'Activation Detail'!G3003,'Activation Detail'!G3503,'Activation Detail'!G4003)</f>
        <v>11629</v>
      </c>
      <c r="E503" s="48" t="n">
        <f aca="false">SUM('Activation Detail'!H503,'Activation Detail'!H1003,'Activation Detail'!H1503,'Activation Detail'!H2003,'Activation Detail'!H2503,'Activation Detail'!H3003,'Activation Detail'!H3503,'Activation Detail'!H4003)</f>
        <v>430.118436711752</v>
      </c>
      <c r="F503" s="50" t="n">
        <f aca="false">SUM('Activation Detail'!I503,'Activation Detail'!I1003,'Activation Detail'!I1503,'Activation Detail'!I2003,'Activation Detail'!I2503,'Activation Detail'!I3003,'Activation Detail'!I3503,'Activation Detail'!I4003)</f>
        <v>69991.111168</v>
      </c>
      <c r="G503" s="50" t="n">
        <f aca="false">SUM('Activation Detail'!J503,'Activation Detail'!J1003,'Activation Detail'!J1503,'Activation Detail'!J2003,'Activation Detail'!J2503,'Activation Detail'!J3003,'Activation Detail'!J3503,'Activation Detail'!J4003)</f>
        <v>2834661.38044062</v>
      </c>
      <c r="H503" s="50" t="n">
        <f aca="false">SUM('Activation Detail'!K503,'Activation Detail'!K1003,'Activation Detail'!K1503,'Activation Detail'!K2003,'Activation Detail'!K2503,'Activation Detail'!K3003,'Activation Detail'!K3503,'Activation Detail'!K4003)</f>
        <v>61655.407615102</v>
      </c>
      <c r="I503" s="51" t="n">
        <f aca="false">IFERROR(H503/F503,0)</f>
        <v>0.880903397391566</v>
      </c>
      <c r="J503" s="49" t="n">
        <f aca="false">IFERROR(F503/E503,0)</f>
        <v>162.725205883014</v>
      </c>
      <c r="K503" s="46" t="n">
        <f aca="false">IFERROR(C503/B503,0)</f>
        <v>0.110167354920521</v>
      </c>
      <c r="L503" s="47" t="n">
        <f aca="false">IFERROR(D503/B503,0)</f>
        <v>0.00310582230177514</v>
      </c>
      <c r="N503" s="48" t="n">
        <f aca="false">SUMIFS('Activation Detail'!$H$4:$H$4003,'Activation Detail'!$A$4:$A$4003,$A503,'Activation Detail'!$N$4:$N$4003,N$2)</f>
        <v>85.0852865890414</v>
      </c>
      <c r="O503" s="50" t="n">
        <f aca="false">N503*'Model Inputs &amp; Assumptions'!$D$40*'Model Inputs &amp; Assumptions'!$H$40</f>
        <v>723224.936006852</v>
      </c>
      <c r="P503" s="50" t="n">
        <f aca="false">N503*'Model Inputs &amp; Assumptions'!$G$40*'Model Inputs &amp; Assumptions'!$H$40</f>
        <v>16272.5610601542</v>
      </c>
      <c r="Q503" s="50" t="n">
        <f aca="false">SUMIFS('Activation Detail'!$I$4:$I$4003,'Activation Detail'!$A$4:$A$4003,$A503,'Activation Detail'!$N$4:$N$4003,N$2)</f>
        <v>18452.8495</v>
      </c>
      <c r="R503" s="51" t="n">
        <f aca="false">IFERROR(P503/Q503,0)</f>
        <v>0.88184543314864</v>
      </c>
      <c r="S503" s="49" t="n">
        <f aca="false">IFERROR(Q503/N503,0)</f>
        <v>216.874741095091</v>
      </c>
      <c r="T503" s="48" t="n">
        <f aca="false">SUMIFS('Activation Detail'!$H$4:$H$4003,'Activation Detail'!$A$4:$A$4003,$A503,'Activation Detail'!$N$4:$N$4003,T$2)</f>
        <v>137.920796539515</v>
      </c>
      <c r="U503" s="50" t="n">
        <f aca="false">T503*'Model Inputs &amp; Assumptions'!$D$41*'Model Inputs &amp; Assumptions'!$H$41</f>
        <v>993029.735084508</v>
      </c>
      <c r="V503" s="50" t="n">
        <f aca="false">T503*'Model Inputs &amp; Assumptions'!$G$41*'Model Inputs &amp; Assumptions'!$H$41</f>
        <v>21896.3056586134</v>
      </c>
      <c r="W503" s="50" t="n">
        <f aca="false">SUMIFS('Activation Detail'!$I$4:$I$4003,'Activation Detail'!$A$4:$A$4003,$A503,'Activation Detail'!$N$4:$N$4003,T$2)</f>
        <v>16318.017668</v>
      </c>
      <c r="X503" s="51" t="n">
        <f aca="false">IFERROR(V503/W503,0)</f>
        <v>1.34184838527002</v>
      </c>
      <c r="Y503" s="49" t="n">
        <f aca="false">IFERROR(W503/T503,0)</f>
        <v>118.314409990554</v>
      </c>
      <c r="Z503" s="48" t="n">
        <f aca="false">SUMIFS('Activation Detail'!$H$4:$H$4003,'Activation Detail'!$A$4:$A$4003,$A503,'Activation Detail'!$N$4:$N$4003,Z$2)</f>
        <v>207.112353583196</v>
      </c>
      <c r="AA503" s="50" t="n">
        <f aca="false">Z503*'Model Inputs &amp; Assumptions'!$D$42*'Model Inputs &amp; Assumptions'!$H$42</f>
        <v>1118406.70934926</v>
      </c>
      <c r="AB503" s="50" t="n">
        <f aca="false">Z503*'Model Inputs &amp; Assumptions'!$G$42*'Model Inputs &amp; Assumptions'!$H$42</f>
        <v>23486.5408963344</v>
      </c>
      <c r="AC503" s="50" t="n">
        <f aca="false">SUMIFS('Activation Detail'!$I$4:$I$4003,'Activation Detail'!$A$4:$A$4003,$A503,'Activation Detail'!$N$4:$N$4003,Z$2)</f>
        <v>35220.244</v>
      </c>
      <c r="AD503" s="51" t="n">
        <f aca="false">IFERROR(AB503/AC503,0)</f>
        <v>0.666847762222613</v>
      </c>
      <c r="AE503" s="49" t="n">
        <f aca="false">IFERROR(AC503/Z503,0)</f>
        <v>170.053806017188</v>
      </c>
    </row>
  </sheetData>
  <mergeCells count="3">
    <mergeCell ref="O2:S2"/>
    <mergeCell ref="U2:Y2"/>
    <mergeCell ref="AA2:AE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2026-09-10T16:21:38Z</dcterms:created>
  <dc:creator>openpyxl</dc:creator>
  <dc:description/>
  <dc:language>en-US</dc:language>
  <cp:lastModifiedBy/>
  <dcterms:modified xsi:type="dcterms:W3CDTF">2026-09-10T16:21:46Z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